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romain/GitHub/brightpath/dev/"/>
    </mc:Choice>
  </mc:AlternateContent>
  <xr:revisionPtr revIDLastSave="0" documentId="13_ncr:1_{02A76EAC-7FC7-4F42-8780-2E9A851482D3}" xr6:coauthVersionLast="47" xr6:coauthVersionMax="47" xr10:uidLastSave="{00000000-0000-0000-0000-000000000000}"/>
  <bookViews>
    <workbookView xWindow="0" yWindow="760" windowWidth="30240" windowHeight="18880" firstSheet="5" activeTab="11" xr2:uid="{CE97F973-1FD1-E94B-89D5-039909F1CA76}"/>
  </bookViews>
  <sheets>
    <sheet name="overview" sheetId="1" r:id="rId1"/>
    <sheet name="hydrogen - supply" sheetId="16" r:id="rId2"/>
    <sheet name="hydrogen - electrolysis" sheetId="3" r:id="rId3"/>
    <sheet name="hydrogen - SMR" sheetId="13" r:id="rId4"/>
    <sheet name="hydrogen - ATR" sheetId="14" r:id="rId5"/>
    <sheet name="hydrogen - nat gas pyrolysis" sheetId="15" r:id="rId6"/>
    <sheet name="synthetic nat gas - supply" sheetId="17" r:id="rId7"/>
    <sheet name="synthetic nat gas" sheetId="4" r:id="rId8"/>
    <sheet name="methanol - supply" sheetId="18" r:id="rId9"/>
    <sheet name="methanol" sheetId="5" r:id="rId10"/>
    <sheet name="heat pump" sheetId="7" r:id="rId11"/>
    <sheet name="extra datasets" sheetId="10" r:id="rId12"/>
    <sheet name="parameters" sheetId="2" r:id="rId13"/>
    <sheet name="dataset mapping" sheetId="11" r:id="rId14"/>
    <sheet name="allocation" sheetId="12" r:id="rId15"/>
  </sheets>
  <definedNames>
    <definedName name="_xlnm._FilterDatabase" localSheetId="11" hidden="1">'extra datasets'!$A$1:$T$2125</definedName>
    <definedName name="_xlnm._FilterDatabase" localSheetId="10" hidden="1">'heat pump'!$A$1:$U$293</definedName>
    <definedName name="_xlnm._FilterDatabase" localSheetId="4" hidden="1">'hydrogen - ATR'!$A$1:$V$1433</definedName>
    <definedName name="_xlnm._FilterDatabase" localSheetId="2" hidden="1">'hydrogen - electrolysis'!$A$1:$V$9918</definedName>
    <definedName name="_xlnm._FilterDatabase" localSheetId="5" hidden="1">'hydrogen - nat gas pyrolysis'!$A$1:$U$661</definedName>
    <definedName name="_xlnm._FilterDatabase" localSheetId="3" hidden="1">'hydrogen - SMR'!$A$1:$U$2643</definedName>
    <definedName name="_xlnm._FilterDatabase" localSheetId="1" hidden="1">'hydrogen - supply'!$A$1:$V$1456</definedName>
    <definedName name="_xlnm._FilterDatabase" localSheetId="9" hidden="1">methanol!$A$1:$U$439</definedName>
    <definedName name="_xlnm._FilterDatabase" localSheetId="0" hidden="1">overview!$A$3:$S$338</definedName>
    <definedName name="_xlnm._FilterDatabase" localSheetId="7" hidden="1">'synthetic nat gas'!$A$1:$U$416</definedName>
    <definedName name="_xlnm._FilterDatabase" localSheetId="6" hidden="1">'synthetic nat gas - supply'!$A$1:$V$1537</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307" i="10" l="1"/>
  <c r="J1307" i="10"/>
  <c r="R1399" i="10"/>
  <c r="J1399" i="10"/>
  <c r="R1353" i="10"/>
  <c r="J1353" i="10"/>
  <c r="G344" i="10" l="1"/>
  <c r="J356" i="10"/>
  <c r="J355" i="10"/>
  <c r="J354" i="10"/>
  <c r="R356" i="10"/>
  <c r="R355" i="10"/>
  <c r="R354" i="10"/>
  <c r="R353" i="10"/>
  <c r="J353" i="10"/>
  <c r="R352" i="10"/>
  <c r="J352" i="10"/>
  <c r="R351" i="10"/>
  <c r="J351" i="10"/>
  <c r="R350" i="10"/>
  <c r="J350" i="10"/>
  <c r="R349" i="10"/>
  <c r="J349" i="10"/>
  <c r="R348" i="10"/>
  <c r="J348" i="10"/>
  <c r="R347" i="10"/>
  <c r="J347" i="10"/>
  <c r="R346" i="10"/>
  <c r="J346" i="10"/>
  <c r="R345" i="10"/>
  <c r="J345" i="10"/>
  <c r="R343" i="10"/>
  <c r="J343" i="10"/>
  <c r="R342" i="10"/>
  <c r="J342" i="10"/>
  <c r="R341" i="10"/>
  <c r="J341" i="10"/>
  <c r="R340" i="10"/>
  <c r="J340" i="10"/>
  <c r="A344" i="10"/>
  <c r="R330" i="10"/>
  <c r="J330" i="10"/>
  <c r="R329" i="10"/>
  <c r="J329" i="10"/>
  <c r="R328" i="10"/>
  <c r="J328" i="10"/>
  <c r="R326" i="10"/>
  <c r="J326" i="10"/>
  <c r="G327" i="10"/>
  <c r="A327" i="10"/>
  <c r="G301" i="10"/>
  <c r="A301" i="10"/>
  <c r="R295" i="10"/>
  <c r="R296" i="10"/>
  <c r="R297" i="10"/>
  <c r="R298" i="10"/>
  <c r="R299" i="10"/>
  <c r="R300" i="10"/>
  <c r="R302" i="10"/>
  <c r="R303" i="10"/>
  <c r="R304" i="10"/>
  <c r="R305" i="10"/>
  <c r="R306" i="10"/>
  <c r="R307" i="10"/>
  <c r="R308" i="10"/>
  <c r="R309" i="10"/>
  <c r="R310" i="10"/>
  <c r="R311" i="10"/>
  <c r="R312" i="10"/>
  <c r="R313" i="10"/>
  <c r="R314" i="10"/>
  <c r="R315" i="10"/>
  <c r="R275" i="10"/>
  <c r="R276" i="10"/>
  <c r="R277" i="10"/>
  <c r="R278" i="10"/>
  <c r="R279" i="10"/>
  <c r="R280" i="10"/>
  <c r="R281" i="10"/>
  <c r="R282" i="10"/>
  <c r="R283" i="10"/>
  <c r="R284" i="10"/>
  <c r="R285" i="10"/>
  <c r="R286" i="10"/>
  <c r="R287" i="10"/>
  <c r="R288" i="10"/>
  <c r="R289" i="10"/>
  <c r="R290" i="10"/>
  <c r="R291" i="10"/>
  <c r="R292" i="10"/>
  <c r="R293" i="10"/>
  <c r="R294" i="10"/>
  <c r="R274" i="10"/>
  <c r="J315" i="10"/>
  <c r="J314" i="10"/>
  <c r="J313" i="10"/>
  <c r="J312" i="10"/>
  <c r="J311" i="10"/>
  <c r="J310" i="10"/>
  <c r="J309" i="10"/>
  <c r="J308" i="10"/>
  <c r="J307" i="10"/>
  <c r="J306" i="10"/>
  <c r="J305" i="10"/>
  <c r="J304" i="10"/>
  <c r="J303" i="10"/>
  <c r="J302" i="10"/>
  <c r="J300" i="10"/>
  <c r="J299" i="10"/>
  <c r="J298" i="10"/>
  <c r="J297" i="10"/>
  <c r="J296" i="10"/>
  <c r="J295" i="10"/>
  <c r="J294" i="10"/>
  <c r="J293" i="10"/>
  <c r="J292" i="10"/>
  <c r="J291" i="10"/>
  <c r="J290" i="10"/>
  <c r="J289" i="10"/>
  <c r="J288" i="10"/>
  <c r="J287" i="10"/>
  <c r="J286" i="10"/>
  <c r="J285" i="10"/>
  <c r="J284" i="10"/>
  <c r="J283" i="10"/>
  <c r="J282" i="10"/>
  <c r="J281" i="10"/>
  <c r="J280" i="10"/>
  <c r="J279" i="10"/>
  <c r="J278" i="10"/>
  <c r="J277" i="10"/>
  <c r="J276" i="10"/>
  <c r="J275" i="10"/>
  <c r="J274" i="10"/>
  <c r="R263" i="10" l="1"/>
  <c r="J263" i="10"/>
  <c r="R262" i="10"/>
  <c r="J262" i="10"/>
  <c r="R261" i="10"/>
  <c r="J261" i="10"/>
  <c r="R260" i="10"/>
  <c r="J260" i="10"/>
  <c r="G259" i="10"/>
  <c r="A259" i="10"/>
  <c r="D259" i="10"/>
  <c r="C259" i="10"/>
  <c r="X12" i="2"/>
  <c r="W12" i="2"/>
  <c r="V12" i="2"/>
  <c r="B155" i="5"/>
  <c r="B154" i="5"/>
  <c r="B103" i="5"/>
  <c r="B102" i="5"/>
  <c r="B51" i="5"/>
  <c r="B50" i="5"/>
  <c r="B1374" i="10"/>
  <c r="B1373" i="10"/>
  <c r="J1373" i="10" s="1"/>
  <c r="B1328" i="10"/>
  <c r="J1328" i="10" s="1"/>
  <c r="B1327" i="10"/>
  <c r="J1327" i="10" s="1"/>
  <c r="B1282" i="10"/>
  <c r="J1282" i="10" s="1"/>
  <c r="B1281" i="10"/>
  <c r="B1280" i="10"/>
  <c r="J1280" i="10" s="1"/>
  <c r="B1279" i="10"/>
  <c r="B1326" i="10"/>
  <c r="J1326" i="10" s="1"/>
  <c r="B1325" i="10"/>
  <c r="J1325" i="10" s="1"/>
  <c r="B1372" i="10"/>
  <c r="J1372" i="10" s="1"/>
  <c r="B1371" i="10"/>
  <c r="R1282" i="10"/>
  <c r="R1280" i="10"/>
  <c r="R1328" i="10"/>
  <c r="R1327" i="10"/>
  <c r="R1326" i="10"/>
  <c r="R1325" i="10"/>
  <c r="R1373" i="10"/>
  <c r="R1372" i="10"/>
  <c r="R1285" i="10"/>
  <c r="B1285" i="10"/>
  <c r="J1285" i="10" s="1"/>
  <c r="R1284" i="10"/>
  <c r="J1284" i="10"/>
  <c r="R1331" i="10"/>
  <c r="B1331" i="10"/>
  <c r="J1331" i="10" s="1"/>
  <c r="R1330" i="10"/>
  <c r="J1330" i="10"/>
  <c r="B1377" i="10"/>
  <c r="J1377" i="10" s="1"/>
  <c r="R1377" i="10"/>
  <c r="R1376" i="10"/>
  <c r="J1376" i="10"/>
  <c r="R1378" i="10"/>
  <c r="J1378" i="10"/>
  <c r="R1286" i="10"/>
  <c r="J1286" i="10"/>
  <c r="R1332" i="10"/>
  <c r="J1332" i="10"/>
  <c r="B22" i="17"/>
  <c r="B225" i="17"/>
  <c r="B224" i="17"/>
  <c r="B186" i="17"/>
  <c r="B185" i="17"/>
  <c r="B147" i="17"/>
  <c r="B146" i="17"/>
  <c r="B108" i="17"/>
  <c r="B107" i="17"/>
  <c r="B69" i="17"/>
  <c r="B68" i="17"/>
  <c r="B1262" i="10"/>
  <c r="R1757" i="10"/>
  <c r="J1757" i="10"/>
  <c r="R1434" i="10"/>
  <c r="J1434" i="10"/>
  <c r="V6" i="2"/>
  <c r="E6" i="12"/>
  <c r="F4" i="12"/>
  <c r="R1787" i="10" l="1"/>
  <c r="J1787" i="10"/>
  <c r="R1735" i="10"/>
  <c r="J1735" i="10"/>
  <c r="R1734" i="10"/>
  <c r="J1734" i="10"/>
  <c r="R1733" i="10"/>
  <c r="J1733" i="10"/>
  <c r="R1732" i="10"/>
  <c r="J1732" i="10"/>
  <c r="R1731" i="10"/>
  <c r="J1731" i="10"/>
  <c r="R1730" i="10"/>
  <c r="J1730" i="10"/>
  <c r="R1729" i="10"/>
  <c r="J1729" i="10"/>
  <c r="B1722" i="10"/>
  <c r="B1736" i="10" s="1"/>
  <c r="B220" i="4"/>
  <c r="U113" i="18"/>
  <c r="L113" i="18"/>
  <c r="M113" i="18" s="1"/>
  <c r="U112" i="18"/>
  <c r="L112" i="18"/>
  <c r="M112" i="18" s="1"/>
  <c r="U111" i="18"/>
  <c r="M111" i="18"/>
  <c r="U110" i="18"/>
  <c r="U109" i="18"/>
  <c r="L109" i="18"/>
  <c r="M109" i="18" s="1"/>
  <c r="U108" i="18"/>
  <c r="M108" i="18"/>
  <c r="U107" i="18"/>
  <c r="M107" i="18"/>
  <c r="U106" i="18"/>
  <c r="L106" i="18"/>
  <c r="M106" i="18" s="1"/>
  <c r="U105" i="18"/>
  <c r="M105" i="18"/>
  <c r="U104" i="18"/>
  <c r="L104" i="18"/>
  <c r="M104" i="18" s="1"/>
  <c r="U103" i="18"/>
  <c r="L103" i="18"/>
  <c r="M103" i="18" s="1"/>
  <c r="G103" i="18"/>
  <c r="E103" i="18"/>
  <c r="C103" i="18"/>
  <c r="A103" i="18"/>
  <c r="G102" i="18"/>
  <c r="E102" i="18"/>
  <c r="C102" i="18"/>
  <c r="B95" i="18"/>
  <c r="B94" i="18"/>
  <c r="B93" i="18"/>
  <c r="B92" i="18"/>
  <c r="B91" i="18"/>
  <c r="B90" i="18"/>
  <c r="B89" i="18"/>
  <c r="B110" i="18" s="1"/>
  <c r="L110" i="18" s="1"/>
  <c r="M110" i="18" s="1"/>
  <c r="B88" i="18"/>
  <c r="B87" i="18"/>
  <c r="B85" i="18"/>
  <c r="B84" i="18"/>
  <c r="U75" i="18"/>
  <c r="L75" i="18"/>
  <c r="M75" i="18" s="1"/>
  <c r="U74" i="18"/>
  <c r="L74" i="18"/>
  <c r="M74" i="18" s="1"/>
  <c r="U73" i="18"/>
  <c r="M73" i="18"/>
  <c r="U72" i="18"/>
  <c r="U71" i="18"/>
  <c r="L71" i="18"/>
  <c r="M71" i="18" s="1"/>
  <c r="U70" i="18"/>
  <c r="M70" i="18"/>
  <c r="U69" i="18"/>
  <c r="M69" i="18"/>
  <c r="U68" i="18"/>
  <c r="L68" i="18"/>
  <c r="M68" i="18" s="1"/>
  <c r="U67" i="18"/>
  <c r="M67" i="18"/>
  <c r="U66" i="18"/>
  <c r="L66" i="18"/>
  <c r="M66" i="18" s="1"/>
  <c r="U65" i="18"/>
  <c r="L65" i="18"/>
  <c r="M65" i="18" s="1"/>
  <c r="G65" i="18"/>
  <c r="E65" i="18"/>
  <c r="C65" i="18"/>
  <c r="A65" i="18"/>
  <c r="G64" i="18"/>
  <c r="E64" i="18"/>
  <c r="C64" i="18"/>
  <c r="B57" i="18"/>
  <c r="B56" i="18"/>
  <c r="B55" i="18"/>
  <c r="B54" i="18"/>
  <c r="B53" i="18"/>
  <c r="B52" i="18"/>
  <c r="B51" i="18"/>
  <c r="B72" i="18" s="1"/>
  <c r="L72" i="18" s="1"/>
  <c r="M72" i="18" s="1"/>
  <c r="B50" i="18"/>
  <c r="B49" i="18"/>
  <c r="B47" i="18"/>
  <c r="B46" i="18"/>
  <c r="M35" i="18"/>
  <c r="M32" i="18"/>
  <c r="M31" i="18"/>
  <c r="M29" i="18"/>
  <c r="B39" i="18" l="1"/>
  <c r="K67" i="18" s="1"/>
  <c r="B77" i="18"/>
  <c r="K105" i="18" s="1"/>
  <c r="B78" i="18"/>
  <c r="K65" i="18"/>
  <c r="K69" i="18"/>
  <c r="K71" i="18"/>
  <c r="K70" i="18"/>
  <c r="K66" i="18"/>
  <c r="K64" i="18"/>
  <c r="K74" i="18"/>
  <c r="B40" i="18"/>
  <c r="U37" i="18"/>
  <c r="U36" i="18"/>
  <c r="U35" i="18"/>
  <c r="U34" i="18"/>
  <c r="U33" i="18"/>
  <c r="U32" i="18"/>
  <c r="U31" i="18"/>
  <c r="U30" i="18"/>
  <c r="U29" i="18"/>
  <c r="U28" i="18"/>
  <c r="L37" i="18"/>
  <c r="M37" i="18" s="1"/>
  <c r="L36" i="18"/>
  <c r="M36" i="18" s="1"/>
  <c r="L33" i="18"/>
  <c r="M33" i="18" s="1"/>
  <c r="L30" i="18"/>
  <c r="M30" i="18" s="1"/>
  <c r="L28" i="18"/>
  <c r="M28" i="18" s="1"/>
  <c r="U27" i="18"/>
  <c r="L27" i="18"/>
  <c r="M27" i="18" s="1"/>
  <c r="G27" i="18"/>
  <c r="E27" i="18"/>
  <c r="C27" i="18"/>
  <c r="A27" i="18"/>
  <c r="G26" i="18"/>
  <c r="E26" i="18"/>
  <c r="C26" i="18"/>
  <c r="B19" i="18"/>
  <c r="B22" i="18" s="1"/>
  <c r="B18" i="18"/>
  <c r="B17" i="18"/>
  <c r="B16" i="18"/>
  <c r="B15" i="18"/>
  <c r="B14" i="18"/>
  <c r="B13" i="18"/>
  <c r="B34" i="18" s="1"/>
  <c r="L34" i="18" s="1"/>
  <c r="M34" i="18" s="1"/>
  <c r="B12" i="18"/>
  <c r="B11" i="18"/>
  <c r="B9" i="18"/>
  <c r="B8" i="18"/>
  <c r="L391" i="4"/>
  <c r="M391" i="4" s="1"/>
  <c r="U391" i="4"/>
  <c r="L392" i="4"/>
  <c r="M392" i="4" s="1"/>
  <c r="U392" i="4"/>
  <c r="L393" i="4"/>
  <c r="M393" i="4" s="1"/>
  <c r="U393" i="4"/>
  <c r="L394" i="4"/>
  <c r="M394" i="4" s="1"/>
  <c r="U394" i="4"/>
  <c r="L395" i="4"/>
  <c r="M395" i="4" s="1"/>
  <c r="U395" i="4"/>
  <c r="U396" i="4"/>
  <c r="U397" i="4"/>
  <c r="L398" i="4"/>
  <c r="M398" i="4" s="1"/>
  <c r="U398" i="4"/>
  <c r="L399" i="4"/>
  <c r="M399" i="4" s="1"/>
  <c r="U399" i="4"/>
  <c r="L400" i="4"/>
  <c r="M400" i="4" s="1"/>
  <c r="U400" i="4"/>
  <c r="L401" i="4"/>
  <c r="M401" i="4" s="1"/>
  <c r="U401" i="4"/>
  <c r="L402" i="4"/>
  <c r="M402" i="4" s="1"/>
  <c r="U402" i="4"/>
  <c r="U403" i="4"/>
  <c r="U404" i="4"/>
  <c r="L405" i="4"/>
  <c r="M405" i="4" s="1"/>
  <c r="U405" i="4"/>
  <c r="L406" i="4"/>
  <c r="M406" i="4" s="1"/>
  <c r="U406" i="4"/>
  <c r="L407" i="4"/>
  <c r="M407" i="4" s="1"/>
  <c r="U407" i="4"/>
  <c r="L408" i="4"/>
  <c r="M408" i="4" s="1"/>
  <c r="U408" i="4"/>
  <c r="L409" i="4"/>
  <c r="M409" i="4" s="1"/>
  <c r="U409" i="4"/>
  <c r="L410" i="4"/>
  <c r="M410" i="4" s="1"/>
  <c r="U410" i="4"/>
  <c r="L411" i="4"/>
  <c r="M411" i="4" s="1"/>
  <c r="U411" i="4"/>
  <c r="L412" i="4"/>
  <c r="M412" i="4" s="1"/>
  <c r="U412" i="4"/>
  <c r="L413" i="4"/>
  <c r="M413" i="4" s="1"/>
  <c r="U413" i="4"/>
  <c r="L414" i="4"/>
  <c r="M414" i="4" s="1"/>
  <c r="U414" i="4"/>
  <c r="L415" i="4"/>
  <c r="M415" i="4" s="1"/>
  <c r="U415" i="4"/>
  <c r="L416" i="4"/>
  <c r="M416" i="4" s="1"/>
  <c r="U416" i="4"/>
  <c r="L322" i="4"/>
  <c r="M322" i="4" s="1"/>
  <c r="U322" i="4"/>
  <c r="L323" i="4"/>
  <c r="M323" i="4" s="1"/>
  <c r="U323" i="4"/>
  <c r="L324" i="4"/>
  <c r="M324" i="4" s="1"/>
  <c r="U324" i="4"/>
  <c r="L325" i="4"/>
  <c r="M325" i="4" s="1"/>
  <c r="U325" i="4"/>
  <c r="L326" i="4"/>
  <c r="M326" i="4" s="1"/>
  <c r="U326" i="4"/>
  <c r="U327" i="4"/>
  <c r="U328" i="4"/>
  <c r="L329" i="4"/>
  <c r="M329" i="4" s="1"/>
  <c r="U329" i="4"/>
  <c r="L330" i="4"/>
  <c r="M330" i="4" s="1"/>
  <c r="U330" i="4"/>
  <c r="L331" i="4"/>
  <c r="M331" i="4" s="1"/>
  <c r="U331" i="4"/>
  <c r="L332" i="4"/>
  <c r="M332" i="4" s="1"/>
  <c r="U332" i="4"/>
  <c r="L333" i="4"/>
  <c r="M333" i="4" s="1"/>
  <c r="U333" i="4"/>
  <c r="U334" i="4"/>
  <c r="U335" i="4"/>
  <c r="L336" i="4"/>
  <c r="M336" i="4" s="1"/>
  <c r="U336" i="4"/>
  <c r="L337" i="4"/>
  <c r="M337" i="4" s="1"/>
  <c r="U337" i="4"/>
  <c r="L338" i="4"/>
  <c r="M338" i="4" s="1"/>
  <c r="U338" i="4"/>
  <c r="L339" i="4"/>
  <c r="M339" i="4" s="1"/>
  <c r="U339" i="4"/>
  <c r="L340" i="4"/>
  <c r="M340" i="4" s="1"/>
  <c r="U340" i="4"/>
  <c r="L341" i="4"/>
  <c r="M341" i="4" s="1"/>
  <c r="U341" i="4"/>
  <c r="L342" i="4"/>
  <c r="M342" i="4" s="1"/>
  <c r="U342" i="4"/>
  <c r="L343" i="4"/>
  <c r="M343" i="4" s="1"/>
  <c r="U343" i="4"/>
  <c r="L344" i="4"/>
  <c r="M344" i="4" s="1"/>
  <c r="U344" i="4"/>
  <c r="L345" i="4"/>
  <c r="M345" i="4" s="1"/>
  <c r="U345" i="4"/>
  <c r="L346" i="4"/>
  <c r="M346" i="4" s="1"/>
  <c r="U346" i="4"/>
  <c r="L347" i="4"/>
  <c r="M347" i="4" s="1"/>
  <c r="U347" i="4"/>
  <c r="L252" i="4"/>
  <c r="M252" i="4" s="1"/>
  <c r="U252" i="4"/>
  <c r="L253" i="4"/>
  <c r="M253" i="4" s="1"/>
  <c r="U253" i="4"/>
  <c r="L254" i="4"/>
  <c r="M254" i="4" s="1"/>
  <c r="U254" i="4"/>
  <c r="L255" i="4"/>
  <c r="M255" i="4" s="1"/>
  <c r="U255" i="4"/>
  <c r="L256" i="4"/>
  <c r="M256" i="4" s="1"/>
  <c r="U256" i="4"/>
  <c r="M257" i="4"/>
  <c r="U258" i="4"/>
  <c r="L259" i="4"/>
  <c r="M259" i="4" s="1"/>
  <c r="U259" i="4"/>
  <c r="L260" i="4"/>
  <c r="M260" i="4" s="1"/>
  <c r="U260" i="4"/>
  <c r="L261" i="4"/>
  <c r="M261" i="4" s="1"/>
  <c r="U261" i="4"/>
  <c r="L262" i="4"/>
  <c r="M262" i="4" s="1"/>
  <c r="U262" i="4"/>
  <c r="L263" i="4"/>
  <c r="M263" i="4" s="1"/>
  <c r="U263" i="4"/>
  <c r="U264" i="4"/>
  <c r="M265" i="4"/>
  <c r="L266" i="4"/>
  <c r="M266" i="4" s="1"/>
  <c r="U266" i="4"/>
  <c r="L267" i="4"/>
  <c r="M267" i="4" s="1"/>
  <c r="U267" i="4"/>
  <c r="L268" i="4"/>
  <c r="M268" i="4" s="1"/>
  <c r="U268" i="4"/>
  <c r="L269" i="4"/>
  <c r="M269" i="4" s="1"/>
  <c r="U269" i="4"/>
  <c r="L270" i="4"/>
  <c r="M270" i="4" s="1"/>
  <c r="U270" i="4"/>
  <c r="L271" i="4"/>
  <c r="M271" i="4" s="1"/>
  <c r="U271" i="4"/>
  <c r="L272" i="4"/>
  <c r="M272" i="4" s="1"/>
  <c r="U272" i="4"/>
  <c r="L273" i="4"/>
  <c r="M273" i="4" s="1"/>
  <c r="U273" i="4"/>
  <c r="L274" i="4"/>
  <c r="M274" i="4" s="1"/>
  <c r="U274" i="4"/>
  <c r="L275" i="4"/>
  <c r="M275" i="4" s="1"/>
  <c r="U275" i="4"/>
  <c r="L276" i="4"/>
  <c r="M276" i="4" s="1"/>
  <c r="U276" i="4"/>
  <c r="L277" i="4"/>
  <c r="M277" i="4" s="1"/>
  <c r="U277" i="4"/>
  <c r="L182" i="4"/>
  <c r="M182" i="4" s="1"/>
  <c r="U182" i="4"/>
  <c r="L183" i="4"/>
  <c r="M183" i="4" s="1"/>
  <c r="U183" i="4"/>
  <c r="L184" i="4"/>
  <c r="M184" i="4" s="1"/>
  <c r="U184" i="4"/>
  <c r="L185" i="4"/>
  <c r="M185" i="4" s="1"/>
  <c r="U185" i="4"/>
  <c r="L186" i="4"/>
  <c r="M186" i="4" s="1"/>
  <c r="U186" i="4"/>
  <c r="U187" i="4"/>
  <c r="U188" i="4"/>
  <c r="L189" i="4"/>
  <c r="M189" i="4" s="1"/>
  <c r="U189" i="4"/>
  <c r="L190" i="4"/>
  <c r="M190" i="4" s="1"/>
  <c r="U190" i="4"/>
  <c r="L191" i="4"/>
  <c r="M191" i="4" s="1"/>
  <c r="U191" i="4"/>
  <c r="L192" i="4"/>
  <c r="M192" i="4" s="1"/>
  <c r="U192" i="4"/>
  <c r="L193" i="4"/>
  <c r="M193" i="4" s="1"/>
  <c r="U193" i="4"/>
  <c r="U194" i="4"/>
  <c r="U195" i="4"/>
  <c r="L196" i="4"/>
  <c r="M196" i="4" s="1"/>
  <c r="U196" i="4"/>
  <c r="L197" i="4"/>
  <c r="M197" i="4" s="1"/>
  <c r="U197" i="4"/>
  <c r="L198" i="4"/>
  <c r="M198" i="4" s="1"/>
  <c r="U198" i="4"/>
  <c r="L199" i="4"/>
  <c r="M199" i="4" s="1"/>
  <c r="U199" i="4"/>
  <c r="L200" i="4"/>
  <c r="M200" i="4" s="1"/>
  <c r="U200" i="4"/>
  <c r="L201" i="4"/>
  <c r="M201" i="4" s="1"/>
  <c r="U201" i="4"/>
  <c r="L202" i="4"/>
  <c r="M202" i="4" s="1"/>
  <c r="U202" i="4"/>
  <c r="L203" i="4"/>
  <c r="M203" i="4" s="1"/>
  <c r="U203" i="4"/>
  <c r="L204" i="4"/>
  <c r="M204" i="4" s="1"/>
  <c r="U204" i="4"/>
  <c r="L205" i="4"/>
  <c r="M205" i="4" s="1"/>
  <c r="U205" i="4"/>
  <c r="L206" i="4"/>
  <c r="M206" i="4" s="1"/>
  <c r="U206" i="4"/>
  <c r="L207" i="4"/>
  <c r="M207" i="4" s="1"/>
  <c r="U207" i="4"/>
  <c r="L113" i="4"/>
  <c r="M113" i="4" s="1"/>
  <c r="U113" i="4"/>
  <c r="L114" i="4"/>
  <c r="M114" i="4" s="1"/>
  <c r="U114" i="4"/>
  <c r="L115" i="4"/>
  <c r="M115" i="4" s="1"/>
  <c r="U115" i="4"/>
  <c r="L116" i="4"/>
  <c r="M116" i="4" s="1"/>
  <c r="U116" i="4"/>
  <c r="L117" i="4"/>
  <c r="M117" i="4" s="1"/>
  <c r="U117" i="4"/>
  <c r="U118" i="4"/>
  <c r="U119" i="4"/>
  <c r="L120" i="4"/>
  <c r="M120" i="4" s="1"/>
  <c r="U120" i="4"/>
  <c r="L121" i="4"/>
  <c r="M121" i="4" s="1"/>
  <c r="U121" i="4"/>
  <c r="L122" i="4"/>
  <c r="M122" i="4" s="1"/>
  <c r="U122" i="4"/>
  <c r="L123" i="4"/>
  <c r="M123" i="4" s="1"/>
  <c r="U123" i="4"/>
  <c r="L124" i="4"/>
  <c r="M124" i="4" s="1"/>
  <c r="U124" i="4"/>
  <c r="U125" i="4"/>
  <c r="U126" i="4"/>
  <c r="L127" i="4"/>
  <c r="M127" i="4" s="1"/>
  <c r="U127" i="4"/>
  <c r="L128" i="4"/>
  <c r="M128" i="4" s="1"/>
  <c r="U128" i="4"/>
  <c r="L129" i="4"/>
  <c r="M129" i="4" s="1"/>
  <c r="U129" i="4"/>
  <c r="L130" i="4"/>
  <c r="M130" i="4" s="1"/>
  <c r="U130" i="4"/>
  <c r="L131" i="4"/>
  <c r="M131" i="4" s="1"/>
  <c r="U131" i="4"/>
  <c r="L132" i="4"/>
  <c r="M132" i="4" s="1"/>
  <c r="U132" i="4"/>
  <c r="L133" i="4"/>
  <c r="M133" i="4" s="1"/>
  <c r="U133" i="4"/>
  <c r="L134" i="4"/>
  <c r="M134" i="4" s="1"/>
  <c r="U134" i="4"/>
  <c r="L135" i="4"/>
  <c r="M135" i="4" s="1"/>
  <c r="U135" i="4"/>
  <c r="L136" i="4"/>
  <c r="M136" i="4" s="1"/>
  <c r="U136" i="4"/>
  <c r="L137" i="4"/>
  <c r="M137" i="4" s="1"/>
  <c r="U137" i="4"/>
  <c r="L138" i="4"/>
  <c r="M138" i="4" s="1"/>
  <c r="U138" i="4"/>
  <c r="L43" i="4"/>
  <c r="M43" i="4" s="1"/>
  <c r="U43" i="4"/>
  <c r="L44" i="4"/>
  <c r="M44" i="4" s="1"/>
  <c r="U44" i="4"/>
  <c r="L45" i="4"/>
  <c r="M45" i="4" s="1"/>
  <c r="U45" i="4"/>
  <c r="L46" i="4"/>
  <c r="M46" i="4" s="1"/>
  <c r="U46" i="4"/>
  <c r="L47" i="4"/>
  <c r="M47" i="4" s="1"/>
  <c r="U47" i="4"/>
  <c r="M48" i="4"/>
  <c r="U49" i="4"/>
  <c r="L50" i="4"/>
  <c r="M50" i="4" s="1"/>
  <c r="U50" i="4"/>
  <c r="L51" i="4"/>
  <c r="M51" i="4" s="1"/>
  <c r="U51" i="4"/>
  <c r="L52" i="4"/>
  <c r="M52" i="4" s="1"/>
  <c r="U52" i="4"/>
  <c r="L53" i="4"/>
  <c r="M53" i="4" s="1"/>
  <c r="U53" i="4"/>
  <c r="L54" i="4"/>
  <c r="M54" i="4" s="1"/>
  <c r="U54" i="4"/>
  <c r="U55" i="4"/>
  <c r="M56" i="4"/>
  <c r="L57" i="4"/>
  <c r="M57" i="4" s="1"/>
  <c r="U57" i="4"/>
  <c r="L58" i="4"/>
  <c r="M58" i="4" s="1"/>
  <c r="U58" i="4"/>
  <c r="L59" i="4"/>
  <c r="M59" i="4" s="1"/>
  <c r="U59" i="4"/>
  <c r="L60" i="4"/>
  <c r="M60" i="4" s="1"/>
  <c r="U60" i="4"/>
  <c r="L61" i="4"/>
  <c r="M61" i="4" s="1"/>
  <c r="U61" i="4"/>
  <c r="L62" i="4"/>
  <c r="M62" i="4" s="1"/>
  <c r="U62" i="4"/>
  <c r="L63" i="4"/>
  <c r="M63" i="4" s="1"/>
  <c r="U63" i="4"/>
  <c r="L64" i="4"/>
  <c r="M64" i="4" s="1"/>
  <c r="U64" i="4"/>
  <c r="L65" i="4"/>
  <c r="M65" i="4" s="1"/>
  <c r="U65" i="4"/>
  <c r="L66" i="4"/>
  <c r="M66" i="4" s="1"/>
  <c r="U66" i="4"/>
  <c r="L67" i="4"/>
  <c r="M67" i="4" s="1"/>
  <c r="U67" i="4"/>
  <c r="L68" i="4"/>
  <c r="M68" i="4" s="1"/>
  <c r="U68" i="4"/>
  <c r="U233" i="17"/>
  <c r="L233" i="17"/>
  <c r="M233" i="17" s="1"/>
  <c r="M232" i="17"/>
  <c r="U231" i="17"/>
  <c r="U230" i="17"/>
  <c r="L230" i="17"/>
  <c r="M230" i="17" s="1"/>
  <c r="M229" i="17"/>
  <c r="U228" i="17"/>
  <c r="U227" i="17"/>
  <c r="L227" i="17"/>
  <c r="M227" i="17" s="1"/>
  <c r="U226" i="17"/>
  <c r="L226" i="17"/>
  <c r="M226" i="17" s="1"/>
  <c r="U225" i="17"/>
  <c r="E225" i="17"/>
  <c r="C225" i="17"/>
  <c r="U224" i="17"/>
  <c r="G224" i="17"/>
  <c r="E224" i="17"/>
  <c r="C224" i="17"/>
  <c r="A224" i="17"/>
  <c r="U223" i="17"/>
  <c r="G223" i="17"/>
  <c r="E223" i="17"/>
  <c r="C223" i="17"/>
  <c r="A223" i="17"/>
  <c r="U222" i="17"/>
  <c r="L222" i="17"/>
  <c r="M222" i="17" s="1"/>
  <c r="G222" i="17"/>
  <c r="E222" i="17"/>
  <c r="C222" i="17"/>
  <c r="A222" i="17"/>
  <c r="G221" i="17"/>
  <c r="E221" i="17"/>
  <c r="C221" i="17"/>
  <c r="B214" i="17"/>
  <c r="B213" i="17"/>
  <c r="B212" i="17"/>
  <c r="B211" i="17"/>
  <c r="B210" i="17"/>
  <c r="B209" i="17"/>
  <c r="B208" i="17"/>
  <c r="B207" i="17"/>
  <c r="B206" i="17"/>
  <c r="B204" i="17"/>
  <c r="B203" i="17"/>
  <c r="U194" i="17"/>
  <c r="L194" i="17"/>
  <c r="M194" i="17" s="1"/>
  <c r="M193" i="17"/>
  <c r="U192" i="17"/>
  <c r="U191" i="17"/>
  <c r="L191" i="17"/>
  <c r="M191" i="17" s="1"/>
  <c r="M190" i="17"/>
  <c r="U189" i="17"/>
  <c r="U188" i="17"/>
  <c r="L188" i="17"/>
  <c r="M188" i="17" s="1"/>
  <c r="U187" i="17"/>
  <c r="L187" i="17"/>
  <c r="M187" i="17" s="1"/>
  <c r="U186" i="17"/>
  <c r="E186" i="17"/>
  <c r="C186" i="17"/>
  <c r="U185" i="17"/>
  <c r="G185" i="17"/>
  <c r="E185" i="17"/>
  <c r="C185" i="17"/>
  <c r="A185" i="17"/>
  <c r="U184" i="17"/>
  <c r="G184" i="17"/>
  <c r="E184" i="17"/>
  <c r="C184" i="17"/>
  <c r="A184" i="17"/>
  <c r="U183" i="17"/>
  <c r="L183" i="17"/>
  <c r="M183" i="17" s="1"/>
  <c r="G183" i="17"/>
  <c r="E183" i="17"/>
  <c r="C183" i="17"/>
  <c r="A183" i="17"/>
  <c r="G182" i="17"/>
  <c r="E182" i="17"/>
  <c r="C182" i="17"/>
  <c r="B175" i="17"/>
  <c r="B174" i="17"/>
  <c r="B173" i="17"/>
  <c r="B172" i="17"/>
  <c r="B171" i="17"/>
  <c r="B170" i="17"/>
  <c r="B169" i="17"/>
  <c r="B168" i="17"/>
  <c r="B167" i="17"/>
  <c r="B165" i="17"/>
  <c r="B164" i="17"/>
  <c r="U155" i="17"/>
  <c r="L155" i="17"/>
  <c r="M155" i="17" s="1"/>
  <c r="M154" i="17"/>
  <c r="U153" i="17"/>
  <c r="U152" i="17"/>
  <c r="L152" i="17"/>
  <c r="M152" i="17" s="1"/>
  <c r="M151" i="17"/>
  <c r="U150" i="17"/>
  <c r="U149" i="17"/>
  <c r="L149" i="17"/>
  <c r="M149" i="17" s="1"/>
  <c r="U148" i="17"/>
  <c r="L148" i="17"/>
  <c r="M148" i="17" s="1"/>
  <c r="U147" i="17"/>
  <c r="E147" i="17"/>
  <c r="C147" i="17"/>
  <c r="U146" i="17"/>
  <c r="G146" i="17"/>
  <c r="E146" i="17"/>
  <c r="C146" i="17"/>
  <c r="A146" i="17"/>
  <c r="U145" i="17"/>
  <c r="G145" i="17"/>
  <c r="E145" i="17"/>
  <c r="C145" i="17"/>
  <c r="A145" i="17"/>
  <c r="U144" i="17"/>
  <c r="L144" i="17"/>
  <c r="M144" i="17" s="1"/>
  <c r="G144" i="17"/>
  <c r="E144" i="17"/>
  <c r="C144" i="17"/>
  <c r="A144" i="17"/>
  <c r="G143" i="17"/>
  <c r="E143" i="17"/>
  <c r="C143" i="17"/>
  <c r="B136" i="17"/>
  <c r="B139" i="17" s="1"/>
  <c r="B135" i="17"/>
  <c r="B134" i="17"/>
  <c r="B133" i="17"/>
  <c r="B132" i="17"/>
  <c r="B131" i="17"/>
  <c r="B130" i="17"/>
  <c r="B129" i="17"/>
  <c r="B128" i="17"/>
  <c r="B126" i="17"/>
  <c r="B125" i="17"/>
  <c r="U116" i="17"/>
  <c r="L116" i="17"/>
  <c r="M116" i="17" s="1"/>
  <c r="M115" i="17"/>
  <c r="U114" i="17"/>
  <c r="U113" i="17"/>
  <c r="L113" i="17"/>
  <c r="M113" i="17" s="1"/>
  <c r="M112" i="17"/>
  <c r="U111" i="17"/>
  <c r="U110" i="17"/>
  <c r="L110" i="17"/>
  <c r="M110" i="17" s="1"/>
  <c r="U109" i="17"/>
  <c r="L109" i="17"/>
  <c r="M109" i="17" s="1"/>
  <c r="U108" i="17"/>
  <c r="E108" i="17"/>
  <c r="C108" i="17"/>
  <c r="U107" i="17"/>
  <c r="G107" i="17"/>
  <c r="E107" i="17"/>
  <c r="C107" i="17"/>
  <c r="A107" i="17"/>
  <c r="U106" i="17"/>
  <c r="G106" i="17"/>
  <c r="E106" i="17"/>
  <c r="C106" i="17"/>
  <c r="A106" i="17"/>
  <c r="U105" i="17"/>
  <c r="L105" i="17"/>
  <c r="M105" i="17" s="1"/>
  <c r="G105" i="17"/>
  <c r="E105" i="17"/>
  <c r="C105" i="17"/>
  <c r="A105" i="17"/>
  <c r="G104" i="17"/>
  <c r="E104" i="17"/>
  <c r="C104" i="17"/>
  <c r="B97" i="17"/>
  <c r="B96" i="17"/>
  <c r="B95" i="17"/>
  <c r="B94" i="17"/>
  <c r="B93" i="17"/>
  <c r="B92" i="17"/>
  <c r="B91" i="17"/>
  <c r="B90" i="17"/>
  <c r="B89" i="17"/>
  <c r="B87" i="17"/>
  <c r="B86" i="17"/>
  <c r="U71" i="17"/>
  <c r="L71" i="17"/>
  <c r="M71" i="17" s="1"/>
  <c r="U32" i="17"/>
  <c r="L32" i="17"/>
  <c r="M32" i="17" s="1"/>
  <c r="U77" i="17"/>
  <c r="L77" i="17"/>
  <c r="M77" i="17" s="1"/>
  <c r="M76" i="17"/>
  <c r="U75" i="17"/>
  <c r="U74" i="17"/>
  <c r="L74" i="17"/>
  <c r="M74" i="17" s="1"/>
  <c r="M73" i="17"/>
  <c r="U72" i="17"/>
  <c r="U70" i="17"/>
  <c r="L70" i="17"/>
  <c r="M70" i="17" s="1"/>
  <c r="U69" i="17"/>
  <c r="E69" i="17"/>
  <c r="C69" i="17"/>
  <c r="U68" i="17"/>
  <c r="G68" i="17"/>
  <c r="E68" i="17"/>
  <c r="C68" i="17"/>
  <c r="A68" i="17"/>
  <c r="U67" i="17"/>
  <c r="G67" i="17"/>
  <c r="E67" i="17"/>
  <c r="C67" i="17"/>
  <c r="A67" i="17"/>
  <c r="U66" i="17"/>
  <c r="L66" i="17"/>
  <c r="M66" i="17" s="1"/>
  <c r="G66" i="17"/>
  <c r="E66" i="17"/>
  <c r="C66" i="17"/>
  <c r="A66" i="17"/>
  <c r="G65" i="17"/>
  <c r="E65" i="17"/>
  <c r="C65" i="17"/>
  <c r="B58" i="17"/>
  <c r="B57" i="17"/>
  <c r="B56" i="17"/>
  <c r="B55" i="17"/>
  <c r="B54" i="17"/>
  <c r="B53" i="17"/>
  <c r="B52" i="17"/>
  <c r="B51" i="17"/>
  <c r="B50" i="17"/>
  <c r="B48" i="17"/>
  <c r="B47" i="17"/>
  <c r="U38" i="17"/>
  <c r="L38" i="17"/>
  <c r="M38" i="17" s="1"/>
  <c r="M37" i="17"/>
  <c r="U36" i="17"/>
  <c r="U35" i="17"/>
  <c r="L35" i="17"/>
  <c r="M35" i="17" s="1"/>
  <c r="M34" i="17"/>
  <c r="U33" i="17"/>
  <c r="U31" i="17"/>
  <c r="L31" i="17"/>
  <c r="M31" i="17" s="1"/>
  <c r="U30" i="17"/>
  <c r="E30" i="17"/>
  <c r="C30" i="17"/>
  <c r="U29" i="17"/>
  <c r="G29" i="17"/>
  <c r="E29" i="17"/>
  <c r="C29" i="17"/>
  <c r="A29" i="17"/>
  <c r="U28" i="17"/>
  <c r="G28" i="17"/>
  <c r="E28" i="17"/>
  <c r="C28" i="17"/>
  <c r="A28" i="17"/>
  <c r="U27" i="17"/>
  <c r="G27" i="17"/>
  <c r="E27" i="17"/>
  <c r="C27" i="17"/>
  <c r="A27" i="17"/>
  <c r="G26" i="17"/>
  <c r="E26" i="17"/>
  <c r="C26" i="17"/>
  <c r="B19" i="17"/>
  <c r="B18" i="17"/>
  <c r="B17" i="17"/>
  <c r="B16" i="17"/>
  <c r="B15" i="17"/>
  <c r="B14" i="17"/>
  <c r="B13" i="17"/>
  <c r="B12" i="17"/>
  <c r="B11" i="17"/>
  <c r="B9" i="17"/>
  <c r="B8" i="17"/>
  <c r="L27" i="17" s="1"/>
  <c r="M27" i="17" s="1"/>
  <c r="U1456" i="16"/>
  <c r="U1455" i="16"/>
  <c r="U1454" i="16"/>
  <c r="C1454" i="16"/>
  <c r="U1453" i="16"/>
  <c r="G1453" i="16"/>
  <c r="E1453" i="16"/>
  <c r="C1453" i="16"/>
  <c r="A1453" i="16"/>
  <c r="U1452" i="16"/>
  <c r="U1451" i="16"/>
  <c r="L1451" i="16"/>
  <c r="M1451" i="16" s="1"/>
  <c r="G1450" i="16"/>
  <c r="E1450" i="16"/>
  <c r="C1450" i="16"/>
  <c r="B1444" i="16"/>
  <c r="B1443" i="16"/>
  <c r="B1442" i="16"/>
  <c r="B1441" i="16"/>
  <c r="B1440" i="16"/>
  <c r="B1439" i="16"/>
  <c r="B1438" i="16"/>
  <c r="B1437" i="16"/>
  <c r="B1446" i="16" s="1"/>
  <c r="B1436" i="16"/>
  <c r="B1434" i="16"/>
  <c r="B1433" i="16"/>
  <c r="U1424" i="16"/>
  <c r="U1423" i="16"/>
  <c r="U1422" i="16"/>
  <c r="U1421" i="16"/>
  <c r="C1421" i="16"/>
  <c r="U1420" i="16"/>
  <c r="G1420" i="16"/>
  <c r="E1420" i="16"/>
  <c r="C1420" i="16"/>
  <c r="A1420" i="16"/>
  <c r="U1419" i="16"/>
  <c r="G1419" i="16"/>
  <c r="E1419" i="16"/>
  <c r="C1419" i="16"/>
  <c r="A1419" i="16"/>
  <c r="U1418" i="16"/>
  <c r="U1417" i="16"/>
  <c r="L1417" i="16"/>
  <c r="M1417" i="16" s="1"/>
  <c r="G1416" i="16"/>
  <c r="E1416" i="16"/>
  <c r="C1416" i="16"/>
  <c r="B1410" i="16"/>
  <c r="B1409" i="16"/>
  <c r="K1453" i="16" s="1"/>
  <c r="B1408" i="16"/>
  <c r="B1407" i="16"/>
  <c r="B1406" i="16"/>
  <c r="B1405" i="16"/>
  <c r="B1404" i="16"/>
  <c r="B1403" i="16"/>
  <c r="B1412" i="16" s="1"/>
  <c r="B1402" i="16"/>
  <c r="B1400" i="16"/>
  <c r="B1399" i="16"/>
  <c r="U1390" i="16"/>
  <c r="U1389" i="16"/>
  <c r="U1388" i="16"/>
  <c r="C1388" i="16"/>
  <c r="U1387" i="16"/>
  <c r="G1387" i="16"/>
  <c r="E1387" i="16"/>
  <c r="C1387" i="16"/>
  <c r="A1387" i="16"/>
  <c r="U1386" i="16"/>
  <c r="U1385" i="16"/>
  <c r="L1385" i="16"/>
  <c r="M1385" i="16" s="1"/>
  <c r="G1384" i="16"/>
  <c r="E1384" i="16"/>
  <c r="C1384" i="16"/>
  <c r="B1378" i="16"/>
  <c r="B1377" i="16"/>
  <c r="B1376" i="16"/>
  <c r="B1375" i="16"/>
  <c r="B1374" i="16"/>
  <c r="B1373" i="16"/>
  <c r="B1372" i="16"/>
  <c r="B1371" i="16"/>
  <c r="B1380" i="16" s="1"/>
  <c r="B1370" i="16"/>
  <c r="B1368" i="16"/>
  <c r="B1367" i="16"/>
  <c r="U1358" i="16"/>
  <c r="U1357" i="16"/>
  <c r="U1356" i="16"/>
  <c r="U1355" i="16"/>
  <c r="C1355" i="16"/>
  <c r="U1354" i="16"/>
  <c r="G1354" i="16"/>
  <c r="E1354" i="16"/>
  <c r="C1354" i="16"/>
  <c r="A1354" i="16"/>
  <c r="U1353" i="16"/>
  <c r="G1353" i="16"/>
  <c r="E1353" i="16"/>
  <c r="C1353" i="16"/>
  <c r="A1353" i="16"/>
  <c r="U1352" i="16"/>
  <c r="U1351" i="16"/>
  <c r="L1351" i="16"/>
  <c r="M1351" i="16" s="1"/>
  <c r="G1350" i="16"/>
  <c r="E1350" i="16"/>
  <c r="C1350" i="16"/>
  <c r="B1344" i="16"/>
  <c r="B1343" i="16"/>
  <c r="K1387" i="16" s="1"/>
  <c r="B1342" i="16"/>
  <c r="B1341" i="16"/>
  <c r="B1340" i="16"/>
  <c r="B1339" i="16"/>
  <c r="B1338" i="16"/>
  <c r="B1337" i="16"/>
  <c r="B1345" i="16" s="1"/>
  <c r="B1336" i="16"/>
  <c r="B1334" i="16"/>
  <c r="B1333" i="16"/>
  <c r="U1324" i="16"/>
  <c r="U1323" i="16"/>
  <c r="U1322" i="16"/>
  <c r="C1322" i="16"/>
  <c r="U1321" i="16"/>
  <c r="G1321" i="16"/>
  <c r="E1321" i="16"/>
  <c r="C1321" i="16"/>
  <c r="A1321" i="16"/>
  <c r="U1320" i="16"/>
  <c r="U1319" i="16"/>
  <c r="L1319" i="16"/>
  <c r="M1319" i="16" s="1"/>
  <c r="G1318" i="16"/>
  <c r="E1318" i="16"/>
  <c r="C1318" i="16"/>
  <c r="B1312" i="16"/>
  <c r="B1311" i="16"/>
  <c r="B1310" i="16"/>
  <c r="B1309" i="16"/>
  <c r="B1308" i="16"/>
  <c r="B1307" i="16"/>
  <c r="B1306" i="16"/>
  <c r="B1305" i="16"/>
  <c r="B1314" i="16" s="1"/>
  <c r="B1304" i="16"/>
  <c r="B1302" i="16"/>
  <c r="B1301" i="16"/>
  <c r="U1292" i="16"/>
  <c r="U1291" i="16"/>
  <c r="U1290" i="16"/>
  <c r="U1289" i="16"/>
  <c r="C1289" i="16"/>
  <c r="U1288" i="16"/>
  <c r="G1288" i="16"/>
  <c r="E1288" i="16"/>
  <c r="C1288" i="16"/>
  <c r="A1288" i="16"/>
  <c r="U1287" i="16"/>
  <c r="G1287" i="16"/>
  <c r="E1287" i="16"/>
  <c r="C1287" i="16"/>
  <c r="A1287" i="16"/>
  <c r="U1286" i="16"/>
  <c r="U1285" i="16"/>
  <c r="L1285" i="16"/>
  <c r="M1285" i="16" s="1"/>
  <c r="G1284" i="16"/>
  <c r="E1284" i="16"/>
  <c r="C1284" i="16"/>
  <c r="B1278" i="16"/>
  <c r="B1277" i="16"/>
  <c r="K1321" i="16" s="1"/>
  <c r="B1276" i="16"/>
  <c r="B1275" i="16"/>
  <c r="B1274" i="16"/>
  <c r="B1273" i="16"/>
  <c r="B1272" i="16"/>
  <c r="B1271" i="16"/>
  <c r="B1279" i="16" s="1"/>
  <c r="B1270" i="16"/>
  <c r="B1268" i="16"/>
  <c r="B1267" i="16"/>
  <c r="U1258" i="16"/>
  <c r="U1257" i="16"/>
  <c r="U1256" i="16"/>
  <c r="C1256" i="16"/>
  <c r="U1255" i="16"/>
  <c r="G1255" i="16"/>
  <c r="E1255" i="16"/>
  <c r="C1255" i="16"/>
  <c r="A1255" i="16"/>
  <c r="U1254" i="16"/>
  <c r="U1253" i="16"/>
  <c r="L1253" i="16"/>
  <c r="M1253" i="16" s="1"/>
  <c r="G1252" i="16"/>
  <c r="E1252" i="16"/>
  <c r="C1252" i="16"/>
  <c r="B1246" i="16"/>
  <c r="B1245" i="16"/>
  <c r="B1244" i="16"/>
  <c r="B1243" i="16"/>
  <c r="B1242" i="16"/>
  <c r="B1241" i="16"/>
  <c r="B1240" i="16"/>
  <c r="B1239" i="16"/>
  <c r="B1247" i="16" s="1"/>
  <c r="B1238" i="16"/>
  <c r="B1236" i="16"/>
  <c r="B1235" i="16"/>
  <c r="U1226" i="16"/>
  <c r="U1225" i="16"/>
  <c r="U1224" i="16"/>
  <c r="U1223" i="16"/>
  <c r="C1223" i="16"/>
  <c r="U1222" i="16"/>
  <c r="G1222" i="16"/>
  <c r="E1222" i="16"/>
  <c r="C1222" i="16"/>
  <c r="A1222" i="16"/>
  <c r="U1221" i="16"/>
  <c r="G1221" i="16"/>
  <c r="E1221" i="16"/>
  <c r="C1221" i="16"/>
  <c r="A1221" i="16"/>
  <c r="U1220" i="16"/>
  <c r="U1219" i="16"/>
  <c r="L1219" i="16"/>
  <c r="M1219" i="16" s="1"/>
  <c r="G1218" i="16"/>
  <c r="E1218" i="16"/>
  <c r="C1218" i="16"/>
  <c r="B1212" i="16"/>
  <c r="B1211" i="16"/>
  <c r="K1255" i="16" s="1"/>
  <c r="B1210" i="16"/>
  <c r="B1209" i="16"/>
  <c r="B1208" i="16"/>
  <c r="B1207" i="16"/>
  <c r="B1206" i="16"/>
  <c r="B1205" i="16"/>
  <c r="B1213" i="16" s="1"/>
  <c r="B1204" i="16"/>
  <c r="B1202" i="16"/>
  <c r="B1201" i="16"/>
  <c r="U1192" i="16"/>
  <c r="U1191" i="16"/>
  <c r="U1190" i="16"/>
  <c r="C1190" i="16"/>
  <c r="U1189" i="16"/>
  <c r="G1189" i="16"/>
  <c r="E1189" i="16"/>
  <c r="C1189" i="16"/>
  <c r="A1189" i="16"/>
  <c r="U1188" i="16"/>
  <c r="U1187" i="16"/>
  <c r="L1187" i="16"/>
  <c r="M1187" i="16" s="1"/>
  <c r="G1186" i="16"/>
  <c r="E1186" i="16"/>
  <c r="C1186" i="16"/>
  <c r="B1180" i="16"/>
  <c r="B1179" i="16"/>
  <c r="B1178" i="16"/>
  <c r="B1177" i="16"/>
  <c r="B1176" i="16"/>
  <c r="B1175" i="16"/>
  <c r="B1174" i="16"/>
  <c r="B1173" i="16"/>
  <c r="B1182" i="16" s="1"/>
  <c r="B1172" i="16"/>
  <c r="B1170" i="16"/>
  <c r="B1169" i="16"/>
  <c r="U1160" i="16"/>
  <c r="U1159" i="16"/>
  <c r="U1158" i="16"/>
  <c r="U1157" i="16"/>
  <c r="C1157" i="16"/>
  <c r="U1156" i="16"/>
  <c r="G1156" i="16"/>
  <c r="E1156" i="16"/>
  <c r="C1156" i="16"/>
  <c r="A1156" i="16"/>
  <c r="U1155" i="16"/>
  <c r="G1155" i="16"/>
  <c r="E1155" i="16"/>
  <c r="C1155" i="16"/>
  <c r="A1155" i="16"/>
  <c r="U1154" i="16"/>
  <c r="U1153" i="16"/>
  <c r="L1153" i="16"/>
  <c r="M1153" i="16" s="1"/>
  <c r="G1152" i="16"/>
  <c r="E1152" i="16"/>
  <c r="C1152" i="16"/>
  <c r="B1146" i="16"/>
  <c r="B1145" i="16"/>
  <c r="K1189" i="16" s="1"/>
  <c r="B1144" i="16"/>
  <c r="B1143" i="16"/>
  <c r="B1142" i="16"/>
  <c r="B1141" i="16"/>
  <c r="B1140" i="16"/>
  <c r="B1139" i="16"/>
  <c r="B1147" i="16" s="1"/>
  <c r="B1138" i="16"/>
  <c r="B1136" i="16"/>
  <c r="B1135" i="16"/>
  <c r="U1126" i="16"/>
  <c r="U1125" i="16"/>
  <c r="U1124" i="16"/>
  <c r="C1124" i="16"/>
  <c r="U1123" i="16"/>
  <c r="G1123" i="16"/>
  <c r="E1123" i="16"/>
  <c r="C1123" i="16"/>
  <c r="A1123" i="16"/>
  <c r="U1122" i="16"/>
  <c r="U1121" i="16"/>
  <c r="L1121" i="16"/>
  <c r="M1121" i="16" s="1"/>
  <c r="G1120" i="16"/>
  <c r="E1120" i="16"/>
  <c r="C1120" i="16"/>
  <c r="B1114" i="16"/>
  <c r="B1113" i="16"/>
  <c r="B1112" i="16"/>
  <c r="B1111" i="16"/>
  <c r="B1110" i="16"/>
  <c r="B1109" i="16"/>
  <c r="B1108" i="16"/>
  <c r="B1107" i="16"/>
  <c r="B1116" i="16" s="1"/>
  <c r="B1106" i="16"/>
  <c r="B1104" i="16"/>
  <c r="B1103" i="16"/>
  <c r="U1094" i="16"/>
  <c r="U1093" i="16"/>
  <c r="U1092" i="16"/>
  <c r="U1091" i="16"/>
  <c r="C1091" i="16"/>
  <c r="U1090" i="16"/>
  <c r="G1090" i="16"/>
  <c r="E1090" i="16"/>
  <c r="C1090" i="16"/>
  <c r="A1090" i="16"/>
  <c r="U1089" i="16"/>
  <c r="G1089" i="16"/>
  <c r="E1089" i="16"/>
  <c r="C1089" i="16"/>
  <c r="A1089" i="16"/>
  <c r="U1088" i="16"/>
  <c r="U1087" i="16"/>
  <c r="L1087" i="16"/>
  <c r="M1087" i="16" s="1"/>
  <c r="G1086" i="16"/>
  <c r="E1086" i="16"/>
  <c r="C1086" i="16"/>
  <c r="B1080" i="16"/>
  <c r="B1079" i="16"/>
  <c r="K1123" i="16" s="1"/>
  <c r="B1078" i="16"/>
  <c r="B1077" i="16"/>
  <c r="B1076" i="16"/>
  <c r="B1075" i="16"/>
  <c r="B1074" i="16"/>
  <c r="B1073" i="16"/>
  <c r="B1081" i="16" s="1"/>
  <c r="B1072" i="16"/>
  <c r="B1070" i="16"/>
  <c r="B1069" i="16"/>
  <c r="U1060" i="16"/>
  <c r="U1059" i="16"/>
  <c r="U1058" i="16"/>
  <c r="C1058" i="16"/>
  <c r="U1057" i="16"/>
  <c r="G1057" i="16"/>
  <c r="E1057" i="16"/>
  <c r="C1057" i="16"/>
  <c r="A1057" i="16"/>
  <c r="U1056" i="16"/>
  <c r="U1055" i="16"/>
  <c r="L1055" i="16"/>
  <c r="M1055" i="16" s="1"/>
  <c r="G1054" i="16"/>
  <c r="E1054" i="16"/>
  <c r="C1054" i="16"/>
  <c r="B1048" i="16"/>
  <c r="B1047" i="16"/>
  <c r="B1046" i="16"/>
  <c r="B1045" i="16"/>
  <c r="B1044" i="16"/>
  <c r="B1043" i="16"/>
  <c r="B1042" i="16"/>
  <c r="B1041" i="16"/>
  <c r="B1050" i="16" s="1"/>
  <c r="B1040" i="16"/>
  <c r="B1038" i="16"/>
  <c r="B1037" i="16"/>
  <c r="U1028" i="16"/>
  <c r="U1027" i="16"/>
  <c r="U1026" i="16"/>
  <c r="U1025" i="16"/>
  <c r="C1025" i="16"/>
  <c r="U1024" i="16"/>
  <c r="G1024" i="16"/>
  <c r="E1024" i="16"/>
  <c r="C1024" i="16"/>
  <c r="A1024" i="16"/>
  <c r="U1023" i="16"/>
  <c r="G1023" i="16"/>
  <c r="E1023" i="16"/>
  <c r="C1023" i="16"/>
  <c r="A1023" i="16"/>
  <c r="U1022" i="16"/>
  <c r="U1021" i="16"/>
  <c r="L1021" i="16"/>
  <c r="M1021" i="16" s="1"/>
  <c r="G1020" i="16"/>
  <c r="E1020" i="16"/>
  <c r="C1020" i="16"/>
  <c r="B1014" i="16"/>
  <c r="B1013" i="16"/>
  <c r="K1057" i="16" s="1"/>
  <c r="B1012" i="16"/>
  <c r="B1011" i="16"/>
  <c r="B1010" i="16"/>
  <c r="B1009" i="16"/>
  <c r="B1008" i="16"/>
  <c r="B1007" i="16"/>
  <c r="B1015" i="16" s="1"/>
  <c r="B1006" i="16"/>
  <c r="B1004" i="16"/>
  <c r="B1003" i="16"/>
  <c r="U994" i="16"/>
  <c r="U993" i="16"/>
  <c r="U992" i="16"/>
  <c r="C992" i="16"/>
  <c r="U991" i="16"/>
  <c r="G991" i="16"/>
  <c r="E991" i="16"/>
  <c r="C991" i="16"/>
  <c r="A991" i="16"/>
  <c r="U990" i="16"/>
  <c r="U989" i="16"/>
  <c r="L989" i="16"/>
  <c r="M989" i="16" s="1"/>
  <c r="G988" i="16"/>
  <c r="E988" i="16"/>
  <c r="C988" i="16"/>
  <c r="B982" i="16"/>
  <c r="B981" i="16"/>
  <c r="B980" i="16"/>
  <c r="B979" i="16"/>
  <c r="B978" i="16"/>
  <c r="B977" i="16"/>
  <c r="B976" i="16"/>
  <c r="B975" i="16"/>
  <c r="B984" i="16" s="1"/>
  <c r="B974" i="16"/>
  <c r="B972" i="16"/>
  <c r="B971" i="16"/>
  <c r="U962" i="16"/>
  <c r="U961" i="16"/>
  <c r="U960" i="16"/>
  <c r="U959" i="16"/>
  <c r="C959" i="16"/>
  <c r="U958" i="16"/>
  <c r="G958" i="16"/>
  <c r="E958" i="16"/>
  <c r="C958" i="16"/>
  <c r="A958" i="16"/>
  <c r="U957" i="16"/>
  <c r="G957" i="16"/>
  <c r="E957" i="16"/>
  <c r="C957" i="16"/>
  <c r="A957" i="16"/>
  <c r="U956" i="16"/>
  <c r="U955" i="16"/>
  <c r="L955" i="16"/>
  <c r="M955" i="16" s="1"/>
  <c r="G954" i="16"/>
  <c r="E954" i="16"/>
  <c r="C954" i="16"/>
  <c r="B948" i="16"/>
  <c r="B947" i="16"/>
  <c r="K991" i="16" s="1"/>
  <c r="B946" i="16"/>
  <c r="B945" i="16"/>
  <c r="B944" i="16"/>
  <c r="B943" i="16"/>
  <c r="B942" i="16"/>
  <c r="B941" i="16"/>
  <c r="B949" i="16" s="1"/>
  <c r="B940" i="16"/>
  <c r="B938" i="16"/>
  <c r="B937" i="16"/>
  <c r="U928" i="16"/>
  <c r="U927" i="16"/>
  <c r="U926" i="16"/>
  <c r="C926" i="16"/>
  <c r="U925" i="16"/>
  <c r="G925" i="16"/>
  <c r="E925" i="16"/>
  <c r="C925" i="16"/>
  <c r="A925" i="16"/>
  <c r="U924" i="16"/>
  <c r="U923" i="16"/>
  <c r="L923" i="16"/>
  <c r="M923" i="16" s="1"/>
  <c r="G922" i="16"/>
  <c r="E922" i="16"/>
  <c r="C922" i="16"/>
  <c r="B916" i="16"/>
  <c r="B915" i="16"/>
  <c r="B914" i="16"/>
  <c r="B913" i="16"/>
  <c r="B912" i="16"/>
  <c r="B911" i="16"/>
  <c r="B910" i="16"/>
  <c r="B909" i="16"/>
  <c r="B918" i="16" s="1"/>
  <c r="B908" i="16"/>
  <c r="B906" i="16"/>
  <c r="B905" i="16"/>
  <c r="U896" i="16"/>
  <c r="U895" i="16"/>
  <c r="U894" i="16"/>
  <c r="U893" i="16"/>
  <c r="C893" i="16"/>
  <c r="U892" i="16"/>
  <c r="G892" i="16"/>
  <c r="E892" i="16"/>
  <c r="C892" i="16"/>
  <c r="A892" i="16"/>
  <c r="U891" i="16"/>
  <c r="G891" i="16"/>
  <c r="E891" i="16"/>
  <c r="C891" i="16"/>
  <c r="A891" i="16"/>
  <c r="U890" i="16"/>
  <c r="U889" i="16"/>
  <c r="L889" i="16"/>
  <c r="M889" i="16" s="1"/>
  <c r="G888" i="16"/>
  <c r="E888" i="16"/>
  <c r="C888" i="16"/>
  <c r="B882" i="16"/>
  <c r="B881" i="16"/>
  <c r="K925" i="16" s="1"/>
  <c r="B880" i="16"/>
  <c r="B879" i="16"/>
  <c r="B878" i="16"/>
  <c r="B877" i="16"/>
  <c r="B876" i="16"/>
  <c r="B875" i="16"/>
  <c r="B883" i="16" s="1"/>
  <c r="B874" i="16"/>
  <c r="B872" i="16"/>
  <c r="B871" i="16"/>
  <c r="U862" i="16"/>
  <c r="U861" i="16"/>
  <c r="U860" i="16"/>
  <c r="C860" i="16"/>
  <c r="U859" i="16"/>
  <c r="G859" i="16"/>
  <c r="E859" i="16"/>
  <c r="C859" i="16"/>
  <c r="A859" i="16"/>
  <c r="U858" i="16"/>
  <c r="U857" i="16"/>
  <c r="L857" i="16"/>
  <c r="M857" i="16" s="1"/>
  <c r="G856" i="16"/>
  <c r="E856" i="16"/>
  <c r="C856" i="16"/>
  <c r="B850" i="16"/>
  <c r="B849" i="16"/>
  <c r="B848" i="16"/>
  <c r="B847" i="16"/>
  <c r="B846" i="16"/>
  <c r="B845" i="16"/>
  <c r="B844" i="16"/>
  <c r="B843" i="16"/>
  <c r="B852" i="16" s="1"/>
  <c r="B842" i="16"/>
  <c r="B840" i="16"/>
  <c r="B839" i="16"/>
  <c r="U830" i="16"/>
  <c r="U829" i="16"/>
  <c r="U828" i="16"/>
  <c r="U827" i="16"/>
  <c r="C827" i="16"/>
  <c r="U826" i="16"/>
  <c r="G826" i="16"/>
  <c r="E826" i="16"/>
  <c r="C826" i="16"/>
  <c r="A826" i="16"/>
  <c r="U825" i="16"/>
  <c r="G825" i="16"/>
  <c r="E825" i="16"/>
  <c r="C825" i="16"/>
  <c r="A825" i="16"/>
  <c r="U824" i="16"/>
  <c r="U823" i="16"/>
  <c r="L823" i="16"/>
  <c r="M823" i="16" s="1"/>
  <c r="G822" i="16"/>
  <c r="E822" i="16"/>
  <c r="C822" i="16"/>
  <c r="B816" i="16"/>
  <c r="B815" i="16"/>
  <c r="K859" i="16" s="1"/>
  <c r="B814" i="16"/>
  <c r="B813" i="16"/>
  <c r="B812" i="16"/>
  <c r="B811" i="16"/>
  <c r="B810" i="16"/>
  <c r="B809" i="16"/>
  <c r="B817" i="16" s="1"/>
  <c r="B808" i="16"/>
  <c r="B806" i="16"/>
  <c r="B805" i="16"/>
  <c r="U796" i="16"/>
  <c r="U795" i="16"/>
  <c r="U794" i="16"/>
  <c r="C794" i="16"/>
  <c r="U793" i="16"/>
  <c r="G793" i="16"/>
  <c r="E793" i="16"/>
  <c r="C793" i="16"/>
  <c r="A793" i="16"/>
  <c r="U792" i="16"/>
  <c r="U791" i="16"/>
  <c r="L791" i="16"/>
  <c r="M791" i="16" s="1"/>
  <c r="G790" i="16"/>
  <c r="E790" i="16"/>
  <c r="C790" i="16"/>
  <c r="B784" i="16"/>
  <c r="B783" i="16"/>
  <c r="B782" i="16"/>
  <c r="B781" i="16"/>
  <c r="B780" i="16"/>
  <c r="B779" i="16"/>
  <c r="B778" i="16"/>
  <c r="B777" i="16"/>
  <c r="B786" i="16" s="1"/>
  <c r="B776" i="16"/>
  <c r="B774" i="16"/>
  <c r="B773" i="16"/>
  <c r="U764" i="16"/>
  <c r="U763" i="16"/>
  <c r="U762" i="16"/>
  <c r="U761" i="16"/>
  <c r="C761" i="16"/>
  <c r="U760" i="16"/>
  <c r="G760" i="16"/>
  <c r="E760" i="16"/>
  <c r="C760" i="16"/>
  <c r="A760" i="16"/>
  <c r="U759" i="16"/>
  <c r="G759" i="16"/>
  <c r="E759" i="16"/>
  <c r="C759" i="16"/>
  <c r="A759" i="16"/>
  <c r="U758" i="16"/>
  <c r="U757" i="16"/>
  <c r="L757" i="16"/>
  <c r="M757" i="16" s="1"/>
  <c r="G756" i="16"/>
  <c r="E756" i="16"/>
  <c r="C756" i="16"/>
  <c r="B750" i="16"/>
  <c r="B749" i="16"/>
  <c r="K793" i="16" s="1"/>
  <c r="B748" i="16"/>
  <c r="B747" i="16"/>
  <c r="B746" i="16"/>
  <c r="B745" i="16"/>
  <c r="B744" i="16"/>
  <c r="B743" i="16"/>
  <c r="B752" i="16" s="1"/>
  <c r="B742" i="16"/>
  <c r="B740" i="16"/>
  <c r="B739" i="16"/>
  <c r="U729" i="16"/>
  <c r="U728" i="16"/>
  <c r="U727" i="16"/>
  <c r="C727" i="16"/>
  <c r="U726" i="16"/>
  <c r="G726" i="16"/>
  <c r="E726" i="16"/>
  <c r="C726" i="16"/>
  <c r="A726" i="16"/>
  <c r="U725" i="16"/>
  <c r="U724" i="16"/>
  <c r="L724" i="16"/>
  <c r="M724" i="16" s="1"/>
  <c r="G723" i="16"/>
  <c r="E723" i="16"/>
  <c r="C723" i="16"/>
  <c r="B717" i="16"/>
  <c r="B716" i="16"/>
  <c r="B715" i="16"/>
  <c r="B714" i="16"/>
  <c r="B713" i="16"/>
  <c r="B712" i="16"/>
  <c r="B711" i="16"/>
  <c r="B710" i="16"/>
  <c r="B719" i="16" s="1"/>
  <c r="B709" i="16"/>
  <c r="B707" i="16"/>
  <c r="B706" i="16"/>
  <c r="U697" i="16"/>
  <c r="U696" i="16"/>
  <c r="U695" i="16"/>
  <c r="U694" i="16"/>
  <c r="C694" i="16"/>
  <c r="U693" i="16"/>
  <c r="G693" i="16"/>
  <c r="E693" i="16"/>
  <c r="C693" i="16"/>
  <c r="A693" i="16"/>
  <c r="U692" i="16"/>
  <c r="G692" i="16"/>
  <c r="E692" i="16"/>
  <c r="C692" i="16"/>
  <c r="A692" i="16"/>
  <c r="U691" i="16"/>
  <c r="U690" i="16"/>
  <c r="L690" i="16"/>
  <c r="M690" i="16" s="1"/>
  <c r="G689" i="16"/>
  <c r="E689" i="16"/>
  <c r="C689" i="16"/>
  <c r="B683" i="16"/>
  <c r="B682" i="16"/>
  <c r="K726" i="16" s="1"/>
  <c r="B681" i="16"/>
  <c r="B680" i="16"/>
  <c r="B679" i="16"/>
  <c r="B678" i="16"/>
  <c r="B677" i="16"/>
  <c r="B676" i="16"/>
  <c r="B684" i="16" s="1"/>
  <c r="B675" i="16"/>
  <c r="B673" i="16"/>
  <c r="B672" i="16"/>
  <c r="U663" i="16"/>
  <c r="U662" i="16"/>
  <c r="U661" i="16"/>
  <c r="C661" i="16"/>
  <c r="U660" i="16"/>
  <c r="G660" i="16"/>
  <c r="E660" i="16"/>
  <c r="C660" i="16"/>
  <c r="A660" i="16"/>
  <c r="U659" i="16"/>
  <c r="U658" i="16"/>
  <c r="L658" i="16"/>
  <c r="M658" i="16" s="1"/>
  <c r="G657" i="16"/>
  <c r="E657" i="16"/>
  <c r="C657" i="16"/>
  <c r="B651" i="16"/>
  <c r="B650" i="16"/>
  <c r="B649" i="16"/>
  <c r="B648" i="16"/>
  <c r="B647" i="16"/>
  <c r="B646" i="16"/>
  <c r="B645" i="16"/>
  <c r="B644" i="16"/>
  <c r="B653" i="16" s="1"/>
  <c r="B643" i="16"/>
  <c r="B641" i="16"/>
  <c r="B640" i="16"/>
  <c r="U631" i="16"/>
  <c r="U630" i="16"/>
  <c r="U629" i="16"/>
  <c r="U628" i="16"/>
  <c r="C628" i="16"/>
  <c r="U627" i="16"/>
  <c r="G627" i="16"/>
  <c r="E627" i="16"/>
  <c r="C627" i="16"/>
  <c r="A627" i="16"/>
  <c r="U626" i="16"/>
  <c r="G626" i="16"/>
  <c r="E626" i="16"/>
  <c r="C626" i="16"/>
  <c r="A626" i="16"/>
  <c r="U625" i="16"/>
  <c r="U624" i="16"/>
  <c r="L624" i="16"/>
  <c r="M624" i="16" s="1"/>
  <c r="G623" i="16"/>
  <c r="E623" i="16"/>
  <c r="C623" i="16"/>
  <c r="B617" i="16"/>
  <c r="B616" i="16"/>
  <c r="K660" i="16" s="1"/>
  <c r="B615" i="16"/>
  <c r="B614" i="16"/>
  <c r="B613" i="16"/>
  <c r="B612" i="16"/>
  <c r="B611" i="16"/>
  <c r="B610" i="16"/>
  <c r="B618" i="16" s="1"/>
  <c r="B609" i="16"/>
  <c r="B607" i="16"/>
  <c r="B606" i="16"/>
  <c r="U597" i="16"/>
  <c r="U596" i="16"/>
  <c r="U595" i="16"/>
  <c r="C595" i="16"/>
  <c r="U594" i="16"/>
  <c r="G594" i="16"/>
  <c r="E594" i="16"/>
  <c r="C594" i="16"/>
  <c r="A594" i="16"/>
  <c r="U593" i="16"/>
  <c r="U592" i="16"/>
  <c r="L592" i="16"/>
  <c r="M592" i="16" s="1"/>
  <c r="G591" i="16"/>
  <c r="E591" i="16"/>
  <c r="C591" i="16"/>
  <c r="B585" i="16"/>
  <c r="B584" i="16"/>
  <c r="B583" i="16"/>
  <c r="B582" i="16"/>
  <c r="B581" i="16"/>
  <c r="B580" i="16"/>
  <c r="B579" i="16"/>
  <c r="B578" i="16"/>
  <c r="B587" i="16" s="1"/>
  <c r="B577" i="16"/>
  <c r="B575" i="16"/>
  <c r="B574" i="16"/>
  <c r="U565" i="16"/>
  <c r="U564" i="16"/>
  <c r="U563" i="16"/>
  <c r="U562" i="16"/>
  <c r="C562" i="16"/>
  <c r="U561" i="16"/>
  <c r="G561" i="16"/>
  <c r="E561" i="16"/>
  <c r="C561" i="16"/>
  <c r="A561" i="16"/>
  <c r="U560" i="16"/>
  <c r="G560" i="16"/>
  <c r="E560" i="16"/>
  <c r="C560" i="16"/>
  <c r="A560" i="16"/>
  <c r="U559" i="16"/>
  <c r="U558" i="16"/>
  <c r="L558" i="16"/>
  <c r="M558" i="16" s="1"/>
  <c r="G557" i="16"/>
  <c r="E557" i="16"/>
  <c r="C557" i="16"/>
  <c r="B551" i="16"/>
  <c r="B550" i="16"/>
  <c r="K594" i="16" s="1"/>
  <c r="B549" i="16"/>
  <c r="B548" i="16"/>
  <c r="B547" i="16"/>
  <c r="B546" i="16"/>
  <c r="B545" i="16"/>
  <c r="B544" i="16"/>
  <c r="B552" i="16" s="1"/>
  <c r="B543" i="16"/>
  <c r="B541" i="16"/>
  <c r="B540" i="16"/>
  <c r="U531" i="16"/>
  <c r="U530" i="16"/>
  <c r="U529" i="16"/>
  <c r="C529" i="16"/>
  <c r="U528" i="16"/>
  <c r="G528" i="16"/>
  <c r="E528" i="16"/>
  <c r="C528" i="16"/>
  <c r="A528" i="16"/>
  <c r="U527" i="16"/>
  <c r="U526" i="16"/>
  <c r="L526" i="16"/>
  <c r="M526" i="16" s="1"/>
  <c r="G525" i="16"/>
  <c r="E525" i="16"/>
  <c r="C525" i="16"/>
  <c r="B519" i="16"/>
  <c r="B518" i="16"/>
  <c r="B517" i="16"/>
  <c r="B516" i="16"/>
  <c r="B515" i="16"/>
  <c r="B514" i="16"/>
  <c r="B513" i="16"/>
  <c r="B512" i="16"/>
  <c r="B521" i="16" s="1"/>
  <c r="B511" i="16"/>
  <c r="B509" i="16"/>
  <c r="B508" i="16"/>
  <c r="U499" i="16"/>
  <c r="U498" i="16"/>
  <c r="U497" i="16"/>
  <c r="U496" i="16"/>
  <c r="C496" i="16"/>
  <c r="U495" i="16"/>
  <c r="G495" i="16"/>
  <c r="E495" i="16"/>
  <c r="C495" i="16"/>
  <c r="A495" i="16"/>
  <c r="U494" i="16"/>
  <c r="G494" i="16"/>
  <c r="E494" i="16"/>
  <c r="C494" i="16"/>
  <c r="A494" i="16"/>
  <c r="U493" i="16"/>
  <c r="U492" i="16"/>
  <c r="L492" i="16"/>
  <c r="M492" i="16" s="1"/>
  <c r="G491" i="16"/>
  <c r="E491" i="16"/>
  <c r="C491" i="16"/>
  <c r="B485" i="16"/>
  <c r="B484" i="16"/>
  <c r="K528" i="16" s="1"/>
  <c r="B483" i="16"/>
  <c r="B482" i="16"/>
  <c r="B481" i="16"/>
  <c r="B480" i="16"/>
  <c r="B479" i="16"/>
  <c r="B478" i="16"/>
  <c r="B486" i="16" s="1"/>
  <c r="B477" i="16"/>
  <c r="B475" i="16"/>
  <c r="B474" i="16"/>
  <c r="U461" i="16"/>
  <c r="G461" i="16"/>
  <c r="E461" i="16"/>
  <c r="C461" i="16"/>
  <c r="A461" i="16"/>
  <c r="U395" i="16"/>
  <c r="G395" i="16"/>
  <c r="E395" i="16"/>
  <c r="C395" i="16"/>
  <c r="A395" i="16"/>
  <c r="U329" i="16"/>
  <c r="G329" i="16"/>
  <c r="E329" i="16"/>
  <c r="C329" i="16"/>
  <c r="A329" i="16"/>
  <c r="U263" i="16"/>
  <c r="G263" i="16"/>
  <c r="E263" i="16"/>
  <c r="C263" i="16"/>
  <c r="A263" i="16"/>
  <c r="U197" i="16"/>
  <c r="G197" i="16"/>
  <c r="E197" i="16"/>
  <c r="C197" i="16"/>
  <c r="A197" i="16"/>
  <c r="U130" i="16"/>
  <c r="G130" i="16"/>
  <c r="E130" i="16"/>
  <c r="C130" i="16"/>
  <c r="A130" i="16"/>
  <c r="U64" i="16"/>
  <c r="G64" i="16"/>
  <c r="E64" i="16"/>
  <c r="C64" i="16"/>
  <c r="A64" i="16"/>
  <c r="B445" i="16"/>
  <c r="B454" i="16" s="1"/>
  <c r="B446" i="16"/>
  <c r="U464" i="16"/>
  <c r="U463" i="16"/>
  <c r="U462" i="16"/>
  <c r="C462" i="16"/>
  <c r="U460" i="16"/>
  <c r="U459" i="16"/>
  <c r="L459" i="16"/>
  <c r="M459" i="16" s="1"/>
  <c r="G458" i="16"/>
  <c r="E458" i="16"/>
  <c r="C458" i="16"/>
  <c r="B452" i="16"/>
  <c r="B451" i="16"/>
  <c r="B450" i="16"/>
  <c r="B449" i="16"/>
  <c r="B448" i="16"/>
  <c r="B447" i="16"/>
  <c r="B444" i="16"/>
  <c r="B442" i="16"/>
  <c r="B441" i="16"/>
  <c r="U432" i="16"/>
  <c r="U431" i="16"/>
  <c r="U430" i="16"/>
  <c r="U429" i="16"/>
  <c r="C429" i="16"/>
  <c r="U428" i="16"/>
  <c r="G428" i="16"/>
  <c r="E428" i="16"/>
  <c r="C428" i="16"/>
  <c r="A428" i="16"/>
  <c r="U427" i="16"/>
  <c r="G427" i="16"/>
  <c r="E427" i="16"/>
  <c r="C427" i="16"/>
  <c r="A427" i="16"/>
  <c r="U426" i="16"/>
  <c r="U425" i="16"/>
  <c r="L425" i="16"/>
  <c r="M425" i="16" s="1"/>
  <c r="G424" i="16"/>
  <c r="E424" i="16"/>
  <c r="C424" i="16"/>
  <c r="B418" i="16"/>
  <c r="B417" i="16"/>
  <c r="K461" i="16" s="1"/>
  <c r="B416" i="16"/>
  <c r="B415" i="16"/>
  <c r="B414" i="16"/>
  <c r="B413" i="16"/>
  <c r="B412" i="16"/>
  <c r="B411" i="16"/>
  <c r="B419" i="16" s="1"/>
  <c r="B410" i="16"/>
  <c r="B408" i="16"/>
  <c r="B407" i="16"/>
  <c r="U398" i="16"/>
  <c r="U397" i="16"/>
  <c r="U396" i="16"/>
  <c r="C396" i="16"/>
  <c r="U394" i="16"/>
  <c r="U393" i="16"/>
  <c r="L393" i="16"/>
  <c r="M393" i="16" s="1"/>
  <c r="G392" i="16"/>
  <c r="E392" i="16"/>
  <c r="C392" i="16"/>
  <c r="B388" i="16"/>
  <c r="B387" i="16"/>
  <c r="B386" i="16"/>
  <c r="B385" i="16"/>
  <c r="B384" i="16"/>
  <c r="B383" i="16"/>
  <c r="B382" i="16"/>
  <c r="B381" i="16"/>
  <c r="B380" i="16"/>
  <c r="B378" i="16"/>
  <c r="B376" i="16"/>
  <c r="B375" i="16"/>
  <c r="U366" i="16"/>
  <c r="U365" i="16"/>
  <c r="U364" i="16"/>
  <c r="U363" i="16"/>
  <c r="C363" i="16"/>
  <c r="U362" i="16"/>
  <c r="G362" i="16"/>
  <c r="E362" i="16"/>
  <c r="C362" i="16"/>
  <c r="A362" i="16"/>
  <c r="U361" i="16"/>
  <c r="G361" i="16"/>
  <c r="E361" i="16"/>
  <c r="C361" i="16"/>
  <c r="A361" i="16"/>
  <c r="U360" i="16"/>
  <c r="U359" i="16"/>
  <c r="L359" i="16"/>
  <c r="M359" i="16" s="1"/>
  <c r="G358" i="16"/>
  <c r="E358" i="16"/>
  <c r="C358" i="16"/>
  <c r="B352" i="16"/>
  <c r="B351" i="16"/>
  <c r="B350" i="16"/>
  <c r="B349" i="16"/>
  <c r="B348" i="16"/>
  <c r="B347" i="16"/>
  <c r="B346" i="16"/>
  <c r="B345" i="16"/>
  <c r="B344" i="16"/>
  <c r="B342" i="16"/>
  <c r="B341" i="16"/>
  <c r="U332" i="16"/>
  <c r="U331" i="16"/>
  <c r="U330" i="16"/>
  <c r="C330" i="16"/>
  <c r="U328" i="16"/>
  <c r="G328" i="16"/>
  <c r="E328" i="16"/>
  <c r="C328" i="16"/>
  <c r="A328" i="16"/>
  <c r="U327" i="16"/>
  <c r="L327" i="16"/>
  <c r="M327" i="16" s="1"/>
  <c r="G327" i="16"/>
  <c r="E327" i="16"/>
  <c r="C327" i="16"/>
  <c r="A327" i="16"/>
  <c r="G326" i="16"/>
  <c r="E326" i="16"/>
  <c r="C326" i="16"/>
  <c r="B322" i="16"/>
  <c r="B321" i="16"/>
  <c r="B320" i="16"/>
  <c r="B319" i="16"/>
  <c r="B318" i="16"/>
  <c r="B317" i="16"/>
  <c r="B316" i="16"/>
  <c r="B315" i="16"/>
  <c r="B314" i="16"/>
  <c r="B312" i="16"/>
  <c r="B310" i="16"/>
  <c r="B309" i="16"/>
  <c r="U300" i="16"/>
  <c r="U299" i="16"/>
  <c r="U298" i="16"/>
  <c r="U297" i="16"/>
  <c r="C297" i="16"/>
  <c r="U296" i="16"/>
  <c r="G296" i="16"/>
  <c r="E296" i="16"/>
  <c r="C296" i="16"/>
  <c r="A296" i="16"/>
  <c r="U295" i="16"/>
  <c r="G295" i="16"/>
  <c r="E295" i="16"/>
  <c r="C295" i="16"/>
  <c r="A295" i="16"/>
  <c r="U294" i="16"/>
  <c r="G294" i="16"/>
  <c r="E294" i="16"/>
  <c r="C294" i="16"/>
  <c r="A294" i="16"/>
  <c r="U293" i="16"/>
  <c r="L293" i="16"/>
  <c r="M293" i="16" s="1"/>
  <c r="G293" i="16"/>
  <c r="E293" i="16"/>
  <c r="C293" i="16"/>
  <c r="A293" i="16"/>
  <c r="G292" i="16"/>
  <c r="E292" i="16"/>
  <c r="C292" i="16"/>
  <c r="B286" i="16"/>
  <c r="B285" i="16"/>
  <c r="B284" i="16"/>
  <c r="B283" i="16"/>
  <c r="B282" i="16"/>
  <c r="B281" i="16"/>
  <c r="B280" i="16"/>
  <c r="B279" i="16"/>
  <c r="B278" i="16"/>
  <c r="B276" i="16"/>
  <c r="B275" i="16"/>
  <c r="U266" i="16"/>
  <c r="U265" i="16"/>
  <c r="U264" i="16"/>
  <c r="C264" i="16"/>
  <c r="U262" i="16"/>
  <c r="G262" i="16"/>
  <c r="E262" i="16"/>
  <c r="C262" i="16"/>
  <c r="A262" i="16"/>
  <c r="U261" i="16"/>
  <c r="L261" i="16"/>
  <c r="M261" i="16" s="1"/>
  <c r="G261" i="16"/>
  <c r="E261" i="16"/>
  <c r="C261" i="16"/>
  <c r="A261" i="16"/>
  <c r="G260" i="16"/>
  <c r="E260" i="16"/>
  <c r="C260" i="16"/>
  <c r="B256" i="16"/>
  <c r="B255" i="16"/>
  <c r="B254" i="16"/>
  <c r="B253" i="16"/>
  <c r="B252" i="16"/>
  <c r="B251" i="16"/>
  <c r="B250" i="16"/>
  <c r="B249" i="16"/>
  <c r="B248" i="16"/>
  <c r="B246" i="16"/>
  <c r="B244" i="16"/>
  <c r="B243" i="16"/>
  <c r="U234" i="16"/>
  <c r="U233" i="16"/>
  <c r="U232" i="16"/>
  <c r="U231" i="16"/>
  <c r="C231" i="16"/>
  <c r="U230" i="16"/>
  <c r="G230" i="16"/>
  <c r="E230" i="16"/>
  <c r="C230" i="16"/>
  <c r="A230" i="16"/>
  <c r="U229" i="16"/>
  <c r="G229" i="16"/>
  <c r="E229" i="16"/>
  <c r="C229" i="16"/>
  <c r="A229" i="16"/>
  <c r="U228" i="16"/>
  <c r="G228" i="16"/>
  <c r="E228" i="16"/>
  <c r="C228" i="16"/>
  <c r="A228" i="16"/>
  <c r="U227" i="16"/>
  <c r="L227" i="16"/>
  <c r="M227" i="16" s="1"/>
  <c r="G227" i="16"/>
  <c r="E227" i="16"/>
  <c r="C227" i="16"/>
  <c r="A227" i="16"/>
  <c r="G226" i="16"/>
  <c r="E226" i="16"/>
  <c r="C226" i="16"/>
  <c r="B220" i="16"/>
  <c r="B219" i="16"/>
  <c r="B218" i="16"/>
  <c r="B217" i="16"/>
  <c r="B216" i="16"/>
  <c r="B215" i="16"/>
  <c r="B214" i="16"/>
  <c r="B213" i="16"/>
  <c r="B212" i="16"/>
  <c r="B210" i="16"/>
  <c r="B209" i="16"/>
  <c r="U196" i="16"/>
  <c r="G196" i="16"/>
  <c r="E196" i="16"/>
  <c r="C196" i="16"/>
  <c r="A196" i="16"/>
  <c r="U195" i="16"/>
  <c r="L195" i="16"/>
  <c r="M195" i="16" s="1"/>
  <c r="G195" i="16"/>
  <c r="E195" i="16"/>
  <c r="C195" i="16"/>
  <c r="A195" i="16"/>
  <c r="A162" i="16"/>
  <c r="A161" i="16"/>
  <c r="C161" i="16"/>
  <c r="U200" i="16"/>
  <c r="U199" i="16"/>
  <c r="U198" i="16"/>
  <c r="C198" i="16"/>
  <c r="G194" i="16"/>
  <c r="E194" i="16"/>
  <c r="C194" i="16"/>
  <c r="B190" i="16"/>
  <c r="B189" i="16"/>
  <c r="B188" i="16"/>
  <c r="B187" i="16"/>
  <c r="B186" i="16"/>
  <c r="B185" i="16"/>
  <c r="B184" i="16"/>
  <c r="B183" i="16"/>
  <c r="B182" i="16"/>
  <c r="B180" i="16"/>
  <c r="B178" i="16"/>
  <c r="B177" i="16"/>
  <c r="U168" i="16"/>
  <c r="U167" i="16"/>
  <c r="U166" i="16"/>
  <c r="U165" i="16"/>
  <c r="C165" i="16"/>
  <c r="U164" i="16"/>
  <c r="G164" i="16"/>
  <c r="E164" i="16"/>
  <c r="C164" i="16"/>
  <c r="A164" i="16"/>
  <c r="U163" i="16"/>
  <c r="G163" i="16"/>
  <c r="E163" i="16"/>
  <c r="C163" i="16"/>
  <c r="A163" i="16"/>
  <c r="U162" i="16"/>
  <c r="G162" i="16"/>
  <c r="E162" i="16"/>
  <c r="C162" i="16"/>
  <c r="U161" i="16"/>
  <c r="L161" i="16"/>
  <c r="M161" i="16" s="1"/>
  <c r="G161" i="16"/>
  <c r="E161" i="16"/>
  <c r="G160" i="16"/>
  <c r="E160" i="16"/>
  <c r="C160" i="16"/>
  <c r="B154" i="16"/>
  <c r="B153" i="16"/>
  <c r="B152" i="16"/>
  <c r="B151" i="16"/>
  <c r="B150" i="16"/>
  <c r="B149" i="16"/>
  <c r="B148" i="16"/>
  <c r="B147" i="16"/>
  <c r="B155" i="16" s="1"/>
  <c r="B146" i="16"/>
  <c r="B144" i="16"/>
  <c r="B143" i="16"/>
  <c r="U133" i="16"/>
  <c r="U132" i="16"/>
  <c r="U131" i="16"/>
  <c r="C131" i="16"/>
  <c r="U129" i="16"/>
  <c r="G129" i="16"/>
  <c r="E129" i="16"/>
  <c r="C129" i="16"/>
  <c r="U128" i="16"/>
  <c r="L128" i="16"/>
  <c r="M128" i="16" s="1"/>
  <c r="G128" i="16"/>
  <c r="E128" i="16"/>
  <c r="C128" i="16"/>
  <c r="G127" i="16"/>
  <c r="E127" i="16"/>
  <c r="C127" i="16"/>
  <c r="B123" i="16"/>
  <c r="B122" i="16"/>
  <c r="B121" i="16"/>
  <c r="B120" i="16"/>
  <c r="B119" i="16"/>
  <c r="B118" i="16"/>
  <c r="B117" i="16"/>
  <c r="B116" i="16"/>
  <c r="B115" i="16"/>
  <c r="B113" i="16"/>
  <c r="B111" i="16"/>
  <c r="B110" i="16"/>
  <c r="U101" i="16"/>
  <c r="U100" i="16"/>
  <c r="U99" i="16"/>
  <c r="U98" i="16"/>
  <c r="C98" i="16"/>
  <c r="U97" i="16"/>
  <c r="G97" i="16"/>
  <c r="E97" i="16"/>
  <c r="C97" i="16"/>
  <c r="A97" i="16"/>
  <c r="U96" i="16"/>
  <c r="G96" i="16"/>
  <c r="E96" i="16"/>
  <c r="C96" i="16"/>
  <c r="A96" i="16"/>
  <c r="U95" i="16"/>
  <c r="G95" i="16"/>
  <c r="E95" i="16"/>
  <c r="C95" i="16"/>
  <c r="U94" i="16"/>
  <c r="L94" i="16"/>
  <c r="M94" i="16" s="1"/>
  <c r="G94" i="16"/>
  <c r="E94" i="16"/>
  <c r="C94" i="16"/>
  <c r="G93" i="16"/>
  <c r="E93" i="16"/>
  <c r="C93" i="16"/>
  <c r="B87" i="16"/>
  <c r="B86" i="16"/>
  <c r="B85" i="16"/>
  <c r="B84" i="16"/>
  <c r="B83" i="16"/>
  <c r="B82" i="16"/>
  <c r="B81" i="16"/>
  <c r="B80" i="16"/>
  <c r="B88" i="16" s="1"/>
  <c r="B79" i="16"/>
  <c r="B77" i="16"/>
  <c r="B76" i="16"/>
  <c r="C61" i="16"/>
  <c r="E61" i="16"/>
  <c r="G61" i="16"/>
  <c r="A62" i="16"/>
  <c r="C62" i="16"/>
  <c r="E62" i="16"/>
  <c r="G62" i="16"/>
  <c r="L62" i="16"/>
  <c r="M62" i="16" s="1"/>
  <c r="U62" i="16"/>
  <c r="A63" i="16"/>
  <c r="C63" i="16"/>
  <c r="E63" i="16"/>
  <c r="G63" i="16"/>
  <c r="U63" i="16"/>
  <c r="C65" i="16"/>
  <c r="U65" i="16"/>
  <c r="U66" i="16"/>
  <c r="U67" i="16"/>
  <c r="B10" i="16"/>
  <c r="B11" i="16"/>
  <c r="B13" i="16"/>
  <c r="B14" i="16"/>
  <c r="B22" i="16" s="1"/>
  <c r="B15" i="16"/>
  <c r="B16" i="16"/>
  <c r="B17" i="16"/>
  <c r="B18" i="16"/>
  <c r="B19" i="16"/>
  <c r="B20" i="16"/>
  <c r="B21" i="16"/>
  <c r="C27" i="16"/>
  <c r="E27" i="16"/>
  <c r="G27" i="16"/>
  <c r="A28" i="16"/>
  <c r="C28" i="16"/>
  <c r="E28" i="16"/>
  <c r="G28" i="16"/>
  <c r="L28" i="16"/>
  <c r="M28" i="16" s="1"/>
  <c r="U28" i="16"/>
  <c r="A29" i="16"/>
  <c r="C29" i="16"/>
  <c r="E29" i="16"/>
  <c r="G29" i="16"/>
  <c r="U29" i="16"/>
  <c r="A30" i="16"/>
  <c r="C30" i="16"/>
  <c r="E30" i="16"/>
  <c r="G30" i="16"/>
  <c r="U30" i="16"/>
  <c r="A31" i="16"/>
  <c r="C31" i="16"/>
  <c r="E31" i="16"/>
  <c r="G31" i="16"/>
  <c r="U31" i="16"/>
  <c r="C32" i="16"/>
  <c r="U32" i="16"/>
  <c r="U33" i="16"/>
  <c r="U34" i="16"/>
  <c r="U35" i="16"/>
  <c r="B44" i="16"/>
  <c r="B45" i="16"/>
  <c r="B47" i="16"/>
  <c r="B49" i="16"/>
  <c r="B50" i="16"/>
  <c r="B51" i="16"/>
  <c r="B52" i="16"/>
  <c r="B53" i="16"/>
  <c r="B54" i="16"/>
  <c r="B55" i="16"/>
  <c r="B56" i="16"/>
  <c r="B57" i="16"/>
  <c r="K73" i="18" l="1"/>
  <c r="K68" i="18"/>
  <c r="K72" i="18"/>
  <c r="A64" i="18"/>
  <c r="K75" i="18"/>
  <c r="K112" i="18"/>
  <c r="J1220" i="16"/>
  <c r="E1220" i="16" s="1"/>
  <c r="J758" i="16"/>
  <c r="A758" i="16" s="1"/>
  <c r="J1022" i="16"/>
  <c r="K106" i="18"/>
  <c r="K104" i="18"/>
  <c r="K109" i="18"/>
  <c r="K107" i="18"/>
  <c r="K103" i="18"/>
  <c r="K102" i="18"/>
  <c r="K110" i="18"/>
  <c r="K108" i="18"/>
  <c r="K111" i="18"/>
  <c r="A102" i="18"/>
  <c r="K113" i="18"/>
  <c r="B118" i="17"/>
  <c r="K150" i="17" s="1"/>
  <c r="B1" i="18"/>
  <c r="A26" i="18" s="1"/>
  <c r="B2" i="18"/>
  <c r="B196" i="17"/>
  <c r="K227" i="17" s="1"/>
  <c r="B119" i="17"/>
  <c r="B864" i="16"/>
  <c r="K892" i="16" s="1"/>
  <c r="J559" i="16"/>
  <c r="C559" i="16" s="1"/>
  <c r="B79" i="17"/>
  <c r="K110" i="17" s="1"/>
  <c r="B699" i="16"/>
  <c r="K728" i="16" s="1"/>
  <c r="B157" i="17"/>
  <c r="K188" i="17" s="1"/>
  <c r="B154" i="17"/>
  <c r="B150" i="17"/>
  <c r="L150" i="17" s="1"/>
  <c r="M150" i="17" s="1"/>
  <c r="B151" i="17"/>
  <c r="B153" i="17"/>
  <c r="B158" i="17"/>
  <c r="B197" i="17"/>
  <c r="B80" i="17"/>
  <c r="B1" i="17"/>
  <c r="K32" i="17" s="1"/>
  <c r="B37" i="17"/>
  <c r="B40" i="17"/>
  <c r="K73" i="17" s="1"/>
  <c r="B34" i="17"/>
  <c r="B33" i="17"/>
  <c r="L33" i="17" s="1"/>
  <c r="M33" i="17" s="1"/>
  <c r="B36" i="17"/>
  <c r="B41" i="17"/>
  <c r="J890" i="16"/>
  <c r="G890" i="16" s="1"/>
  <c r="J1452" i="16"/>
  <c r="G1452" i="16" s="1"/>
  <c r="B798" i="16"/>
  <c r="K826" i="16" s="1"/>
  <c r="J1088" i="16"/>
  <c r="E1088" i="16" s="1"/>
  <c r="J1352" i="16"/>
  <c r="A1352" i="16" s="1"/>
  <c r="J725" i="16"/>
  <c r="C725" i="16" s="1"/>
  <c r="B1326" i="16"/>
  <c r="K1354" i="16" s="1"/>
  <c r="B766" i="16"/>
  <c r="K795" i="16" s="1"/>
  <c r="B1096" i="16"/>
  <c r="K1125" i="16" s="1"/>
  <c r="J956" i="16"/>
  <c r="G956" i="16" s="1"/>
  <c r="B1260" i="16"/>
  <c r="K1288" i="16" s="1"/>
  <c r="J1286" i="16"/>
  <c r="A1286" i="16" s="1"/>
  <c r="B3" i="16"/>
  <c r="K30" i="16" s="1"/>
  <c r="J1021" i="16"/>
  <c r="C1021" i="16" s="1"/>
  <c r="B1128" i="16"/>
  <c r="K1156" i="16" s="1"/>
  <c r="J1417" i="16"/>
  <c r="A1417" i="16" s="1"/>
  <c r="B1426" i="16"/>
  <c r="K1455" i="16" s="1"/>
  <c r="J1451" i="16"/>
  <c r="A1451" i="16" s="1"/>
  <c r="B1392" i="16"/>
  <c r="B1411" i="16"/>
  <c r="B1418" i="16" s="1"/>
  <c r="B1420" i="16" s="1"/>
  <c r="J1418" i="16"/>
  <c r="B1445" i="16"/>
  <c r="B1452" i="16" s="1"/>
  <c r="B1455" i="16" s="1"/>
  <c r="J1351" i="16"/>
  <c r="A1351" i="16" s="1"/>
  <c r="B1346" i="16"/>
  <c r="B1327" i="16" s="1"/>
  <c r="J1386" i="16"/>
  <c r="E1386" i="16" s="1"/>
  <c r="B1360" i="16"/>
  <c r="J1385" i="16"/>
  <c r="B1379" i="16"/>
  <c r="B1294" i="16"/>
  <c r="K1323" i="16" s="1"/>
  <c r="J1285" i="16"/>
  <c r="C1285" i="16" s="1"/>
  <c r="J1319" i="16"/>
  <c r="G1319" i="16" s="1"/>
  <c r="B1280" i="16"/>
  <c r="B1286" i="16" s="1"/>
  <c r="B1288" i="16" s="1"/>
  <c r="J1320" i="16"/>
  <c r="C1320" i="16" s="1"/>
  <c r="B1313" i="16"/>
  <c r="B1320" i="16" s="1"/>
  <c r="B1228" i="16"/>
  <c r="K1257" i="16" s="1"/>
  <c r="B1214" i="16"/>
  <c r="B1195" i="16" s="1"/>
  <c r="J1253" i="16"/>
  <c r="B1194" i="16"/>
  <c r="J1219" i="16"/>
  <c r="J1254" i="16"/>
  <c r="B1248" i="16"/>
  <c r="B1254" i="16" s="1"/>
  <c r="B1257" i="16" s="1"/>
  <c r="B1162" i="16"/>
  <c r="K1191" i="16" s="1"/>
  <c r="J1154" i="16"/>
  <c r="E1154" i="16" s="1"/>
  <c r="J1187" i="16"/>
  <c r="G1187" i="16" s="1"/>
  <c r="B1148" i="16"/>
  <c r="B1129" i="16" s="1"/>
  <c r="J1153" i="16"/>
  <c r="J1188" i="16"/>
  <c r="B1181" i="16"/>
  <c r="B1188" i="16" s="1"/>
  <c r="B1191" i="16" s="1"/>
  <c r="B1082" i="16"/>
  <c r="B1088" i="16" s="1"/>
  <c r="B1090" i="16" s="1"/>
  <c r="J1121" i="16"/>
  <c r="B1062" i="16"/>
  <c r="J1087" i="16"/>
  <c r="J1122" i="16"/>
  <c r="B1115" i="16"/>
  <c r="B1030" i="16"/>
  <c r="K1059" i="16" s="1"/>
  <c r="B1016" i="16"/>
  <c r="B1022" i="16" s="1"/>
  <c r="B1024" i="16" s="1"/>
  <c r="J1055" i="16"/>
  <c r="G1055" i="16" s="1"/>
  <c r="B996" i="16"/>
  <c r="K1025" i="16" s="1"/>
  <c r="A1022" i="16"/>
  <c r="G1022" i="16"/>
  <c r="E1022" i="16"/>
  <c r="C1022" i="16"/>
  <c r="J1056" i="16"/>
  <c r="B1049" i="16"/>
  <c r="J989" i="16"/>
  <c r="G989" i="16" s="1"/>
  <c r="B950" i="16"/>
  <c r="B956" i="16" s="1"/>
  <c r="B958" i="16" s="1"/>
  <c r="B964" i="16"/>
  <c r="B930" i="16"/>
  <c r="J955" i="16"/>
  <c r="J990" i="16"/>
  <c r="B983" i="16"/>
  <c r="B990" i="16" s="1"/>
  <c r="B993" i="16" s="1"/>
  <c r="J889" i="16"/>
  <c r="E889" i="16" s="1"/>
  <c r="J924" i="16"/>
  <c r="E924" i="16" s="1"/>
  <c r="B884" i="16"/>
  <c r="B890" i="16" s="1"/>
  <c r="B892" i="16" s="1"/>
  <c r="B898" i="16"/>
  <c r="J923" i="16"/>
  <c r="B917" i="16"/>
  <c r="B924" i="16" s="1"/>
  <c r="B927" i="16" s="1"/>
  <c r="J823" i="16"/>
  <c r="A823" i="16" s="1"/>
  <c r="B818" i="16"/>
  <c r="B799" i="16" s="1"/>
  <c r="B832" i="16"/>
  <c r="J857" i="16"/>
  <c r="J858" i="16"/>
  <c r="B851" i="16"/>
  <c r="J824" i="16"/>
  <c r="J791" i="16"/>
  <c r="C791" i="16" s="1"/>
  <c r="B751" i="16"/>
  <c r="B758" i="16" s="1"/>
  <c r="B760" i="16" s="1"/>
  <c r="B732" i="16"/>
  <c r="J757" i="16"/>
  <c r="J792" i="16"/>
  <c r="B785" i="16"/>
  <c r="B792" i="16" s="1"/>
  <c r="J724" i="16"/>
  <c r="G724" i="16" s="1"/>
  <c r="B685" i="16"/>
  <c r="B691" i="16" s="1"/>
  <c r="B693" i="16" s="1"/>
  <c r="B665" i="16"/>
  <c r="K693" i="16" s="1"/>
  <c r="J691" i="16"/>
  <c r="A691" i="16" s="1"/>
  <c r="J690" i="16"/>
  <c r="A690" i="16" s="1"/>
  <c r="B718" i="16"/>
  <c r="B725" i="16" s="1"/>
  <c r="B728" i="16" s="1"/>
  <c r="B633" i="16"/>
  <c r="K662" i="16" s="1"/>
  <c r="J624" i="16"/>
  <c r="A624" i="16" s="1"/>
  <c r="B619" i="16"/>
  <c r="B625" i="16" s="1"/>
  <c r="B627" i="16" s="1"/>
  <c r="J658" i="16"/>
  <c r="G658" i="16" s="1"/>
  <c r="B599" i="16"/>
  <c r="K623" i="16" s="1"/>
  <c r="J625" i="16"/>
  <c r="C625" i="16" s="1"/>
  <c r="J659" i="16"/>
  <c r="B652" i="16"/>
  <c r="J558" i="16"/>
  <c r="C558" i="16" s="1"/>
  <c r="J593" i="16"/>
  <c r="C593" i="16" s="1"/>
  <c r="B533" i="16"/>
  <c r="K561" i="16" s="1"/>
  <c r="B553" i="16"/>
  <c r="B559" i="16" s="1"/>
  <c r="B561" i="16" s="1"/>
  <c r="E559" i="16"/>
  <c r="B567" i="16"/>
  <c r="J592" i="16"/>
  <c r="B586" i="16"/>
  <c r="B593" i="16" s="1"/>
  <c r="B596" i="16" s="1"/>
  <c r="B467" i="16"/>
  <c r="K499" i="16" s="1"/>
  <c r="J493" i="16"/>
  <c r="A493" i="16" s="1"/>
  <c r="J492" i="16"/>
  <c r="E492" i="16" s="1"/>
  <c r="J527" i="16"/>
  <c r="E527" i="16" s="1"/>
  <c r="B487" i="16"/>
  <c r="B493" i="16" s="1"/>
  <c r="B495" i="16" s="1"/>
  <c r="B501" i="16"/>
  <c r="J526" i="16"/>
  <c r="B520" i="16"/>
  <c r="B527" i="16" s="1"/>
  <c r="B528" i="16" s="1"/>
  <c r="L528" i="16" s="1"/>
  <c r="M528" i="16" s="1"/>
  <c r="B196" i="16"/>
  <c r="L196" i="16" s="1"/>
  <c r="M196" i="16" s="1"/>
  <c r="J393" i="16"/>
  <c r="A393" i="16" s="1"/>
  <c r="B453" i="16"/>
  <c r="B460" i="16" s="1"/>
  <c r="B463" i="16" s="1"/>
  <c r="B262" i="16"/>
  <c r="B266" i="16" s="1"/>
  <c r="L266" i="16" s="1"/>
  <c r="M266" i="16" s="1"/>
  <c r="B69" i="16"/>
  <c r="K98" i="16" s="1"/>
  <c r="B129" i="16"/>
  <c r="B328" i="16"/>
  <c r="L328" i="16" s="1"/>
  <c r="M328" i="16" s="1"/>
  <c r="J394" i="16"/>
  <c r="G394" i="16" s="1"/>
  <c r="B63" i="16"/>
  <c r="B64" i="16" s="1"/>
  <c r="L64" i="16" s="1"/>
  <c r="M64" i="16" s="1"/>
  <c r="B89" i="16"/>
  <c r="B95" i="16" s="1"/>
  <c r="B97" i="16" s="1"/>
  <c r="J360" i="16"/>
  <c r="B104" i="16"/>
  <c r="K129" i="16" s="1"/>
  <c r="B136" i="16"/>
  <c r="K164" i="16" s="1"/>
  <c r="J359" i="16"/>
  <c r="B103" i="16"/>
  <c r="K133" i="16" s="1"/>
  <c r="B394" i="16"/>
  <c r="J459" i="16"/>
  <c r="A459" i="16" s="1"/>
  <c r="J425" i="16"/>
  <c r="A425" i="16" s="1"/>
  <c r="J460" i="16"/>
  <c r="A460" i="16" s="1"/>
  <c r="B420" i="16"/>
  <c r="B426" i="16" s="1"/>
  <c r="B428" i="16" s="1"/>
  <c r="B400" i="16"/>
  <c r="K425" i="16" s="1"/>
  <c r="J426" i="16"/>
  <c r="B434" i="16"/>
  <c r="B353" i="16"/>
  <c r="B369" i="16"/>
  <c r="K394" i="16" s="1"/>
  <c r="B354" i="16"/>
  <c r="B368" i="16"/>
  <c r="K395" i="16" s="1"/>
  <c r="B334" i="16"/>
  <c r="B303" i="16"/>
  <c r="K328" i="16" s="1"/>
  <c r="B287" i="16"/>
  <c r="B288" i="16"/>
  <c r="B302" i="16"/>
  <c r="K329" i="16" s="1"/>
  <c r="B268" i="16"/>
  <c r="B237" i="16"/>
  <c r="K262" i="16" s="1"/>
  <c r="B236" i="16"/>
  <c r="K263" i="16" s="1"/>
  <c r="B222" i="16"/>
  <c r="B202" i="16"/>
  <c r="B221" i="16"/>
  <c r="B170" i="16"/>
  <c r="B156" i="16"/>
  <c r="B162" i="16" s="1"/>
  <c r="B164" i="16" s="1"/>
  <c r="B171" i="16"/>
  <c r="K196" i="16" s="1"/>
  <c r="B37" i="16"/>
  <c r="K64" i="16" s="1"/>
  <c r="B38" i="16"/>
  <c r="K63" i="16" s="1"/>
  <c r="B23" i="16"/>
  <c r="B29" i="16" s="1"/>
  <c r="B99" i="16" l="1"/>
  <c r="B96" i="16"/>
  <c r="B894" i="16"/>
  <c r="B891" i="16"/>
  <c r="B960" i="16"/>
  <c r="B957" i="16"/>
  <c r="L957" i="16" s="1"/>
  <c r="M957" i="16" s="1"/>
  <c r="B1422" i="16"/>
  <c r="L1422" i="16" s="1"/>
  <c r="M1422" i="16" s="1"/>
  <c r="B1419" i="16"/>
  <c r="L1419" i="16" s="1"/>
  <c r="M1419" i="16" s="1"/>
  <c r="B1092" i="16"/>
  <c r="B1089" i="16"/>
  <c r="B1026" i="16"/>
  <c r="B1023" i="16"/>
  <c r="B1290" i="16"/>
  <c r="L1290" i="16" s="1"/>
  <c r="M1290" i="16" s="1"/>
  <c r="B1287" i="16"/>
  <c r="L1287" i="16" s="1"/>
  <c r="M1287" i="16" s="1"/>
  <c r="B695" i="16"/>
  <c r="L695" i="16" s="1"/>
  <c r="M695" i="16" s="1"/>
  <c r="B692" i="16"/>
  <c r="L692" i="16" s="1"/>
  <c r="M692" i="16" s="1"/>
  <c r="B762" i="16"/>
  <c r="B759" i="16"/>
  <c r="B430" i="16"/>
  <c r="B427" i="16"/>
  <c r="B563" i="16"/>
  <c r="B560" i="16"/>
  <c r="L560" i="16" s="1"/>
  <c r="M560" i="16" s="1"/>
  <c r="B629" i="16"/>
  <c r="L629" i="16" s="1"/>
  <c r="M629" i="16" s="1"/>
  <c r="B626" i="16"/>
  <c r="L626" i="16" s="1"/>
  <c r="M626" i="16" s="1"/>
  <c r="B166" i="16"/>
  <c r="B163" i="16"/>
  <c r="B497" i="16"/>
  <c r="B494" i="16"/>
  <c r="B33" i="16"/>
  <c r="B31" i="16"/>
  <c r="L31" i="16" s="1"/>
  <c r="M31" i="16" s="1"/>
  <c r="B30" i="16"/>
  <c r="L30" i="16" s="1"/>
  <c r="M30" i="16" s="1"/>
  <c r="B1323" i="16"/>
  <c r="L1323" i="16" s="1"/>
  <c r="M1323" i="16" s="1"/>
  <c r="L1191" i="16"/>
  <c r="M1191" i="16" s="1"/>
  <c r="L1455" i="16"/>
  <c r="M1455" i="16" s="1"/>
  <c r="B795" i="16"/>
  <c r="L795" i="16" s="1"/>
  <c r="M795" i="16" s="1"/>
  <c r="B199" i="16"/>
  <c r="L199" i="16" s="1"/>
  <c r="M199" i="16" s="1"/>
  <c r="L927" i="16"/>
  <c r="M927" i="16" s="1"/>
  <c r="B265" i="16"/>
  <c r="L265" i="16" s="1"/>
  <c r="M265" i="16" s="1"/>
  <c r="B331" i="16"/>
  <c r="L331" i="16" s="1"/>
  <c r="M331" i="16" s="1"/>
  <c r="B397" i="16"/>
  <c r="L397" i="16" s="1"/>
  <c r="M397" i="16" s="1"/>
  <c r="B530" i="16"/>
  <c r="B132" i="16"/>
  <c r="L132" i="16" s="1"/>
  <c r="M132" i="16" s="1"/>
  <c r="E758" i="16"/>
  <c r="K1287" i="16"/>
  <c r="K790" i="16"/>
  <c r="B66" i="16"/>
  <c r="L66" i="16" s="1"/>
  <c r="M66" i="16" s="1"/>
  <c r="K825" i="16"/>
  <c r="A1220" i="16"/>
  <c r="K823" i="16"/>
  <c r="B200" i="16"/>
  <c r="L200" i="16" s="1"/>
  <c r="M200" i="16" s="1"/>
  <c r="K112" i="17"/>
  <c r="G758" i="16"/>
  <c r="C758" i="16"/>
  <c r="G725" i="16"/>
  <c r="G1220" i="16"/>
  <c r="G1021" i="16"/>
  <c r="A725" i="16"/>
  <c r="E725" i="16"/>
  <c r="C1220" i="16"/>
  <c r="K891" i="16"/>
  <c r="K827" i="16"/>
  <c r="K888" i="16"/>
  <c r="E1021" i="16"/>
  <c r="K893" i="16"/>
  <c r="C890" i="16"/>
  <c r="G593" i="16"/>
  <c r="K896" i="16"/>
  <c r="A890" i="16"/>
  <c r="A1450" i="16"/>
  <c r="K889" i="16"/>
  <c r="A956" i="16"/>
  <c r="K1124" i="16"/>
  <c r="K894" i="16"/>
  <c r="A888" i="16"/>
  <c r="K791" i="16"/>
  <c r="K794" i="16"/>
  <c r="B534" i="16"/>
  <c r="K564" i="16" s="1"/>
  <c r="K1355" i="16"/>
  <c r="K107" i="17"/>
  <c r="A790" i="16"/>
  <c r="K1152" i="16"/>
  <c r="A559" i="16"/>
  <c r="K727" i="16"/>
  <c r="E890" i="16"/>
  <c r="K729" i="16"/>
  <c r="A1120" i="16"/>
  <c r="K1121" i="16"/>
  <c r="K723" i="16"/>
  <c r="K1451" i="16"/>
  <c r="G559" i="16"/>
  <c r="K1126" i="16"/>
  <c r="C1417" i="16"/>
  <c r="K661" i="16"/>
  <c r="A723" i="16"/>
  <c r="K724" i="16"/>
  <c r="A1021" i="16"/>
  <c r="K1120" i="16"/>
  <c r="K115" i="17"/>
  <c r="K148" i="17"/>
  <c r="K155" i="17"/>
  <c r="K149" i="17"/>
  <c r="K104" i="17"/>
  <c r="K109" i="17"/>
  <c r="K151" i="17"/>
  <c r="K145" i="17"/>
  <c r="K147" i="17"/>
  <c r="K114" i="17"/>
  <c r="K143" i="17"/>
  <c r="K144" i="17"/>
  <c r="K153" i="17"/>
  <c r="K154" i="17"/>
  <c r="K105" i="17"/>
  <c r="K152" i="17"/>
  <c r="K146" i="17"/>
  <c r="A143" i="17"/>
  <c r="K33" i="18"/>
  <c r="K32" i="18"/>
  <c r="K31" i="18"/>
  <c r="K30" i="18"/>
  <c r="K37" i="18"/>
  <c r="K29" i="18"/>
  <c r="K36" i="18"/>
  <c r="K28" i="18"/>
  <c r="K35" i="18"/>
  <c r="K34" i="18"/>
  <c r="K27" i="18"/>
  <c r="K108" i="17"/>
  <c r="A104" i="17"/>
  <c r="K111" i="17"/>
  <c r="K221" i="17"/>
  <c r="K223" i="17"/>
  <c r="K230" i="17"/>
  <c r="K225" i="17"/>
  <c r="K232" i="17"/>
  <c r="K226" i="17"/>
  <c r="K231" i="17"/>
  <c r="K185" i="17"/>
  <c r="K228" i="17"/>
  <c r="K224" i="17"/>
  <c r="K192" i="17"/>
  <c r="A221" i="17"/>
  <c r="K233" i="17"/>
  <c r="K222" i="17"/>
  <c r="K182" i="17"/>
  <c r="K229" i="17"/>
  <c r="K193" i="17"/>
  <c r="K26" i="18"/>
  <c r="K75" i="17"/>
  <c r="L892" i="16"/>
  <c r="M892" i="16" s="1"/>
  <c r="L891" i="16"/>
  <c r="M891" i="16" s="1"/>
  <c r="L1288" i="16"/>
  <c r="M1288" i="16" s="1"/>
  <c r="C1319" i="16"/>
  <c r="L958" i="16"/>
  <c r="M958" i="16" s="1"/>
  <c r="L495" i="16"/>
  <c r="M495" i="16" s="1"/>
  <c r="L494" i="16"/>
  <c r="M494" i="16" s="1"/>
  <c r="L693" i="16"/>
  <c r="M693" i="16" s="1"/>
  <c r="L1090" i="16"/>
  <c r="M1090" i="16" s="1"/>
  <c r="L1089" i="16"/>
  <c r="M1089" i="16" s="1"/>
  <c r="B1261" i="16"/>
  <c r="K1291" i="16" s="1"/>
  <c r="A1386" i="16"/>
  <c r="L428" i="16"/>
  <c r="M428" i="16" s="1"/>
  <c r="L427" i="16"/>
  <c r="M427" i="16" s="1"/>
  <c r="L97" i="16"/>
  <c r="M97" i="16" s="1"/>
  <c r="L96" i="16"/>
  <c r="M96" i="16" s="1"/>
  <c r="C493" i="16"/>
  <c r="L627" i="16"/>
  <c r="M627" i="16" s="1"/>
  <c r="C956" i="16"/>
  <c r="E1285" i="16"/>
  <c r="L561" i="16"/>
  <c r="M561" i="16" s="1"/>
  <c r="A1088" i="16"/>
  <c r="L164" i="16"/>
  <c r="M164" i="16" s="1"/>
  <c r="L163" i="16"/>
  <c r="M163" i="16" s="1"/>
  <c r="E393" i="16"/>
  <c r="E956" i="16"/>
  <c r="K1055" i="16"/>
  <c r="L1024" i="16"/>
  <c r="M1024" i="16" s="1"/>
  <c r="L1023" i="16"/>
  <c r="M1023" i="16" s="1"/>
  <c r="K1258" i="16"/>
  <c r="C1286" i="16"/>
  <c r="L760" i="16"/>
  <c r="M760" i="16" s="1"/>
  <c r="L759" i="16"/>
  <c r="M759" i="16" s="1"/>
  <c r="E625" i="16"/>
  <c r="G1088" i="16"/>
  <c r="E1286" i="16"/>
  <c r="G1286" i="16"/>
  <c r="C658" i="16"/>
  <c r="K1284" i="16"/>
  <c r="C1451" i="16"/>
  <c r="A1187" i="16"/>
  <c r="K1292" i="16"/>
  <c r="K822" i="16"/>
  <c r="A822" i="16"/>
  <c r="K1054" i="16"/>
  <c r="C1088" i="16"/>
  <c r="K1252" i="16"/>
  <c r="K1058" i="16"/>
  <c r="K1290" i="16"/>
  <c r="L1420" i="16"/>
  <c r="M1420" i="16" s="1"/>
  <c r="C393" i="16"/>
  <c r="A791" i="16"/>
  <c r="K1289" i="16"/>
  <c r="A1452" i="16"/>
  <c r="K191" i="17"/>
  <c r="K194" i="17"/>
  <c r="K1450" i="16"/>
  <c r="C1452" i="16"/>
  <c r="K69" i="17"/>
  <c r="K106" i="17"/>
  <c r="K189" i="17"/>
  <c r="A182" i="17"/>
  <c r="E593" i="16"/>
  <c r="B666" i="16"/>
  <c r="K696" i="16" s="1"/>
  <c r="K1285" i="16"/>
  <c r="K1454" i="16"/>
  <c r="K183" i="17"/>
  <c r="B600" i="16"/>
  <c r="K625" i="16" s="1"/>
  <c r="K184" i="17"/>
  <c r="A889" i="16"/>
  <c r="K563" i="16"/>
  <c r="A1284" i="16"/>
  <c r="K1456" i="16"/>
  <c r="E1452" i="16"/>
  <c r="K116" i="17"/>
  <c r="K113" i="17"/>
  <c r="K190" i="17"/>
  <c r="K186" i="17"/>
  <c r="E658" i="16"/>
  <c r="A593" i="16"/>
  <c r="K796" i="16"/>
  <c r="K830" i="16"/>
  <c r="K828" i="16"/>
  <c r="C1352" i="16"/>
  <c r="K187" i="17"/>
  <c r="B145" i="17"/>
  <c r="L153" i="17"/>
  <c r="M153" i="17" s="1"/>
  <c r="K66" i="17"/>
  <c r="K67" i="17"/>
  <c r="K65" i="17"/>
  <c r="K71" i="17"/>
  <c r="K68" i="17"/>
  <c r="K72" i="17"/>
  <c r="K76" i="17"/>
  <c r="K70" i="17"/>
  <c r="A65" i="17"/>
  <c r="B28" i="17"/>
  <c r="K77" i="17"/>
  <c r="K74" i="17"/>
  <c r="K38" i="17"/>
  <c r="K29" i="17"/>
  <c r="K37" i="17"/>
  <c r="K28" i="17"/>
  <c r="K36" i="17"/>
  <c r="K27" i="17"/>
  <c r="K35" i="17"/>
  <c r="K34" i="17"/>
  <c r="K33" i="17"/>
  <c r="K31" i="17"/>
  <c r="K30" i="17"/>
  <c r="L36" i="17"/>
  <c r="M36" i="17" s="1"/>
  <c r="K1160" i="16"/>
  <c r="A1152" i="16"/>
  <c r="K1350" i="16"/>
  <c r="E1351" i="16"/>
  <c r="E1417" i="16"/>
  <c r="K1358" i="16"/>
  <c r="K692" i="16"/>
  <c r="K697" i="16"/>
  <c r="A1186" i="16"/>
  <c r="K1153" i="16"/>
  <c r="G1154" i="16"/>
  <c r="K1351" i="16"/>
  <c r="E1352" i="16"/>
  <c r="K1187" i="16"/>
  <c r="C1055" i="16"/>
  <c r="K1186" i="16"/>
  <c r="C1154" i="16"/>
  <c r="K695" i="16"/>
  <c r="G558" i="16"/>
  <c r="A658" i="16"/>
  <c r="C724" i="16"/>
  <c r="K1060" i="16"/>
  <c r="K1155" i="16"/>
  <c r="K1190" i="16"/>
  <c r="A1154" i="16"/>
  <c r="A1319" i="16"/>
  <c r="K1353" i="16"/>
  <c r="K1356" i="16"/>
  <c r="G1352" i="16"/>
  <c r="G1417" i="16"/>
  <c r="A1350" i="16"/>
  <c r="K689" i="16"/>
  <c r="K1021" i="16"/>
  <c r="K1157" i="16"/>
  <c r="K1158" i="16"/>
  <c r="E1319" i="16"/>
  <c r="K492" i="16"/>
  <c r="B931" i="16"/>
  <c r="K961" i="16" s="1"/>
  <c r="A1285" i="16"/>
  <c r="K1318" i="16"/>
  <c r="B498" i="16"/>
  <c r="L498" i="16" s="1"/>
  <c r="M498" i="16" s="1"/>
  <c r="B468" i="16"/>
  <c r="K498" i="16" s="1"/>
  <c r="B65" i="16"/>
  <c r="L65" i="16" s="1"/>
  <c r="M65" i="16" s="1"/>
  <c r="B330" i="16"/>
  <c r="L330" i="16" s="1"/>
  <c r="M330" i="16" s="1"/>
  <c r="K494" i="16"/>
  <c r="E493" i="16"/>
  <c r="K560" i="16"/>
  <c r="K658" i="16"/>
  <c r="A1054" i="16"/>
  <c r="B997" i="16"/>
  <c r="K1027" i="16" s="1"/>
  <c r="C1187" i="16"/>
  <c r="B1154" i="16"/>
  <c r="B1220" i="16"/>
  <c r="K1322" i="16"/>
  <c r="B461" i="16"/>
  <c r="L463" i="16"/>
  <c r="M463" i="16" s="1"/>
  <c r="G493" i="16"/>
  <c r="A558" i="16"/>
  <c r="K663" i="16"/>
  <c r="E724" i="16"/>
  <c r="C691" i="16"/>
  <c r="B925" i="16"/>
  <c r="L925" i="16" s="1"/>
  <c r="M925" i="16" s="1"/>
  <c r="E989" i="16"/>
  <c r="K497" i="16"/>
  <c r="K496" i="16"/>
  <c r="K562" i="16"/>
  <c r="A724" i="16"/>
  <c r="C989" i="16"/>
  <c r="B1063" i="16"/>
  <c r="K1093" i="16" s="1"/>
  <c r="K1256" i="16"/>
  <c r="A1318" i="16"/>
  <c r="K1324" i="16"/>
  <c r="G1320" i="16"/>
  <c r="A924" i="16"/>
  <c r="E558" i="16"/>
  <c r="K1319" i="16"/>
  <c r="B264" i="16"/>
  <c r="L264" i="16" s="1"/>
  <c r="M264" i="16" s="1"/>
  <c r="K491" i="16"/>
  <c r="K657" i="16"/>
  <c r="B198" i="16"/>
  <c r="L198" i="16" s="1"/>
  <c r="M198" i="16" s="1"/>
  <c r="L99" i="16"/>
  <c r="M99" i="16" s="1"/>
  <c r="A657" i="16"/>
  <c r="K624" i="16"/>
  <c r="A989" i="16"/>
  <c r="K1192" i="16"/>
  <c r="A1252" i="16"/>
  <c r="G1285" i="16"/>
  <c r="B1393" i="16"/>
  <c r="K1423" i="16" s="1"/>
  <c r="B2" i="17"/>
  <c r="A26" i="17"/>
  <c r="K26" i="17"/>
  <c r="E1451" i="16"/>
  <c r="G1451" i="16"/>
  <c r="K1420" i="16"/>
  <c r="K1419" i="16"/>
  <c r="K1421" i="16"/>
  <c r="K1416" i="16"/>
  <c r="K1424" i="16"/>
  <c r="K1417" i="16"/>
  <c r="K1422" i="16"/>
  <c r="A1416" i="16"/>
  <c r="L1418" i="16"/>
  <c r="M1418" i="16" s="1"/>
  <c r="B1424" i="16"/>
  <c r="L1424" i="16" s="1"/>
  <c r="M1424" i="16" s="1"/>
  <c r="B1421" i="16"/>
  <c r="L1421" i="16" s="1"/>
  <c r="M1421" i="16" s="1"/>
  <c r="A1418" i="16"/>
  <c r="G1418" i="16"/>
  <c r="E1418" i="16"/>
  <c r="C1418" i="16"/>
  <c r="L1452" i="16"/>
  <c r="M1452" i="16" s="1"/>
  <c r="B1456" i="16"/>
  <c r="L1456" i="16" s="1"/>
  <c r="M1456" i="16" s="1"/>
  <c r="B1454" i="16"/>
  <c r="L1454" i="16" s="1"/>
  <c r="M1454" i="16" s="1"/>
  <c r="B1453" i="16"/>
  <c r="L1453" i="16" s="1"/>
  <c r="M1453" i="16" s="1"/>
  <c r="B1427" i="16"/>
  <c r="K1452" i="16" s="1"/>
  <c r="B1423" i="16"/>
  <c r="L1423" i="16" s="1"/>
  <c r="M1423" i="16" s="1"/>
  <c r="K1357" i="16"/>
  <c r="K1352" i="16"/>
  <c r="C1386" i="16"/>
  <c r="G1386" i="16"/>
  <c r="B1352" i="16"/>
  <c r="B1354" i="16" s="1"/>
  <c r="C1351" i="16"/>
  <c r="G1351" i="16"/>
  <c r="K1389" i="16"/>
  <c r="A1384" i="16"/>
  <c r="K1390" i="16"/>
  <c r="K1384" i="16"/>
  <c r="K1388" i="16"/>
  <c r="K1385" i="16"/>
  <c r="B1386" i="16"/>
  <c r="B1389" i="16" s="1"/>
  <c r="B1361" i="16"/>
  <c r="K1386" i="16" s="1"/>
  <c r="G1385" i="16"/>
  <c r="E1385" i="16"/>
  <c r="C1385" i="16"/>
  <c r="A1385" i="16"/>
  <c r="L1286" i="16"/>
  <c r="M1286" i="16" s="1"/>
  <c r="B1292" i="16"/>
  <c r="L1292" i="16" s="1"/>
  <c r="M1292" i="16" s="1"/>
  <c r="B1289" i="16"/>
  <c r="L1289" i="16" s="1"/>
  <c r="M1289" i="16" s="1"/>
  <c r="B1291" i="16"/>
  <c r="L1291" i="16" s="1"/>
  <c r="M1291" i="16" s="1"/>
  <c r="E1320" i="16"/>
  <c r="A1320" i="16"/>
  <c r="L1320" i="16"/>
  <c r="M1320" i="16" s="1"/>
  <c r="B1324" i="16"/>
  <c r="L1324" i="16" s="1"/>
  <c r="M1324" i="16" s="1"/>
  <c r="B1322" i="16"/>
  <c r="L1322" i="16" s="1"/>
  <c r="M1322" i="16" s="1"/>
  <c r="B1321" i="16"/>
  <c r="L1321" i="16" s="1"/>
  <c r="M1321" i="16" s="1"/>
  <c r="B1295" i="16"/>
  <c r="K1320" i="16" s="1"/>
  <c r="K1253" i="16"/>
  <c r="L1254" i="16"/>
  <c r="M1254" i="16" s="1"/>
  <c r="B1258" i="16"/>
  <c r="L1258" i="16" s="1"/>
  <c r="M1258" i="16" s="1"/>
  <c r="B1255" i="16"/>
  <c r="L1255" i="16" s="1"/>
  <c r="M1255" i="16" s="1"/>
  <c r="B1256" i="16"/>
  <c r="L1256" i="16" s="1"/>
  <c r="M1256" i="16" s="1"/>
  <c r="L1257" i="16"/>
  <c r="M1257" i="16" s="1"/>
  <c r="C1219" i="16"/>
  <c r="A1219" i="16"/>
  <c r="E1219" i="16"/>
  <c r="G1219" i="16"/>
  <c r="K1222" i="16"/>
  <c r="K1223" i="16"/>
  <c r="K1218" i="16"/>
  <c r="K1221" i="16"/>
  <c r="K1226" i="16"/>
  <c r="K1219" i="16"/>
  <c r="K1224" i="16"/>
  <c r="A1218" i="16"/>
  <c r="G1253" i="16"/>
  <c r="E1253" i="16"/>
  <c r="C1253" i="16"/>
  <c r="A1253" i="16"/>
  <c r="K1225" i="16"/>
  <c r="K1220" i="16"/>
  <c r="C1254" i="16"/>
  <c r="A1254" i="16"/>
  <c r="E1254" i="16"/>
  <c r="G1254" i="16"/>
  <c r="B1229" i="16"/>
  <c r="K1254" i="16" s="1"/>
  <c r="E1187" i="16"/>
  <c r="C1153" i="16"/>
  <c r="A1153" i="16"/>
  <c r="E1153" i="16"/>
  <c r="G1153" i="16"/>
  <c r="L1188" i="16"/>
  <c r="M1188" i="16" s="1"/>
  <c r="B1192" i="16"/>
  <c r="L1192" i="16" s="1"/>
  <c r="M1192" i="16" s="1"/>
  <c r="B1190" i="16"/>
  <c r="L1190" i="16" s="1"/>
  <c r="M1190" i="16" s="1"/>
  <c r="B1189" i="16"/>
  <c r="L1189" i="16" s="1"/>
  <c r="M1189" i="16" s="1"/>
  <c r="B1163" i="16"/>
  <c r="K1188" i="16" s="1"/>
  <c r="K1159" i="16"/>
  <c r="K1154" i="16"/>
  <c r="C1188" i="16"/>
  <c r="A1188" i="16"/>
  <c r="G1188" i="16"/>
  <c r="E1188" i="16"/>
  <c r="B1091" i="16"/>
  <c r="L1091" i="16" s="1"/>
  <c r="M1091" i="16" s="1"/>
  <c r="B1094" i="16"/>
  <c r="L1094" i="16" s="1"/>
  <c r="M1094" i="16" s="1"/>
  <c r="B1093" i="16"/>
  <c r="L1093" i="16" s="1"/>
  <c r="M1093" i="16" s="1"/>
  <c r="L1088" i="16"/>
  <c r="M1088" i="16" s="1"/>
  <c r="L1092" i="16"/>
  <c r="M1092" i="16" s="1"/>
  <c r="B1122" i="16"/>
  <c r="B1125" i="16" s="1"/>
  <c r="B1097" i="16"/>
  <c r="K1122" i="16" s="1"/>
  <c r="C1087" i="16"/>
  <c r="A1087" i="16"/>
  <c r="E1087" i="16"/>
  <c r="G1087" i="16"/>
  <c r="C1122" i="16"/>
  <c r="A1122" i="16"/>
  <c r="G1122" i="16"/>
  <c r="E1122" i="16"/>
  <c r="G1121" i="16"/>
  <c r="E1121" i="16"/>
  <c r="C1121" i="16"/>
  <c r="A1121" i="16"/>
  <c r="K1090" i="16"/>
  <c r="K1089" i="16"/>
  <c r="K1091" i="16"/>
  <c r="K1086" i="16"/>
  <c r="K1094" i="16"/>
  <c r="K1087" i="16"/>
  <c r="K1092" i="16"/>
  <c r="A1086" i="16"/>
  <c r="B1025" i="16"/>
  <c r="L1025" i="16" s="1"/>
  <c r="M1025" i="16" s="1"/>
  <c r="B1027" i="16"/>
  <c r="L1027" i="16" s="1"/>
  <c r="M1027" i="16" s="1"/>
  <c r="L1026" i="16"/>
  <c r="M1026" i="16" s="1"/>
  <c r="B1028" i="16"/>
  <c r="L1028" i="16" s="1"/>
  <c r="M1028" i="16" s="1"/>
  <c r="L1022" i="16"/>
  <c r="M1022" i="16" s="1"/>
  <c r="K1024" i="16"/>
  <c r="A1020" i="16"/>
  <c r="K1020" i="16"/>
  <c r="E1055" i="16"/>
  <c r="A1055" i="16"/>
  <c r="K1026" i="16"/>
  <c r="K1023" i="16"/>
  <c r="K1028" i="16"/>
  <c r="C1056" i="16"/>
  <c r="A1056" i="16"/>
  <c r="G1056" i="16"/>
  <c r="E1056" i="16"/>
  <c r="B1056" i="16"/>
  <c r="B1059" i="16" s="1"/>
  <c r="B1031" i="16"/>
  <c r="K1056" i="16" s="1"/>
  <c r="B962" i="16"/>
  <c r="L962" i="16" s="1"/>
  <c r="M962" i="16" s="1"/>
  <c r="L960" i="16"/>
  <c r="M960" i="16" s="1"/>
  <c r="B959" i="16"/>
  <c r="L959" i="16" s="1"/>
  <c r="M959" i="16" s="1"/>
  <c r="B961" i="16"/>
  <c r="L961" i="16" s="1"/>
  <c r="M961" i="16" s="1"/>
  <c r="L956" i="16"/>
  <c r="M956" i="16" s="1"/>
  <c r="C990" i="16"/>
  <c r="A990" i="16"/>
  <c r="E990" i="16"/>
  <c r="G990" i="16"/>
  <c r="C955" i="16"/>
  <c r="A955" i="16"/>
  <c r="G955" i="16"/>
  <c r="E955" i="16"/>
  <c r="L990" i="16"/>
  <c r="M990" i="16" s="1"/>
  <c r="B994" i="16"/>
  <c r="L994" i="16" s="1"/>
  <c r="M994" i="16" s="1"/>
  <c r="B991" i="16"/>
  <c r="L991" i="16" s="1"/>
  <c r="M991" i="16" s="1"/>
  <c r="B992" i="16"/>
  <c r="L992" i="16" s="1"/>
  <c r="M992" i="16" s="1"/>
  <c r="B965" i="16"/>
  <c r="K990" i="16" s="1"/>
  <c r="K958" i="16"/>
  <c r="K954" i="16"/>
  <c r="K957" i="16"/>
  <c r="K955" i="16"/>
  <c r="K959" i="16"/>
  <c r="K962" i="16"/>
  <c r="K960" i="16"/>
  <c r="A954" i="16"/>
  <c r="K993" i="16"/>
  <c r="A988" i="16"/>
  <c r="K994" i="16"/>
  <c r="K988" i="16"/>
  <c r="K992" i="16"/>
  <c r="K989" i="16"/>
  <c r="L993" i="16"/>
  <c r="M993" i="16" s="1"/>
  <c r="B899" i="16"/>
  <c r="K924" i="16" s="1"/>
  <c r="C924" i="16"/>
  <c r="G924" i="16"/>
  <c r="B865" i="16"/>
  <c r="K895" i="16" s="1"/>
  <c r="C889" i="16"/>
  <c r="G889" i="16"/>
  <c r="L890" i="16"/>
  <c r="M890" i="16" s="1"/>
  <c r="L894" i="16"/>
  <c r="M894" i="16" s="1"/>
  <c r="B896" i="16"/>
  <c r="L896" i="16" s="1"/>
  <c r="M896" i="16" s="1"/>
  <c r="B893" i="16"/>
  <c r="L893" i="16" s="1"/>
  <c r="M893" i="16" s="1"/>
  <c r="B895" i="16"/>
  <c r="L895" i="16" s="1"/>
  <c r="M895" i="16" s="1"/>
  <c r="G923" i="16"/>
  <c r="E923" i="16"/>
  <c r="C923" i="16"/>
  <c r="A923" i="16"/>
  <c r="K927" i="16"/>
  <c r="A922" i="16"/>
  <c r="K928" i="16"/>
  <c r="K922" i="16"/>
  <c r="K926" i="16"/>
  <c r="K923" i="16"/>
  <c r="L924" i="16"/>
  <c r="M924" i="16" s="1"/>
  <c r="B928" i="16"/>
  <c r="L928" i="16" s="1"/>
  <c r="M928" i="16" s="1"/>
  <c r="B926" i="16"/>
  <c r="L926" i="16" s="1"/>
  <c r="M926" i="16" s="1"/>
  <c r="K829" i="16"/>
  <c r="K824" i="16"/>
  <c r="B824" i="16"/>
  <c r="B826" i="16" s="1"/>
  <c r="C823" i="16"/>
  <c r="G823" i="16"/>
  <c r="E823" i="16"/>
  <c r="C858" i="16"/>
  <c r="A858" i="16"/>
  <c r="G858" i="16"/>
  <c r="E858" i="16"/>
  <c r="K861" i="16"/>
  <c r="A856" i="16"/>
  <c r="K862" i="16"/>
  <c r="K856" i="16"/>
  <c r="K860" i="16"/>
  <c r="K857" i="16"/>
  <c r="G857" i="16"/>
  <c r="E857" i="16"/>
  <c r="C857" i="16"/>
  <c r="A857" i="16"/>
  <c r="A824" i="16"/>
  <c r="G824" i="16"/>
  <c r="C824" i="16"/>
  <c r="E824" i="16"/>
  <c r="B858" i="16"/>
  <c r="B861" i="16" s="1"/>
  <c r="B833" i="16"/>
  <c r="K858" i="16" s="1"/>
  <c r="B767" i="16"/>
  <c r="K792" i="16" s="1"/>
  <c r="E791" i="16"/>
  <c r="G791" i="16"/>
  <c r="K759" i="16"/>
  <c r="K761" i="16"/>
  <c r="K756" i="16"/>
  <c r="A756" i="16"/>
  <c r="K764" i="16"/>
  <c r="K760" i="16"/>
  <c r="K757" i="16"/>
  <c r="K762" i="16"/>
  <c r="B733" i="16"/>
  <c r="B793" i="16"/>
  <c r="L793" i="16" s="1"/>
  <c r="M793" i="16" s="1"/>
  <c r="L792" i="16"/>
  <c r="M792" i="16" s="1"/>
  <c r="B794" i="16"/>
  <c r="L794" i="16" s="1"/>
  <c r="M794" i="16" s="1"/>
  <c r="B796" i="16"/>
  <c r="L796" i="16" s="1"/>
  <c r="M796" i="16" s="1"/>
  <c r="A792" i="16"/>
  <c r="G792" i="16"/>
  <c r="C792" i="16"/>
  <c r="E792" i="16"/>
  <c r="L758" i="16"/>
  <c r="M758" i="16" s="1"/>
  <c r="B764" i="16"/>
  <c r="L764" i="16" s="1"/>
  <c r="M764" i="16" s="1"/>
  <c r="B761" i="16"/>
  <c r="L761" i="16" s="1"/>
  <c r="M761" i="16" s="1"/>
  <c r="L762" i="16"/>
  <c r="M762" i="16" s="1"/>
  <c r="A757" i="16"/>
  <c r="G757" i="16"/>
  <c r="C757" i="16"/>
  <c r="E757" i="16"/>
  <c r="B763" i="16"/>
  <c r="L763" i="16" s="1"/>
  <c r="M763" i="16" s="1"/>
  <c r="B700" i="16"/>
  <c r="K725" i="16" s="1"/>
  <c r="B696" i="16"/>
  <c r="L696" i="16" s="1"/>
  <c r="M696" i="16" s="1"/>
  <c r="L691" i="16"/>
  <c r="M691" i="16" s="1"/>
  <c r="B697" i="16"/>
  <c r="L697" i="16" s="1"/>
  <c r="M697" i="16" s="1"/>
  <c r="B694" i="16"/>
  <c r="L694" i="16" s="1"/>
  <c r="M694" i="16" s="1"/>
  <c r="C690" i="16"/>
  <c r="E690" i="16"/>
  <c r="G691" i="16"/>
  <c r="E691" i="16"/>
  <c r="G690" i="16"/>
  <c r="K694" i="16"/>
  <c r="K690" i="16"/>
  <c r="A689" i="16"/>
  <c r="L725" i="16"/>
  <c r="M725" i="16" s="1"/>
  <c r="B729" i="16"/>
  <c r="L729" i="16" s="1"/>
  <c r="M729" i="16" s="1"/>
  <c r="B727" i="16"/>
  <c r="L727" i="16" s="1"/>
  <c r="M727" i="16" s="1"/>
  <c r="B726" i="16"/>
  <c r="L726" i="16" s="1"/>
  <c r="M726" i="16" s="1"/>
  <c r="L728" i="16"/>
  <c r="M728" i="16" s="1"/>
  <c r="B628" i="16"/>
  <c r="L628" i="16" s="1"/>
  <c r="M628" i="16" s="1"/>
  <c r="L625" i="16"/>
  <c r="M625" i="16" s="1"/>
  <c r="B630" i="16"/>
  <c r="L630" i="16" s="1"/>
  <c r="M630" i="16" s="1"/>
  <c r="B631" i="16"/>
  <c r="L631" i="16" s="1"/>
  <c r="M631" i="16" s="1"/>
  <c r="K628" i="16"/>
  <c r="G625" i="16"/>
  <c r="A625" i="16"/>
  <c r="K627" i="16"/>
  <c r="A623" i="16"/>
  <c r="K629" i="16"/>
  <c r="K626" i="16"/>
  <c r="K631" i="16"/>
  <c r="C624" i="16"/>
  <c r="E624" i="16"/>
  <c r="G624" i="16"/>
  <c r="C659" i="16"/>
  <c r="A659" i="16"/>
  <c r="G659" i="16"/>
  <c r="E659" i="16"/>
  <c r="B659" i="16"/>
  <c r="B662" i="16" s="1"/>
  <c r="B634" i="16"/>
  <c r="K659" i="16" s="1"/>
  <c r="L559" i="16"/>
  <c r="M559" i="16" s="1"/>
  <c r="B565" i="16"/>
  <c r="L565" i="16" s="1"/>
  <c r="M565" i="16" s="1"/>
  <c r="B562" i="16"/>
  <c r="L562" i="16" s="1"/>
  <c r="M562" i="16" s="1"/>
  <c r="L563" i="16"/>
  <c r="M563" i="16" s="1"/>
  <c r="B564" i="16"/>
  <c r="L564" i="16" s="1"/>
  <c r="M564" i="16" s="1"/>
  <c r="K557" i="16"/>
  <c r="A557" i="16"/>
  <c r="K565" i="16"/>
  <c r="K558" i="16"/>
  <c r="G592" i="16"/>
  <c r="E592" i="16"/>
  <c r="C592" i="16"/>
  <c r="A592" i="16"/>
  <c r="K596" i="16"/>
  <c r="A591" i="16"/>
  <c r="K597" i="16"/>
  <c r="K591" i="16"/>
  <c r="K592" i="16"/>
  <c r="K595" i="16"/>
  <c r="L593" i="16"/>
  <c r="M593" i="16" s="1"/>
  <c r="B597" i="16"/>
  <c r="L597" i="16" s="1"/>
  <c r="M597" i="16" s="1"/>
  <c r="B595" i="16"/>
  <c r="L595" i="16" s="1"/>
  <c r="M595" i="16" s="1"/>
  <c r="B594" i="16"/>
  <c r="L594" i="16" s="1"/>
  <c r="M594" i="16" s="1"/>
  <c r="L596" i="16"/>
  <c r="M596" i="16" s="1"/>
  <c r="K559" i="16"/>
  <c r="B568" i="16"/>
  <c r="K593" i="16" s="1"/>
  <c r="C527" i="16"/>
  <c r="G527" i="16"/>
  <c r="C492" i="16"/>
  <c r="G492" i="16"/>
  <c r="A492" i="16"/>
  <c r="A527" i="16"/>
  <c r="K495" i="16"/>
  <c r="A491" i="16"/>
  <c r="L493" i="16"/>
  <c r="M493" i="16" s="1"/>
  <c r="B499" i="16"/>
  <c r="L499" i="16" s="1"/>
  <c r="M499" i="16" s="1"/>
  <c r="B496" i="16"/>
  <c r="L496" i="16" s="1"/>
  <c r="M496" i="16" s="1"/>
  <c r="L497" i="16"/>
  <c r="M497" i="16" s="1"/>
  <c r="G526" i="16"/>
  <c r="E526" i="16"/>
  <c r="C526" i="16"/>
  <c r="A526" i="16"/>
  <c r="L527" i="16"/>
  <c r="M527" i="16" s="1"/>
  <c r="B531" i="16"/>
  <c r="L531" i="16" s="1"/>
  <c r="M531" i="16" s="1"/>
  <c r="B529" i="16"/>
  <c r="L529" i="16" s="1"/>
  <c r="M529" i="16" s="1"/>
  <c r="L530" i="16"/>
  <c r="M530" i="16" s="1"/>
  <c r="K530" i="16"/>
  <c r="A525" i="16"/>
  <c r="K526" i="16"/>
  <c r="K529" i="16"/>
  <c r="K531" i="16"/>
  <c r="K525" i="16"/>
  <c r="B502" i="16"/>
  <c r="K527" i="16" s="1"/>
  <c r="B131" i="16"/>
  <c r="L131" i="16" s="1"/>
  <c r="M131" i="16" s="1"/>
  <c r="B133" i="16"/>
  <c r="L133" i="16" s="1"/>
  <c r="M133" i="16" s="1"/>
  <c r="G393" i="16"/>
  <c r="B70" i="16"/>
  <c r="K100" i="16" s="1"/>
  <c r="B197" i="16"/>
  <c r="L197" i="16" s="1"/>
  <c r="M197" i="16" s="1"/>
  <c r="B395" i="16"/>
  <c r="L395" i="16" s="1"/>
  <c r="M395" i="16" s="1"/>
  <c r="B435" i="16"/>
  <c r="K460" i="16" s="1"/>
  <c r="K99" i="16"/>
  <c r="B329" i="16"/>
  <c r="L329" i="16" s="1"/>
  <c r="M329" i="16" s="1"/>
  <c r="K93" i="16"/>
  <c r="A394" i="16"/>
  <c r="C459" i="16"/>
  <c r="K163" i="16"/>
  <c r="L262" i="16"/>
  <c r="M262" i="16" s="1"/>
  <c r="K97" i="16"/>
  <c r="B263" i="16"/>
  <c r="L263" i="16" s="1"/>
  <c r="M263" i="16" s="1"/>
  <c r="E459" i="16"/>
  <c r="B462" i="16"/>
  <c r="L462" i="16" s="1"/>
  <c r="M462" i="16" s="1"/>
  <c r="B464" i="16"/>
  <c r="L464" i="16" s="1"/>
  <c r="M464" i="16" s="1"/>
  <c r="K195" i="16"/>
  <c r="K197" i="16"/>
  <c r="K127" i="16"/>
  <c r="K101" i="16"/>
  <c r="K96" i="16"/>
  <c r="L129" i="16"/>
  <c r="M129" i="16" s="1"/>
  <c r="A93" i="16"/>
  <c r="G459" i="16"/>
  <c r="K160" i="16"/>
  <c r="K165" i="16"/>
  <c r="B332" i="16"/>
  <c r="L332" i="16" s="1"/>
  <c r="M332" i="16" s="1"/>
  <c r="B396" i="16"/>
  <c r="L396" i="16" s="1"/>
  <c r="M396" i="16" s="1"/>
  <c r="K130" i="16"/>
  <c r="K94" i="16"/>
  <c r="K28" i="16"/>
  <c r="L394" i="16"/>
  <c r="M394" i="16" s="1"/>
  <c r="B130" i="16"/>
  <c r="L130" i="16" s="1"/>
  <c r="M130" i="16" s="1"/>
  <c r="K168" i="16"/>
  <c r="A160" i="16"/>
  <c r="K161" i="16"/>
  <c r="K166" i="16"/>
  <c r="E394" i="16"/>
  <c r="C394" i="16"/>
  <c r="B4" i="16"/>
  <c r="K34" i="16" s="1"/>
  <c r="A127" i="16"/>
  <c r="L460" i="16"/>
  <c r="M460" i="16" s="1"/>
  <c r="G360" i="16"/>
  <c r="E360" i="16"/>
  <c r="C360" i="16"/>
  <c r="A360" i="16"/>
  <c r="B294" i="16"/>
  <c r="B296" i="16" s="1"/>
  <c r="K128" i="16"/>
  <c r="B398" i="16"/>
  <c r="L398" i="16" s="1"/>
  <c r="M398" i="16" s="1"/>
  <c r="G359" i="16"/>
  <c r="E359" i="16"/>
  <c r="C359" i="16"/>
  <c r="A359" i="16"/>
  <c r="K131" i="16"/>
  <c r="K132" i="16"/>
  <c r="B137" i="16"/>
  <c r="K162" i="16" s="1"/>
  <c r="C460" i="16"/>
  <c r="K427" i="16"/>
  <c r="K432" i="16"/>
  <c r="K424" i="16"/>
  <c r="B401" i="16"/>
  <c r="K431" i="16" s="1"/>
  <c r="K430" i="16"/>
  <c r="L426" i="16"/>
  <c r="M426" i="16" s="1"/>
  <c r="B432" i="16"/>
  <c r="B431" i="16"/>
  <c r="L431" i="16" s="1"/>
  <c r="M431" i="16" s="1"/>
  <c r="B429" i="16"/>
  <c r="L429" i="16" s="1"/>
  <c r="M429" i="16" s="1"/>
  <c r="L430" i="16"/>
  <c r="M430" i="16" s="1"/>
  <c r="K428" i="16"/>
  <c r="A424" i="16"/>
  <c r="A426" i="16"/>
  <c r="E426" i="16"/>
  <c r="C426" i="16"/>
  <c r="K429" i="16"/>
  <c r="E460" i="16"/>
  <c r="G460" i="16"/>
  <c r="G426" i="16"/>
  <c r="C425" i="16"/>
  <c r="G425" i="16"/>
  <c r="E425" i="16"/>
  <c r="K463" i="16"/>
  <c r="A458" i="16"/>
  <c r="K464" i="16"/>
  <c r="K459" i="16"/>
  <c r="K458" i="16"/>
  <c r="K462" i="16"/>
  <c r="K363" i="16"/>
  <c r="K358" i="16"/>
  <c r="K366" i="16"/>
  <c r="K359" i="16"/>
  <c r="K362" i="16"/>
  <c r="A358" i="16"/>
  <c r="K364" i="16"/>
  <c r="K361" i="16"/>
  <c r="K397" i="16"/>
  <c r="K398" i="16"/>
  <c r="K392" i="16"/>
  <c r="K393" i="16"/>
  <c r="K396" i="16"/>
  <c r="A392" i="16"/>
  <c r="B360" i="16"/>
  <c r="B362" i="16" s="1"/>
  <c r="B335" i="16"/>
  <c r="K331" i="16"/>
  <c r="K330" i="16"/>
  <c r="K332" i="16"/>
  <c r="K326" i="16"/>
  <c r="K327" i="16"/>
  <c r="A326" i="16"/>
  <c r="B269" i="16"/>
  <c r="K297" i="16"/>
  <c r="K300" i="16"/>
  <c r="K293" i="16"/>
  <c r="A292" i="16"/>
  <c r="K298" i="16"/>
  <c r="K296" i="16"/>
  <c r="K292" i="16"/>
  <c r="K295" i="16"/>
  <c r="B228" i="16"/>
  <c r="B230" i="16" s="1"/>
  <c r="K265" i="16"/>
  <c r="K266" i="16"/>
  <c r="K260" i="16"/>
  <c r="K264" i="16"/>
  <c r="K261" i="16"/>
  <c r="A260" i="16"/>
  <c r="K231" i="16"/>
  <c r="K234" i="16"/>
  <c r="K227" i="16"/>
  <c r="A226" i="16"/>
  <c r="K232" i="16"/>
  <c r="K230" i="16"/>
  <c r="K226" i="16"/>
  <c r="K229" i="16"/>
  <c r="B203" i="16"/>
  <c r="B168" i="16"/>
  <c r="L168" i="16" s="1"/>
  <c r="M168" i="16" s="1"/>
  <c r="B165" i="16"/>
  <c r="L165" i="16" s="1"/>
  <c r="M165" i="16" s="1"/>
  <c r="B167" i="16"/>
  <c r="L167" i="16" s="1"/>
  <c r="M167" i="16" s="1"/>
  <c r="L162" i="16"/>
  <c r="M162" i="16" s="1"/>
  <c r="L166" i="16"/>
  <c r="M166" i="16" s="1"/>
  <c r="K199" i="16"/>
  <c r="K194" i="16"/>
  <c r="K198" i="16"/>
  <c r="A194" i="16"/>
  <c r="K200" i="16"/>
  <c r="B67" i="16"/>
  <c r="L67" i="16" s="1"/>
  <c r="M67" i="16" s="1"/>
  <c r="L63" i="16"/>
  <c r="M63" i="16" s="1"/>
  <c r="K27" i="16"/>
  <c r="K35" i="16"/>
  <c r="B101" i="16"/>
  <c r="L101" i="16" s="1"/>
  <c r="M101" i="16" s="1"/>
  <c r="B98" i="16"/>
  <c r="L98" i="16" s="1"/>
  <c r="M98" i="16" s="1"/>
  <c r="L95" i="16"/>
  <c r="M95" i="16" s="1"/>
  <c r="B100" i="16"/>
  <c r="L100" i="16" s="1"/>
  <c r="M100" i="16" s="1"/>
  <c r="K31" i="16"/>
  <c r="A61" i="16"/>
  <c r="K62" i="16"/>
  <c r="K65" i="16"/>
  <c r="K61" i="16"/>
  <c r="K67" i="16"/>
  <c r="K66" i="16"/>
  <c r="A27" i="16"/>
  <c r="K33" i="16"/>
  <c r="K32" i="16"/>
  <c r="B34" i="16"/>
  <c r="L34" i="16" s="1"/>
  <c r="M34" i="16" s="1"/>
  <c r="L29" i="16"/>
  <c r="M29" i="16" s="1"/>
  <c r="L33" i="16"/>
  <c r="M33" i="16" s="1"/>
  <c r="B32" i="16"/>
  <c r="L32" i="16" s="1"/>
  <c r="M32" i="16" s="1"/>
  <c r="B35" i="16"/>
  <c r="L35" i="16" s="1"/>
  <c r="M35" i="16" s="1"/>
  <c r="R1867" i="10"/>
  <c r="R1715" i="10"/>
  <c r="R1714" i="10"/>
  <c r="R1713" i="10"/>
  <c r="R1712" i="10"/>
  <c r="R1711" i="10"/>
  <c r="R1710" i="10"/>
  <c r="R1709" i="10"/>
  <c r="R1708" i="10"/>
  <c r="R1707" i="10"/>
  <c r="R1706" i="10"/>
  <c r="R1643" i="10"/>
  <c r="R1642" i="10"/>
  <c r="R1641" i="10"/>
  <c r="R1640" i="10"/>
  <c r="R1639" i="10"/>
  <c r="R1638" i="10"/>
  <c r="R1637" i="10"/>
  <c r="R1636" i="10"/>
  <c r="R1635" i="10"/>
  <c r="R1634" i="10"/>
  <c r="R1572" i="10"/>
  <c r="R1571" i="10"/>
  <c r="R1570" i="10"/>
  <c r="R1569" i="10"/>
  <c r="R1568" i="10"/>
  <c r="R1567" i="10"/>
  <c r="R1566" i="10"/>
  <c r="R1565" i="10"/>
  <c r="R1517" i="10"/>
  <c r="R1516" i="10"/>
  <c r="R1504" i="10"/>
  <c r="R1487" i="10"/>
  <c r="R1486" i="10"/>
  <c r="R1485" i="10"/>
  <c r="R1484" i="10"/>
  <c r="R1483" i="10"/>
  <c r="R1482" i="10"/>
  <c r="R1481" i="10"/>
  <c r="R1432" i="10"/>
  <c r="R1400" i="10"/>
  <c r="R1354" i="10"/>
  <c r="R1308" i="10"/>
  <c r="R1216" i="10"/>
  <c r="R1199" i="10"/>
  <c r="R1182" i="10"/>
  <c r="R971" i="10"/>
  <c r="R970" i="10"/>
  <c r="R969" i="10"/>
  <c r="R946" i="10"/>
  <c r="R922" i="10"/>
  <c r="R248" i="10"/>
  <c r="R217" i="10"/>
  <c r="R188" i="10"/>
  <c r="R140" i="10"/>
  <c r="R94" i="10"/>
  <c r="R46" i="10"/>
  <c r="B30" i="17" l="1"/>
  <c r="B29" i="17"/>
  <c r="B1221" i="16"/>
  <c r="L1221" i="16" s="1"/>
  <c r="M1221" i="16" s="1"/>
  <c r="B1222" i="16"/>
  <c r="B1155" i="16"/>
  <c r="L1155" i="16" s="1"/>
  <c r="M1155" i="16" s="1"/>
  <c r="B1156" i="16"/>
  <c r="L1156" i="16" s="1"/>
  <c r="M1156" i="16" s="1"/>
  <c r="B828" i="16"/>
  <c r="L828" i="16" s="1"/>
  <c r="M828" i="16" s="1"/>
  <c r="B825" i="16"/>
  <c r="L825" i="16" s="1"/>
  <c r="M825" i="16" s="1"/>
  <c r="B1356" i="16"/>
  <c r="L1356" i="16" s="1"/>
  <c r="M1356" i="16" s="1"/>
  <c r="B1353" i="16"/>
  <c r="L1353" i="16" s="1"/>
  <c r="M1353" i="16" s="1"/>
  <c r="B364" i="16"/>
  <c r="L364" i="16" s="1"/>
  <c r="M364" i="16" s="1"/>
  <c r="B361" i="16"/>
  <c r="L361" i="16" s="1"/>
  <c r="M361" i="16" s="1"/>
  <c r="B298" i="16"/>
  <c r="L298" i="16" s="1"/>
  <c r="M298" i="16" s="1"/>
  <c r="B295" i="16"/>
  <c r="L295" i="16" s="1"/>
  <c r="M295" i="16" s="1"/>
  <c r="B232" i="16"/>
  <c r="L232" i="16" s="1"/>
  <c r="M232" i="16" s="1"/>
  <c r="B229" i="16"/>
  <c r="L229" i="16" s="1"/>
  <c r="M229" i="16" s="1"/>
  <c r="B1224" i="16"/>
  <c r="L1224" i="16" s="1"/>
  <c r="M1224" i="16" s="1"/>
  <c r="B1160" i="16"/>
  <c r="L1160" i="16" s="1"/>
  <c r="M1160" i="16" s="1"/>
  <c r="B1158" i="16"/>
  <c r="L1158" i="16" s="1"/>
  <c r="M1158" i="16" s="1"/>
  <c r="K630" i="16"/>
  <c r="K95" i="16"/>
  <c r="K1088" i="16"/>
  <c r="K956" i="16"/>
  <c r="K1286" i="16"/>
  <c r="K691" i="16"/>
  <c r="B1159" i="16"/>
  <c r="L1159" i="16" s="1"/>
  <c r="M1159" i="16" s="1"/>
  <c r="L826" i="16"/>
  <c r="M826" i="16" s="1"/>
  <c r="L230" i="16"/>
  <c r="M230" i="16" s="1"/>
  <c r="L296" i="16"/>
  <c r="M296" i="16" s="1"/>
  <c r="L362" i="16"/>
  <c r="M362" i="16" s="1"/>
  <c r="L1354" i="16"/>
  <c r="M1354" i="16" s="1"/>
  <c r="L1222" i="16"/>
  <c r="M1222" i="16" s="1"/>
  <c r="K493" i="16"/>
  <c r="K1022" i="16"/>
  <c r="L147" i="17"/>
  <c r="M147" i="17" s="1"/>
  <c r="L146" i="17"/>
  <c r="M146" i="17" s="1"/>
  <c r="L145" i="17"/>
  <c r="M145" i="17" s="1"/>
  <c r="L1154" i="16"/>
  <c r="M1154" i="16" s="1"/>
  <c r="B1157" i="16"/>
  <c r="L1157" i="16" s="1"/>
  <c r="M1157" i="16" s="1"/>
  <c r="K1418" i="16"/>
  <c r="B234" i="16"/>
  <c r="L234" i="16" s="1"/>
  <c r="M234" i="16" s="1"/>
  <c r="K890" i="16"/>
  <c r="B1225" i="16"/>
  <c r="L1225" i="16" s="1"/>
  <c r="M1225" i="16" s="1"/>
  <c r="L1220" i="16"/>
  <c r="M1220" i="16" s="1"/>
  <c r="B1226" i="16"/>
  <c r="L1226" i="16" s="1"/>
  <c r="M1226" i="16" s="1"/>
  <c r="B1223" i="16"/>
  <c r="L1223" i="16" s="1"/>
  <c r="M1223" i="16" s="1"/>
  <c r="B1357" i="16"/>
  <c r="L1357" i="16" s="1"/>
  <c r="M1357" i="16" s="1"/>
  <c r="L1352" i="16"/>
  <c r="M1352" i="16" s="1"/>
  <c r="B1358" i="16"/>
  <c r="L1358" i="16" s="1"/>
  <c r="M1358" i="16" s="1"/>
  <c r="B1355" i="16"/>
  <c r="L1355" i="16" s="1"/>
  <c r="M1355" i="16" s="1"/>
  <c r="L1386" i="16"/>
  <c r="M1386" i="16" s="1"/>
  <c r="B1390" i="16"/>
  <c r="L1390" i="16" s="1"/>
  <c r="M1390" i="16" s="1"/>
  <c r="B1388" i="16"/>
  <c r="L1388" i="16" s="1"/>
  <c r="M1388" i="16" s="1"/>
  <c r="B1387" i="16"/>
  <c r="L1387" i="16" s="1"/>
  <c r="M1387" i="16" s="1"/>
  <c r="L1389" i="16"/>
  <c r="M1389" i="16" s="1"/>
  <c r="L1122" i="16"/>
  <c r="M1122" i="16" s="1"/>
  <c r="B1126" i="16"/>
  <c r="L1126" i="16" s="1"/>
  <c r="M1126" i="16" s="1"/>
  <c r="B1124" i="16"/>
  <c r="L1124" i="16" s="1"/>
  <c r="M1124" i="16" s="1"/>
  <c r="B1123" i="16"/>
  <c r="L1123" i="16" s="1"/>
  <c r="M1123" i="16" s="1"/>
  <c r="L1125" i="16"/>
  <c r="M1125" i="16" s="1"/>
  <c r="L1056" i="16"/>
  <c r="M1056" i="16" s="1"/>
  <c r="B1060" i="16"/>
  <c r="L1060" i="16" s="1"/>
  <c r="M1060" i="16" s="1"/>
  <c r="B1058" i="16"/>
  <c r="L1058" i="16" s="1"/>
  <c r="M1058" i="16" s="1"/>
  <c r="B1057" i="16"/>
  <c r="L1057" i="16" s="1"/>
  <c r="M1057" i="16" s="1"/>
  <c r="L1059" i="16"/>
  <c r="M1059" i="16" s="1"/>
  <c r="L824" i="16"/>
  <c r="M824" i="16" s="1"/>
  <c r="B830" i="16"/>
  <c r="L830" i="16" s="1"/>
  <c r="M830" i="16" s="1"/>
  <c r="B827" i="16"/>
  <c r="L827" i="16" s="1"/>
  <c r="M827" i="16" s="1"/>
  <c r="B829" i="16"/>
  <c r="L829" i="16" s="1"/>
  <c r="M829" i="16" s="1"/>
  <c r="L858" i="16"/>
  <c r="M858" i="16" s="1"/>
  <c r="B862" i="16"/>
  <c r="L862" i="16" s="1"/>
  <c r="M862" i="16" s="1"/>
  <c r="B860" i="16"/>
  <c r="L860" i="16" s="1"/>
  <c r="M860" i="16" s="1"/>
  <c r="B859" i="16"/>
  <c r="L859" i="16" s="1"/>
  <c r="M859" i="16" s="1"/>
  <c r="L861" i="16"/>
  <c r="M861" i="16" s="1"/>
  <c r="K758" i="16"/>
  <c r="K763" i="16"/>
  <c r="L659" i="16"/>
  <c r="M659" i="16" s="1"/>
  <c r="B663" i="16"/>
  <c r="L663" i="16" s="1"/>
  <c r="M663" i="16" s="1"/>
  <c r="B661" i="16"/>
  <c r="L661" i="16" s="1"/>
  <c r="M661" i="16" s="1"/>
  <c r="B660" i="16"/>
  <c r="L660" i="16" s="1"/>
  <c r="M660" i="16" s="1"/>
  <c r="L662" i="16"/>
  <c r="M662" i="16" s="1"/>
  <c r="L432" i="16"/>
  <c r="M432" i="16" s="1"/>
  <c r="L461" i="16"/>
  <c r="M461" i="16" s="1"/>
  <c r="B297" i="16"/>
  <c r="L297" i="16" s="1"/>
  <c r="M297" i="16" s="1"/>
  <c r="B300" i="16"/>
  <c r="L300" i="16" s="1"/>
  <c r="M300" i="16" s="1"/>
  <c r="K29" i="16"/>
  <c r="L294" i="16"/>
  <c r="M294" i="16" s="1"/>
  <c r="B299" i="16"/>
  <c r="L299" i="16" s="1"/>
  <c r="M299" i="16" s="1"/>
  <c r="K167" i="16"/>
  <c r="B233" i="16"/>
  <c r="L233" i="16" s="1"/>
  <c r="M233" i="16" s="1"/>
  <c r="L228" i="16"/>
  <c r="M228" i="16" s="1"/>
  <c r="B231" i="16"/>
  <c r="L231" i="16" s="1"/>
  <c r="M231" i="16" s="1"/>
  <c r="K426" i="16"/>
  <c r="K360" i="16"/>
  <c r="K365" i="16"/>
  <c r="B366" i="16"/>
  <c r="L366" i="16" s="1"/>
  <c r="M366" i="16" s="1"/>
  <c r="B363" i="16"/>
  <c r="L363" i="16" s="1"/>
  <c r="M363" i="16" s="1"/>
  <c r="L360" i="16"/>
  <c r="M360" i="16" s="1"/>
  <c r="B365" i="16"/>
  <c r="L365" i="16" s="1"/>
  <c r="M365" i="16" s="1"/>
  <c r="K294" i="16"/>
  <c r="K299" i="16"/>
  <c r="K228" i="16"/>
  <c r="K233" i="16"/>
  <c r="J1504" i="10"/>
  <c r="U9819" i="3"/>
  <c r="U9674" i="3"/>
  <c r="U9486" i="3"/>
  <c r="U9347" i="3"/>
  <c r="U9154" i="3"/>
  <c r="U9009" i="3"/>
  <c r="U8821" i="3"/>
  <c r="U8682" i="3"/>
  <c r="U8490" i="3"/>
  <c r="U8345" i="3"/>
  <c r="U8157" i="3"/>
  <c r="U8018" i="3"/>
  <c r="U7826" i="3"/>
  <c r="U7681" i="3"/>
  <c r="U7493" i="3"/>
  <c r="U7354" i="3"/>
  <c r="U7161" i="3"/>
  <c r="U7016" i="3"/>
  <c r="U6828" i="3"/>
  <c r="U6689" i="3"/>
  <c r="U6497" i="3"/>
  <c r="U6352" i="3"/>
  <c r="U6164" i="3"/>
  <c r="U6025" i="3"/>
  <c r="U5833" i="3"/>
  <c r="U5688" i="3"/>
  <c r="U5500" i="3"/>
  <c r="U5361" i="3"/>
  <c r="U5168" i="3"/>
  <c r="U5023" i="3"/>
  <c r="U4835" i="3"/>
  <c r="U4696" i="3"/>
  <c r="U4504" i="3"/>
  <c r="U4359" i="3"/>
  <c r="U4171" i="3"/>
  <c r="U4032" i="3"/>
  <c r="U3843" i="3"/>
  <c r="U3701" i="3"/>
  <c r="U3515" i="3"/>
  <c r="U3376" i="3"/>
  <c r="U3186" i="3"/>
  <c r="U3044" i="3"/>
  <c r="U2858" i="3"/>
  <c r="U2719" i="3"/>
  <c r="U2530" i="3"/>
  <c r="U2388" i="3"/>
  <c r="U2202" i="3"/>
  <c r="U2063" i="3"/>
  <c r="U1873" i="3"/>
  <c r="U1731" i="3"/>
  <c r="U1545" i="3"/>
  <c r="U1406" i="3"/>
  <c r="U1216" i="3"/>
  <c r="U1074" i="3"/>
  <c r="U888" i="3"/>
  <c r="U749" i="3"/>
  <c r="U468" i="3"/>
  <c r="U418" i="3"/>
  <c r="U142" i="3"/>
  <c r="U93" i="3"/>
  <c r="U2546" i="13"/>
  <c r="U2403" i="13"/>
  <c r="U2215" i="13"/>
  <c r="U2075" i="13"/>
  <c r="U1885" i="13"/>
  <c r="U1742" i="13"/>
  <c r="U1554" i="13"/>
  <c r="U1414" i="13"/>
  <c r="U1224" i="13"/>
  <c r="U1081" i="13"/>
  <c r="U893" i="13"/>
  <c r="U753" i="13"/>
  <c r="U563" i="13"/>
  <c r="U420" i="13"/>
  <c r="U232" i="13"/>
  <c r="U92" i="13"/>
  <c r="U1224" i="14"/>
  <c r="U1081" i="14"/>
  <c r="U893" i="14"/>
  <c r="U753" i="14"/>
  <c r="U563" i="14"/>
  <c r="U420" i="14"/>
  <c r="U232" i="14"/>
  <c r="U92" i="14"/>
  <c r="U657" i="15"/>
  <c r="U514" i="15"/>
  <c r="U324" i="15"/>
  <c r="U184" i="15"/>
  <c r="U563" i="15"/>
  <c r="U420" i="15"/>
  <c r="U232" i="15"/>
  <c r="U92" i="15"/>
  <c r="M149" i="5"/>
  <c r="M148" i="5"/>
  <c r="M97" i="5"/>
  <c r="M96" i="5"/>
  <c r="M45" i="5"/>
  <c r="M44" i="5"/>
  <c r="U149" i="5"/>
  <c r="U148" i="5"/>
  <c r="U97" i="5"/>
  <c r="U96" i="5"/>
  <c r="U45" i="5"/>
  <c r="U44" i="5"/>
  <c r="J1867" i="10"/>
  <c r="J1715" i="10"/>
  <c r="J1643" i="10"/>
  <c r="J1572" i="10"/>
  <c r="J1517" i="10"/>
  <c r="J1516" i="10"/>
  <c r="J1487" i="10"/>
  <c r="J1486" i="10"/>
  <c r="J1485" i="10"/>
  <c r="J1484" i="10"/>
  <c r="J1483" i="10"/>
  <c r="J1482" i="10"/>
  <c r="J1481" i="10"/>
  <c r="J971" i="10"/>
  <c r="J970" i="10"/>
  <c r="J969" i="10"/>
  <c r="J946" i="10"/>
  <c r="J922" i="10"/>
  <c r="J248" i="10"/>
  <c r="J217" i="10"/>
  <c r="J188" i="10"/>
  <c r="J140" i="10"/>
  <c r="J94" i="10"/>
  <c r="J46" i="10"/>
  <c r="R2124" i="10"/>
  <c r="R2123" i="10"/>
  <c r="R2122" i="10"/>
  <c r="R2110" i="10"/>
  <c r="R2109" i="10"/>
  <c r="R2108" i="10"/>
  <c r="R2107" i="10"/>
  <c r="R2095" i="10"/>
  <c r="R2094" i="10"/>
  <c r="R2093" i="10"/>
  <c r="R2092" i="10"/>
  <c r="R2091" i="10"/>
  <c r="R2079" i="10"/>
  <c r="R2078" i="10"/>
  <c r="R2077" i="10"/>
  <c r="R2065" i="10"/>
  <c r="R2064" i="10"/>
  <c r="R2063" i="10"/>
  <c r="R2062" i="10"/>
  <c r="R2050" i="10"/>
  <c r="R2049" i="10"/>
  <c r="R2048" i="10"/>
  <c r="R2047" i="10"/>
  <c r="R2046" i="10"/>
  <c r="R2045" i="10"/>
  <c r="R2044" i="10"/>
  <c r="R2032" i="10"/>
  <c r="R2031" i="10"/>
  <c r="R2030" i="10"/>
  <c r="R2029" i="10"/>
  <c r="R2028" i="10"/>
  <c r="R2016" i="10"/>
  <c r="R2015" i="10"/>
  <c r="R2014" i="10"/>
  <c r="R2013" i="10"/>
  <c r="R2012" i="10"/>
  <c r="R2011" i="10"/>
  <c r="R1999" i="10"/>
  <c r="R1998" i="10"/>
  <c r="R1997" i="10"/>
  <c r="R1996" i="10"/>
  <c r="R1995" i="10"/>
  <c r="R1983" i="10"/>
  <c r="R1982" i="10"/>
  <c r="R1981" i="10"/>
  <c r="R1980" i="10"/>
  <c r="R1979" i="10"/>
  <c r="R1978" i="10"/>
  <c r="R1977" i="10"/>
  <c r="R1976" i="10"/>
  <c r="R1964" i="10"/>
  <c r="R1963" i="10"/>
  <c r="R1962" i="10"/>
  <c r="R1961" i="10"/>
  <c r="R1960" i="10"/>
  <c r="R1948" i="10"/>
  <c r="R1947" i="10"/>
  <c r="R1946" i="10"/>
  <c r="R1945" i="10"/>
  <c r="R1933" i="10"/>
  <c r="R1932" i="10"/>
  <c r="R1931" i="10"/>
  <c r="R1919" i="10"/>
  <c r="R1918" i="10"/>
  <c r="R1917" i="10"/>
  <c r="R1916" i="10"/>
  <c r="R1904" i="10"/>
  <c r="R1903" i="10"/>
  <c r="R1902" i="10"/>
  <c r="R1901" i="10"/>
  <c r="R1900" i="10"/>
  <c r="R1888" i="10"/>
  <c r="R1887" i="10"/>
  <c r="R1886" i="10"/>
  <c r="R1885" i="10"/>
  <c r="R1884" i="10"/>
  <c r="R1872" i="10"/>
  <c r="R1871" i="10"/>
  <c r="R1870" i="10"/>
  <c r="R1869" i="10"/>
  <c r="R1868" i="10"/>
  <c r="R1855" i="10"/>
  <c r="R1854" i="10"/>
  <c r="R1853" i="10"/>
  <c r="R1852" i="10"/>
  <c r="R1851" i="10"/>
  <c r="R1839" i="10"/>
  <c r="R1838" i="10"/>
  <c r="R1837" i="10"/>
  <c r="R1825" i="10"/>
  <c r="R1824" i="10"/>
  <c r="R1823" i="10"/>
  <c r="R1822" i="10"/>
  <c r="R1821" i="10"/>
  <c r="R1820" i="10"/>
  <c r="R1819" i="10"/>
  <c r="R1818" i="10"/>
  <c r="R1806" i="10"/>
  <c r="R1805" i="10"/>
  <c r="R1804" i="10"/>
  <c r="R1803" i="10"/>
  <c r="R1802" i="10"/>
  <c r="R1801" i="10"/>
  <c r="R1788" i="10"/>
  <c r="R1774" i="10"/>
  <c r="R1773" i="10"/>
  <c r="R1760" i="10"/>
  <c r="R1759" i="10"/>
  <c r="R1758" i="10"/>
  <c r="R1756" i="10"/>
  <c r="R1755" i="10"/>
  <c r="R1754" i="10"/>
  <c r="R1753" i="10"/>
  <c r="R1752" i="10"/>
  <c r="R1739" i="10"/>
  <c r="R1738" i="10"/>
  <c r="R1737" i="10"/>
  <c r="R1736" i="10"/>
  <c r="R1693" i="10"/>
  <c r="R1692" i="10"/>
  <c r="R1691" i="10"/>
  <c r="R1690" i="10"/>
  <c r="R1689" i="10"/>
  <c r="R1686" i="10"/>
  <c r="R1685" i="10"/>
  <c r="R1684" i="10"/>
  <c r="R1683" i="10"/>
  <c r="R1682" i="10"/>
  <c r="R1681" i="10"/>
  <c r="R1680" i="10"/>
  <c r="R1679" i="10"/>
  <c r="R1678" i="10"/>
  <c r="R1677" i="10"/>
  <c r="R1676" i="10"/>
  <c r="R1675" i="10"/>
  <c r="R1674" i="10"/>
  <c r="R1673" i="10"/>
  <c r="R1672" i="10"/>
  <c r="R1671" i="10"/>
  <c r="R1670" i="10"/>
  <c r="R1669" i="10"/>
  <c r="R1668" i="10"/>
  <c r="R1664" i="10"/>
  <c r="R1663" i="10"/>
  <c r="R1662" i="10"/>
  <c r="R1661" i="10"/>
  <c r="R1660" i="10"/>
  <c r="R1659" i="10"/>
  <c r="R1658" i="10"/>
  <c r="R1657" i="10"/>
  <c r="R1621" i="10"/>
  <c r="R1620" i="10"/>
  <c r="R1619" i="10"/>
  <c r="R1618" i="10"/>
  <c r="R1617" i="10"/>
  <c r="R1616" i="10"/>
  <c r="R1615" i="10"/>
  <c r="R1614" i="10"/>
  <c r="R1613" i="10"/>
  <c r="R1612" i="10"/>
  <c r="R1611" i="10"/>
  <c r="R1610" i="10"/>
  <c r="R1609" i="10"/>
  <c r="R1608" i="10"/>
  <c r="R1607" i="10"/>
  <c r="R1606" i="10"/>
  <c r="R1605" i="10"/>
  <c r="R1604" i="10"/>
  <c r="R1603" i="10"/>
  <c r="R1602" i="10"/>
  <c r="R1601" i="10"/>
  <c r="R1600" i="10"/>
  <c r="R1599" i="10"/>
  <c r="R1598" i="10"/>
  <c r="R1597" i="10"/>
  <c r="R1596" i="10"/>
  <c r="R1592" i="10"/>
  <c r="R1591" i="10"/>
  <c r="R1590" i="10"/>
  <c r="R1589" i="10"/>
  <c r="R1588" i="10"/>
  <c r="R1587" i="10"/>
  <c r="R1586" i="10"/>
  <c r="R1585" i="10"/>
  <c r="R1552" i="10"/>
  <c r="R1551" i="10"/>
  <c r="R1550" i="10"/>
  <c r="R1549" i="10"/>
  <c r="R1548" i="10"/>
  <c r="R1547" i="10"/>
  <c r="R1546" i="10"/>
  <c r="R1545" i="10"/>
  <c r="R1544" i="10"/>
  <c r="R1543" i="10"/>
  <c r="R1542" i="10"/>
  <c r="R1541" i="10"/>
  <c r="R1540" i="10"/>
  <c r="R1539" i="10"/>
  <c r="R1538" i="10"/>
  <c r="R1537" i="10"/>
  <c r="R1536" i="10"/>
  <c r="R1535" i="10"/>
  <c r="R1534" i="10"/>
  <c r="R1533" i="10"/>
  <c r="R1532" i="10"/>
  <c r="R1531" i="10"/>
  <c r="R1530" i="10"/>
  <c r="R1515" i="10"/>
  <c r="R1514" i="10"/>
  <c r="R1513" i="10"/>
  <c r="R1512" i="10"/>
  <c r="R1511" i="10"/>
  <c r="R1510" i="10"/>
  <c r="R1509" i="10"/>
  <c r="R1508" i="10"/>
  <c r="R1507" i="10"/>
  <c r="R1506" i="10"/>
  <c r="R1505" i="10"/>
  <c r="R1503" i="10"/>
  <c r="R1502" i="10"/>
  <c r="R1501" i="10"/>
  <c r="R1500" i="10"/>
  <c r="R1468" i="10"/>
  <c r="R1467" i="10"/>
  <c r="R1466" i="10"/>
  <c r="R1465" i="10"/>
  <c r="R1464" i="10"/>
  <c r="R1463" i="10"/>
  <c r="R1462" i="10"/>
  <c r="R1461" i="10"/>
  <c r="R1460" i="10"/>
  <c r="R1459" i="10"/>
  <c r="R1458" i="10"/>
  <c r="R1457" i="10"/>
  <c r="R1456" i="10"/>
  <c r="R1455" i="10"/>
  <c r="R1454" i="10"/>
  <c r="R1453" i="10"/>
  <c r="R1452" i="10"/>
  <c r="R1451" i="10"/>
  <c r="R1450" i="10"/>
  <c r="R1449" i="10"/>
  <c r="R1436" i="10"/>
  <c r="R1435" i="10"/>
  <c r="R1433" i="10"/>
  <c r="R1431" i="10"/>
  <c r="R1430" i="10"/>
  <c r="R1416" i="10"/>
  <c r="R1415" i="10"/>
  <c r="R1414" i="10"/>
  <c r="R1413" i="10"/>
  <c r="R1412" i="10"/>
  <c r="R1411" i="10"/>
  <c r="R1398" i="10"/>
  <c r="R1397" i="10"/>
  <c r="R1396" i="10"/>
  <c r="R1395" i="10"/>
  <c r="R1394" i="10"/>
  <c r="R1393" i="10"/>
  <c r="R1392" i="10"/>
  <c r="R1390" i="10"/>
  <c r="R1375" i="10"/>
  <c r="R1374" i="10"/>
  <c r="R1371" i="10"/>
  <c r="R1370" i="10"/>
  <c r="R1368" i="10"/>
  <c r="R1352" i="10"/>
  <c r="R1351" i="10"/>
  <c r="R1350" i="10"/>
  <c r="R1349" i="10"/>
  <c r="R1348" i="10"/>
  <c r="R1347" i="10"/>
  <c r="R1346" i="10"/>
  <c r="R1344" i="10"/>
  <c r="R1329" i="10"/>
  <c r="R1324" i="10"/>
  <c r="R1322" i="10"/>
  <c r="R1306" i="10"/>
  <c r="R1305" i="10"/>
  <c r="R1304" i="10"/>
  <c r="R1303" i="10"/>
  <c r="R1302" i="10"/>
  <c r="R1301" i="10"/>
  <c r="R1300" i="10"/>
  <c r="R1298" i="10"/>
  <c r="R1283" i="10"/>
  <c r="R1278" i="10"/>
  <c r="R1276" i="10"/>
  <c r="R1262" i="10"/>
  <c r="R1261" i="10"/>
  <c r="R1260" i="10"/>
  <c r="R1259" i="10"/>
  <c r="R1258" i="10"/>
  <c r="R1257" i="10"/>
  <c r="R1242" i="10"/>
  <c r="R1241" i="10"/>
  <c r="R1229" i="10"/>
  <c r="R1228" i="10"/>
  <c r="R1215" i="10"/>
  <c r="R1214" i="10"/>
  <c r="R1213" i="10"/>
  <c r="R1212" i="10"/>
  <c r="R1198" i="10"/>
  <c r="R1197" i="10"/>
  <c r="R1196" i="10"/>
  <c r="R1195" i="10"/>
  <c r="R1181" i="10"/>
  <c r="R1180" i="10"/>
  <c r="R1179" i="10"/>
  <c r="R1178" i="10"/>
  <c r="R1165" i="10"/>
  <c r="R1164" i="10"/>
  <c r="R1163" i="10"/>
  <c r="R1162" i="10"/>
  <c r="R1149" i="10"/>
  <c r="R1148" i="10"/>
  <c r="R1147" i="10"/>
  <c r="R1146" i="10"/>
  <c r="R1133" i="10"/>
  <c r="R1132" i="10"/>
  <c r="R1131" i="10"/>
  <c r="R1130" i="10"/>
  <c r="R1117" i="10"/>
  <c r="R1116" i="10"/>
  <c r="R1115" i="10"/>
  <c r="R1114" i="10"/>
  <c r="R1113" i="10"/>
  <c r="R1112" i="10"/>
  <c r="R1111" i="10"/>
  <c r="R1110" i="10"/>
  <c r="R1109" i="10"/>
  <c r="R1108" i="10"/>
  <c r="R1107" i="10"/>
  <c r="R1106" i="10"/>
  <c r="R1105" i="10"/>
  <c r="R1104" i="10"/>
  <c r="R1103" i="10"/>
  <c r="R1102" i="10"/>
  <c r="R1088" i="10"/>
  <c r="R1087" i="10"/>
  <c r="R1086" i="10"/>
  <c r="R1085" i="10"/>
  <c r="R1084" i="10"/>
  <c r="R1083" i="10"/>
  <c r="R1082" i="10"/>
  <c r="R1081" i="10"/>
  <c r="R1080" i="10"/>
  <c r="R1079" i="10"/>
  <c r="R1066" i="10"/>
  <c r="R1065" i="10"/>
  <c r="R1064" i="10"/>
  <c r="R1063" i="10"/>
  <c r="R1062" i="10"/>
  <c r="R1061" i="10"/>
  <c r="R1060" i="10"/>
  <c r="R1059" i="10"/>
  <c r="R1058" i="10"/>
  <c r="R1057" i="10"/>
  <c r="R1056" i="10"/>
  <c r="R1055" i="10"/>
  <c r="R1041" i="10"/>
  <c r="R1040" i="10"/>
  <c r="R1027" i="10"/>
  <c r="R1026" i="10"/>
  <c r="R1025" i="10"/>
  <c r="R1024" i="10"/>
  <c r="R1023" i="10"/>
  <c r="R1022" i="10"/>
  <c r="R1021" i="10"/>
  <c r="R1020" i="10"/>
  <c r="R1019" i="10"/>
  <c r="R1006" i="10"/>
  <c r="R1005" i="10"/>
  <c r="R1004" i="10"/>
  <c r="R1003" i="10"/>
  <c r="R1002" i="10"/>
  <c r="R1001" i="10"/>
  <c r="R1000" i="10"/>
  <c r="R999" i="10"/>
  <c r="R998" i="10"/>
  <c r="R997" i="10"/>
  <c r="R996" i="10"/>
  <c r="R995" i="10"/>
  <c r="R994" i="10"/>
  <c r="R993" i="10"/>
  <c r="R992" i="10"/>
  <c r="R991" i="10"/>
  <c r="R990" i="10"/>
  <c r="R989" i="10"/>
  <c r="R988" i="10"/>
  <c r="R987" i="10"/>
  <c r="R986" i="10"/>
  <c r="R985" i="10"/>
  <c r="R984" i="10"/>
  <c r="R983" i="10"/>
  <c r="R982" i="10"/>
  <c r="R981" i="10"/>
  <c r="R980" i="10"/>
  <c r="R979" i="10"/>
  <c r="R978" i="10"/>
  <c r="R977" i="10"/>
  <c r="R976" i="10"/>
  <c r="R975" i="10"/>
  <c r="R974" i="10"/>
  <c r="R973" i="10"/>
  <c r="R972" i="10"/>
  <c r="R956" i="10"/>
  <c r="R955" i="10"/>
  <c r="R954" i="10"/>
  <c r="R953" i="10"/>
  <c r="R952" i="10"/>
  <c r="R951" i="10"/>
  <c r="R950" i="10"/>
  <c r="R949" i="10"/>
  <c r="R948" i="10"/>
  <c r="R947" i="10"/>
  <c r="R945" i="10"/>
  <c r="R932" i="10"/>
  <c r="R931" i="10"/>
  <c r="R930" i="10"/>
  <c r="R929" i="10"/>
  <c r="R928" i="10"/>
  <c r="R927" i="10"/>
  <c r="R926" i="10"/>
  <c r="R925" i="10"/>
  <c r="R924" i="10"/>
  <c r="R923" i="10"/>
  <c r="R921" i="10"/>
  <c r="R908" i="10"/>
  <c r="R907" i="10"/>
  <c r="R906" i="10"/>
  <c r="R905" i="10"/>
  <c r="R904" i="10"/>
  <c r="R903" i="10"/>
  <c r="R902" i="10"/>
  <c r="R901" i="10"/>
  <c r="R900" i="10"/>
  <c r="R899" i="10"/>
  <c r="R898" i="10"/>
  <c r="R897" i="10"/>
  <c r="R896" i="10"/>
  <c r="R895" i="10"/>
  <c r="R894" i="10"/>
  <c r="R893" i="10"/>
  <c r="R892" i="10"/>
  <c r="R891" i="10"/>
  <c r="R890" i="10"/>
  <c r="R889" i="10"/>
  <c r="R888" i="10"/>
  <c r="R887" i="10"/>
  <c r="R886" i="10"/>
  <c r="R885" i="10"/>
  <c r="R884" i="10"/>
  <c r="R883" i="10"/>
  <c r="R882" i="10"/>
  <c r="R881" i="10"/>
  <c r="R880" i="10"/>
  <c r="R879" i="10"/>
  <c r="R878" i="10"/>
  <c r="R877" i="10"/>
  <c r="R876" i="10"/>
  <c r="R875" i="10"/>
  <c r="R874" i="10"/>
  <c r="R873" i="10"/>
  <c r="R872" i="10"/>
  <c r="R871" i="10"/>
  <c r="R870" i="10"/>
  <c r="R869" i="10"/>
  <c r="R868" i="10"/>
  <c r="R867" i="10"/>
  <c r="R866" i="10"/>
  <c r="R865" i="10"/>
  <c r="R864" i="10"/>
  <c r="R863" i="10"/>
  <c r="R862" i="10"/>
  <c r="R861" i="10"/>
  <c r="R860" i="10"/>
  <c r="R859" i="10"/>
  <c r="R858" i="10"/>
  <c r="R857" i="10"/>
  <c r="R856" i="10"/>
  <c r="R855" i="10"/>
  <c r="R854" i="10"/>
  <c r="R853" i="10"/>
  <c r="R852" i="10"/>
  <c r="R851" i="10"/>
  <c r="R850" i="10"/>
  <c r="R849" i="10"/>
  <c r="R848" i="10"/>
  <c r="R847" i="10"/>
  <c r="R846" i="10"/>
  <c r="R845" i="10"/>
  <c r="R834" i="10"/>
  <c r="R833" i="10"/>
  <c r="R832" i="10"/>
  <c r="R831" i="10"/>
  <c r="R830" i="10"/>
  <c r="R829" i="10"/>
  <c r="R828" i="10"/>
  <c r="R827" i="10"/>
  <c r="R826" i="10"/>
  <c r="R825" i="10"/>
  <c r="R824" i="10"/>
  <c r="R823" i="10"/>
  <c r="R822" i="10"/>
  <c r="R821" i="10"/>
  <c r="R820" i="10"/>
  <c r="R819" i="10"/>
  <c r="R808" i="10"/>
  <c r="R807" i="10"/>
  <c r="R806" i="10"/>
  <c r="R805" i="10"/>
  <c r="R804" i="10"/>
  <c r="R803" i="10"/>
  <c r="R792" i="10"/>
  <c r="R791" i="10"/>
  <c r="R790" i="10"/>
  <c r="R789" i="10"/>
  <c r="R788" i="10"/>
  <c r="R787" i="10"/>
  <c r="R776" i="10"/>
  <c r="R775" i="10"/>
  <c r="R774" i="10"/>
  <c r="R773" i="10"/>
  <c r="R772" i="10"/>
  <c r="R771" i="10"/>
  <c r="R760" i="10"/>
  <c r="R759" i="10"/>
  <c r="R758" i="10"/>
  <c r="R757" i="10"/>
  <c r="R756" i="10"/>
  <c r="R755" i="10"/>
  <c r="R744" i="10"/>
  <c r="R743" i="10"/>
  <c r="R742" i="10"/>
  <c r="R741" i="10"/>
  <c r="R740" i="10"/>
  <c r="R739" i="10"/>
  <c r="R728" i="10"/>
  <c r="R727" i="10"/>
  <c r="R726" i="10"/>
  <c r="R725" i="10"/>
  <c r="R724" i="10"/>
  <c r="R723" i="10"/>
  <c r="R722" i="10"/>
  <c r="R721" i="10"/>
  <c r="R720" i="10"/>
  <c r="R719" i="10"/>
  <c r="R718" i="10"/>
  <c r="R717" i="10"/>
  <c r="R716" i="10"/>
  <c r="R715" i="10"/>
  <c r="R714" i="10"/>
  <c r="R713" i="10"/>
  <c r="R712" i="10"/>
  <c r="R711" i="10"/>
  <c r="R710" i="10"/>
  <c r="R709" i="10"/>
  <c r="R708" i="10"/>
  <c r="R707" i="10"/>
  <c r="R706" i="10"/>
  <c r="R705" i="10"/>
  <c r="R704" i="10"/>
  <c r="R703" i="10"/>
  <c r="R702" i="10"/>
  <c r="R701" i="10"/>
  <c r="R700" i="10"/>
  <c r="R699" i="10"/>
  <c r="R698" i="10"/>
  <c r="R697" i="10"/>
  <c r="R696" i="10"/>
  <c r="R695" i="10"/>
  <c r="R694" i="10"/>
  <c r="R693" i="10"/>
  <c r="R692" i="10"/>
  <c r="R691" i="10"/>
  <c r="R690" i="10"/>
  <c r="R689" i="10"/>
  <c r="R688" i="10"/>
  <c r="R687" i="10"/>
  <c r="R686" i="10"/>
  <c r="R685" i="10"/>
  <c r="R684" i="10"/>
  <c r="R683" i="10"/>
  <c r="R682" i="10"/>
  <c r="R681" i="10"/>
  <c r="R680" i="10"/>
  <c r="R679" i="10"/>
  <c r="R678" i="10"/>
  <c r="R677" i="10"/>
  <c r="R676" i="10"/>
  <c r="R675" i="10"/>
  <c r="R674" i="10"/>
  <c r="R673" i="10"/>
  <c r="R672" i="10"/>
  <c r="R671" i="10"/>
  <c r="R670" i="10"/>
  <c r="R659" i="10"/>
  <c r="R658" i="10"/>
  <c r="R657" i="10"/>
  <c r="R656" i="10"/>
  <c r="R655" i="10"/>
  <c r="R654" i="10"/>
  <c r="R653" i="10"/>
  <c r="R642" i="10"/>
  <c r="R641" i="10"/>
  <c r="R640" i="10"/>
  <c r="R639" i="10"/>
  <c r="R638" i="10"/>
  <c r="R637" i="10"/>
  <c r="R626" i="10"/>
  <c r="R625" i="10"/>
  <c r="R624" i="10"/>
  <c r="R623" i="10"/>
  <c r="R622" i="10"/>
  <c r="R621" i="10"/>
  <c r="R610" i="10"/>
  <c r="R609" i="10"/>
  <c r="R608" i="10"/>
  <c r="R607" i="10"/>
  <c r="R606" i="10"/>
  <c r="R605" i="10"/>
  <c r="R594" i="10"/>
  <c r="R593" i="10"/>
  <c r="R592" i="10"/>
  <c r="R591" i="10"/>
  <c r="R590" i="10"/>
  <c r="R589" i="10"/>
  <c r="R578" i="10"/>
  <c r="R577" i="10"/>
  <c r="R576" i="10"/>
  <c r="R575" i="10"/>
  <c r="R574" i="10"/>
  <c r="R573" i="10"/>
  <c r="R562" i="10"/>
  <c r="R561" i="10"/>
  <c r="R560" i="10"/>
  <c r="R559" i="10"/>
  <c r="R558" i="10"/>
  <c r="R557" i="10"/>
  <c r="R556" i="10"/>
  <c r="R555" i="10"/>
  <c r="R554" i="10"/>
  <c r="R553" i="10"/>
  <c r="R552" i="10"/>
  <c r="R551" i="10"/>
  <c r="R550" i="10"/>
  <c r="R549" i="10"/>
  <c r="R548" i="10"/>
  <c r="R547" i="10"/>
  <c r="R546" i="10"/>
  <c r="R545" i="10"/>
  <c r="R544" i="10"/>
  <c r="R543" i="10"/>
  <c r="R542" i="10"/>
  <c r="R541" i="10"/>
  <c r="R540" i="10"/>
  <c r="R539" i="10"/>
  <c r="R538" i="10"/>
  <c r="R537" i="10"/>
  <c r="R536" i="10"/>
  <c r="R535" i="10"/>
  <c r="R534" i="10"/>
  <c r="R533" i="10"/>
  <c r="R532" i="10"/>
  <c r="R531" i="10"/>
  <c r="R520" i="10"/>
  <c r="R519" i="10"/>
  <c r="R518" i="10"/>
  <c r="R517" i="10"/>
  <c r="R516" i="10"/>
  <c r="R515" i="10"/>
  <c r="R514" i="10"/>
  <c r="R513" i="10"/>
  <c r="R512" i="10"/>
  <c r="R511" i="10"/>
  <c r="R510" i="10"/>
  <c r="R509" i="10"/>
  <c r="R508" i="10"/>
  <c r="R507" i="10"/>
  <c r="R506" i="10"/>
  <c r="R505" i="10"/>
  <c r="R504" i="10"/>
  <c r="R503" i="10"/>
  <c r="R502" i="10"/>
  <c r="R501" i="10"/>
  <c r="R500" i="10"/>
  <c r="R499" i="10"/>
  <c r="R498" i="10"/>
  <c r="R497" i="10"/>
  <c r="R496" i="10"/>
  <c r="R495" i="10"/>
  <c r="R494" i="10"/>
  <c r="R493" i="10"/>
  <c r="R492" i="10"/>
  <c r="R491" i="10"/>
  <c r="R490" i="10"/>
  <c r="R489" i="10"/>
  <c r="R488" i="10"/>
  <c r="R487" i="10"/>
  <c r="R486" i="10"/>
  <c r="R485" i="10"/>
  <c r="R484" i="10"/>
  <c r="R483" i="10"/>
  <c r="R482" i="10"/>
  <c r="R481" i="10"/>
  <c r="R480" i="10"/>
  <c r="R479" i="10"/>
  <c r="R478" i="10"/>
  <c r="R477" i="10"/>
  <c r="R476" i="10"/>
  <c r="R475" i="10"/>
  <c r="R474" i="10"/>
  <c r="R473" i="10"/>
  <c r="R472" i="10"/>
  <c r="R461" i="10"/>
  <c r="R460" i="10"/>
  <c r="R459" i="10"/>
  <c r="R458" i="10"/>
  <c r="R457" i="10"/>
  <c r="R456" i="10"/>
  <c r="R455" i="10"/>
  <c r="R454" i="10"/>
  <c r="R453" i="10"/>
  <c r="R452" i="10"/>
  <c r="R451" i="10"/>
  <c r="R450" i="10"/>
  <c r="R449" i="10"/>
  <c r="R448" i="10"/>
  <c r="R447" i="10"/>
  <c r="R436" i="10"/>
  <c r="R435" i="10"/>
  <c r="R434" i="10"/>
  <c r="R433" i="10"/>
  <c r="R432" i="10"/>
  <c r="R431" i="10"/>
  <c r="R420" i="10"/>
  <c r="R419" i="10"/>
  <c r="R418" i="10"/>
  <c r="R417" i="10"/>
  <c r="R416" i="10"/>
  <c r="R415" i="10"/>
  <c r="R404" i="10"/>
  <c r="R403" i="10"/>
  <c r="R402" i="10"/>
  <c r="R401" i="10"/>
  <c r="R400" i="10"/>
  <c r="R399" i="10"/>
  <c r="R388" i="10"/>
  <c r="R387" i="10"/>
  <c r="R386" i="10"/>
  <c r="R385" i="10"/>
  <c r="R384" i="10"/>
  <c r="R383" i="10"/>
  <c r="R372" i="10"/>
  <c r="R371" i="10"/>
  <c r="R370" i="10"/>
  <c r="R369" i="10"/>
  <c r="R368" i="10"/>
  <c r="R367" i="10"/>
  <c r="R249" i="10"/>
  <c r="R247" i="10"/>
  <c r="R246" i="10"/>
  <c r="R245" i="10"/>
  <c r="R244" i="10"/>
  <c r="R243" i="10"/>
  <c r="R242" i="10"/>
  <c r="R241" i="10"/>
  <c r="R240" i="10"/>
  <c r="R239" i="10"/>
  <c r="R238" i="10"/>
  <c r="R237" i="10"/>
  <c r="R236" i="10"/>
  <c r="R235" i="10"/>
  <c r="R234" i="10"/>
  <c r="R233" i="10"/>
  <c r="R232" i="10"/>
  <c r="R231" i="10"/>
  <c r="R230" i="10"/>
  <c r="R229" i="10"/>
  <c r="R218" i="10"/>
  <c r="R216" i="10"/>
  <c r="R215" i="10"/>
  <c r="R214" i="10"/>
  <c r="R213" i="10"/>
  <c r="R212" i="10"/>
  <c r="R211" i="10"/>
  <c r="R210" i="10"/>
  <c r="R209" i="10"/>
  <c r="R208" i="10"/>
  <c r="R207" i="10"/>
  <c r="R206" i="10"/>
  <c r="R205" i="10"/>
  <c r="R204" i="10"/>
  <c r="R203" i="10"/>
  <c r="R202" i="10"/>
  <c r="R201" i="10"/>
  <c r="R200" i="10"/>
  <c r="R189" i="10"/>
  <c r="R187" i="10"/>
  <c r="R186" i="10"/>
  <c r="R185" i="10"/>
  <c r="R184" i="10"/>
  <c r="R183" i="10"/>
  <c r="R182" i="10"/>
  <c r="R181" i="10"/>
  <c r="R180" i="10"/>
  <c r="R179" i="10"/>
  <c r="R178" i="10"/>
  <c r="R177" i="10"/>
  <c r="R176" i="10"/>
  <c r="R175" i="10"/>
  <c r="R174" i="10"/>
  <c r="R173" i="10"/>
  <c r="R172" i="10"/>
  <c r="R171" i="10"/>
  <c r="R170" i="10"/>
  <c r="R169" i="10"/>
  <c r="R168" i="10"/>
  <c r="R167" i="10"/>
  <c r="R166" i="10"/>
  <c r="R165" i="10"/>
  <c r="R164" i="10"/>
  <c r="R163" i="10"/>
  <c r="R162" i="10"/>
  <c r="R161" i="10"/>
  <c r="R160" i="10"/>
  <c r="R159" i="10"/>
  <c r="R158" i="10"/>
  <c r="R157" i="10"/>
  <c r="R156" i="10"/>
  <c r="R155" i="10"/>
  <c r="R154" i="10"/>
  <c r="R153" i="10"/>
  <c r="R152" i="10"/>
  <c r="R141" i="10"/>
  <c r="R139" i="10"/>
  <c r="R138" i="10"/>
  <c r="R137" i="10"/>
  <c r="R136" i="10"/>
  <c r="R135" i="10"/>
  <c r="R134" i="10"/>
  <c r="R133" i="10"/>
  <c r="R132" i="10"/>
  <c r="R131" i="10"/>
  <c r="R130" i="10"/>
  <c r="R129" i="10"/>
  <c r="R128" i="10"/>
  <c r="R127" i="10"/>
  <c r="R126" i="10"/>
  <c r="R125" i="10"/>
  <c r="R124" i="10"/>
  <c r="R123" i="10"/>
  <c r="R122" i="10"/>
  <c r="R121" i="10"/>
  <c r="R120" i="10"/>
  <c r="R119" i="10"/>
  <c r="R118" i="10"/>
  <c r="R117" i="10"/>
  <c r="R116" i="10"/>
  <c r="R115" i="10"/>
  <c r="R114" i="10"/>
  <c r="R113" i="10"/>
  <c r="R112" i="10"/>
  <c r="R111" i="10"/>
  <c r="R110" i="10"/>
  <c r="R109" i="10"/>
  <c r="R108" i="10"/>
  <c r="R107" i="10"/>
  <c r="R106" i="10"/>
  <c r="R95"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47" i="10"/>
  <c r="R45" i="10"/>
  <c r="R44" i="10"/>
  <c r="R43" i="10"/>
  <c r="R42" i="10"/>
  <c r="R41" i="10"/>
  <c r="R40" i="10"/>
  <c r="R39" i="10"/>
  <c r="R38" i="10"/>
  <c r="R37" i="10"/>
  <c r="R36" i="10"/>
  <c r="R35" i="10"/>
  <c r="R34" i="10"/>
  <c r="R33" i="10"/>
  <c r="R32" i="10"/>
  <c r="R31" i="10"/>
  <c r="R30" i="10"/>
  <c r="R29" i="10"/>
  <c r="R28" i="10"/>
  <c r="R27" i="10"/>
  <c r="R26" i="10"/>
  <c r="R25" i="10"/>
  <c r="R24" i="10"/>
  <c r="R23" i="10"/>
  <c r="R22" i="10"/>
  <c r="R21" i="10"/>
  <c r="R20" i="10"/>
  <c r="R19" i="10"/>
  <c r="R18" i="10"/>
  <c r="R17" i="10"/>
  <c r="R16" i="10"/>
  <c r="R15" i="10"/>
  <c r="R14" i="10"/>
  <c r="R13" i="10"/>
  <c r="R12" i="10"/>
  <c r="J2124" i="10"/>
  <c r="J2123" i="10"/>
  <c r="J2122" i="10"/>
  <c r="J2110" i="10"/>
  <c r="J2109" i="10"/>
  <c r="J2108" i="10"/>
  <c r="J2107" i="10"/>
  <c r="J2095" i="10"/>
  <c r="J2094" i="10"/>
  <c r="J2093" i="10"/>
  <c r="J2092" i="10"/>
  <c r="J2091" i="10"/>
  <c r="J2079" i="10"/>
  <c r="J2078" i="10"/>
  <c r="J2077" i="10"/>
  <c r="J2065" i="10"/>
  <c r="J2064" i="10"/>
  <c r="J2063" i="10"/>
  <c r="J2062" i="10"/>
  <c r="J2049" i="10"/>
  <c r="J2048" i="10"/>
  <c r="J2047" i="10"/>
  <c r="J2046" i="10"/>
  <c r="J2045" i="10"/>
  <c r="J2044" i="10"/>
  <c r="J2032" i="10"/>
  <c r="J2031" i="10"/>
  <c r="J2030" i="10"/>
  <c r="J2029" i="10"/>
  <c r="J2028" i="10"/>
  <c r="J2016" i="10"/>
  <c r="J2015" i="10"/>
  <c r="J2014" i="10"/>
  <c r="J2013" i="10"/>
  <c r="J2012" i="10"/>
  <c r="J2011" i="10"/>
  <c r="J1999" i="10"/>
  <c r="J1998" i="10"/>
  <c r="J1997" i="10"/>
  <c r="J1996" i="10"/>
  <c r="J1995" i="10"/>
  <c r="J1983" i="10"/>
  <c r="J1982" i="10"/>
  <c r="J1980" i="10"/>
  <c r="J1979" i="10"/>
  <c r="J1978" i="10"/>
  <c r="J1977" i="10"/>
  <c r="J1976" i="10"/>
  <c r="J1963" i="10"/>
  <c r="J1962" i="10"/>
  <c r="J1961" i="10"/>
  <c r="J1960" i="10"/>
  <c r="J1948" i="10"/>
  <c r="J1947" i="10"/>
  <c r="J1946" i="10"/>
  <c r="J1945" i="10"/>
  <c r="J1933" i="10"/>
  <c r="J1932" i="10"/>
  <c r="J1931" i="10"/>
  <c r="J1919" i="10"/>
  <c r="J1918" i="10"/>
  <c r="J1917" i="10"/>
  <c r="J1916" i="10"/>
  <c r="J1904" i="10"/>
  <c r="J1903" i="10"/>
  <c r="J1902" i="10"/>
  <c r="J1901" i="10"/>
  <c r="J1900" i="10"/>
  <c r="J1888" i="10"/>
  <c r="J1887" i="10"/>
  <c r="J1886" i="10"/>
  <c r="J1885" i="10"/>
  <c r="J1872" i="10"/>
  <c r="J1871" i="10"/>
  <c r="J1870" i="10"/>
  <c r="J1869" i="10"/>
  <c r="J1868" i="10"/>
  <c r="J1855" i="10"/>
  <c r="J1854" i="10"/>
  <c r="J1853" i="10"/>
  <c r="J1852" i="10"/>
  <c r="J1851" i="10"/>
  <c r="J1839" i="10"/>
  <c r="J1837" i="10"/>
  <c r="J1825" i="10"/>
  <c r="J1824" i="10"/>
  <c r="J1823" i="10"/>
  <c r="J1822" i="10"/>
  <c r="J1820" i="10"/>
  <c r="J1819" i="10"/>
  <c r="J1818" i="10"/>
  <c r="J1803" i="10"/>
  <c r="J1802" i="10"/>
  <c r="J1801" i="10"/>
  <c r="J1788" i="10"/>
  <c r="J1774" i="10"/>
  <c r="J1773" i="10"/>
  <c r="J1756" i="10"/>
  <c r="J1692" i="10"/>
  <c r="J1691" i="10"/>
  <c r="J1690" i="10"/>
  <c r="J1689" i="10"/>
  <c r="J1686" i="10"/>
  <c r="J1685" i="10"/>
  <c r="J1684" i="10"/>
  <c r="J1682" i="10"/>
  <c r="J1680" i="10"/>
  <c r="J1679" i="10"/>
  <c r="J1678" i="10"/>
  <c r="J1677" i="10"/>
  <c r="J1676" i="10"/>
  <c r="J1675" i="10"/>
  <c r="J1674" i="10"/>
  <c r="J1673" i="10"/>
  <c r="J1664" i="10"/>
  <c r="J1663" i="10"/>
  <c r="J1662" i="10"/>
  <c r="J1661" i="10"/>
  <c r="J1660" i="10"/>
  <c r="J1659" i="10"/>
  <c r="J1658" i="10"/>
  <c r="J1657" i="10"/>
  <c r="J1621" i="10"/>
  <c r="J1620" i="10"/>
  <c r="J1619" i="10"/>
  <c r="J1618" i="10"/>
  <c r="J1617" i="10"/>
  <c r="J1616" i="10"/>
  <c r="J1615" i="10"/>
  <c r="J1614" i="10"/>
  <c r="J1613" i="10"/>
  <c r="J1612" i="10"/>
  <c r="J1610" i="10"/>
  <c r="J1608" i="10"/>
  <c r="J1607" i="10"/>
  <c r="J1606" i="10"/>
  <c r="J1605" i="10"/>
  <c r="J1604" i="10"/>
  <c r="J1603" i="10"/>
  <c r="J1602" i="10"/>
  <c r="J1601" i="10"/>
  <c r="J1592" i="10"/>
  <c r="J1591" i="10"/>
  <c r="J1590" i="10"/>
  <c r="J1589" i="10"/>
  <c r="J1588" i="10"/>
  <c r="J1587" i="10"/>
  <c r="J1586" i="10"/>
  <c r="J1585" i="10"/>
  <c r="J1552" i="10"/>
  <c r="J1551" i="10"/>
  <c r="J1550" i="10"/>
  <c r="J1549" i="10"/>
  <c r="J1548" i="10"/>
  <c r="J1547" i="10"/>
  <c r="J1546" i="10"/>
  <c r="J1542" i="10"/>
  <c r="J1541" i="10"/>
  <c r="J1540" i="10"/>
  <c r="J1539" i="10"/>
  <c r="J1538" i="10"/>
  <c r="J1537" i="10"/>
  <c r="J1536" i="10"/>
  <c r="J1535" i="10"/>
  <c r="J1534" i="10"/>
  <c r="J1533" i="10"/>
  <c r="J1532" i="10"/>
  <c r="J1531" i="10"/>
  <c r="J1530" i="10"/>
  <c r="J1515" i="10"/>
  <c r="J1514" i="10"/>
  <c r="J1513" i="10"/>
  <c r="J1512" i="10"/>
  <c r="J1511" i="10"/>
  <c r="J1510" i="10"/>
  <c r="J1509" i="10"/>
  <c r="J1508" i="10"/>
  <c r="J1507" i="10"/>
  <c r="J1506" i="10"/>
  <c r="J1505" i="10"/>
  <c r="J1503" i="10"/>
  <c r="J1502" i="10"/>
  <c r="J1501" i="10"/>
  <c r="J1500" i="10"/>
  <c r="J1468" i="10"/>
  <c r="J1467" i="10"/>
  <c r="J1466" i="10"/>
  <c r="J1465" i="10"/>
  <c r="J1464" i="10"/>
  <c r="J1463" i="10"/>
  <c r="J1462" i="10"/>
  <c r="J1461" i="10"/>
  <c r="J1460" i="10"/>
  <c r="J1459" i="10"/>
  <c r="J1458" i="10"/>
  <c r="J1457" i="10"/>
  <c r="J1456" i="10"/>
  <c r="J1455" i="10"/>
  <c r="J1454" i="10"/>
  <c r="J1453" i="10"/>
  <c r="J1452" i="10"/>
  <c r="J1451" i="10"/>
  <c r="J1450" i="10"/>
  <c r="J1449" i="10"/>
  <c r="J1436" i="10"/>
  <c r="J1435" i="10"/>
  <c r="J1433" i="10"/>
  <c r="J1430" i="10"/>
  <c r="J1416" i="10"/>
  <c r="J1415" i="10"/>
  <c r="J1413" i="10"/>
  <c r="J1412" i="10"/>
  <c r="J1411" i="10"/>
  <c r="J1398" i="10"/>
  <c r="J1397" i="10"/>
  <c r="J1375" i="10"/>
  <c r="J1374" i="10"/>
  <c r="J1371" i="10"/>
  <c r="J1370" i="10"/>
  <c r="J1368" i="10"/>
  <c r="J1352" i="10"/>
  <c r="J1351" i="10"/>
  <c r="J1329" i="10"/>
  <c r="J1324" i="10"/>
  <c r="J1322" i="10"/>
  <c r="J1306" i="10"/>
  <c r="J1305" i="10"/>
  <c r="J1283" i="10"/>
  <c r="J1278" i="10"/>
  <c r="J1276" i="10"/>
  <c r="J1242" i="10"/>
  <c r="J1241" i="10"/>
  <c r="J1229" i="10"/>
  <c r="J1228" i="10"/>
  <c r="J1214" i="10"/>
  <c r="J1213" i="10"/>
  <c r="J1212" i="10"/>
  <c r="J1197" i="10"/>
  <c r="J1196" i="10"/>
  <c r="J1195" i="10"/>
  <c r="J1180" i="10"/>
  <c r="J1179" i="10"/>
  <c r="J1178" i="10"/>
  <c r="J1117" i="10"/>
  <c r="J1116" i="10"/>
  <c r="J1115" i="10"/>
  <c r="J1114" i="10"/>
  <c r="J1113" i="10"/>
  <c r="J1112" i="10"/>
  <c r="J1111" i="10"/>
  <c r="J1110" i="10"/>
  <c r="J1109" i="10"/>
  <c r="J1108" i="10"/>
  <c r="J1107" i="10"/>
  <c r="J1106" i="10"/>
  <c r="J1105" i="10"/>
  <c r="J1104" i="10"/>
  <c r="J1103" i="10"/>
  <c r="J1102" i="10"/>
  <c r="J1088" i="10"/>
  <c r="J1087" i="10"/>
  <c r="J1085" i="10"/>
  <c r="J1084" i="10"/>
  <c r="J1082" i="10"/>
  <c r="J1081" i="10"/>
  <c r="J1079" i="10"/>
  <c r="J1066" i="10"/>
  <c r="J1065" i="10"/>
  <c r="J1064" i="10"/>
  <c r="J1063" i="10"/>
  <c r="J1062" i="10"/>
  <c r="J1060" i="10"/>
  <c r="J1058" i="10"/>
  <c r="J1056" i="10"/>
  <c r="J1055" i="10"/>
  <c r="J1041" i="10"/>
  <c r="J1027" i="10"/>
  <c r="J1026" i="10"/>
  <c r="J1025" i="10"/>
  <c r="J1024" i="10"/>
  <c r="J1023" i="10"/>
  <c r="J1022" i="10"/>
  <c r="J1021" i="10"/>
  <c r="J1020" i="10"/>
  <c r="J1019" i="10"/>
  <c r="J1006" i="10"/>
  <c r="J1005" i="10"/>
  <c r="J1004" i="10"/>
  <c r="J1003" i="10"/>
  <c r="J1002" i="10"/>
  <c r="J1001" i="10"/>
  <c r="J1000" i="10"/>
  <c r="J999" i="10"/>
  <c r="J998" i="10"/>
  <c r="J997" i="10"/>
  <c r="J996" i="10"/>
  <c r="J995" i="10"/>
  <c r="J994" i="10"/>
  <c r="J993" i="10"/>
  <c r="J992" i="10"/>
  <c r="J991" i="10"/>
  <c r="J990" i="10"/>
  <c r="J989" i="10"/>
  <c r="J988" i="10"/>
  <c r="J987" i="10"/>
  <c r="J986" i="10"/>
  <c r="J985" i="10"/>
  <c r="J984" i="10"/>
  <c r="J983" i="10"/>
  <c r="J982" i="10"/>
  <c r="J981" i="10"/>
  <c r="J980" i="10"/>
  <c r="J979" i="10"/>
  <c r="J978" i="10"/>
  <c r="J977" i="10"/>
  <c r="J976" i="10"/>
  <c r="J975" i="10"/>
  <c r="J974" i="10"/>
  <c r="J973" i="10"/>
  <c r="J972" i="10"/>
  <c r="J956" i="10"/>
  <c r="J955" i="10"/>
  <c r="J954" i="10"/>
  <c r="J953" i="10"/>
  <c r="J952" i="10"/>
  <c r="J951" i="10"/>
  <c r="J950" i="10"/>
  <c r="J949" i="10"/>
  <c r="J948" i="10"/>
  <c r="J947" i="10"/>
  <c r="J945" i="10"/>
  <c r="J932" i="10"/>
  <c r="J931" i="10"/>
  <c r="J930" i="10"/>
  <c r="J929" i="10"/>
  <c r="J928" i="10"/>
  <c r="J927" i="10"/>
  <c r="J926" i="10"/>
  <c r="J925" i="10"/>
  <c r="J924" i="10"/>
  <c r="J923" i="10"/>
  <c r="J921" i="10"/>
  <c r="J908" i="10"/>
  <c r="J907" i="10"/>
  <c r="J906" i="10"/>
  <c r="J905" i="10"/>
  <c r="J904" i="10"/>
  <c r="J903" i="10"/>
  <c r="J902" i="10"/>
  <c r="J901" i="10"/>
  <c r="J900" i="10"/>
  <c r="J899" i="10"/>
  <c r="J898" i="10"/>
  <c r="J897" i="10"/>
  <c r="J896" i="10"/>
  <c r="J895" i="10"/>
  <c r="J894" i="10"/>
  <c r="J893" i="10"/>
  <c r="J892" i="10"/>
  <c r="J891" i="10"/>
  <c r="J890" i="10"/>
  <c r="J889" i="10"/>
  <c r="J888" i="10"/>
  <c r="J887" i="10"/>
  <c r="J873" i="10"/>
  <c r="J872" i="10"/>
  <c r="J869" i="10"/>
  <c r="J868" i="10"/>
  <c r="J867" i="10"/>
  <c r="J866" i="10"/>
  <c r="J865" i="10"/>
  <c r="J864" i="10"/>
  <c r="J863" i="10"/>
  <c r="J862" i="10"/>
  <c r="J848" i="10"/>
  <c r="J847" i="10"/>
  <c r="J846" i="10"/>
  <c r="J845" i="10"/>
  <c r="J834" i="10"/>
  <c r="J833" i="10"/>
  <c r="J832" i="10"/>
  <c r="J831" i="10"/>
  <c r="J830" i="10"/>
  <c r="J829" i="10"/>
  <c r="J826" i="10"/>
  <c r="J825" i="10"/>
  <c r="J824" i="10"/>
  <c r="J823" i="10"/>
  <c r="J822" i="10"/>
  <c r="J821" i="10"/>
  <c r="J820" i="10"/>
  <c r="J819" i="10"/>
  <c r="J744" i="10"/>
  <c r="J743" i="10"/>
  <c r="J741" i="10"/>
  <c r="J728" i="10"/>
  <c r="J727" i="10"/>
  <c r="J726" i="10"/>
  <c r="J725" i="10"/>
  <c r="J724" i="10"/>
  <c r="J723" i="10"/>
  <c r="J722" i="10"/>
  <c r="J721" i="10"/>
  <c r="J720" i="10"/>
  <c r="J719" i="10"/>
  <c r="J718" i="10"/>
  <c r="J717" i="10"/>
  <c r="J716" i="10"/>
  <c r="J715" i="10"/>
  <c r="J714" i="10"/>
  <c r="J713" i="10"/>
  <c r="J712" i="10"/>
  <c r="J711" i="10"/>
  <c r="J710" i="10"/>
  <c r="J709" i="10"/>
  <c r="J708" i="10"/>
  <c r="J707" i="10"/>
  <c r="J706" i="10"/>
  <c r="J705" i="10"/>
  <c r="J704" i="10"/>
  <c r="J703" i="10"/>
  <c r="J702" i="10"/>
  <c r="J701" i="10"/>
  <c r="J700" i="10"/>
  <c r="J699" i="10"/>
  <c r="J698" i="10"/>
  <c r="J697" i="10"/>
  <c r="J696" i="10"/>
  <c r="J695" i="10"/>
  <c r="J694" i="10"/>
  <c r="J693" i="10"/>
  <c r="J692" i="10"/>
  <c r="J691" i="10"/>
  <c r="J690" i="10"/>
  <c r="J689" i="10"/>
  <c r="J688" i="10"/>
  <c r="J687" i="10"/>
  <c r="J686" i="10"/>
  <c r="J685" i="10"/>
  <c r="J684" i="10"/>
  <c r="J683" i="10"/>
  <c r="J682" i="10"/>
  <c r="J681" i="10"/>
  <c r="J680" i="10"/>
  <c r="J679" i="10"/>
  <c r="J678" i="10"/>
  <c r="J677" i="10"/>
  <c r="J676" i="10"/>
  <c r="J675" i="10"/>
  <c r="J674" i="10"/>
  <c r="J673" i="10"/>
  <c r="J672" i="10"/>
  <c r="J671" i="10"/>
  <c r="J670" i="10"/>
  <c r="J659" i="10"/>
  <c r="J658" i="10"/>
  <c r="J657" i="10"/>
  <c r="J656" i="10"/>
  <c r="J655" i="10"/>
  <c r="J654" i="10"/>
  <c r="J653" i="10"/>
  <c r="J640" i="10"/>
  <c r="J624" i="10"/>
  <c r="J608" i="10"/>
  <c r="J592" i="10"/>
  <c r="J578" i="10"/>
  <c r="J577" i="10"/>
  <c r="J576" i="10"/>
  <c r="J575" i="10"/>
  <c r="J562" i="10"/>
  <c r="J561" i="10"/>
  <c r="J560" i="10"/>
  <c r="J559" i="10"/>
  <c r="J558" i="10"/>
  <c r="J557" i="10"/>
  <c r="J556" i="10"/>
  <c r="J555" i="10"/>
  <c r="J554" i="10"/>
  <c r="J553" i="10"/>
  <c r="J552" i="10"/>
  <c r="J551" i="10"/>
  <c r="J550" i="10"/>
  <c r="J549" i="10"/>
  <c r="J548" i="10"/>
  <c r="J547" i="10"/>
  <c r="J546" i="10"/>
  <c r="J545" i="10"/>
  <c r="J544" i="10"/>
  <c r="J543" i="10"/>
  <c r="J542" i="10"/>
  <c r="J541" i="10"/>
  <c r="J540" i="10"/>
  <c r="J539" i="10"/>
  <c r="J538" i="10"/>
  <c r="J537" i="10"/>
  <c r="J536" i="10"/>
  <c r="J535" i="10"/>
  <c r="J534" i="10"/>
  <c r="J533" i="10"/>
  <c r="J532" i="10"/>
  <c r="J531" i="10"/>
  <c r="J520" i="10"/>
  <c r="J519" i="10"/>
  <c r="J518" i="10"/>
  <c r="J517" i="10"/>
  <c r="J516" i="10"/>
  <c r="J515" i="10"/>
  <c r="J514" i="10"/>
  <c r="J513" i="10"/>
  <c r="J512" i="10"/>
  <c r="J511" i="10"/>
  <c r="J510" i="10"/>
  <c r="J509" i="10"/>
  <c r="J508" i="10"/>
  <c r="J507" i="10"/>
  <c r="J506" i="10"/>
  <c r="J505" i="10"/>
  <c r="J504" i="10"/>
  <c r="J503" i="10"/>
  <c r="J502" i="10"/>
  <c r="J501" i="10"/>
  <c r="J500" i="10"/>
  <c r="J499" i="10"/>
  <c r="J498" i="10"/>
  <c r="J497" i="10"/>
  <c r="J496" i="10"/>
  <c r="J495" i="10"/>
  <c r="J494" i="10"/>
  <c r="J493" i="10"/>
  <c r="J492" i="10"/>
  <c r="J491" i="10"/>
  <c r="J490" i="10"/>
  <c r="J489" i="10"/>
  <c r="J488" i="10"/>
  <c r="J487" i="10"/>
  <c r="J486" i="10"/>
  <c r="J485" i="10"/>
  <c r="J484" i="10"/>
  <c r="J483" i="10"/>
  <c r="J482" i="10"/>
  <c r="J481" i="10"/>
  <c r="J480" i="10"/>
  <c r="J479" i="10"/>
  <c r="J478" i="10"/>
  <c r="J477" i="10"/>
  <c r="J476" i="10"/>
  <c r="J475" i="10"/>
  <c r="J474" i="10"/>
  <c r="J473" i="10"/>
  <c r="J472" i="10"/>
  <c r="J461" i="10"/>
  <c r="J460" i="10"/>
  <c r="J459" i="10"/>
  <c r="J458" i="10"/>
  <c r="J457" i="10"/>
  <c r="J456" i="10"/>
  <c r="J455" i="10"/>
  <c r="J454" i="10"/>
  <c r="J453" i="10"/>
  <c r="J452" i="10"/>
  <c r="J451" i="10"/>
  <c r="J450" i="10"/>
  <c r="J449" i="10"/>
  <c r="J448" i="10"/>
  <c r="J447" i="10"/>
  <c r="J372" i="10"/>
  <c r="J371" i="10"/>
  <c r="J369" i="10"/>
  <c r="J247" i="10"/>
  <c r="J246" i="10"/>
  <c r="J245" i="10"/>
  <c r="J244" i="10"/>
  <c r="J243" i="10"/>
  <c r="J242" i="10"/>
  <c r="J241" i="10"/>
  <c r="J240" i="10"/>
  <c r="J239" i="10"/>
  <c r="J238" i="10"/>
  <c r="J237" i="10"/>
  <c r="J236" i="10"/>
  <c r="J235" i="10"/>
  <c r="J234" i="10"/>
  <c r="J233" i="10"/>
  <c r="J232" i="10"/>
  <c r="J231" i="10"/>
  <c r="J230" i="10"/>
  <c r="J229" i="10"/>
  <c r="J216" i="10"/>
  <c r="J215" i="10"/>
  <c r="J214" i="10"/>
  <c r="J213" i="10"/>
  <c r="J212" i="10"/>
  <c r="J211" i="10"/>
  <c r="J210" i="10"/>
  <c r="J209" i="10"/>
  <c r="J208" i="10"/>
  <c r="J207" i="10"/>
  <c r="J206" i="10"/>
  <c r="J205" i="10"/>
  <c r="J204" i="10"/>
  <c r="J203" i="10"/>
  <c r="J202" i="10"/>
  <c r="J201" i="10"/>
  <c r="J200"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B2050" i="10"/>
  <c r="J2050" i="10" s="1"/>
  <c r="B1981" i="10"/>
  <c r="J1981" i="10" s="1"/>
  <c r="B1964" i="10"/>
  <c r="J1964" i="10" s="1"/>
  <c r="B1884" i="10"/>
  <c r="J1884" i="10" s="1"/>
  <c r="B1838" i="10"/>
  <c r="J1838" i="10" s="1"/>
  <c r="B1821" i="10"/>
  <c r="J1821" i="10" s="1"/>
  <c r="B1806" i="10"/>
  <c r="J1806" i="10" s="1"/>
  <c r="B1805" i="10"/>
  <c r="J1805" i="10" s="1"/>
  <c r="B1804" i="10"/>
  <c r="J1804" i="10" s="1"/>
  <c r="L28" i="17" l="1"/>
  <c r="M28" i="17" s="1"/>
  <c r="L30" i="17"/>
  <c r="M30" i="17" s="1"/>
  <c r="L29" i="17"/>
  <c r="M29" i="17" s="1"/>
  <c r="D802" i="10"/>
  <c r="D786" i="10"/>
  <c r="D770" i="10"/>
  <c r="D754" i="10"/>
  <c r="D636" i="10"/>
  <c r="D620" i="10"/>
  <c r="D604" i="10"/>
  <c r="D588" i="10"/>
  <c r="U293" i="7"/>
  <c r="U292" i="7"/>
  <c r="U291" i="7"/>
  <c r="U290" i="7"/>
  <c r="U289" i="7"/>
  <c r="U288" i="7"/>
  <c r="U287" i="7"/>
  <c r="U286" i="7"/>
  <c r="U285" i="7"/>
  <c r="U284" i="7"/>
  <c r="U244" i="7"/>
  <c r="U243" i="7"/>
  <c r="U242" i="7"/>
  <c r="U241" i="7"/>
  <c r="U240" i="7"/>
  <c r="U239" i="7"/>
  <c r="U238" i="7"/>
  <c r="U237" i="7"/>
  <c r="U236" i="7"/>
  <c r="U235" i="7"/>
  <c r="U195" i="7"/>
  <c r="U194" i="7"/>
  <c r="U193" i="7"/>
  <c r="U192" i="7"/>
  <c r="U191" i="7"/>
  <c r="U190" i="7"/>
  <c r="U189" i="7"/>
  <c r="U188" i="7"/>
  <c r="U187" i="7"/>
  <c r="U186" i="7"/>
  <c r="U146" i="7"/>
  <c r="U145" i="7"/>
  <c r="U144" i="7"/>
  <c r="U143" i="7"/>
  <c r="U142" i="7"/>
  <c r="U141" i="7"/>
  <c r="U140" i="7"/>
  <c r="U139" i="7"/>
  <c r="U138" i="7"/>
  <c r="U137" i="7"/>
  <c r="U97" i="7"/>
  <c r="U96" i="7"/>
  <c r="U95" i="7"/>
  <c r="U94" i="7"/>
  <c r="U93" i="7"/>
  <c r="U92" i="7"/>
  <c r="U91" i="7"/>
  <c r="U90" i="7"/>
  <c r="U89" i="7"/>
  <c r="U88" i="7"/>
  <c r="U48" i="7"/>
  <c r="U47" i="7"/>
  <c r="U46" i="7"/>
  <c r="U45" i="7"/>
  <c r="U44" i="7"/>
  <c r="U43" i="7"/>
  <c r="U42" i="7"/>
  <c r="U41" i="7"/>
  <c r="U40" i="7"/>
  <c r="U39" i="7"/>
  <c r="U438" i="5"/>
  <c r="U437" i="5"/>
  <c r="U436" i="5"/>
  <c r="U435" i="5"/>
  <c r="U434" i="5"/>
  <c r="U433" i="5"/>
  <c r="U432" i="5"/>
  <c r="U391" i="5"/>
  <c r="U390" i="5"/>
  <c r="U389" i="5"/>
  <c r="U388" i="5"/>
  <c r="U387" i="5"/>
  <c r="U386" i="5"/>
  <c r="U385" i="5"/>
  <c r="U344" i="5"/>
  <c r="U342" i="5"/>
  <c r="U341" i="5"/>
  <c r="U340" i="5"/>
  <c r="U339" i="5"/>
  <c r="U338" i="5"/>
  <c r="U297" i="5"/>
  <c r="U296" i="5"/>
  <c r="U295" i="5"/>
  <c r="U294" i="5"/>
  <c r="U293" i="5"/>
  <c r="U292" i="5"/>
  <c r="U291" i="5"/>
  <c r="U250" i="5"/>
  <c r="U249" i="5"/>
  <c r="U248" i="5"/>
  <c r="U247" i="5"/>
  <c r="U246" i="5"/>
  <c r="U245" i="5"/>
  <c r="U244" i="5"/>
  <c r="U203" i="5"/>
  <c r="U201" i="5"/>
  <c r="U200" i="5"/>
  <c r="U199" i="5"/>
  <c r="U198" i="5"/>
  <c r="U197" i="5"/>
  <c r="U155" i="5"/>
  <c r="U154" i="5"/>
  <c r="U153" i="5"/>
  <c r="U152" i="5"/>
  <c r="U151" i="5"/>
  <c r="U150" i="5"/>
  <c r="U147" i="5"/>
  <c r="U146" i="5"/>
  <c r="U145" i="5"/>
  <c r="U144" i="5"/>
  <c r="U143" i="5"/>
  <c r="U103" i="5"/>
  <c r="U102" i="5"/>
  <c r="U101" i="5"/>
  <c r="U100" i="5"/>
  <c r="U99" i="5"/>
  <c r="U98" i="5"/>
  <c r="U95" i="5"/>
  <c r="U94" i="5"/>
  <c r="U93" i="5"/>
  <c r="U92" i="5"/>
  <c r="U91" i="5"/>
  <c r="U51" i="5"/>
  <c r="U50" i="5"/>
  <c r="U49" i="5"/>
  <c r="U47" i="5"/>
  <c r="U43" i="5"/>
  <c r="U42" i="5"/>
  <c r="U41" i="5"/>
  <c r="U40" i="5"/>
  <c r="U39" i="5"/>
  <c r="U390" i="4"/>
  <c r="U389" i="4"/>
  <c r="U388" i="4"/>
  <c r="U387" i="4"/>
  <c r="U321" i="4"/>
  <c r="U320" i="4"/>
  <c r="U319" i="4"/>
  <c r="U318" i="4"/>
  <c r="U251" i="4"/>
  <c r="U250" i="4"/>
  <c r="U249" i="4"/>
  <c r="U248" i="4"/>
  <c r="U181" i="4"/>
  <c r="U180" i="4"/>
  <c r="U179" i="4"/>
  <c r="U178" i="4"/>
  <c r="U112" i="4"/>
  <c r="U111" i="4"/>
  <c r="U110" i="4"/>
  <c r="U109" i="4"/>
  <c r="U42" i="4"/>
  <c r="U41" i="4"/>
  <c r="U40" i="4"/>
  <c r="U39" i="4"/>
  <c r="U660" i="15"/>
  <c r="U659" i="15"/>
  <c r="U658" i="15"/>
  <c r="U656" i="15"/>
  <c r="U655" i="15"/>
  <c r="U654" i="15"/>
  <c r="U612" i="15"/>
  <c r="U611" i="15"/>
  <c r="U610" i="15"/>
  <c r="U609" i="15"/>
  <c r="U567" i="15"/>
  <c r="U566" i="15"/>
  <c r="U565" i="15"/>
  <c r="U564" i="15"/>
  <c r="U562" i="15"/>
  <c r="U561" i="15"/>
  <c r="U560" i="15"/>
  <c r="U559" i="15"/>
  <c r="U517" i="15"/>
  <c r="U516" i="15"/>
  <c r="U515" i="15"/>
  <c r="U513" i="15"/>
  <c r="U512" i="15"/>
  <c r="U511" i="15"/>
  <c r="U469" i="15"/>
  <c r="U468" i="15"/>
  <c r="U467" i="15"/>
  <c r="U466" i="15"/>
  <c r="U424" i="15"/>
  <c r="U423" i="15"/>
  <c r="U422" i="15"/>
  <c r="U421" i="15"/>
  <c r="U419" i="15"/>
  <c r="U418" i="15"/>
  <c r="U417" i="15"/>
  <c r="U416" i="15"/>
  <c r="U374" i="15"/>
  <c r="U373" i="15"/>
  <c r="U372" i="15"/>
  <c r="U371" i="15"/>
  <c r="U370" i="15"/>
  <c r="U369" i="15"/>
  <c r="U368" i="15"/>
  <c r="U326" i="15"/>
  <c r="U325" i="15"/>
  <c r="U323" i="15"/>
  <c r="U322" i="15"/>
  <c r="U321" i="15"/>
  <c r="U279" i="15"/>
  <c r="U278" i="15"/>
  <c r="U277" i="15"/>
  <c r="U235" i="15"/>
  <c r="U234" i="15"/>
  <c r="U233" i="15"/>
  <c r="U231" i="15"/>
  <c r="U230" i="15"/>
  <c r="U229" i="15"/>
  <c r="U228" i="15"/>
  <c r="U186" i="15"/>
  <c r="U185" i="15"/>
  <c r="U183" i="15"/>
  <c r="U182" i="15"/>
  <c r="U181" i="15"/>
  <c r="U139" i="15"/>
  <c r="U138" i="15"/>
  <c r="U137" i="15"/>
  <c r="U95" i="15"/>
  <c r="U94" i="15"/>
  <c r="U93" i="15"/>
  <c r="U91" i="15"/>
  <c r="U90" i="15"/>
  <c r="U89" i="15"/>
  <c r="U88" i="15"/>
  <c r="U46" i="15"/>
  <c r="U45" i="15"/>
  <c r="U44" i="15"/>
  <c r="U43" i="15"/>
  <c r="U42" i="15"/>
  <c r="U41" i="15"/>
  <c r="U1321" i="14"/>
  <c r="U1320" i="14"/>
  <c r="U1319" i="14"/>
  <c r="U1318" i="14"/>
  <c r="U1317" i="14"/>
  <c r="U1316" i="14"/>
  <c r="U1315" i="14"/>
  <c r="U1273" i="14"/>
  <c r="U1272" i="14"/>
  <c r="U1271" i="14"/>
  <c r="U1270" i="14"/>
  <c r="U1228" i="14"/>
  <c r="U1227" i="14"/>
  <c r="U1226" i="14"/>
  <c r="U1225" i="14"/>
  <c r="U1223" i="14"/>
  <c r="U1222" i="14"/>
  <c r="U1221" i="14"/>
  <c r="U1220" i="14"/>
  <c r="U1178" i="14"/>
  <c r="U1177" i="14"/>
  <c r="U1176" i="14"/>
  <c r="U1175" i="14"/>
  <c r="U1174" i="14"/>
  <c r="U1173" i="14"/>
  <c r="U1172" i="14"/>
  <c r="U1130" i="14"/>
  <c r="U1129" i="14"/>
  <c r="U1128" i="14"/>
  <c r="U1127" i="14"/>
  <c r="U1085" i="14"/>
  <c r="U1084" i="14"/>
  <c r="U1083" i="14"/>
  <c r="U1082" i="14"/>
  <c r="U1080" i="14"/>
  <c r="U1079" i="14"/>
  <c r="U1078" i="14"/>
  <c r="U1077" i="14"/>
  <c r="U1035" i="14"/>
  <c r="U1034" i="14"/>
  <c r="U1033" i="14"/>
  <c r="U1032" i="14"/>
  <c r="U1031" i="14"/>
  <c r="U1030" i="14"/>
  <c r="U1029" i="14"/>
  <c r="U987" i="14"/>
  <c r="U986" i="14"/>
  <c r="U985" i="14"/>
  <c r="U984" i="14"/>
  <c r="U983" i="14"/>
  <c r="U982" i="14"/>
  <c r="U940" i="14"/>
  <c r="U939" i="14"/>
  <c r="U938" i="14"/>
  <c r="U896" i="14"/>
  <c r="U895" i="14"/>
  <c r="U894" i="14"/>
  <c r="U892" i="14"/>
  <c r="U891" i="14"/>
  <c r="U890" i="14"/>
  <c r="U889" i="14"/>
  <c r="U847" i="14"/>
  <c r="U846" i="14"/>
  <c r="U845" i="14"/>
  <c r="U844" i="14"/>
  <c r="U843" i="14"/>
  <c r="U842" i="14"/>
  <c r="U800" i="14"/>
  <c r="U799" i="14"/>
  <c r="U798" i="14"/>
  <c r="U756" i="14"/>
  <c r="U755" i="14"/>
  <c r="U754" i="14"/>
  <c r="U752" i="14"/>
  <c r="U751" i="14"/>
  <c r="U750" i="14"/>
  <c r="U749" i="14"/>
  <c r="U707" i="14"/>
  <c r="U706" i="14"/>
  <c r="U705" i="14"/>
  <c r="U704" i="14"/>
  <c r="U703" i="14"/>
  <c r="U702" i="14"/>
  <c r="U660" i="14"/>
  <c r="U659" i="14"/>
  <c r="U658" i="14"/>
  <c r="U657" i="14"/>
  <c r="U656" i="14"/>
  <c r="U655" i="14"/>
  <c r="U654" i="14"/>
  <c r="U612" i="14"/>
  <c r="U611" i="14"/>
  <c r="U610" i="14"/>
  <c r="U609" i="14"/>
  <c r="U567" i="14"/>
  <c r="U566" i="14"/>
  <c r="U565" i="14"/>
  <c r="U564" i="14"/>
  <c r="U562" i="14"/>
  <c r="U561" i="14"/>
  <c r="U560" i="14"/>
  <c r="U559" i="14"/>
  <c r="U517" i="14"/>
  <c r="U516" i="14"/>
  <c r="U515" i="14"/>
  <c r="U514" i="14"/>
  <c r="U513" i="14"/>
  <c r="U512" i="14"/>
  <c r="U511" i="14"/>
  <c r="U469" i="14"/>
  <c r="U468" i="14"/>
  <c r="U467" i="14"/>
  <c r="U466" i="14"/>
  <c r="U424" i="14"/>
  <c r="U423" i="14"/>
  <c r="U422" i="14"/>
  <c r="U421" i="14"/>
  <c r="U419" i="14"/>
  <c r="U418" i="14"/>
  <c r="U417" i="14"/>
  <c r="U416" i="14"/>
  <c r="U374" i="14"/>
  <c r="U373" i="14"/>
  <c r="U372" i="14"/>
  <c r="U371" i="14"/>
  <c r="U370" i="14"/>
  <c r="U369" i="14"/>
  <c r="U368" i="14"/>
  <c r="U326" i="14"/>
  <c r="U325" i="14"/>
  <c r="U324" i="14"/>
  <c r="U323" i="14"/>
  <c r="U322" i="14"/>
  <c r="U321" i="14"/>
  <c r="U279" i="14"/>
  <c r="U278" i="14"/>
  <c r="U277" i="14"/>
  <c r="U235" i="14"/>
  <c r="U234" i="14"/>
  <c r="U233" i="14"/>
  <c r="U231" i="14"/>
  <c r="U230" i="14"/>
  <c r="U229" i="14"/>
  <c r="U228" i="14"/>
  <c r="U186" i="14"/>
  <c r="U185" i="14"/>
  <c r="U184" i="14"/>
  <c r="U183" i="14"/>
  <c r="U182" i="14"/>
  <c r="U181" i="14"/>
  <c r="U139" i="14"/>
  <c r="U138" i="14"/>
  <c r="U137" i="14"/>
  <c r="U95" i="14"/>
  <c r="U94" i="14"/>
  <c r="U93" i="14"/>
  <c r="U91" i="14"/>
  <c r="U90" i="14"/>
  <c r="U89" i="14"/>
  <c r="U88" i="14"/>
  <c r="U46" i="14"/>
  <c r="U45" i="14"/>
  <c r="U44" i="14"/>
  <c r="U43" i="14"/>
  <c r="U42" i="14"/>
  <c r="U41" i="14"/>
  <c r="U2643" i="13"/>
  <c r="U2642" i="13"/>
  <c r="U2641" i="13"/>
  <c r="U2640" i="13"/>
  <c r="U2639" i="13"/>
  <c r="U2638" i="13"/>
  <c r="U2637" i="13"/>
  <c r="U2595" i="13"/>
  <c r="U2594" i="13"/>
  <c r="U2593" i="13"/>
  <c r="U2592" i="13"/>
  <c r="U2550" i="13"/>
  <c r="U2549" i="13"/>
  <c r="U2548" i="13"/>
  <c r="U2547" i="13"/>
  <c r="U2545" i="13"/>
  <c r="U2544" i="13"/>
  <c r="U2543" i="13"/>
  <c r="U2542" i="13"/>
  <c r="U2500" i="13"/>
  <c r="U2499" i="13"/>
  <c r="U2498" i="13"/>
  <c r="U2497" i="13"/>
  <c r="U2496" i="13"/>
  <c r="U2495" i="13"/>
  <c r="U2494" i="13"/>
  <c r="U2452" i="13"/>
  <c r="U2451" i="13"/>
  <c r="U2450" i="13"/>
  <c r="U2449" i="13"/>
  <c r="U2407" i="13"/>
  <c r="U2406" i="13"/>
  <c r="U2405" i="13"/>
  <c r="U2404" i="13"/>
  <c r="U2402" i="13"/>
  <c r="U2401" i="13"/>
  <c r="U2400" i="13"/>
  <c r="U2399" i="13"/>
  <c r="U2357" i="13"/>
  <c r="U2356" i="13"/>
  <c r="U2355" i="13"/>
  <c r="U2354" i="13"/>
  <c r="U2353" i="13"/>
  <c r="U2352" i="13"/>
  <c r="U2351" i="13"/>
  <c r="U2309" i="13"/>
  <c r="U2308" i="13"/>
  <c r="U2307" i="13"/>
  <c r="U2306" i="13"/>
  <c r="U2305" i="13"/>
  <c r="U2304" i="13"/>
  <c r="U2262" i="13"/>
  <c r="U2261" i="13"/>
  <c r="U2260" i="13"/>
  <c r="U2218" i="13"/>
  <c r="U2217" i="13"/>
  <c r="U2216" i="13"/>
  <c r="U2214" i="13"/>
  <c r="U2213" i="13"/>
  <c r="U2212" i="13"/>
  <c r="U2211" i="13"/>
  <c r="U2169" i="13"/>
  <c r="U2168" i="13"/>
  <c r="U2167" i="13"/>
  <c r="U2166" i="13"/>
  <c r="U2165" i="13"/>
  <c r="U2164" i="13"/>
  <c r="U2122" i="13"/>
  <c r="U2121" i="13"/>
  <c r="U2120" i="13"/>
  <c r="U2078" i="13"/>
  <c r="U2077" i="13"/>
  <c r="U2076" i="13"/>
  <c r="U2074" i="13"/>
  <c r="U2073" i="13"/>
  <c r="U2072" i="13"/>
  <c r="U2071" i="13"/>
  <c r="U2029" i="13"/>
  <c r="U2028" i="13"/>
  <c r="U2027" i="13"/>
  <c r="U2026" i="13"/>
  <c r="U2025" i="13"/>
  <c r="U2024" i="13"/>
  <c r="U1982" i="13"/>
  <c r="U1981" i="13"/>
  <c r="U1980" i="13"/>
  <c r="U1979" i="13"/>
  <c r="U1978" i="13"/>
  <c r="U1977" i="13"/>
  <c r="U1976" i="13"/>
  <c r="U1934" i="13"/>
  <c r="U1933" i="13"/>
  <c r="U1932" i="13"/>
  <c r="U1931" i="13"/>
  <c r="U1889" i="13"/>
  <c r="U1888" i="13"/>
  <c r="U1887" i="13"/>
  <c r="U1886" i="13"/>
  <c r="U1884" i="13"/>
  <c r="U1883" i="13"/>
  <c r="U1882" i="13"/>
  <c r="U1881" i="13"/>
  <c r="U1839" i="13"/>
  <c r="U1838" i="13"/>
  <c r="U1837" i="13"/>
  <c r="U1836" i="13"/>
  <c r="U1835" i="13"/>
  <c r="U1834" i="13"/>
  <c r="U1833" i="13"/>
  <c r="U1791" i="13"/>
  <c r="U1790" i="13"/>
  <c r="U1789" i="13"/>
  <c r="U1788" i="13"/>
  <c r="U1746" i="13"/>
  <c r="U1745" i="13"/>
  <c r="U1744" i="13"/>
  <c r="U1743" i="13"/>
  <c r="U1741" i="13"/>
  <c r="U1740" i="13"/>
  <c r="U1739" i="13"/>
  <c r="U1738" i="13"/>
  <c r="U1696" i="13"/>
  <c r="U1695" i="13"/>
  <c r="U1694" i="13"/>
  <c r="U1693" i="13"/>
  <c r="U1692" i="13"/>
  <c r="U1691" i="13"/>
  <c r="U1690" i="13"/>
  <c r="U1648" i="13"/>
  <c r="U1647" i="13"/>
  <c r="U1646" i="13"/>
  <c r="U1645" i="13"/>
  <c r="U1644" i="13"/>
  <c r="U1643" i="13"/>
  <c r="U1601" i="13"/>
  <c r="U1600" i="13"/>
  <c r="U1599" i="13"/>
  <c r="U1557" i="13"/>
  <c r="U1556" i="13"/>
  <c r="U1555" i="13"/>
  <c r="U1553" i="13"/>
  <c r="U1552" i="13"/>
  <c r="U1551" i="13"/>
  <c r="U1550" i="13"/>
  <c r="U1508" i="13"/>
  <c r="U1507" i="13"/>
  <c r="U1506" i="13"/>
  <c r="U1505" i="13"/>
  <c r="U1504" i="13"/>
  <c r="U1503" i="13"/>
  <c r="U1461" i="13"/>
  <c r="U1460" i="13"/>
  <c r="U1459" i="13"/>
  <c r="U1417" i="13"/>
  <c r="U1416" i="13"/>
  <c r="U1415" i="13"/>
  <c r="U1413" i="13"/>
  <c r="U1412" i="13"/>
  <c r="U1411" i="13"/>
  <c r="U1410" i="13"/>
  <c r="U1368" i="13"/>
  <c r="U1367" i="13"/>
  <c r="U1366" i="13"/>
  <c r="U1365" i="13"/>
  <c r="U1364" i="13"/>
  <c r="U1363" i="13"/>
  <c r="U1321" i="13"/>
  <c r="U1320" i="13"/>
  <c r="U1319" i="13"/>
  <c r="U1318" i="13"/>
  <c r="U1317" i="13"/>
  <c r="U1316" i="13"/>
  <c r="U1315" i="13"/>
  <c r="U1273" i="13"/>
  <c r="U1272" i="13"/>
  <c r="U1271" i="13"/>
  <c r="U1270" i="13"/>
  <c r="U1228" i="13"/>
  <c r="U1227" i="13"/>
  <c r="U1226" i="13"/>
  <c r="U1225" i="13"/>
  <c r="U1223" i="13"/>
  <c r="U1222" i="13"/>
  <c r="U1221" i="13"/>
  <c r="U1220" i="13"/>
  <c r="U1178" i="13"/>
  <c r="U1177" i="13"/>
  <c r="U1176" i="13"/>
  <c r="U1175" i="13"/>
  <c r="U1174" i="13"/>
  <c r="U1173" i="13"/>
  <c r="U1172" i="13"/>
  <c r="U1130" i="13"/>
  <c r="U1129" i="13"/>
  <c r="U1128" i="13"/>
  <c r="U1127" i="13"/>
  <c r="U1085" i="13"/>
  <c r="U1084" i="13"/>
  <c r="U1083" i="13"/>
  <c r="U1082" i="13"/>
  <c r="U1080" i="13"/>
  <c r="U1079" i="13"/>
  <c r="U1078" i="13"/>
  <c r="U1077" i="13"/>
  <c r="U1035" i="13"/>
  <c r="U1034" i="13"/>
  <c r="U1033" i="13"/>
  <c r="U1032" i="13"/>
  <c r="U1031" i="13"/>
  <c r="U1030" i="13"/>
  <c r="U1029" i="13"/>
  <c r="U987" i="13"/>
  <c r="U986" i="13"/>
  <c r="U985" i="13"/>
  <c r="U984" i="13"/>
  <c r="U983" i="13"/>
  <c r="U982" i="13"/>
  <c r="U940" i="13"/>
  <c r="U939" i="13"/>
  <c r="U938" i="13"/>
  <c r="U896" i="13"/>
  <c r="U895" i="13"/>
  <c r="U894" i="13"/>
  <c r="U892" i="13"/>
  <c r="U891" i="13"/>
  <c r="U890" i="13"/>
  <c r="U889" i="13"/>
  <c r="U847" i="13"/>
  <c r="U846" i="13"/>
  <c r="U845" i="13"/>
  <c r="U844" i="13"/>
  <c r="U843" i="13"/>
  <c r="U842" i="13"/>
  <c r="U800" i="13"/>
  <c r="U799" i="13"/>
  <c r="U798" i="13"/>
  <c r="U756" i="13"/>
  <c r="U755" i="13"/>
  <c r="U754" i="13"/>
  <c r="U752" i="13"/>
  <c r="U751" i="13"/>
  <c r="U750" i="13"/>
  <c r="U749" i="13"/>
  <c r="U707" i="13"/>
  <c r="U706" i="13"/>
  <c r="U705" i="13"/>
  <c r="U704" i="13"/>
  <c r="U703" i="13"/>
  <c r="U702" i="13"/>
  <c r="U660" i="13"/>
  <c r="U659" i="13"/>
  <c r="U658" i="13"/>
  <c r="U657" i="13"/>
  <c r="U656" i="13"/>
  <c r="U655" i="13"/>
  <c r="U654" i="13"/>
  <c r="U612" i="13"/>
  <c r="U611" i="13"/>
  <c r="U610" i="13"/>
  <c r="U609" i="13"/>
  <c r="U567" i="13"/>
  <c r="U566" i="13"/>
  <c r="U565" i="13"/>
  <c r="U564" i="13"/>
  <c r="U562" i="13"/>
  <c r="U561" i="13"/>
  <c r="U560" i="13"/>
  <c r="U559" i="13"/>
  <c r="U517" i="13"/>
  <c r="U516" i="13"/>
  <c r="U515" i="13"/>
  <c r="U514" i="13"/>
  <c r="U513" i="13"/>
  <c r="U512" i="13"/>
  <c r="U511" i="13"/>
  <c r="U469" i="13"/>
  <c r="U468" i="13"/>
  <c r="U467" i="13"/>
  <c r="U466" i="13"/>
  <c r="U424" i="13"/>
  <c r="U423" i="13"/>
  <c r="U422" i="13"/>
  <c r="U421" i="13"/>
  <c r="U419" i="13"/>
  <c r="U418" i="13"/>
  <c r="U417" i="13"/>
  <c r="U416" i="13"/>
  <c r="U374" i="13"/>
  <c r="U373" i="13"/>
  <c r="U372" i="13"/>
  <c r="U371" i="13"/>
  <c r="U370" i="13"/>
  <c r="U369" i="13"/>
  <c r="U368" i="13"/>
  <c r="U326" i="13"/>
  <c r="U325" i="13"/>
  <c r="U324" i="13"/>
  <c r="U323" i="13"/>
  <c r="U322" i="13"/>
  <c r="U321" i="13"/>
  <c r="U279" i="13"/>
  <c r="U278" i="13"/>
  <c r="U277" i="13"/>
  <c r="U235" i="13"/>
  <c r="U234" i="13"/>
  <c r="U233" i="13"/>
  <c r="U231" i="13"/>
  <c r="U230" i="13"/>
  <c r="U229" i="13"/>
  <c r="U228" i="13"/>
  <c r="U186" i="13"/>
  <c r="U185" i="13"/>
  <c r="U184" i="13"/>
  <c r="U183" i="13"/>
  <c r="U182" i="13"/>
  <c r="U181" i="13"/>
  <c r="U139" i="13"/>
  <c r="U138" i="13"/>
  <c r="U137" i="13"/>
  <c r="U95" i="13"/>
  <c r="U94" i="13"/>
  <c r="U93" i="13"/>
  <c r="U91" i="13"/>
  <c r="U90" i="13"/>
  <c r="U89" i="13"/>
  <c r="U88" i="13"/>
  <c r="U46" i="13"/>
  <c r="U45" i="13"/>
  <c r="U44" i="13"/>
  <c r="U43" i="13"/>
  <c r="U42" i="13"/>
  <c r="U41" i="13"/>
  <c r="U9918" i="3"/>
  <c r="U9917" i="3"/>
  <c r="U9916" i="3"/>
  <c r="U9915" i="3"/>
  <c r="U9914" i="3"/>
  <c r="U9913" i="3"/>
  <c r="U9912" i="3"/>
  <c r="U9870" i="3"/>
  <c r="U9869" i="3"/>
  <c r="U9868" i="3"/>
  <c r="U9867" i="3"/>
  <c r="U9866" i="3"/>
  <c r="U9824" i="3"/>
  <c r="U9823" i="3"/>
  <c r="U9822" i="3"/>
  <c r="U9821" i="3"/>
  <c r="U9820" i="3"/>
  <c r="U9818" i="3"/>
  <c r="U9817" i="3"/>
  <c r="U9816" i="3"/>
  <c r="U9815" i="3"/>
  <c r="U9773" i="3"/>
  <c r="U9772" i="3"/>
  <c r="U9771" i="3"/>
  <c r="U9770" i="3"/>
  <c r="U9769" i="3"/>
  <c r="U9768" i="3"/>
  <c r="U9767" i="3"/>
  <c r="U9725" i="3"/>
  <c r="U9724" i="3"/>
  <c r="U9723" i="3"/>
  <c r="U9722" i="3"/>
  <c r="U9721" i="3"/>
  <c r="U9679" i="3"/>
  <c r="U9678" i="3"/>
  <c r="U9677" i="3"/>
  <c r="U9676" i="3"/>
  <c r="U9675" i="3"/>
  <c r="U9673" i="3"/>
  <c r="U9672" i="3"/>
  <c r="U9671" i="3"/>
  <c r="U9670" i="3"/>
  <c r="U9628" i="3"/>
  <c r="U9627" i="3"/>
  <c r="U9626" i="3"/>
  <c r="U9625" i="3"/>
  <c r="U9624" i="3"/>
  <c r="U9623" i="3"/>
  <c r="U9622" i="3"/>
  <c r="U9621" i="3"/>
  <c r="U9579" i="3"/>
  <c r="U9578" i="3"/>
  <c r="U9577" i="3"/>
  <c r="U9576" i="3"/>
  <c r="U9575" i="3"/>
  <c r="U9533" i="3"/>
  <c r="U9532" i="3"/>
  <c r="U9531" i="3"/>
  <c r="U9489" i="3"/>
  <c r="U9488" i="3"/>
  <c r="U9487" i="3"/>
  <c r="U9485" i="3"/>
  <c r="U9484" i="3"/>
  <c r="U9483" i="3"/>
  <c r="U9482" i="3"/>
  <c r="U9440" i="3"/>
  <c r="U9439" i="3"/>
  <c r="U9438" i="3"/>
  <c r="U9437" i="3"/>
  <c r="U9436" i="3"/>
  <c r="U9394" i="3"/>
  <c r="U9393" i="3"/>
  <c r="U9392" i="3"/>
  <c r="U9350" i="3"/>
  <c r="U9349" i="3"/>
  <c r="U9348" i="3"/>
  <c r="U9346" i="3"/>
  <c r="U9345" i="3"/>
  <c r="U9344" i="3"/>
  <c r="U9343" i="3"/>
  <c r="U9301" i="3"/>
  <c r="U9300" i="3"/>
  <c r="U9299" i="3"/>
  <c r="U9298" i="3"/>
  <c r="U9297" i="3"/>
  <c r="U9296" i="3"/>
  <c r="U9253" i="3"/>
  <c r="U9252" i="3"/>
  <c r="U9251" i="3"/>
  <c r="U9250" i="3"/>
  <c r="U9249" i="3"/>
  <c r="U9248" i="3"/>
  <c r="U9247" i="3"/>
  <c r="U9205" i="3"/>
  <c r="U9204" i="3"/>
  <c r="U9203" i="3"/>
  <c r="U9202" i="3"/>
  <c r="U9201" i="3"/>
  <c r="U9159" i="3"/>
  <c r="U9158" i="3"/>
  <c r="U9157" i="3"/>
  <c r="U9156" i="3"/>
  <c r="U9155" i="3"/>
  <c r="U9153" i="3"/>
  <c r="U9152" i="3"/>
  <c r="U9151" i="3"/>
  <c r="U9150" i="3"/>
  <c r="U9108" i="3"/>
  <c r="U9107" i="3"/>
  <c r="U9106" i="3"/>
  <c r="U9105" i="3"/>
  <c r="U9104" i="3"/>
  <c r="U9103" i="3"/>
  <c r="U9102" i="3"/>
  <c r="U9060" i="3"/>
  <c r="U9059" i="3"/>
  <c r="U9058" i="3"/>
  <c r="U9057" i="3"/>
  <c r="U9056" i="3"/>
  <c r="U9014" i="3"/>
  <c r="U9013" i="3"/>
  <c r="U9012" i="3"/>
  <c r="U9011" i="3"/>
  <c r="U9010" i="3"/>
  <c r="U9008" i="3"/>
  <c r="U9007" i="3"/>
  <c r="U9006" i="3"/>
  <c r="U9005" i="3"/>
  <c r="U8963" i="3"/>
  <c r="U8962" i="3"/>
  <c r="U8961" i="3"/>
  <c r="U8960" i="3"/>
  <c r="U8959" i="3"/>
  <c r="U8958" i="3"/>
  <c r="U8957" i="3"/>
  <c r="U8956" i="3"/>
  <c r="U8914" i="3"/>
  <c r="U8913" i="3"/>
  <c r="U8912" i="3"/>
  <c r="U8911" i="3"/>
  <c r="U8910" i="3"/>
  <c r="U8868" i="3"/>
  <c r="U8867" i="3"/>
  <c r="U8866" i="3"/>
  <c r="U8824" i="3"/>
  <c r="U8823" i="3"/>
  <c r="U8822" i="3"/>
  <c r="U8820" i="3"/>
  <c r="U8819" i="3"/>
  <c r="U8818" i="3"/>
  <c r="U8817" i="3"/>
  <c r="U8775" i="3"/>
  <c r="U8774" i="3"/>
  <c r="U8773" i="3"/>
  <c r="U8772" i="3"/>
  <c r="U8771" i="3"/>
  <c r="U8729" i="3"/>
  <c r="U8728" i="3"/>
  <c r="U8727" i="3"/>
  <c r="U8685" i="3"/>
  <c r="U8684" i="3"/>
  <c r="U8683" i="3"/>
  <c r="U8681" i="3"/>
  <c r="U8680" i="3"/>
  <c r="U8679" i="3"/>
  <c r="U8678" i="3"/>
  <c r="U8636" i="3"/>
  <c r="U8635" i="3"/>
  <c r="U8634" i="3"/>
  <c r="U8633" i="3"/>
  <c r="U8632" i="3"/>
  <c r="U8631" i="3"/>
  <c r="U8589" i="3"/>
  <c r="U8588" i="3"/>
  <c r="U8587" i="3"/>
  <c r="U8586" i="3"/>
  <c r="U8585" i="3"/>
  <c r="U8584" i="3"/>
  <c r="U8583" i="3"/>
  <c r="U8541" i="3"/>
  <c r="U8540" i="3"/>
  <c r="U8539" i="3"/>
  <c r="U8538" i="3"/>
  <c r="U8537" i="3"/>
  <c r="U8495" i="3"/>
  <c r="U8494" i="3"/>
  <c r="U8493" i="3"/>
  <c r="U8492" i="3"/>
  <c r="U8491" i="3"/>
  <c r="U8489" i="3"/>
  <c r="U8488" i="3"/>
  <c r="U8487" i="3"/>
  <c r="U8486" i="3"/>
  <c r="U8444" i="3"/>
  <c r="U8443" i="3"/>
  <c r="U8442" i="3"/>
  <c r="U8441" i="3"/>
  <c r="U8440" i="3"/>
  <c r="U8439" i="3"/>
  <c r="U8438" i="3"/>
  <c r="U8396" i="3"/>
  <c r="U8395" i="3"/>
  <c r="U8394" i="3"/>
  <c r="U8393" i="3"/>
  <c r="U8392" i="3"/>
  <c r="U8350" i="3"/>
  <c r="U8349" i="3"/>
  <c r="U8348" i="3"/>
  <c r="U8347" i="3"/>
  <c r="U8346" i="3"/>
  <c r="U8344" i="3"/>
  <c r="U8343" i="3"/>
  <c r="U8342" i="3"/>
  <c r="U8341" i="3"/>
  <c r="U8299" i="3"/>
  <c r="U8298" i="3"/>
  <c r="U8297" i="3"/>
  <c r="U8296" i="3"/>
  <c r="U8295" i="3"/>
  <c r="U8294" i="3"/>
  <c r="U8293" i="3"/>
  <c r="U8292" i="3"/>
  <c r="U8250" i="3"/>
  <c r="U8249" i="3"/>
  <c r="U8248" i="3"/>
  <c r="U8247" i="3"/>
  <c r="U8246" i="3"/>
  <c r="U8204" i="3"/>
  <c r="U8203" i="3"/>
  <c r="U8202" i="3"/>
  <c r="U8160" i="3"/>
  <c r="U8159" i="3"/>
  <c r="U8158" i="3"/>
  <c r="U8156" i="3"/>
  <c r="U8155" i="3"/>
  <c r="U8154" i="3"/>
  <c r="U8153" i="3"/>
  <c r="U8111" i="3"/>
  <c r="U8110" i="3"/>
  <c r="U8109" i="3"/>
  <c r="U8108" i="3"/>
  <c r="U8107" i="3"/>
  <c r="U8065" i="3"/>
  <c r="U8064" i="3"/>
  <c r="U8063" i="3"/>
  <c r="U8021" i="3"/>
  <c r="U8020" i="3"/>
  <c r="U8019" i="3"/>
  <c r="U8017" i="3"/>
  <c r="U8016" i="3"/>
  <c r="U8015" i="3"/>
  <c r="U8014" i="3"/>
  <c r="U7972" i="3"/>
  <c r="U7971" i="3"/>
  <c r="U7970" i="3"/>
  <c r="U7969" i="3"/>
  <c r="U7968" i="3"/>
  <c r="U7967" i="3"/>
  <c r="U7925" i="3"/>
  <c r="U7924" i="3"/>
  <c r="U7923" i="3"/>
  <c r="U7922" i="3"/>
  <c r="U7921" i="3"/>
  <c r="U7920" i="3"/>
  <c r="U7919" i="3"/>
  <c r="U7877" i="3"/>
  <c r="U7876" i="3"/>
  <c r="U7875" i="3"/>
  <c r="U7874" i="3"/>
  <c r="U7873" i="3"/>
  <c r="U7831" i="3"/>
  <c r="U7830" i="3"/>
  <c r="U7829" i="3"/>
  <c r="U7828" i="3"/>
  <c r="U7827" i="3"/>
  <c r="U7825" i="3"/>
  <c r="U7824" i="3"/>
  <c r="U7823" i="3"/>
  <c r="U7822" i="3"/>
  <c r="U7780" i="3"/>
  <c r="U7779" i="3"/>
  <c r="U7778" i="3"/>
  <c r="U7777" i="3"/>
  <c r="U7776" i="3"/>
  <c r="U7775" i="3"/>
  <c r="U7774" i="3"/>
  <c r="U7732" i="3"/>
  <c r="U7731" i="3"/>
  <c r="U7730" i="3"/>
  <c r="U7729" i="3"/>
  <c r="U7728" i="3"/>
  <c r="U7686" i="3"/>
  <c r="U7685" i="3"/>
  <c r="U7684" i="3"/>
  <c r="U7683" i="3"/>
  <c r="U7682" i="3"/>
  <c r="U7680" i="3"/>
  <c r="U7679" i="3"/>
  <c r="U7678" i="3"/>
  <c r="U7677" i="3"/>
  <c r="U7635" i="3"/>
  <c r="U7634" i="3"/>
  <c r="U7633" i="3"/>
  <c r="U7632" i="3"/>
  <c r="U7631" i="3"/>
  <c r="U7630" i="3"/>
  <c r="U7629" i="3"/>
  <c r="U7628" i="3"/>
  <c r="U7586" i="3"/>
  <c r="U7585" i="3"/>
  <c r="U7584" i="3"/>
  <c r="U7583" i="3"/>
  <c r="U7582" i="3"/>
  <c r="U7540" i="3"/>
  <c r="U7539" i="3"/>
  <c r="U7538" i="3"/>
  <c r="U7496" i="3"/>
  <c r="U7495" i="3"/>
  <c r="U7494" i="3"/>
  <c r="U7492" i="3"/>
  <c r="U7491" i="3"/>
  <c r="U7490" i="3"/>
  <c r="U7489" i="3"/>
  <c r="U7447" i="3"/>
  <c r="U7446" i="3"/>
  <c r="U7445" i="3"/>
  <c r="U7444" i="3"/>
  <c r="U7443" i="3"/>
  <c r="U7401" i="3"/>
  <c r="U7400" i="3"/>
  <c r="U7399" i="3"/>
  <c r="U7357" i="3"/>
  <c r="U7356" i="3"/>
  <c r="U7355" i="3"/>
  <c r="U7353" i="3"/>
  <c r="U7352" i="3"/>
  <c r="U7351" i="3"/>
  <c r="U7350" i="3"/>
  <c r="U7308" i="3"/>
  <c r="U7307" i="3"/>
  <c r="U7306" i="3"/>
  <c r="U7305" i="3"/>
  <c r="U7304" i="3"/>
  <c r="U7303" i="3"/>
  <c r="U7260" i="3"/>
  <c r="U7259" i="3"/>
  <c r="U7258" i="3"/>
  <c r="U7257" i="3"/>
  <c r="U7256" i="3"/>
  <c r="U7255" i="3"/>
  <c r="U7254" i="3"/>
  <c r="U7212" i="3"/>
  <c r="U7211" i="3"/>
  <c r="U7210" i="3"/>
  <c r="U7209" i="3"/>
  <c r="U7208" i="3"/>
  <c r="U7166" i="3"/>
  <c r="U7165" i="3"/>
  <c r="U7164" i="3"/>
  <c r="U7163" i="3"/>
  <c r="U7162" i="3"/>
  <c r="U7160" i="3"/>
  <c r="U7159" i="3"/>
  <c r="U7158" i="3"/>
  <c r="U7157" i="3"/>
  <c r="U7115" i="3"/>
  <c r="U7114" i="3"/>
  <c r="U7113" i="3"/>
  <c r="U7112" i="3"/>
  <c r="U7111" i="3"/>
  <c r="U7110" i="3"/>
  <c r="U7109" i="3"/>
  <c r="U7067" i="3"/>
  <c r="U7066" i="3"/>
  <c r="U7065" i="3"/>
  <c r="U7064" i="3"/>
  <c r="U7063" i="3"/>
  <c r="U7021" i="3"/>
  <c r="U7020" i="3"/>
  <c r="U7019" i="3"/>
  <c r="U7018" i="3"/>
  <c r="U7017" i="3"/>
  <c r="U7015" i="3"/>
  <c r="U7014" i="3"/>
  <c r="U7013" i="3"/>
  <c r="U7012" i="3"/>
  <c r="U6970" i="3"/>
  <c r="U6969" i="3"/>
  <c r="U6968" i="3"/>
  <c r="U6967" i="3"/>
  <c r="U6966" i="3"/>
  <c r="U6965" i="3"/>
  <c r="U6964" i="3"/>
  <c r="U6963" i="3"/>
  <c r="U6921" i="3"/>
  <c r="U6920" i="3"/>
  <c r="U6919" i="3"/>
  <c r="U6918" i="3"/>
  <c r="U6917" i="3"/>
  <c r="U6875" i="3"/>
  <c r="U6874" i="3"/>
  <c r="U6873" i="3"/>
  <c r="U6831" i="3"/>
  <c r="U6830" i="3"/>
  <c r="U6829" i="3"/>
  <c r="U6827" i="3"/>
  <c r="U6826" i="3"/>
  <c r="U6825" i="3"/>
  <c r="U6824" i="3"/>
  <c r="U6782" i="3"/>
  <c r="U6781" i="3"/>
  <c r="U6780" i="3"/>
  <c r="U6779" i="3"/>
  <c r="U6778" i="3"/>
  <c r="U6736" i="3"/>
  <c r="U6735" i="3"/>
  <c r="U6734" i="3"/>
  <c r="U6692" i="3"/>
  <c r="U6691" i="3"/>
  <c r="U6690" i="3"/>
  <c r="U6688" i="3"/>
  <c r="U6687" i="3"/>
  <c r="U6686" i="3"/>
  <c r="U6685" i="3"/>
  <c r="U6643" i="3"/>
  <c r="U6642" i="3"/>
  <c r="U6641" i="3"/>
  <c r="U6640" i="3"/>
  <c r="U6639" i="3"/>
  <c r="U6638" i="3"/>
  <c r="U6596" i="3"/>
  <c r="U6595" i="3"/>
  <c r="U6594" i="3"/>
  <c r="U6593" i="3"/>
  <c r="U6592" i="3"/>
  <c r="U6591" i="3"/>
  <c r="U6590" i="3"/>
  <c r="U6548" i="3"/>
  <c r="U6547" i="3"/>
  <c r="U6546" i="3"/>
  <c r="U6545" i="3"/>
  <c r="U6544" i="3"/>
  <c r="U6502" i="3"/>
  <c r="U6501" i="3"/>
  <c r="U6500" i="3"/>
  <c r="U6499" i="3"/>
  <c r="U6498" i="3"/>
  <c r="U6496" i="3"/>
  <c r="U6495" i="3"/>
  <c r="U6494" i="3"/>
  <c r="U6493" i="3"/>
  <c r="U6451" i="3"/>
  <c r="U6450" i="3"/>
  <c r="U6449" i="3"/>
  <c r="U6448" i="3"/>
  <c r="U6447" i="3"/>
  <c r="U6446" i="3"/>
  <c r="U6445" i="3"/>
  <c r="U6403" i="3"/>
  <c r="U6402" i="3"/>
  <c r="U6401" i="3"/>
  <c r="U6400" i="3"/>
  <c r="U6399" i="3"/>
  <c r="U6357" i="3"/>
  <c r="U6356" i="3"/>
  <c r="U6355" i="3"/>
  <c r="U6354" i="3"/>
  <c r="U6353" i="3"/>
  <c r="U6351" i="3"/>
  <c r="U6350" i="3"/>
  <c r="U6349" i="3"/>
  <c r="U6348" i="3"/>
  <c r="U6306" i="3"/>
  <c r="U6305" i="3"/>
  <c r="U6304" i="3"/>
  <c r="U6303" i="3"/>
  <c r="U6302" i="3"/>
  <c r="U6301" i="3"/>
  <c r="U6300" i="3"/>
  <c r="U6299" i="3"/>
  <c r="U6257" i="3"/>
  <c r="U6256" i="3"/>
  <c r="U6255" i="3"/>
  <c r="U6254" i="3"/>
  <c r="U6253" i="3"/>
  <c r="U6211" i="3"/>
  <c r="U6210" i="3"/>
  <c r="U6209" i="3"/>
  <c r="U6167" i="3"/>
  <c r="U6166" i="3"/>
  <c r="U6165" i="3"/>
  <c r="U6163" i="3"/>
  <c r="U6162" i="3"/>
  <c r="U6161" i="3"/>
  <c r="U6160" i="3"/>
  <c r="U6118" i="3"/>
  <c r="U6117" i="3"/>
  <c r="U6116" i="3"/>
  <c r="U6115" i="3"/>
  <c r="U6114" i="3"/>
  <c r="U6072" i="3"/>
  <c r="U6071" i="3"/>
  <c r="U6070" i="3"/>
  <c r="U6028" i="3"/>
  <c r="U6027" i="3"/>
  <c r="U6026" i="3"/>
  <c r="U6024" i="3"/>
  <c r="U6023" i="3"/>
  <c r="U6022" i="3"/>
  <c r="U6021" i="3"/>
  <c r="U5979" i="3"/>
  <c r="U5978" i="3"/>
  <c r="U5977" i="3"/>
  <c r="U5976" i="3"/>
  <c r="U5975" i="3"/>
  <c r="U5974" i="3"/>
  <c r="U5932" i="3"/>
  <c r="U5931" i="3"/>
  <c r="U5930" i="3"/>
  <c r="U5929" i="3"/>
  <c r="U5928" i="3"/>
  <c r="U5927" i="3"/>
  <c r="U5926" i="3"/>
  <c r="U5884" i="3"/>
  <c r="U5883" i="3"/>
  <c r="U5882" i="3"/>
  <c r="U5881" i="3"/>
  <c r="U5880" i="3"/>
  <c r="U5838" i="3"/>
  <c r="U5837" i="3"/>
  <c r="U5836" i="3"/>
  <c r="U5835" i="3"/>
  <c r="U5834" i="3"/>
  <c r="U5832" i="3"/>
  <c r="U5831" i="3"/>
  <c r="U5830" i="3"/>
  <c r="U5829" i="3"/>
  <c r="U5787" i="3"/>
  <c r="U5786" i="3"/>
  <c r="U5785" i="3"/>
  <c r="U5784" i="3"/>
  <c r="U5783" i="3"/>
  <c r="U5782" i="3"/>
  <c r="U5781" i="3"/>
  <c r="U5739" i="3"/>
  <c r="U5738" i="3"/>
  <c r="U5737" i="3"/>
  <c r="U5736" i="3"/>
  <c r="U5735" i="3"/>
  <c r="U5693" i="3"/>
  <c r="U5692" i="3"/>
  <c r="U5691" i="3"/>
  <c r="U5690" i="3"/>
  <c r="U5689" i="3"/>
  <c r="U5687" i="3"/>
  <c r="U5686" i="3"/>
  <c r="U5685" i="3"/>
  <c r="U5684" i="3"/>
  <c r="U5642" i="3"/>
  <c r="U5641" i="3"/>
  <c r="U5640" i="3"/>
  <c r="U5639" i="3"/>
  <c r="U5638" i="3"/>
  <c r="U5637" i="3"/>
  <c r="U5636" i="3"/>
  <c r="U5635" i="3"/>
  <c r="U5593" i="3"/>
  <c r="U5592" i="3"/>
  <c r="U5591" i="3"/>
  <c r="U5590" i="3"/>
  <c r="U5589" i="3"/>
  <c r="U5547" i="3"/>
  <c r="U5546" i="3"/>
  <c r="U5545" i="3"/>
  <c r="U5503" i="3"/>
  <c r="U5502" i="3"/>
  <c r="U5501" i="3"/>
  <c r="U5499" i="3"/>
  <c r="U5498" i="3"/>
  <c r="U5497" i="3"/>
  <c r="U5496" i="3"/>
  <c r="U5454" i="3"/>
  <c r="U5453" i="3"/>
  <c r="U5452" i="3"/>
  <c r="U5451" i="3"/>
  <c r="U5450" i="3"/>
  <c r="U5408" i="3"/>
  <c r="U5407" i="3"/>
  <c r="U5406" i="3"/>
  <c r="U5364" i="3"/>
  <c r="U5363" i="3"/>
  <c r="U5362" i="3"/>
  <c r="U5360" i="3"/>
  <c r="U5359" i="3"/>
  <c r="U5358" i="3"/>
  <c r="U5357" i="3"/>
  <c r="U5315" i="3"/>
  <c r="U5314" i="3"/>
  <c r="U5313" i="3"/>
  <c r="U5312" i="3"/>
  <c r="U5311" i="3"/>
  <c r="U5310" i="3"/>
  <c r="U5267" i="3"/>
  <c r="U5266" i="3"/>
  <c r="U5265" i="3"/>
  <c r="U5264" i="3"/>
  <c r="U5263" i="3"/>
  <c r="U5262" i="3"/>
  <c r="U5261" i="3"/>
  <c r="U5219" i="3"/>
  <c r="U5218" i="3"/>
  <c r="U5217" i="3"/>
  <c r="U5216" i="3"/>
  <c r="U5215" i="3"/>
  <c r="U5173" i="3"/>
  <c r="U5172" i="3"/>
  <c r="U5171" i="3"/>
  <c r="U5170" i="3"/>
  <c r="U5169" i="3"/>
  <c r="U5167" i="3"/>
  <c r="U5166" i="3"/>
  <c r="U5165" i="3"/>
  <c r="U5164" i="3"/>
  <c r="U5122" i="3"/>
  <c r="U5121" i="3"/>
  <c r="U5120" i="3"/>
  <c r="U5119" i="3"/>
  <c r="U5118" i="3"/>
  <c r="U5117" i="3"/>
  <c r="U5116" i="3"/>
  <c r="U5074" i="3"/>
  <c r="U5073" i="3"/>
  <c r="U5072" i="3"/>
  <c r="U5071" i="3"/>
  <c r="U5070" i="3"/>
  <c r="U5028" i="3"/>
  <c r="U5027" i="3"/>
  <c r="U5026" i="3"/>
  <c r="U5025" i="3"/>
  <c r="U5024" i="3"/>
  <c r="U5022" i="3"/>
  <c r="U5021" i="3"/>
  <c r="U5020" i="3"/>
  <c r="U5019" i="3"/>
  <c r="U4977" i="3"/>
  <c r="U4976" i="3"/>
  <c r="U4975" i="3"/>
  <c r="U4974" i="3"/>
  <c r="U4973" i="3"/>
  <c r="U4972" i="3"/>
  <c r="U4971" i="3"/>
  <c r="U4970" i="3"/>
  <c r="U4928" i="3"/>
  <c r="U4927" i="3"/>
  <c r="U4926" i="3"/>
  <c r="U4925" i="3"/>
  <c r="U4924" i="3"/>
  <c r="U4882" i="3"/>
  <c r="U4881" i="3"/>
  <c r="U4880" i="3"/>
  <c r="U4838" i="3"/>
  <c r="U4837" i="3"/>
  <c r="U4836" i="3"/>
  <c r="U4834" i="3"/>
  <c r="U4833" i="3"/>
  <c r="U4832" i="3"/>
  <c r="U4831" i="3"/>
  <c r="U4789" i="3"/>
  <c r="U4788" i="3"/>
  <c r="U4787" i="3"/>
  <c r="U4786" i="3"/>
  <c r="U4785" i="3"/>
  <c r="U4743" i="3"/>
  <c r="U4742" i="3"/>
  <c r="U4741" i="3"/>
  <c r="U4699" i="3"/>
  <c r="U4698" i="3"/>
  <c r="U4697" i="3"/>
  <c r="U4695" i="3"/>
  <c r="U4694" i="3"/>
  <c r="U4693" i="3"/>
  <c r="U4692" i="3"/>
  <c r="U4650" i="3"/>
  <c r="U4649" i="3"/>
  <c r="U4648" i="3"/>
  <c r="U4647" i="3"/>
  <c r="U4646" i="3"/>
  <c r="U4645" i="3"/>
  <c r="U4603" i="3"/>
  <c r="U4602" i="3"/>
  <c r="U4601" i="3"/>
  <c r="U4600" i="3"/>
  <c r="U4599" i="3"/>
  <c r="U4598" i="3"/>
  <c r="U4597" i="3"/>
  <c r="U4555" i="3"/>
  <c r="U4554" i="3"/>
  <c r="U4553" i="3"/>
  <c r="U4552" i="3"/>
  <c r="U4551" i="3"/>
  <c r="U4509" i="3"/>
  <c r="U4508" i="3"/>
  <c r="U4507" i="3"/>
  <c r="U4506" i="3"/>
  <c r="U4505" i="3"/>
  <c r="U4503" i="3"/>
  <c r="U4502" i="3"/>
  <c r="U4501" i="3"/>
  <c r="U4500" i="3"/>
  <c r="U4458" i="3"/>
  <c r="U4457" i="3"/>
  <c r="U4456" i="3"/>
  <c r="U4455" i="3"/>
  <c r="U4454" i="3"/>
  <c r="U4453" i="3"/>
  <c r="U4452" i="3"/>
  <c r="U4410" i="3"/>
  <c r="U4409" i="3"/>
  <c r="U4408" i="3"/>
  <c r="U4407" i="3"/>
  <c r="U4406" i="3"/>
  <c r="U4364" i="3"/>
  <c r="U4363" i="3"/>
  <c r="U4362" i="3"/>
  <c r="U4361" i="3"/>
  <c r="U4360" i="3"/>
  <c r="U4358" i="3"/>
  <c r="U4357" i="3"/>
  <c r="U4356" i="3"/>
  <c r="U4355" i="3"/>
  <c r="U4313" i="3"/>
  <c r="U4312" i="3"/>
  <c r="U4311" i="3"/>
  <c r="U4310" i="3"/>
  <c r="U4309" i="3"/>
  <c r="U4308" i="3"/>
  <c r="U4307" i="3"/>
  <c r="U4306" i="3"/>
  <c r="U4264" i="3"/>
  <c r="U4263" i="3"/>
  <c r="U4262" i="3"/>
  <c r="U4261" i="3"/>
  <c r="U4260" i="3"/>
  <c r="U4218" i="3"/>
  <c r="U4217" i="3"/>
  <c r="U4216" i="3"/>
  <c r="U4174" i="3"/>
  <c r="U4173" i="3"/>
  <c r="U4172" i="3"/>
  <c r="U4170" i="3"/>
  <c r="U4169" i="3"/>
  <c r="U4168" i="3"/>
  <c r="U4167" i="3"/>
  <c r="U4125" i="3"/>
  <c r="U4124" i="3"/>
  <c r="U4123" i="3"/>
  <c r="U4122" i="3"/>
  <c r="U4121" i="3"/>
  <c r="U4079" i="3"/>
  <c r="U4078" i="3"/>
  <c r="U4077" i="3"/>
  <c r="U4035" i="3"/>
  <c r="U4034" i="3"/>
  <c r="U4033" i="3"/>
  <c r="U4031" i="3"/>
  <c r="U4030" i="3"/>
  <c r="U4029" i="3"/>
  <c r="U4028" i="3"/>
  <c r="U3986" i="3"/>
  <c r="U3985" i="3"/>
  <c r="U3984" i="3"/>
  <c r="U3983" i="3"/>
  <c r="U3982" i="3"/>
  <c r="U3981" i="3"/>
  <c r="U3939" i="3"/>
  <c r="U3938" i="3"/>
  <c r="U3937" i="3"/>
  <c r="U3936" i="3"/>
  <c r="U3935" i="3"/>
  <c r="U3934" i="3"/>
  <c r="U3892" i="3"/>
  <c r="U3891" i="3"/>
  <c r="U3890" i="3"/>
  <c r="U3889" i="3"/>
  <c r="U3847" i="3"/>
  <c r="U3846" i="3"/>
  <c r="U3845" i="3"/>
  <c r="U3844" i="3"/>
  <c r="U3842" i="3"/>
  <c r="U3841" i="3"/>
  <c r="U3840" i="3"/>
  <c r="U3839" i="3"/>
  <c r="U3797" i="3"/>
  <c r="U3796" i="3"/>
  <c r="U3795" i="3"/>
  <c r="U3794" i="3"/>
  <c r="U3793" i="3"/>
  <c r="U3792" i="3"/>
  <c r="U3750" i="3"/>
  <c r="U3749" i="3"/>
  <c r="U3748" i="3"/>
  <c r="U3747" i="3"/>
  <c r="U3705" i="3"/>
  <c r="U3704" i="3"/>
  <c r="U3703" i="3"/>
  <c r="U3702" i="3"/>
  <c r="U3700" i="3"/>
  <c r="U3699" i="3"/>
  <c r="U3698" i="3"/>
  <c r="U3697" i="3"/>
  <c r="U3655" i="3"/>
  <c r="U3654" i="3"/>
  <c r="U3653" i="3"/>
  <c r="U3652" i="3"/>
  <c r="U3651" i="3"/>
  <c r="U3650" i="3"/>
  <c r="U3608" i="3"/>
  <c r="U3607" i="3"/>
  <c r="U3606" i="3"/>
  <c r="U3605" i="3"/>
  <c r="U3604" i="3"/>
  <c r="U3562" i="3"/>
  <c r="U3561" i="3"/>
  <c r="U3560" i="3"/>
  <c r="U3518" i="3"/>
  <c r="U3517" i="3"/>
  <c r="U3516" i="3"/>
  <c r="U3514" i="3"/>
  <c r="U3513" i="3"/>
  <c r="U3512" i="3"/>
  <c r="U3511" i="3"/>
  <c r="U3469" i="3"/>
  <c r="U3468" i="3"/>
  <c r="U3467" i="3"/>
  <c r="U3466" i="3"/>
  <c r="U3465" i="3"/>
  <c r="U3423" i="3"/>
  <c r="U3422" i="3"/>
  <c r="U3421" i="3"/>
  <c r="U3379" i="3"/>
  <c r="U3378" i="3"/>
  <c r="U3377" i="3"/>
  <c r="U3375" i="3"/>
  <c r="U3374" i="3"/>
  <c r="U3373" i="3"/>
  <c r="U3372" i="3"/>
  <c r="U3330" i="3"/>
  <c r="U3329" i="3"/>
  <c r="U3328" i="3"/>
  <c r="U3327" i="3"/>
  <c r="U3326" i="3"/>
  <c r="U3325" i="3"/>
  <c r="U3282" i="3"/>
  <c r="U3281" i="3"/>
  <c r="U3280" i="3"/>
  <c r="U3279" i="3"/>
  <c r="U3278" i="3"/>
  <c r="U3277" i="3"/>
  <c r="U3235" i="3"/>
  <c r="U3234" i="3"/>
  <c r="U3233" i="3"/>
  <c r="U3232" i="3"/>
  <c r="U3190" i="3"/>
  <c r="U3189" i="3"/>
  <c r="U3188" i="3"/>
  <c r="U3187" i="3"/>
  <c r="U3185" i="3"/>
  <c r="U3184" i="3"/>
  <c r="U3183" i="3"/>
  <c r="U3182" i="3"/>
  <c r="U3140" i="3"/>
  <c r="U3139" i="3"/>
  <c r="U3138" i="3"/>
  <c r="U3137" i="3"/>
  <c r="U3136" i="3"/>
  <c r="U3135" i="3"/>
  <c r="U3093" i="3"/>
  <c r="U3092" i="3"/>
  <c r="U3091" i="3"/>
  <c r="U3090" i="3"/>
  <c r="U3048" i="3"/>
  <c r="U3047" i="3"/>
  <c r="U3046" i="3"/>
  <c r="U3045" i="3"/>
  <c r="U3043" i="3"/>
  <c r="U3042" i="3"/>
  <c r="U3041" i="3"/>
  <c r="U3040" i="3"/>
  <c r="U2998" i="3"/>
  <c r="U2997" i="3"/>
  <c r="U2996" i="3"/>
  <c r="U2995" i="3"/>
  <c r="U2994" i="3"/>
  <c r="U2993" i="3"/>
  <c r="U2951" i="3"/>
  <c r="U2950" i="3"/>
  <c r="U2949" i="3"/>
  <c r="U2948" i="3"/>
  <c r="U2947" i="3"/>
  <c r="U2905" i="3"/>
  <c r="U2904" i="3"/>
  <c r="U2903" i="3"/>
  <c r="U2861" i="3"/>
  <c r="U2860" i="3"/>
  <c r="U2859" i="3"/>
  <c r="U2857" i="3"/>
  <c r="U2856" i="3"/>
  <c r="U2855" i="3"/>
  <c r="U2854" i="3"/>
  <c r="U2812" i="3"/>
  <c r="U2811" i="3"/>
  <c r="U2810" i="3"/>
  <c r="U2809" i="3"/>
  <c r="U2808" i="3"/>
  <c r="U2766" i="3"/>
  <c r="U2765" i="3"/>
  <c r="U2764" i="3"/>
  <c r="U2722" i="3"/>
  <c r="U2721" i="3"/>
  <c r="U2720" i="3"/>
  <c r="U2718" i="3"/>
  <c r="U2717" i="3"/>
  <c r="U2716" i="3"/>
  <c r="U2715" i="3"/>
  <c r="U2673" i="3"/>
  <c r="U2672" i="3"/>
  <c r="U2671" i="3"/>
  <c r="U2670" i="3"/>
  <c r="U2669" i="3"/>
  <c r="U2668" i="3"/>
  <c r="U2626" i="3"/>
  <c r="U2625" i="3"/>
  <c r="U2624" i="3"/>
  <c r="U2623" i="3"/>
  <c r="U2622" i="3"/>
  <c r="U2621" i="3"/>
  <c r="U2579" i="3"/>
  <c r="U2578" i="3"/>
  <c r="U2577" i="3"/>
  <c r="U2576" i="3"/>
  <c r="U2534" i="3"/>
  <c r="U2533" i="3"/>
  <c r="U2532" i="3"/>
  <c r="U2531" i="3"/>
  <c r="U2529" i="3"/>
  <c r="U2528" i="3"/>
  <c r="U2527" i="3"/>
  <c r="U2526" i="3"/>
  <c r="U2484" i="3"/>
  <c r="U2483" i="3"/>
  <c r="U2482" i="3"/>
  <c r="U2481" i="3"/>
  <c r="U2480" i="3"/>
  <c r="U2479" i="3"/>
  <c r="U2437" i="3"/>
  <c r="U2436" i="3"/>
  <c r="U2435" i="3"/>
  <c r="U2434" i="3"/>
  <c r="U2392" i="3"/>
  <c r="U2391" i="3"/>
  <c r="U2390" i="3"/>
  <c r="U2389" i="3"/>
  <c r="U2387" i="3"/>
  <c r="U2386" i="3"/>
  <c r="U2385" i="3"/>
  <c r="U2384" i="3"/>
  <c r="U2342" i="3"/>
  <c r="U2341" i="3"/>
  <c r="U2340" i="3"/>
  <c r="U2339" i="3"/>
  <c r="U2338" i="3"/>
  <c r="U2337" i="3"/>
  <c r="U2295" i="3"/>
  <c r="U2294" i="3"/>
  <c r="U2293" i="3"/>
  <c r="U2292" i="3"/>
  <c r="U2291" i="3"/>
  <c r="U2249" i="3"/>
  <c r="U2248" i="3"/>
  <c r="U2247" i="3"/>
  <c r="U2205" i="3"/>
  <c r="U2204" i="3"/>
  <c r="U2203" i="3"/>
  <c r="U2201" i="3"/>
  <c r="U2200" i="3"/>
  <c r="U2199" i="3"/>
  <c r="U2198" i="3"/>
  <c r="U2156" i="3"/>
  <c r="U2155" i="3"/>
  <c r="U2154" i="3"/>
  <c r="U2153" i="3"/>
  <c r="U2152" i="3"/>
  <c r="U2110" i="3"/>
  <c r="U2109" i="3"/>
  <c r="U2108" i="3"/>
  <c r="U2066" i="3"/>
  <c r="U2065" i="3"/>
  <c r="U2064" i="3"/>
  <c r="U2062" i="3"/>
  <c r="U2061" i="3"/>
  <c r="U2060" i="3"/>
  <c r="U2059" i="3"/>
  <c r="U2017" i="3"/>
  <c r="U2016" i="3"/>
  <c r="U2015" i="3"/>
  <c r="U2014" i="3"/>
  <c r="U2013" i="3"/>
  <c r="U2012" i="3"/>
  <c r="U1969" i="3"/>
  <c r="U1968" i="3"/>
  <c r="U1967" i="3"/>
  <c r="U1966" i="3"/>
  <c r="U1965" i="3"/>
  <c r="U1964" i="3"/>
  <c r="U1922" i="3"/>
  <c r="U1921" i="3"/>
  <c r="U1920" i="3"/>
  <c r="U1919" i="3"/>
  <c r="U1877" i="3"/>
  <c r="U1876" i="3"/>
  <c r="U1875" i="3"/>
  <c r="U1874" i="3"/>
  <c r="U1872" i="3"/>
  <c r="U1871" i="3"/>
  <c r="U1870" i="3"/>
  <c r="U1869" i="3"/>
  <c r="U1827" i="3"/>
  <c r="U1826" i="3"/>
  <c r="U1825" i="3"/>
  <c r="U1824" i="3"/>
  <c r="U1823" i="3"/>
  <c r="U1822" i="3"/>
  <c r="U1780" i="3"/>
  <c r="U1779" i="3"/>
  <c r="U1778" i="3"/>
  <c r="U1777" i="3"/>
  <c r="U1735" i="3"/>
  <c r="U1734" i="3"/>
  <c r="U1733" i="3"/>
  <c r="U1732" i="3"/>
  <c r="U1730" i="3"/>
  <c r="U1729" i="3"/>
  <c r="U1728" i="3"/>
  <c r="U1727" i="3"/>
  <c r="U1685" i="3"/>
  <c r="U1684" i="3"/>
  <c r="U1683" i="3"/>
  <c r="U1682" i="3"/>
  <c r="U1681" i="3"/>
  <c r="U1680" i="3"/>
  <c r="U1638" i="3"/>
  <c r="U1637" i="3"/>
  <c r="U1636" i="3"/>
  <c r="U1635" i="3"/>
  <c r="U1634" i="3"/>
  <c r="U1592" i="3"/>
  <c r="U1591" i="3"/>
  <c r="U1590" i="3"/>
  <c r="U1548" i="3"/>
  <c r="U1547" i="3"/>
  <c r="U1546" i="3"/>
  <c r="U1544" i="3"/>
  <c r="U1543" i="3"/>
  <c r="U1542" i="3"/>
  <c r="U1541" i="3"/>
  <c r="U1499" i="3"/>
  <c r="U1498" i="3"/>
  <c r="U1497" i="3"/>
  <c r="U1496" i="3"/>
  <c r="U1495" i="3"/>
  <c r="U1453" i="3"/>
  <c r="U1452" i="3"/>
  <c r="U1451" i="3"/>
  <c r="U1409" i="3"/>
  <c r="U1408" i="3"/>
  <c r="U1407" i="3"/>
  <c r="U1405" i="3"/>
  <c r="U1404" i="3"/>
  <c r="U1403" i="3"/>
  <c r="U1402" i="3"/>
  <c r="U1360" i="3"/>
  <c r="U1359" i="3"/>
  <c r="U1358" i="3"/>
  <c r="U1357" i="3"/>
  <c r="U1356" i="3"/>
  <c r="U1355" i="3"/>
  <c r="U1312" i="3"/>
  <c r="U1311" i="3"/>
  <c r="U1310" i="3"/>
  <c r="U1309" i="3"/>
  <c r="U1308" i="3"/>
  <c r="U1307" i="3"/>
  <c r="U1265" i="3"/>
  <c r="U1264" i="3"/>
  <c r="U1263" i="3"/>
  <c r="U1262" i="3"/>
  <c r="U1220" i="3"/>
  <c r="U1219" i="3"/>
  <c r="U1218" i="3"/>
  <c r="U1217" i="3"/>
  <c r="U1215" i="3"/>
  <c r="U1214" i="3"/>
  <c r="U1213" i="3"/>
  <c r="U1212" i="3"/>
  <c r="U1170" i="3"/>
  <c r="U1169" i="3"/>
  <c r="U1168" i="3"/>
  <c r="U1167" i="3"/>
  <c r="U1166" i="3"/>
  <c r="U1165" i="3"/>
  <c r="U1123" i="3"/>
  <c r="U1122" i="3"/>
  <c r="U1121" i="3"/>
  <c r="U1120" i="3"/>
  <c r="U1078" i="3"/>
  <c r="U1077" i="3"/>
  <c r="U1076" i="3"/>
  <c r="U1075" i="3"/>
  <c r="U1073" i="3"/>
  <c r="U1072" i="3"/>
  <c r="U1071" i="3"/>
  <c r="U1070" i="3"/>
  <c r="U1028" i="3"/>
  <c r="U1027" i="3"/>
  <c r="U1026" i="3"/>
  <c r="U1025" i="3"/>
  <c r="U1024" i="3"/>
  <c r="U1023" i="3"/>
  <c r="U981" i="3"/>
  <c r="U980" i="3"/>
  <c r="U979" i="3"/>
  <c r="U978" i="3"/>
  <c r="U977" i="3"/>
  <c r="U935" i="3"/>
  <c r="U934" i="3"/>
  <c r="U933" i="3"/>
  <c r="U891" i="3"/>
  <c r="U890" i="3"/>
  <c r="U889" i="3"/>
  <c r="U887" i="3"/>
  <c r="U886" i="3"/>
  <c r="U885" i="3"/>
  <c r="U884" i="3"/>
  <c r="U842" i="3"/>
  <c r="U841" i="3"/>
  <c r="U840" i="3"/>
  <c r="U839" i="3"/>
  <c r="U838" i="3"/>
  <c r="U796" i="3"/>
  <c r="U795" i="3"/>
  <c r="U794" i="3"/>
  <c r="U752" i="3"/>
  <c r="U751" i="3"/>
  <c r="U750" i="3"/>
  <c r="U748" i="3"/>
  <c r="U747" i="3"/>
  <c r="U746" i="3"/>
  <c r="U745" i="3"/>
  <c r="U703" i="3"/>
  <c r="U702" i="3"/>
  <c r="U701" i="3"/>
  <c r="U700" i="3"/>
  <c r="U699" i="3"/>
  <c r="U698" i="3"/>
  <c r="U656" i="3"/>
  <c r="U655" i="3"/>
  <c r="U654" i="3"/>
  <c r="U653" i="3"/>
  <c r="U652" i="3"/>
  <c r="U651" i="3"/>
  <c r="U609" i="3"/>
  <c r="U608" i="3"/>
  <c r="U607" i="3"/>
  <c r="U606" i="3"/>
  <c r="U605" i="3"/>
  <c r="U604" i="3"/>
  <c r="U562" i="3"/>
  <c r="U561" i="3"/>
  <c r="U560" i="3"/>
  <c r="U559" i="3"/>
  <c r="U517" i="3"/>
  <c r="U516" i="3"/>
  <c r="U515" i="3"/>
  <c r="U514" i="3"/>
  <c r="U472" i="3"/>
  <c r="U471" i="3"/>
  <c r="U470" i="3"/>
  <c r="U469" i="3"/>
  <c r="U467" i="3"/>
  <c r="U466" i="3"/>
  <c r="U465" i="3"/>
  <c r="U464" i="3"/>
  <c r="U422" i="3"/>
  <c r="U421" i="3"/>
  <c r="U420" i="3"/>
  <c r="U419" i="3"/>
  <c r="U417" i="3"/>
  <c r="U416" i="3"/>
  <c r="U415" i="3"/>
  <c r="U414" i="3"/>
  <c r="U372" i="3"/>
  <c r="U371" i="3"/>
  <c r="U370" i="3"/>
  <c r="U369" i="3"/>
  <c r="U368" i="3"/>
  <c r="U367" i="3"/>
  <c r="U325" i="3"/>
  <c r="U324" i="3"/>
  <c r="U323" i="3"/>
  <c r="U322" i="3"/>
  <c r="U321" i="3"/>
  <c r="U279" i="3"/>
  <c r="U278" i="3"/>
  <c r="U277" i="3"/>
  <c r="U276" i="3"/>
  <c r="U275" i="3"/>
  <c r="U233" i="3"/>
  <c r="U232" i="3"/>
  <c r="U231" i="3"/>
  <c r="U189" i="3"/>
  <c r="U188" i="3"/>
  <c r="U187" i="3"/>
  <c r="U145" i="3"/>
  <c r="U144" i="3"/>
  <c r="U143" i="3"/>
  <c r="U141" i="3"/>
  <c r="U140" i="3"/>
  <c r="U139" i="3"/>
  <c r="U138" i="3"/>
  <c r="U96" i="3"/>
  <c r="U95" i="3"/>
  <c r="U94" i="3"/>
  <c r="U92" i="3"/>
  <c r="U91" i="3"/>
  <c r="U90" i="3"/>
  <c r="U89" i="3"/>
  <c r="U47" i="3"/>
  <c r="U46" i="3"/>
  <c r="U45" i="3"/>
  <c r="U44" i="3"/>
  <c r="U43" i="3"/>
  <c r="U42" i="3"/>
  <c r="L9623" i="3"/>
  <c r="M9623" i="3" s="1"/>
  <c r="L9298" i="3"/>
  <c r="M9298" i="3" s="1"/>
  <c r="L8958" i="3"/>
  <c r="M8958" i="3" s="1"/>
  <c r="L8633" i="3"/>
  <c r="M8633" i="3" s="1"/>
  <c r="L8294" i="3"/>
  <c r="M8294" i="3" s="1"/>
  <c r="L7969" i="3"/>
  <c r="M7969" i="3" s="1"/>
  <c r="L7630" i="3"/>
  <c r="M7630" i="3" s="1"/>
  <c r="L7305" i="3"/>
  <c r="M7305" i="3" s="1"/>
  <c r="L6965" i="3"/>
  <c r="M6965" i="3" s="1"/>
  <c r="L6640" i="3"/>
  <c r="M6640" i="3" s="1"/>
  <c r="L6301" i="3"/>
  <c r="M6301" i="3" s="1"/>
  <c r="L5976" i="3"/>
  <c r="M5976" i="3" s="1"/>
  <c r="L5637" i="3"/>
  <c r="M5637" i="3" s="1"/>
  <c r="L5312" i="3"/>
  <c r="M5312" i="3" s="1"/>
  <c r="L4972" i="3"/>
  <c r="M4972" i="3" s="1"/>
  <c r="L4647" i="3"/>
  <c r="M4647" i="3" s="1"/>
  <c r="L4308" i="3"/>
  <c r="M4308" i="3" s="1"/>
  <c r="L3983" i="3"/>
  <c r="M3983" i="3" s="1"/>
  <c r="L3327" i="3"/>
  <c r="M3327" i="3" s="1"/>
  <c r="L2670" i="3"/>
  <c r="M2670" i="3" s="1"/>
  <c r="L2014" i="3"/>
  <c r="M2014" i="3" s="1"/>
  <c r="L1357" i="3"/>
  <c r="M1357" i="3" s="1"/>
  <c r="L700" i="3"/>
  <c r="M700" i="3" s="1"/>
  <c r="L44" i="3"/>
  <c r="M44" i="3" s="1"/>
  <c r="L2353" i="13"/>
  <c r="M2353" i="13" s="1"/>
  <c r="L2026" i="13"/>
  <c r="M2026" i="13" s="1"/>
  <c r="L1692" i="13"/>
  <c r="M1692" i="13" s="1"/>
  <c r="L1365" i="13"/>
  <c r="M1365" i="13" s="1"/>
  <c r="L1031" i="13"/>
  <c r="M1031" i="13" s="1"/>
  <c r="L704" i="13"/>
  <c r="M704" i="13" s="1"/>
  <c r="L370" i="13"/>
  <c r="M370" i="13" s="1"/>
  <c r="L43" i="13"/>
  <c r="M43" i="13" s="1"/>
  <c r="L1031" i="14"/>
  <c r="M1031" i="14" s="1"/>
  <c r="L704" i="14"/>
  <c r="M704" i="14" s="1"/>
  <c r="L370" i="14"/>
  <c r="M370" i="14" s="1"/>
  <c r="L43" i="14"/>
  <c r="M43" i="14" s="1"/>
  <c r="L370" i="15"/>
  <c r="M370" i="15" s="1"/>
  <c r="L43" i="15"/>
  <c r="M43" i="15" s="1"/>
  <c r="L389" i="4"/>
  <c r="M389" i="4" s="1"/>
  <c r="L320" i="4"/>
  <c r="M320" i="4" s="1"/>
  <c r="L250" i="4"/>
  <c r="M250" i="4" s="1"/>
  <c r="L180" i="4"/>
  <c r="M180" i="4" s="1"/>
  <c r="L111" i="4"/>
  <c r="M111" i="4" s="1"/>
  <c r="L41" i="4"/>
  <c r="M41" i="4" s="1"/>
  <c r="L434" i="5"/>
  <c r="M434" i="5" s="1"/>
  <c r="L387" i="5"/>
  <c r="M387" i="5" s="1"/>
  <c r="L340" i="5"/>
  <c r="M340" i="5" s="1"/>
  <c r="L293" i="5"/>
  <c r="M293" i="5" s="1"/>
  <c r="L246" i="5"/>
  <c r="M246" i="5" s="1"/>
  <c r="L199" i="5"/>
  <c r="M199" i="5" s="1"/>
  <c r="L146" i="5"/>
  <c r="M146" i="5" s="1"/>
  <c r="L143" i="5"/>
  <c r="M143" i="5" s="1"/>
  <c r="L94" i="5"/>
  <c r="M94" i="5" s="1"/>
  <c r="L91" i="5"/>
  <c r="M91" i="5" s="1"/>
  <c r="M39" i="5"/>
  <c r="M287" i="7"/>
  <c r="M238" i="7"/>
  <c r="M189" i="7"/>
  <c r="M140" i="7"/>
  <c r="M91" i="7"/>
  <c r="M42" i="7"/>
  <c r="M42" i="5"/>
  <c r="G1739" i="13"/>
  <c r="E1739" i="13"/>
  <c r="C1739" i="13"/>
  <c r="A1739" i="13"/>
  <c r="U5" i="2"/>
  <c r="U7" i="2"/>
  <c r="U8" i="2"/>
  <c r="U9" i="2"/>
  <c r="U11" i="2"/>
  <c r="U13" i="2"/>
  <c r="U14" i="2"/>
  <c r="U15" i="2"/>
  <c r="U4" i="2"/>
  <c r="B21" i="2"/>
  <c r="B1040" i="10" l="1"/>
  <c r="J1040" i="10" s="1"/>
  <c r="O6" i="2"/>
  <c r="G1039" i="10"/>
  <c r="D1039" i="10"/>
  <c r="A1039" i="10"/>
  <c r="B1086" i="10"/>
  <c r="J1086" i="10" s="1"/>
  <c r="B1083" i="10"/>
  <c r="J1083" i="10" s="1"/>
  <c r="B1080" i="10"/>
  <c r="J1080" i="10" s="1"/>
  <c r="G1078" i="10"/>
  <c r="D1078" i="10"/>
  <c r="A1078" i="10"/>
  <c r="B1061" i="10"/>
  <c r="J1061" i="10" s="1"/>
  <c r="B1059" i="10"/>
  <c r="J1059" i="10" s="1"/>
  <c r="B1057" i="10"/>
  <c r="J1057" i="10" s="1"/>
  <c r="G1054" i="10" l="1"/>
  <c r="D1054" i="10"/>
  <c r="A1054" i="10"/>
  <c r="G669" i="10"/>
  <c r="G471" i="10"/>
  <c r="G3796" i="3"/>
  <c r="E3796" i="3"/>
  <c r="C3796" i="3"/>
  <c r="A3796" i="3"/>
  <c r="G3792" i="3"/>
  <c r="E3792" i="3"/>
  <c r="C3792" i="3"/>
  <c r="A3792" i="3"/>
  <c r="E3791" i="3"/>
  <c r="G844" i="10"/>
  <c r="E433" i="5"/>
  <c r="C433" i="5"/>
  <c r="G432" i="5"/>
  <c r="E432" i="5"/>
  <c r="C432" i="5"/>
  <c r="A432" i="5"/>
  <c r="E431" i="5"/>
  <c r="B414" i="5"/>
  <c r="B413" i="5"/>
  <c r="B412" i="5"/>
  <c r="B411" i="5"/>
  <c r="B410" i="5"/>
  <c r="B409" i="5"/>
  <c r="B408" i="5"/>
  <c r="B407" i="5"/>
  <c r="B406" i="5"/>
  <c r="B405" i="5"/>
  <c r="B404" i="5"/>
  <c r="B403" i="5"/>
  <c r="B402" i="5"/>
  <c r="B401" i="5"/>
  <c r="B400" i="5"/>
  <c r="B399" i="5"/>
  <c r="C431" i="5" s="1"/>
  <c r="B398" i="5"/>
  <c r="G431" i="5" s="1"/>
  <c r="E386" i="5"/>
  <c r="C386" i="5"/>
  <c r="G385" i="5"/>
  <c r="E385" i="5"/>
  <c r="C385" i="5"/>
  <c r="A385" i="5"/>
  <c r="E384" i="5"/>
  <c r="B367" i="5"/>
  <c r="B366" i="5"/>
  <c r="B365" i="5"/>
  <c r="B364" i="5"/>
  <c r="B363" i="5"/>
  <c r="B362" i="5"/>
  <c r="B361" i="5"/>
  <c r="B360" i="5"/>
  <c r="B359" i="5"/>
  <c r="B358" i="5"/>
  <c r="B357" i="5"/>
  <c r="B356" i="5"/>
  <c r="B355" i="5"/>
  <c r="B354" i="5"/>
  <c r="B353" i="5"/>
  <c r="B352" i="5"/>
  <c r="A369" i="5" s="1"/>
  <c r="B351" i="5"/>
  <c r="G384" i="5" s="1"/>
  <c r="E339" i="5"/>
  <c r="C339" i="5"/>
  <c r="G338" i="5"/>
  <c r="E338" i="5"/>
  <c r="C338" i="5"/>
  <c r="A338" i="5"/>
  <c r="E337" i="5"/>
  <c r="B320" i="5"/>
  <c r="B329" i="5" s="1"/>
  <c r="B319" i="5"/>
  <c r="B318" i="5"/>
  <c r="B317" i="5"/>
  <c r="B316" i="5"/>
  <c r="B315" i="5"/>
  <c r="B314" i="5"/>
  <c r="B313" i="5"/>
  <c r="B312" i="5"/>
  <c r="B311" i="5"/>
  <c r="B310" i="5"/>
  <c r="B309" i="5"/>
  <c r="B308" i="5"/>
  <c r="B307" i="5"/>
  <c r="B306" i="5"/>
  <c r="B305" i="5"/>
  <c r="C337" i="5" s="1"/>
  <c r="B304" i="5"/>
  <c r="G337" i="5" s="1"/>
  <c r="G659" i="15"/>
  <c r="E659" i="15"/>
  <c r="C659" i="15"/>
  <c r="A659" i="15"/>
  <c r="G654" i="15"/>
  <c r="E654" i="15"/>
  <c r="C654" i="15"/>
  <c r="A654" i="15"/>
  <c r="E653" i="15"/>
  <c r="B635" i="15"/>
  <c r="B644" i="15" s="1"/>
  <c r="B634" i="15"/>
  <c r="B633" i="15"/>
  <c r="B632" i="15"/>
  <c r="B631" i="15"/>
  <c r="B630" i="15"/>
  <c r="B629" i="15"/>
  <c r="B628" i="15"/>
  <c r="B627" i="15"/>
  <c r="B626" i="15"/>
  <c r="B625" i="15"/>
  <c r="B624" i="15"/>
  <c r="B623" i="15"/>
  <c r="B622" i="15"/>
  <c r="B621" i="15"/>
  <c r="B620" i="15"/>
  <c r="A637" i="15" s="1"/>
  <c r="B619" i="15"/>
  <c r="G653" i="15" s="1"/>
  <c r="G611" i="15"/>
  <c r="E611" i="15"/>
  <c r="C611" i="15"/>
  <c r="A611" i="15"/>
  <c r="G609" i="15"/>
  <c r="E609" i="15"/>
  <c r="C609" i="15"/>
  <c r="A609" i="15"/>
  <c r="E608" i="15"/>
  <c r="B590" i="15"/>
  <c r="B599" i="15" s="1"/>
  <c r="B589" i="15"/>
  <c r="B588" i="15"/>
  <c r="B587" i="15"/>
  <c r="B586" i="15"/>
  <c r="B585" i="15"/>
  <c r="B584" i="15"/>
  <c r="B583" i="15"/>
  <c r="B582" i="15"/>
  <c r="B581" i="15"/>
  <c r="B580" i="15"/>
  <c r="B579" i="15"/>
  <c r="B578" i="15"/>
  <c r="B577" i="15"/>
  <c r="B576" i="15"/>
  <c r="B575" i="15"/>
  <c r="A592" i="15" s="1"/>
  <c r="B574" i="15"/>
  <c r="G608" i="15" s="1"/>
  <c r="G565" i="15"/>
  <c r="E565" i="15"/>
  <c r="C565" i="15"/>
  <c r="A565" i="15"/>
  <c r="G561" i="15"/>
  <c r="E561" i="15"/>
  <c r="C561" i="15"/>
  <c r="A561" i="15"/>
  <c r="G560" i="15"/>
  <c r="E560" i="15"/>
  <c r="C560" i="15"/>
  <c r="A560" i="15"/>
  <c r="G559" i="15"/>
  <c r="E559" i="15"/>
  <c r="C559" i="15"/>
  <c r="A559" i="15"/>
  <c r="E558" i="15"/>
  <c r="B540" i="15"/>
  <c r="B549" i="15" s="1"/>
  <c r="B539" i="15"/>
  <c r="B538" i="15"/>
  <c r="B537" i="15"/>
  <c r="B536" i="15"/>
  <c r="B535" i="15"/>
  <c r="B534" i="15"/>
  <c r="B533" i="15"/>
  <c r="B532" i="15"/>
  <c r="B531" i="15"/>
  <c r="B530" i="15"/>
  <c r="B529" i="15"/>
  <c r="B528" i="15"/>
  <c r="B527" i="15"/>
  <c r="B526" i="15"/>
  <c r="B525" i="15"/>
  <c r="C558" i="15" s="1"/>
  <c r="B524" i="15"/>
  <c r="G558" i="15" s="1"/>
  <c r="G321" i="15"/>
  <c r="E321" i="15"/>
  <c r="C321" i="15"/>
  <c r="A321" i="15"/>
  <c r="E320" i="15"/>
  <c r="B302" i="15"/>
  <c r="B311" i="15" s="1"/>
  <c r="B301" i="15"/>
  <c r="B300" i="15"/>
  <c r="B299" i="15"/>
  <c r="B298" i="15"/>
  <c r="B297" i="15"/>
  <c r="B296" i="15"/>
  <c r="B295" i="15"/>
  <c r="B294" i="15"/>
  <c r="B293" i="15"/>
  <c r="B292" i="15"/>
  <c r="B291" i="15"/>
  <c r="B290" i="15"/>
  <c r="B289" i="15"/>
  <c r="B288" i="15"/>
  <c r="B287" i="15"/>
  <c r="C320" i="15" s="1"/>
  <c r="B286" i="15"/>
  <c r="G320" i="15" s="1"/>
  <c r="G277" i="15"/>
  <c r="E277" i="15"/>
  <c r="C277" i="15"/>
  <c r="A277" i="15"/>
  <c r="E276" i="15"/>
  <c r="B258" i="15"/>
  <c r="B267" i="15" s="1"/>
  <c r="B257" i="15"/>
  <c r="B256" i="15"/>
  <c r="B255" i="15"/>
  <c r="B254" i="15"/>
  <c r="B253" i="15"/>
  <c r="B252" i="15"/>
  <c r="B251" i="15"/>
  <c r="B250" i="15"/>
  <c r="B249" i="15"/>
  <c r="B248" i="15"/>
  <c r="B247" i="15"/>
  <c r="B246" i="15"/>
  <c r="B245" i="15"/>
  <c r="B244" i="15"/>
  <c r="B243" i="15"/>
  <c r="C276" i="15" s="1"/>
  <c r="B242" i="15"/>
  <c r="G276" i="15" s="1"/>
  <c r="G230" i="15"/>
  <c r="E230" i="15"/>
  <c r="C230" i="15"/>
  <c r="A230" i="15"/>
  <c r="G229" i="15"/>
  <c r="E229" i="15"/>
  <c r="C229" i="15"/>
  <c r="A229" i="15"/>
  <c r="G228" i="15"/>
  <c r="E228" i="15"/>
  <c r="C228" i="15"/>
  <c r="A228" i="15"/>
  <c r="E227" i="15"/>
  <c r="B209" i="15"/>
  <c r="B218" i="15" s="1"/>
  <c r="B208" i="15"/>
  <c r="B207" i="15"/>
  <c r="B206" i="15"/>
  <c r="B205" i="15"/>
  <c r="B204" i="15"/>
  <c r="B203" i="15"/>
  <c r="B202" i="15"/>
  <c r="B201" i="15"/>
  <c r="B200" i="15"/>
  <c r="B199" i="15"/>
  <c r="B198" i="15"/>
  <c r="B197" i="15"/>
  <c r="B196" i="15"/>
  <c r="B195" i="15"/>
  <c r="B194" i="15"/>
  <c r="A211" i="15" s="1"/>
  <c r="B193" i="15"/>
  <c r="G227" i="15" s="1"/>
  <c r="B492" i="15"/>
  <c r="B501" i="15" s="1"/>
  <c r="B491" i="15"/>
  <c r="B447" i="15"/>
  <c r="B456" i="15" s="1"/>
  <c r="B446" i="15"/>
  <c r="B397" i="15"/>
  <c r="B406" i="15" s="1"/>
  <c r="B396" i="15"/>
  <c r="B349" i="15"/>
  <c r="B358" i="15" s="1"/>
  <c r="B348" i="15"/>
  <c r="B162" i="15"/>
  <c r="B171" i="15" s="1"/>
  <c r="B161" i="15"/>
  <c r="B118" i="15"/>
  <c r="B127" i="15" s="1"/>
  <c r="B117" i="15"/>
  <c r="B69" i="15"/>
  <c r="B78" i="15" s="1"/>
  <c r="B68" i="15"/>
  <c r="B22" i="15"/>
  <c r="B31" i="15" s="1"/>
  <c r="B21" i="15"/>
  <c r="G1320" i="14"/>
  <c r="E1320" i="14"/>
  <c r="C1320" i="14"/>
  <c r="A1320" i="14"/>
  <c r="G1315" i="14"/>
  <c r="E1315" i="14"/>
  <c r="C1315" i="14"/>
  <c r="A1315" i="14"/>
  <c r="E1314" i="14"/>
  <c r="B1296" i="14"/>
  <c r="B1305" i="14" s="1"/>
  <c r="B1295" i="14"/>
  <c r="B1294" i="14"/>
  <c r="B1293" i="14"/>
  <c r="B1292" i="14"/>
  <c r="B1291" i="14"/>
  <c r="B1290" i="14"/>
  <c r="B1289" i="14"/>
  <c r="B1288" i="14"/>
  <c r="B1287" i="14"/>
  <c r="B1286" i="14"/>
  <c r="B1285" i="14"/>
  <c r="B1284" i="14"/>
  <c r="B1283" i="14"/>
  <c r="B1282" i="14"/>
  <c r="B1281" i="14"/>
  <c r="B1280" i="14"/>
  <c r="G1314" i="14" s="1"/>
  <c r="G1272" i="14"/>
  <c r="E1272" i="14"/>
  <c r="C1272" i="14"/>
  <c r="A1272" i="14"/>
  <c r="G1270" i="14"/>
  <c r="E1270" i="14"/>
  <c r="C1270" i="14"/>
  <c r="A1270" i="14"/>
  <c r="E1269" i="14"/>
  <c r="B1251" i="14"/>
  <c r="B1260" i="14" s="1"/>
  <c r="B1250" i="14"/>
  <c r="B1249" i="14"/>
  <c r="B1248" i="14"/>
  <c r="B1247" i="14"/>
  <c r="B1246" i="14"/>
  <c r="B1245" i="14"/>
  <c r="B1244" i="14"/>
  <c r="B1243" i="14"/>
  <c r="B1242" i="14"/>
  <c r="B1241" i="14"/>
  <c r="B1240" i="14"/>
  <c r="B1239" i="14"/>
  <c r="B1238" i="14"/>
  <c r="B1237" i="14"/>
  <c r="B1236" i="14"/>
  <c r="C1269" i="14" s="1"/>
  <c r="B1235" i="14"/>
  <c r="G1269" i="14" s="1"/>
  <c r="G1226" i="14"/>
  <c r="E1226" i="14"/>
  <c r="C1226" i="14"/>
  <c r="A1226" i="14"/>
  <c r="G1222" i="14"/>
  <c r="E1222" i="14"/>
  <c r="C1222" i="14"/>
  <c r="A1222" i="14"/>
  <c r="G1221" i="14"/>
  <c r="E1221" i="14"/>
  <c r="C1221" i="14"/>
  <c r="A1221" i="14"/>
  <c r="G1220" i="14"/>
  <c r="E1220" i="14"/>
  <c r="C1220" i="14"/>
  <c r="A1220" i="14"/>
  <c r="E1219" i="14"/>
  <c r="B1201" i="14"/>
  <c r="B1210" i="14" s="1"/>
  <c r="B1200" i="14"/>
  <c r="B1199" i="14"/>
  <c r="B1198" i="14"/>
  <c r="B1197" i="14"/>
  <c r="B1196" i="14"/>
  <c r="B1195" i="14"/>
  <c r="B1194" i="14"/>
  <c r="B1193" i="14"/>
  <c r="B1192" i="14"/>
  <c r="B1191" i="14"/>
  <c r="B1190" i="14"/>
  <c r="B1189" i="14"/>
  <c r="B1188" i="14"/>
  <c r="B1187" i="14"/>
  <c r="B1186" i="14"/>
  <c r="B1185" i="14"/>
  <c r="G1219" i="14" s="1"/>
  <c r="G982" i="14"/>
  <c r="E982" i="14"/>
  <c r="C982" i="14"/>
  <c r="A982" i="14"/>
  <c r="E981" i="14"/>
  <c r="B963" i="14"/>
  <c r="B972" i="14" s="1"/>
  <c r="B962" i="14"/>
  <c r="B961" i="14"/>
  <c r="B960" i="14"/>
  <c r="B959" i="14"/>
  <c r="B958" i="14"/>
  <c r="B957" i="14"/>
  <c r="B956" i="14"/>
  <c r="B955" i="14"/>
  <c r="B954" i="14"/>
  <c r="B953" i="14"/>
  <c r="B952" i="14"/>
  <c r="B951" i="14"/>
  <c r="B950" i="14"/>
  <c r="B949" i="14"/>
  <c r="B948" i="14"/>
  <c r="A965" i="14" s="1"/>
  <c r="B947" i="14"/>
  <c r="G981" i="14" s="1"/>
  <c r="G938" i="14"/>
  <c r="E938" i="14"/>
  <c r="C938" i="14"/>
  <c r="A938" i="14"/>
  <c r="E937" i="14"/>
  <c r="B919" i="14"/>
  <c r="B928" i="14" s="1"/>
  <c r="B918" i="14"/>
  <c r="B917" i="14"/>
  <c r="B916" i="14"/>
  <c r="B915" i="14"/>
  <c r="B914" i="14"/>
  <c r="B913" i="14"/>
  <c r="B912" i="14"/>
  <c r="B911" i="14"/>
  <c r="B910" i="14"/>
  <c r="B909" i="14"/>
  <c r="B908" i="14"/>
  <c r="B907" i="14"/>
  <c r="B906" i="14"/>
  <c r="B905" i="14"/>
  <c r="B904" i="14"/>
  <c r="A921" i="14" s="1"/>
  <c r="B903" i="14"/>
  <c r="G937" i="14" s="1"/>
  <c r="G891" i="14"/>
  <c r="E891" i="14"/>
  <c r="C891" i="14"/>
  <c r="A891" i="14"/>
  <c r="G890" i="14"/>
  <c r="E890" i="14"/>
  <c r="C890" i="14"/>
  <c r="A890" i="14"/>
  <c r="G889" i="14"/>
  <c r="E889" i="14"/>
  <c r="C889" i="14"/>
  <c r="A889" i="14"/>
  <c r="E888" i="14"/>
  <c r="B870" i="14"/>
  <c r="B879" i="14" s="1"/>
  <c r="B869" i="14"/>
  <c r="B868" i="14"/>
  <c r="B867" i="14"/>
  <c r="B866" i="14"/>
  <c r="B865" i="14"/>
  <c r="B864" i="14"/>
  <c r="B863" i="14"/>
  <c r="B862" i="14"/>
  <c r="B861" i="14"/>
  <c r="B860" i="14"/>
  <c r="B859" i="14"/>
  <c r="B858" i="14"/>
  <c r="B857" i="14"/>
  <c r="B856" i="14"/>
  <c r="B855" i="14"/>
  <c r="B854" i="14"/>
  <c r="G888" i="14" s="1"/>
  <c r="G659" i="14"/>
  <c r="E659" i="14"/>
  <c r="C659" i="14"/>
  <c r="A659" i="14"/>
  <c r="G654" i="14"/>
  <c r="E654" i="14"/>
  <c r="C654" i="14"/>
  <c r="A654" i="14"/>
  <c r="E653" i="14"/>
  <c r="B635" i="14"/>
  <c r="B644" i="14" s="1"/>
  <c r="B634" i="14"/>
  <c r="B633" i="14"/>
  <c r="B632" i="14"/>
  <c r="B631" i="14"/>
  <c r="B630" i="14"/>
  <c r="B629" i="14"/>
  <c r="B628" i="14"/>
  <c r="B627" i="14"/>
  <c r="B626" i="14"/>
  <c r="B625" i="14"/>
  <c r="B624" i="14"/>
  <c r="B623" i="14"/>
  <c r="B622" i="14"/>
  <c r="B621" i="14"/>
  <c r="B620" i="14"/>
  <c r="B619" i="14"/>
  <c r="G653" i="14" s="1"/>
  <c r="G611" i="14"/>
  <c r="E611" i="14"/>
  <c r="C611" i="14"/>
  <c r="A611" i="14"/>
  <c r="G609" i="14"/>
  <c r="E609" i="14"/>
  <c r="C609" i="14"/>
  <c r="A609" i="14"/>
  <c r="E608" i="14"/>
  <c r="B590" i="14"/>
  <c r="B599" i="14" s="1"/>
  <c r="B589" i="14"/>
  <c r="B588" i="14"/>
  <c r="B587" i="14"/>
  <c r="B586" i="14"/>
  <c r="B585" i="14"/>
  <c r="B584" i="14"/>
  <c r="B583" i="14"/>
  <c r="B582" i="14"/>
  <c r="B581" i="14"/>
  <c r="B580" i="14"/>
  <c r="B579" i="14"/>
  <c r="B578" i="14"/>
  <c r="B577" i="14"/>
  <c r="B576" i="14"/>
  <c r="B575" i="14"/>
  <c r="C608" i="14" s="1"/>
  <c r="B574" i="14"/>
  <c r="G608" i="14" s="1"/>
  <c r="G565" i="14"/>
  <c r="E565" i="14"/>
  <c r="C565" i="14"/>
  <c r="A565" i="14"/>
  <c r="G561" i="14"/>
  <c r="E561" i="14"/>
  <c r="C561" i="14"/>
  <c r="A561" i="14"/>
  <c r="G560" i="14"/>
  <c r="E560" i="14"/>
  <c r="C560" i="14"/>
  <c r="A560" i="14"/>
  <c r="G559" i="14"/>
  <c r="E559" i="14"/>
  <c r="C559" i="14"/>
  <c r="A559" i="14"/>
  <c r="E558" i="14"/>
  <c r="B540" i="14"/>
  <c r="B549" i="14" s="1"/>
  <c r="B539" i="14"/>
  <c r="B538" i="14"/>
  <c r="B537" i="14"/>
  <c r="B536" i="14"/>
  <c r="B535" i="14"/>
  <c r="B534" i="14"/>
  <c r="B533" i="14"/>
  <c r="B532" i="14"/>
  <c r="B531" i="14"/>
  <c r="B530" i="14"/>
  <c r="B529" i="14"/>
  <c r="B528" i="14"/>
  <c r="B527" i="14"/>
  <c r="B526" i="14"/>
  <c r="B525" i="14"/>
  <c r="B524" i="14"/>
  <c r="G558" i="14" s="1"/>
  <c r="G321" i="14"/>
  <c r="E321" i="14"/>
  <c r="C321" i="14"/>
  <c r="A321" i="14"/>
  <c r="E320" i="14"/>
  <c r="B302" i="14"/>
  <c r="B311" i="14" s="1"/>
  <c r="B301" i="14"/>
  <c r="B300" i="14"/>
  <c r="B299" i="14"/>
  <c r="B298" i="14"/>
  <c r="B297" i="14"/>
  <c r="B296" i="14"/>
  <c r="B295" i="14"/>
  <c r="B294" i="14"/>
  <c r="B293" i="14"/>
  <c r="B292" i="14"/>
  <c r="B291" i="14"/>
  <c r="B290" i="14"/>
  <c r="B289" i="14"/>
  <c r="B288" i="14"/>
  <c r="B287" i="14"/>
  <c r="A304" i="14" s="1"/>
  <c r="B286" i="14"/>
  <c r="G320" i="14" s="1"/>
  <c r="G277" i="14"/>
  <c r="E277" i="14"/>
  <c r="C277" i="14"/>
  <c r="A277" i="14"/>
  <c r="E276" i="14"/>
  <c r="B258" i="14"/>
  <c r="B267" i="14" s="1"/>
  <c r="B257" i="14"/>
  <c r="B256" i="14"/>
  <c r="B255" i="14"/>
  <c r="B254" i="14"/>
  <c r="B253" i="14"/>
  <c r="B252" i="14"/>
  <c r="B251" i="14"/>
  <c r="B250" i="14"/>
  <c r="B249" i="14"/>
  <c r="B248" i="14"/>
  <c r="B247" i="14"/>
  <c r="B246" i="14"/>
  <c r="B245" i="14"/>
  <c r="B244" i="14"/>
  <c r="B243" i="14"/>
  <c r="A260" i="14" s="1"/>
  <c r="B242" i="14"/>
  <c r="G276" i="14" s="1"/>
  <c r="G230" i="14"/>
  <c r="E230" i="14"/>
  <c r="C230" i="14"/>
  <c r="A230" i="14"/>
  <c r="G229" i="14"/>
  <c r="E229" i="14"/>
  <c r="C229" i="14"/>
  <c r="A229" i="14"/>
  <c r="G228" i="14"/>
  <c r="E228" i="14"/>
  <c r="C228" i="14"/>
  <c r="A228" i="14"/>
  <c r="E227" i="14"/>
  <c r="B209" i="14"/>
  <c r="B218" i="14" s="1"/>
  <c r="B208" i="14"/>
  <c r="B207" i="14"/>
  <c r="B206" i="14"/>
  <c r="B205" i="14"/>
  <c r="B204" i="14"/>
  <c r="B203" i="14"/>
  <c r="B202" i="14"/>
  <c r="B201" i="14"/>
  <c r="B200" i="14"/>
  <c r="B199" i="14"/>
  <c r="B198" i="14"/>
  <c r="B197" i="14"/>
  <c r="B196" i="14"/>
  <c r="B195" i="14"/>
  <c r="B194" i="14"/>
  <c r="C227" i="14" s="1"/>
  <c r="B193" i="14"/>
  <c r="G227" i="14" s="1"/>
  <c r="B273" i="5"/>
  <c r="B272" i="5"/>
  <c r="B271" i="5"/>
  <c r="B270" i="5"/>
  <c r="B269" i="5"/>
  <c r="B268" i="5"/>
  <c r="B267" i="5"/>
  <c r="B266" i="5"/>
  <c r="B265" i="5"/>
  <c r="B264" i="5"/>
  <c r="B263" i="5"/>
  <c r="B262" i="5"/>
  <c r="B261" i="5"/>
  <c r="B260" i="5"/>
  <c r="B259" i="5"/>
  <c r="B258" i="5"/>
  <c r="A275" i="5" s="1"/>
  <c r="B257" i="5"/>
  <c r="G290" i="5" s="1"/>
  <c r="B226" i="5"/>
  <c r="B225" i="5"/>
  <c r="B224" i="5"/>
  <c r="B223" i="5"/>
  <c r="B222" i="5"/>
  <c r="B221" i="5"/>
  <c r="B220" i="5"/>
  <c r="B219" i="5"/>
  <c r="B218" i="5"/>
  <c r="B217" i="5"/>
  <c r="B216" i="5"/>
  <c r="B215" i="5"/>
  <c r="B214" i="5"/>
  <c r="B213" i="5"/>
  <c r="B212" i="5"/>
  <c r="B211" i="5"/>
  <c r="A228" i="5" s="1"/>
  <c r="B210" i="5"/>
  <c r="G243" i="5" s="1"/>
  <c r="B179" i="5"/>
  <c r="B188" i="5" s="1"/>
  <c r="B178" i="5"/>
  <c r="B177" i="5"/>
  <c r="B176" i="5"/>
  <c r="B175" i="5"/>
  <c r="B174" i="5"/>
  <c r="B173" i="5"/>
  <c r="B172" i="5"/>
  <c r="B171" i="5"/>
  <c r="B170" i="5"/>
  <c r="B169" i="5"/>
  <c r="B168" i="5"/>
  <c r="B167" i="5"/>
  <c r="B166" i="5"/>
  <c r="B165" i="5"/>
  <c r="B164" i="5"/>
  <c r="A181" i="5" s="1"/>
  <c r="B163" i="5"/>
  <c r="G196" i="5" s="1"/>
  <c r="B126" i="5"/>
  <c r="B125" i="5"/>
  <c r="B124" i="5"/>
  <c r="B123" i="5"/>
  <c r="B122" i="5"/>
  <c r="B121" i="5"/>
  <c r="B120" i="5"/>
  <c r="B119" i="5"/>
  <c r="B118" i="5"/>
  <c r="B117" i="5"/>
  <c r="B116" i="5"/>
  <c r="B115" i="5"/>
  <c r="B114" i="5"/>
  <c r="B113" i="5"/>
  <c r="B112" i="5"/>
  <c r="B111" i="5"/>
  <c r="A128" i="5" s="1"/>
  <c r="B110" i="5"/>
  <c r="G142" i="5" s="1"/>
  <c r="B74" i="5"/>
  <c r="B73" i="5"/>
  <c r="B72" i="5"/>
  <c r="B71" i="5"/>
  <c r="B70" i="5"/>
  <c r="B69" i="5"/>
  <c r="B68" i="5"/>
  <c r="B67" i="5"/>
  <c r="B66" i="5"/>
  <c r="B65" i="5"/>
  <c r="B64" i="5"/>
  <c r="B63" i="5"/>
  <c r="B62" i="5"/>
  <c r="B61" i="5"/>
  <c r="B60" i="5"/>
  <c r="B59" i="5"/>
  <c r="A76" i="5" s="1"/>
  <c r="B58" i="5"/>
  <c r="G90" i="5" s="1"/>
  <c r="B22" i="5"/>
  <c r="B21" i="5"/>
  <c r="B20" i="5"/>
  <c r="B19" i="5"/>
  <c r="B18" i="5"/>
  <c r="B17" i="5"/>
  <c r="B16" i="5"/>
  <c r="B15" i="5"/>
  <c r="B14" i="5"/>
  <c r="B13" i="5"/>
  <c r="B12" i="5"/>
  <c r="B11" i="5"/>
  <c r="B10" i="5"/>
  <c r="B9" i="5"/>
  <c r="B8" i="5"/>
  <c r="B7" i="5"/>
  <c r="A24" i="5" s="1"/>
  <c r="B6" i="5"/>
  <c r="B370" i="4"/>
  <c r="B369" i="4"/>
  <c r="B368" i="4"/>
  <c r="B367" i="4"/>
  <c r="B366" i="4"/>
  <c r="B365" i="4"/>
  <c r="B364" i="4"/>
  <c r="B363" i="4"/>
  <c r="B362" i="4"/>
  <c r="B361" i="4"/>
  <c r="B360" i="4"/>
  <c r="B359" i="4"/>
  <c r="B358" i="4"/>
  <c r="B357" i="4"/>
  <c r="B356" i="4"/>
  <c r="B355" i="4"/>
  <c r="C386" i="4" s="1"/>
  <c r="B354" i="4"/>
  <c r="G386" i="4" s="1"/>
  <c r="B301" i="4"/>
  <c r="B300" i="4"/>
  <c r="B299" i="4"/>
  <c r="B298" i="4"/>
  <c r="B297" i="4"/>
  <c r="B296" i="4"/>
  <c r="B295" i="4"/>
  <c r="B294" i="4"/>
  <c r="B293" i="4"/>
  <c r="B292" i="4"/>
  <c r="B291" i="4"/>
  <c r="B290" i="4"/>
  <c r="B289" i="4"/>
  <c r="B288" i="4"/>
  <c r="B287" i="4"/>
  <c r="B286" i="4"/>
  <c r="C317" i="4" s="1"/>
  <c r="B285" i="4"/>
  <c r="G317" i="4" s="1"/>
  <c r="B231" i="4"/>
  <c r="B240" i="4" s="1"/>
  <c r="B230" i="4"/>
  <c r="B229" i="4"/>
  <c r="B228" i="4"/>
  <c r="B227" i="4"/>
  <c r="B226" i="4"/>
  <c r="B225" i="4"/>
  <c r="B224" i="4"/>
  <c r="B223" i="4"/>
  <c r="B222" i="4"/>
  <c r="B221" i="4"/>
  <c r="B219" i="4"/>
  <c r="B218" i="4"/>
  <c r="B217" i="4"/>
  <c r="B216" i="4"/>
  <c r="B215" i="4"/>
  <c r="G247" i="4" s="1"/>
  <c r="B161" i="4"/>
  <c r="B160" i="4"/>
  <c r="B159" i="4"/>
  <c r="B158" i="4"/>
  <c r="B157" i="4"/>
  <c r="B156" i="4"/>
  <c r="B155" i="4"/>
  <c r="B154" i="4"/>
  <c r="B153" i="4"/>
  <c r="B152" i="4"/>
  <c r="B151" i="4"/>
  <c r="B150" i="4"/>
  <c r="B149" i="4"/>
  <c r="B148" i="4"/>
  <c r="B147" i="4"/>
  <c r="B146" i="4"/>
  <c r="B145" i="4"/>
  <c r="B92" i="4"/>
  <c r="B91" i="4"/>
  <c r="B90" i="4"/>
  <c r="B89" i="4"/>
  <c r="B88" i="4"/>
  <c r="B87" i="4"/>
  <c r="B86" i="4"/>
  <c r="B85" i="4"/>
  <c r="B84" i="4"/>
  <c r="B83" i="4"/>
  <c r="B82" i="4"/>
  <c r="B81" i="4"/>
  <c r="B80" i="4"/>
  <c r="B79" i="4"/>
  <c r="B78" i="4"/>
  <c r="B77" i="4"/>
  <c r="B76" i="4"/>
  <c r="B22" i="4"/>
  <c r="B21" i="4"/>
  <c r="B20" i="4"/>
  <c r="B19" i="4"/>
  <c r="B18" i="4"/>
  <c r="B17" i="4"/>
  <c r="B16" i="4"/>
  <c r="B15" i="4"/>
  <c r="B14" i="4"/>
  <c r="B13" i="4"/>
  <c r="B12" i="4"/>
  <c r="B11" i="4"/>
  <c r="B10" i="4"/>
  <c r="B9" i="4"/>
  <c r="B8" i="4"/>
  <c r="B7" i="4"/>
  <c r="B6" i="4"/>
  <c r="B490" i="15"/>
  <c r="B489" i="15"/>
  <c r="B488" i="15"/>
  <c r="B487" i="15"/>
  <c r="B486" i="15"/>
  <c r="B485" i="15"/>
  <c r="B484" i="15"/>
  <c r="B483" i="15"/>
  <c r="B482" i="15"/>
  <c r="B481" i="15"/>
  <c r="B480" i="15"/>
  <c r="B479" i="15"/>
  <c r="B478" i="15"/>
  <c r="B477" i="15"/>
  <c r="C510" i="15" s="1"/>
  <c r="B476" i="15"/>
  <c r="G510" i="15" s="1"/>
  <c r="B445" i="15"/>
  <c r="B444" i="15"/>
  <c r="B443" i="15"/>
  <c r="B442" i="15"/>
  <c r="B441" i="15"/>
  <c r="B440" i="15"/>
  <c r="B439" i="15"/>
  <c r="B438" i="15"/>
  <c r="B437" i="15"/>
  <c r="B436" i="15"/>
  <c r="B435" i="15"/>
  <c r="B434" i="15"/>
  <c r="B433" i="15"/>
  <c r="B432" i="15"/>
  <c r="C465" i="15" s="1"/>
  <c r="B431" i="15"/>
  <c r="G465" i="15" s="1"/>
  <c r="B395" i="15"/>
  <c r="B394" i="15"/>
  <c r="B393" i="15"/>
  <c r="B392" i="15"/>
  <c r="B391" i="15"/>
  <c r="B390" i="15"/>
  <c r="B389" i="15"/>
  <c r="B388" i="15"/>
  <c r="B387" i="15"/>
  <c r="B386" i="15"/>
  <c r="B385" i="15"/>
  <c r="B384" i="15"/>
  <c r="B383" i="15"/>
  <c r="B382" i="15"/>
  <c r="A399" i="15" s="1"/>
  <c r="B381" i="15"/>
  <c r="G415" i="15" s="1"/>
  <c r="B347" i="15"/>
  <c r="B346" i="15"/>
  <c r="B345" i="15"/>
  <c r="B344" i="15"/>
  <c r="B343" i="15"/>
  <c r="B342" i="15"/>
  <c r="B341" i="15"/>
  <c r="B340" i="15"/>
  <c r="B339" i="15"/>
  <c r="B338" i="15"/>
  <c r="B337" i="15"/>
  <c r="B336" i="15"/>
  <c r="B335" i="15"/>
  <c r="B334" i="15"/>
  <c r="A351" i="15" s="1"/>
  <c r="B333" i="15"/>
  <c r="G367" i="15" s="1"/>
  <c r="B160" i="15"/>
  <c r="B159" i="15"/>
  <c r="B158" i="15"/>
  <c r="B157" i="15"/>
  <c r="B156" i="15"/>
  <c r="B155" i="15"/>
  <c r="B154" i="15"/>
  <c r="B153" i="15"/>
  <c r="B152" i="15"/>
  <c r="B151" i="15"/>
  <c r="B150" i="15"/>
  <c r="B149" i="15"/>
  <c r="B148" i="15"/>
  <c r="B147" i="15"/>
  <c r="A164" i="15" s="1"/>
  <c r="B146" i="15"/>
  <c r="G180" i="15" s="1"/>
  <c r="B116" i="15"/>
  <c r="B115" i="15"/>
  <c r="B114" i="15"/>
  <c r="B113" i="15"/>
  <c r="B112" i="15"/>
  <c r="B111" i="15"/>
  <c r="B110" i="15"/>
  <c r="B109" i="15"/>
  <c r="B108" i="15"/>
  <c r="B107" i="15"/>
  <c r="B128" i="15" s="1"/>
  <c r="B106" i="15"/>
  <c r="B105" i="15"/>
  <c r="B104" i="15"/>
  <c r="B103" i="15"/>
  <c r="A120" i="15" s="1"/>
  <c r="B102" i="15"/>
  <c r="G136" i="15" s="1"/>
  <c r="B67" i="15"/>
  <c r="B66" i="15"/>
  <c r="B65" i="15"/>
  <c r="B64" i="15"/>
  <c r="B63" i="15"/>
  <c r="B62" i="15"/>
  <c r="B61" i="15"/>
  <c r="B60" i="15"/>
  <c r="B59" i="15"/>
  <c r="B58" i="15"/>
  <c r="B57" i="15"/>
  <c r="B56" i="15"/>
  <c r="B55" i="15"/>
  <c r="B54" i="15"/>
  <c r="A71" i="15" s="1"/>
  <c r="B53" i="15"/>
  <c r="G87" i="15" s="1"/>
  <c r="B20" i="15"/>
  <c r="B19" i="15"/>
  <c r="B18" i="15"/>
  <c r="B17" i="15"/>
  <c r="B16" i="15"/>
  <c r="B15" i="15"/>
  <c r="B14" i="15"/>
  <c r="B13" i="15"/>
  <c r="B12" i="15"/>
  <c r="B11" i="15"/>
  <c r="B10" i="15"/>
  <c r="B9" i="15"/>
  <c r="B8" i="15"/>
  <c r="B7" i="15"/>
  <c r="C40" i="15" s="1"/>
  <c r="B6" i="15"/>
  <c r="G40" i="15" s="1"/>
  <c r="B1153" i="14"/>
  <c r="B1152" i="14"/>
  <c r="B1151" i="14"/>
  <c r="B1150" i="14"/>
  <c r="B1149" i="14"/>
  <c r="B1148" i="14"/>
  <c r="B1147" i="14"/>
  <c r="B1146" i="14"/>
  <c r="B1145" i="14"/>
  <c r="B1144" i="14"/>
  <c r="B1143" i="14"/>
  <c r="B1142" i="14"/>
  <c r="B1141" i="14"/>
  <c r="B1140" i="14"/>
  <c r="B1139" i="14"/>
  <c r="B1138" i="14"/>
  <c r="B1137" i="14"/>
  <c r="B1108" i="14"/>
  <c r="B1107" i="14"/>
  <c r="B1106" i="14"/>
  <c r="B1105" i="14"/>
  <c r="B1104" i="14"/>
  <c r="B1103" i="14"/>
  <c r="B1102" i="14"/>
  <c r="B1101" i="14"/>
  <c r="B1100" i="14"/>
  <c r="B1099" i="14"/>
  <c r="B1098" i="14"/>
  <c r="B1097" i="14"/>
  <c r="B1096" i="14"/>
  <c r="B1095" i="14"/>
  <c r="B1094" i="14"/>
  <c r="B1093" i="14"/>
  <c r="B1092" i="14"/>
  <c r="B1058" i="14"/>
  <c r="B1057" i="14"/>
  <c r="B1056" i="14"/>
  <c r="B1055" i="14"/>
  <c r="B1054" i="14"/>
  <c r="B1053" i="14"/>
  <c r="B1052" i="14"/>
  <c r="B1051" i="14"/>
  <c r="B1050" i="14"/>
  <c r="B1049" i="14"/>
  <c r="B1048" i="14"/>
  <c r="B1047" i="14"/>
  <c r="B1046" i="14"/>
  <c r="B1045" i="14"/>
  <c r="B1044" i="14"/>
  <c r="B1043" i="14"/>
  <c r="B1042" i="14"/>
  <c r="B1010" i="14"/>
  <c r="B1009" i="14"/>
  <c r="B1008" i="14"/>
  <c r="B1007" i="14"/>
  <c r="B1006" i="14"/>
  <c r="B1005" i="14"/>
  <c r="B1004" i="14"/>
  <c r="B1003" i="14"/>
  <c r="B1002" i="14"/>
  <c r="B1001" i="14"/>
  <c r="B1000" i="14"/>
  <c r="B999" i="14"/>
  <c r="B998" i="14"/>
  <c r="B997" i="14"/>
  <c r="B996" i="14"/>
  <c r="B995" i="14"/>
  <c r="B994" i="14"/>
  <c r="B823" i="14"/>
  <c r="B822" i="14"/>
  <c r="B821" i="14"/>
  <c r="B820" i="14"/>
  <c r="B819" i="14"/>
  <c r="B818" i="14"/>
  <c r="B817" i="14"/>
  <c r="B816" i="14"/>
  <c r="B815" i="14"/>
  <c r="B814" i="14"/>
  <c r="B813" i="14"/>
  <c r="B812" i="14"/>
  <c r="B811" i="14"/>
  <c r="B810" i="14"/>
  <c r="B809" i="14"/>
  <c r="B808" i="14"/>
  <c r="B807" i="14"/>
  <c r="B779" i="14"/>
  <c r="B778" i="14"/>
  <c r="B777" i="14"/>
  <c r="B776" i="14"/>
  <c r="B775" i="14"/>
  <c r="B774" i="14"/>
  <c r="B773" i="14"/>
  <c r="B772" i="14"/>
  <c r="B771" i="14"/>
  <c r="B770" i="14"/>
  <c r="B769" i="14"/>
  <c r="B768" i="14"/>
  <c r="B767" i="14"/>
  <c r="B766" i="14"/>
  <c r="B765" i="14"/>
  <c r="B764" i="14"/>
  <c r="B763" i="14"/>
  <c r="B730" i="14"/>
  <c r="B729" i="14"/>
  <c r="B728" i="14"/>
  <c r="B727" i="14"/>
  <c r="B726" i="14"/>
  <c r="B725" i="14"/>
  <c r="B724" i="14"/>
  <c r="B723" i="14"/>
  <c r="B722" i="14"/>
  <c r="B721" i="14"/>
  <c r="B720" i="14"/>
  <c r="B719" i="14"/>
  <c r="B718" i="14"/>
  <c r="B717" i="14"/>
  <c r="B716" i="14"/>
  <c r="B715" i="14"/>
  <c r="B714" i="14"/>
  <c r="B683" i="14"/>
  <c r="B682" i="14"/>
  <c r="B681" i="14"/>
  <c r="B680" i="14"/>
  <c r="B679" i="14"/>
  <c r="B678" i="14"/>
  <c r="B677" i="14"/>
  <c r="B676" i="14"/>
  <c r="B675" i="14"/>
  <c r="B674" i="14"/>
  <c r="B673" i="14"/>
  <c r="B672" i="14"/>
  <c r="B671" i="14"/>
  <c r="B670" i="14"/>
  <c r="B669" i="14"/>
  <c r="B668" i="14"/>
  <c r="B667" i="14"/>
  <c r="B492" i="14"/>
  <c r="B491" i="14"/>
  <c r="B490" i="14"/>
  <c r="B489" i="14"/>
  <c r="B488" i="14"/>
  <c r="B487" i="14"/>
  <c r="B486" i="14"/>
  <c r="B485" i="14"/>
  <c r="B484" i="14"/>
  <c r="B483" i="14"/>
  <c r="B482" i="14"/>
  <c r="B481" i="14"/>
  <c r="B480" i="14"/>
  <c r="B479" i="14"/>
  <c r="B478" i="14"/>
  <c r="B477" i="14"/>
  <c r="B476" i="14"/>
  <c r="B447" i="14"/>
  <c r="B446" i="14"/>
  <c r="B445" i="14"/>
  <c r="B444" i="14"/>
  <c r="B443" i="14"/>
  <c r="B442" i="14"/>
  <c r="B441" i="14"/>
  <c r="B440" i="14"/>
  <c r="B439" i="14"/>
  <c r="B438" i="14"/>
  <c r="B437" i="14"/>
  <c r="B436" i="14"/>
  <c r="B435" i="14"/>
  <c r="B434" i="14"/>
  <c r="B433" i="14"/>
  <c r="B432" i="14"/>
  <c r="B431" i="14"/>
  <c r="B397" i="14"/>
  <c r="B396" i="14"/>
  <c r="B395" i="14"/>
  <c r="B394" i="14"/>
  <c r="B393" i="14"/>
  <c r="B392" i="14"/>
  <c r="B391" i="14"/>
  <c r="B390" i="14"/>
  <c r="B389" i="14"/>
  <c r="B388" i="14"/>
  <c r="B387" i="14"/>
  <c r="B386" i="14"/>
  <c r="B385" i="14"/>
  <c r="B384" i="14"/>
  <c r="B383" i="14"/>
  <c r="B382" i="14"/>
  <c r="B381" i="14"/>
  <c r="B349" i="14"/>
  <c r="B348" i="14"/>
  <c r="B347" i="14"/>
  <c r="B346" i="14"/>
  <c r="B345" i="14"/>
  <c r="B344" i="14"/>
  <c r="B343" i="14"/>
  <c r="B342" i="14"/>
  <c r="B341" i="14"/>
  <c r="B340" i="14"/>
  <c r="B339" i="14"/>
  <c r="B338" i="14"/>
  <c r="B337" i="14"/>
  <c r="B336" i="14"/>
  <c r="B335" i="14"/>
  <c r="B334" i="14"/>
  <c r="B333" i="14"/>
  <c r="B162" i="14"/>
  <c r="B161" i="14"/>
  <c r="B160" i="14"/>
  <c r="B159" i="14"/>
  <c r="B158" i="14"/>
  <c r="B157" i="14"/>
  <c r="B156" i="14"/>
  <c r="B155" i="14"/>
  <c r="B154" i="14"/>
  <c r="B153" i="14"/>
  <c r="B152" i="14"/>
  <c r="B151" i="14"/>
  <c r="B150" i="14"/>
  <c r="B149" i="14"/>
  <c r="B148" i="14"/>
  <c r="B147" i="14"/>
  <c r="B146" i="14"/>
  <c r="B118" i="14"/>
  <c r="B117" i="14"/>
  <c r="B116" i="14"/>
  <c r="B115" i="14"/>
  <c r="B114" i="14"/>
  <c r="B113" i="14"/>
  <c r="B112" i="14"/>
  <c r="B111" i="14"/>
  <c r="B110" i="14"/>
  <c r="B109" i="14"/>
  <c r="B108" i="14"/>
  <c r="B107" i="14"/>
  <c r="B128" i="14" s="1"/>
  <c r="B106" i="14"/>
  <c r="B105" i="14"/>
  <c r="B104" i="14"/>
  <c r="B103" i="14"/>
  <c r="B102" i="14"/>
  <c r="B69" i="14"/>
  <c r="B68" i="14"/>
  <c r="B67" i="14"/>
  <c r="B66" i="14"/>
  <c r="B65" i="14"/>
  <c r="B64" i="14"/>
  <c r="B63" i="14"/>
  <c r="B62" i="14"/>
  <c r="B61" i="14"/>
  <c r="B60" i="14"/>
  <c r="B59" i="14"/>
  <c r="B58" i="14"/>
  <c r="B57" i="14"/>
  <c r="B56" i="14"/>
  <c r="B55" i="14"/>
  <c r="B54" i="14"/>
  <c r="B53" i="14"/>
  <c r="B22" i="14"/>
  <c r="B21" i="14"/>
  <c r="B20" i="14"/>
  <c r="B19" i="14"/>
  <c r="B18" i="14"/>
  <c r="B17" i="14"/>
  <c r="B16" i="14"/>
  <c r="B15" i="14"/>
  <c r="B14" i="14"/>
  <c r="B13" i="14"/>
  <c r="B12" i="14"/>
  <c r="B11" i="14"/>
  <c r="B10" i="14"/>
  <c r="B9" i="14"/>
  <c r="B8" i="14"/>
  <c r="B7" i="14"/>
  <c r="B6" i="14"/>
  <c r="G2642" i="13"/>
  <c r="E2642" i="13"/>
  <c r="C2642" i="13"/>
  <c r="A2642" i="13"/>
  <c r="G2637" i="13"/>
  <c r="E2637" i="13"/>
  <c r="C2637" i="13"/>
  <c r="A2637" i="13"/>
  <c r="E2636" i="13"/>
  <c r="B2618" i="13"/>
  <c r="B2627" i="13" s="1"/>
  <c r="B2617" i="13"/>
  <c r="B2616" i="13"/>
  <c r="B2615" i="13"/>
  <c r="B2614" i="13"/>
  <c r="B2613" i="13"/>
  <c r="B2612" i="13"/>
  <c r="B2611" i="13"/>
  <c r="B2610" i="13"/>
  <c r="B2609" i="13"/>
  <c r="B2608" i="13"/>
  <c r="B2607" i="13"/>
  <c r="B2606" i="13"/>
  <c r="B2605" i="13"/>
  <c r="B2604" i="13"/>
  <c r="B2603" i="13"/>
  <c r="B2602" i="13"/>
  <c r="G2636" i="13" s="1"/>
  <c r="G2594" i="13"/>
  <c r="E2594" i="13"/>
  <c r="C2594" i="13"/>
  <c r="A2594" i="13"/>
  <c r="G2592" i="13"/>
  <c r="E2592" i="13"/>
  <c r="C2592" i="13"/>
  <c r="A2592" i="13"/>
  <c r="E2591" i="13"/>
  <c r="B2573" i="13"/>
  <c r="B2582" i="13" s="1"/>
  <c r="B2572" i="13"/>
  <c r="B2571" i="13"/>
  <c r="B2570" i="13"/>
  <c r="B2569" i="13"/>
  <c r="B2568" i="13"/>
  <c r="B2567" i="13"/>
  <c r="B2566" i="13"/>
  <c r="B2565" i="13"/>
  <c r="B2564" i="13"/>
  <c r="B2563" i="13"/>
  <c r="B2562" i="13"/>
  <c r="B2561" i="13"/>
  <c r="B2560" i="13"/>
  <c r="B2559" i="13"/>
  <c r="B2558" i="13"/>
  <c r="C2591" i="13" s="1"/>
  <c r="B2557" i="13"/>
  <c r="G2591" i="13" s="1"/>
  <c r="G2548" i="13"/>
  <c r="E2548" i="13"/>
  <c r="C2548" i="13"/>
  <c r="A2548" i="13"/>
  <c r="G2544" i="13"/>
  <c r="E2544" i="13"/>
  <c r="C2544" i="13"/>
  <c r="A2544" i="13"/>
  <c r="G2543" i="13"/>
  <c r="E2543" i="13"/>
  <c r="C2543" i="13"/>
  <c r="A2543" i="13"/>
  <c r="G2542" i="13"/>
  <c r="E2542" i="13"/>
  <c r="C2542" i="13"/>
  <c r="A2542" i="13"/>
  <c r="E2541" i="13"/>
  <c r="B2523" i="13"/>
  <c r="B2532" i="13" s="1"/>
  <c r="B2522" i="13"/>
  <c r="B2521" i="13"/>
  <c r="B2520" i="13"/>
  <c r="B2519" i="13"/>
  <c r="B2518" i="13"/>
  <c r="B2517" i="13"/>
  <c r="B2516" i="13"/>
  <c r="B2515" i="13"/>
  <c r="B2514" i="13"/>
  <c r="B2513" i="13"/>
  <c r="B2512" i="13"/>
  <c r="B2511" i="13"/>
  <c r="B2510" i="13"/>
  <c r="B2509" i="13"/>
  <c r="B2508" i="13"/>
  <c r="B2507" i="13"/>
  <c r="G2541" i="13" s="1"/>
  <c r="G2304" i="13"/>
  <c r="E2304" i="13"/>
  <c r="C2304" i="13"/>
  <c r="A2304" i="13"/>
  <c r="E2303" i="13"/>
  <c r="B2285" i="13"/>
  <c r="B2294" i="13" s="1"/>
  <c r="B2284" i="13"/>
  <c r="B2283" i="13"/>
  <c r="B2282" i="13"/>
  <c r="B2281" i="13"/>
  <c r="B2280" i="13"/>
  <c r="B2279" i="13"/>
  <c r="B2278" i="13"/>
  <c r="B2277" i="13"/>
  <c r="B2276" i="13"/>
  <c r="B2275" i="13"/>
  <c r="B2274" i="13"/>
  <c r="B2273" i="13"/>
  <c r="B2272" i="13"/>
  <c r="B2271" i="13"/>
  <c r="B2270" i="13"/>
  <c r="A2287" i="13" s="1"/>
  <c r="B2269" i="13"/>
  <c r="G2303" i="13" s="1"/>
  <c r="G2260" i="13"/>
  <c r="E2260" i="13"/>
  <c r="C2260" i="13"/>
  <c r="A2260" i="13"/>
  <c r="E2259" i="13"/>
  <c r="B2241" i="13"/>
  <c r="B2250" i="13" s="1"/>
  <c r="B2240" i="13"/>
  <c r="B2239" i="13"/>
  <c r="B2238" i="13"/>
  <c r="B2237" i="13"/>
  <c r="B2236" i="13"/>
  <c r="B2235" i="13"/>
  <c r="B2234" i="13"/>
  <c r="B2233" i="13"/>
  <c r="B2232" i="13"/>
  <c r="B2231" i="13"/>
  <c r="B2230" i="13"/>
  <c r="B2229" i="13"/>
  <c r="B2228" i="13"/>
  <c r="B2227" i="13"/>
  <c r="B2226" i="13"/>
  <c r="A2243" i="13" s="1"/>
  <c r="B2225" i="13"/>
  <c r="G2259" i="13" s="1"/>
  <c r="G2213" i="13"/>
  <c r="E2213" i="13"/>
  <c r="C2213" i="13"/>
  <c r="A2213" i="13"/>
  <c r="G2212" i="13"/>
  <c r="E2212" i="13"/>
  <c r="C2212" i="13"/>
  <c r="A2212" i="13"/>
  <c r="G2211" i="13"/>
  <c r="E2211" i="13"/>
  <c r="C2211" i="13"/>
  <c r="A2211" i="13"/>
  <c r="E2210" i="13"/>
  <c r="B2192" i="13"/>
  <c r="B2201" i="13" s="1"/>
  <c r="B2191" i="13"/>
  <c r="B2190" i="13"/>
  <c r="B2189" i="13"/>
  <c r="B2188" i="13"/>
  <c r="B2187" i="13"/>
  <c r="B2186" i="13"/>
  <c r="B2185" i="13"/>
  <c r="B2184" i="13"/>
  <c r="B2183" i="13"/>
  <c r="B2182" i="13"/>
  <c r="B2181" i="13"/>
  <c r="B2180" i="13"/>
  <c r="B2179" i="13"/>
  <c r="B2178" i="13"/>
  <c r="B2177" i="13"/>
  <c r="B2176" i="13"/>
  <c r="G2210" i="13" s="1"/>
  <c r="G1981" i="13"/>
  <c r="E1981" i="13"/>
  <c r="C1981" i="13"/>
  <c r="A1981" i="13"/>
  <c r="G1976" i="13"/>
  <c r="E1976" i="13"/>
  <c r="C1976" i="13"/>
  <c r="A1976" i="13"/>
  <c r="E1975" i="13"/>
  <c r="B1957" i="13"/>
  <c r="B1966" i="13" s="1"/>
  <c r="B1956" i="13"/>
  <c r="B1955" i="13"/>
  <c r="B1954" i="13"/>
  <c r="B1953" i="13"/>
  <c r="B1952" i="13"/>
  <c r="B1951" i="13"/>
  <c r="B1950" i="13"/>
  <c r="B1949" i="13"/>
  <c r="B1948" i="13"/>
  <c r="B1947" i="13"/>
  <c r="B1946" i="13"/>
  <c r="B1945" i="13"/>
  <c r="B1944" i="13"/>
  <c r="B1943" i="13"/>
  <c r="B1942" i="13"/>
  <c r="C1975" i="13" s="1"/>
  <c r="B1941" i="13"/>
  <c r="G1975" i="13" s="1"/>
  <c r="G1933" i="13"/>
  <c r="E1933" i="13"/>
  <c r="C1933" i="13"/>
  <c r="A1933" i="13"/>
  <c r="G1931" i="13"/>
  <c r="E1931" i="13"/>
  <c r="C1931" i="13"/>
  <c r="A1931" i="13"/>
  <c r="E1930" i="13"/>
  <c r="B1912" i="13"/>
  <c r="B1921" i="13" s="1"/>
  <c r="B1911" i="13"/>
  <c r="B1910" i="13"/>
  <c r="B1909" i="13"/>
  <c r="B1908" i="13"/>
  <c r="B1907" i="13"/>
  <c r="B1906" i="13"/>
  <c r="B1905" i="13"/>
  <c r="B1904" i="13"/>
  <c r="B1903" i="13"/>
  <c r="B1902" i="13"/>
  <c r="B1901" i="13"/>
  <c r="B1900" i="13"/>
  <c r="B1899" i="13"/>
  <c r="B1898" i="13"/>
  <c r="B1897" i="13"/>
  <c r="C1930" i="13" s="1"/>
  <c r="B1896" i="13"/>
  <c r="G1930" i="13" s="1"/>
  <c r="G1887" i="13"/>
  <c r="E1887" i="13"/>
  <c r="C1887" i="13"/>
  <c r="A1887" i="13"/>
  <c r="G1883" i="13"/>
  <c r="E1883" i="13"/>
  <c r="C1883" i="13"/>
  <c r="A1883" i="13"/>
  <c r="G1882" i="13"/>
  <c r="E1882" i="13"/>
  <c r="C1882" i="13"/>
  <c r="A1882" i="13"/>
  <c r="G1881" i="13"/>
  <c r="E1881" i="13"/>
  <c r="C1881" i="13"/>
  <c r="A1881" i="13"/>
  <c r="E1880" i="13"/>
  <c r="B1862" i="13"/>
  <c r="B1871" i="13" s="1"/>
  <c r="B1861" i="13"/>
  <c r="B1860" i="13"/>
  <c r="B1859" i="13"/>
  <c r="B1858" i="13"/>
  <c r="B1857" i="13"/>
  <c r="B1856" i="13"/>
  <c r="B1855" i="13"/>
  <c r="B1854" i="13"/>
  <c r="B1853" i="13"/>
  <c r="B1852" i="13"/>
  <c r="B1851" i="13"/>
  <c r="B1850" i="13"/>
  <c r="B1849" i="13"/>
  <c r="B1848" i="13"/>
  <c r="B1847" i="13"/>
  <c r="C1880" i="13" s="1"/>
  <c r="B1846" i="13"/>
  <c r="G1880" i="13" s="1"/>
  <c r="G1643" i="13"/>
  <c r="E1643" i="13"/>
  <c r="C1643" i="13"/>
  <c r="A1643" i="13"/>
  <c r="E1642" i="13"/>
  <c r="B1624" i="13"/>
  <c r="B1633" i="13" s="1"/>
  <c r="B1623" i="13"/>
  <c r="B1622" i="13"/>
  <c r="B1621" i="13"/>
  <c r="B1620" i="13"/>
  <c r="B1619" i="13"/>
  <c r="B1618" i="13"/>
  <c r="B1617" i="13"/>
  <c r="B1616" i="13"/>
  <c r="B1615" i="13"/>
  <c r="B1614" i="13"/>
  <c r="B1613" i="13"/>
  <c r="B1612" i="13"/>
  <c r="B1611" i="13"/>
  <c r="B1610" i="13"/>
  <c r="B1609" i="13"/>
  <c r="A1626" i="13" s="1"/>
  <c r="B1608" i="13"/>
  <c r="G1642" i="13" s="1"/>
  <c r="G1599" i="13"/>
  <c r="E1599" i="13"/>
  <c r="C1599" i="13"/>
  <c r="A1599" i="13"/>
  <c r="E1598" i="13"/>
  <c r="B1580" i="13"/>
  <c r="B1589" i="13" s="1"/>
  <c r="B1579" i="13"/>
  <c r="B1578" i="13"/>
  <c r="B1577" i="13"/>
  <c r="B1576" i="13"/>
  <c r="B1575" i="13"/>
  <c r="B1574" i="13"/>
  <c r="B1573" i="13"/>
  <c r="B1572" i="13"/>
  <c r="B1571" i="13"/>
  <c r="B1570" i="13"/>
  <c r="B1569" i="13"/>
  <c r="B1568" i="13"/>
  <c r="B1567" i="13"/>
  <c r="B1566" i="13"/>
  <c r="B1565" i="13"/>
  <c r="A1582" i="13" s="1"/>
  <c r="B1564" i="13"/>
  <c r="G1598" i="13" s="1"/>
  <c r="G1552" i="13"/>
  <c r="E1552" i="13"/>
  <c r="C1552" i="13"/>
  <c r="A1552" i="13"/>
  <c r="G1551" i="13"/>
  <c r="E1551" i="13"/>
  <c r="C1551" i="13"/>
  <c r="A1551" i="13"/>
  <c r="G1550" i="13"/>
  <c r="E1550" i="13"/>
  <c r="C1550" i="13"/>
  <c r="A1550" i="13"/>
  <c r="E1549" i="13"/>
  <c r="B1531" i="13"/>
  <c r="B1540" i="13" s="1"/>
  <c r="B1530" i="13"/>
  <c r="B1529" i="13"/>
  <c r="B1528" i="13"/>
  <c r="B1527" i="13"/>
  <c r="B1526" i="13"/>
  <c r="B1525" i="13"/>
  <c r="B1524" i="13"/>
  <c r="B1523" i="13"/>
  <c r="B1522" i="13"/>
  <c r="B1521" i="13"/>
  <c r="B1520" i="13"/>
  <c r="B1519" i="13"/>
  <c r="B1518" i="13"/>
  <c r="B1517" i="13"/>
  <c r="B1516" i="13"/>
  <c r="B1515" i="13"/>
  <c r="G1549" i="13" s="1"/>
  <c r="G1320" i="13"/>
  <c r="E1320" i="13"/>
  <c r="C1320" i="13"/>
  <c r="A1320" i="13"/>
  <c r="G1315" i="13"/>
  <c r="E1315" i="13"/>
  <c r="C1315" i="13"/>
  <c r="A1315" i="13"/>
  <c r="E1314" i="13"/>
  <c r="B1296" i="13"/>
  <c r="B1305" i="13" s="1"/>
  <c r="B1295" i="13"/>
  <c r="B1294" i="13"/>
  <c r="B1293" i="13"/>
  <c r="B1292" i="13"/>
  <c r="B1291" i="13"/>
  <c r="B1290" i="13"/>
  <c r="B1289" i="13"/>
  <c r="B1288" i="13"/>
  <c r="B1287" i="13"/>
  <c r="B1286" i="13"/>
  <c r="B1285" i="13"/>
  <c r="B1284" i="13"/>
  <c r="B1283" i="13"/>
  <c r="B1282" i="13"/>
  <c r="B1281" i="13"/>
  <c r="B1280" i="13"/>
  <c r="G1314" i="13" s="1"/>
  <c r="G1272" i="13"/>
  <c r="E1272" i="13"/>
  <c r="C1272" i="13"/>
  <c r="A1272" i="13"/>
  <c r="G1270" i="13"/>
  <c r="E1270" i="13"/>
  <c r="C1270" i="13"/>
  <c r="A1270" i="13"/>
  <c r="E1269" i="13"/>
  <c r="B1251" i="13"/>
  <c r="B1260" i="13" s="1"/>
  <c r="B1250" i="13"/>
  <c r="B1249" i="13"/>
  <c r="B1248" i="13"/>
  <c r="B1247" i="13"/>
  <c r="B1246" i="13"/>
  <c r="B1245" i="13"/>
  <c r="B1244" i="13"/>
  <c r="B1243" i="13"/>
  <c r="B1242" i="13"/>
  <c r="B1241" i="13"/>
  <c r="B1240" i="13"/>
  <c r="B1239" i="13"/>
  <c r="B1238" i="13"/>
  <c r="B1237" i="13"/>
  <c r="B1236" i="13"/>
  <c r="C1269" i="13" s="1"/>
  <c r="B1235" i="13"/>
  <c r="G1269" i="13" s="1"/>
  <c r="G1226" i="13"/>
  <c r="E1226" i="13"/>
  <c r="C1226" i="13"/>
  <c r="A1226" i="13"/>
  <c r="G1222" i="13"/>
  <c r="E1222" i="13"/>
  <c r="C1222" i="13"/>
  <c r="A1222" i="13"/>
  <c r="G1221" i="13"/>
  <c r="E1221" i="13"/>
  <c r="C1221" i="13"/>
  <c r="A1221" i="13"/>
  <c r="G1220" i="13"/>
  <c r="E1220" i="13"/>
  <c r="C1220" i="13"/>
  <c r="A1220" i="13"/>
  <c r="E1219" i="13"/>
  <c r="B1201" i="13"/>
  <c r="B1210" i="13" s="1"/>
  <c r="B1200" i="13"/>
  <c r="B1199" i="13"/>
  <c r="B1198" i="13"/>
  <c r="B1197" i="13"/>
  <c r="B1196" i="13"/>
  <c r="B1195" i="13"/>
  <c r="B1194" i="13"/>
  <c r="B1193" i="13"/>
  <c r="B1192" i="13"/>
  <c r="B1191" i="13"/>
  <c r="B1190" i="13"/>
  <c r="B1189" i="13"/>
  <c r="B1188" i="13"/>
  <c r="B1187" i="13"/>
  <c r="B1186" i="13"/>
  <c r="B1185" i="13"/>
  <c r="G1219" i="13" s="1"/>
  <c r="G982" i="13"/>
  <c r="E982" i="13"/>
  <c r="C982" i="13"/>
  <c r="A982" i="13"/>
  <c r="E981" i="13"/>
  <c r="B963" i="13"/>
  <c r="B972" i="13" s="1"/>
  <c r="B962" i="13"/>
  <c r="B961" i="13"/>
  <c r="B960" i="13"/>
  <c r="B959" i="13"/>
  <c r="B958" i="13"/>
  <c r="B957" i="13"/>
  <c r="B956" i="13"/>
  <c r="B955" i="13"/>
  <c r="B954" i="13"/>
  <c r="B953" i="13"/>
  <c r="B952" i="13"/>
  <c r="B951" i="13"/>
  <c r="B950" i="13"/>
  <c r="B949" i="13"/>
  <c r="B948" i="13"/>
  <c r="A965" i="13" s="1"/>
  <c r="B947" i="13"/>
  <c r="G981" i="13" s="1"/>
  <c r="G938" i="13"/>
  <c r="E938" i="13"/>
  <c r="C938" i="13"/>
  <c r="A938" i="13"/>
  <c r="E937" i="13"/>
  <c r="B919" i="13"/>
  <c r="B928" i="13" s="1"/>
  <c r="B918" i="13"/>
  <c r="B917" i="13"/>
  <c r="B916" i="13"/>
  <c r="B915" i="13"/>
  <c r="B914" i="13"/>
  <c r="B913" i="13"/>
  <c r="B912" i="13"/>
  <c r="B911" i="13"/>
  <c r="B910" i="13"/>
  <c r="B909" i="13"/>
  <c r="B908" i="13"/>
  <c r="B907" i="13"/>
  <c r="B906" i="13"/>
  <c r="B905" i="13"/>
  <c r="B904" i="13"/>
  <c r="A921" i="13" s="1"/>
  <c r="B903" i="13"/>
  <c r="G937" i="13" s="1"/>
  <c r="G891" i="13"/>
  <c r="E891" i="13"/>
  <c r="C891" i="13"/>
  <c r="A891" i="13"/>
  <c r="G890" i="13"/>
  <c r="E890" i="13"/>
  <c r="C890" i="13"/>
  <c r="A890" i="13"/>
  <c r="G889" i="13"/>
  <c r="E889" i="13"/>
  <c r="C889" i="13"/>
  <c r="A889" i="13"/>
  <c r="E888" i="13"/>
  <c r="B870" i="13"/>
  <c r="B879" i="13" s="1"/>
  <c r="B869" i="13"/>
  <c r="B868" i="13"/>
  <c r="B867" i="13"/>
  <c r="B866" i="13"/>
  <c r="B865" i="13"/>
  <c r="B864" i="13"/>
  <c r="B863" i="13"/>
  <c r="B862" i="13"/>
  <c r="B861" i="13"/>
  <c r="B860" i="13"/>
  <c r="B859" i="13"/>
  <c r="B858" i="13"/>
  <c r="B857" i="13"/>
  <c r="B856" i="13"/>
  <c r="B855" i="13"/>
  <c r="B854" i="13"/>
  <c r="G888" i="13" s="1"/>
  <c r="G659" i="13"/>
  <c r="E659" i="13"/>
  <c r="C659" i="13"/>
  <c r="A659" i="13"/>
  <c r="G654" i="13"/>
  <c r="E654" i="13"/>
  <c r="C654" i="13"/>
  <c r="A654" i="13"/>
  <c r="E653" i="13"/>
  <c r="B635" i="13"/>
  <c r="B644" i="13" s="1"/>
  <c r="B634" i="13"/>
  <c r="B633" i="13"/>
  <c r="B632" i="13"/>
  <c r="B631" i="13"/>
  <c r="B630" i="13"/>
  <c r="B629" i="13"/>
  <c r="B628" i="13"/>
  <c r="B627" i="13"/>
  <c r="B626" i="13"/>
  <c r="B625" i="13"/>
  <c r="B624" i="13"/>
  <c r="B623" i="13"/>
  <c r="B622" i="13"/>
  <c r="B621" i="13"/>
  <c r="B620" i="13"/>
  <c r="B619" i="13"/>
  <c r="G653" i="13" s="1"/>
  <c r="G611" i="13"/>
  <c r="E611" i="13"/>
  <c r="C611" i="13"/>
  <c r="A611" i="13"/>
  <c r="G609" i="13"/>
  <c r="E609" i="13"/>
  <c r="C609" i="13"/>
  <c r="A609" i="13"/>
  <c r="E608" i="13"/>
  <c r="B590" i="13"/>
  <c r="B599" i="13" s="1"/>
  <c r="B589" i="13"/>
  <c r="B588" i="13"/>
  <c r="B587" i="13"/>
  <c r="B586" i="13"/>
  <c r="B585" i="13"/>
  <c r="B584" i="13"/>
  <c r="B583" i="13"/>
  <c r="B582" i="13"/>
  <c r="B581" i="13"/>
  <c r="B580" i="13"/>
  <c r="B579" i="13"/>
  <c r="B578" i="13"/>
  <c r="B577" i="13"/>
  <c r="B576" i="13"/>
  <c r="B575" i="13"/>
  <c r="C608" i="13" s="1"/>
  <c r="B574" i="13"/>
  <c r="G608" i="13" s="1"/>
  <c r="G565" i="13"/>
  <c r="E565" i="13"/>
  <c r="C565" i="13"/>
  <c r="A565" i="13"/>
  <c r="G561" i="13"/>
  <c r="E561" i="13"/>
  <c r="C561" i="13"/>
  <c r="A561" i="13"/>
  <c r="G560" i="13"/>
  <c r="E560" i="13"/>
  <c r="C560" i="13"/>
  <c r="A560" i="13"/>
  <c r="G559" i="13"/>
  <c r="E559" i="13"/>
  <c r="C559" i="13"/>
  <c r="A559" i="13"/>
  <c r="E558" i="13"/>
  <c r="B540" i="13"/>
  <c r="B549" i="13" s="1"/>
  <c r="B539" i="13"/>
  <c r="B538" i="13"/>
  <c r="B537" i="13"/>
  <c r="B536" i="13"/>
  <c r="B535" i="13"/>
  <c r="B534" i="13"/>
  <c r="B533" i="13"/>
  <c r="B532" i="13"/>
  <c r="B531" i="13"/>
  <c r="B530" i="13"/>
  <c r="B529" i="13"/>
  <c r="B528" i="13"/>
  <c r="B527" i="13"/>
  <c r="B526" i="13"/>
  <c r="B525" i="13"/>
  <c r="C558" i="13" s="1"/>
  <c r="B524" i="13"/>
  <c r="G558" i="13" s="1"/>
  <c r="G321" i="13"/>
  <c r="E321" i="13"/>
  <c r="C321" i="13"/>
  <c r="A321" i="13"/>
  <c r="E320" i="13"/>
  <c r="B302" i="13"/>
  <c r="B311" i="13" s="1"/>
  <c r="B301" i="13"/>
  <c r="B300" i="13"/>
  <c r="B299" i="13"/>
  <c r="B298" i="13"/>
  <c r="B297" i="13"/>
  <c r="B296" i="13"/>
  <c r="B295" i="13"/>
  <c r="B294" i="13"/>
  <c r="B293" i="13"/>
  <c r="B292" i="13"/>
  <c r="B291" i="13"/>
  <c r="B290" i="13"/>
  <c r="B289" i="13"/>
  <c r="B288" i="13"/>
  <c r="B287" i="13"/>
  <c r="A304" i="13" s="1"/>
  <c r="B286" i="13"/>
  <c r="G320" i="13" s="1"/>
  <c r="G277" i="13"/>
  <c r="E277" i="13"/>
  <c r="C277" i="13"/>
  <c r="A277" i="13"/>
  <c r="E276" i="13"/>
  <c r="B258" i="13"/>
  <c r="B267" i="13" s="1"/>
  <c r="B257" i="13"/>
  <c r="B256" i="13"/>
  <c r="B255" i="13"/>
  <c r="B254" i="13"/>
  <c r="B253" i="13"/>
  <c r="B252" i="13"/>
  <c r="B251" i="13"/>
  <c r="B250" i="13"/>
  <c r="B249" i="13"/>
  <c r="B248" i="13"/>
  <c r="B247" i="13"/>
  <c r="B246" i="13"/>
  <c r="B245" i="13"/>
  <c r="B244" i="13"/>
  <c r="B243" i="13"/>
  <c r="C276" i="13" s="1"/>
  <c r="B242" i="13"/>
  <c r="G276" i="13" s="1"/>
  <c r="G230" i="13"/>
  <c r="E230" i="13"/>
  <c r="C230" i="13"/>
  <c r="A230" i="13"/>
  <c r="G229" i="13"/>
  <c r="E229" i="13"/>
  <c r="C229" i="13"/>
  <c r="A229" i="13"/>
  <c r="G228" i="13"/>
  <c r="E228" i="13"/>
  <c r="C228" i="13"/>
  <c r="A228" i="13"/>
  <c r="E227" i="13"/>
  <c r="B209" i="13"/>
  <c r="B218" i="13" s="1"/>
  <c r="B208" i="13"/>
  <c r="B207" i="13"/>
  <c r="B206" i="13"/>
  <c r="B205" i="13"/>
  <c r="B204" i="13"/>
  <c r="B203" i="13"/>
  <c r="B202" i="13"/>
  <c r="B201" i="13"/>
  <c r="B200" i="13"/>
  <c r="B199" i="13"/>
  <c r="B198" i="13"/>
  <c r="B197" i="13"/>
  <c r="B196" i="13"/>
  <c r="B195" i="13"/>
  <c r="B194" i="13"/>
  <c r="B193" i="13"/>
  <c r="G227" i="13" s="1"/>
  <c r="B2475" i="13"/>
  <c r="B2474" i="13"/>
  <c r="B2473" i="13"/>
  <c r="B2472" i="13"/>
  <c r="B2471" i="13"/>
  <c r="B2470" i="13"/>
  <c r="B2469" i="13"/>
  <c r="B2468" i="13"/>
  <c r="B2467" i="13"/>
  <c r="B2466" i="13"/>
  <c r="B2465" i="13"/>
  <c r="B2464" i="13"/>
  <c r="B2463" i="13"/>
  <c r="B2462" i="13"/>
  <c r="B2461" i="13"/>
  <c r="B2460" i="13"/>
  <c r="A2476" i="13" s="1"/>
  <c r="B2459" i="13"/>
  <c r="B2430" i="13"/>
  <c r="B2429" i="13"/>
  <c r="B2428" i="13"/>
  <c r="B2427" i="13"/>
  <c r="B2426" i="13"/>
  <c r="B2425" i="13"/>
  <c r="B2424" i="13"/>
  <c r="B2423" i="13"/>
  <c r="B2422" i="13"/>
  <c r="B2421" i="13"/>
  <c r="B2420" i="13"/>
  <c r="B2419" i="13"/>
  <c r="B2418" i="13"/>
  <c r="B2417" i="13"/>
  <c r="B2416" i="13"/>
  <c r="B2415" i="13"/>
  <c r="B2414" i="13"/>
  <c r="B2380" i="13"/>
  <c r="B2379" i="13"/>
  <c r="B2378" i="13"/>
  <c r="B2377" i="13"/>
  <c r="B2376" i="13"/>
  <c r="B2375" i="13"/>
  <c r="B2374" i="13"/>
  <c r="B2373" i="13"/>
  <c r="B2372" i="13"/>
  <c r="B2371" i="13"/>
  <c r="B2370" i="13"/>
  <c r="B2369" i="13"/>
  <c r="B2368" i="13"/>
  <c r="B2367" i="13"/>
  <c r="B2366" i="13"/>
  <c r="B2365" i="13"/>
  <c r="A2381" i="13" s="1"/>
  <c r="B2364" i="13"/>
  <c r="B2332" i="13"/>
  <c r="B2331" i="13"/>
  <c r="B2330" i="13"/>
  <c r="B2329" i="13"/>
  <c r="B2328" i="13"/>
  <c r="B2327" i="13"/>
  <c r="B2326" i="13"/>
  <c r="B2325" i="13"/>
  <c r="B2324" i="13"/>
  <c r="B2323" i="13"/>
  <c r="B2322" i="13"/>
  <c r="B2321" i="13"/>
  <c r="B2320" i="13"/>
  <c r="B2319" i="13"/>
  <c r="B2318" i="13"/>
  <c r="B2317" i="13"/>
  <c r="B2316" i="13"/>
  <c r="B2145" i="13"/>
  <c r="B2144" i="13"/>
  <c r="B2143" i="13"/>
  <c r="B2142" i="13"/>
  <c r="B2141" i="13"/>
  <c r="B2140" i="13"/>
  <c r="B2139" i="13"/>
  <c r="B2138" i="13"/>
  <c r="B2137" i="13"/>
  <c r="B2136" i="13"/>
  <c r="B2135" i="13"/>
  <c r="B2134" i="13"/>
  <c r="B2133" i="13"/>
  <c r="B2132" i="13"/>
  <c r="B2131" i="13"/>
  <c r="B2130" i="13"/>
  <c r="B2129" i="13"/>
  <c r="B2101" i="13"/>
  <c r="B2100" i="13"/>
  <c r="B2099" i="13"/>
  <c r="B2098" i="13"/>
  <c r="B2097" i="13"/>
  <c r="B2096" i="13"/>
  <c r="B2095" i="13"/>
  <c r="B2094" i="13"/>
  <c r="B2093" i="13"/>
  <c r="B2092" i="13"/>
  <c r="B2091" i="13"/>
  <c r="B2090" i="13"/>
  <c r="B2089" i="13"/>
  <c r="B2088" i="13"/>
  <c r="B2087" i="13"/>
  <c r="B2086" i="13"/>
  <c r="A2102" i="13" s="1"/>
  <c r="B2085" i="13"/>
  <c r="B2052" i="13"/>
  <c r="B2051" i="13"/>
  <c r="B2050" i="13"/>
  <c r="B2049" i="13"/>
  <c r="B2048" i="13"/>
  <c r="B2047" i="13"/>
  <c r="B2046" i="13"/>
  <c r="B2045" i="13"/>
  <c r="B2044" i="13"/>
  <c r="B2043" i="13"/>
  <c r="B2042" i="13"/>
  <c r="B2041" i="13"/>
  <c r="B2040" i="13"/>
  <c r="B2039" i="13"/>
  <c r="B2038" i="13"/>
  <c r="B2037" i="13"/>
  <c r="A2053" i="13" s="1"/>
  <c r="B2036" i="13"/>
  <c r="B2005" i="13"/>
  <c r="B2004" i="13"/>
  <c r="B2003" i="13"/>
  <c r="B2002" i="13"/>
  <c r="B2001" i="13"/>
  <c r="B2000" i="13"/>
  <c r="B1999" i="13"/>
  <c r="B1998" i="13"/>
  <c r="B1997" i="13"/>
  <c r="B1996" i="13"/>
  <c r="B1995" i="13"/>
  <c r="B1994" i="13"/>
  <c r="B1993" i="13"/>
  <c r="B1992" i="13"/>
  <c r="B1991" i="13"/>
  <c r="B1990" i="13"/>
  <c r="B1989" i="13"/>
  <c r="B1814" i="13"/>
  <c r="B1813" i="13"/>
  <c r="B1812" i="13"/>
  <c r="B1811" i="13"/>
  <c r="B1810" i="13"/>
  <c r="B1809" i="13"/>
  <c r="B1808" i="13"/>
  <c r="B1807" i="13"/>
  <c r="B1806" i="13"/>
  <c r="B1805" i="13"/>
  <c r="B1804" i="13"/>
  <c r="B1803" i="13"/>
  <c r="B1802" i="13"/>
  <c r="B1801" i="13"/>
  <c r="B1800" i="13"/>
  <c r="B1799" i="13"/>
  <c r="A1815" i="13" s="1"/>
  <c r="B1798" i="13"/>
  <c r="B1769" i="13"/>
  <c r="B1768" i="13"/>
  <c r="B1767" i="13"/>
  <c r="B1766" i="13"/>
  <c r="B1765" i="13"/>
  <c r="B1764" i="13"/>
  <c r="B1763" i="13"/>
  <c r="B1762" i="13"/>
  <c r="B1761" i="13"/>
  <c r="B1760" i="13"/>
  <c r="B1759" i="13"/>
  <c r="B1758" i="13"/>
  <c r="B1757" i="13"/>
  <c r="B1756" i="13"/>
  <c r="B1755" i="13"/>
  <c r="B1754" i="13"/>
  <c r="B1753" i="13"/>
  <c r="B1719" i="13"/>
  <c r="B1718" i="13"/>
  <c r="B1717" i="13"/>
  <c r="B1716" i="13"/>
  <c r="B1715" i="13"/>
  <c r="B1714" i="13"/>
  <c r="B1713" i="13"/>
  <c r="B1712" i="13"/>
  <c r="B1711" i="13"/>
  <c r="B1710" i="13"/>
  <c r="B1709" i="13"/>
  <c r="B1708" i="13"/>
  <c r="B1707" i="13"/>
  <c r="B1706" i="13"/>
  <c r="B1705" i="13"/>
  <c r="B1704" i="13"/>
  <c r="A1720" i="13" s="1"/>
  <c r="B1703" i="13"/>
  <c r="B1671" i="13"/>
  <c r="B1670" i="13"/>
  <c r="B1669" i="13"/>
  <c r="B1668" i="13"/>
  <c r="B1667" i="13"/>
  <c r="B1666" i="13"/>
  <c r="B1665" i="13"/>
  <c r="B1664" i="13"/>
  <c r="B1663" i="13"/>
  <c r="B1662" i="13"/>
  <c r="B1661" i="13"/>
  <c r="B1660" i="13"/>
  <c r="B1659" i="13"/>
  <c r="B1658" i="13"/>
  <c r="B1657" i="13"/>
  <c r="B1656" i="13"/>
  <c r="B1655" i="13"/>
  <c r="B1484" i="13"/>
  <c r="B1483" i="13"/>
  <c r="B1482" i="13"/>
  <c r="B1481" i="13"/>
  <c r="B1480" i="13"/>
  <c r="B1479" i="13"/>
  <c r="B1478" i="13"/>
  <c r="B1477" i="13"/>
  <c r="B1476" i="13"/>
  <c r="B1475" i="13"/>
  <c r="B1474" i="13"/>
  <c r="B1473" i="13"/>
  <c r="B1472" i="13"/>
  <c r="B1471" i="13"/>
  <c r="B1470" i="13"/>
  <c r="B1469" i="13"/>
  <c r="B1468" i="13"/>
  <c r="B1440" i="13"/>
  <c r="B1439" i="13"/>
  <c r="B1438" i="13"/>
  <c r="B1437" i="13"/>
  <c r="B1436" i="13"/>
  <c r="B1435" i="13"/>
  <c r="B1434" i="13"/>
  <c r="B1433" i="13"/>
  <c r="B1432" i="13"/>
  <c r="B1431" i="13"/>
  <c r="B1430" i="13"/>
  <c r="B1429" i="13"/>
  <c r="B1428" i="13"/>
  <c r="B1427" i="13"/>
  <c r="B1426" i="13"/>
  <c r="B1425" i="13"/>
  <c r="A1441" i="13" s="1"/>
  <c r="B1424" i="13"/>
  <c r="B1391" i="13"/>
  <c r="B1390" i="13"/>
  <c r="B1389" i="13"/>
  <c r="B1388" i="13"/>
  <c r="B1387" i="13"/>
  <c r="B1386" i="13"/>
  <c r="B1385" i="13"/>
  <c r="B1384" i="13"/>
  <c r="B1383" i="13"/>
  <c r="B1382" i="13"/>
  <c r="B1381" i="13"/>
  <c r="B1380" i="13"/>
  <c r="B1379" i="13"/>
  <c r="B1378" i="13"/>
  <c r="B1377" i="13"/>
  <c r="B1376" i="13"/>
  <c r="A1392" i="13" s="1"/>
  <c r="B1375" i="13"/>
  <c r="B1344" i="13"/>
  <c r="B1343" i="13"/>
  <c r="B1342" i="13"/>
  <c r="B1341" i="13"/>
  <c r="B1340" i="13"/>
  <c r="B1339" i="13"/>
  <c r="B1338" i="13"/>
  <c r="B1337" i="13"/>
  <c r="B1336" i="13"/>
  <c r="B1335" i="13"/>
  <c r="B1334" i="13"/>
  <c r="B1333" i="13"/>
  <c r="B1332" i="13"/>
  <c r="B1331" i="13"/>
  <c r="B1330" i="13"/>
  <c r="B1329" i="13"/>
  <c r="B1328" i="13"/>
  <c r="B1153" i="13"/>
  <c r="B1152" i="13"/>
  <c r="B1151" i="13"/>
  <c r="B1150" i="13"/>
  <c r="B1149" i="13"/>
  <c r="B1148" i="13"/>
  <c r="B1147" i="13"/>
  <c r="B1146" i="13"/>
  <c r="B1145" i="13"/>
  <c r="B1144" i="13"/>
  <c r="B1143" i="13"/>
  <c r="B1142" i="13"/>
  <c r="B1141" i="13"/>
  <c r="B1140" i="13"/>
  <c r="B1139" i="13"/>
  <c r="B1138" i="13"/>
  <c r="A1154" i="13" s="1"/>
  <c r="B1137" i="13"/>
  <c r="B1108" i="13"/>
  <c r="B1107" i="13"/>
  <c r="B1106" i="13"/>
  <c r="B1105" i="13"/>
  <c r="B1104" i="13"/>
  <c r="B1103" i="13"/>
  <c r="B1102" i="13"/>
  <c r="B1101" i="13"/>
  <c r="B1100" i="13"/>
  <c r="B1099" i="13"/>
  <c r="B1098" i="13"/>
  <c r="B1097" i="13"/>
  <c r="B1096" i="13"/>
  <c r="B1095" i="13"/>
  <c r="B1094" i="13"/>
  <c r="B1093" i="13"/>
  <c r="B1092" i="13"/>
  <c r="B1058" i="13"/>
  <c r="B1057" i="13"/>
  <c r="B1056" i="13"/>
  <c r="B1055" i="13"/>
  <c r="B1054" i="13"/>
  <c r="B1053" i="13"/>
  <c r="B1052" i="13"/>
  <c r="B1051" i="13"/>
  <c r="B1050" i="13"/>
  <c r="B1049" i="13"/>
  <c r="B1048" i="13"/>
  <c r="B1047" i="13"/>
  <c r="B1046" i="13"/>
  <c r="B1045" i="13"/>
  <c r="B1044" i="13"/>
  <c r="B1043" i="13"/>
  <c r="B1042" i="13"/>
  <c r="B1010" i="13"/>
  <c r="B1009" i="13"/>
  <c r="B1008" i="13"/>
  <c r="B1007" i="13"/>
  <c r="B1006" i="13"/>
  <c r="B1005" i="13"/>
  <c r="B1004" i="13"/>
  <c r="B1003" i="13"/>
  <c r="B1002" i="13"/>
  <c r="B1001" i="13"/>
  <c r="B1000" i="13"/>
  <c r="B999" i="13"/>
  <c r="B998" i="13"/>
  <c r="B997" i="13"/>
  <c r="B996" i="13"/>
  <c r="B995" i="13"/>
  <c r="B994" i="13"/>
  <c r="B823" i="13"/>
  <c r="B822" i="13"/>
  <c r="B821" i="13"/>
  <c r="B820" i="13"/>
  <c r="B819" i="13"/>
  <c r="B818" i="13"/>
  <c r="B817" i="13"/>
  <c r="B816" i="13"/>
  <c r="B815" i="13"/>
  <c r="B814" i="13"/>
  <c r="B813" i="13"/>
  <c r="B812" i="13"/>
  <c r="B811" i="13"/>
  <c r="B810" i="13"/>
  <c r="B809" i="13"/>
  <c r="B808" i="13"/>
  <c r="B807" i="13"/>
  <c r="B779" i="13"/>
  <c r="B778" i="13"/>
  <c r="B777" i="13"/>
  <c r="B776" i="13"/>
  <c r="B775" i="13"/>
  <c r="B774" i="13"/>
  <c r="B773" i="13"/>
  <c r="B772" i="13"/>
  <c r="B771" i="13"/>
  <c r="B770" i="13"/>
  <c r="B769" i="13"/>
  <c r="B768" i="13"/>
  <c r="B767" i="13"/>
  <c r="B766" i="13"/>
  <c r="B765" i="13"/>
  <c r="B764" i="13"/>
  <c r="A780" i="13" s="1"/>
  <c r="B763" i="13"/>
  <c r="B730" i="13"/>
  <c r="B729" i="13"/>
  <c r="B728" i="13"/>
  <c r="B727" i="13"/>
  <c r="B726" i="13"/>
  <c r="B725" i="13"/>
  <c r="B724" i="13"/>
  <c r="B723" i="13"/>
  <c r="B722" i="13"/>
  <c r="B721" i="13"/>
  <c r="B720" i="13"/>
  <c r="B719" i="13"/>
  <c r="B718" i="13"/>
  <c r="B717" i="13"/>
  <c r="B716" i="13"/>
  <c r="B715" i="13"/>
  <c r="A731" i="13" s="1"/>
  <c r="B714" i="13"/>
  <c r="B683" i="13"/>
  <c r="B682" i="13"/>
  <c r="B681" i="13"/>
  <c r="B680" i="13"/>
  <c r="B679" i="13"/>
  <c r="B678" i="13"/>
  <c r="B677" i="13"/>
  <c r="B676" i="13"/>
  <c r="B675" i="13"/>
  <c r="B674" i="13"/>
  <c r="B673" i="13"/>
  <c r="B672" i="13"/>
  <c r="B671" i="13"/>
  <c r="B670" i="13"/>
  <c r="B669" i="13"/>
  <c r="B668" i="13"/>
  <c r="A684" i="13" s="1"/>
  <c r="B667" i="13"/>
  <c r="B492" i="13"/>
  <c r="B491" i="13"/>
  <c r="B490" i="13"/>
  <c r="B489" i="13"/>
  <c r="B488" i="13"/>
  <c r="B487" i="13"/>
  <c r="B486" i="13"/>
  <c r="B485" i="13"/>
  <c r="B484" i="13"/>
  <c r="B483" i="13"/>
  <c r="B482" i="13"/>
  <c r="B481" i="13"/>
  <c r="B480" i="13"/>
  <c r="B479" i="13"/>
  <c r="B478" i="13"/>
  <c r="B477" i="13"/>
  <c r="A493" i="13" s="1"/>
  <c r="B476" i="13"/>
  <c r="B447" i="13"/>
  <c r="B446" i="13"/>
  <c r="B445" i="13"/>
  <c r="B444" i="13"/>
  <c r="B443" i="13"/>
  <c r="B442" i="13"/>
  <c r="B441" i="13"/>
  <c r="B440" i="13"/>
  <c r="B439" i="13"/>
  <c r="B438" i="13"/>
  <c r="B437" i="13"/>
  <c r="B436" i="13"/>
  <c r="B435" i="13"/>
  <c r="B434" i="13"/>
  <c r="B433" i="13"/>
  <c r="B432" i="13"/>
  <c r="A448" i="13" s="1"/>
  <c r="B431" i="13"/>
  <c r="B397" i="13"/>
  <c r="B396" i="13"/>
  <c r="B395" i="13"/>
  <c r="B394" i="13"/>
  <c r="B393" i="13"/>
  <c r="B392" i="13"/>
  <c r="B391" i="13"/>
  <c r="B390" i="13"/>
  <c r="B389" i="13"/>
  <c r="B388" i="13"/>
  <c r="B387" i="13"/>
  <c r="B386" i="13"/>
  <c r="B385" i="13"/>
  <c r="B384" i="13"/>
  <c r="B383" i="13"/>
  <c r="B382" i="13"/>
  <c r="A399" i="13" s="1"/>
  <c r="B381" i="13"/>
  <c r="B349" i="13"/>
  <c r="B348" i="13"/>
  <c r="B347" i="13"/>
  <c r="B346" i="13"/>
  <c r="B345" i="13"/>
  <c r="B344" i="13"/>
  <c r="B343" i="13"/>
  <c r="B342" i="13"/>
  <c r="B341" i="13"/>
  <c r="B340" i="13"/>
  <c r="B339" i="13"/>
  <c r="B338" i="13"/>
  <c r="B337" i="13"/>
  <c r="B336" i="13"/>
  <c r="B335" i="13"/>
  <c r="B334" i="13"/>
  <c r="A351" i="13" s="1"/>
  <c r="B333" i="13"/>
  <c r="B162" i="13"/>
  <c r="B161" i="13"/>
  <c r="B160" i="13"/>
  <c r="B159" i="13"/>
  <c r="B158" i="13"/>
  <c r="B157" i="13"/>
  <c r="B156" i="13"/>
  <c r="B155" i="13"/>
  <c r="B154" i="13"/>
  <c r="B153" i="13"/>
  <c r="B152" i="13"/>
  <c r="B151" i="13"/>
  <c r="B150" i="13"/>
  <c r="B149" i="13"/>
  <c r="B148" i="13"/>
  <c r="B147" i="13"/>
  <c r="A163" i="13" s="1"/>
  <c r="B146" i="13"/>
  <c r="B118" i="13"/>
  <c r="B117" i="13"/>
  <c r="B116" i="13"/>
  <c r="B115" i="13"/>
  <c r="B114" i="13"/>
  <c r="B113" i="13"/>
  <c r="B112" i="13"/>
  <c r="B111" i="13"/>
  <c r="B110" i="13"/>
  <c r="B109" i="13"/>
  <c r="B108" i="13"/>
  <c r="B107" i="13"/>
  <c r="B128" i="13" s="1"/>
  <c r="B106" i="13"/>
  <c r="B105" i="13"/>
  <c r="B104" i="13"/>
  <c r="B103" i="13"/>
  <c r="A120" i="13" s="1"/>
  <c r="B102" i="13"/>
  <c r="B69" i="13"/>
  <c r="B68" i="13"/>
  <c r="B67" i="13"/>
  <c r="B66" i="13"/>
  <c r="B65" i="13"/>
  <c r="B64" i="13"/>
  <c r="B63" i="13"/>
  <c r="B62" i="13"/>
  <c r="B61" i="13"/>
  <c r="B60" i="13"/>
  <c r="B59" i="13"/>
  <c r="B58" i="13"/>
  <c r="B57" i="13"/>
  <c r="B56" i="13"/>
  <c r="B55" i="13"/>
  <c r="B54" i="13"/>
  <c r="A70" i="13" s="1"/>
  <c r="B53" i="13"/>
  <c r="B22" i="13"/>
  <c r="B21" i="13"/>
  <c r="B20" i="13"/>
  <c r="B19" i="13"/>
  <c r="B18" i="13"/>
  <c r="B17" i="13"/>
  <c r="B16" i="13"/>
  <c r="B15" i="13"/>
  <c r="B14" i="13"/>
  <c r="B13" i="13"/>
  <c r="B12" i="13"/>
  <c r="B11" i="13"/>
  <c r="B10" i="13"/>
  <c r="B9" i="13"/>
  <c r="B8" i="13"/>
  <c r="B7" i="13"/>
  <c r="B6" i="13"/>
  <c r="G9917" i="3"/>
  <c r="E9917" i="3"/>
  <c r="C9917" i="3"/>
  <c r="A9917" i="3"/>
  <c r="G9916" i="3"/>
  <c r="E9916" i="3"/>
  <c r="C9916" i="3"/>
  <c r="A9916" i="3"/>
  <c r="G9912" i="3"/>
  <c r="E9912" i="3"/>
  <c r="C9912" i="3"/>
  <c r="A9912" i="3"/>
  <c r="E9911" i="3"/>
  <c r="B9893" i="3"/>
  <c r="B9902" i="3" s="1"/>
  <c r="B9892" i="3"/>
  <c r="B9891" i="3"/>
  <c r="B9890" i="3"/>
  <c r="B9889" i="3"/>
  <c r="B9888" i="3"/>
  <c r="B9887" i="3"/>
  <c r="B9886" i="3"/>
  <c r="G9915" i="3" s="1"/>
  <c r="B9885" i="3"/>
  <c r="B9884" i="3"/>
  <c r="B9883" i="3"/>
  <c r="B9882" i="3"/>
  <c r="B9881" i="3"/>
  <c r="B9880" i="3"/>
  <c r="B9879" i="3"/>
  <c r="B9878" i="3"/>
  <c r="B9877" i="3"/>
  <c r="G9911" i="3" s="1"/>
  <c r="G9869" i="3"/>
  <c r="E9869" i="3"/>
  <c r="C9869" i="3"/>
  <c r="A9869" i="3"/>
  <c r="G9868" i="3"/>
  <c r="E9868" i="3"/>
  <c r="C9868" i="3"/>
  <c r="A9868" i="3"/>
  <c r="G9866" i="3"/>
  <c r="E9866" i="3"/>
  <c r="C9866" i="3"/>
  <c r="A9866" i="3"/>
  <c r="E9865" i="3"/>
  <c r="B9847" i="3"/>
  <c r="B9856" i="3" s="1"/>
  <c r="B9846" i="3"/>
  <c r="B9845" i="3"/>
  <c r="B9844" i="3"/>
  <c r="B9843" i="3"/>
  <c r="B9842" i="3"/>
  <c r="B9841" i="3"/>
  <c r="B9840" i="3"/>
  <c r="G9867" i="3" s="1"/>
  <c r="B9839" i="3"/>
  <c r="B9838" i="3"/>
  <c r="B9837" i="3"/>
  <c r="B9836" i="3"/>
  <c r="B9835" i="3"/>
  <c r="B9834" i="3"/>
  <c r="B9833" i="3"/>
  <c r="B9832" i="3"/>
  <c r="C9865" i="3" s="1"/>
  <c r="B9831" i="3"/>
  <c r="G9865" i="3" s="1"/>
  <c r="G9822" i="3"/>
  <c r="E9822" i="3"/>
  <c r="C9822" i="3"/>
  <c r="A9822" i="3"/>
  <c r="G9821" i="3"/>
  <c r="E9821" i="3"/>
  <c r="C9821" i="3"/>
  <c r="A9821" i="3"/>
  <c r="G9817" i="3"/>
  <c r="E9817" i="3"/>
  <c r="C9817" i="3"/>
  <c r="A9817" i="3"/>
  <c r="G9816" i="3"/>
  <c r="E9816" i="3"/>
  <c r="C9816" i="3"/>
  <c r="A9816" i="3"/>
  <c r="G9815" i="3"/>
  <c r="E9815" i="3"/>
  <c r="C9815" i="3"/>
  <c r="A9815" i="3"/>
  <c r="E9814" i="3"/>
  <c r="B9796" i="3"/>
  <c r="B9805" i="3" s="1"/>
  <c r="B9795" i="3"/>
  <c r="B9794" i="3"/>
  <c r="B9793" i="3"/>
  <c r="B9792" i="3"/>
  <c r="B9791" i="3"/>
  <c r="B9790" i="3"/>
  <c r="B9789" i="3"/>
  <c r="G9820" i="3" s="1"/>
  <c r="B9788" i="3"/>
  <c r="B9787" i="3"/>
  <c r="B9786" i="3"/>
  <c r="B9785" i="3"/>
  <c r="B9784" i="3"/>
  <c r="B9783" i="3"/>
  <c r="B9782" i="3"/>
  <c r="B9781" i="3"/>
  <c r="B9780" i="3"/>
  <c r="G9814" i="3" s="1"/>
  <c r="G9575" i="3"/>
  <c r="E9575" i="3"/>
  <c r="C9575" i="3"/>
  <c r="A9575" i="3"/>
  <c r="E9574" i="3"/>
  <c r="B9556" i="3"/>
  <c r="B9565" i="3" s="1"/>
  <c r="B9555" i="3"/>
  <c r="B9554" i="3"/>
  <c r="B9553" i="3"/>
  <c r="B9552" i="3"/>
  <c r="B9551" i="3"/>
  <c r="B9550" i="3"/>
  <c r="B9549" i="3"/>
  <c r="G9578" i="3" s="1"/>
  <c r="B9548" i="3"/>
  <c r="B9547" i="3"/>
  <c r="B9546" i="3"/>
  <c r="B9545" i="3"/>
  <c r="B9544" i="3"/>
  <c r="B9543" i="3"/>
  <c r="B9542" i="3"/>
  <c r="B9541" i="3"/>
  <c r="A9558" i="3" s="1"/>
  <c r="B9540" i="3"/>
  <c r="G9574" i="3" s="1"/>
  <c r="G9531" i="3"/>
  <c r="E9531" i="3"/>
  <c r="C9531" i="3"/>
  <c r="A9531" i="3"/>
  <c r="E9530" i="3"/>
  <c r="B9512" i="3"/>
  <c r="B9521" i="3" s="1"/>
  <c r="B9511" i="3"/>
  <c r="B9510" i="3"/>
  <c r="B9509" i="3"/>
  <c r="B9508" i="3"/>
  <c r="B9507" i="3"/>
  <c r="B9506" i="3"/>
  <c r="B9505" i="3"/>
  <c r="G9532" i="3" s="1"/>
  <c r="B9504" i="3"/>
  <c r="B9503" i="3"/>
  <c r="B9502" i="3"/>
  <c r="B9501" i="3"/>
  <c r="B9500" i="3"/>
  <c r="B9499" i="3"/>
  <c r="B9498" i="3"/>
  <c r="B9497" i="3"/>
  <c r="A9514" i="3" s="1"/>
  <c r="B9496" i="3"/>
  <c r="G9530" i="3" s="1"/>
  <c r="G9484" i="3"/>
  <c r="E9484" i="3"/>
  <c r="C9484" i="3"/>
  <c r="A9484" i="3"/>
  <c r="G9483" i="3"/>
  <c r="E9483" i="3"/>
  <c r="C9483" i="3"/>
  <c r="A9483" i="3"/>
  <c r="G9482" i="3"/>
  <c r="E9482" i="3"/>
  <c r="C9482" i="3"/>
  <c r="A9482" i="3"/>
  <c r="E9481" i="3"/>
  <c r="B9463" i="3"/>
  <c r="B9472" i="3" s="1"/>
  <c r="B9462" i="3"/>
  <c r="B9461" i="3"/>
  <c r="B9460" i="3"/>
  <c r="B9459" i="3"/>
  <c r="B9458" i="3"/>
  <c r="B9457" i="3"/>
  <c r="B9456" i="3"/>
  <c r="G9487" i="3" s="1"/>
  <c r="B9455" i="3"/>
  <c r="B9454" i="3"/>
  <c r="B9453" i="3"/>
  <c r="B9452" i="3"/>
  <c r="B9451" i="3"/>
  <c r="B9450" i="3"/>
  <c r="B9449" i="3"/>
  <c r="B9448" i="3"/>
  <c r="B9447" i="3"/>
  <c r="G9481" i="3" s="1"/>
  <c r="G9252" i="3"/>
  <c r="E9252" i="3"/>
  <c r="C9252" i="3"/>
  <c r="A9252" i="3"/>
  <c r="G9251" i="3"/>
  <c r="E9251" i="3"/>
  <c r="C9251" i="3"/>
  <c r="A9251" i="3"/>
  <c r="G9247" i="3"/>
  <c r="E9247" i="3"/>
  <c r="C9247" i="3"/>
  <c r="A9247" i="3"/>
  <c r="E9246" i="3"/>
  <c r="B9228" i="3"/>
  <c r="B9237" i="3" s="1"/>
  <c r="B9227" i="3"/>
  <c r="B9226" i="3"/>
  <c r="B9225" i="3"/>
  <c r="B9224" i="3"/>
  <c r="B9223" i="3"/>
  <c r="B9222" i="3"/>
  <c r="B9221" i="3"/>
  <c r="G9250" i="3" s="1"/>
  <c r="B9220" i="3"/>
  <c r="B9219" i="3"/>
  <c r="B9218" i="3"/>
  <c r="B9217" i="3"/>
  <c r="B9216" i="3"/>
  <c r="B9215" i="3"/>
  <c r="B9214" i="3"/>
  <c r="B9213" i="3"/>
  <c r="B9212" i="3"/>
  <c r="G9246" i="3" s="1"/>
  <c r="G9204" i="3"/>
  <c r="E9204" i="3"/>
  <c r="C9204" i="3"/>
  <c r="A9204" i="3"/>
  <c r="G9203" i="3"/>
  <c r="E9203" i="3"/>
  <c r="C9203" i="3"/>
  <c r="A9203" i="3"/>
  <c r="G9201" i="3"/>
  <c r="E9201" i="3"/>
  <c r="C9201" i="3"/>
  <c r="A9201" i="3"/>
  <c r="E9200" i="3"/>
  <c r="B9182" i="3"/>
  <c r="B9191" i="3" s="1"/>
  <c r="B9181" i="3"/>
  <c r="B9180" i="3"/>
  <c r="B9179" i="3"/>
  <c r="B9178" i="3"/>
  <c r="B9177" i="3"/>
  <c r="B9176" i="3"/>
  <c r="B9175" i="3"/>
  <c r="G9202" i="3" s="1"/>
  <c r="B9174" i="3"/>
  <c r="B9173" i="3"/>
  <c r="B9172" i="3"/>
  <c r="B9171" i="3"/>
  <c r="B9170" i="3"/>
  <c r="B9169" i="3"/>
  <c r="B9168" i="3"/>
  <c r="B9167" i="3"/>
  <c r="C9200" i="3" s="1"/>
  <c r="B9166" i="3"/>
  <c r="G9200" i="3" s="1"/>
  <c r="G9157" i="3"/>
  <c r="E9157" i="3"/>
  <c r="C9157" i="3"/>
  <c r="A9157" i="3"/>
  <c r="G9156" i="3"/>
  <c r="E9156" i="3"/>
  <c r="C9156" i="3"/>
  <c r="A9156" i="3"/>
  <c r="G9152" i="3"/>
  <c r="E9152" i="3"/>
  <c r="C9152" i="3"/>
  <c r="A9152" i="3"/>
  <c r="G9151" i="3"/>
  <c r="E9151" i="3"/>
  <c r="C9151" i="3"/>
  <c r="A9151" i="3"/>
  <c r="G9150" i="3"/>
  <c r="E9150" i="3"/>
  <c r="C9150" i="3"/>
  <c r="A9150" i="3"/>
  <c r="E9149" i="3"/>
  <c r="B9131" i="3"/>
  <c r="B9140" i="3" s="1"/>
  <c r="B9130" i="3"/>
  <c r="B9129" i="3"/>
  <c r="B9128" i="3"/>
  <c r="B9127" i="3"/>
  <c r="B9126" i="3"/>
  <c r="B9125" i="3"/>
  <c r="B9124" i="3"/>
  <c r="G9155" i="3" s="1"/>
  <c r="B9123" i="3"/>
  <c r="B9122" i="3"/>
  <c r="B9121" i="3"/>
  <c r="B9120" i="3"/>
  <c r="B9119" i="3"/>
  <c r="B9118" i="3"/>
  <c r="B9117" i="3"/>
  <c r="B9116" i="3"/>
  <c r="B9115" i="3"/>
  <c r="G9149" i="3" s="1"/>
  <c r="G8910" i="3"/>
  <c r="E8910" i="3"/>
  <c r="C8910" i="3"/>
  <c r="A8910" i="3"/>
  <c r="E8909" i="3"/>
  <c r="B8891" i="3"/>
  <c r="B8900" i="3" s="1"/>
  <c r="B8890" i="3"/>
  <c r="B8889" i="3"/>
  <c r="B8888" i="3"/>
  <c r="B8887" i="3"/>
  <c r="B8886" i="3"/>
  <c r="B8885" i="3"/>
  <c r="B8884" i="3"/>
  <c r="G8913" i="3" s="1"/>
  <c r="B8883" i="3"/>
  <c r="B8882" i="3"/>
  <c r="B8881" i="3"/>
  <c r="B8880" i="3"/>
  <c r="B8879" i="3"/>
  <c r="B8878" i="3"/>
  <c r="B8877" i="3"/>
  <c r="B8876" i="3"/>
  <c r="A8893" i="3" s="1"/>
  <c r="B8875" i="3"/>
  <c r="G8909" i="3" s="1"/>
  <c r="G8866" i="3"/>
  <c r="E8866" i="3"/>
  <c r="C8866" i="3"/>
  <c r="A8866" i="3"/>
  <c r="E8865" i="3"/>
  <c r="B8847" i="3"/>
  <c r="B8856" i="3" s="1"/>
  <c r="B8846" i="3"/>
  <c r="B8845" i="3"/>
  <c r="B8844" i="3"/>
  <c r="B8843" i="3"/>
  <c r="B8842" i="3"/>
  <c r="B8841" i="3"/>
  <c r="B8840" i="3"/>
  <c r="G8867" i="3" s="1"/>
  <c r="B8839" i="3"/>
  <c r="B8838" i="3"/>
  <c r="B8837" i="3"/>
  <c r="B8836" i="3"/>
  <c r="B8835" i="3"/>
  <c r="B8834" i="3"/>
  <c r="B8833" i="3"/>
  <c r="B8832" i="3"/>
  <c r="A8849" i="3" s="1"/>
  <c r="B8831" i="3"/>
  <c r="G8865" i="3" s="1"/>
  <c r="G8819" i="3"/>
  <c r="E8819" i="3"/>
  <c r="C8819" i="3"/>
  <c r="A8819" i="3"/>
  <c r="G8818" i="3"/>
  <c r="E8818" i="3"/>
  <c r="C8818" i="3"/>
  <c r="A8818" i="3"/>
  <c r="G8817" i="3"/>
  <c r="E8817" i="3"/>
  <c r="C8817" i="3"/>
  <c r="A8817" i="3"/>
  <c r="E8816" i="3"/>
  <c r="B8798" i="3"/>
  <c r="B8807" i="3" s="1"/>
  <c r="B8797" i="3"/>
  <c r="B8796" i="3"/>
  <c r="B8795" i="3"/>
  <c r="B8794" i="3"/>
  <c r="B8793" i="3"/>
  <c r="B8792" i="3"/>
  <c r="B8791" i="3"/>
  <c r="G8822" i="3" s="1"/>
  <c r="B8790" i="3"/>
  <c r="B8789" i="3"/>
  <c r="B8788" i="3"/>
  <c r="B8787" i="3"/>
  <c r="B8786" i="3"/>
  <c r="B8785" i="3"/>
  <c r="B8784" i="3"/>
  <c r="B8783" i="3"/>
  <c r="B8782" i="3"/>
  <c r="G8816" i="3" s="1"/>
  <c r="G8588" i="3"/>
  <c r="E8588" i="3"/>
  <c r="C8588" i="3"/>
  <c r="A8588" i="3"/>
  <c r="G8587" i="3"/>
  <c r="E8587" i="3"/>
  <c r="C8587" i="3"/>
  <c r="A8587" i="3"/>
  <c r="G8583" i="3"/>
  <c r="E8583" i="3"/>
  <c r="C8583" i="3"/>
  <c r="A8583" i="3"/>
  <c r="E8582" i="3"/>
  <c r="B8564" i="3"/>
  <c r="B8573" i="3" s="1"/>
  <c r="B8563" i="3"/>
  <c r="B8562" i="3"/>
  <c r="B8561" i="3"/>
  <c r="B8560" i="3"/>
  <c r="B8559" i="3"/>
  <c r="B8558" i="3"/>
  <c r="B8557" i="3"/>
  <c r="G8586" i="3" s="1"/>
  <c r="B8556" i="3"/>
  <c r="B8555" i="3"/>
  <c r="B8554" i="3"/>
  <c r="B8553" i="3"/>
  <c r="B8552" i="3"/>
  <c r="B8551" i="3"/>
  <c r="B8550" i="3"/>
  <c r="B8549" i="3"/>
  <c r="B8548" i="3"/>
  <c r="G8582" i="3" s="1"/>
  <c r="G8540" i="3"/>
  <c r="E8540" i="3"/>
  <c r="C8540" i="3"/>
  <c r="A8540" i="3"/>
  <c r="G8539" i="3"/>
  <c r="E8539" i="3"/>
  <c r="C8539" i="3"/>
  <c r="A8539" i="3"/>
  <c r="G8537" i="3"/>
  <c r="E8537" i="3"/>
  <c r="C8537" i="3"/>
  <c r="A8537" i="3"/>
  <c r="E8536" i="3"/>
  <c r="B8518" i="3"/>
  <c r="B8527" i="3" s="1"/>
  <c r="B8517" i="3"/>
  <c r="B8516" i="3"/>
  <c r="B8515" i="3"/>
  <c r="B8514" i="3"/>
  <c r="B8513" i="3"/>
  <c r="B8512" i="3"/>
  <c r="B8511" i="3"/>
  <c r="G8538" i="3" s="1"/>
  <c r="B8510" i="3"/>
  <c r="B8509" i="3"/>
  <c r="B8508" i="3"/>
  <c r="B8507" i="3"/>
  <c r="B8506" i="3"/>
  <c r="B8505" i="3"/>
  <c r="B8504" i="3"/>
  <c r="B8503" i="3"/>
  <c r="C8536" i="3" s="1"/>
  <c r="B8502" i="3"/>
  <c r="G8536" i="3" s="1"/>
  <c r="G8493" i="3"/>
  <c r="E8493" i="3"/>
  <c r="C8493" i="3"/>
  <c r="A8493" i="3"/>
  <c r="G8492" i="3"/>
  <c r="E8492" i="3"/>
  <c r="C8492" i="3"/>
  <c r="A8492" i="3"/>
  <c r="G8488" i="3"/>
  <c r="E8488" i="3"/>
  <c r="C8488" i="3"/>
  <c r="A8488" i="3"/>
  <c r="G8487" i="3"/>
  <c r="E8487" i="3"/>
  <c r="C8487" i="3"/>
  <c r="A8487" i="3"/>
  <c r="G8486" i="3"/>
  <c r="E8486" i="3"/>
  <c r="C8486" i="3"/>
  <c r="A8486" i="3"/>
  <c r="E8485" i="3"/>
  <c r="B8467" i="3"/>
  <c r="B8476" i="3" s="1"/>
  <c r="B8466" i="3"/>
  <c r="B8465" i="3"/>
  <c r="B8464" i="3"/>
  <c r="B8463" i="3"/>
  <c r="B8462" i="3"/>
  <c r="B8461" i="3"/>
  <c r="B8460" i="3"/>
  <c r="G8491" i="3" s="1"/>
  <c r="B8459" i="3"/>
  <c r="B8458" i="3"/>
  <c r="B8457" i="3"/>
  <c r="B8456" i="3"/>
  <c r="B8455" i="3"/>
  <c r="B8454" i="3"/>
  <c r="B8453" i="3"/>
  <c r="B8452" i="3"/>
  <c r="B8451" i="3"/>
  <c r="G8485" i="3" s="1"/>
  <c r="G8246" i="3"/>
  <c r="E8246" i="3"/>
  <c r="C8246" i="3"/>
  <c r="A8246" i="3"/>
  <c r="E8245" i="3"/>
  <c r="B8227" i="3"/>
  <c r="B8236" i="3" s="1"/>
  <c r="B8226" i="3"/>
  <c r="B8225" i="3"/>
  <c r="B8224" i="3"/>
  <c r="B8223" i="3"/>
  <c r="B8222" i="3"/>
  <c r="B8221" i="3"/>
  <c r="B8220" i="3"/>
  <c r="G8249" i="3" s="1"/>
  <c r="B8219" i="3"/>
  <c r="B8218" i="3"/>
  <c r="B8217" i="3"/>
  <c r="B8216" i="3"/>
  <c r="B8215" i="3"/>
  <c r="B8214" i="3"/>
  <c r="B8213" i="3"/>
  <c r="B8212" i="3"/>
  <c r="A8229" i="3" s="1"/>
  <c r="B8211" i="3"/>
  <c r="G8245" i="3" s="1"/>
  <c r="G8202" i="3"/>
  <c r="E8202" i="3"/>
  <c r="C8202" i="3"/>
  <c r="A8202" i="3"/>
  <c r="E8201" i="3"/>
  <c r="B8183" i="3"/>
  <c r="B8192" i="3" s="1"/>
  <c r="B8182" i="3"/>
  <c r="B8181" i="3"/>
  <c r="B8180" i="3"/>
  <c r="B8179" i="3"/>
  <c r="B8178" i="3"/>
  <c r="B8177" i="3"/>
  <c r="B8176" i="3"/>
  <c r="G8203" i="3" s="1"/>
  <c r="B8175" i="3"/>
  <c r="B8174" i="3"/>
  <c r="B8173" i="3"/>
  <c r="B8172" i="3"/>
  <c r="B8171" i="3"/>
  <c r="B8170" i="3"/>
  <c r="B8169" i="3"/>
  <c r="B8168" i="3"/>
  <c r="A8185" i="3" s="1"/>
  <c r="B8167" i="3"/>
  <c r="G8201" i="3" s="1"/>
  <c r="G8155" i="3"/>
  <c r="E8155" i="3"/>
  <c r="C8155" i="3"/>
  <c r="A8155" i="3"/>
  <c r="G8154" i="3"/>
  <c r="E8154" i="3"/>
  <c r="C8154" i="3"/>
  <c r="A8154" i="3"/>
  <c r="G8153" i="3"/>
  <c r="E8153" i="3"/>
  <c r="C8153" i="3"/>
  <c r="A8153" i="3"/>
  <c r="E8152" i="3"/>
  <c r="B8134" i="3"/>
  <c r="B8143" i="3" s="1"/>
  <c r="B8133" i="3"/>
  <c r="B8132" i="3"/>
  <c r="B8131" i="3"/>
  <c r="B8130" i="3"/>
  <c r="B8129" i="3"/>
  <c r="B8128" i="3"/>
  <c r="B8127" i="3"/>
  <c r="G8158" i="3" s="1"/>
  <c r="B8126" i="3"/>
  <c r="B8125" i="3"/>
  <c r="B8124" i="3"/>
  <c r="B8123" i="3"/>
  <c r="B8122" i="3"/>
  <c r="B8121" i="3"/>
  <c r="B8120" i="3"/>
  <c r="B8119" i="3"/>
  <c r="B8118" i="3"/>
  <c r="G8152" i="3" s="1"/>
  <c r="G7924" i="3"/>
  <c r="E7924" i="3"/>
  <c r="C7924" i="3"/>
  <c r="A7924" i="3"/>
  <c r="G7923" i="3"/>
  <c r="E7923" i="3"/>
  <c r="C7923" i="3"/>
  <c r="A7923" i="3"/>
  <c r="G7919" i="3"/>
  <c r="E7919" i="3"/>
  <c r="C7919" i="3"/>
  <c r="A7919" i="3"/>
  <c r="E7918" i="3"/>
  <c r="B7900" i="3"/>
  <c r="B7909" i="3" s="1"/>
  <c r="B7899" i="3"/>
  <c r="B7898" i="3"/>
  <c r="B7897" i="3"/>
  <c r="B7896" i="3"/>
  <c r="B7895" i="3"/>
  <c r="B7894" i="3"/>
  <c r="B7893" i="3"/>
  <c r="G7922" i="3" s="1"/>
  <c r="B7892" i="3"/>
  <c r="B7891" i="3"/>
  <c r="B7890" i="3"/>
  <c r="B7889" i="3"/>
  <c r="B7888" i="3"/>
  <c r="B7887" i="3"/>
  <c r="B7886" i="3"/>
  <c r="B7885" i="3"/>
  <c r="B7884" i="3"/>
  <c r="G7918" i="3" s="1"/>
  <c r="G7876" i="3"/>
  <c r="E7876" i="3"/>
  <c r="C7876" i="3"/>
  <c r="A7876" i="3"/>
  <c r="G7875" i="3"/>
  <c r="E7875" i="3"/>
  <c r="C7875" i="3"/>
  <c r="A7875" i="3"/>
  <c r="G7873" i="3"/>
  <c r="E7873" i="3"/>
  <c r="C7873" i="3"/>
  <c r="A7873" i="3"/>
  <c r="E7872" i="3"/>
  <c r="B7854" i="3"/>
  <c r="B7863" i="3" s="1"/>
  <c r="B7853" i="3"/>
  <c r="B7852" i="3"/>
  <c r="B7851" i="3"/>
  <c r="B7850" i="3"/>
  <c r="B7849" i="3"/>
  <c r="B7848" i="3"/>
  <c r="B7847" i="3"/>
  <c r="G7874" i="3" s="1"/>
  <c r="B7846" i="3"/>
  <c r="B7845" i="3"/>
  <c r="B7844" i="3"/>
  <c r="B7843" i="3"/>
  <c r="B7842" i="3"/>
  <c r="B7841" i="3"/>
  <c r="B7840" i="3"/>
  <c r="B7839" i="3"/>
  <c r="C7872" i="3" s="1"/>
  <c r="B7838" i="3"/>
  <c r="G7872" i="3" s="1"/>
  <c r="G7829" i="3"/>
  <c r="E7829" i="3"/>
  <c r="C7829" i="3"/>
  <c r="A7829" i="3"/>
  <c r="G7828" i="3"/>
  <c r="E7828" i="3"/>
  <c r="C7828" i="3"/>
  <c r="A7828" i="3"/>
  <c r="G7824" i="3"/>
  <c r="E7824" i="3"/>
  <c r="C7824" i="3"/>
  <c r="A7824" i="3"/>
  <c r="G7823" i="3"/>
  <c r="E7823" i="3"/>
  <c r="C7823" i="3"/>
  <c r="A7823" i="3"/>
  <c r="G7822" i="3"/>
  <c r="E7822" i="3"/>
  <c r="C7822" i="3"/>
  <c r="A7822" i="3"/>
  <c r="E7821" i="3"/>
  <c r="B7803" i="3"/>
  <c r="B7812" i="3" s="1"/>
  <c r="B7802" i="3"/>
  <c r="B7801" i="3"/>
  <c r="B7800" i="3"/>
  <c r="B7799" i="3"/>
  <c r="B7798" i="3"/>
  <c r="B7797" i="3"/>
  <c r="B7796" i="3"/>
  <c r="G7827" i="3" s="1"/>
  <c r="B7795" i="3"/>
  <c r="B7794" i="3"/>
  <c r="B7793" i="3"/>
  <c r="B7792" i="3"/>
  <c r="B7791" i="3"/>
  <c r="B7790" i="3"/>
  <c r="B7789" i="3"/>
  <c r="B7788" i="3"/>
  <c r="B7787" i="3"/>
  <c r="G7821" i="3" s="1"/>
  <c r="G7582" i="3"/>
  <c r="E7582" i="3"/>
  <c r="C7582" i="3"/>
  <c r="A7582" i="3"/>
  <c r="E7581" i="3"/>
  <c r="B7563" i="3"/>
  <c r="B7572" i="3" s="1"/>
  <c r="B7562" i="3"/>
  <c r="B7561" i="3"/>
  <c r="B7560" i="3"/>
  <c r="B7559" i="3"/>
  <c r="B7558" i="3"/>
  <c r="B7557" i="3"/>
  <c r="B7556" i="3"/>
  <c r="G7585" i="3" s="1"/>
  <c r="B7555" i="3"/>
  <c r="B7554" i="3"/>
  <c r="B7553" i="3"/>
  <c r="B7552" i="3"/>
  <c r="B7551" i="3"/>
  <c r="B7550" i="3"/>
  <c r="B7549" i="3"/>
  <c r="B7548" i="3"/>
  <c r="A7565" i="3" s="1"/>
  <c r="B7547" i="3"/>
  <c r="G7581" i="3" s="1"/>
  <c r="G7538" i="3"/>
  <c r="E7538" i="3"/>
  <c r="C7538" i="3"/>
  <c r="A7538" i="3"/>
  <c r="E7537" i="3"/>
  <c r="B7519" i="3"/>
  <c r="B7528" i="3" s="1"/>
  <c r="B7518" i="3"/>
  <c r="B7517" i="3"/>
  <c r="B7516" i="3"/>
  <c r="B7515" i="3"/>
  <c r="B7514" i="3"/>
  <c r="B7513" i="3"/>
  <c r="B7512" i="3"/>
  <c r="G7539" i="3" s="1"/>
  <c r="B7511" i="3"/>
  <c r="B7510" i="3"/>
  <c r="B7509" i="3"/>
  <c r="B7508" i="3"/>
  <c r="B7507" i="3"/>
  <c r="B7506" i="3"/>
  <c r="B7505" i="3"/>
  <c r="B7504" i="3"/>
  <c r="A7521" i="3" s="1"/>
  <c r="B7503" i="3"/>
  <c r="G7537" i="3" s="1"/>
  <c r="G7491" i="3"/>
  <c r="E7491" i="3"/>
  <c r="C7491" i="3"/>
  <c r="A7491" i="3"/>
  <c r="G7490" i="3"/>
  <c r="E7490" i="3"/>
  <c r="C7490" i="3"/>
  <c r="A7490" i="3"/>
  <c r="G7489" i="3"/>
  <c r="E7489" i="3"/>
  <c r="C7489" i="3"/>
  <c r="A7489" i="3"/>
  <c r="E7488" i="3"/>
  <c r="B7470" i="3"/>
  <c r="B7479" i="3" s="1"/>
  <c r="B7469" i="3"/>
  <c r="B7468" i="3"/>
  <c r="B7467" i="3"/>
  <c r="B7466" i="3"/>
  <c r="B7465" i="3"/>
  <c r="B7464" i="3"/>
  <c r="B7463" i="3"/>
  <c r="G7494" i="3" s="1"/>
  <c r="B7462" i="3"/>
  <c r="B7461" i="3"/>
  <c r="B7460" i="3"/>
  <c r="B7459" i="3"/>
  <c r="B7458" i="3"/>
  <c r="B7457" i="3"/>
  <c r="B7456" i="3"/>
  <c r="B7455" i="3"/>
  <c r="B7454" i="3"/>
  <c r="G7488" i="3" s="1"/>
  <c r="G7259" i="3"/>
  <c r="E7259" i="3"/>
  <c r="C7259" i="3"/>
  <c r="A7259" i="3"/>
  <c r="G7258" i="3"/>
  <c r="E7258" i="3"/>
  <c r="C7258" i="3"/>
  <c r="A7258" i="3"/>
  <c r="G7254" i="3"/>
  <c r="E7254" i="3"/>
  <c r="C7254" i="3"/>
  <c r="A7254" i="3"/>
  <c r="E7253" i="3"/>
  <c r="B7235" i="3"/>
  <c r="B7244" i="3" s="1"/>
  <c r="B7234" i="3"/>
  <c r="B7233" i="3"/>
  <c r="B7232" i="3"/>
  <c r="B7231" i="3"/>
  <c r="B7230" i="3"/>
  <c r="B7229" i="3"/>
  <c r="B7228" i="3"/>
  <c r="G7257" i="3" s="1"/>
  <c r="B7227" i="3"/>
  <c r="B7226" i="3"/>
  <c r="B7225" i="3"/>
  <c r="B7224" i="3"/>
  <c r="B7223" i="3"/>
  <c r="B7222" i="3"/>
  <c r="B7221" i="3"/>
  <c r="B7220" i="3"/>
  <c r="B7219" i="3"/>
  <c r="G7253" i="3" s="1"/>
  <c r="G7211" i="3"/>
  <c r="E7211" i="3"/>
  <c r="C7211" i="3"/>
  <c r="A7211" i="3"/>
  <c r="G7210" i="3"/>
  <c r="E7210" i="3"/>
  <c r="C7210" i="3"/>
  <c r="A7210" i="3"/>
  <c r="G7208" i="3"/>
  <c r="E7208" i="3"/>
  <c r="C7208" i="3"/>
  <c r="A7208" i="3"/>
  <c r="E7207" i="3"/>
  <c r="B7189" i="3"/>
  <c r="B7198" i="3" s="1"/>
  <c r="B7188" i="3"/>
  <c r="B7187" i="3"/>
  <c r="B7186" i="3"/>
  <c r="B7185" i="3"/>
  <c r="B7184" i="3"/>
  <c r="B7183" i="3"/>
  <c r="B7182" i="3"/>
  <c r="G7209" i="3" s="1"/>
  <c r="B7181" i="3"/>
  <c r="B7180" i="3"/>
  <c r="B7179" i="3"/>
  <c r="B7178" i="3"/>
  <c r="B7177" i="3"/>
  <c r="B7176" i="3"/>
  <c r="B7175" i="3"/>
  <c r="B7174" i="3"/>
  <c r="C7207" i="3" s="1"/>
  <c r="B7173" i="3"/>
  <c r="G7207" i="3" s="1"/>
  <c r="G7164" i="3"/>
  <c r="E7164" i="3"/>
  <c r="C7164" i="3"/>
  <c r="A7164" i="3"/>
  <c r="G7163" i="3"/>
  <c r="E7163" i="3"/>
  <c r="C7163" i="3"/>
  <c r="A7163" i="3"/>
  <c r="G7159" i="3"/>
  <c r="E7159" i="3"/>
  <c r="C7159" i="3"/>
  <c r="A7159" i="3"/>
  <c r="G7158" i="3"/>
  <c r="E7158" i="3"/>
  <c r="C7158" i="3"/>
  <c r="A7158" i="3"/>
  <c r="G7157" i="3"/>
  <c r="E7157" i="3"/>
  <c r="C7157" i="3"/>
  <c r="A7157" i="3"/>
  <c r="E7156" i="3"/>
  <c r="B7138" i="3"/>
  <c r="B7147" i="3" s="1"/>
  <c r="B7137" i="3"/>
  <c r="B7136" i="3"/>
  <c r="B7135" i="3"/>
  <c r="B7134" i="3"/>
  <c r="B7133" i="3"/>
  <c r="B7132" i="3"/>
  <c r="B7131" i="3"/>
  <c r="G7162" i="3" s="1"/>
  <c r="B7130" i="3"/>
  <c r="B7129" i="3"/>
  <c r="B7128" i="3"/>
  <c r="B7127" i="3"/>
  <c r="B7126" i="3"/>
  <c r="B7125" i="3"/>
  <c r="B7124" i="3"/>
  <c r="B7123" i="3"/>
  <c r="B7122" i="3"/>
  <c r="G7156" i="3" s="1"/>
  <c r="G6917" i="3"/>
  <c r="E6917" i="3"/>
  <c r="C6917" i="3"/>
  <c r="A6917" i="3"/>
  <c r="E6916" i="3"/>
  <c r="B6898" i="3"/>
  <c r="B6907" i="3" s="1"/>
  <c r="B6897" i="3"/>
  <c r="B6896" i="3"/>
  <c r="B6895" i="3"/>
  <c r="B6894" i="3"/>
  <c r="B6893" i="3"/>
  <c r="B6892" i="3"/>
  <c r="B6891" i="3"/>
  <c r="G6920" i="3" s="1"/>
  <c r="B6890" i="3"/>
  <c r="B6889" i="3"/>
  <c r="B6888" i="3"/>
  <c r="B6887" i="3"/>
  <c r="B6886" i="3"/>
  <c r="B6885" i="3"/>
  <c r="B6884" i="3"/>
  <c r="B6883" i="3"/>
  <c r="A6900" i="3" s="1"/>
  <c r="B6882" i="3"/>
  <c r="G6916" i="3" s="1"/>
  <c r="G6873" i="3"/>
  <c r="E6873" i="3"/>
  <c r="C6873" i="3"/>
  <c r="A6873" i="3"/>
  <c r="E6872" i="3"/>
  <c r="B6854" i="3"/>
  <c r="B6863" i="3" s="1"/>
  <c r="B6853" i="3"/>
  <c r="B6852" i="3"/>
  <c r="B6851" i="3"/>
  <c r="B6850" i="3"/>
  <c r="B6849" i="3"/>
  <c r="B6848" i="3"/>
  <c r="B6847" i="3"/>
  <c r="G6874" i="3" s="1"/>
  <c r="B6846" i="3"/>
  <c r="B6845" i="3"/>
  <c r="B6844" i="3"/>
  <c r="B6843" i="3"/>
  <c r="B6842" i="3"/>
  <c r="B6841" i="3"/>
  <c r="B6840" i="3"/>
  <c r="B6839" i="3"/>
  <c r="A6856" i="3" s="1"/>
  <c r="B6838" i="3"/>
  <c r="G6872" i="3" s="1"/>
  <c r="G6826" i="3"/>
  <c r="E6826" i="3"/>
  <c r="C6826" i="3"/>
  <c r="A6826" i="3"/>
  <c r="G6825" i="3"/>
  <c r="E6825" i="3"/>
  <c r="C6825" i="3"/>
  <c r="A6825" i="3"/>
  <c r="G6824" i="3"/>
  <c r="E6824" i="3"/>
  <c r="C6824" i="3"/>
  <c r="A6824" i="3"/>
  <c r="E6823" i="3"/>
  <c r="B6805" i="3"/>
  <c r="B6814" i="3" s="1"/>
  <c r="B6804" i="3"/>
  <c r="B6803" i="3"/>
  <c r="B6802" i="3"/>
  <c r="B6801" i="3"/>
  <c r="B6800" i="3"/>
  <c r="B6799" i="3"/>
  <c r="B6798" i="3"/>
  <c r="G6829" i="3" s="1"/>
  <c r="B6797" i="3"/>
  <c r="B6796" i="3"/>
  <c r="B6795" i="3"/>
  <c r="B6794" i="3"/>
  <c r="B6793" i="3"/>
  <c r="B6792" i="3"/>
  <c r="B6791" i="3"/>
  <c r="B6790" i="3"/>
  <c r="B6789" i="3"/>
  <c r="G6823" i="3" s="1"/>
  <c r="G6595" i="3"/>
  <c r="E6595" i="3"/>
  <c r="C6595" i="3"/>
  <c r="A6595" i="3"/>
  <c r="G6594" i="3"/>
  <c r="E6594" i="3"/>
  <c r="C6594" i="3"/>
  <c r="A6594" i="3"/>
  <c r="G6590" i="3"/>
  <c r="E6590" i="3"/>
  <c r="C6590" i="3"/>
  <c r="A6590" i="3"/>
  <c r="E6589" i="3"/>
  <c r="B6571" i="3"/>
  <c r="B6580" i="3" s="1"/>
  <c r="B6570" i="3"/>
  <c r="B6569" i="3"/>
  <c r="B6568" i="3"/>
  <c r="B6567" i="3"/>
  <c r="B6566" i="3"/>
  <c r="B6565" i="3"/>
  <c r="B6564" i="3"/>
  <c r="G6593" i="3" s="1"/>
  <c r="B6563" i="3"/>
  <c r="B6562" i="3"/>
  <c r="B6561" i="3"/>
  <c r="B6560" i="3"/>
  <c r="B6559" i="3"/>
  <c r="B6558" i="3"/>
  <c r="B6557" i="3"/>
  <c r="B6556" i="3"/>
  <c r="B6555" i="3"/>
  <c r="G6589" i="3" s="1"/>
  <c r="G6547" i="3"/>
  <c r="E6547" i="3"/>
  <c r="C6547" i="3"/>
  <c r="A6547" i="3"/>
  <c r="G6546" i="3"/>
  <c r="E6546" i="3"/>
  <c r="C6546" i="3"/>
  <c r="A6546" i="3"/>
  <c r="G6544" i="3"/>
  <c r="E6544" i="3"/>
  <c r="C6544" i="3"/>
  <c r="A6544" i="3"/>
  <c r="E6543" i="3"/>
  <c r="B6525" i="3"/>
  <c r="B6534" i="3" s="1"/>
  <c r="B6524" i="3"/>
  <c r="B6523" i="3"/>
  <c r="B6522" i="3"/>
  <c r="B6521" i="3"/>
  <c r="B6520" i="3"/>
  <c r="B6519" i="3"/>
  <c r="B6518" i="3"/>
  <c r="G6545" i="3" s="1"/>
  <c r="B6517" i="3"/>
  <c r="B6516" i="3"/>
  <c r="B6515" i="3"/>
  <c r="B6514" i="3"/>
  <c r="B6513" i="3"/>
  <c r="B6512" i="3"/>
  <c r="B6511" i="3"/>
  <c r="B6510" i="3"/>
  <c r="C6543" i="3" s="1"/>
  <c r="B6509" i="3"/>
  <c r="G6543" i="3" s="1"/>
  <c r="G6500" i="3"/>
  <c r="E6500" i="3"/>
  <c r="C6500" i="3"/>
  <c r="A6500" i="3"/>
  <c r="G6499" i="3"/>
  <c r="E6499" i="3"/>
  <c r="C6499" i="3"/>
  <c r="A6499" i="3"/>
  <c r="G6495" i="3"/>
  <c r="E6495" i="3"/>
  <c r="C6495" i="3"/>
  <c r="A6495" i="3"/>
  <c r="G6494" i="3"/>
  <c r="E6494" i="3"/>
  <c r="C6494" i="3"/>
  <c r="A6494" i="3"/>
  <c r="G6493" i="3"/>
  <c r="E6493" i="3"/>
  <c r="C6493" i="3"/>
  <c r="A6493" i="3"/>
  <c r="E6492" i="3"/>
  <c r="B6474" i="3"/>
  <c r="B6483" i="3" s="1"/>
  <c r="B6473" i="3"/>
  <c r="B6472" i="3"/>
  <c r="B6471" i="3"/>
  <c r="B6470" i="3"/>
  <c r="B6469" i="3"/>
  <c r="B6468" i="3"/>
  <c r="B6467" i="3"/>
  <c r="G6498" i="3" s="1"/>
  <c r="B6466" i="3"/>
  <c r="B6465" i="3"/>
  <c r="B6464" i="3"/>
  <c r="B6463" i="3"/>
  <c r="B6462" i="3"/>
  <c r="B6461" i="3"/>
  <c r="B6460" i="3"/>
  <c r="B6459" i="3"/>
  <c r="B6458" i="3"/>
  <c r="G6492" i="3" s="1"/>
  <c r="G6253" i="3"/>
  <c r="E6253" i="3"/>
  <c r="C6253" i="3"/>
  <c r="A6253" i="3"/>
  <c r="E6252" i="3"/>
  <c r="B6234" i="3"/>
  <c r="B6243" i="3" s="1"/>
  <c r="B6233" i="3"/>
  <c r="B6232" i="3"/>
  <c r="B6231" i="3"/>
  <c r="B6230" i="3"/>
  <c r="B6229" i="3"/>
  <c r="B6228" i="3"/>
  <c r="B6227" i="3"/>
  <c r="G6256" i="3" s="1"/>
  <c r="B6226" i="3"/>
  <c r="B6225" i="3"/>
  <c r="B6224" i="3"/>
  <c r="B6223" i="3"/>
  <c r="B6222" i="3"/>
  <c r="B6221" i="3"/>
  <c r="B6220" i="3"/>
  <c r="B6219" i="3"/>
  <c r="A6236" i="3" s="1"/>
  <c r="B6218" i="3"/>
  <c r="G6252" i="3" s="1"/>
  <c r="G6209" i="3"/>
  <c r="E6209" i="3"/>
  <c r="C6209" i="3"/>
  <c r="A6209" i="3"/>
  <c r="E6208" i="3"/>
  <c r="B6190" i="3"/>
  <c r="B6199" i="3" s="1"/>
  <c r="B6189" i="3"/>
  <c r="B6188" i="3"/>
  <c r="B6187" i="3"/>
  <c r="B6186" i="3"/>
  <c r="B6185" i="3"/>
  <c r="B6184" i="3"/>
  <c r="B6183" i="3"/>
  <c r="G6210" i="3" s="1"/>
  <c r="B6182" i="3"/>
  <c r="B6181" i="3"/>
  <c r="B6180" i="3"/>
  <c r="B6179" i="3"/>
  <c r="B6178" i="3"/>
  <c r="B6177" i="3"/>
  <c r="B6176" i="3"/>
  <c r="B6175" i="3"/>
  <c r="A6192" i="3" s="1"/>
  <c r="B6174" i="3"/>
  <c r="G6208" i="3" s="1"/>
  <c r="G6162" i="3"/>
  <c r="E6162" i="3"/>
  <c r="C6162" i="3"/>
  <c r="A6162" i="3"/>
  <c r="G6161" i="3"/>
  <c r="E6161" i="3"/>
  <c r="C6161" i="3"/>
  <c r="A6161" i="3"/>
  <c r="G6160" i="3"/>
  <c r="E6160" i="3"/>
  <c r="C6160" i="3"/>
  <c r="A6160" i="3"/>
  <c r="E6159" i="3"/>
  <c r="B6141" i="3"/>
  <c r="B6150" i="3" s="1"/>
  <c r="B6140" i="3"/>
  <c r="B6139" i="3"/>
  <c r="B6138" i="3"/>
  <c r="B6137" i="3"/>
  <c r="B6136" i="3"/>
  <c r="B6135" i="3"/>
  <c r="B6134" i="3"/>
  <c r="G6165" i="3" s="1"/>
  <c r="B6133" i="3"/>
  <c r="B6132" i="3"/>
  <c r="B6131" i="3"/>
  <c r="B6130" i="3"/>
  <c r="B6129" i="3"/>
  <c r="B6128" i="3"/>
  <c r="B6127" i="3"/>
  <c r="B6126" i="3"/>
  <c r="B6125" i="3"/>
  <c r="G6159" i="3" s="1"/>
  <c r="G5931" i="3"/>
  <c r="E5931" i="3"/>
  <c r="C5931" i="3"/>
  <c r="A5931" i="3"/>
  <c r="G5930" i="3"/>
  <c r="E5930" i="3"/>
  <c r="C5930" i="3"/>
  <c r="A5930" i="3"/>
  <c r="G5926" i="3"/>
  <c r="E5926" i="3"/>
  <c r="C5926" i="3"/>
  <c r="A5926" i="3"/>
  <c r="E5925" i="3"/>
  <c r="B5907" i="3"/>
  <c r="B5916" i="3" s="1"/>
  <c r="B5906" i="3"/>
  <c r="B5905" i="3"/>
  <c r="B5904" i="3"/>
  <c r="B5903" i="3"/>
  <c r="B5902" i="3"/>
  <c r="B5901" i="3"/>
  <c r="B5900" i="3"/>
  <c r="G5929" i="3" s="1"/>
  <c r="B5899" i="3"/>
  <c r="B5898" i="3"/>
  <c r="B5897" i="3"/>
  <c r="B5896" i="3"/>
  <c r="B5895" i="3"/>
  <c r="B5894" i="3"/>
  <c r="B5893" i="3"/>
  <c r="B5892" i="3"/>
  <c r="B5891" i="3"/>
  <c r="G5925" i="3" s="1"/>
  <c r="G5883" i="3"/>
  <c r="E5883" i="3"/>
  <c r="C5883" i="3"/>
  <c r="A5883" i="3"/>
  <c r="G5882" i="3"/>
  <c r="E5882" i="3"/>
  <c r="C5882" i="3"/>
  <c r="A5882" i="3"/>
  <c r="G5880" i="3"/>
  <c r="E5880" i="3"/>
  <c r="C5880" i="3"/>
  <c r="A5880" i="3"/>
  <c r="E5879" i="3"/>
  <c r="B5861" i="3"/>
  <c r="B5870" i="3" s="1"/>
  <c r="B5860" i="3"/>
  <c r="B5859" i="3"/>
  <c r="B5858" i="3"/>
  <c r="B5857" i="3"/>
  <c r="B5856" i="3"/>
  <c r="B5855" i="3"/>
  <c r="B5854" i="3"/>
  <c r="G5881" i="3" s="1"/>
  <c r="B5853" i="3"/>
  <c r="B5852" i="3"/>
  <c r="B5851" i="3"/>
  <c r="B5850" i="3"/>
  <c r="B5849" i="3"/>
  <c r="B5848" i="3"/>
  <c r="B5847" i="3"/>
  <c r="B5846" i="3"/>
  <c r="C5879" i="3" s="1"/>
  <c r="B5845" i="3"/>
  <c r="G5879" i="3" s="1"/>
  <c r="G5836" i="3"/>
  <c r="E5836" i="3"/>
  <c r="C5836" i="3"/>
  <c r="A5836" i="3"/>
  <c r="G5835" i="3"/>
  <c r="E5835" i="3"/>
  <c r="C5835" i="3"/>
  <c r="A5835" i="3"/>
  <c r="G5831" i="3"/>
  <c r="E5831" i="3"/>
  <c r="C5831" i="3"/>
  <c r="A5831" i="3"/>
  <c r="G5830" i="3"/>
  <c r="E5830" i="3"/>
  <c r="C5830" i="3"/>
  <c r="A5830" i="3"/>
  <c r="G5829" i="3"/>
  <c r="E5829" i="3"/>
  <c r="C5829" i="3"/>
  <c r="A5829" i="3"/>
  <c r="E5828" i="3"/>
  <c r="B5810" i="3"/>
  <c r="B5819" i="3" s="1"/>
  <c r="B5809" i="3"/>
  <c r="B5808" i="3"/>
  <c r="B5807" i="3"/>
  <c r="B5806" i="3"/>
  <c r="B5805" i="3"/>
  <c r="B5804" i="3"/>
  <c r="B5803" i="3"/>
  <c r="G5834" i="3" s="1"/>
  <c r="B5802" i="3"/>
  <c r="B5801" i="3"/>
  <c r="B5800" i="3"/>
  <c r="B5799" i="3"/>
  <c r="B5798" i="3"/>
  <c r="B5797" i="3"/>
  <c r="B5796" i="3"/>
  <c r="B5795" i="3"/>
  <c r="B5794" i="3"/>
  <c r="G5828" i="3" s="1"/>
  <c r="G5589" i="3"/>
  <c r="E5589" i="3"/>
  <c r="C5589" i="3"/>
  <c r="A5589" i="3"/>
  <c r="E5588" i="3"/>
  <c r="B5570" i="3"/>
  <c r="B5579" i="3" s="1"/>
  <c r="B5569" i="3"/>
  <c r="B5568" i="3"/>
  <c r="B5567" i="3"/>
  <c r="B5566" i="3"/>
  <c r="B5565" i="3"/>
  <c r="B5564" i="3"/>
  <c r="B5563" i="3"/>
  <c r="G5592" i="3" s="1"/>
  <c r="B5562" i="3"/>
  <c r="B5561" i="3"/>
  <c r="B5560" i="3"/>
  <c r="B5559" i="3"/>
  <c r="B5558" i="3"/>
  <c r="B5557" i="3"/>
  <c r="B5556" i="3"/>
  <c r="B5555" i="3"/>
  <c r="A5572" i="3" s="1"/>
  <c r="B5554" i="3"/>
  <c r="G5588" i="3" s="1"/>
  <c r="G5545" i="3"/>
  <c r="E5545" i="3"/>
  <c r="C5545" i="3"/>
  <c r="A5545" i="3"/>
  <c r="E5544" i="3"/>
  <c r="B5526" i="3"/>
  <c r="B5535" i="3" s="1"/>
  <c r="B5525" i="3"/>
  <c r="B5524" i="3"/>
  <c r="B5523" i="3"/>
  <c r="B5522" i="3"/>
  <c r="B5521" i="3"/>
  <c r="B5520" i="3"/>
  <c r="B5519" i="3"/>
  <c r="G5546" i="3" s="1"/>
  <c r="B5518" i="3"/>
  <c r="B5517" i="3"/>
  <c r="B5516" i="3"/>
  <c r="B5515" i="3"/>
  <c r="B5514" i="3"/>
  <c r="B5513" i="3"/>
  <c r="B5512" i="3"/>
  <c r="B5511" i="3"/>
  <c r="A5528" i="3" s="1"/>
  <c r="B5510" i="3"/>
  <c r="G5544" i="3" s="1"/>
  <c r="G5498" i="3"/>
  <c r="E5498" i="3"/>
  <c r="C5498" i="3"/>
  <c r="A5498" i="3"/>
  <c r="G5497" i="3"/>
  <c r="E5497" i="3"/>
  <c r="C5497" i="3"/>
  <c r="A5497" i="3"/>
  <c r="G5496" i="3"/>
  <c r="E5496" i="3"/>
  <c r="C5496" i="3"/>
  <c r="A5496" i="3"/>
  <c r="E5495" i="3"/>
  <c r="B5477" i="3"/>
  <c r="B5486" i="3" s="1"/>
  <c r="B5476" i="3"/>
  <c r="B5475" i="3"/>
  <c r="B5474" i="3"/>
  <c r="B5473" i="3"/>
  <c r="B5472" i="3"/>
  <c r="B5471" i="3"/>
  <c r="B5470" i="3"/>
  <c r="G5501" i="3" s="1"/>
  <c r="B5469" i="3"/>
  <c r="B5468" i="3"/>
  <c r="B5467" i="3"/>
  <c r="B5466" i="3"/>
  <c r="B5465" i="3"/>
  <c r="B5464" i="3"/>
  <c r="B5463" i="3"/>
  <c r="B5462" i="3"/>
  <c r="B5461" i="3"/>
  <c r="G5495" i="3" s="1"/>
  <c r="G5266" i="3"/>
  <c r="E5266" i="3"/>
  <c r="C5266" i="3"/>
  <c r="A5266" i="3"/>
  <c r="G5265" i="3"/>
  <c r="E5265" i="3"/>
  <c r="C5265" i="3"/>
  <c r="A5265" i="3"/>
  <c r="G5261" i="3"/>
  <c r="E5261" i="3"/>
  <c r="C5261" i="3"/>
  <c r="A5261" i="3"/>
  <c r="E5260" i="3"/>
  <c r="B5242" i="3"/>
  <c r="B5251" i="3" s="1"/>
  <c r="B5241" i="3"/>
  <c r="B5240" i="3"/>
  <c r="B5239" i="3"/>
  <c r="B5238" i="3"/>
  <c r="B5237" i="3"/>
  <c r="B5236" i="3"/>
  <c r="B5235" i="3"/>
  <c r="G5264" i="3" s="1"/>
  <c r="B5234" i="3"/>
  <c r="B5233" i="3"/>
  <c r="B5232" i="3"/>
  <c r="B5231" i="3"/>
  <c r="B5230" i="3"/>
  <c r="B5229" i="3"/>
  <c r="B5228" i="3"/>
  <c r="B5227" i="3"/>
  <c r="B5226" i="3"/>
  <c r="G5260" i="3" s="1"/>
  <c r="G5218" i="3"/>
  <c r="E5218" i="3"/>
  <c r="C5218" i="3"/>
  <c r="A5218" i="3"/>
  <c r="G5217" i="3"/>
  <c r="E5217" i="3"/>
  <c r="C5217" i="3"/>
  <c r="A5217" i="3"/>
  <c r="G5215" i="3"/>
  <c r="E5215" i="3"/>
  <c r="C5215" i="3"/>
  <c r="A5215" i="3"/>
  <c r="E5214" i="3"/>
  <c r="B5196" i="3"/>
  <c r="B5205" i="3" s="1"/>
  <c r="B5195" i="3"/>
  <c r="B5194" i="3"/>
  <c r="B5193" i="3"/>
  <c r="B5192" i="3"/>
  <c r="B5191" i="3"/>
  <c r="B5190" i="3"/>
  <c r="B5189" i="3"/>
  <c r="G5216" i="3" s="1"/>
  <c r="B5188" i="3"/>
  <c r="B5187" i="3"/>
  <c r="B5186" i="3"/>
  <c r="B5185" i="3"/>
  <c r="B5184" i="3"/>
  <c r="B5183" i="3"/>
  <c r="B5182" i="3"/>
  <c r="B5181" i="3"/>
  <c r="C5214" i="3" s="1"/>
  <c r="B5180" i="3"/>
  <c r="G5214" i="3" s="1"/>
  <c r="G5171" i="3"/>
  <c r="E5171" i="3"/>
  <c r="C5171" i="3"/>
  <c r="A5171" i="3"/>
  <c r="G5170" i="3"/>
  <c r="E5170" i="3"/>
  <c r="C5170" i="3"/>
  <c r="A5170" i="3"/>
  <c r="G5166" i="3"/>
  <c r="E5166" i="3"/>
  <c r="C5166" i="3"/>
  <c r="A5166" i="3"/>
  <c r="G5165" i="3"/>
  <c r="E5165" i="3"/>
  <c r="C5165" i="3"/>
  <c r="A5165" i="3"/>
  <c r="G5164" i="3"/>
  <c r="E5164" i="3"/>
  <c r="C5164" i="3"/>
  <c r="A5164" i="3"/>
  <c r="E5163" i="3"/>
  <c r="B5145" i="3"/>
  <c r="B5154" i="3" s="1"/>
  <c r="B5144" i="3"/>
  <c r="B5143" i="3"/>
  <c r="B5142" i="3"/>
  <c r="B5141" i="3"/>
  <c r="B5140" i="3"/>
  <c r="B5139" i="3"/>
  <c r="B5138" i="3"/>
  <c r="G5169" i="3" s="1"/>
  <c r="B5137" i="3"/>
  <c r="B5136" i="3"/>
  <c r="B5135" i="3"/>
  <c r="B5134" i="3"/>
  <c r="B5133" i="3"/>
  <c r="B5132" i="3"/>
  <c r="B5131" i="3"/>
  <c r="B5130" i="3"/>
  <c r="B5129" i="3"/>
  <c r="G5163" i="3" s="1"/>
  <c r="G4924" i="3"/>
  <c r="E4924" i="3"/>
  <c r="C4924" i="3"/>
  <c r="A4924" i="3"/>
  <c r="E4923" i="3"/>
  <c r="B4905" i="3"/>
  <c r="B4914" i="3" s="1"/>
  <c r="B4904" i="3"/>
  <c r="B4903" i="3"/>
  <c r="B4902" i="3"/>
  <c r="B4901" i="3"/>
  <c r="B4900" i="3"/>
  <c r="B4899" i="3"/>
  <c r="B4898" i="3"/>
  <c r="G4927" i="3" s="1"/>
  <c r="B4897" i="3"/>
  <c r="B4896" i="3"/>
  <c r="B4895" i="3"/>
  <c r="B4894" i="3"/>
  <c r="B4893" i="3"/>
  <c r="B4892" i="3"/>
  <c r="B4891" i="3"/>
  <c r="B4890" i="3"/>
  <c r="A4907" i="3" s="1"/>
  <c r="B4889" i="3"/>
  <c r="G4923" i="3" s="1"/>
  <c r="G4880" i="3"/>
  <c r="E4880" i="3"/>
  <c r="C4880" i="3"/>
  <c r="A4880" i="3"/>
  <c r="E4879" i="3"/>
  <c r="B4861" i="3"/>
  <c r="B4870" i="3" s="1"/>
  <c r="B4860" i="3"/>
  <c r="B4859" i="3"/>
  <c r="B4858" i="3"/>
  <c r="B4857" i="3"/>
  <c r="B4856" i="3"/>
  <c r="B4855" i="3"/>
  <c r="B4854" i="3"/>
  <c r="G4881" i="3" s="1"/>
  <c r="B4853" i="3"/>
  <c r="B4852" i="3"/>
  <c r="B4851" i="3"/>
  <c r="B4850" i="3"/>
  <c r="B4849" i="3"/>
  <c r="B4848" i="3"/>
  <c r="B4847" i="3"/>
  <c r="B4846" i="3"/>
  <c r="A4863" i="3" s="1"/>
  <c r="B4845" i="3"/>
  <c r="G4879" i="3" s="1"/>
  <c r="G4833" i="3"/>
  <c r="E4833" i="3"/>
  <c r="C4833" i="3"/>
  <c r="A4833" i="3"/>
  <c r="G4832" i="3"/>
  <c r="E4832" i="3"/>
  <c r="C4832" i="3"/>
  <c r="A4832" i="3"/>
  <c r="G4831" i="3"/>
  <c r="E4831" i="3"/>
  <c r="C4831" i="3"/>
  <c r="A4831" i="3"/>
  <c r="E4830" i="3"/>
  <c r="B4812" i="3"/>
  <c r="B4821" i="3" s="1"/>
  <c r="B4811" i="3"/>
  <c r="B4810" i="3"/>
  <c r="B4809" i="3"/>
  <c r="B4808" i="3"/>
  <c r="B4807" i="3"/>
  <c r="B4806" i="3"/>
  <c r="B4805" i="3"/>
  <c r="G4836" i="3" s="1"/>
  <c r="B4804" i="3"/>
  <c r="B4803" i="3"/>
  <c r="B4802" i="3"/>
  <c r="B4801" i="3"/>
  <c r="B4800" i="3"/>
  <c r="B4799" i="3"/>
  <c r="B4798" i="3"/>
  <c r="B4797" i="3"/>
  <c r="B4796" i="3"/>
  <c r="G4830" i="3" s="1"/>
  <c r="G4602" i="3"/>
  <c r="E4602" i="3"/>
  <c r="C4602" i="3"/>
  <c r="A4602" i="3"/>
  <c r="G4601" i="3"/>
  <c r="E4601" i="3"/>
  <c r="C4601" i="3"/>
  <c r="A4601" i="3"/>
  <c r="G4597" i="3"/>
  <c r="E4597" i="3"/>
  <c r="C4597" i="3"/>
  <c r="A4597" i="3"/>
  <c r="E4596" i="3"/>
  <c r="B4578" i="3"/>
  <c r="B4587" i="3" s="1"/>
  <c r="B4577" i="3"/>
  <c r="B4576" i="3"/>
  <c r="B4575" i="3"/>
  <c r="B4574" i="3"/>
  <c r="B4573" i="3"/>
  <c r="B4572" i="3"/>
  <c r="B4571" i="3"/>
  <c r="G4600" i="3" s="1"/>
  <c r="B4570" i="3"/>
  <c r="B4569" i="3"/>
  <c r="B4568" i="3"/>
  <c r="B4567" i="3"/>
  <c r="B4566" i="3"/>
  <c r="B4565" i="3"/>
  <c r="B4564" i="3"/>
  <c r="B4563" i="3"/>
  <c r="B4562" i="3"/>
  <c r="G4596" i="3" s="1"/>
  <c r="G4554" i="3"/>
  <c r="E4554" i="3"/>
  <c r="C4554" i="3"/>
  <c r="A4554" i="3"/>
  <c r="G4553" i="3"/>
  <c r="E4553" i="3"/>
  <c r="C4553" i="3"/>
  <c r="A4553" i="3"/>
  <c r="G4551" i="3"/>
  <c r="E4551" i="3"/>
  <c r="C4551" i="3"/>
  <c r="A4551" i="3"/>
  <c r="E4550" i="3"/>
  <c r="B4532" i="3"/>
  <c r="B4541" i="3" s="1"/>
  <c r="B4531" i="3"/>
  <c r="B4530" i="3"/>
  <c r="B4529" i="3"/>
  <c r="B4528" i="3"/>
  <c r="B4527" i="3"/>
  <c r="B4526" i="3"/>
  <c r="B4525" i="3"/>
  <c r="G4552" i="3" s="1"/>
  <c r="B4524" i="3"/>
  <c r="B4523" i="3"/>
  <c r="B4522" i="3"/>
  <c r="B4521" i="3"/>
  <c r="B4520" i="3"/>
  <c r="B4519" i="3"/>
  <c r="B4518" i="3"/>
  <c r="B4517" i="3"/>
  <c r="C4550" i="3" s="1"/>
  <c r="B4516" i="3"/>
  <c r="G4550" i="3" s="1"/>
  <c r="G4507" i="3"/>
  <c r="E4507" i="3"/>
  <c r="C4507" i="3"/>
  <c r="A4507" i="3"/>
  <c r="G4506" i="3"/>
  <c r="E4506" i="3"/>
  <c r="C4506" i="3"/>
  <c r="A4506" i="3"/>
  <c r="G4502" i="3"/>
  <c r="E4502" i="3"/>
  <c r="C4502" i="3"/>
  <c r="A4502" i="3"/>
  <c r="G4501" i="3"/>
  <c r="E4501" i="3"/>
  <c r="C4501" i="3"/>
  <c r="A4501" i="3"/>
  <c r="G4500" i="3"/>
  <c r="E4500" i="3"/>
  <c r="C4500" i="3"/>
  <c r="A4500" i="3"/>
  <c r="E4499" i="3"/>
  <c r="B4481" i="3"/>
  <c r="B4490" i="3" s="1"/>
  <c r="B4480" i="3"/>
  <c r="B4479" i="3"/>
  <c r="B4478" i="3"/>
  <c r="B4477" i="3"/>
  <c r="B4476" i="3"/>
  <c r="B4475" i="3"/>
  <c r="B4474" i="3"/>
  <c r="G4505" i="3" s="1"/>
  <c r="B4473" i="3"/>
  <c r="B4472" i="3"/>
  <c r="B4471" i="3"/>
  <c r="B4470" i="3"/>
  <c r="B4469" i="3"/>
  <c r="B4468" i="3"/>
  <c r="B4467" i="3"/>
  <c r="B4466" i="3"/>
  <c r="B4465" i="3"/>
  <c r="G4499" i="3" s="1"/>
  <c r="G4260" i="3"/>
  <c r="E4260" i="3"/>
  <c r="C4260" i="3"/>
  <c r="A4260" i="3"/>
  <c r="E4259" i="3"/>
  <c r="B4241" i="3"/>
  <c r="B4250" i="3" s="1"/>
  <c r="B4240" i="3"/>
  <c r="B4239" i="3"/>
  <c r="B4238" i="3"/>
  <c r="B4237" i="3"/>
  <c r="B4236" i="3"/>
  <c r="B4235" i="3"/>
  <c r="B4234" i="3"/>
  <c r="G4263" i="3" s="1"/>
  <c r="B4233" i="3"/>
  <c r="B4232" i="3"/>
  <c r="B4231" i="3"/>
  <c r="B4230" i="3"/>
  <c r="B4229" i="3"/>
  <c r="B4228" i="3"/>
  <c r="B4227" i="3"/>
  <c r="B4226" i="3"/>
  <c r="A4243" i="3" s="1"/>
  <c r="B4225" i="3"/>
  <c r="G4259" i="3" s="1"/>
  <c r="G4216" i="3"/>
  <c r="E4216" i="3"/>
  <c r="C4216" i="3"/>
  <c r="A4216" i="3"/>
  <c r="E4215" i="3"/>
  <c r="B4197" i="3"/>
  <c r="B4206" i="3" s="1"/>
  <c r="B4196" i="3"/>
  <c r="B4195" i="3"/>
  <c r="B4194" i="3"/>
  <c r="B4193" i="3"/>
  <c r="B4192" i="3"/>
  <c r="B4191" i="3"/>
  <c r="B4190" i="3"/>
  <c r="G4217" i="3" s="1"/>
  <c r="B4189" i="3"/>
  <c r="B4188" i="3"/>
  <c r="B4187" i="3"/>
  <c r="B4186" i="3"/>
  <c r="B4185" i="3"/>
  <c r="B4184" i="3"/>
  <c r="B4183" i="3"/>
  <c r="B4182" i="3"/>
  <c r="A4199" i="3" s="1"/>
  <c r="B4181" i="3"/>
  <c r="G4215" i="3" s="1"/>
  <c r="G4169" i="3"/>
  <c r="E4169" i="3"/>
  <c r="C4169" i="3"/>
  <c r="A4169" i="3"/>
  <c r="G4168" i="3"/>
  <c r="E4168" i="3"/>
  <c r="C4168" i="3"/>
  <c r="A4168" i="3"/>
  <c r="G4167" i="3"/>
  <c r="E4167" i="3"/>
  <c r="C4167" i="3"/>
  <c r="A4167" i="3"/>
  <c r="E4166" i="3"/>
  <c r="B4148" i="3"/>
  <c r="B4157" i="3" s="1"/>
  <c r="B4147" i="3"/>
  <c r="B4146" i="3"/>
  <c r="B4145" i="3"/>
  <c r="B4144" i="3"/>
  <c r="B4143" i="3"/>
  <c r="B4142" i="3"/>
  <c r="B4141" i="3"/>
  <c r="G4172" i="3" s="1"/>
  <c r="B4140" i="3"/>
  <c r="B4139" i="3"/>
  <c r="B4138" i="3"/>
  <c r="B4137" i="3"/>
  <c r="B4136" i="3"/>
  <c r="B4135" i="3"/>
  <c r="B4134" i="3"/>
  <c r="B4133" i="3"/>
  <c r="B4132" i="3"/>
  <c r="G4166" i="3" s="1"/>
  <c r="B3915" i="3"/>
  <c r="B3924" i="3" s="1"/>
  <c r="B3914" i="3"/>
  <c r="B3913" i="3"/>
  <c r="B3912" i="3"/>
  <c r="B3911" i="3"/>
  <c r="B3910" i="3"/>
  <c r="B3909" i="3"/>
  <c r="B3908" i="3"/>
  <c r="G3937" i="3" s="1"/>
  <c r="B3907" i="3"/>
  <c r="B3906" i="3"/>
  <c r="B3905" i="3"/>
  <c r="B3904" i="3"/>
  <c r="B3903" i="3"/>
  <c r="B3902" i="3"/>
  <c r="B3901" i="3"/>
  <c r="B3900" i="3"/>
  <c r="C3933" i="3" s="1"/>
  <c r="B3899" i="3"/>
  <c r="G3933" i="3" s="1"/>
  <c r="G3891" i="3"/>
  <c r="E3891" i="3"/>
  <c r="C3891" i="3"/>
  <c r="A3891" i="3"/>
  <c r="G3889" i="3"/>
  <c r="E3889" i="3"/>
  <c r="C3889" i="3"/>
  <c r="A3889" i="3"/>
  <c r="E3888" i="3"/>
  <c r="B3870" i="3"/>
  <c r="B3879" i="3" s="1"/>
  <c r="B3869" i="3"/>
  <c r="B3868" i="3"/>
  <c r="B3867" i="3"/>
  <c r="B3866" i="3"/>
  <c r="B3865" i="3"/>
  <c r="B3864" i="3"/>
  <c r="B3863" i="3"/>
  <c r="G3890" i="3" s="1"/>
  <c r="B3862" i="3"/>
  <c r="B3861" i="3"/>
  <c r="B3860" i="3"/>
  <c r="B3859" i="3"/>
  <c r="B3858" i="3"/>
  <c r="B3857" i="3"/>
  <c r="B3856" i="3"/>
  <c r="B3855" i="3"/>
  <c r="B3854" i="3"/>
  <c r="G3888" i="3" s="1"/>
  <c r="G3845" i="3"/>
  <c r="E3845" i="3"/>
  <c r="C3845" i="3"/>
  <c r="A3845" i="3"/>
  <c r="G3841" i="3"/>
  <c r="E3841" i="3"/>
  <c r="C3841" i="3"/>
  <c r="A3841" i="3"/>
  <c r="G3840" i="3"/>
  <c r="E3840" i="3"/>
  <c r="C3840" i="3"/>
  <c r="A3840" i="3"/>
  <c r="G3839" i="3"/>
  <c r="E3839" i="3"/>
  <c r="C3839" i="3"/>
  <c r="A3839" i="3"/>
  <c r="E3838" i="3"/>
  <c r="B3820" i="3"/>
  <c r="B3829" i="3" s="1"/>
  <c r="B3819" i="3"/>
  <c r="B3818" i="3"/>
  <c r="B3817" i="3"/>
  <c r="B3816" i="3"/>
  <c r="B3815" i="3"/>
  <c r="B3814" i="3"/>
  <c r="B3813" i="3"/>
  <c r="G3844" i="3" s="1"/>
  <c r="B3812" i="3"/>
  <c r="B3811" i="3"/>
  <c r="B3810" i="3"/>
  <c r="B3809" i="3"/>
  <c r="B3808" i="3"/>
  <c r="B3807" i="3"/>
  <c r="B3806" i="3"/>
  <c r="B3805" i="3"/>
  <c r="B3804" i="3"/>
  <c r="G3838" i="3" s="1"/>
  <c r="G3604" i="3"/>
  <c r="E3604" i="3"/>
  <c r="C3604" i="3"/>
  <c r="A3604" i="3"/>
  <c r="E3603" i="3"/>
  <c r="B3585" i="3"/>
  <c r="B3594" i="3" s="1"/>
  <c r="B3584" i="3"/>
  <c r="B3583" i="3"/>
  <c r="B3582" i="3"/>
  <c r="B3581" i="3"/>
  <c r="B3580" i="3"/>
  <c r="B3579" i="3"/>
  <c r="B3578" i="3"/>
  <c r="G3607" i="3" s="1"/>
  <c r="B3577" i="3"/>
  <c r="B3576" i="3"/>
  <c r="B3575" i="3"/>
  <c r="B3574" i="3"/>
  <c r="B3573" i="3"/>
  <c r="B3572" i="3"/>
  <c r="B3571" i="3"/>
  <c r="B3570" i="3"/>
  <c r="B3569" i="3"/>
  <c r="G3603" i="3" s="1"/>
  <c r="G3560" i="3"/>
  <c r="E3560" i="3"/>
  <c r="C3560" i="3"/>
  <c r="A3560" i="3"/>
  <c r="E3559" i="3"/>
  <c r="B3541" i="3"/>
  <c r="B3550" i="3" s="1"/>
  <c r="B3540" i="3"/>
  <c r="B3539" i="3"/>
  <c r="B3538" i="3"/>
  <c r="B3537" i="3"/>
  <c r="B3536" i="3"/>
  <c r="B3535" i="3"/>
  <c r="B3534" i="3"/>
  <c r="G3561" i="3" s="1"/>
  <c r="B3533" i="3"/>
  <c r="B3532" i="3"/>
  <c r="B3531" i="3"/>
  <c r="B3530" i="3"/>
  <c r="B3529" i="3"/>
  <c r="B3528" i="3"/>
  <c r="B3527" i="3"/>
  <c r="B3526" i="3"/>
  <c r="A3543" i="3" s="1"/>
  <c r="B3525" i="3"/>
  <c r="G3559" i="3" s="1"/>
  <c r="G3513" i="3"/>
  <c r="E3513" i="3"/>
  <c r="C3513" i="3"/>
  <c r="A3513" i="3"/>
  <c r="G3512" i="3"/>
  <c r="E3512" i="3"/>
  <c r="C3512" i="3"/>
  <c r="A3512" i="3"/>
  <c r="G3511" i="3"/>
  <c r="E3511" i="3"/>
  <c r="C3511" i="3"/>
  <c r="A3511" i="3"/>
  <c r="E3510" i="3"/>
  <c r="B3492" i="3"/>
  <c r="B3501" i="3" s="1"/>
  <c r="B3491" i="3"/>
  <c r="B3490" i="3"/>
  <c r="B3489" i="3"/>
  <c r="B3488" i="3"/>
  <c r="B3487" i="3"/>
  <c r="B3486" i="3"/>
  <c r="B3485" i="3"/>
  <c r="G3516" i="3" s="1"/>
  <c r="B3484" i="3"/>
  <c r="B3483" i="3"/>
  <c r="B3482" i="3"/>
  <c r="B3481" i="3"/>
  <c r="B3480" i="3"/>
  <c r="B3479" i="3"/>
  <c r="B3478" i="3"/>
  <c r="B3477" i="3"/>
  <c r="B3476" i="3"/>
  <c r="G3510" i="3" s="1"/>
  <c r="G3281" i="3"/>
  <c r="E3281" i="3"/>
  <c r="C3281" i="3"/>
  <c r="A3281" i="3"/>
  <c r="E3280" i="3"/>
  <c r="C3280" i="3"/>
  <c r="G3277" i="3"/>
  <c r="E3277" i="3"/>
  <c r="C3277" i="3"/>
  <c r="A3277" i="3"/>
  <c r="E3276" i="3"/>
  <c r="B3258" i="3"/>
  <c r="B3267" i="3" s="1"/>
  <c r="B3257" i="3"/>
  <c r="B3256" i="3"/>
  <c r="B3255" i="3"/>
  <c r="B3254" i="3"/>
  <c r="B3253" i="3"/>
  <c r="B3252" i="3"/>
  <c r="B3251" i="3"/>
  <c r="G3280" i="3" s="1"/>
  <c r="B3250" i="3"/>
  <c r="B3249" i="3"/>
  <c r="B3248" i="3"/>
  <c r="B3247" i="3"/>
  <c r="B3246" i="3"/>
  <c r="B3245" i="3"/>
  <c r="B3244" i="3"/>
  <c r="B3243" i="3"/>
  <c r="B3242" i="3"/>
  <c r="G3276" i="3" s="1"/>
  <c r="G3234" i="3"/>
  <c r="E3234" i="3"/>
  <c r="C3234" i="3"/>
  <c r="A3234" i="3"/>
  <c r="E3233" i="3"/>
  <c r="C3233" i="3"/>
  <c r="G3232" i="3"/>
  <c r="E3232" i="3"/>
  <c r="C3232" i="3"/>
  <c r="A3232" i="3"/>
  <c r="E3231" i="3"/>
  <c r="B3213" i="3"/>
  <c r="B3222" i="3" s="1"/>
  <c r="B3212" i="3"/>
  <c r="B3211" i="3"/>
  <c r="B3210" i="3"/>
  <c r="B3209" i="3"/>
  <c r="B3208" i="3"/>
  <c r="B3207" i="3"/>
  <c r="B3206" i="3"/>
  <c r="B3205" i="3"/>
  <c r="B3204" i="3"/>
  <c r="B3203" i="3"/>
  <c r="B3202" i="3"/>
  <c r="B3201" i="3"/>
  <c r="B3200" i="3"/>
  <c r="B3199" i="3"/>
  <c r="B3198" i="3"/>
  <c r="C3231" i="3" s="1"/>
  <c r="B3197" i="3"/>
  <c r="G3231" i="3" s="1"/>
  <c r="G3188" i="3"/>
  <c r="E3188" i="3"/>
  <c r="C3188" i="3"/>
  <c r="A3188" i="3"/>
  <c r="E3187" i="3"/>
  <c r="C3187" i="3"/>
  <c r="G3184" i="3"/>
  <c r="E3184" i="3"/>
  <c r="C3184" i="3"/>
  <c r="A3184" i="3"/>
  <c r="G3183" i="3"/>
  <c r="E3183" i="3"/>
  <c r="C3183" i="3"/>
  <c r="A3183" i="3"/>
  <c r="G3182" i="3"/>
  <c r="E3182" i="3"/>
  <c r="C3182" i="3"/>
  <c r="A3182" i="3"/>
  <c r="E3181" i="3"/>
  <c r="B3163" i="3"/>
  <c r="B3172" i="3" s="1"/>
  <c r="B3162" i="3"/>
  <c r="B3161" i="3"/>
  <c r="B3160" i="3"/>
  <c r="B3159" i="3"/>
  <c r="B3158" i="3"/>
  <c r="B3157" i="3"/>
  <c r="B3156" i="3"/>
  <c r="B3155" i="3"/>
  <c r="B3154" i="3"/>
  <c r="B3153" i="3"/>
  <c r="B3152" i="3"/>
  <c r="B3151" i="3"/>
  <c r="B3150" i="3"/>
  <c r="B3149" i="3"/>
  <c r="B3148" i="3"/>
  <c r="B3147" i="3"/>
  <c r="G3181" i="3" s="1"/>
  <c r="E2950" i="3"/>
  <c r="C2950" i="3"/>
  <c r="G2947" i="3"/>
  <c r="E2947" i="3"/>
  <c r="C2947" i="3"/>
  <c r="A2947" i="3"/>
  <c r="E2946" i="3"/>
  <c r="B2928" i="3"/>
  <c r="B2937" i="3" s="1"/>
  <c r="B2927" i="3"/>
  <c r="B2926" i="3"/>
  <c r="B2925" i="3"/>
  <c r="B2924" i="3"/>
  <c r="B2923" i="3"/>
  <c r="B2922" i="3"/>
  <c r="B2921" i="3"/>
  <c r="G2950" i="3" s="1"/>
  <c r="B2920" i="3"/>
  <c r="B2919" i="3"/>
  <c r="B2918" i="3"/>
  <c r="B2917" i="3"/>
  <c r="B2916" i="3"/>
  <c r="B2915" i="3"/>
  <c r="B2914" i="3"/>
  <c r="B2913" i="3"/>
  <c r="A2930" i="3" s="1"/>
  <c r="B2912" i="3"/>
  <c r="G2946" i="3" s="1"/>
  <c r="E2904" i="3"/>
  <c r="C2904" i="3"/>
  <c r="G2903" i="3"/>
  <c r="E2903" i="3"/>
  <c r="C2903" i="3"/>
  <c r="A2903" i="3"/>
  <c r="E2902" i="3"/>
  <c r="B2884" i="3"/>
  <c r="B2893" i="3" s="1"/>
  <c r="B2883" i="3"/>
  <c r="B2882" i="3"/>
  <c r="B2881" i="3"/>
  <c r="B2880" i="3"/>
  <c r="B2879" i="3"/>
  <c r="B2878" i="3"/>
  <c r="B2877" i="3"/>
  <c r="B2876" i="3"/>
  <c r="B2875" i="3"/>
  <c r="B2874" i="3"/>
  <c r="B2873" i="3"/>
  <c r="B2872" i="3"/>
  <c r="B2871" i="3"/>
  <c r="B2870" i="3"/>
  <c r="B2869" i="3"/>
  <c r="A2886" i="3" s="1"/>
  <c r="B2868" i="3"/>
  <c r="G2902" i="3" s="1"/>
  <c r="E2859" i="3"/>
  <c r="C2859" i="3"/>
  <c r="G2856" i="3"/>
  <c r="E2856" i="3"/>
  <c r="C2856" i="3"/>
  <c r="A2856" i="3"/>
  <c r="G2855" i="3"/>
  <c r="E2855" i="3"/>
  <c r="C2855" i="3"/>
  <c r="A2855" i="3"/>
  <c r="G2854" i="3"/>
  <c r="E2854" i="3"/>
  <c r="C2854" i="3"/>
  <c r="A2854" i="3"/>
  <c r="E2853" i="3"/>
  <c r="B2835" i="3"/>
  <c r="B2844" i="3" s="1"/>
  <c r="B2834" i="3"/>
  <c r="B2833" i="3"/>
  <c r="B2832" i="3"/>
  <c r="B2831" i="3"/>
  <c r="B2830" i="3"/>
  <c r="B2829" i="3"/>
  <c r="B2828" i="3"/>
  <c r="B2827" i="3"/>
  <c r="B2826" i="3"/>
  <c r="B2825" i="3"/>
  <c r="B2824" i="3"/>
  <c r="B2823" i="3"/>
  <c r="B2822" i="3"/>
  <c r="B2821" i="3"/>
  <c r="B2820" i="3"/>
  <c r="B2819" i="3"/>
  <c r="G2853" i="3" s="1"/>
  <c r="G2625" i="3"/>
  <c r="E2625" i="3"/>
  <c r="C2625" i="3"/>
  <c r="A2625" i="3"/>
  <c r="E2624" i="3"/>
  <c r="C2624" i="3"/>
  <c r="G2621" i="3"/>
  <c r="E2621" i="3"/>
  <c r="C2621" i="3"/>
  <c r="A2621" i="3"/>
  <c r="E2620" i="3"/>
  <c r="B2602" i="3"/>
  <c r="B2611" i="3" s="1"/>
  <c r="B2601" i="3"/>
  <c r="B2600" i="3"/>
  <c r="B2599" i="3"/>
  <c r="B2598" i="3"/>
  <c r="B2597" i="3"/>
  <c r="B2596" i="3"/>
  <c r="B2595" i="3"/>
  <c r="G2624" i="3" s="1"/>
  <c r="B2594" i="3"/>
  <c r="B2593" i="3"/>
  <c r="B2592" i="3"/>
  <c r="B2591" i="3"/>
  <c r="B2590" i="3"/>
  <c r="B2589" i="3"/>
  <c r="B2588" i="3"/>
  <c r="B2587" i="3"/>
  <c r="B2586" i="3"/>
  <c r="G2620" i="3" s="1"/>
  <c r="G2578" i="3"/>
  <c r="E2578" i="3"/>
  <c r="C2578" i="3"/>
  <c r="A2578" i="3"/>
  <c r="E2577" i="3"/>
  <c r="C2577" i="3"/>
  <c r="G2576" i="3"/>
  <c r="E2576" i="3"/>
  <c r="C2576" i="3"/>
  <c r="A2576" i="3"/>
  <c r="E2575" i="3"/>
  <c r="B2557" i="3"/>
  <c r="B2566" i="3" s="1"/>
  <c r="B2556" i="3"/>
  <c r="B2555" i="3"/>
  <c r="B2554" i="3"/>
  <c r="B2553" i="3"/>
  <c r="B2552" i="3"/>
  <c r="B2551" i="3"/>
  <c r="B2550" i="3"/>
  <c r="B2549" i="3"/>
  <c r="B2548" i="3"/>
  <c r="B2547" i="3"/>
  <c r="B2546" i="3"/>
  <c r="B2545" i="3"/>
  <c r="B2544" i="3"/>
  <c r="B2543" i="3"/>
  <c r="B2542" i="3"/>
  <c r="C2575" i="3" s="1"/>
  <c r="B2541" i="3"/>
  <c r="G2575" i="3" s="1"/>
  <c r="G2532" i="3"/>
  <c r="E2532" i="3"/>
  <c r="C2532" i="3"/>
  <c r="A2532" i="3"/>
  <c r="E2531" i="3"/>
  <c r="C2531" i="3"/>
  <c r="G2528" i="3"/>
  <c r="E2528" i="3"/>
  <c r="C2528" i="3"/>
  <c r="A2528" i="3"/>
  <c r="G2527" i="3"/>
  <c r="E2527" i="3"/>
  <c r="C2527" i="3"/>
  <c r="A2527" i="3"/>
  <c r="G2526" i="3"/>
  <c r="E2526" i="3"/>
  <c r="C2526" i="3"/>
  <c r="A2526" i="3"/>
  <c r="E2525" i="3"/>
  <c r="B2507" i="3"/>
  <c r="B2516" i="3" s="1"/>
  <c r="B2506" i="3"/>
  <c r="B2505" i="3"/>
  <c r="B2504" i="3"/>
  <c r="B2503" i="3"/>
  <c r="B2502" i="3"/>
  <c r="B2501" i="3"/>
  <c r="B2500" i="3"/>
  <c r="B2499" i="3"/>
  <c r="B2498" i="3"/>
  <c r="B2497" i="3"/>
  <c r="B2496" i="3"/>
  <c r="B2495" i="3"/>
  <c r="B2494" i="3"/>
  <c r="B2493" i="3"/>
  <c r="B2492" i="3"/>
  <c r="B2491" i="3"/>
  <c r="G2525" i="3" s="1"/>
  <c r="E2294" i="3"/>
  <c r="C2294" i="3"/>
  <c r="G2291" i="3"/>
  <c r="E2291" i="3"/>
  <c r="C2291" i="3"/>
  <c r="A2291" i="3"/>
  <c r="E2290" i="3"/>
  <c r="B2272" i="3"/>
  <c r="B2281" i="3" s="1"/>
  <c r="B2271" i="3"/>
  <c r="B2270" i="3"/>
  <c r="B2269" i="3"/>
  <c r="B2268" i="3"/>
  <c r="B2267" i="3"/>
  <c r="B2266" i="3"/>
  <c r="B2265" i="3"/>
  <c r="G2294" i="3" s="1"/>
  <c r="B2264" i="3"/>
  <c r="B2263" i="3"/>
  <c r="B2262" i="3"/>
  <c r="B2261" i="3"/>
  <c r="B2260" i="3"/>
  <c r="B2259" i="3"/>
  <c r="B2258" i="3"/>
  <c r="B2257" i="3"/>
  <c r="A2274" i="3" s="1"/>
  <c r="B2256" i="3"/>
  <c r="G2290" i="3" s="1"/>
  <c r="E2248" i="3"/>
  <c r="C2248" i="3"/>
  <c r="G2247" i="3"/>
  <c r="E2247" i="3"/>
  <c r="C2247" i="3"/>
  <c r="A2247" i="3"/>
  <c r="E2246" i="3"/>
  <c r="B2228" i="3"/>
  <c r="B2237" i="3" s="1"/>
  <c r="B2227" i="3"/>
  <c r="B2226" i="3"/>
  <c r="B2225" i="3"/>
  <c r="B2224" i="3"/>
  <c r="B2223" i="3"/>
  <c r="B2222" i="3"/>
  <c r="B2221" i="3"/>
  <c r="B2220" i="3"/>
  <c r="B2219" i="3"/>
  <c r="B2218" i="3"/>
  <c r="B2217" i="3"/>
  <c r="B2216" i="3"/>
  <c r="B2215" i="3"/>
  <c r="B2214" i="3"/>
  <c r="B2213" i="3"/>
  <c r="A2230" i="3" s="1"/>
  <c r="B2212" i="3"/>
  <c r="G2246" i="3" s="1"/>
  <c r="E2203" i="3"/>
  <c r="C2203" i="3"/>
  <c r="G2200" i="3"/>
  <c r="E2200" i="3"/>
  <c r="C2200" i="3"/>
  <c r="A2200" i="3"/>
  <c r="G2199" i="3"/>
  <c r="E2199" i="3"/>
  <c r="C2199" i="3"/>
  <c r="A2199" i="3"/>
  <c r="G2198" i="3"/>
  <c r="E2198" i="3"/>
  <c r="C2198" i="3"/>
  <c r="A2198" i="3"/>
  <c r="E2197" i="3"/>
  <c r="B2179" i="3"/>
  <c r="B2188" i="3" s="1"/>
  <c r="B2178" i="3"/>
  <c r="B2177" i="3"/>
  <c r="B2176" i="3"/>
  <c r="B2175" i="3"/>
  <c r="B2174" i="3"/>
  <c r="B2173" i="3"/>
  <c r="B2172" i="3"/>
  <c r="B2171" i="3"/>
  <c r="B2170" i="3"/>
  <c r="B2169" i="3"/>
  <c r="B2168" i="3"/>
  <c r="B2167" i="3"/>
  <c r="B2166" i="3"/>
  <c r="B2165" i="3"/>
  <c r="B2164" i="3"/>
  <c r="B2163" i="3"/>
  <c r="G2197" i="3" s="1"/>
  <c r="G1968" i="3"/>
  <c r="E1968" i="3"/>
  <c r="C1968" i="3"/>
  <c r="A1968" i="3"/>
  <c r="E1967" i="3"/>
  <c r="C1967" i="3"/>
  <c r="G1964" i="3"/>
  <c r="E1964" i="3"/>
  <c r="C1964" i="3"/>
  <c r="A1964" i="3"/>
  <c r="E1963" i="3"/>
  <c r="B1945" i="3"/>
  <c r="B1954" i="3" s="1"/>
  <c r="B1944" i="3"/>
  <c r="B1943" i="3"/>
  <c r="B1942" i="3"/>
  <c r="B1941" i="3"/>
  <c r="B1940" i="3"/>
  <c r="B1939" i="3"/>
  <c r="B1938" i="3"/>
  <c r="G1967" i="3" s="1"/>
  <c r="B1937" i="3"/>
  <c r="B1936" i="3"/>
  <c r="B1935" i="3"/>
  <c r="B1934" i="3"/>
  <c r="B1933" i="3"/>
  <c r="B1932" i="3"/>
  <c r="B1931" i="3"/>
  <c r="B1930" i="3"/>
  <c r="B1929" i="3"/>
  <c r="G1963" i="3" s="1"/>
  <c r="G1921" i="3"/>
  <c r="E1921" i="3"/>
  <c r="C1921" i="3"/>
  <c r="A1921" i="3"/>
  <c r="E1920" i="3"/>
  <c r="C1920" i="3"/>
  <c r="G1919" i="3"/>
  <c r="E1919" i="3"/>
  <c r="C1919" i="3"/>
  <c r="A1919" i="3"/>
  <c r="E1918" i="3"/>
  <c r="B1900" i="3"/>
  <c r="B1909" i="3" s="1"/>
  <c r="B1899" i="3"/>
  <c r="B1898" i="3"/>
  <c r="B1897" i="3"/>
  <c r="B1896" i="3"/>
  <c r="B1895" i="3"/>
  <c r="B1894" i="3"/>
  <c r="B1893" i="3"/>
  <c r="B1892" i="3"/>
  <c r="B1891" i="3"/>
  <c r="B1890" i="3"/>
  <c r="B1889" i="3"/>
  <c r="B1888" i="3"/>
  <c r="B1887" i="3"/>
  <c r="B1886" i="3"/>
  <c r="B1885" i="3"/>
  <c r="C1918" i="3" s="1"/>
  <c r="B1884" i="3"/>
  <c r="G1918" i="3" s="1"/>
  <c r="G1875" i="3"/>
  <c r="E1875" i="3"/>
  <c r="C1875" i="3"/>
  <c r="A1875" i="3"/>
  <c r="E1874" i="3"/>
  <c r="C1874" i="3"/>
  <c r="G1871" i="3"/>
  <c r="E1871" i="3"/>
  <c r="C1871" i="3"/>
  <c r="A1871" i="3"/>
  <c r="G1870" i="3"/>
  <c r="E1870" i="3"/>
  <c r="C1870" i="3"/>
  <c r="A1870" i="3"/>
  <c r="G1869" i="3"/>
  <c r="E1869" i="3"/>
  <c r="C1869" i="3"/>
  <c r="A1869" i="3"/>
  <c r="E1868" i="3"/>
  <c r="B1850" i="3"/>
  <c r="B1859" i="3" s="1"/>
  <c r="B1849" i="3"/>
  <c r="B1848" i="3"/>
  <c r="B1847" i="3"/>
  <c r="B1846" i="3"/>
  <c r="B1845" i="3"/>
  <c r="B1844" i="3"/>
  <c r="B1843" i="3"/>
  <c r="B1842" i="3"/>
  <c r="B1841" i="3"/>
  <c r="B1840" i="3"/>
  <c r="B1839" i="3"/>
  <c r="B1838" i="3"/>
  <c r="B1837" i="3"/>
  <c r="B1836" i="3"/>
  <c r="B1835" i="3"/>
  <c r="B1834" i="3"/>
  <c r="G1868" i="3" s="1"/>
  <c r="E1637" i="3"/>
  <c r="C1637" i="3"/>
  <c r="G1634" i="3"/>
  <c r="E1634" i="3"/>
  <c r="C1634" i="3"/>
  <c r="A1634" i="3"/>
  <c r="E1633" i="3"/>
  <c r="B1615" i="3"/>
  <c r="B1624" i="3" s="1"/>
  <c r="B1614" i="3"/>
  <c r="B1613" i="3"/>
  <c r="B1612" i="3"/>
  <c r="B1611" i="3"/>
  <c r="B1610" i="3"/>
  <c r="B1609" i="3"/>
  <c r="B1608" i="3"/>
  <c r="G1637" i="3" s="1"/>
  <c r="B1607" i="3"/>
  <c r="B1606" i="3"/>
  <c r="B1605" i="3"/>
  <c r="B1604" i="3"/>
  <c r="B1603" i="3"/>
  <c r="B1602" i="3"/>
  <c r="B1601" i="3"/>
  <c r="B1600" i="3"/>
  <c r="A1617" i="3" s="1"/>
  <c r="B1599" i="3"/>
  <c r="G1633" i="3" s="1"/>
  <c r="E1591" i="3"/>
  <c r="C1591" i="3"/>
  <c r="G1590" i="3"/>
  <c r="E1590" i="3"/>
  <c r="C1590" i="3"/>
  <c r="A1590" i="3"/>
  <c r="E1589" i="3"/>
  <c r="B1571" i="3"/>
  <c r="B1580" i="3" s="1"/>
  <c r="B1570" i="3"/>
  <c r="B1569" i="3"/>
  <c r="B1568" i="3"/>
  <c r="B1567" i="3"/>
  <c r="B1566" i="3"/>
  <c r="B1565" i="3"/>
  <c r="B1564" i="3"/>
  <c r="B1563" i="3"/>
  <c r="B1562" i="3"/>
  <c r="B1561" i="3"/>
  <c r="B1560" i="3"/>
  <c r="B1559" i="3"/>
  <c r="B1558" i="3"/>
  <c r="B1557" i="3"/>
  <c r="B1556" i="3"/>
  <c r="A1573" i="3" s="1"/>
  <c r="B1555" i="3"/>
  <c r="G1589" i="3" s="1"/>
  <c r="E1546" i="3"/>
  <c r="C1546" i="3"/>
  <c r="G1543" i="3"/>
  <c r="E1543" i="3"/>
  <c r="C1543" i="3"/>
  <c r="A1543" i="3"/>
  <c r="G1542" i="3"/>
  <c r="E1542" i="3"/>
  <c r="C1542" i="3"/>
  <c r="A1542" i="3"/>
  <c r="G1541" i="3"/>
  <c r="E1541" i="3"/>
  <c r="C1541" i="3"/>
  <c r="A1541" i="3"/>
  <c r="E1540" i="3"/>
  <c r="B1522" i="3"/>
  <c r="B1531" i="3" s="1"/>
  <c r="B1521" i="3"/>
  <c r="B1520" i="3"/>
  <c r="B1519" i="3"/>
  <c r="B1518" i="3"/>
  <c r="B1517" i="3"/>
  <c r="B1516" i="3"/>
  <c r="B1515" i="3"/>
  <c r="B1514" i="3"/>
  <c r="B1513" i="3"/>
  <c r="B1512" i="3"/>
  <c r="B1511" i="3"/>
  <c r="B1510" i="3"/>
  <c r="B1509" i="3"/>
  <c r="B1508" i="3"/>
  <c r="B1507" i="3"/>
  <c r="B1506" i="3"/>
  <c r="G1540" i="3" s="1"/>
  <c r="G1311" i="3"/>
  <c r="E1311" i="3"/>
  <c r="C1311" i="3"/>
  <c r="A1311" i="3"/>
  <c r="E1310" i="3"/>
  <c r="C1310" i="3"/>
  <c r="G1307" i="3"/>
  <c r="E1307" i="3"/>
  <c r="C1307" i="3"/>
  <c r="A1307" i="3"/>
  <c r="E1306" i="3"/>
  <c r="B1288" i="3"/>
  <c r="B1297" i="3" s="1"/>
  <c r="B1287" i="3"/>
  <c r="B1286" i="3"/>
  <c r="B1285" i="3"/>
  <c r="B1284" i="3"/>
  <c r="B1283" i="3"/>
  <c r="B1282" i="3"/>
  <c r="B1281" i="3"/>
  <c r="B1280" i="3"/>
  <c r="B1279" i="3"/>
  <c r="B1278" i="3"/>
  <c r="B1277" i="3"/>
  <c r="B1276" i="3"/>
  <c r="B1275" i="3"/>
  <c r="B1274" i="3"/>
  <c r="B1273" i="3"/>
  <c r="B1272" i="3"/>
  <c r="G1306" i="3" s="1"/>
  <c r="G1264" i="3"/>
  <c r="E1264" i="3"/>
  <c r="C1264" i="3"/>
  <c r="A1264" i="3"/>
  <c r="E1263" i="3"/>
  <c r="C1263" i="3"/>
  <c r="G1262" i="3"/>
  <c r="E1262" i="3"/>
  <c r="C1262" i="3"/>
  <c r="A1262" i="3"/>
  <c r="E1261" i="3"/>
  <c r="B1243" i="3"/>
  <c r="B1252" i="3" s="1"/>
  <c r="B1242" i="3"/>
  <c r="B1241" i="3"/>
  <c r="B1240" i="3"/>
  <c r="B1239" i="3"/>
  <c r="B1238" i="3"/>
  <c r="B1237" i="3"/>
  <c r="B1236" i="3"/>
  <c r="B1235" i="3"/>
  <c r="B1234" i="3"/>
  <c r="B1233" i="3"/>
  <c r="B1232" i="3"/>
  <c r="B1231" i="3"/>
  <c r="B1230" i="3"/>
  <c r="B1229" i="3"/>
  <c r="B1228" i="3"/>
  <c r="C1261" i="3" s="1"/>
  <c r="B1227" i="3"/>
  <c r="G1261" i="3" s="1"/>
  <c r="G1218" i="3"/>
  <c r="E1218" i="3"/>
  <c r="C1218" i="3"/>
  <c r="A1218" i="3"/>
  <c r="E1217" i="3"/>
  <c r="C1217" i="3"/>
  <c r="G1214" i="3"/>
  <c r="E1214" i="3"/>
  <c r="C1214" i="3"/>
  <c r="A1214" i="3"/>
  <c r="G1213" i="3"/>
  <c r="E1213" i="3"/>
  <c r="C1213" i="3"/>
  <c r="A1213" i="3"/>
  <c r="G1212" i="3"/>
  <c r="E1212" i="3"/>
  <c r="C1212" i="3"/>
  <c r="A1212" i="3"/>
  <c r="E1211" i="3"/>
  <c r="B1193" i="3"/>
  <c r="B1202" i="3" s="1"/>
  <c r="B1192" i="3"/>
  <c r="B1191" i="3"/>
  <c r="B1190" i="3"/>
  <c r="B1189" i="3"/>
  <c r="B1188" i="3"/>
  <c r="B1187" i="3"/>
  <c r="B1186" i="3"/>
  <c r="B1185" i="3"/>
  <c r="B1184" i="3"/>
  <c r="B1183" i="3"/>
  <c r="B1182" i="3"/>
  <c r="B1181" i="3"/>
  <c r="B1180" i="3"/>
  <c r="B1179" i="3"/>
  <c r="B1178" i="3"/>
  <c r="B1177" i="3"/>
  <c r="G1211" i="3" s="1"/>
  <c r="E980" i="3"/>
  <c r="C980" i="3"/>
  <c r="G977" i="3"/>
  <c r="E977" i="3"/>
  <c r="C977" i="3"/>
  <c r="A977" i="3"/>
  <c r="E976" i="3"/>
  <c r="B958" i="3"/>
  <c r="B967" i="3" s="1"/>
  <c r="B957" i="3"/>
  <c r="B956" i="3"/>
  <c r="B955" i="3"/>
  <c r="B954" i="3"/>
  <c r="B953" i="3"/>
  <c r="B952" i="3"/>
  <c r="B951" i="3"/>
  <c r="B950" i="3"/>
  <c r="B949" i="3"/>
  <c r="B948" i="3"/>
  <c r="B947" i="3"/>
  <c r="B946" i="3"/>
  <c r="B945" i="3"/>
  <c r="B944" i="3"/>
  <c r="B943" i="3"/>
  <c r="A960" i="3" s="1"/>
  <c r="B942" i="3"/>
  <c r="G976" i="3" s="1"/>
  <c r="E934" i="3"/>
  <c r="C934" i="3"/>
  <c r="G933" i="3"/>
  <c r="E933" i="3"/>
  <c r="C933" i="3"/>
  <c r="A933" i="3"/>
  <c r="E932" i="3"/>
  <c r="B914" i="3"/>
  <c r="B923" i="3" s="1"/>
  <c r="B913" i="3"/>
  <c r="B912" i="3"/>
  <c r="B911" i="3"/>
  <c r="B910" i="3"/>
  <c r="B909" i="3"/>
  <c r="B908" i="3"/>
  <c r="B907" i="3"/>
  <c r="B906" i="3"/>
  <c r="B905" i="3"/>
  <c r="B904" i="3"/>
  <c r="B903" i="3"/>
  <c r="B902" i="3"/>
  <c r="B901" i="3"/>
  <c r="B900" i="3"/>
  <c r="B899" i="3"/>
  <c r="A916" i="3" s="1"/>
  <c r="B898" i="3"/>
  <c r="G932" i="3" s="1"/>
  <c r="E889" i="3"/>
  <c r="C889" i="3"/>
  <c r="G886" i="3"/>
  <c r="E886" i="3"/>
  <c r="C886" i="3"/>
  <c r="A886" i="3"/>
  <c r="G885" i="3"/>
  <c r="E885" i="3"/>
  <c r="C885" i="3"/>
  <c r="A885" i="3"/>
  <c r="G884" i="3"/>
  <c r="E884" i="3"/>
  <c r="C884" i="3"/>
  <c r="A884" i="3"/>
  <c r="E883" i="3"/>
  <c r="B865" i="3"/>
  <c r="B874" i="3" s="1"/>
  <c r="B864" i="3"/>
  <c r="B863" i="3"/>
  <c r="B862" i="3"/>
  <c r="B861" i="3"/>
  <c r="B860" i="3"/>
  <c r="B859" i="3"/>
  <c r="B858" i="3"/>
  <c r="B857" i="3"/>
  <c r="B856" i="3"/>
  <c r="B855" i="3"/>
  <c r="B854" i="3"/>
  <c r="B853" i="3"/>
  <c r="B852" i="3"/>
  <c r="B851" i="3"/>
  <c r="B850" i="3"/>
  <c r="B849" i="3"/>
  <c r="G883" i="3" s="1"/>
  <c r="G655" i="3"/>
  <c r="E655" i="3"/>
  <c r="C655" i="3"/>
  <c r="A655" i="3"/>
  <c r="E654" i="3"/>
  <c r="C654" i="3"/>
  <c r="G651" i="3"/>
  <c r="E651" i="3"/>
  <c r="C651" i="3"/>
  <c r="A651" i="3"/>
  <c r="E650" i="3"/>
  <c r="B632" i="3"/>
  <c r="B641" i="3" s="1"/>
  <c r="B631" i="3"/>
  <c r="B630" i="3"/>
  <c r="B629" i="3"/>
  <c r="B628" i="3"/>
  <c r="B627" i="3"/>
  <c r="B626" i="3"/>
  <c r="B625" i="3"/>
  <c r="B624" i="3"/>
  <c r="B623" i="3"/>
  <c r="B622" i="3"/>
  <c r="B621" i="3"/>
  <c r="B620" i="3"/>
  <c r="B619" i="3"/>
  <c r="B618" i="3"/>
  <c r="B617" i="3"/>
  <c r="B616" i="3"/>
  <c r="G650" i="3" s="1"/>
  <c r="G561" i="3"/>
  <c r="E561" i="3"/>
  <c r="C561" i="3"/>
  <c r="A561" i="3"/>
  <c r="E560" i="3"/>
  <c r="C560" i="3"/>
  <c r="G559" i="3"/>
  <c r="E559" i="3"/>
  <c r="C559" i="3"/>
  <c r="A559" i="3"/>
  <c r="E558" i="3"/>
  <c r="B540" i="3"/>
  <c r="B549" i="3" s="1"/>
  <c r="B539" i="3"/>
  <c r="B538" i="3"/>
  <c r="B537" i="3"/>
  <c r="B536" i="3"/>
  <c r="B535" i="3"/>
  <c r="B534" i="3"/>
  <c r="B533" i="3"/>
  <c r="B532" i="3"/>
  <c r="B531" i="3"/>
  <c r="B530" i="3"/>
  <c r="B529" i="3"/>
  <c r="B528" i="3"/>
  <c r="B527" i="3"/>
  <c r="B526" i="3"/>
  <c r="B525" i="3"/>
  <c r="B524" i="3"/>
  <c r="G558" i="3" s="1"/>
  <c r="G470" i="3"/>
  <c r="E470" i="3"/>
  <c r="C470" i="3"/>
  <c r="A470" i="3"/>
  <c r="E469" i="3"/>
  <c r="C469" i="3"/>
  <c r="G466" i="3"/>
  <c r="E466" i="3"/>
  <c r="C466" i="3"/>
  <c r="A466" i="3"/>
  <c r="G465" i="3"/>
  <c r="E465" i="3"/>
  <c r="C465" i="3"/>
  <c r="A465" i="3"/>
  <c r="G464" i="3"/>
  <c r="E464" i="3"/>
  <c r="C464" i="3"/>
  <c r="A464" i="3"/>
  <c r="E463" i="3"/>
  <c r="B445" i="3"/>
  <c r="B454" i="3" s="1"/>
  <c r="B444" i="3"/>
  <c r="B443" i="3"/>
  <c r="B442" i="3"/>
  <c r="B441" i="3"/>
  <c r="B440" i="3"/>
  <c r="B439" i="3"/>
  <c r="B438" i="3"/>
  <c r="B437" i="3"/>
  <c r="B436" i="3"/>
  <c r="B435" i="3"/>
  <c r="B434" i="3"/>
  <c r="B433" i="3"/>
  <c r="B432" i="3"/>
  <c r="B431" i="3"/>
  <c r="B430" i="3"/>
  <c r="C463" i="3" s="1"/>
  <c r="B429" i="3"/>
  <c r="G463" i="3" s="1"/>
  <c r="E324" i="3"/>
  <c r="C324" i="3"/>
  <c r="G321" i="3"/>
  <c r="E321" i="3"/>
  <c r="C321" i="3"/>
  <c r="A321" i="3"/>
  <c r="E320" i="3"/>
  <c r="B302" i="3"/>
  <c r="B311" i="3" s="1"/>
  <c r="B301" i="3"/>
  <c r="B300" i="3"/>
  <c r="B299" i="3"/>
  <c r="B298" i="3"/>
  <c r="B297" i="3"/>
  <c r="B296" i="3"/>
  <c r="B295" i="3"/>
  <c r="B294" i="3"/>
  <c r="B293" i="3"/>
  <c r="B292" i="3"/>
  <c r="B291" i="3"/>
  <c r="B290" i="3"/>
  <c r="B289" i="3"/>
  <c r="B288" i="3"/>
  <c r="B287" i="3"/>
  <c r="A304" i="3" s="1"/>
  <c r="B286" i="3"/>
  <c r="G320" i="3" s="1"/>
  <c r="E232" i="3"/>
  <c r="C232" i="3"/>
  <c r="G231" i="3"/>
  <c r="E231" i="3"/>
  <c r="C231" i="3"/>
  <c r="A231" i="3"/>
  <c r="E230" i="3"/>
  <c r="B212" i="3"/>
  <c r="B221" i="3" s="1"/>
  <c r="B211" i="3"/>
  <c r="B210" i="3"/>
  <c r="B209" i="3"/>
  <c r="B208" i="3"/>
  <c r="B207" i="3"/>
  <c r="B206" i="3"/>
  <c r="B205" i="3"/>
  <c r="B204" i="3"/>
  <c r="B203" i="3"/>
  <c r="B202" i="3"/>
  <c r="B201" i="3"/>
  <c r="B200" i="3"/>
  <c r="B199" i="3"/>
  <c r="B198" i="3"/>
  <c r="B197" i="3"/>
  <c r="B196" i="3"/>
  <c r="G230" i="3" s="1"/>
  <c r="E143" i="3"/>
  <c r="C143" i="3"/>
  <c r="G140" i="3"/>
  <c r="E140" i="3"/>
  <c r="C140" i="3"/>
  <c r="A140" i="3"/>
  <c r="G139" i="3"/>
  <c r="E139" i="3"/>
  <c r="C139" i="3"/>
  <c r="A139" i="3"/>
  <c r="G138" i="3"/>
  <c r="E138" i="3"/>
  <c r="C138" i="3"/>
  <c r="A138" i="3"/>
  <c r="E137" i="3"/>
  <c r="B119" i="3"/>
  <c r="B128" i="3" s="1"/>
  <c r="B118" i="3"/>
  <c r="B117" i="3"/>
  <c r="B116" i="3"/>
  <c r="B115" i="3"/>
  <c r="B114" i="3"/>
  <c r="B113" i="3"/>
  <c r="B112" i="3"/>
  <c r="B111" i="3"/>
  <c r="B110" i="3"/>
  <c r="B109" i="3"/>
  <c r="B108" i="3"/>
  <c r="B107" i="3"/>
  <c r="B106" i="3"/>
  <c r="B105" i="3"/>
  <c r="B104" i="3"/>
  <c r="B103" i="3"/>
  <c r="G137" i="3" s="1"/>
  <c r="H15" i="2"/>
  <c r="H14" i="2"/>
  <c r="H13" i="2"/>
  <c r="H12" i="2"/>
  <c r="H11" i="2"/>
  <c r="H10" i="2"/>
  <c r="H9" i="2"/>
  <c r="H8" i="2"/>
  <c r="H7" i="2"/>
  <c r="H6" i="2"/>
  <c r="H5" i="2"/>
  <c r="H4" i="2"/>
  <c r="B9748" i="3"/>
  <c r="B9747" i="3"/>
  <c r="B9746" i="3"/>
  <c r="B9745" i="3"/>
  <c r="B9744" i="3"/>
  <c r="B9743" i="3"/>
  <c r="B9742" i="3"/>
  <c r="B9741" i="3"/>
  <c r="G9770" i="3" s="1"/>
  <c r="B9740" i="3"/>
  <c r="B9739" i="3"/>
  <c r="B9738" i="3"/>
  <c r="B9737" i="3"/>
  <c r="B9736" i="3"/>
  <c r="B9735" i="3"/>
  <c r="B9734" i="3"/>
  <c r="B9733" i="3"/>
  <c r="A9749" i="3" s="1"/>
  <c r="B9732" i="3"/>
  <c r="B9702" i="3"/>
  <c r="B9701" i="3"/>
  <c r="B9700" i="3"/>
  <c r="B9699" i="3"/>
  <c r="B9698" i="3"/>
  <c r="B9697" i="3"/>
  <c r="B9696" i="3"/>
  <c r="B9695" i="3"/>
  <c r="G9722" i="3" s="1"/>
  <c r="B9694" i="3"/>
  <c r="B9693" i="3"/>
  <c r="B9692" i="3"/>
  <c r="B9691" i="3"/>
  <c r="B9690" i="3"/>
  <c r="B9689" i="3"/>
  <c r="B9688" i="3"/>
  <c r="B9687" i="3"/>
  <c r="A9703" i="3" s="1"/>
  <c r="B9686" i="3"/>
  <c r="B9651" i="3"/>
  <c r="B9650" i="3"/>
  <c r="B9649" i="3"/>
  <c r="B9648" i="3"/>
  <c r="B9647" i="3"/>
  <c r="B9646" i="3"/>
  <c r="B9645" i="3"/>
  <c r="B9644" i="3"/>
  <c r="G9675" i="3" s="1"/>
  <c r="B9643" i="3"/>
  <c r="B9642" i="3"/>
  <c r="B9641" i="3"/>
  <c r="B9640" i="3"/>
  <c r="B9639" i="3"/>
  <c r="B9638" i="3"/>
  <c r="B9637" i="3"/>
  <c r="B9636" i="3"/>
  <c r="A9652" i="3" s="1"/>
  <c r="B9635" i="3"/>
  <c r="B9602" i="3"/>
  <c r="B9601" i="3"/>
  <c r="B9600" i="3"/>
  <c r="B9599" i="3"/>
  <c r="B9598" i="3"/>
  <c r="B9597" i="3"/>
  <c r="B9596" i="3"/>
  <c r="B9595" i="3"/>
  <c r="G9624" i="3" s="1"/>
  <c r="B9594" i="3"/>
  <c r="B9593" i="3"/>
  <c r="B9592" i="3"/>
  <c r="B9591" i="3"/>
  <c r="B9590" i="3"/>
  <c r="B9589" i="3"/>
  <c r="B9588" i="3"/>
  <c r="B9587" i="3"/>
  <c r="A9603" i="3" s="1"/>
  <c r="B9586" i="3"/>
  <c r="B9417" i="3"/>
  <c r="B9416" i="3"/>
  <c r="B9415" i="3"/>
  <c r="B9414" i="3"/>
  <c r="B9413" i="3"/>
  <c r="B9412" i="3"/>
  <c r="B9411" i="3"/>
  <c r="B9410" i="3"/>
  <c r="G9439" i="3" s="1"/>
  <c r="B9409" i="3"/>
  <c r="B9408" i="3"/>
  <c r="B9407" i="3"/>
  <c r="B9406" i="3"/>
  <c r="B9405" i="3"/>
  <c r="B9404" i="3"/>
  <c r="B9403" i="3"/>
  <c r="B9402" i="3"/>
  <c r="A9418" i="3" s="1"/>
  <c r="B9401" i="3"/>
  <c r="B9373" i="3"/>
  <c r="B9372" i="3"/>
  <c r="B9371" i="3"/>
  <c r="B9370" i="3"/>
  <c r="B9369" i="3"/>
  <c r="B9368" i="3"/>
  <c r="B9367" i="3"/>
  <c r="B9366" i="3"/>
  <c r="G9393" i="3" s="1"/>
  <c r="B9365" i="3"/>
  <c r="B9364" i="3"/>
  <c r="B9363" i="3"/>
  <c r="B9362" i="3"/>
  <c r="B9361" i="3"/>
  <c r="B9360" i="3"/>
  <c r="B9359" i="3"/>
  <c r="B9358" i="3"/>
  <c r="A9374" i="3" s="1"/>
  <c r="B9357" i="3"/>
  <c r="B9324" i="3"/>
  <c r="B9323" i="3"/>
  <c r="B9322" i="3"/>
  <c r="B9321" i="3"/>
  <c r="B9320" i="3"/>
  <c r="B9319" i="3"/>
  <c r="B9318" i="3"/>
  <c r="B9317" i="3"/>
  <c r="G9348" i="3" s="1"/>
  <c r="B9316" i="3"/>
  <c r="B9315" i="3"/>
  <c r="B9314" i="3"/>
  <c r="B9313" i="3"/>
  <c r="B9312" i="3"/>
  <c r="B9311" i="3"/>
  <c r="B9310" i="3"/>
  <c r="B9309" i="3"/>
  <c r="A9325" i="3" s="1"/>
  <c r="B9308" i="3"/>
  <c r="B9277" i="3"/>
  <c r="B9276" i="3"/>
  <c r="B9275" i="3"/>
  <c r="B9274" i="3"/>
  <c r="B9273" i="3"/>
  <c r="B9272" i="3"/>
  <c r="B9271" i="3"/>
  <c r="B9270" i="3"/>
  <c r="G9299" i="3" s="1"/>
  <c r="B9269" i="3"/>
  <c r="B9268" i="3"/>
  <c r="B9267" i="3"/>
  <c r="B9266" i="3"/>
  <c r="B9265" i="3"/>
  <c r="B9264" i="3"/>
  <c r="B9263" i="3"/>
  <c r="B9262" i="3"/>
  <c r="A9278" i="3" s="1"/>
  <c r="B9261" i="3"/>
  <c r="B9083" i="3"/>
  <c r="B9082" i="3"/>
  <c r="B9081" i="3"/>
  <c r="B9080" i="3"/>
  <c r="B9079" i="3"/>
  <c r="B9078" i="3"/>
  <c r="B9077" i="3"/>
  <c r="B9076" i="3"/>
  <c r="G9105" i="3" s="1"/>
  <c r="B9075" i="3"/>
  <c r="B9074" i="3"/>
  <c r="B9073" i="3"/>
  <c r="B9072" i="3"/>
  <c r="B9071" i="3"/>
  <c r="B9070" i="3"/>
  <c r="B9069" i="3"/>
  <c r="B9068" i="3"/>
  <c r="A9084" i="3" s="1"/>
  <c r="B9067" i="3"/>
  <c r="B9037" i="3"/>
  <c r="B9036" i="3"/>
  <c r="B9035" i="3"/>
  <c r="B9034" i="3"/>
  <c r="B9033" i="3"/>
  <c r="B9032" i="3"/>
  <c r="B9031" i="3"/>
  <c r="B9030" i="3"/>
  <c r="G9057" i="3" s="1"/>
  <c r="B9029" i="3"/>
  <c r="B9028" i="3"/>
  <c r="B9027" i="3"/>
  <c r="B9026" i="3"/>
  <c r="B9025" i="3"/>
  <c r="B9024" i="3"/>
  <c r="B9023" i="3"/>
  <c r="B9022" i="3"/>
  <c r="A9038" i="3" s="1"/>
  <c r="B9021" i="3"/>
  <c r="B8986" i="3"/>
  <c r="B8985" i="3"/>
  <c r="B8984" i="3"/>
  <c r="B8983" i="3"/>
  <c r="B8982" i="3"/>
  <c r="B8981" i="3"/>
  <c r="B8980" i="3"/>
  <c r="B8979" i="3"/>
  <c r="G9010" i="3" s="1"/>
  <c r="B8978" i="3"/>
  <c r="B8977" i="3"/>
  <c r="B8976" i="3"/>
  <c r="B8975" i="3"/>
  <c r="B8974" i="3"/>
  <c r="B8973" i="3"/>
  <c r="B8972" i="3"/>
  <c r="B8971" i="3"/>
  <c r="A8987" i="3" s="1"/>
  <c r="B8970" i="3"/>
  <c r="B8937" i="3"/>
  <c r="B8936" i="3"/>
  <c r="B8935" i="3"/>
  <c r="B8934" i="3"/>
  <c r="B8933" i="3"/>
  <c r="B8932" i="3"/>
  <c r="B8931" i="3"/>
  <c r="B8930" i="3"/>
  <c r="G8959" i="3" s="1"/>
  <c r="B8929" i="3"/>
  <c r="B8928" i="3"/>
  <c r="B8927" i="3"/>
  <c r="B8926" i="3"/>
  <c r="B8925" i="3"/>
  <c r="B8924" i="3"/>
  <c r="B8923" i="3"/>
  <c r="B8922" i="3"/>
  <c r="A8938" i="3" s="1"/>
  <c r="B8921" i="3"/>
  <c r="B8752" i="3"/>
  <c r="B8751" i="3"/>
  <c r="B8750" i="3"/>
  <c r="B8749" i="3"/>
  <c r="B8748" i="3"/>
  <c r="B8747" i="3"/>
  <c r="B8746" i="3"/>
  <c r="B8745" i="3"/>
  <c r="G8774" i="3" s="1"/>
  <c r="B8744" i="3"/>
  <c r="B8743" i="3"/>
  <c r="B8742" i="3"/>
  <c r="B8741" i="3"/>
  <c r="B8740" i="3"/>
  <c r="B8739" i="3"/>
  <c r="B8738" i="3"/>
  <c r="B8737" i="3"/>
  <c r="A8753" i="3" s="1"/>
  <c r="B8736" i="3"/>
  <c r="B8708" i="3"/>
  <c r="B8707" i="3"/>
  <c r="B8706" i="3"/>
  <c r="B8705" i="3"/>
  <c r="B8704" i="3"/>
  <c r="B8703" i="3"/>
  <c r="B8702" i="3"/>
  <c r="B8701" i="3"/>
  <c r="G8728" i="3" s="1"/>
  <c r="B8700" i="3"/>
  <c r="B8699" i="3"/>
  <c r="B8698" i="3"/>
  <c r="B8697" i="3"/>
  <c r="B8696" i="3"/>
  <c r="B8695" i="3"/>
  <c r="B8694" i="3"/>
  <c r="B8693" i="3"/>
  <c r="A8709" i="3" s="1"/>
  <c r="B8692" i="3"/>
  <c r="B8659" i="3"/>
  <c r="B8658" i="3"/>
  <c r="B8657" i="3"/>
  <c r="B8656" i="3"/>
  <c r="B8655" i="3"/>
  <c r="B8654" i="3"/>
  <c r="B8653" i="3"/>
  <c r="B8652" i="3"/>
  <c r="G8683" i="3" s="1"/>
  <c r="B8651" i="3"/>
  <c r="B8650" i="3"/>
  <c r="B8649" i="3"/>
  <c r="B8648" i="3"/>
  <c r="B8647" i="3"/>
  <c r="B8646" i="3"/>
  <c r="B8645" i="3"/>
  <c r="B8644" i="3"/>
  <c r="A8660" i="3" s="1"/>
  <c r="B8643" i="3"/>
  <c r="B8612" i="3"/>
  <c r="B8611" i="3"/>
  <c r="B8610" i="3"/>
  <c r="B8609" i="3"/>
  <c r="B8608" i="3"/>
  <c r="B8607" i="3"/>
  <c r="B8606" i="3"/>
  <c r="B8605" i="3"/>
  <c r="G8634" i="3" s="1"/>
  <c r="B8604" i="3"/>
  <c r="B8603" i="3"/>
  <c r="B8602" i="3"/>
  <c r="B8601" i="3"/>
  <c r="B8600" i="3"/>
  <c r="B8599" i="3"/>
  <c r="B8598" i="3"/>
  <c r="B8597" i="3"/>
  <c r="A8613" i="3" s="1"/>
  <c r="B8596" i="3"/>
  <c r="B8419" i="3"/>
  <c r="B8418" i="3"/>
  <c r="B8417" i="3"/>
  <c r="B8416" i="3"/>
  <c r="B8415" i="3"/>
  <c r="B8414" i="3"/>
  <c r="B8413" i="3"/>
  <c r="B8412" i="3"/>
  <c r="G8441" i="3" s="1"/>
  <c r="B8411" i="3"/>
  <c r="B8410" i="3"/>
  <c r="B8409" i="3"/>
  <c r="B8408" i="3"/>
  <c r="B8407" i="3"/>
  <c r="B8406" i="3"/>
  <c r="B8405" i="3"/>
  <c r="B8404" i="3"/>
  <c r="A8420" i="3" s="1"/>
  <c r="B8403" i="3"/>
  <c r="B8373" i="3"/>
  <c r="B8372" i="3"/>
  <c r="B8371" i="3"/>
  <c r="B8370" i="3"/>
  <c r="B8369" i="3"/>
  <c r="B8368" i="3"/>
  <c r="B8367" i="3"/>
  <c r="B8366" i="3"/>
  <c r="G8393" i="3" s="1"/>
  <c r="B8365" i="3"/>
  <c r="B8364" i="3"/>
  <c r="B8363" i="3"/>
  <c r="B8362" i="3"/>
  <c r="B8361" i="3"/>
  <c r="B8360" i="3"/>
  <c r="B8359" i="3"/>
  <c r="B8358" i="3"/>
  <c r="A8374" i="3" s="1"/>
  <c r="B8357" i="3"/>
  <c r="B8322" i="3"/>
  <c r="B8321" i="3"/>
  <c r="B8320" i="3"/>
  <c r="B8319" i="3"/>
  <c r="B8318" i="3"/>
  <c r="B8317" i="3"/>
  <c r="B8316" i="3"/>
  <c r="B8315" i="3"/>
  <c r="G8346" i="3" s="1"/>
  <c r="B8314" i="3"/>
  <c r="B8313" i="3"/>
  <c r="B8312" i="3"/>
  <c r="B8311" i="3"/>
  <c r="B8310" i="3"/>
  <c r="B8309" i="3"/>
  <c r="B8308" i="3"/>
  <c r="B8307" i="3"/>
  <c r="A8323" i="3" s="1"/>
  <c r="B8306" i="3"/>
  <c r="B8273" i="3"/>
  <c r="B8272" i="3"/>
  <c r="B8271" i="3"/>
  <c r="B8270" i="3"/>
  <c r="B8269" i="3"/>
  <c r="B8268" i="3"/>
  <c r="B8267" i="3"/>
  <c r="B8266" i="3"/>
  <c r="G8295" i="3" s="1"/>
  <c r="B8265" i="3"/>
  <c r="B8264" i="3"/>
  <c r="B8263" i="3"/>
  <c r="B8262" i="3"/>
  <c r="B8261" i="3"/>
  <c r="B8260" i="3"/>
  <c r="B8259" i="3"/>
  <c r="B8258" i="3"/>
  <c r="A8274" i="3" s="1"/>
  <c r="B8257" i="3"/>
  <c r="B8088" i="3"/>
  <c r="B8087" i="3"/>
  <c r="B8086" i="3"/>
  <c r="B8085" i="3"/>
  <c r="B8084" i="3"/>
  <c r="B8083" i="3"/>
  <c r="B8082" i="3"/>
  <c r="B8081" i="3"/>
  <c r="G8110" i="3" s="1"/>
  <c r="B8080" i="3"/>
  <c r="B8079" i="3"/>
  <c r="B8078" i="3"/>
  <c r="B8077" i="3"/>
  <c r="B8076" i="3"/>
  <c r="B8075" i="3"/>
  <c r="B8074" i="3"/>
  <c r="B8073" i="3"/>
  <c r="A8089" i="3" s="1"/>
  <c r="B8072" i="3"/>
  <c r="B8044" i="3"/>
  <c r="B8043" i="3"/>
  <c r="B8042" i="3"/>
  <c r="B8041" i="3"/>
  <c r="B8040" i="3"/>
  <c r="B8039" i="3"/>
  <c r="B8038" i="3"/>
  <c r="B8037" i="3"/>
  <c r="G8064" i="3" s="1"/>
  <c r="B8036" i="3"/>
  <c r="B8035" i="3"/>
  <c r="B8034" i="3"/>
  <c r="B8033" i="3"/>
  <c r="B8032" i="3"/>
  <c r="B8031" i="3"/>
  <c r="B8030" i="3"/>
  <c r="B8029" i="3"/>
  <c r="A8045" i="3" s="1"/>
  <c r="B8028" i="3"/>
  <c r="B7995" i="3"/>
  <c r="B7994" i="3"/>
  <c r="B7993" i="3"/>
  <c r="B7992" i="3"/>
  <c r="B7991" i="3"/>
  <c r="B7990" i="3"/>
  <c r="B7989" i="3"/>
  <c r="B7988" i="3"/>
  <c r="G8019" i="3" s="1"/>
  <c r="B7987" i="3"/>
  <c r="B7986" i="3"/>
  <c r="B7985" i="3"/>
  <c r="B7984" i="3"/>
  <c r="B7983" i="3"/>
  <c r="B7982" i="3"/>
  <c r="B7981" i="3"/>
  <c r="B7980" i="3"/>
  <c r="A7996" i="3" s="1"/>
  <c r="B7979" i="3"/>
  <c r="B7948" i="3"/>
  <c r="B7947" i="3"/>
  <c r="B7946" i="3"/>
  <c r="B7945" i="3"/>
  <c r="B7944" i="3"/>
  <c r="B7943" i="3"/>
  <c r="B7942" i="3"/>
  <c r="B7941" i="3"/>
  <c r="G7970" i="3" s="1"/>
  <c r="B7940" i="3"/>
  <c r="B7939" i="3"/>
  <c r="B7938" i="3"/>
  <c r="B7937" i="3"/>
  <c r="B7936" i="3"/>
  <c r="B7935" i="3"/>
  <c r="B7934" i="3"/>
  <c r="B7933" i="3"/>
  <c r="A7949" i="3" s="1"/>
  <c r="B7932" i="3"/>
  <c r="B7755" i="3"/>
  <c r="B7754" i="3"/>
  <c r="B7753" i="3"/>
  <c r="B7752" i="3"/>
  <c r="B7751" i="3"/>
  <c r="B7750" i="3"/>
  <c r="B7749" i="3"/>
  <c r="B7748" i="3"/>
  <c r="G7777" i="3" s="1"/>
  <c r="B7747" i="3"/>
  <c r="B7746" i="3"/>
  <c r="B7745" i="3"/>
  <c r="B7744" i="3"/>
  <c r="B7743" i="3"/>
  <c r="B7742" i="3"/>
  <c r="B7741" i="3"/>
  <c r="B7740" i="3"/>
  <c r="A7756" i="3" s="1"/>
  <c r="B7739" i="3"/>
  <c r="B7709" i="3"/>
  <c r="B7708" i="3"/>
  <c r="B7707" i="3"/>
  <c r="B7706" i="3"/>
  <c r="B7705" i="3"/>
  <c r="B7704" i="3"/>
  <c r="B7703" i="3"/>
  <c r="B7702" i="3"/>
  <c r="G7729" i="3" s="1"/>
  <c r="B7701" i="3"/>
  <c r="B7700" i="3"/>
  <c r="B7699" i="3"/>
  <c r="B7698" i="3"/>
  <c r="B7697" i="3"/>
  <c r="B7696" i="3"/>
  <c r="B7695" i="3"/>
  <c r="B7694" i="3"/>
  <c r="A7710" i="3" s="1"/>
  <c r="B7693" i="3"/>
  <c r="B7658" i="3"/>
  <c r="B7657" i="3"/>
  <c r="B7656" i="3"/>
  <c r="B7655" i="3"/>
  <c r="B7654" i="3"/>
  <c r="B7653" i="3"/>
  <c r="B7652" i="3"/>
  <c r="B7651" i="3"/>
  <c r="G7682" i="3" s="1"/>
  <c r="B7650" i="3"/>
  <c r="B7649" i="3"/>
  <c r="B7648" i="3"/>
  <c r="B7647" i="3"/>
  <c r="B7646" i="3"/>
  <c r="B7645" i="3"/>
  <c r="B7644" i="3"/>
  <c r="B7643" i="3"/>
  <c r="A7659" i="3" s="1"/>
  <c r="B7642" i="3"/>
  <c r="B7609" i="3"/>
  <c r="B7608" i="3"/>
  <c r="B7607" i="3"/>
  <c r="B7606" i="3"/>
  <c r="B7605" i="3"/>
  <c r="B7604" i="3"/>
  <c r="B7603" i="3"/>
  <c r="B7602" i="3"/>
  <c r="G7631" i="3" s="1"/>
  <c r="B7601" i="3"/>
  <c r="B7600" i="3"/>
  <c r="B7599" i="3"/>
  <c r="B7598" i="3"/>
  <c r="B7597" i="3"/>
  <c r="B7596" i="3"/>
  <c r="B7595" i="3"/>
  <c r="B7594" i="3"/>
  <c r="A7610" i="3" s="1"/>
  <c r="B7593" i="3"/>
  <c r="B7424" i="3"/>
  <c r="B7423" i="3"/>
  <c r="B7422" i="3"/>
  <c r="B7421" i="3"/>
  <c r="B7420" i="3"/>
  <c r="B7419" i="3"/>
  <c r="B7418" i="3"/>
  <c r="B7417" i="3"/>
  <c r="G7446" i="3" s="1"/>
  <c r="B7416" i="3"/>
  <c r="B7415" i="3"/>
  <c r="B7414" i="3"/>
  <c r="B7413" i="3"/>
  <c r="B7412" i="3"/>
  <c r="B7411" i="3"/>
  <c r="B7410" i="3"/>
  <c r="B7409" i="3"/>
  <c r="A7425" i="3" s="1"/>
  <c r="B7408" i="3"/>
  <c r="B7380" i="3"/>
  <c r="B7379" i="3"/>
  <c r="B7378" i="3"/>
  <c r="B7377" i="3"/>
  <c r="B7376" i="3"/>
  <c r="B7375" i="3"/>
  <c r="B7374" i="3"/>
  <c r="B7373" i="3"/>
  <c r="G7400" i="3" s="1"/>
  <c r="B7372" i="3"/>
  <c r="B7371" i="3"/>
  <c r="B7370" i="3"/>
  <c r="B7369" i="3"/>
  <c r="B7368" i="3"/>
  <c r="B7367" i="3"/>
  <c r="B7366" i="3"/>
  <c r="B7365" i="3"/>
  <c r="A7381" i="3" s="1"/>
  <c r="B7364" i="3"/>
  <c r="B7331" i="3"/>
  <c r="B7330" i="3"/>
  <c r="B7329" i="3"/>
  <c r="B7328" i="3"/>
  <c r="B7327" i="3"/>
  <c r="B7326" i="3"/>
  <c r="B7325" i="3"/>
  <c r="B7324" i="3"/>
  <c r="G7355" i="3" s="1"/>
  <c r="B7323" i="3"/>
  <c r="B7322" i="3"/>
  <c r="B7321" i="3"/>
  <c r="B7320" i="3"/>
  <c r="B7319" i="3"/>
  <c r="B7318" i="3"/>
  <c r="B7317" i="3"/>
  <c r="B7316" i="3"/>
  <c r="A7332" i="3" s="1"/>
  <c r="B7315" i="3"/>
  <c r="B7284" i="3"/>
  <c r="B7283" i="3"/>
  <c r="B7282" i="3"/>
  <c r="B7281" i="3"/>
  <c r="B7280" i="3"/>
  <c r="B7279" i="3"/>
  <c r="B7278" i="3"/>
  <c r="B7277" i="3"/>
  <c r="G7306" i="3" s="1"/>
  <c r="B7276" i="3"/>
  <c r="B7275" i="3"/>
  <c r="B7274" i="3"/>
  <c r="B7273" i="3"/>
  <c r="B7272" i="3"/>
  <c r="B7271" i="3"/>
  <c r="B7270" i="3"/>
  <c r="B7269" i="3"/>
  <c r="A7285" i="3" s="1"/>
  <c r="B7268" i="3"/>
  <c r="B7090" i="3"/>
  <c r="B7089" i="3"/>
  <c r="B7088" i="3"/>
  <c r="B7087" i="3"/>
  <c r="B7086" i="3"/>
  <c r="B7085" i="3"/>
  <c r="B7084" i="3"/>
  <c r="B7083" i="3"/>
  <c r="G7112" i="3" s="1"/>
  <c r="B7082" i="3"/>
  <c r="B7081" i="3"/>
  <c r="B7080" i="3"/>
  <c r="B7079" i="3"/>
  <c r="B7078" i="3"/>
  <c r="B7077" i="3"/>
  <c r="B7076" i="3"/>
  <c r="B7075" i="3"/>
  <c r="A7091" i="3" s="1"/>
  <c r="B7074" i="3"/>
  <c r="B7044" i="3"/>
  <c r="B7043" i="3"/>
  <c r="B7042" i="3"/>
  <c r="B7041" i="3"/>
  <c r="B7040" i="3"/>
  <c r="B7039" i="3"/>
  <c r="B7038" i="3"/>
  <c r="B7037" i="3"/>
  <c r="G7064" i="3" s="1"/>
  <c r="B7036" i="3"/>
  <c r="B7035" i="3"/>
  <c r="B7034" i="3"/>
  <c r="B7033" i="3"/>
  <c r="B7032" i="3"/>
  <c r="B7031" i="3"/>
  <c r="B7030" i="3"/>
  <c r="B7029" i="3"/>
  <c r="A7045" i="3" s="1"/>
  <c r="B7028" i="3"/>
  <c r="B6993" i="3"/>
  <c r="B6992" i="3"/>
  <c r="B6991" i="3"/>
  <c r="B6990" i="3"/>
  <c r="B6989" i="3"/>
  <c r="B6988" i="3"/>
  <c r="B6987" i="3"/>
  <c r="B6986" i="3"/>
  <c r="G7017" i="3" s="1"/>
  <c r="B6985" i="3"/>
  <c r="B6984" i="3"/>
  <c r="B6983" i="3"/>
  <c r="B6982" i="3"/>
  <c r="B6981" i="3"/>
  <c r="B6980" i="3"/>
  <c r="B6979" i="3"/>
  <c r="B6978" i="3"/>
  <c r="A6994" i="3" s="1"/>
  <c r="B6977" i="3"/>
  <c r="B6944" i="3"/>
  <c r="B6943" i="3"/>
  <c r="B6942" i="3"/>
  <c r="B6941" i="3"/>
  <c r="B6940" i="3"/>
  <c r="B6939" i="3"/>
  <c r="B6938" i="3"/>
  <c r="B6937" i="3"/>
  <c r="G6966" i="3" s="1"/>
  <c r="B6936" i="3"/>
  <c r="B6935" i="3"/>
  <c r="B6934" i="3"/>
  <c r="B6933" i="3"/>
  <c r="B6932" i="3"/>
  <c r="B6931" i="3"/>
  <c r="B6930" i="3"/>
  <c r="B6929" i="3"/>
  <c r="A6945" i="3" s="1"/>
  <c r="B6928" i="3"/>
  <c r="B6759" i="3"/>
  <c r="B6758" i="3"/>
  <c r="B6757" i="3"/>
  <c r="B6756" i="3"/>
  <c r="B6755" i="3"/>
  <c r="B6754" i="3"/>
  <c r="B6753" i="3"/>
  <c r="B6752" i="3"/>
  <c r="G6781" i="3" s="1"/>
  <c r="B6751" i="3"/>
  <c r="B6750" i="3"/>
  <c r="B6749" i="3"/>
  <c r="B6748" i="3"/>
  <c r="B6747" i="3"/>
  <c r="B6746" i="3"/>
  <c r="B6745" i="3"/>
  <c r="B6744" i="3"/>
  <c r="A6760" i="3" s="1"/>
  <c r="B6743" i="3"/>
  <c r="B6715" i="3"/>
  <c r="B6714" i="3"/>
  <c r="B6713" i="3"/>
  <c r="B6712" i="3"/>
  <c r="B6711" i="3"/>
  <c r="B6710" i="3"/>
  <c r="B6709" i="3"/>
  <c r="B6708" i="3"/>
  <c r="G6735" i="3" s="1"/>
  <c r="B6707" i="3"/>
  <c r="B6706" i="3"/>
  <c r="B6705" i="3"/>
  <c r="B6704" i="3"/>
  <c r="B6703" i="3"/>
  <c r="B6702" i="3"/>
  <c r="B6701" i="3"/>
  <c r="B6700" i="3"/>
  <c r="A6716" i="3" s="1"/>
  <c r="B6699" i="3"/>
  <c r="B6666" i="3"/>
  <c r="B6665" i="3"/>
  <c r="B6664" i="3"/>
  <c r="B6663" i="3"/>
  <c r="B6662" i="3"/>
  <c r="B6661" i="3"/>
  <c r="B6660" i="3"/>
  <c r="B6659" i="3"/>
  <c r="G6690" i="3" s="1"/>
  <c r="B6658" i="3"/>
  <c r="B6657" i="3"/>
  <c r="B6656" i="3"/>
  <c r="B6655" i="3"/>
  <c r="B6654" i="3"/>
  <c r="B6653" i="3"/>
  <c r="B6652" i="3"/>
  <c r="B6651" i="3"/>
  <c r="A6667" i="3" s="1"/>
  <c r="B6650" i="3"/>
  <c r="B6619" i="3"/>
  <c r="B6618" i="3"/>
  <c r="B6617" i="3"/>
  <c r="B6616" i="3"/>
  <c r="B6615" i="3"/>
  <c r="B6614" i="3"/>
  <c r="B6613" i="3"/>
  <c r="B6612" i="3"/>
  <c r="G6641" i="3" s="1"/>
  <c r="B6611" i="3"/>
  <c r="B6610" i="3"/>
  <c r="B6609" i="3"/>
  <c r="B6608" i="3"/>
  <c r="B6607" i="3"/>
  <c r="B6606" i="3"/>
  <c r="B6605" i="3"/>
  <c r="B6604" i="3"/>
  <c r="A6620" i="3" s="1"/>
  <c r="B6603" i="3"/>
  <c r="B6426" i="3"/>
  <c r="B6425" i="3"/>
  <c r="B6424" i="3"/>
  <c r="B6423" i="3"/>
  <c r="B6422" i="3"/>
  <c r="B6421" i="3"/>
  <c r="B6420" i="3"/>
  <c r="B6419" i="3"/>
  <c r="G6448" i="3" s="1"/>
  <c r="B6418" i="3"/>
  <c r="B6417" i="3"/>
  <c r="B6416" i="3"/>
  <c r="B6415" i="3"/>
  <c r="B6414" i="3"/>
  <c r="B6413" i="3"/>
  <c r="B6412" i="3"/>
  <c r="B6411" i="3"/>
  <c r="A6427" i="3" s="1"/>
  <c r="B6410" i="3"/>
  <c r="B6380" i="3"/>
  <c r="B6379" i="3"/>
  <c r="B6378" i="3"/>
  <c r="B6377" i="3"/>
  <c r="B6376" i="3"/>
  <c r="B6375" i="3"/>
  <c r="B6374" i="3"/>
  <c r="B6373" i="3"/>
  <c r="G6400" i="3" s="1"/>
  <c r="B6372" i="3"/>
  <c r="B6371" i="3"/>
  <c r="B6370" i="3"/>
  <c r="B6369" i="3"/>
  <c r="B6368" i="3"/>
  <c r="B6367" i="3"/>
  <c r="B6366" i="3"/>
  <c r="B6365" i="3"/>
  <c r="A6381" i="3" s="1"/>
  <c r="B6364" i="3"/>
  <c r="B6329" i="3"/>
  <c r="B6328" i="3"/>
  <c r="B6327" i="3"/>
  <c r="B6326" i="3"/>
  <c r="B6325" i="3"/>
  <c r="B6324" i="3"/>
  <c r="B6323" i="3"/>
  <c r="B6322" i="3"/>
  <c r="G6353" i="3" s="1"/>
  <c r="B6321" i="3"/>
  <c r="B6320" i="3"/>
  <c r="B6319" i="3"/>
  <c r="B6318" i="3"/>
  <c r="B6317" i="3"/>
  <c r="B6316" i="3"/>
  <c r="B6315" i="3"/>
  <c r="B6314" i="3"/>
  <c r="A6330" i="3" s="1"/>
  <c r="B6313" i="3"/>
  <c r="B6280" i="3"/>
  <c r="B6279" i="3"/>
  <c r="B6278" i="3"/>
  <c r="B6277" i="3"/>
  <c r="B6276" i="3"/>
  <c r="B6275" i="3"/>
  <c r="B6274" i="3"/>
  <c r="B6273" i="3"/>
  <c r="G6302" i="3" s="1"/>
  <c r="B6272" i="3"/>
  <c r="B6271" i="3"/>
  <c r="B6270" i="3"/>
  <c r="B6269" i="3"/>
  <c r="B6268" i="3"/>
  <c r="B6267" i="3"/>
  <c r="B6266" i="3"/>
  <c r="B6265" i="3"/>
  <c r="A6281" i="3" s="1"/>
  <c r="B6264" i="3"/>
  <c r="B6095" i="3"/>
  <c r="B6094" i="3"/>
  <c r="B6093" i="3"/>
  <c r="B6092" i="3"/>
  <c r="B6091" i="3"/>
  <c r="B6090" i="3"/>
  <c r="B6089" i="3"/>
  <c r="B6088" i="3"/>
  <c r="G6117" i="3" s="1"/>
  <c r="B6087" i="3"/>
  <c r="B6086" i="3"/>
  <c r="B6085" i="3"/>
  <c r="B6084" i="3"/>
  <c r="B6083" i="3"/>
  <c r="B6082" i="3"/>
  <c r="B6081" i="3"/>
  <c r="B6080" i="3"/>
  <c r="A6096" i="3" s="1"/>
  <c r="B6079" i="3"/>
  <c r="B6051" i="3"/>
  <c r="B6050" i="3"/>
  <c r="B6049" i="3"/>
  <c r="B6048" i="3"/>
  <c r="B6047" i="3"/>
  <c r="B6046" i="3"/>
  <c r="B6045" i="3"/>
  <c r="B6044" i="3"/>
  <c r="G6071" i="3" s="1"/>
  <c r="B6043" i="3"/>
  <c r="B6042" i="3"/>
  <c r="B6041" i="3"/>
  <c r="B6040" i="3"/>
  <c r="B6039" i="3"/>
  <c r="B6038" i="3"/>
  <c r="B6037" i="3"/>
  <c r="B6036" i="3"/>
  <c r="A6052" i="3" s="1"/>
  <c r="B6035" i="3"/>
  <c r="B6002" i="3"/>
  <c r="B6001" i="3"/>
  <c r="B6000" i="3"/>
  <c r="B5999" i="3"/>
  <c r="B5998" i="3"/>
  <c r="B5997" i="3"/>
  <c r="B5996" i="3"/>
  <c r="B5995" i="3"/>
  <c r="G6026" i="3" s="1"/>
  <c r="B5994" i="3"/>
  <c r="B5993" i="3"/>
  <c r="B5992" i="3"/>
  <c r="B5991" i="3"/>
  <c r="B5990" i="3"/>
  <c r="B5989" i="3"/>
  <c r="B5988" i="3"/>
  <c r="B5987" i="3"/>
  <c r="A6003" i="3" s="1"/>
  <c r="B5986" i="3"/>
  <c r="B5955" i="3"/>
  <c r="B5954" i="3"/>
  <c r="B5953" i="3"/>
  <c r="B5952" i="3"/>
  <c r="B5951" i="3"/>
  <c r="B5950" i="3"/>
  <c r="B5949" i="3"/>
  <c r="B5948" i="3"/>
  <c r="G5977" i="3" s="1"/>
  <c r="B5947" i="3"/>
  <c r="B5946" i="3"/>
  <c r="B5945" i="3"/>
  <c r="B5944" i="3"/>
  <c r="B5943" i="3"/>
  <c r="B5942" i="3"/>
  <c r="B5941" i="3"/>
  <c r="B5940" i="3"/>
  <c r="A5956" i="3" s="1"/>
  <c r="B5939" i="3"/>
  <c r="B5762" i="3"/>
  <c r="B5761" i="3"/>
  <c r="B5760" i="3"/>
  <c r="B5759" i="3"/>
  <c r="B5758" i="3"/>
  <c r="B5757" i="3"/>
  <c r="B5756" i="3"/>
  <c r="B5755" i="3"/>
  <c r="G5784" i="3" s="1"/>
  <c r="B5754" i="3"/>
  <c r="B5753" i="3"/>
  <c r="B5752" i="3"/>
  <c r="B5751" i="3"/>
  <c r="B5750" i="3"/>
  <c r="B5749" i="3"/>
  <c r="B5748" i="3"/>
  <c r="B5747" i="3"/>
  <c r="A5763" i="3" s="1"/>
  <c r="B5746" i="3"/>
  <c r="B5716" i="3"/>
  <c r="B5715" i="3"/>
  <c r="B5714" i="3"/>
  <c r="B5713" i="3"/>
  <c r="B5712" i="3"/>
  <c r="B5711" i="3"/>
  <c r="B5710" i="3"/>
  <c r="B5709" i="3"/>
  <c r="G5736" i="3" s="1"/>
  <c r="B5708" i="3"/>
  <c r="B5707" i="3"/>
  <c r="B5706" i="3"/>
  <c r="B5705" i="3"/>
  <c r="B5704" i="3"/>
  <c r="B5703" i="3"/>
  <c r="B5702" i="3"/>
  <c r="B5701" i="3"/>
  <c r="A5717" i="3" s="1"/>
  <c r="B5700" i="3"/>
  <c r="B5665" i="3"/>
  <c r="B5664" i="3"/>
  <c r="B5663" i="3"/>
  <c r="B5662" i="3"/>
  <c r="B5661" i="3"/>
  <c r="B5660" i="3"/>
  <c r="B5659" i="3"/>
  <c r="B5658" i="3"/>
  <c r="G5689" i="3" s="1"/>
  <c r="B5657" i="3"/>
  <c r="B5656" i="3"/>
  <c r="B5655" i="3"/>
  <c r="B5654" i="3"/>
  <c r="B5653" i="3"/>
  <c r="B5652" i="3"/>
  <c r="B5651" i="3"/>
  <c r="B5650" i="3"/>
  <c r="A5666" i="3" s="1"/>
  <c r="B5649" i="3"/>
  <c r="B5616" i="3"/>
  <c r="B5615" i="3"/>
  <c r="B5614" i="3"/>
  <c r="B5613" i="3"/>
  <c r="B5612" i="3"/>
  <c r="B5611" i="3"/>
  <c r="B5610" i="3"/>
  <c r="B5609" i="3"/>
  <c r="G5638" i="3" s="1"/>
  <c r="B5608" i="3"/>
  <c r="B5607" i="3"/>
  <c r="B5606" i="3"/>
  <c r="B5605" i="3"/>
  <c r="B5604" i="3"/>
  <c r="B5603" i="3"/>
  <c r="B5602" i="3"/>
  <c r="B5601" i="3"/>
  <c r="A5617" i="3" s="1"/>
  <c r="B5600" i="3"/>
  <c r="B5431" i="3"/>
  <c r="B5430" i="3"/>
  <c r="B5429" i="3"/>
  <c r="B5428" i="3"/>
  <c r="B5427" i="3"/>
  <c r="B5426" i="3"/>
  <c r="B5425" i="3"/>
  <c r="B5424" i="3"/>
  <c r="G5453" i="3" s="1"/>
  <c r="B5423" i="3"/>
  <c r="B5422" i="3"/>
  <c r="B5421" i="3"/>
  <c r="B5420" i="3"/>
  <c r="B5419" i="3"/>
  <c r="B5418" i="3"/>
  <c r="B5417" i="3"/>
  <c r="B5416" i="3"/>
  <c r="A5432" i="3" s="1"/>
  <c r="B5415" i="3"/>
  <c r="B5387" i="3"/>
  <c r="B5386" i="3"/>
  <c r="B5385" i="3"/>
  <c r="B5384" i="3"/>
  <c r="B5383" i="3"/>
  <c r="B5382" i="3"/>
  <c r="B5381" i="3"/>
  <c r="B5380" i="3"/>
  <c r="G5407" i="3" s="1"/>
  <c r="B5379" i="3"/>
  <c r="B5378" i="3"/>
  <c r="B5377" i="3"/>
  <c r="B5376" i="3"/>
  <c r="B5375" i="3"/>
  <c r="B5374" i="3"/>
  <c r="B5373" i="3"/>
  <c r="B5372" i="3"/>
  <c r="A5388" i="3" s="1"/>
  <c r="B5371" i="3"/>
  <c r="B5338" i="3"/>
  <c r="B5337" i="3"/>
  <c r="B5336" i="3"/>
  <c r="B5335" i="3"/>
  <c r="B5334" i="3"/>
  <c r="B5333" i="3"/>
  <c r="B5332" i="3"/>
  <c r="B5331" i="3"/>
  <c r="G5362" i="3" s="1"/>
  <c r="B5330" i="3"/>
  <c r="B5329" i="3"/>
  <c r="B5328" i="3"/>
  <c r="B5327" i="3"/>
  <c r="B5326" i="3"/>
  <c r="B5325" i="3"/>
  <c r="B5324" i="3"/>
  <c r="B5323" i="3"/>
  <c r="A5339" i="3" s="1"/>
  <c r="B5322" i="3"/>
  <c r="B5291" i="3"/>
  <c r="B5290" i="3"/>
  <c r="B5289" i="3"/>
  <c r="B5288" i="3"/>
  <c r="B5287" i="3"/>
  <c r="B5286" i="3"/>
  <c r="B5285" i="3"/>
  <c r="B5284" i="3"/>
  <c r="G5313" i="3" s="1"/>
  <c r="B5283" i="3"/>
  <c r="B5282" i="3"/>
  <c r="B5281" i="3"/>
  <c r="B5280" i="3"/>
  <c r="B5279" i="3"/>
  <c r="B5278" i="3"/>
  <c r="B5277" i="3"/>
  <c r="B5276" i="3"/>
  <c r="A5292" i="3" s="1"/>
  <c r="B5275" i="3"/>
  <c r="B5097" i="3"/>
  <c r="B5096" i="3"/>
  <c r="B5095" i="3"/>
  <c r="B5094" i="3"/>
  <c r="B5093" i="3"/>
  <c r="B5092" i="3"/>
  <c r="B5091" i="3"/>
  <c r="B5090" i="3"/>
  <c r="G5119" i="3" s="1"/>
  <c r="B5089" i="3"/>
  <c r="B5088" i="3"/>
  <c r="B5087" i="3"/>
  <c r="B5086" i="3"/>
  <c r="B5085" i="3"/>
  <c r="B5084" i="3"/>
  <c r="B5083" i="3"/>
  <c r="B5082" i="3"/>
  <c r="A5098" i="3" s="1"/>
  <c r="B5081" i="3"/>
  <c r="B5051" i="3"/>
  <c r="B5050" i="3"/>
  <c r="B5049" i="3"/>
  <c r="B5048" i="3"/>
  <c r="B5047" i="3"/>
  <c r="B5046" i="3"/>
  <c r="B5045" i="3"/>
  <c r="B5044" i="3"/>
  <c r="G5071" i="3" s="1"/>
  <c r="B5043" i="3"/>
  <c r="B5042" i="3"/>
  <c r="B5041" i="3"/>
  <c r="B5040" i="3"/>
  <c r="B5039" i="3"/>
  <c r="B5038" i="3"/>
  <c r="B5037" i="3"/>
  <c r="B5036" i="3"/>
  <c r="A5052" i="3" s="1"/>
  <c r="B5035" i="3"/>
  <c r="B5000" i="3"/>
  <c r="B4999" i="3"/>
  <c r="B4998" i="3"/>
  <c r="B4997" i="3"/>
  <c r="B4996" i="3"/>
  <c r="B4995" i="3"/>
  <c r="B4994" i="3"/>
  <c r="B4993" i="3"/>
  <c r="G5024" i="3" s="1"/>
  <c r="B4992" i="3"/>
  <c r="B4991" i="3"/>
  <c r="B4990" i="3"/>
  <c r="B4989" i="3"/>
  <c r="B4988" i="3"/>
  <c r="B4987" i="3"/>
  <c r="B4986" i="3"/>
  <c r="B4985" i="3"/>
  <c r="A5001" i="3" s="1"/>
  <c r="B4984" i="3"/>
  <c r="B4951" i="3"/>
  <c r="B4950" i="3"/>
  <c r="B4949" i="3"/>
  <c r="B4948" i="3"/>
  <c r="B4947" i="3"/>
  <c r="B4946" i="3"/>
  <c r="B4945" i="3"/>
  <c r="B4944" i="3"/>
  <c r="G4973" i="3" s="1"/>
  <c r="B4943" i="3"/>
  <c r="B4942" i="3"/>
  <c r="B4941" i="3"/>
  <c r="B4940" i="3"/>
  <c r="B4939" i="3"/>
  <c r="B4938" i="3"/>
  <c r="B4937" i="3"/>
  <c r="B4936" i="3"/>
  <c r="A4952" i="3" s="1"/>
  <c r="B4935" i="3"/>
  <c r="B4766" i="3"/>
  <c r="B4765" i="3"/>
  <c r="B4764" i="3"/>
  <c r="B4763" i="3"/>
  <c r="B4762" i="3"/>
  <c r="B4761" i="3"/>
  <c r="B4760" i="3"/>
  <c r="B4759" i="3"/>
  <c r="G4788" i="3" s="1"/>
  <c r="B4758" i="3"/>
  <c r="B4757" i="3"/>
  <c r="B4756" i="3"/>
  <c r="B4755" i="3"/>
  <c r="B4754" i="3"/>
  <c r="B4753" i="3"/>
  <c r="B4752" i="3"/>
  <c r="B4751" i="3"/>
  <c r="A4767" i="3" s="1"/>
  <c r="B4750" i="3"/>
  <c r="B4722" i="3"/>
  <c r="B4721" i="3"/>
  <c r="B4720" i="3"/>
  <c r="B4719" i="3"/>
  <c r="B4718" i="3"/>
  <c r="B4717" i="3"/>
  <c r="B4716" i="3"/>
  <c r="B4715" i="3"/>
  <c r="G4742" i="3" s="1"/>
  <c r="B4714" i="3"/>
  <c r="B4713" i="3"/>
  <c r="B4712" i="3"/>
  <c r="B4711" i="3"/>
  <c r="B4710" i="3"/>
  <c r="B4709" i="3"/>
  <c r="B4708" i="3"/>
  <c r="B4707" i="3"/>
  <c r="A4723" i="3" s="1"/>
  <c r="B4706" i="3"/>
  <c r="B4673" i="3"/>
  <c r="B4672" i="3"/>
  <c r="B4671" i="3"/>
  <c r="B4670" i="3"/>
  <c r="B4669" i="3"/>
  <c r="B4668" i="3"/>
  <c r="B4667" i="3"/>
  <c r="B4666" i="3"/>
  <c r="G4697" i="3" s="1"/>
  <c r="B4665" i="3"/>
  <c r="B4664" i="3"/>
  <c r="B4663" i="3"/>
  <c r="B4662" i="3"/>
  <c r="B4661" i="3"/>
  <c r="B4660" i="3"/>
  <c r="B4659" i="3"/>
  <c r="B4658" i="3"/>
  <c r="A4674" i="3" s="1"/>
  <c r="B4657" i="3"/>
  <c r="B4626" i="3"/>
  <c r="B4625" i="3"/>
  <c r="B4624" i="3"/>
  <c r="B4623" i="3"/>
  <c r="B4622" i="3"/>
  <c r="B4621" i="3"/>
  <c r="B4620" i="3"/>
  <c r="B4619" i="3"/>
  <c r="G4648" i="3" s="1"/>
  <c r="B4618" i="3"/>
  <c r="B4617" i="3"/>
  <c r="B4616" i="3"/>
  <c r="B4615" i="3"/>
  <c r="B4614" i="3"/>
  <c r="B4613" i="3"/>
  <c r="B4612" i="3"/>
  <c r="B4611" i="3"/>
  <c r="A4627" i="3" s="1"/>
  <c r="B4610" i="3"/>
  <c r="B4433" i="3"/>
  <c r="B4432" i="3"/>
  <c r="B4431" i="3"/>
  <c r="B4430" i="3"/>
  <c r="B4429" i="3"/>
  <c r="B4428" i="3"/>
  <c r="B4427" i="3"/>
  <c r="B4426" i="3"/>
  <c r="G4455" i="3" s="1"/>
  <c r="B4425" i="3"/>
  <c r="B4424" i="3"/>
  <c r="B4423" i="3"/>
  <c r="B4422" i="3"/>
  <c r="B4421" i="3"/>
  <c r="B4420" i="3"/>
  <c r="B4419" i="3"/>
  <c r="B4418" i="3"/>
  <c r="A4434" i="3" s="1"/>
  <c r="B4417" i="3"/>
  <c r="B4387" i="3"/>
  <c r="B4386" i="3"/>
  <c r="B4385" i="3"/>
  <c r="B4384" i="3"/>
  <c r="B4383" i="3"/>
  <c r="B4382" i="3"/>
  <c r="B4381" i="3"/>
  <c r="B4380" i="3"/>
  <c r="G4407" i="3" s="1"/>
  <c r="B4379" i="3"/>
  <c r="B4378" i="3"/>
  <c r="B4377" i="3"/>
  <c r="B4376" i="3"/>
  <c r="B4375" i="3"/>
  <c r="B4374" i="3"/>
  <c r="B4373" i="3"/>
  <c r="B4372" i="3"/>
  <c r="A4388" i="3" s="1"/>
  <c r="B4371" i="3"/>
  <c r="B4336" i="3"/>
  <c r="B4335" i="3"/>
  <c r="B4334" i="3"/>
  <c r="B4333" i="3"/>
  <c r="B4332" i="3"/>
  <c r="B4331" i="3"/>
  <c r="B4330" i="3"/>
  <c r="B4329" i="3"/>
  <c r="G4360" i="3" s="1"/>
  <c r="B4328" i="3"/>
  <c r="B4327" i="3"/>
  <c r="B4326" i="3"/>
  <c r="B4325" i="3"/>
  <c r="B4324" i="3"/>
  <c r="B4323" i="3"/>
  <c r="B4322" i="3"/>
  <c r="B4321" i="3"/>
  <c r="A4337" i="3" s="1"/>
  <c r="B4320" i="3"/>
  <c r="B4287" i="3"/>
  <c r="B4286" i="3"/>
  <c r="B4285" i="3"/>
  <c r="B4284" i="3"/>
  <c r="B4283" i="3"/>
  <c r="B4282" i="3"/>
  <c r="B4281" i="3"/>
  <c r="B4280" i="3"/>
  <c r="G4309" i="3" s="1"/>
  <c r="B4279" i="3"/>
  <c r="B4278" i="3"/>
  <c r="B4277" i="3"/>
  <c r="B4276" i="3"/>
  <c r="B4275" i="3"/>
  <c r="B4274" i="3"/>
  <c r="B4273" i="3"/>
  <c r="B4272" i="3"/>
  <c r="A4288" i="3" s="1"/>
  <c r="B4271" i="3"/>
  <c r="B4102" i="3"/>
  <c r="B4101" i="3"/>
  <c r="B4100" i="3"/>
  <c r="B4099" i="3"/>
  <c r="B4098" i="3"/>
  <c r="B4097" i="3"/>
  <c r="B4096" i="3"/>
  <c r="B4095" i="3"/>
  <c r="G4124" i="3" s="1"/>
  <c r="B4094" i="3"/>
  <c r="B4093" i="3"/>
  <c r="B4092" i="3"/>
  <c r="B4091" i="3"/>
  <c r="B4090" i="3"/>
  <c r="B4089" i="3"/>
  <c r="B4088" i="3"/>
  <c r="B4087" i="3"/>
  <c r="A4103" i="3" s="1"/>
  <c r="B4086" i="3"/>
  <c r="B4058" i="3"/>
  <c r="B4057" i="3"/>
  <c r="B4056" i="3"/>
  <c r="B4055" i="3"/>
  <c r="B4054" i="3"/>
  <c r="B4053" i="3"/>
  <c r="B4052" i="3"/>
  <c r="B4051" i="3"/>
  <c r="G4078" i="3" s="1"/>
  <c r="B4050" i="3"/>
  <c r="B4049" i="3"/>
  <c r="B4048" i="3"/>
  <c r="B4047" i="3"/>
  <c r="B4046" i="3"/>
  <c r="B4045" i="3"/>
  <c r="B4044" i="3"/>
  <c r="B4043" i="3"/>
  <c r="A4059" i="3" s="1"/>
  <c r="B4042" i="3"/>
  <c r="B4009" i="3"/>
  <c r="B4008" i="3"/>
  <c r="B4007" i="3"/>
  <c r="B4006" i="3"/>
  <c r="B4005" i="3"/>
  <c r="B4004" i="3"/>
  <c r="B4003" i="3"/>
  <c r="B4002" i="3"/>
  <c r="G4033" i="3" s="1"/>
  <c r="B4001" i="3"/>
  <c r="B4000" i="3"/>
  <c r="B3999" i="3"/>
  <c r="B3998" i="3"/>
  <c r="B3997" i="3"/>
  <c r="B3996" i="3"/>
  <c r="B3995" i="3"/>
  <c r="B3994" i="3"/>
  <c r="A4010" i="3" s="1"/>
  <c r="B3993" i="3"/>
  <c r="B3962" i="3"/>
  <c r="B3961" i="3"/>
  <c r="B3960" i="3"/>
  <c r="B3959" i="3"/>
  <c r="B3958" i="3"/>
  <c r="B3957" i="3"/>
  <c r="B3956" i="3"/>
  <c r="B3955" i="3"/>
  <c r="G3984" i="3" s="1"/>
  <c r="B3954" i="3"/>
  <c r="B3953" i="3"/>
  <c r="B3952" i="3"/>
  <c r="B3951" i="3"/>
  <c r="B3950" i="3"/>
  <c r="B3949" i="3"/>
  <c r="B3948" i="3"/>
  <c r="B3947" i="3"/>
  <c r="A3963" i="3" s="1"/>
  <c r="B3946" i="3"/>
  <c r="B3773" i="3"/>
  <c r="B3772" i="3"/>
  <c r="B3771" i="3"/>
  <c r="B3770" i="3"/>
  <c r="B3769" i="3"/>
  <c r="B3768" i="3"/>
  <c r="B3767" i="3"/>
  <c r="B3766" i="3"/>
  <c r="G3795" i="3" s="1"/>
  <c r="B3765" i="3"/>
  <c r="B3764" i="3"/>
  <c r="B3763" i="3"/>
  <c r="B3762" i="3"/>
  <c r="B3761" i="3"/>
  <c r="B3760" i="3"/>
  <c r="B3759" i="3"/>
  <c r="B3758" i="3"/>
  <c r="A3774" i="3" s="1"/>
  <c r="B3757" i="3"/>
  <c r="G3791" i="3" s="1"/>
  <c r="B3728" i="3"/>
  <c r="B3727" i="3"/>
  <c r="B3726" i="3"/>
  <c r="B3725" i="3"/>
  <c r="B3724" i="3"/>
  <c r="B3723" i="3"/>
  <c r="B3722" i="3"/>
  <c r="B3721" i="3"/>
  <c r="G3748" i="3" s="1"/>
  <c r="B3720" i="3"/>
  <c r="B3719" i="3"/>
  <c r="B3718" i="3"/>
  <c r="B3717" i="3"/>
  <c r="B3716" i="3"/>
  <c r="B3715" i="3"/>
  <c r="B3714" i="3"/>
  <c r="B3713" i="3"/>
  <c r="A3729" i="3" s="1"/>
  <c r="B3712" i="3"/>
  <c r="B3678" i="3"/>
  <c r="B3677" i="3"/>
  <c r="B3676" i="3"/>
  <c r="B3675" i="3"/>
  <c r="B3674" i="3"/>
  <c r="B3673" i="3"/>
  <c r="B3672" i="3"/>
  <c r="B3671" i="3"/>
  <c r="G3702" i="3" s="1"/>
  <c r="B3670" i="3"/>
  <c r="B3669" i="3"/>
  <c r="B3668" i="3"/>
  <c r="B3667" i="3"/>
  <c r="B3666" i="3"/>
  <c r="B3665" i="3"/>
  <c r="B3664" i="3"/>
  <c r="B3663" i="3"/>
  <c r="B3662" i="3"/>
  <c r="B3631" i="3"/>
  <c r="B3630" i="3"/>
  <c r="B3629" i="3"/>
  <c r="B3628" i="3"/>
  <c r="B3627" i="3"/>
  <c r="B3626" i="3"/>
  <c r="B3625" i="3"/>
  <c r="B3624" i="3"/>
  <c r="G3652" i="3" s="1"/>
  <c r="B3623" i="3"/>
  <c r="B3622" i="3"/>
  <c r="B3621" i="3"/>
  <c r="B3620" i="3"/>
  <c r="B3619" i="3"/>
  <c r="B3618" i="3"/>
  <c r="B3617" i="3"/>
  <c r="B3616" i="3"/>
  <c r="A3632" i="3" s="1"/>
  <c r="B3615" i="3"/>
  <c r="B3446" i="3"/>
  <c r="B3445" i="3"/>
  <c r="B3444" i="3"/>
  <c r="B3443" i="3"/>
  <c r="B3442" i="3"/>
  <c r="B3441" i="3"/>
  <c r="B3440" i="3"/>
  <c r="B3439" i="3"/>
  <c r="G3468" i="3" s="1"/>
  <c r="B3438" i="3"/>
  <c r="B3437" i="3"/>
  <c r="B3436" i="3"/>
  <c r="B3435" i="3"/>
  <c r="B3434" i="3"/>
  <c r="B3433" i="3"/>
  <c r="B3432" i="3"/>
  <c r="B3431" i="3"/>
  <c r="A3447" i="3" s="1"/>
  <c r="B3430" i="3"/>
  <c r="B3402" i="3"/>
  <c r="B3401" i="3"/>
  <c r="B3400" i="3"/>
  <c r="B3399" i="3"/>
  <c r="B3398" i="3"/>
  <c r="B3397" i="3"/>
  <c r="B3396" i="3"/>
  <c r="B3395" i="3"/>
  <c r="G3422" i="3" s="1"/>
  <c r="B3394" i="3"/>
  <c r="B3393" i="3"/>
  <c r="B3392" i="3"/>
  <c r="B3391" i="3"/>
  <c r="B3390" i="3"/>
  <c r="B3389" i="3"/>
  <c r="B3388" i="3"/>
  <c r="B3387" i="3"/>
  <c r="A3403" i="3" s="1"/>
  <c r="B3386" i="3"/>
  <c r="B3353" i="3"/>
  <c r="B3352" i="3"/>
  <c r="B3351" i="3"/>
  <c r="B3350" i="3"/>
  <c r="B3349" i="3"/>
  <c r="B3348" i="3"/>
  <c r="B3347" i="3"/>
  <c r="B3346" i="3"/>
  <c r="G3377" i="3" s="1"/>
  <c r="B3345" i="3"/>
  <c r="B3344" i="3"/>
  <c r="B3343" i="3"/>
  <c r="B3342" i="3"/>
  <c r="B3341" i="3"/>
  <c r="B3340" i="3"/>
  <c r="B3339" i="3"/>
  <c r="B3338" i="3"/>
  <c r="A3354" i="3" s="1"/>
  <c r="B3337" i="3"/>
  <c r="B3306" i="3"/>
  <c r="B3305" i="3"/>
  <c r="B3304" i="3"/>
  <c r="B3303" i="3"/>
  <c r="B3302" i="3"/>
  <c r="B3301" i="3"/>
  <c r="B3300" i="3"/>
  <c r="B3299" i="3"/>
  <c r="B3298" i="3"/>
  <c r="B3297" i="3"/>
  <c r="B3296" i="3"/>
  <c r="B3295" i="3"/>
  <c r="B3294" i="3"/>
  <c r="B3293" i="3"/>
  <c r="B3292" i="3"/>
  <c r="B3291" i="3"/>
  <c r="A3307" i="3" s="1"/>
  <c r="B3290" i="3"/>
  <c r="B3116" i="3"/>
  <c r="B3115" i="3"/>
  <c r="B3114" i="3"/>
  <c r="B3113" i="3"/>
  <c r="B3112" i="3"/>
  <c r="B3111" i="3"/>
  <c r="B3110" i="3"/>
  <c r="B3109" i="3"/>
  <c r="G3138" i="3" s="1"/>
  <c r="B3108" i="3"/>
  <c r="B3107" i="3"/>
  <c r="B3106" i="3"/>
  <c r="B3105" i="3"/>
  <c r="B3104" i="3"/>
  <c r="B3103" i="3"/>
  <c r="B3102" i="3"/>
  <c r="B3101" i="3"/>
  <c r="A3117" i="3" s="1"/>
  <c r="B3100" i="3"/>
  <c r="B3071" i="3"/>
  <c r="B3070" i="3"/>
  <c r="B3069" i="3"/>
  <c r="B3068" i="3"/>
  <c r="B3067" i="3"/>
  <c r="B3066" i="3"/>
  <c r="B3065" i="3"/>
  <c r="B3064" i="3"/>
  <c r="B3063" i="3"/>
  <c r="B3062" i="3"/>
  <c r="B3061" i="3"/>
  <c r="B3060" i="3"/>
  <c r="B3059" i="3"/>
  <c r="B3058" i="3"/>
  <c r="B3057" i="3"/>
  <c r="B3056" i="3"/>
  <c r="A3072" i="3" s="1"/>
  <c r="B3055" i="3"/>
  <c r="B3021" i="3"/>
  <c r="B3020" i="3"/>
  <c r="B3019" i="3"/>
  <c r="B3018" i="3"/>
  <c r="B3017" i="3"/>
  <c r="B3016" i="3"/>
  <c r="B3015" i="3"/>
  <c r="B3014" i="3"/>
  <c r="B3013" i="3"/>
  <c r="B3012" i="3"/>
  <c r="B3011" i="3"/>
  <c r="B3010" i="3"/>
  <c r="B3009" i="3"/>
  <c r="B3008" i="3"/>
  <c r="B3007" i="3"/>
  <c r="B3006" i="3"/>
  <c r="A3022" i="3" s="1"/>
  <c r="B3005" i="3"/>
  <c r="B2974" i="3"/>
  <c r="B2973" i="3"/>
  <c r="B2972" i="3"/>
  <c r="B2971" i="3"/>
  <c r="B2970" i="3"/>
  <c r="B2969" i="3"/>
  <c r="B2968" i="3"/>
  <c r="B2967" i="3"/>
  <c r="B2966" i="3"/>
  <c r="B2965" i="3"/>
  <c r="B2964" i="3"/>
  <c r="B2963" i="3"/>
  <c r="B2962" i="3"/>
  <c r="B2961" i="3"/>
  <c r="B2960" i="3"/>
  <c r="B2959" i="3"/>
  <c r="B2958" i="3"/>
  <c r="B2789" i="3"/>
  <c r="B2788" i="3"/>
  <c r="B2787" i="3"/>
  <c r="B2786" i="3"/>
  <c r="B2785" i="3"/>
  <c r="B2784" i="3"/>
  <c r="B2783" i="3"/>
  <c r="B2782" i="3"/>
  <c r="G2811" i="3" s="1"/>
  <c r="B2781" i="3"/>
  <c r="B2780" i="3"/>
  <c r="B2779" i="3"/>
  <c r="B2778" i="3"/>
  <c r="B2777" i="3"/>
  <c r="B2776" i="3"/>
  <c r="B2775" i="3"/>
  <c r="B2774" i="3"/>
  <c r="A2790" i="3" s="1"/>
  <c r="B2773" i="3"/>
  <c r="B2745" i="3"/>
  <c r="B2744" i="3"/>
  <c r="B2743" i="3"/>
  <c r="B2742" i="3"/>
  <c r="B2741" i="3"/>
  <c r="B2740" i="3"/>
  <c r="B2739" i="3"/>
  <c r="B2738" i="3"/>
  <c r="B2737" i="3"/>
  <c r="B2736" i="3"/>
  <c r="B2735" i="3"/>
  <c r="B2734" i="3"/>
  <c r="B2733" i="3"/>
  <c r="B2732" i="3"/>
  <c r="B2731" i="3"/>
  <c r="B2730" i="3"/>
  <c r="A2746" i="3" s="1"/>
  <c r="B2729" i="3"/>
  <c r="B2696" i="3"/>
  <c r="B2695" i="3"/>
  <c r="B2694" i="3"/>
  <c r="B2693" i="3"/>
  <c r="B2692" i="3"/>
  <c r="B2691" i="3"/>
  <c r="B2690" i="3"/>
  <c r="B2689" i="3"/>
  <c r="B2688" i="3"/>
  <c r="B2687" i="3"/>
  <c r="B2686" i="3"/>
  <c r="B2685" i="3"/>
  <c r="B2684" i="3"/>
  <c r="B2683" i="3"/>
  <c r="B2682" i="3"/>
  <c r="B2681" i="3"/>
  <c r="A2697" i="3" s="1"/>
  <c r="B2680" i="3"/>
  <c r="B2649" i="3"/>
  <c r="B2648" i="3"/>
  <c r="B2647" i="3"/>
  <c r="B2646" i="3"/>
  <c r="B2645" i="3"/>
  <c r="B2644" i="3"/>
  <c r="B2643" i="3"/>
  <c r="B2642" i="3"/>
  <c r="G2671" i="3" s="1"/>
  <c r="B2641" i="3"/>
  <c r="B2640" i="3"/>
  <c r="B2639" i="3"/>
  <c r="B2638" i="3"/>
  <c r="B2637" i="3"/>
  <c r="B2636" i="3"/>
  <c r="B2635" i="3"/>
  <c r="B2634" i="3"/>
  <c r="A2650" i="3" s="1"/>
  <c r="B2633" i="3"/>
  <c r="B2460" i="3"/>
  <c r="B2459" i="3"/>
  <c r="B2458" i="3"/>
  <c r="B2457" i="3"/>
  <c r="B2456" i="3"/>
  <c r="B2455" i="3"/>
  <c r="B2454" i="3"/>
  <c r="B2453" i="3"/>
  <c r="G2482" i="3" s="1"/>
  <c r="B2452" i="3"/>
  <c r="B2451" i="3"/>
  <c r="B2450" i="3"/>
  <c r="B2449" i="3"/>
  <c r="B2448" i="3"/>
  <c r="B2447" i="3"/>
  <c r="B2446" i="3"/>
  <c r="B2445" i="3"/>
  <c r="A2461" i="3" s="1"/>
  <c r="B2444" i="3"/>
  <c r="B2415" i="3"/>
  <c r="B2414" i="3"/>
  <c r="B2413" i="3"/>
  <c r="B2412" i="3"/>
  <c r="B2411" i="3"/>
  <c r="B2410" i="3"/>
  <c r="B2409" i="3"/>
  <c r="B2408" i="3"/>
  <c r="B2407" i="3"/>
  <c r="B2406" i="3"/>
  <c r="B2405" i="3"/>
  <c r="B2404" i="3"/>
  <c r="B2403" i="3"/>
  <c r="B2402" i="3"/>
  <c r="B2401" i="3"/>
  <c r="B2400" i="3"/>
  <c r="A2416" i="3" s="1"/>
  <c r="B2399" i="3"/>
  <c r="B2365" i="3"/>
  <c r="B2364" i="3"/>
  <c r="B2363" i="3"/>
  <c r="B2362" i="3"/>
  <c r="B2361" i="3"/>
  <c r="B2360" i="3"/>
  <c r="B2359" i="3"/>
  <c r="B2358" i="3"/>
  <c r="B2357" i="3"/>
  <c r="B2356" i="3"/>
  <c r="B2355" i="3"/>
  <c r="B2354" i="3"/>
  <c r="B2353" i="3"/>
  <c r="B2352" i="3"/>
  <c r="B2351" i="3"/>
  <c r="B2350" i="3"/>
  <c r="A2366" i="3" s="1"/>
  <c r="B2349" i="3"/>
  <c r="B2318" i="3"/>
  <c r="B2317" i="3"/>
  <c r="B2316" i="3"/>
  <c r="B2315" i="3"/>
  <c r="B2314" i="3"/>
  <c r="B2313" i="3"/>
  <c r="B2312" i="3"/>
  <c r="B2311" i="3"/>
  <c r="B2310" i="3"/>
  <c r="B2309" i="3"/>
  <c r="B2308" i="3"/>
  <c r="B2307" i="3"/>
  <c r="B2306" i="3"/>
  <c r="B2305" i="3"/>
  <c r="B2304" i="3"/>
  <c r="B2303" i="3"/>
  <c r="A2319" i="3" s="1"/>
  <c r="B2302" i="3"/>
  <c r="B2133" i="3"/>
  <c r="B2132" i="3"/>
  <c r="B2131" i="3"/>
  <c r="B2130" i="3"/>
  <c r="B2129" i="3"/>
  <c r="B2128" i="3"/>
  <c r="B2127" i="3"/>
  <c r="B2126" i="3"/>
  <c r="G2155" i="3" s="1"/>
  <c r="B2125" i="3"/>
  <c r="B2124" i="3"/>
  <c r="B2123" i="3"/>
  <c r="B2122" i="3"/>
  <c r="B2121" i="3"/>
  <c r="B2120" i="3"/>
  <c r="B2119" i="3"/>
  <c r="B2118" i="3"/>
  <c r="A2134" i="3" s="1"/>
  <c r="B2117" i="3"/>
  <c r="B2089" i="3"/>
  <c r="B2088" i="3"/>
  <c r="B2087" i="3"/>
  <c r="B2086" i="3"/>
  <c r="B2085" i="3"/>
  <c r="B2084" i="3"/>
  <c r="B2083" i="3"/>
  <c r="B2082" i="3"/>
  <c r="B2081" i="3"/>
  <c r="B2080" i="3"/>
  <c r="B2079" i="3"/>
  <c r="B2078" i="3"/>
  <c r="B2077" i="3"/>
  <c r="B2076" i="3"/>
  <c r="B2075" i="3"/>
  <c r="B2074" i="3"/>
  <c r="A2090" i="3" s="1"/>
  <c r="B2073" i="3"/>
  <c r="B2040" i="3"/>
  <c r="B2039" i="3"/>
  <c r="B2038" i="3"/>
  <c r="B2037" i="3"/>
  <c r="B2036" i="3"/>
  <c r="B2035" i="3"/>
  <c r="B2034" i="3"/>
  <c r="B2033" i="3"/>
  <c r="B2032" i="3"/>
  <c r="B2031" i="3"/>
  <c r="B2030" i="3"/>
  <c r="B2029" i="3"/>
  <c r="B2028" i="3"/>
  <c r="B2027" i="3"/>
  <c r="B2026" i="3"/>
  <c r="B2025" i="3"/>
  <c r="A2041" i="3" s="1"/>
  <c r="B2024" i="3"/>
  <c r="B1993" i="3"/>
  <c r="B1992" i="3"/>
  <c r="B1991" i="3"/>
  <c r="B1990" i="3"/>
  <c r="B1989" i="3"/>
  <c r="B1988" i="3"/>
  <c r="B1987" i="3"/>
  <c r="B1986" i="3"/>
  <c r="G2015" i="3" s="1"/>
  <c r="B1985" i="3"/>
  <c r="B1984" i="3"/>
  <c r="B1983" i="3"/>
  <c r="B1982" i="3"/>
  <c r="B1981" i="3"/>
  <c r="B1980" i="3"/>
  <c r="B1979" i="3"/>
  <c r="B1978" i="3"/>
  <c r="B1977" i="3"/>
  <c r="B1803" i="3"/>
  <c r="B1802" i="3"/>
  <c r="B1801" i="3"/>
  <c r="B1800" i="3"/>
  <c r="B1799" i="3"/>
  <c r="B1798" i="3"/>
  <c r="B1797" i="3"/>
  <c r="B1796" i="3"/>
  <c r="B1795" i="3"/>
  <c r="B1794" i="3"/>
  <c r="B1793" i="3"/>
  <c r="B1792" i="3"/>
  <c r="B1791" i="3"/>
  <c r="B1790" i="3"/>
  <c r="B1789" i="3"/>
  <c r="B1788" i="3"/>
  <c r="A1804" i="3" s="1"/>
  <c r="B1787" i="3"/>
  <c r="B1758" i="3"/>
  <c r="B1757" i="3"/>
  <c r="B1756" i="3"/>
  <c r="B1755" i="3"/>
  <c r="B1754" i="3"/>
  <c r="B1753" i="3"/>
  <c r="B1752" i="3"/>
  <c r="B1751" i="3"/>
  <c r="B1750" i="3"/>
  <c r="B1749" i="3"/>
  <c r="B1748" i="3"/>
  <c r="B1747" i="3"/>
  <c r="B1746" i="3"/>
  <c r="B1745" i="3"/>
  <c r="B1744" i="3"/>
  <c r="B1743" i="3"/>
  <c r="A1759" i="3" s="1"/>
  <c r="B1742" i="3"/>
  <c r="B1708" i="3"/>
  <c r="B1707" i="3"/>
  <c r="B1706" i="3"/>
  <c r="B1705" i="3"/>
  <c r="B1704" i="3"/>
  <c r="B1703" i="3"/>
  <c r="B1702" i="3"/>
  <c r="B1701" i="3"/>
  <c r="B1700" i="3"/>
  <c r="B1699" i="3"/>
  <c r="B1698" i="3"/>
  <c r="B1697" i="3"/>
  <c r="B1696" i="3"/>
  <c r="B1695" i="3"/>
  <c r="B1694" i="3"/>
  <c r="B1693" i="3"/>
  <c r="A1709" i="3" s="1"/>
  <c r="B1692" i="3"/>
  <c r="B1661" i="3"/>
  <c r="B1660" i="3"/>
  <c r="B1659" i="3"/>
  <c r="B1658" i="3"/>
  <c r="B1657" i="3"/>
  <c r="B1656" i="3"/>
  <c r="B1655" i="3"/>
  <c r="B1654" i="3"/>
  <c r="G3045" i="3" s="1"/>
  <c r="B1653" i="3"/>
  <c r="B1652" i="3"/>
  <c r="B1651" i="3"/>
  <c r="B1650" i="3"/>
  <c r="B1649" i="3"/>
  <c r="B1648" i="3"/>
  <c r="B1647" i="3"/>
  <c r="B1646" i="3"/>
  <c r="A1662" i="3" s="1"/>
  <c r="B1645" i="3"/>
  <c r="B1476" i="3"/>
  <c r="B1475" i="3"/>
  <c r="B1474" i="3"/>
  <c r="B1473" i="3"/>
  <c r="B1472" i="3"/>
  <c r="B1471" i="3"/>
  <c r="B1470" i="3"/>
  <c r="B1469" i="3"/>
  <c r="B1468" i="3"/>
  <c r="B1467" i="3"/>
  <c r="B1466" i="3"/>
  <c r="B1465" i="3"/>
  <c r="B1464" i="3"/>
  <c r="B1463" i="3"/>
  <c r="B1462" i="3"/>
  <c r="B1461" i="3"/>
  <c r="A1477" i="3" s="1"/>
  <c r="B1460" i="3"/>
  <c r="B1432" i="3"/>
  <c r="B1431" i="3"/>
  <c r="B1430" i="3"/>
  <c r="B1429" i="3"/>
  <c r="B1428" i="3"/>
  <c r="B1427" i="3"/>
  <c r="B1426" i="3"/>
  <c r="B1425" i="3"/>
  <c r="B1424" i="3"/>
  <c r="B1423" i="3"/>
  <c r="B1422" i="3"/>
  <c r="B1421" i="3"/>
  <c r="B1420" i="3"/>
  <c r="B1419" i="3"/>
  <c r="B1418" i="3"/>
  <c r="B1417" i="3"/>
  <c r="A1433" i="3" s="1"/>
  <c r="B1416" i="3"/>
  <c r="B1383" i="3"/>
  <c r="B1382" i="3"/>
  <c r="B1381" i="3"/>
  <c r="B1380" i="3"/>
  <c r="B1379" i="3"/>
  <c r="B1378" i="3"/>
  <c r="B1377" i="3"/>
  <c r="B1376" i="3"/>
  <c r="G1407" i="3" s="1"/>
  <c r="B1375" i="3"/>
  <c r="B1374" i="3"/>
  <c r="B1373" i="3"/>
  <c r="B1372" i="3"/>
  <c r="B1371" i="3"/>
  <c r="B1370" i="3"/>
  <c r="B1369" i="3"/>
  <c r="B1368" i="3"/>
  <c r="A1384" i="3" s="1"/>
  <c r="B1367" i="3"/>
  <c r="B1336" i="3"/>
  <c r="B1335" i="3"/>
  <c r="B1334" i="3"/>
  <c r="B1333" i="3"/>
  <c r="B1332" i="3"/>
  <c r="B1331" i="3"/>
  <c r="B1330" i="3"/>
  <c r="B1329" i="3"/>
  <c r="B1328" i="3"/>
  <c r="B1327" i="3"/>
  <c r="B1326" i="3"/>
  <c r="B1325" i="3"/>
  <c r="B1324" i="3"/>
  <c r="B1323" i="3"/>
  <c r="B1322" i="3"/>
  <c r="B1321" i="3"/>
  <c r="A1337" i="3" s="1"/>
  <c r="B1320" i="3"/>
  <c r="B1146" i="3"/>
  <c r="B1145" i="3"/>
  <c r="B1144" i="3"/>
  <c r="B1143" i="3"/>
  <c r="B1142" i="3"/>
  <c r="B1141" i="3"/>
  <c r="B1140" i="3"/>
  <c r="B1139" i="3"/>
  <c r="G2531" i="3" s="1"/>
  <c r="B1138" i="3"/>
  <c r="B1137" i="3"/>
  <c r="B1136" i="3"/>
  <c r="B1135" i="3"/>
  <c r="B1134" i="3"/>
  <c r="B1133" i="3"/>
  <c r="B1132" i="3"/>
  <c r="B1131" i="3"/>
  <c r="A1147" i="3" s="1"/>
  <c r="B1130" i="3"/>
  <c r="B1101" i="3"/>
  <c r="B1100" i="3"/>
  <c r="B1099" i="3"/>
  <c r="B1098" i="3"/>
  <c r="B1097" i="3"/>
  <c r="B1096" i="3"/>
  <c r="B1095" i="3"/>
  <c r="B1094" i="3"/>
  <c r="B1093" i="3"/>
  <c r="B1092" i="3"/>
  <c r="B1091" i="3"/>
  <c r="B1090" i="3"/>
  <c r="B1089" i="3"/>
  <c r="B1088" i="3"/>
  <c r="B1087" i="3"/>
  <c r="B1086" i="3"/>
  <c r="A1102" i="3" s="1"/>
  <c r="B1085" i="3"/>
  <c r="B1051" i="3"/>
  <c r="B1050" i="3"/>
  <c r="B1049" i="3"/>
  <c r="B1048" i="3"/>
  <c r="B1047" i="3"/>
  <c r="B1046" i="3"/>
  <c r="B1045" i="3"/>
  <c r="B1044" i="3"/>
  <c r="B1043" i="3"/>
  <c r="B1042" i="3"/>
  <c r="B1041" i="3"/>
  <c r="B1040" i="3"/>
  <c r="B1039" i="3"/>
  <c r="B1038" i="3"/>
  <c r="B1037" i="3"/>
  <c r="B1036" i="3"/>
  <c r="A1052" i="3" s="1"/>
  <c r="B1035" i="3"/>
  <c r="B1004" i="3"/>
  <c r="B1003" i="3"/>
  <c r="B1002" i="3"/>
  <c r="B1001" i="3"/>
  <c r="B1000" i="3"/>
  <c r="B999" i="3"/>
  <c r="B998" i="3"/>
  <c r="B997" i="3"/>
  <c r="G2389" i="3" s="1"/>
  <c r="B996" i="3"/>
  <c r="B995" i="3"/>
  <c r="B994" i="3"/>
  <c r="B993" i="3"/>
  <c r="B992" i="3"/>
  <c r="B991" i="3"/>
  <c r="B990" i="3"/>
  <c r="B989" i="3"/>
  <c r="A1005" i="3" s="1"/>
  <c r="B988" i="3"/>
  <c r="B819" i="3"/>
  <c r="B818" i="3"/>
  <c r="B817" i="3"/>
  <c r="B816" i="3"/>
  <c r="B815" i="3"/>
  <c r="B814" i="3"/>
  <c r="B813" i="3"/>
  <c r="B812" i="3"/>
  <c r="G2203" i="3" s="1"/>
  <c r="B811" i="3"/>
  <c r="B810" i="3"/>
  <c r="B809" i="3"/>
  <c r="B808" i="3"/>
  <c r="B807" i="3"/>
  <c r="B806" i="3"/>
  <c r="B805" i="3"/>
  <c r="B804" i="3"/>
  <c r="A820" i="3" s="1"/>
  <c r="B803" i="3"/>
  <c r="B775" i="3"/>
  <c r="B774" i="3"/>
  <c r="B773" i="3"/>
  <c r="B772" i="3"/>
  <c r="B771" i="3"/>
  <c r="B770" i="3"/>
  <c r="B769" i="3"/>
  <c r="B768" i="3"/>
  <c r="B767" i="3"/>
  <c r="B766" i="3"/>
  <c r="B765" i="3"/>
  <c r="B764" i="3"/>
  <c r="B763" i="3"/>
  <c r="B762" i="3"/>
  <c r="B761" i="3"/>
  <c r="B760" i="3"/>
  <c r="A776" i="3" s="1"/>
  <c r="B759" i="3"/>
  <c r="B726" i="3"/>
  <c r="B725" i="3"/>
  <c r="B724" i="3"/>
  <c r="B723" i="3"/>
  <c r="B722" i="3"/>
  <c r="B721" i="3"/>
  <c r="B720" i="3"/>
  <c r="B719" i="3"/>
  <c r="B718" i="3"/>
  <c r="B717" i="3"/>
  <c r="B716" i="3"/>
  <c r="B715" i="3"/>
  <c r="B714" i="3"/>
  <c r="B713" i="3"/>
  <c r="B712" i="3"/>
  <c r="B711" i="3"/>
  <c r="A727" i="3" s="1"/>
  <c r="B710" i="3"/>
  <c r="B679" i="3"/>
  <c r="B678" i="3"/>
  <c r="B677" i="3"/>
  <c r="B676" i="3"/>
  <c r="B675" i="3"/>
  <c r="B674" i="3"/>
  <c r="B673" i="3"/>
  <c r="B672" i="3"/>
  <c r="G2064" i="3" s="1"/>
  <c r="B671" i="3"/>
  <c r="B670" i="3"/>
  <c r="B669" i="3"/>
  <c r="B668" i="3"/>
  <c r="B667" i="3"/>
  <c r="B666" i="3"/>
  <c r="B665" i="3"/>
  <c r="B664" i="3"/>
  <c r="A680" i="3" s="1"/>
  <c r="B663" i="3"/>
  <c r="B585" i="3"/>
  <c r="B584" i="3"/>
  <c r="B583" i="3"/>
  <c r="B582" i="3"/>
  <c r="B581" i="3"/>
  <c r="B580" i="3"/>
  <c r="B579" i="3"/>
  <c r="B578" i="3"/>
  <c r="B577" i="3"/>
  <c r="B576" i="3"/>
  <c r="B575" i="3"/>
  <c r="B574" i="3"/>
  <c r="B573" i="3"/>
  <c r="B572" i="3"/>
  <c r="B571" i="3"/>
  <c r="B570" i="3"/>
  <c r="A586" i="3" s="1"/>
  <c r="B569" i="3"/>
  <c r="B495" i="3"/>
  <c r="B494" i="3"/>
  <c r="B493" i="3"/>
  <c r="B492" i="3"/>
  <c r="B491" i="3"/>
  <c r="B490" i="3"/>
  <c r="B489" i="3"/>
  <c r="B488" i="3"/>
  <c r="G1874" i="3" s="1"/>
  <c r="B487" i="3"/>
  <c r="B486" i="3"/>
  <c r="B485" i="3"/>
  <c r="B484" i="3"/>
  <c r="B483" i="3"/>
  <c r="B482" i="3"/>
  <c r="B481" i="3"/>
  <c r="B480" i="3"/>
  <c r="A496" i="3" s="1"/>
  <c r="B479" i="3"/>
  <c r="B395" i="3"/>
  <c r="B394" i="3"/>
  <c r="B393" i="3"/>
  <c r="B392" i="3"/>
  <c r="B391" i="3"/>
  <c r="B390" i="3"/>
  <c r="B389" i="3"/>
  <c r="B388" i="3"/>
  <c r="B387" i="3"/>
  <c r="B386" i="3"/>
  <c r="B385" i="3"/>
  <c r="B384" i="3"/>
  <c r="B383" i="3"/>
  <c r="B382" i="3"/>
  <c r="B381" i="3"/>
  <c r="B380" i="3"/>
  <c r="A396" i="3" s="1"/>
  <c r="B379" i="3"/>
  <c r="B348" i="3"/>
  <c r="B347" i="3"/>
  <c r="B346" i="3"/>
  <c r="B345" i="3"/>
  <c r="B344" i="3"/>
  <c r="B343" i="3"/>
  <c r="B342" i="3"/>
  <c r="B341" i="3"/>
  <c r="G1732" i="3" s="1"/>
  <c r="B340" i="3"/>
  <c r="B339" i="3"/>
  <c r="B338" i="3"/>
  <c r="B337" i="3"/>
  <c r="B336" i="3"/>
  <c r="B335" i="3"/>
  <c r="B334" i="3"/>
  <c r="B333" i="3"/>
  <c r="A349" i="3" s="1"/>
  <c r="B332" i="3"/>
  <c r="B256" i="3"/>
  <c r="B255" i="3"/>
  <c r="B254" i="3"/>
  <c r="B253" i="3"/>
  <c r="B252" i="3"/>
  <c r="B251" i="3"/>
  <c r="B250" i="3"/>
  <c r="B249" i="3"/>
  <c r="B248" i="3"/>
  <c r="B247" i="3"/>
  <c r="B246" i="3"/>
  <c r="B245" i="3"/>
  <c r="B244" i="3"/>
  <c r="B243" i="3"/>
  <c r="B242" i="3"/>
  <c r="B241" i="3"/>
  <c r="A257" i="3" s="1"/>
  <c r="B240" i="3"/>
  <c r="B168" i="3"/>
  <c r="B167" i="3"/>
  <c r="B166" i="3"/>
  <c r="B165" i="3"/>
  <c r="B164" i="3"/>
  <c r="B163" i="3"/>
  <c r="B162" i="3"/>
  <c r="B161" i="3"/>
  <c r="G1546" i="3" s="1"/>
  <c r="B160" i="3"/>
  <c r="B159" i="3"/>
  <c r="B158" i="3"/>
  <c r="B157" i="3"/>
  <c r="B156" i="3"/>
  <c r="B155" i="3"/>
  <c r="B154" i="3"/>
  <c r="B153" i="3"/>
  <c r="A169" i="3" s="1"/>
  <c r="B152" i="3"/>
  <c r="B70" i="3"/>
  <c r="B69" i="3"/>
  <c r="B68" i="3"/>
  <c r="B67" i="3"/>
  <c r="B66" i="3"/>
  <c r="B65" i="3"/>
  <c r="B64" i="3"/>
  <c r="B63" i="3"/>
  <c r="B62" i="3"/>
  <c r="B61" i="3"/>
  <c r="B60" i="3"/>
  <c r="B59" i="3"/>
  <c r="B58" i="3"/>
  <c r="B57" i="3"/>
  <c r="B56" i="3"/>
  <c r="B55" i="3"/>
  <c r="A71" i="3" s="1"/>
  <c r="B54" i="3"/>
  <c r="B23" i="3"/>
  <c r="B22" i="3"/>
  <c r="B21" i="3"/>
  <c r="B20" i="3"/>
  <c r="B19" i="3"/>
  <c r="B18" i="3"/>
  <c r="B17" i="3"/>
  <c r="B16" i="3"/>
  <c r="B15" i="3"/>
  <c r="B14" i="3"/>
  <c r="B13" i="3"/>
  <c r="B12" i="3"/>
  <c r="B11" i="3"/>
  <c r="B10" i="3"/>
  <c r="B9" i="3"/>
  <c r="B8" i="3"/>
  <c r="A24" i="3" s="1"/>
  <c r="B7" i="3"/>
  <c r="D9" i="2"/>
  <c r="R9" i="2" s="1"/>
  <c r="S9" i="2" s="1"/>
  <c r="D8" i="2"/>
  <c r="R8" i="2" s="1"/>
  <c r="S8" i="2" s="1"/>
  <c r="I9" i="2"/>
  <c r="A9" i="2"/>
  <c r="E390" i="4"/>
  <c r="C390" i="4"/>
  <c r="E386" i="4"/>
  <c r="E321" i="4"/>
  <c r="C321" i="4"/>
  <c r="E317" i="4"/>
  <c r="E251" i="4"/>
  <c r="C251" i="4"/>
  <c r="E247" i="4"/>
  <c r="B1182" i="10"/>
  <c r="J1182" i="10" s="1"/>
  <c r="B1181" i="10"/>
  <c r="J1181" i="10" s="1"/>
  <c r="G1177" i="10"/>
  <c r="A1177" i="10"/>
  <c r="B1199" i="10"/>
  <c r="J1199" i="10" s="1"/>
  <c r="B1198" i="10"/>
  <c r="J1198" i="10" s="1"/>
  <c r="G1194" i="10"/>
  <c r="A1194" i="10"/>
  <c r="G1211" i="10"/>
  <c r="B1216" i="10"/>
  <c r="J1216" i="10" s="1"/>
  <c r="B1215" i="10"/>
  <c r="J1215" i="10" s="1"/>
  <c r="A1211" i="10"/>
  <c r="B64" i="2"/>
  <c r="B62" i="2"/>
  <c r="B55" i="2"/>
  <c r="B28" i="2"/>
  <c r="A1161" i="10"/>
  <c r="B1165" i="10"/>
  <c r="J1165" i="10" s="1"/>
  <c r="B1164" i="10"/>
  <c r="J1164" i="10" s="1"/>
  <c r="B1163" i="10"/>
  <c r="J1163" i="10" s="1"/>
  <c r="B1162" i="10"/>
  <c r="J1162" i="10" s="1"/>
  <c r="B1760" i="10"/>
  <c r="J1760" i="10" s="1"/>
  <c r="B1759" i="10"/>
  <c r="J1759" i="10" s="1"/>
  <c r="B1758" i="10"/>
  <c r="J1758" i="10" s="1"/>
  <c r="B1754" i="10"/>
  <c r="J1754" i="10" s="1"/>
  <c r="A1751" i="10"/>
  <c r="B1755" i="10"/>
  <c r="J1755" i="10" s="1"/>
  <c r="B27" i="2"/>
  <c r="G1728" i="10"/>
  <c r="B1739" i="10"/>
  <c r="J1739" i="10" s="1"/>
  <c r="A1728" i="10"/>
  <c r="D1728" i="10"/>
  <c r="C1728" i="10"/>
  <c r="G516" i="15"/>
  <c r="E516" i="15"/>
  <c r="C516" i="15"/>
  <c r="A516" i="15"/>
  <c r="G511" i="15"/>
  <c r="E511" i="15"/>
  <c r="C511" i="15"/>
  <c r="A511" i="15"/>
  <c r="E510" i="15"/>
  <c r="G468" i="15"/>
  <c r="E468" i="15"/>
  <c r="C468" i="15"/>
  <c r="A468" i="15"/>
  <c r="G466" i="15"/>
  <c r="E466" i="15"/>
  <c r="C466" i="15"/>
  <c r="A466" i="15"/>
  <c r="E465" i="15"/>
  <c r="G422" i="15"/>
  <c r="E422" i="15"/>
  <c r="C422" i="15"/>
  <c r="A422" i="15"/>
  <c r="G418" i="15"/>
  <c r="E418" i="15"/>
  <c r="C418" i="15"/>
  <c r="A418" i="15"/>
  <c r="G417" i="15"/>
  <c r="E417" i="15"/>
  <c r="C417" i="15"/>
  <c r="A417" i="15"/>
  <c r="G416" i="15"/>
  <c r="E416" i="15"/>
  <c r="C416" i="15"/>
  <c r="A416" i="15"/>
  <c r="E415" i="15"/>
  <c r="G372" i="15"/>
  <c r="E372" i="15"/>
  <c r="C372" i="15"/>
  <c r="A372" i="15"/>
  <c r="E367" i="15"/>
  <c r="G181" i="15"/>
  <c r="E181" i="15"/>
  <c r="C181" i="15"/>
  <c r="A181" i="15"/>
  <c r="E180" i="15"/>
  <c r="G137" i="15"/>
  <c r="E137" i="15"/>
  <c r="C137" i="15"/>
  <c r="A137" i="15"/>
  <c r="E136" i="15"/>
  <c r="G90" i="15"/>
  <c r="E90" i="15"/>
  <c r="C90" i="15"/>
  <c r="A90" i="15"/>
  <c r="G89" i="15"/>
  <c r="E89" i="15"/>
  <c r="C89" i="15"/>
  <c r="A89" i="15"/>
  <c r="G88" i="15"/>
  <c r="E88" i="15"/>
  <c r="C88" i="15"/>
  <c r="A88" i="15"/>
  <c r="E87" i="15"/>
  <c r="E40" i="15"/>
  <c r="G530" i="10"/>
  <c r="A530" i="10"/>
  <c r="B806" i="10"/>
  <c r="J806" i="10" s="1"/>
  <c r="B790" i="10"/>
  <c r="J790" i="10" s="1"/>
  <c r="B774" i="10"/>
  <c r="J774" i="10" s="1"/>
  <c r="B758" i="10"/>
  <c r="J758" i="10" s="1"/>
  <c r="B742" i="10"/>
  <c r="J742" i="10" s="1"/>
  <c r="B740" i="10"/>
  <c r="J740" i="10" s="1"/>
  <c r="B739" i="10"/>
  <c r="J739" i="10" s="1"/>
  <c r="A740" i="10"/>
  <c r="A756" i="10" s="1"/>
  <c r="A772" i="10" s="1"/>
  <c r="A788" i="10" s="1"/>
  <c r="A804" i="10" s="1"/>
  <c r="A739" i="10"/>
  <c r="A755" i="10" s="1"/>
  <c r="A771" i="10" s="1"/>
  <c r="A787" i="10" s="1"/>
  <c r="A803" i="10" s="1"/>
  <c r="C802" i="10"/>
  <c r="C786" i="10"/>
  <c r="B760" i="10"/>
  <c r="A760" i="10"/>
  <c r="A776" i="10" s="1"/>
  <c r="A792" i="10" s="1"/>
  <c r="A808" i="10" s="1"/>
  <c r="B759" i="10"/>
  <c r="A759" i="10"/>
  <c r="A775" i="10" s="1"/>
  <c r="A791" i="10" s="1"/>
  <c r="A807" i="10" s="1"/>
  <c r="B757" i="10"/>
  <c r="B756" i="10"/>
  <c r="B755" i="10"/>
  <c r="C754" i="10"/>
  <c r="D738" i="10"/>
  <c r="C738" i="10"/>
  <c r="B886" i="10"/>
  <c r="J886" i="10" s="1"/>
  <c r="B885" i="10"/>
  <c r="J885" i="10" s="1"/>
  <c r="B884" i="10"/>
  <c r="J884" i="10" s="1"/>
  <c r="B883" i="10"/>
  <c r="J883" i="10" s="1"/>
  <c r="B882" i="10"/>
  <c r="J882" i="10" s="1"/>
  <c r="B881" i="10"/>
  <c r="J881" i="10" s="1"/>
  <c r="B880" i="10"/>
  <c r="J880" i="10" s="1"/>
  <c r="B879" i="10"/>
  <c r="J879" i="10" s="1"/>
  <c r="B878" i="10"/>
  <c r="J878" i="10" s="1"/>
  <c r="B877" i="10"/>
  <c r="J877" i="10" s="1"/>
  <c r="B876" i="10"/>
  <c r="J876" i="10" s="1"/>
  <c r="B875" i="10"/>
  <c r="J875" i="10" s="1"/>
  <c r="B874" i="10"/>
  <c r="J874" i="10" s="1"/>
  <c r="B871" i="10"/>
  <c r="J871" i="10" s="1"/>
  <c r="B870" i="10"/>
  <c r="J870" i="10" s="1"/>
  <c r="B861" i="10"/>
  <c r="J861" i="10" s="1"/>
  <c r="B860" i="10"/>
  <c r="J860" i="10" s="1"/>
  <c r="B859" i="10"/>
  <c r="J859" i="10" s="1"/>
  <c r="B858" i="10"/>
  <c r="J858" i="10" s="1"/>
  <c r="B857" i="10"/>
  <c r="J857" i="10" s="1"/>
  <c r="B856" i="10"/>
  <c r="J856" i="10" s="1"/>
  <c r="B855" i="10"/>
  <c r="J855" i="10" s="1"/>
  <c r="B854" i="10"/>
  <c r="J854" i="10" s="1"/>
  <c r="B853" i="10"/>
  <c r="J853" i="10" s="1"/>
  <c r="B852" i="10"/>
  <c r="J852" i="10" s="1"/>
  <c r="B851" i="10"/>
  <c r="J851" i="10" s="1"/>
  <c r="B850" i="10"/>
  <c r="J850" i="10" s="1"/>
  <c r="B849" i="10"/>
  <c r="J849" i="10" s="1"/>
  <c r="A844" i="10"/>
  <c r="B828" i="10"/>
  <c r="J828" i="10" s="1"/>
  <c r="B827" i="10"/>
  <c r="J827" i="10" s="1"/>
  <c r="G818" i="10"/>
  <c r="D818" i="10"/>
  <c r="A818" i="10"/>
  <c r="B590" i="10"/>
  <c r="B589" i="10"/>
  <c r="J589" i="10" s="1"/>
  <c r="B574" i="10"/>
  <c r="J574" i="10" s="1"/>
  <c r="B573" i="10"/>
  <c r="J573" i="10" s="1"/>
  <c r="A574" i="10"/>
  <c r="A590" i="10" s="1"/>
  <c r="A606" i="10" s="1"/>
  <c r="A622" i="10" s="1"/>
  <c r="A638" i="10" s="1"/>
  <c r="A573" i="10"/>
  <c r="A589" i="10" s="1"/>
  <c r="A605" i="10" s="1"/>
  <c r="A621" i="10" s="1"/>
  <c r="A637" i="10" s="1"/>
  <c r="C636" i="10"/>
  <c r="C620" i="10"/>
  <c r="B594" i="10"/>
  <c r="A594" i="10"/>
  <c r="A610" i="10" s="1"/>
  <c r="A626" i="10" s="1"/>
  <c r="A642" i="10" s="1"/>
  <c r="B593" i="10"/>
  <c r="A593" i="10"/>
  <c r="A609" i="10" s="1"/>
  <c r="A625" i="10" s="1"/>
  <c r="A641" i="10" s="1"/>
  <c r="B591" i="10"/>
  <c r="C588" i="10"/>
  <c r="D572" i="10"/>
  <c r="C572" i="10"/>
  <c r="A669" i="10"/>
  <c r="G652" i="10"/>
  <c r="D652" i="10"/>
  <c r="A652" i="10"/>
  <c r="A446" i="10"/>
  <c r="B434" i="10"/>
  <c r="J434" i="10" s="1"/>
  <c r="B418" i="10"/>
  <c r="J418" i="10" s="1"/>
  <c r="B402" i="10"/>
  <c r="J402" i="10" s="1"/>
  <c r="B386" i="10"/>
  <c r="J386" i="10" s="1"/>
  <c r="B370" i="10"/>
  <c r="J370" i="10" s="1"/>
  <c r="B368" i="10"/>
  <c r="J368" i="10" s="1"/>
  <c r="B367" i="10"/>
  <c r="J367" i="10" s="1"/>
  <c r="A368" i="10"/>
  <c r="A367" i="10"/>
  <c r="A471" i="10"/>
  <c r="K199" i="5"/>
  <c r="O12" i="2"/>
  <c r="B1544" i="10"/>
  <c r="J1544" i="10" s="1"/>
  <c r="F12" i="12"/>
  <c r="E12" i="12"/>
  <c r="R12" i="2"/>
  <c r="P12" i="2"/>
  <c r="U12" i="2" s="1"/>
  <c r="D7" i="2"/>
  <c r="R7" i="2" s="1"/>
  <c r="S7" i="2" s="1"/>
  <c r="X7" i="2"/>
  <c r="W7" i="2"/>
  <c r="V7" i="2"/>
  <c r="F8" i="12"/>
  <c r="F6" i="12"/>
  <c r="X6" i="2"/>
  <c r="W6" i="2"/>
  <c r="P6" i="2"/>
  <c r="U6" i="2" s="1"/>
  <c r="T10" i="2"/>
  <c r="U10" i="2" s="1"/>
  <c r="O11" i="2"/>
  <c r="O5" i="2"/>
  <c r="R15" i="2"/>
  <c r="S15" i="2" s="1"/>
  <c r="R14" i="2"/>
  <c r="S14" i="2" s="1"/>
  <c r="R13" i="2"/>
  <c r="S13" i="2" s="1"/>
  <c r="R11" i="2"/>
  <c r="S11" i="2" s="1"/>
  <c r="R10" i="2"/>
  <c r="S10" i="2" s="1"/>
  <c r="R6" i="2"/>
  <c r="R4" i="2"/>
  <c r="S4" i="2" s="1"/>
  <c r="AA4" i="2" s="1"/>
  <c r="AB4" i="2" s="1"/>
  <c r="AC4" i="2" s="1"/>
  <c r="R5" i="2"/>
  <c r="S5" i="2" s="1"/>
  <c r="AA5" i="2" s="1"/>
  <c r="AB5" i="2" s="1"/>
  <c r="AC5" i="2" s="1"/>
  <c r="X11" i="2"/>
  <c r="W11" i="2"/>
  <c r="V11" i="2"/>
  <c r="E4" i="12"/>
  <c r="X5" i="2"/>
  <c r="W5" i="2"/>
  <c r="V5" i="2"/>
  <c r="I15" i="2"/>
  <c r="I14" i="2"/>
  <c r="I13" i="2"/>
  <c r="I12" i="2"/>
  <c r="I11" i="2"/>
  <c r="I10" i="2"/>
  <c r="I8" i="2"/>
  <c r="I7" i="2"/>
  <c r="I6" i="2"/>
  <c r="I5" i="2"/>
  <c r="I4" i="2"/>
  <c r="B1568" i="10"/>
  <c r="J1568" i="10" s="1"/>
  <c r="B1669" i="10"/>
  <c r="J1669" i="10" s="1"/>
  <c r="B1668" i="10"/>
  <c r="B1597" i="10"/>
  <c r="J1597" i="10" s="1"/>
  <c r="B1596" i="10"/>
  <c r="B1543" i="10"/>
  <c r="J1543" i="10" s="1"/>
  <c r="G285" i="7"/>
  <c r="E285" i="7"/>
  <c r="C285" i="7"/>
  <c r="A285" i="7"/>
  <c r="G284" i="7"/>
  <c r="E284" i="7"/>
  <c r="C284" i="7"/>
  <c r="A284" i="7"/>
  <c r="E283" i="7"/>
  <c r="B267" i="7"/>
  <c r="B276" i="7" s="1"/>
  <c r="B266" i="7"/>
  <c r="B265" i="7"/>
  <c r="B264" i="7"/>
  <c r="B263" i="7"/>
  <c r="B262" i="7"/>
  <c r="B261" i="7"/>
  <c r="B260" i="7"/>
  <c r="B259" i="7"/>
  <c r="B258" i="7"/>
  <c r="B257" i="7"/>
  <c r="B256" i="7"/>
  <c r="B255" i="7"/>
  <c r="B254" i="7"/>
  <c r="B253" i="7"/>
  <c r="B252" i="7"/>
  <c r="C283" i="7" s="1"/>
  <c r="B251" i="7"/>
  <c r="G283" i="7" s="1"/>
  <c r="G236" i="7"/>
  <c r="E236" i="7"/>
  <c r="C236" i="7"/>
  <c r="A236" i="7"/>
  <c r="G235" i="7"/>
  <c r="E235" i="7"/>
  <c r="C235" i="7"/>
  <c r="A235" i="7"/>
  <c r="E234" i="7"/>
  <c r="B218" i="7"/>
  <c r="B227" i="7" s="1"/>
  <c r="B217" i="7"/>
  <c r="B216" i="7"/>
  <c r="B215" i="7"/>
  <c r="B214" i="7"/>
  <c r="B213" i="7"/>
  <c r="B212" i="7"/>
  <c r="B211" i="7"/>
  <c r="B210" i="7"/>
  <c r="B209" i="7"/>
  <c r="B208" i="7"/>
  <c r="B207" i="7"/>
  <c r="B206" i="7"/>
  <c r="B205" i="7"/>
  <c r="B204" i="7"/>
  <c r="B203" i="7"/>
  <c r="C234" i="7" s="1"/>
  <c r="B202" i="7"/>
  <c r="G234" i="7" s="1"/>
  <c r="G187" i="7"/>
  <c r="E187" i="7"/>
  <c r="C187" i="7"/>
  <c r="A187" i="7"/>
  <c r="G186" i="7"/>
  <c r="E186" i="7"/>
  <c r="C186" i="7"/>
  <c r="A186" i="7"/>
  <c r="E185" i="7"/>
  <c r="B169" i="7"/>
  <c r="B178" i="7" s="1"/>
  <c r="B168" i="7"/>
  <c r="B167" i="7"/>
  <c r="B166" i="7"/>
  <c r="B165" i="7"/>
  <c r="B164" i="7"/>
  <c r="B163" i="7"/>
  <c r="B162" i="7"/>
  <c r="B161" i="7"/>
  <c r="B160" i="7"/>
  <c r="B159" i="7"/>
  <c r="B158" i="7"/>
  <c r="B157" i="7"/>
  <c r="B156" i="7"/>
  <c r="B155" i="7"/>
  <c r="B154" i="7"/>
  <c r="C185" i="7" s="1"/>
  <c r="B153" i="7"/>
  <c r="G185" i="7" s="1"/>
  <c r="G138" i="7"/>
  <c r="E138" i="7"/>
  <c r="C138" i="7"/>
  <c r="A138" i="7"/>
  <c r="G137" i="7"/>
  <c r="E137" i="7"/>
  <c r="C137" i="7"/>
  <c r="A137" i="7"/>
  <c r="E136" i="7"/>
  <c r="B120" i="7"/>
  <c r="B129" i="7" s="1"/>
  <c r="B119" i="7"/>
  <c r="B118" i="7"/>
  <c r="B117" i="7"/>
  <c r="B116" i="7"/>
  <c r="B115" i="7"/>
  <c r="B114" i="7"/>
  <c r="B113" i="7"/>
  <c r="B112" i="7"/>
  <c r="B111" i="7"/>
  <c r="B110" i="7"/>
  <c r="B109" i="7"/>
  <c r="B108" i="7"/>
  <c r="B107" i="7"/>
  <c r="B106" i="7"/>
  <c r="B105" i="7"/>
  <c r="C136" i="7" s="1"/>
  <c r="B104" i="7"/>
  <c r="G136" i="7" s="1"/>
  <c r="G89" i="7"/>
  <c r="E89" i="7"/>
  <c r="C89" i="7"/>
  <c r="A89" i="7"/>
  <c r="G88" i="7"/>
  <c r="E88" i="7"/>
  <c r="C88" i="7"/>
  <c r="A88" i="7"/>
  <c r="E87" i="7"/>
  <c r="B71" i="7"/>
  <c r="B80" i="7" s="1"/>
  <c r="B70" i="7"/>
  <c r="B69" i="7"/>
  <c r="B68" i="7"/>
  <c r="B67" i="7"/>
  <c r="B66" i="7"/>
  <c r="B65" i="7"/>
  <c r="B64" i="7"/>
  <c r="B63" i="7"/>
  <c r="B62" i="7"/>
  <c r="B61" i="7"/>
  <c r="B60" i="7"/>
  <c r="B59" i="7"/>
  <c r="B58" i="7"/>
  <c r="B57" i="7"/>
  <c r="B56" i="7"/>
  <c r="C87" i="7" s="1"/>
  <c r="B55" i="7"/>
  <c r="G87" i="7" s="1"/>
  <c r="B1714" i="10"/>
  <c r="J1714" i="10" s="1"/>
  <c r="B1693" i="10"/>
  <c r="J1693" i="10" s="1"/>
  <c r="B1713" i="10"/>
  <c r="J1713" i="10" s="1"/>
  <c r="B1712" i="10"/>
  <c r="J1712" i="10" s="1"/>
  <c r="B1711" i="10"/>
  <c r="J1711" i="10" s="1"/>
  <c r="B1710" i="10"/>
  <c r="J1710" i="10" s="1"/>
  <c r="B1708" i="10"/>
  <c r="J1708" i="10" s="1"/>
  <c r="B1707" i="10"/>
  <c r="J1707" i="10" s="1"/>
  <c r="B1706" i="10"/>
  <c r="J1706" i="10" s="1"/>
  <c r="B1683" i="10"/>
  <c r="J1683" i="10" s="1"/>
  <c r="B1681" i="10"/>
  <c r="J1681" i="10" s="1"/>
  <c r="B1672" i="10"/>
  <c r="J1672" i="10" s="1"/>
  <c r="B1642" i="10"/>
  <c r="J1642" i="10" s="1"/>
  <c r="B1641" i="10"/>
  <c r="J1641" i="10" s="1"/>
  <c r="B1640" i="10"/>
  <c r="J1640" i="10" s="1"/>
  <c r="B1639" i="10"/>
  <c r="J1639" i="10" s="1"/>
  <c r="B1638" i="10"/>
  <c r="J1638" i="10" s="1"/>
  <c r="B1636" i="10"/>
  <c r="J1636" i="10" s="1"/>
  <c r="B1635" i="10"/>
  <c r="J1635" i="10" s="1"/>
  <c r="B1634" i="10"/>
  <c r="J1634" i="10" s="1"/>
  <c r="B1611" i="10"/>
  <c r="J1611" i="10" s="1"/>
  <c r="B1609" i="10"/>
  <c r="J1609" i="10" s="1"/>
  <c r="B1600" i="10"/>
  <c r="J1600" i="10" s="1"/>
  <c r="B1566" i="10"/>
  <c r="J1566" i="10" s="1"/>
  <c r="B1571" i="10"/>
  <c r="J1571" i="10" s="1"/>
  <c r="B1570" i="10"/>
  <c r="J1570" i="10" s="1"/>
  <c r="B1569" i="10"/>
  <c r="J1569" i="10" s="1"/>
  <c r="B1567" i="10"/>
  <c r="J1567" i="10" s="1"/>
  <c r="B1565" i="10"/>
  <c r="J1565" i="10" s="1"/>
  <c r="B1545" i="10"/>
  <c r="J1545" i="10" s="1"/>
  <c r="A15" i="2"/>
  <c r="A14" i="2"/>
  <c r="G40" i="7"/>
  <c r="E40" i="7"/>
  <c r="C40" i="7"/>
  <c r="A40" i="7"/>
  <c r="G39" i="7"/>
  <c r="E39" i="7"/>
  <c r="C39" i="7"/>
  <c r="A39" i="7"/>
  <c r="E38" i="7"/>
  <c r="B22" i="7"/>
  <c r="B31" i="7" s="1"/>
  <c r="B21" i="7"/>
  <c r="B20" i="7"/>
  <c r="B19" i="7"/>
  <c r="B18" i="7"/>
  <c r="B17" i="7"/>
  <c r="B16" i="7"/>
  <c r="B15" i="7"/>
  <c r="B14" i="7"/>
  <c r="B13" i="7"/>
  <c r="B12" i="7"/>
  <c r="B11" i="7"/>
  <c r="B10" i="7"/>
  <c r="B9" i="7"/>
  <c r="B8" i="7"/>
  <c r="B7" i="7"/>
  <c r="C38" i="7" s="1"/>
  <c r="B6" i="7"/>
  <c r="G38" i="7" s="1"/>
  <c r="E292" i="5"/>
  <c r="C292" i="5"/>
  <c r="G291" i="5"/>
  <c r="E291" i="5"/>
  <c r="C291" i="5"/>
  <c r="A291" i="5"/>
  <c r="E290" i="5"/>
  <c r="E245" i="5"/>
  <c r="C245" i="5"/>
  <c r="G244" i="5"/>
  <c r="E244" i="5"/>
  <c r="C244" i="5"/>
  <c r="A244" i="5"/>
  <c r="E243" i="5"/>
  <c r="I13" i="12"/>
  <c r="J13" i="12" s="1"/>
  <c r="I12" i="12"/>
  <c r="J12" i="12" s="1"/>
  <c r="E198" i="5"/>
  <c r="C198" i="5"/>
  <c r="G197" i="5"/>
  <c r="E197" i="5"/>
  <c r="C197" i="5"/>
  <c r="A197" i="5"/>
  <c r="E196" i="5"/>
  <c r="L155" i="5"/>
  <c r="M155" i="5" s="1"/>
  <c r="L154" i="5"/>
  <c r="M154" i="5" s="1"/>
  <c r="E144" i="5"/>
  <c r="C144" i="5"/>
  <c r="E142" i="5"/>
  <c r="L103" i="5"/>
  <c r="M103" i="5" s="1"/>
  <c r="L102" i="5"/>
  <c r="M102" i="5" s="1"/>
  <c r="E92" i="5"/>
  <c r="C92" i="5"/>
  <c r="E90" i="5"/>
  <c r="L51" i="5"/>
  <c r="M51" i="5" s="1"/>
  <c r="L50" i="5"/>
  <c r="M50" i="5" s="1"/>
  <c r="H11" i="12"/>
  <c r="I11" i="12" s="1"/>
  <c r="J11" i="12" s="1"/>
  <c r="E40" i="5"/>
  <c r="C40" i="5"/>
  <c r="B1432" i="10"/>
  <c r="J1432" i="10" s="1"/>
  <c r="B1431" i="10"/>
  <c r="J1431" i="10" s="1"/>
  <c r="B1396" i="10"/>
  <c r="J1396" i="10" s="1"/>
  <c r="B1395" i="10"/>
  <c r="J1395" i="10" s="1"/>
  <c r="B1394" i="10"/>
  <c r="J1394" i="10" s="1"/>
  <c r="B1393" i="10"/>
  <c r="J1393" i="10" s="1"/>
  <c r="B1392" i="10"/>
  <c r="B1390" i="10"/>
  <c r="J1390" i="10" s="1"/>
  <c r="B1350" i="10"/>
  <c r="J1350" i="10" s="1"/>
  <c r="B1349" i="10"/>
  <c r="J1349" i="10" s="1"/>
  <c r="B1348" i="10"/>
  <c r="J1348" i="10" s="1"/>
  <c r="B1347" i="10"/>
  <c r="J1347" i="10" s="1"/>
  <c r="B1346" i="10"/>
  <c r="B1344" i="10"/>
  <c r="J1344" i="10" s="1"/>
  <c r="B1414" i="10"/>
  <c r="J1414" i="10" s="1"/>
  <c r="B1304" i="10"/>
  <c r="J1304" i="10" s="1"/>
  <c r="B1303" i="10"/>
  <c r="J1303" i="10" s="1"/>
  <c r="B1302" i="10"/>
  <c r="J1302" i="10" s="1"/>
  <c r="B1301" i="10"/>
  <c r="J1301" i="10" s="1"/>
  <c r="B1300" i="10"/>
  <c r="B1298" i="10"/>
  <c r="J1298" i="10" s="1"/>
  <c r="B376" i="5" l="1"/>
  <c r="B1748" i="10"/>
  <c r="B1753" i="10" s="1"/>
  <c r="J1753" i="10" s="1"/>
  <c r="B60" i="18"/>
  <c r="B178" i="17"/>
  <c r="B61" i="17"/>
  <c r="B1252" i="10"/>
  <c r="B1258" i="10" s="1"/>
  <c r="J1258" i="10" s="1"/>
  <c r="B98" i="18"/>
  <c r="B217" i="17"/>
  <c r="B100" i="17"/>
  <c r="C247" i="4"/>
  <c r="B210" i="4"/>
  <c r="A93" i="15"/>
  <c r="A185" i="15"/>
  <c r="A233" i="15"/>
  <c r="A2498" i="13"/>
  <c r="B264" i="4"/>
  <c r="L264" i="4" s="1"/>
  <c r="M264" i="4" s="1"/>
  <c r="B265" i="4"/>
  <c r="A467" i="13"/>
  <c r="A1128" i="13"/>
  <c r="A1789" i="13"/>
  <c r="A2450" i="13"/>
  <c r="A658" i="13"/>
  <c r="A1319" i="13"/>
  <c r="A1600" i="13"/>
  <c r="A1980" i="13"/>
  <c r="A2261" i="13"/>
  <c r="A2641" i="13"/>
  <c r="A138" i="15"/>
  <c r="A515" i="13"/>
  <c r="A1176" i="13"/>
  <c r="A1837" i="13"/>
  <c r="A138" i="14"/>
  <c r="A799" i="14"/>
  <c r="A846" i="13"/>
  <c r="A1507" i="13"/>
  <c r="A2168" i="13"/>
  <c r="A185" i="14"/>
  <c r="A846" i="14"/>
  <c r="A278" i="14"/>
  <c r="A658" i="14"/>
  <c r="A939" i="14"/>
  <c r="A1319" i="14"/>
  <c r="A986" i="13"/>
  <c r="A1647" i="13"/>
  <c r="A2308" i="13"/>
  <c r="A371" i="14"/>
  <c r="A1032" i="14"/>
  <c r="A564" i="15"/>
  <c r="A44" i="15"/>
  <c r="A515" i="15"/>
  <c r="A325" i="15"/>
  <c r="A610" i="15"/>
  <c r="A467" i="15"/>
  <c r="A421" i="15"/>
  <c r="A278" i="15"/>
  <c r="A658" i="15"/>
  <c r="A371" i="15"/>
  <c r="A421" i="14"/>
  <c r="A1082" i="14"/>
  <c r="A233" i="14"/>
  <c r="A894" i="14"/>
  <c r="A467" i="14"/>
  <c r="A1128" i="14"/>
  <c r="A515" i="14"/>
  <c r="A1176" i="14"/>
  <c r="A564" i="14"/>
  <c r="A1225" i="14"/>
  <c r="A44" i="14"/>
  <c r="A705" i="14"/>
  <c r="A93" i="14"/>
  <c r="A754" i="14"/>
  <c r="A325" i="14"/>
  <c r="A610" i="14"/>
  <c r="A986" i="14"/>
  <c r="A1271" i="14"/>
  <c r="A325" i="13"/>
  <c r="A2216" i="13"/>
  <c r="A2593" i="13"/>
  <c r="A610" i="13"/>
  <c r="A799" i="13"/>
  <c r="A1460" i="13"/>
  <c r="A2121" i="13"/>
  <c r="A1271" i="13"/>
  <c r="A939" i="13"/>
  <c r="A1932" i="13"/>
  <c r="A278" i="13"/>
  <c r="A1886" i="13"/>
  <c r="A1415" i="13"/>
  <c r="A421" i="13"/>
  <c r="A1082" i="13"/>
  <c r="A1743" i="13"/>
  <c r="A2404" i="13"/>
  <c r="A1225" i="13"/>
  <c r="A233" i="13"/>
  <c r="A2076" i="13"/>
  <c r="A2547" i="13"/>
  <c r="A894" i="13"/>
  <c r="A564" i="13"/>
  <c r="A754" i="13"/>
  <c r="A1555" i="13"/>
  <c r="A705" i="13"/>
  <c r="A1366" i="13"/>
  <c r="A2027" i="13"/>
  <c r="A371" i="13"/>
  <c r="A1032" i="13"/>
  <c r="A1693" i="13"/>
  <c r="A2354" i="13"/>
  <c r="A44" i="13"/>
  <c r="A93" i="13"/>
  <c r="A138" i="13"/>
  <c r="A185" i="13"/>
  <c r="G1825" i="3"/>
  <c r="G3187" i="3"/>
  <c r="G1358" i="3"/>
  <c r="G2720" i="3"/>
  <c r="G1498" i="3"/>
  <c r="G2859" i="3"/>
  <c r="A2339" i="3"/>
  <c r="G2339" i="3"/>
  <c r="A2995" i="3"/>
  <c r="G2995" i="3"/>
  <c r="G3233" i="3"/>
  <c r="A3233" i="3"/>
  <c r="G1682" i="3"/>
  <c r="A1682" i="3"/>
  <c r="A2904" i="3"/>
  <c r="G2904" i="3"/>
  <c r="A1778" i="3"/>
  <c r="G1778" i="3"/>
  <c r="A2435" i="3"/>
  <c r="G2435" i="3"/>
  <c r="A3091" i="3"/>
  <c r="G3091" i="3"/>
  <c r="A3187" i="3"/>
  <c r="G1920" i="3"/>
  <c r="A1920" i="3"/>
  <c r="A1591" i="3"/>
  <c r="G1591" i="3"/>
  <c r="A2248" i="3"/>
  <c r="G2248" i="3"/>
  <c r="A2577" i="3"/>
  <c r="G2577" i="3"/>
  <c r="A1452" i="3"/>
  <c r="G1452" i="3"/>
  <c r="A2109" i="3"/>
  <c r="G2109" i="3"/>
  <c r="A2765" i="3"/>
  <c r="G2765" i="3"/>
  <c r="A1407" i="3"/>
  <c r="A2064" i="3"/>
  <c r="A2720" i="3"/>
  <c r="A2531" i="3"/>
  <c r="A1546" i="3"/>
  <c r="A1732" i="3"/>
  <c r="A2389" i="3"/>
  <c r="A3045" i="3"/>
  <c r="A2203" i="3"/>
  <c r="A1874" i="3"/>
  <c r="A2859" i="3"/>
  <c r="A2624" i="3"/>
  <c r="A2950" i="3"/>
  <c r="A1498" i="3"/>
  <c r="A2811" i="3"/>
  <c r="A2155" i="3"/>
  <c r="A1967" i="3"/>
  <c r="A3280" i="3"/>
  <c r="A1637" i="3"/>
  <c r="A1825" i="3"/>
  <c r="A2482" i="3"/>
  <c r="A3138" i="3"/>
  <c r="A1358" i="3"/>
  <c r="A2015" i="3"/>
  <c r="A2671" i="3"/>
  <c r="A2294" i="3"/>
  <c r="A9915" i="3"/>
  <c r="A9250" i="3"/>
  <c r="A4309" i="3"/>
  <c r="A4973" i="3"/>
  <c r="A7631" i="3"/>
  <c r="A8295" i="3"/>
  <c r="A8959" i="3"/>
  <c r="A9624" i="3"/>
  <c r="A7777" i="3"/>
  <c r="A8441" i="3"/>
  <c r="A9105" i="3"/>
  <c r="A9770" i="3"/>
  <c r="A4648" i="3"/>
  <c r="A7970" i="3"/>
  <c r="A8634" i="3"/>
  <c r="A9299" i="3"/>
  <c r="A8249" i="3"/>
  <c r="A7585" i="3"/>
  <c r="A7446" i="3"/>
  <c r="A8110" i="3"/>
  <c r="A8774" i="3"/>
  <c r="A9439" i="3"/>
  <c r="A8586" i="3"/>
  <c r="A9578" i="3"/>
  <c r="A7922" i="3"/>
  <c r="A8913" i="3"/>
  <c r="A3937" i="3"/>
  <c r="A5546" i="3"/>
  <c r="A6545" i="3"/>
  <c r="A8203" i="3"/>
  <c r="A8867" i="3"/>
  <c r="A9532" i="3"/>
  <c r="A3652" i="3"/>
  <c r="A3748" i="3"/>
  <c r="A4407" i="3"/>
  <c r="A5071" i="3"/>
  <c r="A5736" i="3"/>
  <c r="A6400" i="3"/>
  <c r="A7064" i="3"/>
  <c r="A7729" i="3"/>
  <c r="A8393" i="3"/>
  <c r="A9057" i="3"/>
  <c r="A9722" i="3"/>
  <c r="A4552" i="3"/>
  <c r="A7209" i="3"/>
  <c r="A5362" i="3"/>
  <c r="A4881" i="3"/>
  <c r="A7539" i="3"/>
  <c r="A4078" i="3"/>
  <c r="A4742" i="3"/>
  <c r="A5407" i="3"/>
  <c r="A6071" i="3"/>
  <c r="A6735" i="3"/>
  <c r="A7400" i="3"/>
  <c r="A8064" i="3"/>
  <c r="A8728" i="3"/>
  <c r="A9393" i="3"/>
  <c r="A5881" i="3"/>
  <c r="A4217" i="3"/>
  <c r="A6874" i="3"/>
  <c r="A3890" i="3"/>
  <c r="A5216" i="3"/>
  <c r="A7874" i="3"/>
  <c r="A8538" i="3"/>
  <c r="A9202" i="3"/>
  <c r="A9867" i="3"/>
  <c r="A3561" i="3"/>
  <c r="A6210" i="3"/>
  <c r="A3422" i="3"/>
  <c r="A5169" i="3"/>
  <c r="A7827" i="3"/>
  <c r="A8491" i="3"/>
  <c r="A3516" i="3"/>
  <c r="A6165" i="3"/>
  <c r="A4505" i="3"/>
  <c r="A7162" i="3"/>
  <c r="A9155" i="3"/>
  <c r="A5501" i="3"/>
  <c r="A3702" i="3"/>
  <c r="A9010" i="3"/>
  <c r="A3844" i="3"/>
  <c r="A6498" i="3"/>
  <c r="A8158" i="3"/>
  <c r="A9820" i="3"/>
  <c r="A6353" i="3"/>
  <c r="A7682" i="3"/>
  <c r="A4836" i="3"/>
  <c r="A5592" i="3"/>
  <c r="A7494" i="3"/>
  <c r="A8822" i="3"/>
  <c r="A5689" i="3"/>
  <c r="A7017" i="3"/>
  <c r="A9675" i="3"/>
  <c r="A3377" i="3"/>
  <c r="A4033" i="3"/>
  <c r="A4697" i="3"/>
  <c r="A6026" i="3"/>
  <c r="A6690" i="3"/>
  <c r="A7355" i="3"/>
  <c r="A8019" i="3"/>
  <c r="A8683" i="3"/>
  <c r="A9348" i="3"/>
  <c r="A5834" i="3"/>
  <c r="A4360" i="3"/>
  <c r="A5024" i="3"/>
  <c r="A8346" i="3"/>
  <c r="A4172" i="3"/>
  <c r="A4927" i="3"/>
  <c r="A6829" i="3"/>
  <c r="A9487" i="3"/>
  <c r="A4124" i="3"/>
  <c r="A4788" i="3"/>
  <c r="A5638" i="3"/>
  <c r="A6302" i="3"/>
  <c r="A6966" i="3"/>
  <c r="A6593" i="3"/>
  <c r="A5453" i="3"/>
  <c r="A6781" i="3"/>
  <c r="A6117" i="3"/>
  <c r="A3468" i="3"/>
  <c r="A3795" i="3"/>
  <c r="A5119" i="3"/>
  <c r="A7257" i="3"/>
  <c r="A4600" i="3"/>
  <c r="A5929" i="3"/>
  <c r="A6448" i="3"/>
  <c r="A7112" i="3"/>
  <c r="A6920" i="3"/>
  <c r="A3328" i="3"/>
  <c r="A3984" i="3"/>
  <c r="A5313" i="3"/>
  <c r="A5977" i="3"/>
  <c r="A6641" i="3"/>
  <c r="A7306" i="3"/>
  <c r="A3607" i="3"/>
  <c r="A5264" i="3"/>
  <c r="A4455" i="3"/>
  <c r="A5784" i="3"/>
  <c r="A4263" i="3"/>
  <c r="A6256" i="3"/>
  <c r="B1670" i="10"/>
  <c r="J1670" i="10" s="1"/>
  <c r="J1668" i="10"/>
  <c r="B1400" i="10"/>
  <c r="J1400" i="10" s="1"/>
  <c r="J1392" i="10"/>
  <c r="B1598" i="10"/>
  <c r="B1599" i="10" s="1"/>
  <c r="J1599" i="10" s="1"/>
  <c r="J1596" i="10"/>
  <c r="B771" i="10"/>
  <c r="B787" i="10" s="1"/>
  <c r="J755" i="10"/>
  <c r="B772" i="10"/>
  <c r="J772" i="10" s="1"/>
  <c r="J756" i="10"/>
  <c r="B1354" i="10"/>
  <c r="J1354" i="10" s="1"/>
  <c r="J1346" i="10"/>
  <c r="B1308" i="10"/>
  <c r="J1308" i="10" s="1"/>
  <c r="J1300" i="10"/>
  <c r="B606" i="10"/>
  <c r="B622" i="10" s="1"/>
  <c r="J590" i="10"/>
  <c r="B775" i="10"/>
  <c r="J759" i="10"/>
  <c r="B609" i="10"/>
  <c r="J593" i="10"/>
  <c r="B607" i="10"/>
  <c r="J591" i="10"/>
  <c r="B610" i="10"/>
  <c r="J594" i="10"/>
  <c r="B773" i="10"/>
  <c r="J757" i="10"/>
  <c r="B776" i="10"/>
  <c r="J760" i="10"/>
  <c r="A1994" i="3"/>
  <c r="C3888" i="3"/>
  <c r="A2975" i="3"/>
  <c r="A3679" i="3"/>
  <c r="A3587" i="3"/>
  <c r="B83" i="5"/>
  <c r="B423" i="5"/>
  <c r="AA7" i="2"/>
  <c r="AB7" i="2" s="1"/>
  <c r="AC7" i="2" s="1"/>
  <c r="B235" i="5"/>
  <c r="B282" i="5"/>
  <c r="C87" i="15"/>
  <c r="C136" i="15"/>
  <c r="C180" i="15"/>
  <c r="B1357" i="13"/>
  <c r="B2018" i="13"/>
  <c r="B1684" i="13"/>
  <c r="B1023" i="13"/>
  <c r="B2345" i="13"/>
  <c r="C142" i="5"/>
  <c r="C196" i="5"/>
  <c r="C243" i="5"/>
  <c r="A119" i="13"/>
  <c r="A23" i="5"/>
  <c r="A180" i="5"/>
  <c r="A75" i="5"/>
  <c r="A227" i="5"/>
  <c r="A127" i="5"/>
  <c r="A274" i="5"/>
  <c r="A321" i="5"/>
  <c r="A368" i="5"/>
  <c r="A415" i="5"/>
  <c r="A303" i="15"/>
  <c r="A350" i="15"/>
  <c r="A398" i="15"/>
  <c r="A70" i="15"/>
  <c r="A448" i="15"/>
  <c r="A119" i="15"/>
  <c r="A493" i="15"/>
  <c r="A163" i="15"/>
  <c r="A541" i="15"/>
  <c r="A210" i="15"/>
  <c r="A591" i="15"/>
  <c r="A259" i="15"/>
  <c r="A636" i="15"/>
  <c r="A259" i="13"/>
  <c r="A2006" i="13"/>
  <c r="A350" i="13"/>
  <c r="A824" i="13"/>
  <c r="A1485" i="13"/>
  <c r="A2146" i="13"/>
  <c r="A398" i="13"/>
  <c r="A1011" i="13"/>
  <c r="A1672" i="13"/>
  <c r="A2333" i="13"/>
  <c r="A1059" i="13"/>
  <c r="A1109" i="13"/>
  <c r="A1770" i="13"/>
  <c r="A2431" i="13"/>
  <c r="A1345" i="13"/>
  <c r="A541" i="13"/>
  <c r="B35" i="13"/>
  <c r="B696" i="13"/>
  <c r="B362" i="13"/>
  <c r="A260" i="13"/>
  <c r="A449" i="13"/>
  <c r="A542" i="13"/>
  <c r="A322" i="5"/>
  <c r="A416" i="5"/>
  <c r="B71" i="4"/>
  <c r="B140" i="4"/>
  <c r="A304" i="15"/>
  <c r="C367" i="15"/>
  <c r="A449" i="15"/>
  <c r="A494" i="15"/>
  <c r="A542" i="15"/>
  <c r="A260" i="15"/>
  <c r="C290" i="5"/>
  <c r="B280" i="4"/>
  <c r="B349" i="4"/>
  <c r="B48" i="15"/>
  <c r="B569" i="15"/>
  <c r="C3791" i="3"/>
  <c r="B36" i="3"/>
  <c r="B346" i="5"/>
  <c r="B252" i="5"/>
  <c r="B286" i="5"/>
  <c r="B239" i="5"/>
  <c r="B333" i="5"/>
  <c r="B53" i="5"/>
  <c r="B158" i="5"/>
  <c r="B427" i="5"/>
  <c r="B380" i="5"/>
  <c r="C384" i="5"/>
  <c r="B299" i="5"/>
  <c r="B393" i="5"/>
  <c r="C90" i="5"/>
  <c r="B105" i="5"/>
  <c r="B192" i="5"/>
  <c r="B205" i="5"/>
  <c r="B1" i="5"/>
  <c r="B1" i="4"/>
  <c r="B328" i="15"/>
  <c r="C227" i="15"/>
  <c r="B614" i="15"/>
  <c r="K655" i="15" s="1"/>
  <c r="C653" i="15"/>
  <c r="C608" i="15"/>
  <c r="B519" i="15"/>
  <c r="B376" i="15"/>
  <c r="B362" i="15"/>
  <c r="B188" i="15"/>
  <c r="B281" i="15"/>
  <c r="B237" i="15"/>
  <c r="B471" i="15"/>
  <c r="B35" i="15"/>
  <c r="B426" i="15"/>
  <c r="B141" i="15"/>
  <c r="B97" i="15"/>
  <c r="A23" i="15"/>
  <c r="A24" i="15"/>
  <c r="C415" i="15"/>
  <c r="B1180" i="14"/>
  <c r="B1275" i="14"/>
  <c r="K1321" i="14" s="1"/>
  <c r="A1253" i="14"/>
  <c r="A1202" i="14"/>
  <c r="C1219" i="14"/>
  <c r="A1297" i="14"/>
  <c r="C1314" i="14"/>
  <c r="A1203" i="14"/>
  <c r="B1230" i="14"/>
  <c r="A1298" i="14"/>
  <c r="A1252" i="14"/>
  <c r="A872" i="14"/>
  <c r="A871" i="14"/>
  <c r="C888" i="14"/>
  <c r="B898" i="14"/>
  <c r="B942" i="14"/>
  <c r="A920" i="14"/>
  <c r="C937" i="14"/>
  <c r="A964" i="14"/>
  <c r="C981" i="14"/>
  <c r="B849" i="14"/>
  <c r="B614" i="14"/>
  <c r="A592" i="14"/>
  <c r="B519" i="14"/>
  <c r="A541" i="14"/>
  <c r="C558" i="14"/>
  <c r="A636" i="14"/>
  <c r="C653" i="14"/>
  <c r="B362" i="14"/>
  <c r="B1023" i="14"/>
  <c r="A542" i="14"/>
  <c r="B569" i="14"/>
  <c r="A637" i="14"/>
  <c r="B696" i="14"/>
  <c r="A591" i="14"/>
  <c r="B35" i="14"/>
  <c r="A211" i="14"/>
  <c r="A210" i="14"/>
  <c r="B237" i="14"/>
  <c r="B281" i="14"/>
  <c r="A259" i="14"/>
  <c r="C276" i="14"/>
  <c r="A303" i="14"/>
  <c r="C320" i="14"/>
  <c r="B188" i="14"/>
  <c r="B2597" i="13"/>
  <c r="K2641" i="13" s="1"/>
  <c r="A2575" i="13"/>
  <c r="B2502" i="13"/>
  <c r="A2524" i="13"/>
  <c r="C2541" i="13"/>
  <c r="A2619" i="13"/>
  <c r="C2636" i="13"/>
  <c r="A2525" i="13"/>
  <c r="B2552" i="13"/>
  <c r="A2620" i="13"/>
  <c r="A2574" i="13"/>
  <c r="B2171" i="13"/>
  <c r="K2214" i="13" s="1"/>
  <c r="A2194" i="13"/>
  <c r="A2193" i="13"/>
  <c r="C2210" i="13"/>
  <c r="B2220" i="13"/>
  <c r="B2264" i="13"/>
  <c r="A2242" i="13"/>
  <c r="C2259" i="13"/>
  <c r="A2286" i="13"/>
  <c r="C2303" i="13"/>
  <c r="B1936" i="13"/>
  <c r="A1959" i="13"/>
  <c r="A1914" i="13"/>
  <c r="A1864" i="13"/>
  <c r="B1275" i="13"/>
  <c r="A1863" i="13"/>
  <c r="A1958" i="13"/>
  <c r="B1891" i="13"/>
  <c r="B1841" i="13"/>
  <c r="A1913" i="13"/>
  <c r="B1510" i="13"/>
  <c r="A1533" i="13"/>
  <c r="A1532" i="13"/>
  <c r="C1549" i="13"/>
  <c r="B1559" i="13"/>
  <c r="B1603" i="13"/>
  <c r="A1581" i="13"/>
  <c r="C1598" i="13"/>
  <c r="A1625" i="13"/>
  <c r="C1642" i="13"/>
  <c r="A1253" i="13"/>
  <c r="B1180" i="13"/>
  <c r="A1202" i="13"/>
  <c r="C1219" i="13"/>
  <c r="A1297" i="13"/>
  <c r="C1314" i="13"/>
  <c r="B614" i="13"/>
  <c r="A1203" i="13"/>
  <c r="B1230" i="13"/>
  <c r="A1298" i="13"/>
  <c r="A1252" i="13"/>
  <c r="B898" i="13"/>
  <c r="B849" i="13"/>
  <c r="A871" i="13"/>
  <c r="C888" i="13"/>
  <c r="B942" i="13"/>
  <c r="A872" i="13"/>
  <c r="A920" i="13"/>
  <c r="C937" i="13"/>
  <c r="A964" i="13"/>
  <c r="C981" i="13"/>
  <c r="A637" i="13"/>
  <c r="A592" i="13"/>
  <c r="B519" i="13"/>
  <c r="A636" i="13"/>
  <c r="C653" i="13"/>
  <c r="B569" i="13"/>
  <c r="A591" i="13"/>
  <c r="B281" i="13"/>
  <c r="B188" i="13"/>
  <c r="A210" i="13"/>
  <c r="C227" i="13"/>
  <c r="B237" i="13"/>
  <c r="A211" i="13"/>
  <c r="A303" i="13"/>
  <c r="C320" i="13"/>
  <c r="B9207" i="3"/>
  <c r="B9775" i="3"/>
  <c r="B9872" i="3"/>
  <c r="K9911" i="3" s="1"/>
  <c r="A9849" i="3"/>
  <c r="C9814" i="3"/>
  <c r="A9797" i="3"/>
  <c r="A9894" i="3"/>
  <c r="C9911" i="3"/>
  <c r="A9798" i="3"/>
  <c r="B9826" i="3"/>
  <c r="A9895" i="3"/>
  <c r="A9848" i="3"/>
  <c r="A9465" i="3"/>
  <c r="A9464" i="3"/>
  <c r="C9481" i="3"/>
  <c r="B9491" i="3"/>
  <c r="B9535" i="3"/>
  <c r="A9513" i="3"/>
  <c r="C9530" i="3"/>
  <c r="A9557" i="3"/>
  <c r="C9574" i="3"/>
  <c r="B9442" i="3"/>
  <c r="A9184" i="3"/>
  <c r="B9110" i="3"/>
  <c r="A9132" i="3"/>
  <c r="C9149" i="3"/>
  <c r="A9229" i="3"/>
  <c r="C9246" i="3"/>
  <c r="A9133" i="3"/>
  <c r="B9161" i="3"/>
  <c r="A9230" i="3"/>
  <c r="A9183" i="3"/>
  <c r="A8800" i="3"/>
  <c r="A8799" i="3"/>
  <c r="C8816" i="3"/>
  <c r="B8826" i="3"/>
  <c r="B8870" i="3"/>
  <c r="A8848" i="3"/>
  <c r="C8865" i="3"/>
  <c r="A8892" i="3"/>
  <c r="C8909" i="3"/>
  <c r="B8777" i="3"/>
  <c r="B8543" i="3"/>
  <c r="B8497" i="3"/>
  <c r="A8520" i="3"/>
  <c r="B8446" i="3"/>
  <c r="A8468" i="3"/>
  <c r="C8485" i="3"/>
  <c r="A8565" i="3"/>
  <c r="C8582" i="3"/>
  <c r="B8206" i="3"/>
  <c r="K8250" i="3" s="1"/>
  <c r="A8469" i="3"/>
  <c r="A8566" i="3"/>
  <c r="A8519" i="3"/>
  <c r="A8136" i="3"/>
  <c r="A8135" i="3"/>
  <c r="C8152" i="3"/>
  <c r="B8162" i="3"/>
  <c r="A8184" i="3"/>
  <c r="C8201" i="3"/>
  <c r="A8228" i="3"/>
  <c r="C8245" i="3"/>
  <c r="B8113" i="3"/>
  <c r="B7879" i="3"/>
  <c r="K7918" i="3" s="1"/>
  <c r="A7856" i="3"/>
  <c r="B7782" i="3"/>
  <c r="A7804" i="3"/>
  <c r="C7821" i="3"/>
  <c r="A7901" i="3"/>
  <c r="C7918" i="3"/>
  <c r="A7805" i="3"/>
  <c r="B7833" i="3"/>
  <c r="A7902" i="3"/>
  <c r="A7855" i="3"/>
  <c r="A7472" i="3"/>
  <c r="A7471" i="3"/>
  <c r="C7488" i="3"/>
  <c r="B7498" i="3"/>
  <c r="B7542" i="3"/>
  <c r="A7520" i="3"/>
  <c r="C7537" i="3"/>
  <c r="A7564" i="3"/>
  <c r="C7581" i="3"/>
  <c r="B7449" i="3"/>
  <c r="B7214" i="3"/>
  <c r="K7260" i="3" s="1"/>
  <c r="A7191" i="3"/>
  <c r="B7117" i="3"/>
  <c r="A7139" i="3"/>
  <c r="C7156" i="3"/>
  <c r="A7236" i="3"/>
  <c r="C7253" i="3"/>
  <c r="A7140" i="3"/>
  <c r="B7168" i="3"/>
  <c r="A7237" i="3"/>
  <c r="A7190" i="3"/>
  <c r="A6807" i="3"/>
  <c r="A6806" i="3"/>
  <c r="C6823" i="3"/>
  <c r="B6833" i="3"/>
  <c r="B6877" i="3"/>
  <c r="A6855" i="3"/>
  <c r="C6872" i="3"/>
  <c r="A6899" i="3"/>
  <c r="C6916" i="3"/>
  <c r="B6784" i="3"/>
  <c r="B6550" i="3"/>
  <c r="A6527" i="3"/>
  <c r="B6453" i="3"/>
  <c r="A6475" i="3"/>
  <c r="C6492" i="3"/>
  <c r="A6572" i="3"/>
  <c r="C6589" i="3"/>
  <c r="A6476" i="3"/>
  <c r="B6504" i="3"/>
  <c r="A6573" i="3"/>
  <c r="A6526" i="3"/>
  <c r="A6143" i="3"/>
  <c r="A6142" i="3"/>
  <c r="C6159" i="3"/>
  <c r="B6169" i="3"/>
  <c r="B6213" i="3"/>
  <c r="A6191" i="3"/>
  <c r="C6208" i="3"/>
  <c r="A6235" i="3"/>
  <c r="C6252" i="3"/>
  <c r="B6120" i="3"/>
  <c r="B5886" i="3"/>
  <c r="A5863" i="3"/>
  <c r="B5789" i="3"/>
  <c r="A5811" i="3"/>
  <c r="C5828" i="3"/>
  <c r="A5908" i="3"/>
  <c r="C5925" i="3"/>
  <c r="A5812" i="3"/>
  <c r="B5840" i="3"/>
  <c r="A5909" i="3"/>
  <c r="A5862" i="3"/>
  <c r="B5505" i="3"/>
  <c r="A5478" i="3"/>
  <c r="C5495" i="3"/>
  <c r="B5124" i="3"/>
  <c r="B5549" i="3"/>
  <c r="A5479" i="3"/>
  <c r="A5527" i="3"/>
  <c r="C5544" i="3"/>
  <c r="A5571" i="3"/>
  <c r="C5588" i="3"/>
  <c r="B5175" i="3"/>
  <c r="B5456" i="3"/>
  <c r="B5221" i="3"/>
  <c r="K5260" i="3" s="1"/>
  <c r="A5198" i="3"/>
  <c r="A5146" i="3"/>
  <c r="C5163" i="3"/>
  <c r="A5243" i="3"/>
  <c r="C5260" i="3"/>
  <c r="B4884" i="3"/>
  <c r="K4928" i="3" s="1"/>
  <c r="A5147" i="3"/>
  <c r="A5244" i="3"/>
  <c r="A5197" i="3"/>
  <c r="A4814" i="3"/>
  <c r="A4813" i="3"/>
  <c r="C4830" i="3"/>
  <c r="B4840" i="3"/>
  <c r="B4460" i="3"/>
  <c r="A4862" i="3"/>
  <c r="C4879" i="3"/>
  <c r="A4906" i="3"/>
  <c r="C4923" i="3"/>
  <c r="B4791" i="3"/>
  <c r="B4557" i="3"/>
  <c r="A4534" i="3"/>
  <c r="A4482" i="3"/>
  <c r="C4499" i="3"/>
  <c r="A4579" i="3"/>
  <c r="C4596" i="3"/>
  <c r="A4483" i="3"/>
  <c r="B4511" i="3"/>
  <c r="A4580" i="3"/>
  <c r="A4533" i="3"/>
  <c r="A4149" i="3"/>
  <c r="C4166" i="3"/>
  <c r="B4176" i="3"/>
  <c r="B4220" i="3"/>
  <c r="A4150" i="3"/>
  <c r="A4198" i="3"/>
  <c r="C4215" i="3"/>
  <c r="A4242" i="3"/>
  <c r="C4259" i="3"/>
  <c r="B4127" i="3"/>
  <c r="A3872" i="3"/>
  <c r="A3821" i="3"/>
  <c r="C3838" i="3"/>
  <c r="A3916" i="3"/>
  <c r="A3822" i="3"/>
  <c r="B3849" i="3"/>
  <c r="A3917" i="3"/>
  <c r="B3799" i="3"/>
  <c r="A3871" i="3"/>
  <c r="B3894" i="3"/>
  <c r="A3933" i="3" s="1"/>
  <c r="A3494" i="3"/>
  <c r="A3493" i="3"/>
  <c r="C3510" i="3"/>
  <c r="B3520" i="3"/>
  <c r="B3564" i="3"/>
  <c r="A3542" i="3"/>
  <c r="C3559" i="3"/>
  <c r="A3586" i="3"/>
  <c r="C3603" i="3"/>
  <c r="B3471" i="3"/>
  <c r="B3237" i="3"/>
  <c r="K3276" i="3" s="1"/>
  <c r="A3215" i="3"/>
  <c r="B3142" i="3"/>
  <c r="A3164" i="3"/>
  <c r="C3181" i="3"/>
  <c r="A3259" i="3"/>
  <c r="C3276" i="3"/>
  <c r="A3165" i="3"/>
  <c r="B3192" i="3"/>
  <c r="A3260" i="3"/>
  <c r="A3214" i="3"/>
  <c r="A2837" i="3"/>
  <c r="A2836" i="3"/>
  <c r="C2853" i="3"/>
  <c r="B2863" i="3"/>
  <c r="B2907" i="3"/>
  <c r="A2885" i="3"/>
  <c r="C2902" i="3"/>
  <c r="A2929" i="3"/>
  <c r="C2946" i="3"/>
  <c r="B2814" i="3"/>
  <c r="B2581" i="3"/>
  <c r="K2620" i="3" s="1"/>
  <c r="A2559" i="3"/>
  <c r="B2486" i="3"/>
  <c r="A2508" i="3"/>
  <c r="C2525" i="3"/>
  <c r="A2603" i="3"/>
  <c r="C2620" i="3"/>
  <c r="A2509" i="3"/>
  <c r="B2536" i="3"/>
  <c r="A2604" i="3"/>
  <c r="A2558" i="3"/>
  <c r="A2181" i="3"/>
  <c r="B1924" i="3"/>
  <c r="A2180" i="3"/>
  <c r="C2197" i="3"/>
  <c r="B2207" i="3"/>
  <c r="B2251" i="3"/>
  <c r="A2229" i="3"/>
  <c r="C2246" i="3"/>
  <c r="A2273" i="3"/>
  <c r="C2290" i="3"/>
  <c r="B2158" i="3"/>
  <c r="A1947" i="3"/>
  <c r="A1902" i="3"/>
  <c r="B1829" i="3"/>
  <c r="A1852" i="3"/>
  <c r="A1851" i="3"/>
  <c r="C1868" i="3"/>
  <c r="A1946" i="3"/>
  <c r="C1963" i="3"/>
  <c r="B1879" i="3"/>
  <c r="A1901" i="3"/>
  <c r="A1524" i="3"/>
  <c r="A1523" i="3"/>
  <c r="C1540" i="3"/>
  <c r="B1550" i="3"/>
  <c r="B1594" i="3"/>
  <c r="A1572" i="3"/>
  <c r="C1589" i="3"/>
  <c r="A1616" i="3"/>
  <c r="C1633" i="3"/>
  <c r="B1501" i="3"/>
  <c r="B1267" i="3"/>
  <c r="K1312" i="3" s="1"/>
  <c r="A1245" i="3"/>
  <c r="B1172" i="3"/>
  <c r="A1194" i="3"/>
  <c r="C1211" i="3"/>
  <c r="A1289" i="3"/>
  <c r="C1306" i="3"/>
  <c r="A1195" i="3"/>
  <c r="B1222" i="3"/>
  <c r="A1290" i="3"/>
  <c r="A1244" i="3"/>
  <c r="A867" i="3"/>
  <c r="A866" i="3"/>
  <c r="C883" i="3"/>
  <c r="B893" i="3"/>
  <c r="B937" i="3"/>
  <c r="A915" i="3"/>
  <c r="C932" i="3"/>
  <c r="A959" i="3"/>
  <c r="C976" i="3"/>
  <c r="B844" i="3"/>
  <c r="B611" i="3"/>
  <c r="A633" i="3"/>
  <c r="C650" i="3"/>
  <c r="A634" i="3"/>
  <c r="A542" i="3"/>
  <c r="A541" i="3"/>
  <c r="C558" i="3"/>
  <c r="B519" i="3"/>
  <c r="A447" i="3"/>
  <c r="B424" i="3"/>
  <c r="A446" i="3"/>
  <c r="B281" i="3"/>
  <c r="A303" i="3"/>
  <c r="C320" i="3"/>
  <c r="B191" i="3"/>
  <c r="A214" i="3"/>
  <c r="B98" i="3"/>
  <c r="A213" i="3"/>
  <c r="C230" i="3"/>
  <c r="B49" i="3"/>
  <c r="B658" i="3"/>
  <c r="B1315" i="3"/>
  <c r="B1972" i="3"/>
  <c r="B2628" i="3"/>
  <c r="B3285" i="3"/>
  <c r="B3941" i="3"/>
  <c r="B4605" i="3"/>
  <c r="B5270" i="3"/>
  <c r="B5934" i="3"/>
  <c r="B6598" i="3"/>
  <c r="B7263" i="3"/>
  <c r="B7927" i="3"/>
  <c r="B8591" i="3"/>
  <c r="B9256" i="3"/>
  <c r="B705" i="3"/>
  <c r="B1362" i="3"/>
  <c r="B2019" i="3"/>
  <c r="B2675" i="3"/>
  <c r="B3332" i="3"/>
  <c r="B3988" i="3"/>
  <c r="B4652" i="3"/>
  <c r="B5317" i="3"/>
  <c r="B5981" i="3"/>
  <c r="B6645" i="3"/>
  <c r="B7310" i="3"/>
  <c r="B7974" i="3"/>
  <c r="B8638" i="3"/>
  <c r="B9303" i="3"/>
  <c r="B147" i="3"/>
  <c r="B754" i="3"/>
  <c r="B1411" i="3"/>
  <c r="B2068" i="3"/>
  <c r="B2724" i="3"/>
  <c r="B3381" i="3"/>
  <c r="B4037" i="3"/>
  <c r="B4701" i="3"/>
  <c r="B5366" i="3"/>
  <c r="B6030" i="3"/>
  <c r="B6694" i="3"/>
  <c r="B7359" i="3"/>
  <c r="B8023" i="3"/>
  <c r="B8687" i="3"/>
  <c r="B9352" i="3"/>
  <c r="B235" i="3"/>
  <c r="B798" i="3"/>
  <c r="B1455" i="3"/>
  <c r="B2112" i="3"/>
  <c r="B2768" i="3"/>
  <c r="B3425" i="3"/>
  <c r="B4081" i="3"/>
  <c r="B4745" i="3"/>
  <c r="B5410" i="3"/>
  <c r="B6074" i="3"/>
  <c r="B6738" i="3"/>
  <c r="B7403" i="3"/>
  <c r="B8067" i="3"/>
  <c r="B8731" i="3"/>
  <c r="B9396" i="3"/>
  <c r="B327" i="3"/>
  <c r="B983" i="3"/>
  <c r="B1640" i="3"/>
  <c r="B2297" i="3"/>
  <c r="B2953" i="3"/>
  <c r="B3610" i="3"/>
  <c r="B4266" i="3"/>
  <c r="B4930" i="3"/>
  <c r="B5595" i="3"/>
  <c r="B6259" i="3"/>
  <c r="B6923" i="3"/>
  <c r="B7588" i="3"/>
  <c r="B8252" i="3"/>
  <c r="B8916" i="3"/>
  <c r="B9581" i="3"/>
  <c r="B374" i="3"/>
  <c r="B1030" i="3"/>
  <c r="B1687" i="3"/>
  <c r="B2344" i="3"/>
  <c r="B3000" i="3"/>
  <c r="B3657" i="3"/>
  <c r="B4315" i="3"/>
  <c r="B4979" i="3"/>
  <c r="B5644" i="3"/>
  <c r="B6308" i="3"/>
  <c r="B6972" i="3"/>
  <c r="B7637" i="3"/>
  <c r="B8301" i="3"/>
  <c r="B8965" i="3"/>
  <c r="B9630" i="3"/>
  <c r="B474" i="3"/>
  <c r="B1080" i="3"/>
  <c r="B1737" i="3"/>
  <c r="B2394" i="3"/>
  <c r="B3050" i="3"/>
  <c r="B3707" i="3"/>
  <c r="B4366" i="3"/>
  <c r="B5030" i="3"/>
  <c r="B5695" i="3"/>
  <c r="B6359" i="3"/>
  <c r="B7023" i="3"/>
  <c r="B7688" i="3"/>
  <c r="B8352" i="3"/>
  <c r="B9016" i="3"/>
  <c r="B9681" i="3"/>
  <c r="B2" i="3"/>
  <c r="B564" i="3"/>
  <c r="B1125" i="3"/>
  <c r="B1782" i="3"/>
  <c r="B2439" i="3"/>
  <c r="B3095" i="3"/>
  <c r="B3752" i="3"/>
  <c r="A3791" i="3" s="1"/>
  <c r="B4412" i="3"/>
  <c r="B5076" i="3"/>
  <c r="B5741" i="3"/>
  <c r="B6405" i="3"/>
  <c r="B7069" i="3"/>
  <c r="B7734" i="3"/>
  <c r="B8398" i="3"/>
  <c r="B9062" i="3"/>
  <c r="B9727" i="3"/>
  <c r="A121" i="3"/>
  <c r="A120" i="3"/>
  <c r="C137" i="3"/>
  <c r="B4639" i="3"/>
  <c r="B5304" i="3"/>
  <c r="B692" i="3"/>
  <c r="B5968" i="3"/>
  <c r="B1349" i="3"/>
  <c r="B6632" i="3"/>
  <c r="B2006" i="3"/>
  <c r="B7297" i="3"/>
  <c r="B2662" i="3"/>
  <c r="B7961" i="3"/>
  <c r="B3319" i="3"/>
  <c r="B8625" i="3"/>
  <c r="B3975" i="3"/>
  <c r="B9290" i="3"/>
  <c r="B361" i="3"/>
  <c r="B1017" i="3"/>
  <c r="B1674" i="3"/>
  <c r="B2331" i="3"/>
  <c r="B2987" i="3"/>
  <c r="B3644" i="3"/>
  <c r="B4300" i="3"/>
  <c r="B4964" i="3"/>
  <c r="B5629" i="3"/>
  <c r="B6293" i="3"/>
  <c r="B6957" i="3"/>
  <c r="B7622" i="3"/>
  <c r="B8286" i="3"/>
  <c r="B8950" i="3"/>
  <c r="B9615" i="3"/>
  <c r="A72" i="3"/>
  <c r="A681" i="3"/>
  <c r="A1338" i="3"/>
  <c r="A1995" i="3"/>
  <c r="A2651" i="3"/>
  <c r="A3308" i="3"/>
  <c r="A3964" i="3"/>
  <c r="A4628" i="3"/>
  <c r="A5293" i="3"/>
  <c r="A5957" i="3"/>
  <c r="A6621" i="3"/>
  <c r="A7286" i="3"/>
  <c r="A7950" i="3"/>
  <c r="A8614" i="3"/>
  <c r="A9279" i="3"/>
  <c r="A728" i="3"/>
  <c r="A1385" i="3"/>
  <c r="A2042" i="3"/>
  <c r="A2698" i="3"/>
  <c r="A3355" i="3"/>
  <c r="A4011" i="3"/>
  <c r="A4675" i="3"/>
  <c r="A5340" i="3"/>
  <c r="A6004" i="3"/>
  <c r="A6668" i="3"/>
  <c r="A7333" i="3"/>
  <c r="A7997" i="3"/>
  <c r="A8661" i="3"/>
  <c r="A9326" i="3"/>
  <c r="A170" i="3"/>
  <c r="A777" i="3"/>
  <c r="A1434" i="3"/>
  <c r="A2091" i="3"/>
  <c r="A2747" i="3"/>
  <c r="A3404" i="3"/>
  <c r="A4060" i="3"/>
  <c r="A4724" i="3"/>
  <c r="A5389" i="3"/>
  <c r="A6053" i="3"/>
  <c r="A6717" i="3"/>
  <c r="A7382" i="3"/>
  <c r="A8046" i="3"/>
  <c r="A8710" i="3"/>
  <c r="A9375" i="3"/>
  <c r="A258" i="3"/>
  <c r="A821" i="3"/>
  <c r="A1478" i="3"/>
  <c r="A2135" i="3"/>
  <c r="A2791" i="3"/>
  <c r="A3448" i="3"/>
  <c r="A4104" i="3"/>
  <c r="A4768" i="3"/>
  <c r="A5433" i="3"/>
  <c r="A6097" i="3"/>
  <c r="A6761" i="3"/>
  <c r="A7426" i="3"/>
  <c r="A8090" i="3"/>
  <c r="A8754" i="3"/>
  <c r="A9419" i="3"/>
  <c r="A350" i="3"/>
  <c r="A1006" i="3"/>
  <c r="A1663" i="3"/>
  <c r="A2320" i="3"/>
  <c r="A2976" i="3"/>
  <c r="A3633" i="3"/>
  <c r="A4289" i="3"/>
  <c r="A4953" i="3"/>
  <c r="A5618" i="3"/>
  <c r="A6282" i="3"/>
  <c r="A6946" i="3"/>
  <c r="A7611" i="3"/>
  <c r="A8275" i="3"/>
  <c r="A8939" i="3"/>
  <c r="A9604" i="3"/>
  <c r="A397" i="3"/>
  <c r="A1053" i="3"/>
  <c r="A1710" i="3"/>
  <c r="A2367" i="3"/>
  <c r="A3023" i="3"/>
  <c r="A3680" i="3"/>
  <c r="A4338" i="3"/>
  <c r="A5002" i="3"/>
  <c r="A5667" i="3"/>
  <c r="A6331" i="3"/>
  <c r="A6995" i="3"/>
  <c r="A7660" i="3"/>
  <c r="A8324" i="3"/>
  <c r="A8988" i="3"/>
  <c r="A9653" i="3"/>
  <c r="A497" i="3"/>
  <c r="A1103" i="3"/>
  <c r="A1760" i="3"/>
  <c r="A2417" i="3"/>
  <c r="A3073" i="3"/>
  <c r="A3730" i="3"/>
  <c r="A4389" i="3"/>
  <c r="A5053" i="3"/>
  <c r="A5718" i="3"/>
  <c r="A6382" i="3"/>
  <c r="A7046" i="3"/>
  <c r="A7711" i="3"/>
  <c r="A8375" i="3"/>
  <c r="A9039" i="3"/>
  <c r="A9704" i="3"/>
  <c r="A587" i="3"/>
  <c r="A1148" i="3"/>
  <c r="A1805" i="3"/>
  <c r="A2462" i="3"/>
  <c r="A3118" i="3"/>
  <c r="A3775" i="3"/>
  <c r="A4435" i="3"/>
  <c r="A5099" i="3"/>
  <c r="A5764" i="3"/>
  <c r="A6428" i="3"/>
  <c r="A7092" i="3"/>
  <c r="A7757" i="3"/>
  <c r="A8421" i="3"/>
  <c r="A9085" i="3"/>
  <c r="A9750" i="3"/>
  <c r="A25" i="3"/>
  <c r="B310" i="4"/>
  <c r="B379" i="4"/>
  <c r="C65" i="2"/>
  <c r="B65" i="2" s="1"/>
  <c r="B66" i="2" s="1"/>
  <c r="B67" i="2" s="1"/>
  <c r="B59" i="2"/>
  <c r="D60" i="2" s="1"/>
  <c r="C60" i="2"/>
  <c r="B61" i="2"/>
  <c r="B135" i="5"/>
  <c r="Y7" i="2"/>
  <c r="D8" i="12" s="1"/>
  <c r="E8" i="12"/>
  <c r="B1738" i="10"/>
  <c r="J1738" i="10" s="1"/>
  <c r="J1736" i="10"/>
  <c r="B1737" i="10"/>
  <c r="J1737" i="10" s="1"/>
  <c r="Y12" i="2"/>
  <c r="D12" i="12" s="1"/>
  <c r="Y6" i="2"/>
  <c r="D6" i="12" s="1"/>
  <c r="I6" i="12" s="1"/>
  <c r="B6393" i="3" s="1"/>
  <c r="B1" i="15"/>
  <c r="B605" i="10"/>
  <c r="B1637" i="10"/>
  <c r="J1637" i="10" s="1"/>
  <c r="B1709" i="10"/>
  <c r="J1709" i="10" s="1"/>
  <c r="S6" i="2"/>
  <c r="AA6" i="2" s="1"/>
  <c r="AB6" i="2" s="1"/>
  <c r="AC6" i="2" s="1"/>
  <c r="S12" i="2"/>
  <c r="B99" i="7"/>
  <c r="K140" i="7" s="1"/>
  <c r="B1" i="7"/>
  <c r="K39" i="7" s="1"/>
  <c r="B50" i="7"/>
  <c r="K92" i="7" s="1"/>
  <c r="B246" i="7"/>
  <c r="K289" i="7" s="1"/>
  <c r="B148" i="7"/>
  <c r="K185" i="7" s="1"/>
  <c r="B197" i="7"/>
  <c r="K236" i="7" s="1"/>
  <c r="Y5" i="2"/>
  <c r="D4" i="12" s="1"/>
  <c r="I4" i="12" s="1"/>
  <c r="B2053" i="3" s="1"/>
  <c r="Y11" i="2"/>
  <c r="D10" i="12" s="1"/>
  <c r="I10" i="12" s="1"/>
  <c r="J10" i="12" s="1"/>
  <c r="E38" i="5"/>
  <c r="B31" i="5"/>
  <c r="C38" i="5"/>
  <c r="G38" i="5"/>
  <c r="E181" i="4"/>
  <c r="C181" i="4"/>
  <c r="E177" i="4"/>
  <c r="B170" i="4"/>
  <c r="C177" i="4"/>
  <c r="G177" i="4"/>
  <c r="E112" i="4"/>
  <c r="C112" i="4"/>
  <c r="E108" i="4"/>
  <c r="B101" i="4"/>
  <c r="C108" i="4"/>
  <c r="G108" i="4"/>
  <c r="B1261" i="10"/>
  <c r="J1261" i="10" s="1"/>
  <c r="J1262" i="10"/>
  <c r="B1260" i="10"/>
  <c r="J1260" i="10" s="1"/>
  <c r="B1259" i="10"/>
  <c r="J1259" i="10" s="1"/>
  <c r="B1752" i="10" l="1"/>
  <c r="J1752" i="10" s="1"/>
  <c r="B788" i="10"/>
  <c r="B804" i="10" s="1"/>
  <c r="J804" i="10" s="1"/>
  <c r="B1671" i="10"/>
  <c r="J1671" i="10" s="1"/>
  <c r="B1257" i="10"/>
  <c r="J1257" i="10" s="1"/>
  <c r="B229" i="17"/>
  <c r="B232" i="17"/>
  <c r="B231" i="17"/>
  <c r="B228" i="17"/>
  <c r="L228" i="17" s="1"/>
  <c r="M228" i="17" s="1"/>
  <c r="B75" i="17"/>
  <c r="B76" i="17"/>
  <c r="B73" i="17"/>
  <c r="B72" i="17"/>
  <c r="L72" i="17" s="1"/>
  <c r="M72" i="17" s="1"/>
  <c r="B189" i="17"/>
  <c r="L189" i="17" s="1"/>
  <c r="M189" i="17" s="1"/>
  <c r="B192" i="17"/>
  <c r="B193" i="17"/>
  <c r="B190" i="17"/>
  <c r="B112" i="17"/>
  <c r="B111" i="17"/>
  <c r="L111" i="17" s="1"/>
  <c r="M111" i="17" s="1"/>
  <c r="B115" i="17"/>
  <c r="B114" i="17"/>
  <c r="B403" i="4"/>
  <c r="L403" i="4" s="1"/>
  <c r="M403" i="4" s="1"/>
  <c r="B404" i="4"/>
  <c r="L404" i="4" s="1"/>
  <c r="M404" i="4" s="1"/>
  <c r="B334" i="4"/>
  <c r="L334" i="4" s="1"/>
  <c r="M334" i="4" s="1"/>
  <c r="B335" i="4"/>
  <c r="L335" i="4" s="1"/>
  <c r="M335" i="4" s="1"/>
  <c r="B126" i="4"/>
  <c r="L126" i="4" s="1"/>
  <c r="M126" i="4" s="1"/>
  <c r="B125" i="4"/>
  <c r="L125" i="4" s="1"/>
  <c r="M125" i="4" s="1"/>
  <c r="B194" i="4"/>
  <c r="L194" i="4" s="1"/>
  <c r="M194" i="4" s="1"/>
  <c r="B195" i="4"/>
  <c r="L195" i="4" s="1"/>
  <c r="M195" i="4" s="1"/>
  <c r="B5013" i="3"/>
  <c r="J771" i="10"/>
  <c r="J606" i="10"/>
  <c r="J1598" i="10"/>
  <c r="B621" i="10"/>
  <c r="J605" i="10"/>
  <c r="B626" i="10"/>
  <c r="J610" i="10"/>
  <c r="B792" i="10"/>
  <c r="J776" i="10"/>
  <c r="B623" i="10"/>
  <c r="J607" i="10"/>
  <c r="B625" i="10"/>
  <c r="J609" i="10"/>
  <c r="B803" i="10"/>
  <c r="J803" i="10" s="1"/>
  <c r="J787" i="10"/>
  <c r="B789" i="10"/>
  <c r="J773" i="10"/>
  <c r="B791" i="10"/>
  <c r="J775" i="10"/>
  <c r="B638" i="10"/>
  <c r="J638" i="10" s="1"/>
  <c r="J622" i="10"/>
  <c r="B153" i="5"/>
  <c r="L153" i="5" s="1"/>
  <c r="M153" i="5" s="1"/>
  <c r="B152" i="5"/>
  <c r="L152" i="5" s="1"/>
  <c r="M152" i="5" s="1"/>
  <c r="K152" i="5"/>
  <c r="K100" i="5"/>
  <c r="B101" i="5"/>
  <c r="L101" i="5" s="1"/>
  <c r="M101" i="5" s="1"/>
  <c r="B100" i="5"/>
  <c r="L100" i="5" s="1"/>
  <c r="M100" i="5" s="1"/>
  <c r="B49" i="5"/>
  <c r="L49" i="5" s="1"/>
  <c r="M49" i="5" s="1"/>
  <c r="B48" i="5"/>
  <c r="B460" i="13"/>
  <c r="B6544" i="3"/>
  <c r="L6544" i="3" s="1"/>
  <c r="M6544" i="3" s="1"/>
  <c r="B1121" i="14"/>
  <c r="B8537" i="3"/>
  <c r="L8537" i="3" s="1"/>
  <c r="M8537" i="3" s="1"/>
  <c r="B792" i="14"/>
  <c r="B3415" i="3"/>
  <c r="B9050" i="3"/>
  <c r="B6064" i="3"/>
  <c r="B8721" i="3"/>
  <c r="B3741" i="3"/>
  <c r="B1114" i="3"/>
  <c r="B788" i="3"/>
  <c r="B1404" i="13"/>
  <c r="B82" i="14"/>
  <c r="B2709" i="3"/>
  <c r="B5678" i="3"/>
  <c r="B8008" i="3"/>
  <c r="B4686" i="3"/>
  <c r="B7671" i="3"/>
  <c r="B4349" i="3"/>
  <c r="B5351" i="3"/>
  <c r="B408" i="3"/>
  <c r="B8335" i="3"/>
  <c r="B3034" i="3"/>
  <c r="B6015" i="3"/>
  <c r="B2378" i="3"/>
  <c r="B8999" i="3"/>
  <c r="B739" i="3"/>
  <c r="B6679" i="3"/>
  <c r="B9664" i="3"/>
  <c r="B83" i="3"/>
  <c r="B7344" i="3"/>
  <c r="B3691" i="3"/>
  <c r="K9915" i="3"/>
  <c r="K652" i="3"/>
  <c r="K1219" i="14"/>
  <c r="K558" i="14"/>
  <c r="K2541" i="13"/>
  <c r="K1226" i="13"/>
  <c r="K9824" i="3"/>
  <c r="K8488" i="3"/>
  <c r="K7831" i="3"/>
  <c r="K7161" i="3"/>
  <c r="K6500" i="3"/>
  <c r="K5833" i="3"/>
  <c r="K5168" i="3"/>
  <c r="K1211" i="3"/>
  <c r="K608" i="15"/>
  <c r="K434" i="5"/>
  <c r="K340" i="5"/>
  <c r="K293" i="5"/>
  <c r="A196" i="5"/>
  <c r="K248" i="5"/>
  <c r="K246" i="5"/>
  <c r="K388" i="5"/>
  <c r="K387" i="5"/>
  <c r="B3084" i="3"/>
  <c r="B5400" i="3"/>
  <c r="B7057" i="3"/>
  <c r="B1771" i="3"/>
  <c r="B6342" i="3"/>
  <c r="B1064" i="3"/>
  <c r="B9386" i="3"/>
  <c r="B4071" i="3"/>
  <c r="B8672" i="3"/>
  <c r="B3366" i="3"/>
  <c r="B743" i="14"/>
  <c r="B9866" i="3"/>
  <c r="L9866" i="3" s="1"/>
  <c r="M9866" i="3" s="1"/>
  <c r="B9201" i="3"/>
  <c r="L9201" i="3" s="1"/>
  <c r="M9201" i="3" s="1"/>
  <c r="B743" i="13"/>
  <c r="B1732" i="13"/>
  <c r="B2114" i="13"/>
  <c r="B508" i="3"/>
  <c r="B8057" i="3"/>
  <c r="B2758" i="3"/>
  <c r="B131" i="14"/>
  <c r="B460" i="14"/>
  <c r="B5880" i="3"/>
  <c r="L5880" i="3" s="1"/>
  <c r="M5880" i="3" s="1"/>
  <c r="B1453" i="13"/>
  <c r="B1071" i="13"/>
  <c r="B5729" i="3"/>
  <c r="B5064" i="3"/>
  <c r="B7393" i="3"/>
  <c r="B2102" i="3"/>
  <c r="B1396" i="3"/>
  <c r="B7873" i="3"/>
  <c r="L7873" i="3" s="1"/>
  <c r="M7873" i="3" s="1"/>
  <c r="B82" i="13"/>
  <c r="B410" i="13"/>
  <c r="B792" i="13"/>
  <c r="B9715" i="3"/>
  <c r="B4400" i="3"/>
  <c r="B6728" i="3"/>
  <c r="B1445" i="3"/>
  <c r="B1071" i="14"/>
  <c r="B82" i="15"/>
  <c r="B5215" i="3"/>
  <c r="L5215" i="3" s="1"/>
  <c r="M5215" i="3" s="1"/>
  <c r="B2443" i="13"/>
  <c r="B410" i="14"/>
  <c r="B7208" i="3"/>
  <c r="L7208" i="3" s="1"/>
  <c r="M7208" i="3" s="1"/>
  <c r="B460" i="15"/>
  <c r="B2393" i="13"/>
  <c r="B1782" i="13"/>
  <c r="B410" i="15"/>
  <c r="B4551" i="3"/>
  <c r="L4551" i="3" s="1"/>
  <c r="M4551" i="3" s="1"/>
  <c r="B131" i="13"/>
  <c r="B2065" i="13"/>
  <c r="B1121" i="13"/>
  <c r="B8386" i="3"/>
  <c r="B181" i="3"/>
  <c r="B7722" i="3"/>
  <c r="B2428" i="3"/>
  <c r="B7006" i="3"/>
  <c r="B1721" i="3"/>
  <c r="B4735" i="3"/>
  <c r="B9337" i="3"/>
  <c r="B4022" i="3"/>
  <c r="B131" i="15"/>
  <c r="A608" i="15"/>
  <c r="K610" i="15"/>
  <c r="K609" i="15"/>
  <c r="K9251" i="3"/>
  <c r="A8536" i="3"/>
  <c r="A1219" i="14"/>
  <c r="K1220" i="14"/>
  <c r="K1320" i="13"/>
  <c r="K1317" i="13"/>
  <c r="K1319" i="13"/>
  <c r="K385" i="5"/>
  <c r="K384" i="5"/>
  <c r="A384" i="5"/>
  <c r="K389" i="5"/>
  <c r="K611" i="15"/>
  <c r="K612" i="15"/>
  <c r="A653" i="15"/>
  <c r="K1224" i="14"/>
  <c r="K1222" i="14"/>
  <c r="K1315" i="14"/>
  <c r="K2643" i="13"/>
  <c r="K9247" i="3"/>
  <c r="K3797" i="3"/>
  <c r="K3795" i="3"/>
  <c r="K3793" i="3"/>
  <c r="K3791" i="3"/>
  <c r="K3792" i="3"/>
  <c r="K3796" i="3"/>
  <c r="K3794" i="3"/>
  <c r="A9246" i="3"/>
  <c r="K9253" i="3"/>
  <c r="K9246" i="3"/>
  <c r="K9248" i="3"/>
  <c r="K9250" i="3"/>
  <c r="K9249" i="3"/>
  <c r="K9252" i="3"/>
  <c r="K386" i="5"/>
  <c r="K432" i="5"/>
  <c r="K431" i="5"/>
  <c r="K436" i="5"/>
  <c r="K433" i="5"/>
  <c r="A431" i="5"/>
  <c r="K435" i="5"/>
  <c r="K338" i="5"/>
  <c r="K341" i="5"/>
  <c r="K342" i="5"/>
  <c r="K337" i="5"/>
  <c r="K339" i="5"/>
  <c r="A337" i="5"/>
  <c r="K659" i="15"/>
  <c r="K658" i="15"/>
  <c r="K657" i="15"/>
  <c r="K656" i="15"/>
  <c r="K654" i="15"/>
  <c r="K660" i="15"/>
  <c r="K653" i="15"/>
  <c r="K567" i="15"/>
  <c r="K565" i="15"/>
  <c r="K563" i="15"/>
  <c r="K559" i="15"/>
  <c r="K566" i="15"/>
  <c r="K564" i="15"/>
  <c r="K562" i="15"/>
  <c r="K560" i="15"/>
  <c r="A558" i="15"/>
  <c r="K561" i="15"/>
  <c r="K558" i="15"/>
  <c r="K326" i="15"/>
  <c r="K322" i="15"/>
  <c r="K320" i="15"/>
  <c r="K321" i="15"/>
  <c r="K324" i="15"/>
  <c r="A320" i="15"/>
  <c r="K325" i="15"/>
  <c r="K323" i="15"/>
  <c r="K277" i="15"/>
  <c r="K278" i="15"/>
  <c r="A276" i="15"/>
  <c r="K279" i="15"/>
  <c r="K276" i="15"/>
  <c r="K227" i="15"/>
  <c r="K232" i="15"/>
  <c r="K228" i="15"/>
  <c r="K235" i="15"/>
  <c r="K233" i="15"/>
  <c r="K231" i="15"/>
  <c r="K229" i="15"/>
  <c r="A227" i="15"/>
  <c r="K234" i="15"/>
  <c r="K230" i="15"/>
  <c r="K562" i="14"/>
  <c r="K1314" i="14"/>
  <c r="K1316" i="14"/>
  <c r="K1221" i="14"/>
  <c r="K1223" i="14"/>
  <c r="K1225" i="14"/>
  <c r="K564" i="14"/>
  <c r="K566" i="14"/>
  <c r="K1227" i="14"/>
  <c r="K563" i="14"/>
  <c r="A1314" i="14"/>
  <c r="K1228" i="14"/>
  <c r="K1318" i="14"/>
  <c r="K1317" i="14"/>
  <c r="K1226" i="14"/>
  <c r="K1320" i="14"/>
  <c r="K1319" i="14"/>
  <c r="K1273" i="14"/>
  <c r="K1271" i="14"/>
  <c r="A1269" i="14"/>
  <c r="K1269" i="14"/>
  <c r="K1272" i="14"/>
  <c r="K1270" i="14"/>
  <c r="K660" i="14"/>
  <c r="K987" i="14"/>
  <c r="K983" i="14"/>
  <c r="K981" i="14"/>
  <c r="K982" i="14"/>
  <c r="K985" i="14"/>
  <c r="A981" i="14"/>
  <c r="K986" i="14"/>
  <c r="K984" i="14"/>
  <c r="K937" i="14"/>
  <c r="K938" i="14"/>
  <c r="K939" i="14"/>
  <c r="A937" i="14"/>
  <c r="K940" i="14"/>
  <c r="K896" i="14"/>
  <c r="K894" i="14"/>
  <c r="K892" i="14"/>
  <c r="K890" i="14"/>
  <c r="A888" i="14"/>
  <c r="K895" i="14"/>
  <c r="K891" i="14"/>
  <c r="K888" i="14"/>
  <c r="K893" i="14"/>
  <c r="K889" i="14"/>
  <c r="K659" i="14"/>
  <c r="K559" i="14"/>
  <c r="K654" i="14"/>
  <c r="K561" i="14"/>
  <c r="K657" i="14"/>
  <c r="K656" i="14"/>
  <c r="K658" i="14"/>
  <c r="K653" i="14"/>
  <c r="K655" i="14"/>
  <c r="A653" i="14"/>
  <c r="K565" i="14"/>
  <c r="A558" i="14"/>
  <c r="K567" i="14"/>
  <c r="K560" i="14"/>
  <c r="K612" i="14"/>
  <c r="K610" i="14"/>
  <c r="A608" i="14"/>
  <c r="K608" i="14"/>
  <c r="K611" i="14"/>
  <c r="K609" i="14"/>
  <c r="K1316" i="13"/>
  <c r="K1224" i="13"/>
  <c r="A1314" i="13"/>
  <c r="K326" i="14"/>
  <c r="K322" i="14"/>
  <c r="K320" i="14"/>
  <c r="K321" i="14"/>
  <c r="K324" i="14"/>
  <c r="A320" i="14"/>
  <c r="K325" i="14"/>
  <c r="K323" i="14"/>
  <c r="K276" i="14"/>
  <c r="K277" i="14"/>
  <c r="K278" i="14"/>
  <c r="A276" i="14"/>
  <c r="K279" i="14"/>
  <c r="K235" i="14"/>
  <c r="K233" i="14"/>
  <c r="K231" i="14"/>
  <c r="K229" i="14"/>
  <c r="A227" i="14"/>
  <c r="K234" i="14"/>
  <c r="K230" i="14"/>
  <c r="K227" i="14"/>
  <c r="K232" i="14"/>
  <c r="K228" i="14"/>
  <c r="K1549" i="13"/>
  <c r="K1556" i="13"/>
  <c r="K1553" i="13"/>
  <c r="K1555" i="13"/>
  <c r="A1975" i="13"/>
  <c r="K1557" i="13"/>
  <c r="K1979" i="13"/>
  <c r="K1554" i="13"/>
  <c r="K1977" i="13"/>
  <c r="K1223" i="13"/>
  <c r="K2642" i="13"/>
  <c r="K2216" i="13"/>
  <c r="K1980" i="13"/>
  <c r="K1314" i="13"/>
  <c r="A1549" i="13"/>
  <c r="K1982" i="13"/>
  <c r="K2542" i="13"/>
  <c r="K2218" i="13"/>
  <c r="K2638" i="13"/>
  <c r="K2639" i="13"/>
  <c r="K2211" i="13"/>
  <c r="K658" i="13"/>
  <c r="A1219" i="13"/>
  <c r="K2545" i="13"/>
  <c r="K2547" i="13"/>
  <c r="K2544" i="13"/>
  <c r="K2549" i="13"/>
  <c r="K2636" i="13"/>
  <c r="K326" i="13"/>
  <c r="K1219" i="13"/>
  <c r="K2546" i="13"/>
  <c r="A2636" i="13"/>
  <c r="K659" i="13"/>
  <c r="K1976" i="13"/>
  <c r="K2213" i="13"/>
  <c r="K2548" i="13"/>
  <c r="K2640" i="13"/>
  <c r="A2541" i="13"/>
  <c r="K2550" i="13"/>
  <c r="K653" i="13"/>
  <c r="K895" i="13"/>
  <c r="K1315" i="13"/>
  <c r="K1321" i="13"/>
  <c r="K1550" i="13"/>
  <c r="K1551" i="13"/>
  <c r="K1975" i="13"/>
  <c r="K2217" i="13"/>
  <c r="K2543" i="13"/>
  <c r="K2637" i="13"/>
  <c r="K2595" i="13"/>
  <c r="K2593" i="13"/>
  <c r="A2591" i="13"/>
  <c r="K2591" i="13"/>
  <c r="K2594" i="13"/>
  <c r="K2592" i="13"/>
  <c r="K2215" i="13"/>
  <c r="A2210" i="13"/>
  <c r="K2212" i="13"/>
  <c r="K2210" i="13"/>
  <c r="K655" i="13"/>
  <c r="K232" i="13"/>
  <c r="K1228" i="13"/>
  <c r="K1981" i="13"/>
  <c r="K1978" i="13"/>
  <c r="K2309" i="13"/>
  <c r="K2305" i="13"/>
  <c r="K2303" i="13"/>
  <c r="K2304" i="13"/>
  <c r="K2307" i="13"/>
  <c r="A2303" i="13"/>
  <c r="K2308" i="13"/>
  <c r="K2306" i="13"/>
  <c r="K2259" i="13"/>
  <c r="K2260" i="13"/>
  <c r="K2261" i="13"/>
  <c r="A2259" i="13"/>
  <c r="K2262" i="13"/>
  <c r="K656" i="13"/>
  <c r="A653" i="13"/>
  <c r="K1552" i="13"/>
  <c r="A937" i="13"/>
  <c r="K1221" i="13"/>
  <c r="K1222" i="13"/>
  <c r="K1934" i="13"/>
  <c r="K1932" i="13"/>
  <c r="A1930" i="13"/>
  <c r="K1930" i="13"/>
  <c r="K1933" i="13"/>
  <c r="K1931" i="13"/>
  <c r="K654" i="13"/>
  <c r="K660" i="13"/>
  <c r="K937" i="13"/>
  <c r="K1225" i="13"/>
  <c r="K1883" i="13"/>
  <c r="K1880" i="13"/>
  <c r="K1889" i="13"/>
  <c r="K1887" i="13"/>
  <c r="K1885" i="13"/>
  <c r="K1881" i="13"/>
  <c r="K1888" i="13"/>
  <c r="K1886" i="13"/>
  <c r="K1884" i="13"/>
  <c r="K1882" i="13"/>
  <c r="A1880" i="13"/>
  <c r="K1220" i="13"/>
  <c r="K1318" i="13"/>
  <c r="K892" i="13"/>
  <c r="K894" i="13"/>
  <c r="K1227" i="13"/>
  <c r="K1648" i="13"/>
  <c r="K1644" i="13"/>
  <c r="K1642" i="13"/>
  <c r="K1643" i="13"/>
  <c r="K1646" i="13"/>
  <c r="A1642" i="13"/>
  <c r="K1647" i="13"/>
  <c r="K1645" i="13"/>
  <c r="K1598" i="13"/>
  <c r="K1599" i="13"/>
  <c r="K1600" i="13"/>
  <c r="A1598" i="13"/>
  <c r="K1601" i="13"/>
  <c r="K896" i="13"/>
  <c r="K657" i="13"/>
  <c r="K939" i="13"/>
  <c r="K888" i="13"/>
  <c r="K324" i="13"/>
  <c r="K891" i="13"/>
  <c r="K322" i="13"/>
  <c r="K889" i="13"/>
  <c r="A888" i="13"/>
  <c r="K1273" i="13"/>
  <c r="K1271" i="13"/>
  <c r="A1269" i="13"/>
  <c r="K1269" i="13"/>
  <c r="K1272" i="13"/>
  <c r="K1270" i="13"/>
  <c r="K893" i="13"/>
  <c r="K890" i="13"/>
  <c r="K940" i="13"/>
  <c r="K938" i="13"/>
  <c r="A320" i="13"/>
  <c r="K320" i="13"/>
  <c r="K987" i="13"/>
  <c r="K983" i="13"/>
  <c r="K981" i="13"/>
  <c r="K982" i="13"/>
  <c r="K985" i="13"/>
  <c r="A981" i="13"/>
  <c r="K986" i="13"/>
  <c r="K984" i="13"/>
  <c r="K321" i="13"/>
  <c r="K325" i="13"/>
  <c r="K228" i="13"/>
  <c r="K612" i="13"/>
  <c r="K610" i="13"/>
  <c r="A608" i="13"/>
  <c r="K608" i="13"/>
  <c r="K611" i="13"/>
  <c r="K609" i="13"/>
  <c r="K561" i="13"/>
  <c r="K558" i="13"/>
  <c r="K567" i="13"/>
  <c r="K565" i="13"/>
  <c r="K563" i="13"/>
  <c r="K559" i="13"/>
  <c r="K566" i="13"/>
  <c r="K564" i="13"/>
  <c r="K562" i="13"/>
  <c r="K560" i="13"/>
  <c r="A558" i="13"/>
  <c r="K227" i="13"/>
  <c r="K235" i="13"/>
  <c r="K231" i="13"/>
  <c r="A227" i="13"/>
  <c r="K229" i="13"/>
  <c r="K230" i="13"/>
  <c r="K323" i="13"/>
  <c r="K233" i="13"/>
  <c r="K234" i="13"/>
  <c r="K276" i="13"/>
  <c r="K277" i="13"/>
  <c r="K278" i="13"/>
  <c r="A276" i="13"/>
  <c r="K279" i="13"/>
  <c r="K9914" i="3"/>
  <c r="K8245" i="3"/>
  <c r="K9816" i="3"/>
  <c r="A9911" i="3"/>
  <c r="K9818" i="3"/>
  <c r="K9819" i="3"/>
  <c r="K9917" i="3"/>
  <c r="K9814" i="3"/>
  <c r="K9821" i="3"/>
  <c r="K9152" i="3"/>
  <c r="K9815" i="3"/>
  <c r="K9817" i="3"/>
  <c r="K9820" i="3"/>
  <c r="K9157" i="3"/>
  <c r="K9913" i="3"/>
  <c r="K9823" i="3"/>
  <c r="K7920" i="3"/>
  <c r="K9150" i="3"/>
  <c r="K7254" i="3"/>
  <c r="K9912" i="3"/>
  <c r="K9918" i="3"/>
  <c r="K9822" i="3"/>
  <c r="K9916" i="3"/>
  <c r="A9814" i="3"/>
  <c r="A9149" i="3"/>
  <c r="K9155" i="3"/>
  <c r="K9870" i="3"/>
  <c r="K9867" i="3"/>
  <c r="A9865" i="3"/>
  <c r="K9868" i="3"/>
  <c r="K9865" i="3"/>
  <c r="K9869" i="3"/>
  <c r="K9866" i="3"/>
  <c r="K9489" i="3"/>
  <c r="K9487" i="3"/>
  <c r="K9485" i="3"/>
  <c r="K9483" i="3"/>
  <c r="A9481" i="3"/>
  <c r="K9488" i="3"/>
  <c r="K9484" i="3"/>
  <c r="K9481" i="3"/>
  <c r="K9486" i="3"/>
  <c r="K9482" i="3"/>
  <c r="K9579" i="3"/>
  <c r="K9576" i="3"/>
  <c r="K9574" i="3"/>
  <c r="K9575" i="3"/>
  <c r="K9577" i="3"/>
  <c r="A9574" i="3"/>
  <c r="K9578" i="3"/>
  <c r="K9530" i="3"/>
  <c r="K9531" i="3"/>
  <c r="K9532" i="3"/>
  <c r="A9530" i="3"/>
  <c r="K9533" i="3"/>
  <c r="A8582" i="3"/>
  <c r="K7823" i="3"/>
  <c r="K8582" i="3"/>
  <c r="K7825" i="3"/>
  <c r="K8584" i="3"/>
  <c r="K9154" i="3"/>
  <c r="K9159" i="3"/>
  <c r="K9151" i="3"/>
  <c r="K9149" i="3"/>
  <c r="K9153" i="3"/>
  <c r="K9156" i="3"/>
  <c r="K9158" i="3"/>
  <c r="K7253" i="3"/>
  <c r="K7829" i="3"/>
  <c r="K7821" i="3"/>
  <c r="K8246" i="3"/>
  <c r="K7828" i="3"/>
  <c r="K8248" i="3"/>
  <c r="K9205" i="3"/>
  <c r="K9202" i="3"/>
  <c r="A9200" i="3"/>
  <c r="K9203" i="3"/>
  <c r="K9200" i="3"/>
  <c r="K9204" i="3"/>
  <c r="K9201" i="3"/>
  <c r="K8249" i="3"/>
  <c r="K8494" i="3"/>
  <c r="K8486" i="3"/>
  <c r="K8490" i="3"/>
  <c r="K8493" i="3"/>
  <c r="K8585" i="3"/>
  <c r="A8485" i="3"/>
  <c r="K8495" i="3"/>
  <c r="K8588" i="3"/>
  <c r="K8824" i="3"/>
  <c r="K8822" i="3"/>
  <c r="K8820" i="3"/>
  <c r="K8818" i="3"/>
  <c r="A8816" i="3"/>
  <c r="K8823" i="3"/>
  <c r="K8819" i="3"/>
  <c r="K8816" i="3"/>
  <c r="K8821" i="3"/>
  <c r="K8817" i="3"/>
  <c r="K5930" i="3"/>
  <c r="K8487" i="3"/>
  <c r="K8485" i="3"/>
  <c r="K8583" i="3"/>
  <c r="K8586" i="3"/>
  <c r="K8247" i="3"/>
  <c r="K8489" i="3"/>
  <c r="K8492" i="3"/>
  <c r="K8587" i="3"/>
  <c r="K8589" i="3"/>
  <c r="K8491" i="3"/>
  <c r="K8914" i="3"/>
  <c r="K8911" i="3"/>
  <c r="K8909" i="3"/>
  <c r="K8910" i="3"/>
  <c r="K8912" i="3"/>
  <c r="A8909" i="3"/>
  <c r="K8913" i="3"/>
  <c r="K8865" i="3"/>
  <c r="K8866" i="3"/>
  <c r="K8867" i="3"/>
  <c r="A8865" i="3"/>
  <c r="K8868" i="3"/>
  <c r="K8541" i="3"/>
  <c r="K8540" i="3"/>
  <c r="K8536" i="3"/>
  <c r="K8537" i="3"/>
  <c r="K8539" i="3"/>
  <c r="K8538" i="3"/>
  <c r="K5932" i="3"/>
  <c r="K7164" i="3"/>
  <c r="K6494" i="3"/>
  <c r="K7166" i="3"/>
  <c r="A7918" i="3"/>
  <c r="K7922" i="3"/>
  <c r="A5163" i="3"/>
  <c r="K6501" i="3"/>
  <c r="K7921" i="3"/>
  <c r="K7925" i="3"/>
  <c r="K7924" i="3"/>
  <c r="K7923" i="3"/>
  <c r="A8245" i="3"/>
  <c r="K7827" i="3"/>
  <c r="K7824" i="3"/>
  <c r="K7156" i="3"/>
  <c r="K7830" i="3"/>
  <c r="K8160" i="3"/>
  <c r="K8158" i="3"/>
  <c r="K8156" i="3"/>
  <c r="K8154" i="3"/>
  <c r="A8152" i="3"/>
  <c r="K8159" i="3"/>
  <c r="K8155" i="3"/>
  <c r="K8152" i="3"/>
  <c r="K8157" i="3"/>
  <c r="K8153" i="3"/>
  <c r="K7822" i="3"/>
  <c r="K8201" i="3"/>
  <c r="K8202" i="3"/>
  <c r="K8203" i="3"/>
  <c r="A8201" i="3"/>
  <c r="K8204" i="3"/>
  <c r="K7826" i="3"/>
  <c r="K7255" i="3"/>
  <c r="K7919" i="3"/>
  <c r="A7821" i="3"/>
  <c r="K7162" i="3"/>
  <c r="K6493" i="3"/>
  <c r="K6499" i="3"/>
  <c r="K7163" i="3"/>
  <c r="A7156" i="3"/>
  <c r="K7159" i="3"/>
  <c r="K6596" i="3"/>
  <c r="K7158" i="3"/>
  <c r="K7160" i="3"/>
  <c r="K7877" i="3"/>
  <c r="K7874" i="3"/>
  <c r="A7872" i="3"/>
  <c r="K7875" i="3"/>
  <c r="K7872" i="3"/>
  <c r="K7876" i="3"/>
  <c r="K7873" i="3"/>
  <c r="K7259" i="3"/>
  <c r="K7496" i="3"/>
  <c r="K7494" i="3"/>
  <c r="K7492" i="3"/>
  <c r="K7490" i="3"/>
  <c r="A7488" i="3"/>
  <c r="K7495" i="3"/>
  <c r="K7491" i="3"/>
  <c r="K7488" i="3"/>
  <c r="K7493" i="3"/>
  <c r="K7489" i="3"/>
  <c r="K7165" i="3"/>
  <c r="A6589" i="3"/>
  <c r="K7157" i="3"/>
  <c r="K7257" i="3"/>
  <c r="K5926" i="3"/>
  <c r="K6590" i="3"/>
  <c r="A7253" i="3"/>
  <c r="K7586" i="3"/>
  <c r="K7583" i="3"/>
  <c r="K7581" i="3"/>
  <c r="K7582" i="3"/>
  <c r="K7584" i="3"/>
  <c r="A7581" i="3"/>
  <c r="K7585" i="3"/>
  <c r="K7537" i="3"/>
  <c r="K7538" i="3"/>
  <c r="K7539" i="3"/>
  <c r="A7537" i="3"/>
  <c r="K7540" i="3"/>
  <c r="K7256" i="3"/>
  <c r="K7258" i="3"/>
  <c r="A6492" i="3"/>
  <c r="K6595" i="3"/>
  <c r="K6593" i="3"/>
  <c r="K6594" i="3"/>
  <c r="K6492" i="3"/>
  <c r="K6589" i="3"/>
  <c r="K7212" i="3"/>
  <c r="K7209" i="3"/>
  <c r="A7207" i="3"/>
  <c r="K7210" i="3"/>
  <c r="K7207" i="3"/>
  <c r="K7211" i="3"/>
  <c r="K7208" i="3"/>
  <c r="K6591" i="3"/>
  <c r="K5832" i="3"/>
  <c r="K6502" i="3"/>
  <c r="K6831" i="3"/>
  <c r="K6829" i="3"/>
  <c r="K6827" i="3"/>
  <c r="K6825" i="3"/>
  <c r="A6823" i="3"/>
  <c r="K6830" i="3"/>
  <c r="K6826" i="3"/>
  <c r="K6823" i="3"/>
  <c r="K6828" i="3"/>
  <c r="K6824" i="3"/>
  <c r="K6496" i="3"/>
  <c r="K6495" i="3"/>
  <c r="K6498" i="3"/>
  <c r="K4502" i="3"/>
  <c r="K6497" i="3"/>
  <c r="K6592" i="3"/>
  <c r="K6921" i="3"/>
  <c r="K6918" i="3"/>
  <c r="K6916" i="3"/>
  <c r="K6917" i="3"/>
  <c r="K6919" i="3"/>
  <c r="A6916" i="3"/>
  <c r="K6920" i="3"/>
  <c r="K6872" i="3"/>
  <c r="K6873" i="3"/>
  <c r="K6874" i="3"/>
  <c r="A6872" i="3"/>
  <c r="K6875" i="3"/>
  <c r="K5166" i="3"/>
  <c r="K5830" i="3"/>
  <c r="K5165" i="3"/>
  <c r="K5834" i="3"/>
  <c r="K6548" i="3"/>
  <c r="K6545" i="3"/>
  <c r="A6543" i="3"/>
  <c r="K6546" i="3"/>
  <c r="K6543" i="3"/>
  <c r="K6547" i="3"/>
  <c r="K6544" i="3"/>
  <c r="K5167" i="3"/>
  <c r="K5925" i="3"/>
  <c r="K5836" i="3"/>
  <c r="K5164" i="3"/>
  <c r="K5838" i="3"/>
  <c r="K5171" i="3"/>
  <c r="K5828" i="3"/>
  <c r="K5163" i="3"/>
  <c r="K5835" i="3"/>
  <c r="K5170" i="3"/>
  <c r="K5931" i="3"/>
  <c r="A5828" i="3"/>
  <c r="K5831" i="3"/>
  <c r="K4506" i="3"/>
  <c r="A4923" i="3"/>
  <c r="K5544" i="3"/>
  <c r="K5545" i="3"/>
  <c r="K6167" i="3"/>
  <c r="K6165" i="3"/>
  <c r="K6163" i="3"/>
  <c r="K6161" i="3"/>
  <c r="A6159" i="3"/>
  <c r="K6166" i="3"/>
  <c r="K6162" i="3"/>
  <c r="K6159" i="3"/>
  <c r="K6164" i="3"/>
  <c r="K6160" i="3"/>
  <c r="K4602" i="3"/>
  <c r="K5216" i="3"/>
  <c r="A4499" i="3"/>
  <c r="K4923" i="3"/>
  <c r="K5218" i="3"/>
  <c r="K5837" i="3"/>
  <c r="K6257" i="3"/>
  <c r="K6254" i="3"/>
  <c r="K6252" i="3"/>
  <c r="K6253" i="3"/>
  <c r="K6255" i="3"/>
  <c r="A6252" i="3"/>
  <c r="K6256" i="3"/>
  <c r="K6208" i="3"/>
  <c r="K6209" i="3"/>
  <c r="K6210" i="3"/>
  <c r="A6208" i="3"/>
  <c r="K6211" i="3"/>
  <c r="K4501" i="3"/>
  <c r="K5215" i="3"/>
  <c r="K5829" i="3"/>
  <c r="K4499" i="3"/>
  <c r="K5173" i="3"/>
  <c r="K5928" i="3"/>
  <c r="K5929" i="3"/>
  <c r="K5927" i="3"/>
  <c r="A5925" i="3"/>
  <c r="K4509" i="3"/>
  <c r="K4925" i="3"/>
  <c r="K4926" i="3"/>
  <c r="K5262" i="3"/>
  <c r="K5219" i="3"/>
  <c r="K4924" i="3"/>
  <c r="K5546" i="3"/>
  <c r="K4503" i="3"/>
  <c r="K4927" i="3"/>
  <c r="K5884" i="3"/>
  <c r="K5881" i="3"/>
  <c r="A5879" i="3"/>
  <c r="K5882" i="3"/>
  <c r="K5879" i="3"/>
  <c r="K5883" i="3"/>
  <c r="K5880" i="3"/>
  <c r="K4508" i="3"/>
  <c r="K5169" i="3"/>
  <c r="K5214" i="3"/>
  <c r="K4507" i="3"/>
  <c r="K5263" i="3"/>
  <c r="K5172" i="3"/>
  <c r="K5217" i="3"/>
  <c r="A5544" i="3"/>
  <c r="K5547" i="3"/>
  <c r="K5503" i="3"/>
  <c r="K5501" i="3"/>
  <c r="K5499" i="3"/>
  <c r="K5497" i="3"/>
  <c r="A5495" i="3"/>
  <c r="K5502" i="3"/>
  <c r="K5498" i="3"/>
  <c r="K5495" i="3"/>
  <c r="K5500" i="3"/>
  <c r="K5496" i="3"/>
  <c r="A5260" i="3"/>
  <c r="K5593" i="3"/>
  <c r="K5590" i="3"/>
  <c r="K5588" i="3"/>
  <c r="K5589" i="3"/>
  <c r="K5591" i="3"/>
  <c r="A5588" i="3"/>
  <c r="K5592" i="3"/>
  <c r="K4505" i="3"/>
  <c r="A5214" i="3"/>
  <c r="K5266" i="3"/>
  <c r="K5264" i="3"/>
  <c r="K5261" i="3"/>
  <c r="K5267" i="3"/>
  <c r="K1873" i="3"/>
  <c r="K4504" i="3"/>
  <c r="K5265" i="3"/>
  <c r="K4599" i="3"/>
  <c r="K4838" i="3"/>
  <c r="K4836" i="3"/>
  <c r="K4834" i="3"/>
  <c r="K4832" i="3"/>
  <c r="A4830" i="3"/>
  <c r="K4837" i="3"/>
  <c r="K4833" i="3"/>
  <c r="K4830" i="3"/>
  <c r="K4835" i="3"/>
  <c r="K4831" i="3"/>
  <c r="K4500" i="3"/>
  <c r="K4879" i="3"/>
  <c r="K4880" i="3"/>
  <c r="K4881" i="3"/>
  <c r="A4879" i="3"/>
  <c r="K4882" i="3"/>
  <c r="K4596" i="3"/>
  <c r="K4598" i="3"/>
  <c r="A4596" i="3"/>
  <c r="K4597" i="3"/>
  <c r="K4600" i="3"/>
  <c r="K4601" i="3"/>
  <c r="K4603" i="3"/>
  <c r="K1967" i="3"/>
  <c r="K4555" i="3"/>
  <c r="K4552" i="3"/>
  <c r="A4550" i="3"/>
  <c r="K4553" i="3"/>
  <c r="K4550" i="3"/>
  <c r="K4554" i="3"/>
  <c r="K4551" i="3"/>
  <c r="K4215" i="3"/>
  <c r="K4216" i="3"/>
  <c r="K4217" i="3"/>
  <c r="A4215" i="3"/>
  <c r="K4218" i="3"/>
  <c r="K2530" i="3"/>
  <c r="K2532" i="3"/>
  <c r="K4174" i="3"/>
  <c r="K4172" i="3"/>
  <c r="K4170" i="3"/>
  <c r="K4168" i="3"/>
  <c r="A4166" i="3"/>
  <c r="K4173" i="3"/>
  <c r="K4169" i="3"/>
  <c r="K4166" i="3"/>
  <c r="K4171" i="3"/>
  <c r="K4167" i="3"/>
  <c r="A2620" i="3"/>
  <c r="K4264" i="3"/>
  <c r="K4261" i="3"/>
  <c r="K4259" i="3"/>
  <c r="K4260" i="3"/>
  <c r="K4262" i="3"/>
  <c r="A4259" i="3"/>
  <c r="K4263" i="3"/>
  <c r="K3841" i="3"/>
  <c r="K3838" i="3"/>
  <c r="K3847" i="3"/>
  <c r="K3845" i="3"/>
  <c r="K3843" i="3"/>
  <c r="K3839" i="3"/>
  <c r="K3846" i="3"/>
  <c r="K3844" i="3"/>
  <c r="K3842" i="3"/>
  <c r="K3840" i="3"/>
  <c r="A3838" i="3"/>
  <c r="K3891" i="3"/>
  <c r="K3889" i="3"/>
  <c r="K3892" i="3"/>
  <c r="K3890" i="3"/>
  <c r="A3888" i="3"/>
  <c r="K3888" i="3"/>
  <c r="K2525" i="3"/>
  <c r="K3184" i="3"/>
  <c r="K3278" i="3"/>
  <c r="A3276" i="3"/>
  <c r="K3279" i="3"/>
  <c r="A1963" i="3"/>
  <c r="K2527" i="3"/>
  <c r="K2623" i="3"/>
  <c r="K2624" i="3"/>
  <c r="K3281" i="3"/>
  <c r="K3518" i="3"/>
  <c r="K3516" i="3"/>
  <c r="K3514" i="3"/>
  <c r="K3512" i="3"/>
  <c r="A3510" i="3"/>
  <c r="K3517" i="3"/>
  <c r="K3513" i="3"/>
  <c r="K3510" i="3"/>
  <c r="K3515" i="3"/>
  <c r="K3511" i="3"/>
  <c r="K3608" i="3"/>
  <c r="K3605" i="3"/>
  <c r="K3603" i="3"/>
  <c r="K3604" i="3"/>
  <c r="K3606" i="3"/>
  <c r="A3603" i="3"/>
  <c r="K3607" i="3"/>
  <c r="K3559" i="3"/>
  <c r="K3560" i="3"/>
  <c r="K3561" i="3"/>
  <c r="A3559" i="3"/>
  <c r="K3562" i="3"/>
  <c r="K1968" i="3"/>
  <c r="K2533" i="3"/>
  <c r="K2625" i="3"/>
  <c r="K3277" i="3"/>
  <c r="K3280" i="3"/>
  <c r="K2621" i="3"/>
  <c r="K3282" i="3"/>
  <c r="K1965" i="3"/>
  <c r="K2534" i="3"/>
  <c r="K2622" i="3"/>
  <c r="K3187" i="3"/>
  <c r="K3182" i="3"/>
  <c r="K3186" i="3"/>
  <c r="K3188" i="3"/>
  <c r="A3181" i="3"/>
  <c r="K3190" i="3"/>
  <c r="K3183" i="3"/>
  <c r="K3181" i="3"/>
  <c r="K3185" i="3"/>
  <c r="K3189" i="3"/>
  <c r="K1963" i="3"/>
  <c r="A2525" i="3"/>
  <c r="K2528" i="3"/>
  <c r="K3235" i="3"/>
  <c r="K3233" i="3"/>
  <c r="A3231" i="3"/>
  <c r="K3231" i="3"/>
  <c r="K3234" i="3"/>
  <c r="K3232" i="3"/>
  <c r="K2531" i="3"/>
  <c r="K1869" i="3"/>
  <c r="K1875" i="3"/>
  <c r="K2626" i="3"/>
  <c r="K2951" i="3"/>
  <c r="K2948" i="3"/>
  <c r="K2946" i="3"/>
  <c r="K2947" i="3"/>
  <c r="K2949" i="3"/>
  <c r="A2946" i="3"/>
  <c r="K2950" i="3"/>
  <c r="K2902" i="3"/>
  <c r="K2903" i="3"/>
  <c r="K2904" i="3"/>
  <c r="A2902" i="3"/>
  <c r="K2905" i="3"/>
  <c r="K1877" i="3"/>
  <c r="K1964" i="3"/>
  <c r="K1969" i="3"/>
  <c r="K1871" i="3"/>
  <c r="A1868" i="3"/>
  <c r="K1874" i="3"/>
  <c r="K1876" i="3"/>
  <c r="K2861" i="3"/>
  <c r="K2859" i="3"/>
  <c r="K2857" i="3"/>
  <c r="K2855" i="3"/>
  <c r="A2853" i="3"/>
  <c r="K2860" i="3"/>
  <c r="K2856" i="3"/>
  <c r="K2853" i="3"/>
  <c r="K2858" i="3"/>
  <c r="K2854" i="3"/>
  <c r="K2529" i="3"/>
  <c r="K2526" i="3"/>
  <c r="K2579" i="3"/>
  <c r="K2577" i="3"/>
  <c r="A2575" i="3"/>
  <c r="K2575" i="3"/>
  <c r="K2578" i="3"/>
  <c r="K2576" i="3"/>
  <c r="K1966" i="3"/>
  <c r="K2205" i="3"/>
  <c r="K2203" i="3"/>
  <c r="K2201" i="3"/>
  <c r="K2199" i="3"/>
  <c r="A2197" i="3"/>
  <c r="K2204" i="3"/>
  <c r="K2200" i="3"/>
  <c r="K2197" i="3"/>
  <c r="K2202" i="3"/>
  <c r="K2198" i="3"/>
  <c r="K1307" i="3"/>
  <c r="K2295" i="3"/>
  <c r="K2292" i="3"/>
  <c r="K2290" i="3"/>
  <c r="K2291" i="3"/>
  <c r="K2293" i="3"/>
  <c r="A2290" i="3"/>
  <c r="K2294" i="3"/>
  <c r="K2246" i="3"/>
  <c r="K2247" i="3"/>
  <c r="K2248" i="3"/>
  <c r="A2246" i="3"/>
  <c r="K2249" i="3"/>
  <c r="K1870" i="3"/>
  <c r="K1868" i="3"/>
  <c r="K1872" i="3"/>
  <c r="A1306" i="3"/>
  <c r="K1922" i="3"/>
  <c r="K1920" i="3"/>
  <c r="A1918" i="3"/>
  <c r="K1918" i="3"/>
  <c r="K1921" i="3"/>
  <c r="K1919" i="3"/>
  <c r="K1218" i="3"/>
  <c r="K1215" i="3"/>
  <c r="K1308" i="3"/>
  <c r="K1217" i="3"/>
  <c r="K1214" i="3"/>
  <c r="K1548" i="3"/>
  <c r="K1546" i="3"/>
  <c r="K1544" i="3"/>
  <c r="K1542" i="3"/>
  <c r="A1540" i="3"/>
  <c r="K1547" i="3"/>
  <c r="K1543" i="3"/>
  <c r="K1540" i="3"/>
  <c r="K1545" i="3"/>
  <c r="K1541" i="3"/>
  <c r="K1219" i="3"/>
  <c r="K1310" i="3"/>
  <c r="K1212" i="3"/>
  <c r="K1216" i="3"/>
  <c r="K1638" i="3"/>
  <c r="K1635" i="3"/>
  <c r="K1633" i="3"/>
  <c r="K1634" i="3"/>
  <c r="K1636" i="3"/>
  <c r="A1633" i="3"/>
  <c r="K1637" i="3"/>
  <c r="K1589" i="3"/>
  <c r="K1590" i="3"/>
  <c r="K1591" i="3"/>
  <c r="A1589" i="3"/>
  <c r="K1592" i="3"/>
  <c r="A1211" i="3"/>
  <c r="K1220" i="3"/>
  <c r="K1213" i="3"/>
  <c r="K1306" i="3"/>
  <c r="K1309" i="3"/>
  <c r="K1311" i="3"/>
  <c r="K1265" i="3"/>
  <c r="K1263" i="3"/>
  <c r="A1261" i="3"/>
  <c r="K1261" i="3"/>
  <c r="K1264" i="3"/>
  <c r="K1262" i="3"/>
  <c r="K650" i="3"/>
  <c r="A650" i="3"/>
  <c r="K653" i="3"/>
  <c r="K655" i="3"/>
  <c r="K891" i="3"/>
  <c r="K889" i="3"/>
  <c r="K887" i="3"/>
  <c r="K885" i="3"/>
  <c r="A883" i="3"/>
  <c r="K890" i="3"/>
  <c r="K886" i="3"/>
  <c r="K883" i="3"/>
  <c r="K888" i="3"/>
  <c r="K884" i="3"/>
  <c r="K981" i="3"/>
  <c r="K978" i="3"/>
  <c r="K976" i="3"/>
  <c r="K977" i="3"/>
  <c r="K979" i="3"/>
  <c r="A976" i="3"/>
  <c r="K980" i="3"/>
  <c r="K932" i="3"/>
  <c r="K933" i="3"/>
  <c r="K934" i="3"/>
  <c r="A932" i="3"/>
  <c r="K935" i="3"/>
  <c r="K651" i="3"/>
  <c r="K654" i="3"/>
  <c r="K656" i="3"/>
  <c r="K562" i="3"/>
  <c r="K560" i="3"/>
  <c r="A558" i="3"/>
  <c r="K558" i="3"/>
  <c r="K561" i="3"/>
  <c r="K559" i="3"/>
  <c r="K472" i="3"/>
  <c r="K470" i="3"/>
  <c r="K468" i="3"/>
  <c r="K464" i="3"/>
  <c r="K471" i="3"/>
  <c r="K469" i="3"/>
  <c r="K467" i="3"/>
  <c r="K465" i="3"/>
  <c r="A463" i="3"/>
  <c r="K466" i="3"/>
  <c r="K463" i="3"/>
  <c r="K232" i="3"/>
  <c r="K325" i="3"/>
  <c r="K322" i="3"/>
  <c r="K320" i="3"/>
  <c r="K321" i="3"/>
  <c r="K323" i="3"/>
  <c r="A320" i="3"/>
  <c r="K324" i="3"/>
  <c r="K230" i="3"/>
  <c r="A230" i="3"/>
  <c r="K233" i="3"/>
  <c r="K231" i="3"/>
  <c r="K145" i="3"/>
  <c r="K143" i="3"/>
  <c r="K141" i="3"/>
  <c r="K139" i="3"/>
  <c r="A137" i="3"/>
  <c r="K144" i="3"/>
  <c r="K140" i="3"/>
  <c r="K137" i="3"/>
  <c r="K142" i="3"/>
  <c r="K138" i="3"/>
  <c r="K250" i="4"/>
  <c r="K249" i="4"/>
  <c r="A247" i="4"/>
  <c r="K251" i="4"/>
  <c r="K248" i="4"/>
  <c r="K247" i="4"/>
  <c r="K318" i="4"/>
  <c r="K317" i="4"/>
  <c r="K320" i="4"/>
  <c r="K319" i="4"/>
  <c r="A317" i="4"/>
  <c r="K321" i="4"/>
  <c r="K389" i="4"/>
  <c r="K388" i="4"/>
  <c r="A386" i="4"/>
  <c r="K390" i="4"/>
  <c r="K387" i="4"/>
  <c r="K386" i="4"/>
  <c r="I8" i="12"/>
  <c r="E60" i="2"/>
  <c r="B60" i="2" s="1"/>
  <c r="K469" i="15"/>
  <c r="K465" i="15"/>
  <c r="K466" i="15"/>
  <c r="K468" i="15"/>
  <c r="A465" i="15"/>
  <c r="K467" i="15"/>
  <c r="J6" i="12"/>
  <c r="K137" i="15"/>
  <c r="K139" i="15"/>
  <c r="A136" i="15"/>
  <c r="K138" i="15"/>
  <c r="K136" i="15"/>
  <c r="K45" i="15"/>
  <c r="K43" i="15"/>
  <c r="A40" i="15"/>
  <c r="K42" i="15"/>
  <c r="K44" i="15"/>
  <c r="K40" i="15"/>
  <c r="K46" i="15"/>
  <c r="K41" i="15"/>
  <c r="K368" i="15"/>
  <c r="K372" i="15"/>
  <c r="K370" i="15"/>
  <c r="A367" i="15"/>
  <c r="K374" i="15"/>
  <c r="K369" i="15"/>
  <c r="K367" i="15"/>
  <c r="K371" i="15"/>
  <c r="K373" i="15"/>
  <c r="A87" i="15"/>
  <c r="K93" i="15"/>
  <c r="K91" i="15"/>
  <c r="K89" i="15"/>
  <c r="K95" i="15"/>
  <c r="K87" i="15"/>
  <c r="K94" i="15"/>
  <c r="K92" i="15"/>
  <c r="K88" i="15"/>
  <c r="K90" i="15"/>
  <c r="K516" i="15"/>
  <c r="K514" i="15"/>
  <c r="A510" i="15"/>
  <c r="K512" i="15"/>
  <c r="K515" i="15"/>
  <c r="K511" i="15"/>
  <c r="K517" i="15"/>
  <c r="K513" i="15"/>
  <c r="K510" i="15"/>
  <c r="K415" i="15"/>
  <c r="K424" i="15"/>
  <c r="K419" i="15"/>
  <c r="K416" i="15"/>
  <c r="K420" i="15"/>
  <c r="A415" i="15"/>
  <c r="K421" i="15"/>
  <c r="K423" i="15"/>
  <c r="K418" i="15"/>
  <c r="K422" i="15"/>
  <c r="K417" i="15"/>
  <c r="K186" i="15"/>
  <c r="K181" i="15"/>
  <c r="A180" i="15"/>
  <c r="K185" i="15"/>
  <c r="K184" i="15"/>
  <c r="K180" i="15"/>
  <c r="K182" i="15"/>
  <c r="K183" i="15"/>
  <c r="K142" i="7"/>
  <c r="K141" i="7"/>
  <c r="A136" i="7"/>
  <c r="K136" i="7"/>
  <c r="K138" i="7"/>
  <c r="K137" i="7"/>
  <c r="K139" i="7"/>
  <c r="K283" i="7"/>
  <c r="K288" i="7"/>
  <c r="A283" i="7"/>
  <c r="K285" i="7"/>
  <c r="K284" i="7"/>
  <c r="K286" i="7"/>
  <c r="K238" i="7"/>
  <c r="K287" i="7"/>
  <c r="K234" i="7"/>
  <c r="K89" i="7"/>
  <c r="K93" i="7"/>
  <c r="K239" i="7"/>
  <c r="A87" i="7"/>
  <c r="K237" i="7"/>
  <c r="K240" i="7"/>
  <c r="K90" i="7"/>
  <c r="A185" i="7"/>
  <c r="K88" i="7"/>
  <c r="K87" i="7"/>
  <c r="A234" i="7"/>
  <c r="K91" i="7"/>
  <c r="K235" i="7"/>
  <c r="K190" i="7"/>
  <c r="K187" i="7"/>
  <c r="K191" i="7"/>
  <c r="K186" i="7"/>
  <c r="K189" i="7"/>
  <c r="K188" i="7"/>
  <c r="K40" i="7"/>
  <c r="K38" i="7"/>
  <c r="K42" i="7"/>
  <c r="K41" i="7"/>
  <c r="K43" i="7"/>
  <c r="A38" i="7"/>
  <c r="K44" i="7"/>
  <c r="K196" i="5"/>
  <c r="K243" i="5"/>
  <c r="K99" i="5"/>
  <c r="K96" i="5"/>
  <c r="K244" i="5"/>
  <c r="A243" i="5"/>
  <c r="K245" i="5"/>
  <c r="K247" i="5"/>
  <c r="K292" i="5"/>
  <c r="A290" i="5"/>
  <c r="K291" i="5"/>
  <c r="K295" i="5"/>
  <c r="K294" i="5"/>
  <c r="K290" i="5"/>
  <c r="K90" i="5"/>
  <c r="K201" i="5"/>
  <c r="K197" i="5"/>
  <c r="K200" i="5"/>
  <c r="K198" i="5"/>
  <c r="K94" i="5"/>
  <c r="K103" i="5"/>
  <c r="K102" i="5"/>
  <c r="K93" i="5"/>
  <c r="K145" i="5"/>
  <c r="K142" i="5"/>
  <c r="K143" i="5"/>
  <c r="K154" i="5"/>
  <c r="K150" i="5"/>
  <c r="K144" i="5"/>
  <c r="K151" i="5"/>
  <c r="K149" i="5"/>
  <c r="A142" i="5"/>
  <c r="K155" i="5"/>
  <c r="K147" i="5"/>
  <c r="K146" i="5"/>
  <c r="K148" i="5"/>
  <c r="K95" i="5"/>
  <c r="K92" i="5"/>
  <c r="K98" i="5"/>
  <c r="A90" i="5"/>
  <c r="K91" i="5"/>
  <c r="K97" i="5"/>
  <c r="J788" i="10" l="1"/>
  <c r="L75" i="17"/>
  <c r="M75" i="17" s="1"/>
  <c r="B67" i="17"/>
  <c r="B184" i="17"/>
  <c r="L192" i="17"/>
  <c r="M192" i="17" s="1"/>
  <c r="L231" i="17"/>
  <c r="M231" i="17" s="1"/>
  <c r="B223" i="17"/>
  <c r="L114" i="17"/>
  <c r="M114" i="17" s="1"/>
  <c r="B106" i="17"/>
  <c r="B807" i="10"/>
  <c r="J807" i="10" s="1"/>
  <c r="J791" i="10"/>
  <c r="B639" i="10"/>
  <c r="J639" i="10" s="1"/>
  <c r="J623" i="10"/>
  <c r="B805" i="10"/>
  <c r="J805" i="10" s="1"/>
  <c r="J789" i="10"/>
  <c r="B808" i="10"/>
  <c r="J808" i="10" s="1"/>
  <c r="J792" i="10"/>
  <c r="B642" i="10"/>
  <c r="J642" i="10" s="1"/>
  <c r="J626" i="10"/>
  <c r="B641" i="10"/>
  <c r="J641" i="10" s="1"/>
  <c r="J625" i="10"/>
  <c r="B637" i="10"/>
  <c r="J637" i="10" s="1"/>
  <c r="J621" i="10"/>
  <c r="B91" i="15"/>
  <c r="L91" i="15" s="1"/>
  <c r="M91" i="15" s="1"/>
  <c r="B271" i="13"/>
  <c r="B1264" i="14"/>
  <c r="B9525" i="3"/>
  <c r="B5874" i="3"/>
  <c r="B1913" i="3"/>
  <c r="B1584" i="3"/>
  <c r="B553" i="3"/>
  <c r="B7532" i="3"/>
  <c r="B3554" i="3"/>
  <c r="B3226" i="3"/>
  <c r="B2897" i="3"/>
  <c r="B271" i="15"/>
  <c r="B932" i="14"/>
  <c r="B4210" i="3"/>
  <c r="B1264" i="13"/>
  <c r="B2586" i="13"/>
  <c r="B603" i="15"/>
  <c r="B6867" i="3"/>
  <c r="B9860" i="3"/>
  <c r="B7202" i="3"/>
  <c r="B5539" i="3"/>
  <c r="B5209" i="3"/>
  <c r="B3883" i="3"/>
  <c r="B2570" i="3"/>
  <c r="B927" i="3"/>
  <c r="B8196" i="3"/>
  <c r="B4874" i="3"/>
  <c r="B9195" i="3"/>
  <c r="B7867" i="3"/>
  <c r="B2241" i="3"/>
  <c r="B1925" i="13"/>
  <c r="B932" i="13"/>
  <c r="B2254" i="13"/>
  <c r="B603" i="14"/>
  <c r="B8860" i="3"/>
  <c r="B8531" i="3"/>
  <c r="B6538" i="3"/>
  <c r="B225" i="3"/>
  <c r="B603" i="13"/>
  <c r="B1593" i="13"/>
  <c r="B271" i="14"/>
  <c r="B6203" i="3"/>
  <c r="B4545" i="3"/>
  <c r="B1256" i="3"/>
  <c r="J8" i="12"/>
  <c r="B175" i="13"/>
  <c r="B269" i="3"/>
  <c r="B5444" i="3"/>
  <c r="B3129" i="3"/>
  <c r="B8432" i="3"/>
  <c r="B832" i="3"/>
  <c r="B9096" i="3"/>
  <c r="B4115" i="3"/>
  <c r="B836" i="13"/>
  <c r="B836" i="14"/>
  <c r="B175" i="14"/>
  <c r="B1497" i="13"/>
  <c r="B6772" i="3"/>
  <c r="B4446" i="3"/>
  <c r="B1816" i="3"/>
  <c r="B2158" i="13"/>
  <c r="B505" i="13"/>
  <c r="B505" i="15"/>
  <c r="B505" i="14"/>
  <c r="B2146" i="3"/>
  <c r="B7437" i="3"/>
  <c r="B5110" i="3"/>
  <c r="B1166" i="13"/>
  <c r="B1166" i="14"/>
  <c r="B2802" i="3"/>
  <c r="B8101" i="3"/>
  <c r="B598" i="3"/>
  <c r="B5775" i="3"/>
  <c r="B6439" i="3"/>
  <c r="B9430" i="3"/>
  <c r="B1827" i="13"/>
  <c r="B175" i="15"/>
  <c r="B3459" i="3"/>
  <c r="B8765" i="3"/>
  <c r="B1159" i="3"/>
  <c r="B2488" i="13"/>
  <c r="B4779" i="3"/>
  <c r="B2473" i="3"/>
  <c r="B7768" i="3"/>
  <c r="B6108" i="3"/>
  <c r="B3786" i="3"/>
  <c r="B1489" i="3"/>
  <c r="B9761" i="3"/>
  <c r="B7103" i="3"/>
  <c r="B92" i="15"/>
  <c r="M92" i="15" s="1"/>
  <c r="B420" i="15"/>
  <c r="M420" i="15" s="1"/>
  <c r="B419" i="15"/>
  <c r="L419" i="15" s="1"/>
  <c r="M419" i="15" s="1"/>
  <c r="K179" i="4"/>
  <c r="K111" i="4"/>
  <c r="K110" i="4"/>
  <c r="K50" i="5"/>
  <c r="K47" i="5"/>
  <c r="K51" i="5"/>
  <c r="K48" i="5"/>
  <c r="A38" i="5"/>
  <c r="K46" i="5"/>
  <c r="K45" i="5"/>
  <c r="K44" i="5"/>
  <c r="K43" i="5"/>
  <c r="K41" i="5"/>
  <c r="K42" i="5"/>
  <c r="K40" i="5"/>
  <c r="K38" i="5"/>
  <c r="K39" i="5"/>
  <c r="K181" i="4"/>
  <c r="K177" i="4"/>
  <c r="K178" i="4"/>
  <c r="A108" i="4"/>
  <c r="K109" i="4"/>
  <c r="K108" i="4"/>
  <c r="K180" i="4"/>
  <c r="K112" i="4"/>
  <c r="A177" i="4"/>
  <c r="B1149" i="10"/>
  <c r="J1149" i="10" s="1"/>
  <c r="B1148" i="10"/>
  <c r="J1148" i="10" s="1"/>
  <c r="B1147" i="10"/>
  <c r="J1147" i="10" s="1"/>
  <c r="B1146" i="10"/>
  <c r="J1146" i="10" s="1"/>
  <c r="B1133" i="10"/>
  <c r="J1133" i="10" s="1"/>
  <c r="B1132" i="10"/>
  <c r="J1132" i="10" s="1"/>
  <c r="B1131" i="10"/>
  <c r="J1131" i="10" s="1"/>
  <c r="B1130" i="10"/>
  <c r="J1130" i="10" s="1"/>
  <c r="L106" i="17" l="1"/>
  <c r="M106" i="17" s="1"/>
  <c r="L107" i="17"/>
  <c r="M107" i="17" s="1"/>
  <c r="L108" i="17"/>
  <c r="M108" i="17" s="1"/>
  <c r="L225" i="17"/>
  <c r="M225" i="17" s="1"/>
  <c r="L224" i="17"/>
  <c r="M224" i="17" s="1"/>
  <c r="L223" i="17"/>
  <c r="M223" i="17" s="1"/>
  <c r="L185" i="17"/>
  <c r="M185" i="17" s="1"/>
  <c r="L184" i="17"/>
  <c r="M184" i="17" s="1"/>
  <c r="L186" i="17"/>
  <c r="M186" i="17" s="1"/>
  <c r="L69" i="17"/>
  <c r="M69" i="17" s="1"/>
  <c r="L67" i="17"/>
  <c r="M67" i="17" s="1"/>
  <c r="L68" i="17"/>
  <c r="M68" i="17" s="1"/>
  <c r="B648" i="13"/>
  <c r="B2631" i="13"/>
  <c r="B1970" i="13"/>
  <c r="B648" i="14"/>
  <c r="B315" i="14"/>
  <c r="B7576" i="3"/>
  <c r="B6911" i="3"/>
  <c r="B3928" i="3"/>
  <c r="B3598" i="3"/>
  <c r="B2941" i="3"/>
  <c r="B645" i="3"/>
  <c r="B315" i="13"/>
  <c r="B7248" i="3"/>
  <c r="B976" i="14"/>
  <c r="B1637" i="13"/>
  <c r="B315" i="15"/>
  <c r="B8904" i="3"/>
  <c r="B8240" i="3"/>
  <c r="B7913" i="3"/>
  <c r="B5920" i="3"/>
  <c r="B5255" i="3"/>
  <c r="B315" i="3"/>
  <c r="B1309" i="13"/>
  <c r="B8577" i="3"/>
  <c r="B4918" i="3"/>
  <c r="B2285" i="3"/>
  <c r="B1301" i="3"/>
  <c r="B6584" i="3"/>
  <c r="B648" i="15"/>
  <c r="B1309" i="14"/>
  <c r="B9241" i="3"/>
  <c r="B6247" i="3"/>
  <c r="B4254" i="3"/>
  <c r="B2298" i="13"/>
  <c r="B976" i="13"/>
  <c r="B9569" i="3"/>
  <c r="B9906" i="3"/>
  <c r="B5583" i="3"/>
  <c r="B4591" i="3"/>
  <c r="B3271" i="3"/>
  <c r="B1958" i="3"/>
  <c r="B1628" i="3"/>
  <c r="B971" i="3"/>
  <c r="B2615" i="3"/>
  <c r="B3794" i="3"/>
  <c r="L3794" i="3" s="1"/>
  <c r="M3794" i="3" s="1"/>
  <c r="B31" i="4"/>
  <c r="C38" i="4"/>
  <c r="G38" i="4"/>
  <c r="E42" i="4"/>
  <c r="C42" i="4"/>
  <c r="E38" i="4"/>
  <c r="G2499" i="13"/>
  <c r="E2499" i="13"/>
  <c r="C2499" i="13"/>
  <c r="A2499" i="13"/>
  <c r="G2494" i="13"/>
  <c r="E2494" i="13"/>
  <c r="C2494" i="13"/>
  <c r="A2494" i="13"/>
  <c r="E2493" i="13"/>
  <c r="B2484" i="13"/>
  <c r="G2493" i="13"/>
  <c r="G2451" i="13"/>
  <c r="E2451" i="13"/>
  <c r="C2451" i="13"/>
  <c r="A2451" i="13"/>
  <c r="G2449" i="13"/>
  <c r="E2449" i="13"/>
  <c r="C2449" i="13"/>
  <c r="A2449" i="13"/>
  <c r="E2448" i="13"/>
  <c r="B2439" i="13"/>
  <c r="G2448" i="13"/>
  <c r="G2405" i="13"/>
  <c r="E2405" i="13"/>
  <c r="C2405" i="13"/>
  <c r="A2405" i="13"/>
  <c r="G2401" i="13"/>
  <c r="E2401" i="13"/>
  <c r="C2401" i="13"/>
  <c r="A2401" i="13"/>
  <c r="G2400" i="13"/>
  <c r="E2400" i="13"/>
  <c r="C2400" i="13"/>
  <c r="A2400" i="13"/>
  <c r="G2399" i="13"/>
  <c r="E2399" i="13"/>
  <c r="C2399" i="13"/>
  <c r="A2399" i="13"/>
  <c r="E2398" i="13"/>
  <c r="B2389" i="13"/>
  <c r="G2398" i="13"/>
  <c r="G2355" i="13"/>
  <c r="E2355" i="13"/>
  <c r="C2355" i="13"/>
  <c r="A2355" i="13"/>
  <c r="E2350" i="13"/>
  <c r="B2341" i="13"/>
  <c r="G2350" i="13"/>
  <c r="G2164" i="13"/>
  <c r="E2164" i="13"/>
  <c r="C2164" i="13"/>
  <c r="A2164" i="13"/>
  <c r="E2163" i="13"/>
  <c r="B2154" i="13"/>
  <c r="G2163" i="13"/>
  <c r="G2120" i="13"/>
  <c r="E2120" i="13"/>
  <c r="C2120" i="13"/>
  <c r="A2120" i="13"/>
  <c r="E2119" i="13"/>
  <c r="B2110" i="13"/>
  <c r="G2119" i="13"/>
  <c r="G2073" i="13"/>
  <c r="E2073" i="13"/>
  <c r="C2073" i="13"/>
  <c r="A2073" i="13"/>
  <c r="G2072" i="13"/>
  <c r="E2072" i="13"/>
  <c r="C2072" i="13"/>
  <c r="A2072" i="13"/>
  <c r="G2071" i="13"/>
  <c r="E2071" i="13"/>
  <c r="C2071" i="13"/>
  <c r="A2071" i="13"/>
  <c r="E2070" i="13"/>
  <c r="B2061" i="13"/>
  <c r="G2070" i="13"/>
  <c r="E2023" i="13"/>
  <c r="B2014" i="13"/>
  <c r="G2023" i="13"/>
  <c r="G1838" i="13"/>
  <c r="E1838" i="13"/>
  <c r="C1838" i="13"/>
  <c r="A1838" i="13"/>
  <c r="G1833" i="13"/>
  <c r="E1833" i="13"/>
  <c r="C1833" i="13"/>
  <c r="A1833" i="13"/>
  <c r="E1832" i="13"/>
  <c r="B1823" i="13"/>
  <c r="G1832" i="13"/>
  <c r="G1790" i="13"/>
  <c r="E1790" i="13"/>
  <c r="C1790" i="13"/>
  <c r="A1790" i="13"/>
  <c r="G1788" i="13"/>
  <c r="E1788" i="13"/>
  <c r="C1788" i="13"/>
  <c r="A1788" i="13"/>
  <c r="E1787" i="13"/>
  <c r="B1778" i="13"/>
  <c r="G1787" i="13"/>
  <c r="G1744" i="13"/>
  <c r="E1744" i="13"/>
  <c r="C1744" i="13"/>
  <c r="A1744" i="13"/>
  <c r="G1740" i="13"/>
  <c r="E1740" i="13"/>
  <c r="C1740" i="13"/>
  <c r="A1740" i="13"/>
  <c r="G1738" i="13"/>
  <c r="E1738" i="13"/>
  <c r="C1738" i="13"/>
  <c r="A1738" i="13"/>
  <c r="E1737" i="13"/>
  <c r="B1728" i="13"/>
  <c r="G1737" i="13"/>
  <c r="G1694" i="13"/>
  <c r="E1694" i="13"/>
  <c r="C1694" i="13"/>
  <c r="A1694" i="13"/>
  <c r="E1689" i="13"/>
  <c r="B1680" i="13"/>
  <c r="G1689" i="13"/>
  <c r="G1503" i="13"/>
  <c r="E1503" i="13"/>
  <c r="C1503" i="13"/>
  <c r="A1503" i="13"/>
  <c r="E1502" i="13"/>
  <c r="B1493" i="13"/>
  <c r="G1502" i="13"/>
  <c r="G1459" i="13"/>
  <c r="E1459" i="13"/>
  <c r="C1459" i="13"/>
  <c r="A1459" i="13"/>
  <c r="E1458" i="13"/>
  <c r="B1449" i="13"/>
  <c r="G1458" i="13"/>
  <c r="G1412" i="13"/>
  <c r="E1412" i="13"/>
  <c r="C1412" i="13"/>
  <c r="A1412" i="13"/>
  <c r="G1411" i="13"/>
  <c r="E1411" i="13"/>
  <c r="C1411" i="13"/>
  <c r="A1411" i="13"/>
  <c r="G1410" i="13"/>
  <c r="E1410" i="13"/>
  <c r="C1410" i="13"/>
  <c r="A1410" i="13"/>
  <c r="E1409" i="13"/>
  <c r="B1400" i="13"/>
  <c r="G1409" i="13"/>
  <c r="E1362" i="13"/>
  <c r="B1353" i="13"/>
  <c r="G1362" i="13"/>
  <c r="B189" i="10"/>
  <c r="J189" i="10" s="1"/>
  <c r="B141" i="10"/>
  <c r="J141" i="10" s="1"/>
  <c r="G1177" i="14"/>
  <c r="E1177" i="14"/>
  <c r="C1177" i="14"/>
  <c r="A1177" i="14"/>
  <c r="G1172" i="14"/>
  <c r="E1172" i="14"/>
  <c r="C1172" i="14"/>
  <c r="A1172" i="14"/>
  <c r="E1171" i="14"/>
  <c r="B1162" i="14"/>
  <c r="G1171" i="14"/>
  <c r="G1129" i="14"/>
  <c r="E1129" i="14"/>
  <c r="C1129" i="14"/>
  <c r="A1129" i="14"/>
  <c r="G1127" i="14"/>
  <c r="E1127" i="14"/>
  <c r="C1127" i="14"/>
  <c r="A1127" i="14"/>
  <c r="E1126" i="14"/>
  <c r="B1117" i="14"/>
  <c r="G1126" i="14"/>
  <c r="G1083" i="14"/>
  <c r="E1083" i="14"/>
  <c r="C1083" i="14"/>
  <c r="A1083" i="14"/>
  <c r="G1079" i="14"/>
  <c r="E1079" i="14"/>
  <c r="C1079" i="14"/>
  <c r="A1079" i="14"/>
  <c r="G1078" i="14"/>
  <c r="E1078" i="14"/>
  <c r="C1078" i="14"/>
  <c r="A1078" i="14"/>
  <c r="G1077" i="14"/>
  <c r="E1077" i="14"/>
  <c r="C1077" i="14"/>
  <c r="A1077" i="14"/>
  <c r="E1076" i="14"/>
  <c r="B1067" i="14"/>
  <c r="G1076" i="14"/>
  <c r="G1033" i="14"/>
  <c r="E1033" i="14"/>
  <c r="C1033" i="14"/>
  <c r="A1033" i="14"/>
  <c r="E1028" i="14"/>
  <c r="B1019" i="14"/>
  <c r="G1028" i="14"/>
  <c r="G842" i="14"/>
  <c r="E842" i="14"/>
  <c r="C842" i="14"/>
  <c r="A842" i="14"/>
  <c r="E841" i="14"/>
  <c r="B832" i="14"/>
  <c r="G841" i="14"/>
  <c r="G798" i="14"/>
  <c r="E798" i="14"/>
  <c r="C798" i="14"/>
  <c r="A798" i="14"/>
  <c r="E797" i="14"/>
  <c r="B788" i="14"/>
  <c r="G797" i="14"/>
  <c r="G751" i="14"/>
  <c r="E751" i="14"/>
  <c r="C751" i="14"/>
  <c r="A751" i="14"/>
  <c r="G750" i="14"/>
  <c r="E750" i="14"/>
  <c r="C750" i="14"/>
  <c r="A750" i="14"/>
  <c r="G749" i="14"/>
  <c r="E749" i="14"/>
  <c r="C749" i="14"/>
  <c r="A749" i="14"/>
  <c r="E748" i="14"/>
  <c r="B739" i="14"/>
  <c r="G748" i="14"/>
  <c r="E701" i="14"/>
  <c r="B692" i="14"/>
  <c r="G701" i="14"/>
  <c r="G516" i="14"/>
  <c r="E516" i="14"/>
  <c r="C516" i="14"/>
  <c r="A516" i="14"/>
  <c r="G511" i="14"/>
  <c r="E511" i="14"/>
  <c r="C511" i="14"/>
  <c r="A511" i="14"/>
  <c r="E510" i="14"/>
  <c r="B501" i="14"/>
  <c r="G510" i="14"/>
  <c r="G468" i="14"/>
  <c r="E468" i="14"/>
  <c r="C468" i="14"/>
  <c r="A468" i="14"/>
  <c r="G466" i="14"/>
  <c r="E466" i="14"/>
  <c r="C466" i="14"/>
  <c r="A466" i="14"/>
  <c r="E465" i="14"/>
  <c r="B456" i="14"/>
  <c r="G465" i="14"/>
  <c r="G422" i="14"/>
  <c r="E422" i="14"/>
  <c r="C422" i="14"/>
  <c r="A422" i="14"/>
  <c r="G418" i="14"/>
  <c r="E418" i="14"/>
  <c r="C418" i="14"/>
  <c r="A418" i="14"/>
  <c r="G417" i="14"/>
  <c r="E417" i="14"/>
  <c r="C417" i="14"/>
  <c r="A417" i="14"/>
  <c r="G416" i="14"/>
  <c r="E416" i="14"/>
  <c r="C416" i="14"/>
  <c r="A416" i="14"/>
  <c r="E415" i="14"/>
  <c r="B406" i="14"/>
  <c r="G415" i="14"/>
  <c r="G372" i="14"/>
  <c r="E372" i="14"/>
  <c r="C372" i="14"/>
  <c r="A372" i="14"/>
  <c r="E367" i="14"/>
  <c r="B358" i="14"/>
  <c r="G367" i="14"/>
  <c r="G181" i="14"/>
  <c r="E181" i="14"/>
  <c r="C181" i="14"/>
  <c r="A181" i="14"/>
  <c r="E180" i="14"/>
  <c r="B171" i="14"/>
  <c r="G180" i="14"/>
  <c r="G137" i="14"/>
  <c r="E137" i="14"/>
  <c r="C137" i="14"/>
  <c r="A137" i="14"/>
  <c r="E136" i="14"/>
  <c r="B127" i="14"/>
  <c r="G136" i="14"/>
  <c r="G90" i="14"/>
  <c r="E90" i="14"/>
  <c r="C90" i="14"/>
  <c r="A90" i="14"/>
  <c r="G89" i="14"/>
  <c r="E89" i="14"/>
  <c r="C89" i="14"/>
  <c r="A89" i="14"/>
  <c r="G88" i="14"/>
  <c r="E88" i="14"/>
  <c r="C88" i="14"/>
  <c r="A88" i="14"/>
  <c r="E87" i="14"/>
  <c r="B78" i="14"/>
  <c r="G87" i="14"/>
  <c r="E40" i="14"/>
  <c r="B31" i="14"/>
  <c r="G40" i="14"/>
  <c r="G1177" i="13"/>
  <c r="E1177" i="13"/>
  <c r="C1177" i="13"/>
  <c r="A1177" i="13"/>
  <c r="G1172" i="13"/>
  <c r="E1172" i="13"/>
  <c r="C1172" i="13"/>
  <c r="A1172" i="13"/>
  <c r="E1171" i="13"/>
  <c r="B1162" i="13"/>
  <c r="G1171" i="13"/>
  <c r="G1129" i="13"/>
  <c r="E1129" i="13"/>
  <c r="C1129" i="13"/>
  <c r="A1129" i="13"/>
  <c r="G1127" i="13"/>
  <c r="E1127" i="13"/>
  <c r="C1127" i="13"/>
  <c r="A1127" i="13"/>
  <c r="E1126" i="13"/>
  <c r="B1117" i="13"/>
  <c r="G1126" i="13"/>
  <c r="G1083" i="13"/>
  <c r="E1083" i="13"/>
  <c r="C1083" i="13"/>
  <c r="A1083" i="13"/>
  <c r="G1079" i="13"/>
  <c r="E1079" i="13"/>
  <c r="C1079" i="13"/>
  <c r="A1079" i="13"/>
  <c r="G1078" i="13"/>
  <c r="E1078" i="13"/>
  <c r="C1078" i="13"/>
  <c r="A1078" i="13"/>
  <c r="G1077" i="13"/>
  <c r="E1077" i="13"/>
  <c r="C1077" i="13"/>
  <c r="A1077" i="13"/>
  <c r="E1076" i="13"/>
  <c r="B1067" i="13"/>
  <c r="G1076" i="13"/>
  <c r="G1033" i="13"/>
  <c r="E1033" i="13"/>
  <c r="C1033" i="13"/>
  <c r="A1033" i="13"/>
  <c r="E1028" i="13"/>
  <c r="B1019" i="13"/>
  <c r="G1028" i="13"/>
  <c r="G842" i="13"/>
  <c r="E842" i="13"/>
  <c r="C842" i="13"/>
  <c r="A842" i="13"/>
  <c r="E841" i="13"/>
  <c r="B832" i="13"/>
  <c r="G841" i="13"/>
  <c r="G798" i="13"/>
  <c r="E798" i="13"/>
  <c r="C798" i="13"/>
  <c r="A798" i="13"/>
  <c r="E797" i="13"/>
  <c r="B788" i="13"/>
  <c r="G797" i="13"/>
  <c r="G751" i="13"/>
  <c r="E751" i="13"/>
  <c r="C751" i="13"/>
  <c r="A751" i="13"/>
  <c r="G750" i="13"/>
  <c r="E750" i="13"/>
  <c r="C750" i="13"/>
  <c r="A750" i="13"/>
  <c r="G749" i="13"/>
  <c r="E749" i="13"/>
  <c r="C749" i="13"/>
  <c r="A749" i="13"/>
  <c r="E748" i="13"/>
  <c r="B739" i="13"/>
  <c r="G748" i="13"/>
  <c r="E701" i="13"/>
  <c r="B692" i="13"/>
  <c r="G701" i="13"/>
  <c r="B249" i="10"/>
  <c r="J249" i="10" s="1"/>
  <c r="A228" i="10"/>
  <c r="B218" i="10"/>
  <c r="J218" i="10" s="1"/>
  <c r="A199" i="10"/>
  <c r="B95" i="10"/>
  <c r="J95" i="10" s="1"/>
  <c r="B47" i="10"/>
  <c r="J47" i="10" s="1"/>
  <c r="B501" i="13"/>
  <c r="G510" i="13"/>
  <c r="B456" i="13"/>
  <c r="G465" i="13"/>
  <c r="B406" i="13"/>
  <c r="G415" i="13"/>
  <c r="B358" i="13"/>
  <c r="G367" i="13"/>
  <c r="B171" i="13"/>
  <c r="G180" i="13"/>
  <c r="B127" i="13"/>
  <c r="G136" i="13"/>
  <c r="B78" i="13"/>
  <c r="G87" i="13"/>
  <c r="B31" i="13"/>
  <c r="G40" i="13"/>
  <c r="G516" i="13"/>
  <c r="E516" i="13"/>
  <c r="C516" i="13"/>
  <c r="A516" i="13"/>
  <c r="G511" i="13"/>
  <c r="E511" i="13"/>
  <c r="C511" i="13"/>
  <c r="A511" i="13"/>
  <c r="E510" i="13"/>
  <c r="G468" i="13"/>
  <c r="E468" i="13"/>
  <c r="C468" i="13"/>
  <c r="A468" i="13"/>
  <c r="G466" i="13"/>
  <c r="E466" i="13"/>
  <c r="C466" i="13"/>
  <c r="A466" i="13"/>
  <c r="E465" i="13"/>
  <c r="G422" i="13"/>
  <c r="E422" i="13"/>
  <c r="C422" i="13"/>
  <c r="A422" i="13"/>
  <c r="G418" i="13"/>
  <c r="E418" i="13"/>
  <c r="C418" i="13"/>
  <c r="A418" i="13"/>
  <c r="G417" i="13"/>
  <c r="E417" i="13"/>
  <c r="C417" i="13"/>
  <c r="A417" i="13"/>
  <c r="G416" i="13"/>
  <c r="E416" i="13"/>
  <c r="C416" i="13"/>
  <c r="A416" i="13"/>
  <c r="E415" i="13"/>
  <c r="G372" i="13"/>
  <c r="E372" i="13"/>
  <c r="C372" i="13"/>
  <c r="A372" i="13"/>
  <c r="E367" i="13"/>
  <c r="G181" i="13"/>
  <c r="E181" i="13"/>
  <c r="C181" i="13"/>
  <c r="A181" i="13"/>
  <c r="E180" i="13"/>
  <c r="G137" i="13"/>
  <c r="E137" i="13"/>
  <c r="C137" i="13"/>
  <c r="A137" i="13"/>
  <c r="E136" i="13"/>
  <c r="G90" i="13"/>
  <c r="E90" i="13"/>
  <c r="C90" i="13"/>
  <c r="A90" i="13"/>
  <c r="G89" i="13"/>
  <c r="E89" i="13"/>
  <c r="C89" i="13"/>
  <c r="A89" i="13"/>
  <c r="G88" i="13"/>
  <c r="E88" i="13"/>
  <c r="C88" i="13"/>
  <c r="A88" i="13"/>
  <c r="E87" i="13"/>
  <c r="E40" i="13"/>
  <c r="G9772" i="3"/>
  <c r="E9772" i="3"/>
  <c r="C9772" i="3"/>
  <c r="A9772" i="3"/>
  <c r="G9771" i="3"/>
  <c r="E9771" i="3"/>
  <c r="C9771" i="3"/>
  <c r="A9771" i="3"/>
  <c r="G9767" i="3"/>
  <c r="E9767" i="3"/>
  <c r="C9767" i="3"/>
  <c r="A9767" i="3"/>
  <c r="E9766" i="3"/>
  <c r="B9757" i="3"/>
  <c r="C9766" i="3"/>
  <c r="G9766" i="3"/>
  <c r="G9724" i="3"/>
  <c r="E9724" i="3"/>
  <c r="C9724" i="3"/>
  <c r="A9724" i="3"/>
  <c r="G9723" i="3"/>
  <c r="E9723" i="3"/>
  <c r="C9723" i="3"/>
  <c r="A9723" i="3"/>
  <c r="G9721" i="3"/>
  <c r="E9721" i="3"/>
  <c r="C9721" i="3"/>
  <c r="A9721" i="3"/>
  <c r="E9720" i="3"/>
  <c r="B9711" i="3"/>
  <c r="C9720" i="3"/>
  <c r="G9720" i="3"/>
  <c r="G9677" i="3"/>
  <c r="E9677" i="3"/>
  <c r="C9677" i="3"/>
  <c r="A9677" i="3"/>
  <c r="G9676" i="3"/>
  <c r="E9676" i="3"/>
  <c r="C9676" i="3"/>
  <c r="A9676" i="3"/>
  <c r="G9672" i="3"/>
  <c r="E9672" i="3"/>
  <c r="C9672" i="3"/>
  <c r="A9672" i="3"/>
  <c r="G9671" i="3"/>
  <c r="E9671" i="3"/>
  <c r="C9671" i="3"/>
  <c r="A9671" i="3"/>
  <c r="G9670" i="3"/>
  <c r="E9670" i="3"/>
  <c r="C9670" i="3"/>
  <c r="A9670" i="3"/>
  <c r="E9669" i="3"/>
  <c r="B9660" i="3"/>
  <c r="C9669" i="3"/>
  <c r="G9669" i="3"/>
  <c r="G9626" i="3"/>
  <c r="E9626" i="3"/>
  <c r="C9626" i="3"/>
  <c r="A9626" i="3"/>
  <c r="G9625" i="3"/>
  <c r="E9625" i="3"/>
  <c r="C9625" i="3"/>
  <c r="A9625" i="3"/>
  <c r="E9620" i="3"/>
  <c r="B9611" i="3"/>
  <c r="C9620" i="3"/>
  <c r="G9620" i="3"/>
  <c r="G9436" i="3"/>
  <c r="E9436" i="3"/>
  <c r="C9436" i="3"/>
  <c r="A9436" i="3"/>
  <c r="E9435" i="3"/>
  <c r="B9426" i="3"/>
  <c r="C9435" i="3"/>
  <c r="G9435" i="3"/>
  <c r="G9392" i="3"/>
  <c r="E9392" i="3"/>
  <c r="C9392" i="3"/>
  <c r="A9392" i="3"/>
  <c r="E9391" i="3"/>
  <c r="B9382" i="3"/>
  <c r="C9391" i="3"/>
  <c r="G9391" i="3"/>
  <c r="G9345" i="3"/>
  <c r="E9345" i="3"/>
  <c r="C9345" i="3"/>
  <c r="A9345" i="3"/>
  <c r="G9344" i="3"/>
  <c r="E9344" i="3"/>
  <c r="C9344" i="3"/>
  <c r="A9344" i="3"/>
  <c r="G9343" i="3"/>
  <c r="E9343" i="3"/>
  <c r="C9343" i="3"/>
  <c r="A9343" i="3"/>
  <c r="E9342" i="3"/>
  <c r="B9333" i="3"/>
  <c r="C9342" i="3"/>
  <c r="G9342" i="3"/>
  <c r="E9295" i="3"/>
  <c r="B9286" i="3"/>
  <c r="C9295" i="3"/>
  <c r="G9295" i="3"/>
  <c r="G9107" i="3"/>
  <c r="E9107" i="3"/>
  <c r="C9107" i="3"/>
  <c r="A9107" i="3"/>
  <c r="G9106" i="3"/>
  <c r="E9106" i="3"/>
  <c r="C9106" i="3"/>
  <c r="A9106" i="3"/>
  <c r="G9102" i="3"/>
  <c r="E9102" i="3"/>
  <c r="C9102" i="3"/>
  <c r="A9102" i="3"/>
  <c r="E9101" i="3"/>
  <c r="B9092" i="3"/>
  <c r="C9101" i="3"/>
  <c r="G9101" i="3"/>
  <c r="G9059" i="3"/>
  <c r="E9059" i="3"/>
  <c r="C9059" i="3"/>
  <c r="A9059" i="3"/>
  <c r="G9058" i="3"/>
  <c r="E9058" i="3"/>
  <c r="C9058" i="3"/>
  <c r="A9058" i="3"/>
  <c r="G9056" i="3"/>
  <c r="E9056" i="3"/>
  <c r="C9056" i="3"/>
  <c r="A9056" i="3"/>
  <c r="E9055" i="3"/>
  <c r="B9046" i="3"/>
  <c r="C9055" i="3"/>
  <c r="G9055" i="3"/>
  <c r="G9012" i="3"/>
  <c r="E9012" i="3"/>
  <c r="C9012" i="3"/>
  <c r="A9012" i="3"/>
  <c r="G9011" i="3"/>
  <c r="E9011" i="3"/>
  <c r="C9011" i="3"/>
  <c r="A9011" i="3"/>
  <c r="G9007" i="3"/>
  <c r="E9007" i="3"/>
  <c r="C9007" i="3"/>
  <c r="A9007" i="3"/>
  <c r="G9006" i="3"/>
  <c r="E9006" i="3"/>
  <c r="C9006" i="3"/>
  <c r="A9006" i="3"/>
  <c r="G9005" i="3"/>
  <c r="E9005" i="3"/>
  <c r="C9005" i="3"/>
  <c r="A9005" i="3"/>
  <c r="E9004" i="3"/>
  <c r="B8995" i="3"/>
  <c r="C9004" i="3"/>
  <c r="G9004" i="3"/>
  <c r="G8961" i="3"/>
  <c r="E8961" i="3"/>
  <c r="C8961" i="3"/>
  <c r="A8961" i="3"/>
  <c r="G8960" i="3"/>
  <c r="E8960" i="3"/>
  <c r="C8960" i="3"/>
  <c r="A8960" i="3"/>
  <c r="E8955" i="3"/>
  <c r="B8946" i="3"/>
  <c r="C8955" i="3"/>
  <c r="G8955" i="3"/>
  <c r="G8771" i="3"/>
  <c r="E8771" i="3"/>
  <c r="C8771" i="3"/>
  <c r="A8771" i="3"/>
  <c r="E8770" i="3"/>
  <c r="B8761" i="3"/>
  <c r="C8770" i="3"/>
  <c r="G8770" i="3"/>
  <c r="G8727" i="3"/>
  <c r="E8727" i="3"/>
  <c r="C8727" i="3"/>
  <c r="A8727" i="3"/>
  <c r="E8726" i="3"/>
  <c r="B8717" i="3"/>
  <c r="C8726" i="3"/>
  <c r="G8726" i="3"/>
  <c r="G8680" i="3"/>
  <c r="E8680" i="3"/>
  <c r="C8680" i="3"/>
  <c r="A8680" i="3"/>
  <c r="G8679" i="3"/>
  <c r="E8679" i="3"/>
  <c r="C8679" i="3"/>
  <c r="A8679" i="3"/>
  <c r="G8678" i="3"/>
  <c r="E8678" i="3"/>
  <c r="C8678" i="3"/>
  <c r="A8678" i="3"/>
  <c r="E8677" i="3"/>
  <c r="B8668" i="3"/>
  <c r="C8677" i="3"/>
  <c r="G8677" i="3"/>
  <c r="E8630" i="3"/>
  <c r="B8621" i="3"/>
  <c r="C8630" i="3"/>
  <c r="G8630" i="3"/>
  <c r="G8443" i="3"/>
  <c r="E8443" i="3"/>
  <c r="C8443" i="3"/>
  <c r="A8443" i="3"/>
  <c r="G8442" i="3"/>
  <c r="E8442" i="3"/>
  <c r="C8442" i="3"/>
  <c r="A8442" i="3"/>
  <c r="G8438" i="3"/>
  <c r="E8438" i="3"/>
  <c r="C8438" i="3"/>
  <c r="A8438" i="3"/>
  <c r="E8437" i="3"/>
  <c r="B8428" i="3"/>
  <c r="C8437" i="3"/>
  <c r="G8437" i="3"/>
  <c r="G8395" i="3"/>
  <c r="E8395" i="3"/>
  <c r="C8395" i="3"/>
  <c r="A8395" i="3"/>
  <c r="G8394" i="3"/>
  <c r="E8394" i="3"/>
  <c r="C8394" i="3"/>
  <c r="A8394" i="3"/>
  <c r="G8392" i="3"/>
  <c r="E8392" i="3"/>
  <c r="C8392" i="3"/>
  <c r="A8392" i="3"/>
  <c r="E8391" i="3"/>
  <c r="B8382" i="3"/>
  <c r="C8391" i="3"/>
  <c r="G8391" i="3"/>
  <c r="G8348" i="3"/>
  <c r="E8348" i="3"/>
  <c r="C8348" i="3"/>
  <c r="A8348" i="3"/>
  <c r="G8347" i="3"/>
  <c r="E8347" i="3"/>
  <c r="C8347" i="3"/>
  <c r="A8347" i="3"/>
  <c r="G8343" i="3"/>
  <c r="E8343" i="3"/>
  <c r="C8343" i="3"/>
  <c r="A8343" i="3"/>
  <c r="G8342" i="3"/>
  <c r="E8342" i="3"/>
  <c r="C8342" i="3"/>
  <c r="A8342" i="3"/>
  <c r="G8341" i="3"/>
  <c r="E8341" i="3"/>
  <c r="C8341" i="3"/>
  <c r="A8341" i="3"/>
  <c r="E8340" i="3"/>
  <c r="B8331" i="3"/>
  <c r="C8340" i="3"/>
  <c r="G8340" i="3"/>
  <c r="G8297" i="3"/>
  <c r="E8297" i="3"/>
  <c r="C8297" i="3"/>
  <c r="A8297" i="3"/>
  <c r="G8296" i="3"/>
  <c r="E8296" i="3"/>
  <c r="C8296" i="3"/>
  <c r="A8296" i="3"/>
  <c r="E8291" i="3"/>
  <c r="B8282" i="3"/>
  <c r="C8291" i="3"/>
  <c r="G8291" i="3"/>
  <c r="G8107" i="3"/>
  <c r="E8107" i="3"/>
  <c r="C8107" i="3"/>
  <c r="A8107" i="3"/>
  <c r="E8106" i="3"/>
  <c r="B8097" i="3"/>
  <c r="C8106" i="3"/>
  <c r="G8106" i="3"/>
  <c r="G8063" i="3"/>
  <c r="E8063" i="3"/>
  <c r="C8063" i="3"/>
  <c r="A8063" i="3"/>
  <c r="E8062" i="3"/>
  <c r="B8053" i="3"/>
  <c r="C8062" i="3"/>
  <c r="G8062" i="3"/>
  <c r="G8016" i="3"/>
  <c r="E8016" i="3"/>
  <c r="C8016" i="3"/>
  <c r="A8016" i="3"/>
  <c r="G8015" i="3"/>
  <c r="E8015" i="3"/>
  <c r="C8015" i="3"/>
  <c r="A8015" i="3"/>
  <c r="G8014" i="3"/>
  <c r="E8014" i="3"/>
  <c r="C8014" i="3"/>
  <c r="A8014" i="3"/>
  <c r="E8013" i="3"/>
  <c r="B8004" i="3"/>
  <c r="C8013" i="3"/>
  <c r="G8013" i="3"/>
  <c r="E7966" i="3"/>
  <c r="B7957" i="3"/>
  <c r="C7966" i="3"/>
  <c r="G7966" i="3"/>
  <c r="D430" i="10"/>
  <c r="C430" i="10"/>
  <c r="D414" i="10"/>
  <c r="C414" i="10"/>
  <c r="G7779" i="3"/>
  <c r="E7779" i="3"/>
  <c r="C7779" i="3"/>
  <c r="A7779" i="3"/>
  <c r="G7778" i="3"/>
  <c r="E7778" i="3"/>
  <c r="C7778" i="3"/>
  <c r="A7778" i="3"/>
  <c r="G7774" i="3"/>
  <c r="E7774" i="3"/>
  <c r="C7774" i="3"/>
  <c r="A7774" i="3"/>
  <c r="E7773" i="3"/>
  <c r="B7764" i="3"/>
  <c r="C7773" i="3"/>
  <c r="G7773" i="3"/>
  <c r="G7731" i="3"/>
  <c r="E7731" i="3"/>
  <c r="C7731" i="3"/>
  <c r="A7731" i="3"/>
  <c r="G7730" i="3"/>
  <c r="E7730" i="3"/>
  <c r="C7730" i="3"/>
  <c r="A7730" i="3"/>
  <c r="G7728" i="3"/>
  <c r="E7728" i="3"/>
  <c r="C7728" i="3"/>
  <c r="A7728" i="3"/>
  <c r="E7727" i="3"/>
  <c r="B7718" i="3"/>
  <c r="C7727" i="3"/>
  <c r="G7727" i="3"/>
  <c r="G7684" i="3"/>
  <c r="E7684" i="3"/>
  <c r="C7684" i="3"/>
  <c r="A7684" i="3"/>
  <c r="G7683" i="3"/>
  <c r="E7683" i="3"/>
  <c r="C7683" i="3"/>
  <c r="A7683" i="3"/>
  <c r="G7679" i="3"/>
  <c r="E7679" i="3"/>
  <c r="C7679" i="3"/>
  <c r="A7679" i="3"/>
  <c r="G7678" i="3"/>
  <c r="E7678" i="3"/>
  <c r="C7678" i="3"/>
  <c r="A7678" i="3"/>
  <c r="G7677" i="3"/>
  <c r="E7677" i="3"/>
  <c r="C7677" i="3"/>
  <c r="A7677" i="3"/>
  <c r="E7676" i="3"/>
  <c r="B7667" i="3"/>
  <c r="C7676" i="3"/>
  <c r="G7676" i="3"/>
  <c r="G7633" i="3"/>
  <c r="E7633" i="3"/>
  <c r="C7633" i="3"/>
  <c r="A7633" i="3"/>
  <c r="G7632" i="3"/>
  <c r="E7632" i="3"/>
  <c r="C7632" i="3"/>
  <c r="A7632" i="3"/>
  <c r="E7627" i="3"/>
  <c r="B7618" i="3"/>
  <c r="C7627" i="3"/>
  <c r="G7627" i="3"/>
  <c r="G7443" i="3"/>
  <c r="E7443" i="3"/>
  <c r="C7443" i="3"/>
  <c r="A7443" i="3"/>
  <c r="E7442" i="3"/>
  <c r="B7433" i="3"/>
  <c r="C7442" i="3"/>
  <c r="G7442" i="3"/>
  <c r="G7399" i="3"/>
  <c r="E7399" i="3"/>
  <c r="C7399" i="3"/>
  <c r="A7399" i="3"/>
  <c r="E7398" i="3"/>
  <c r="B7389" i="3"/>
  <c r="C7398" i="3"/>
  <c r="G7398" i="3"/>
  <c r="G7352" i="3"/>
  <c r="E7352" i="3"/>
  <c r="C7352" i="3"/>
  <c r="A7352" i="3"/>
  <c r="G7351" i="3"/>
  <c r="E7351" i="3"/>
  <c r="C7351" i="3"/>
  <c r="A7351" i="3"/>
  <c r="G7350" i="3"/>
  <c r="E7350" i="3"/>
  <c r="C7350" i="3"/>
  <c r="A7350" i="3"/>
  <c r="E7349" i="3"/>
  <c r="B7340" i="3"/>
  <c r="C7349" i="3"/>
  <c r="G7349" i="3"/>
  <c r="E7302" i="3"/>
  <c r="B7293" i="3"/>
  <c r="C7302" i="3"/>
  <c r="G7302" i="3"/>
  <c r="G7114" i="3"/>
  <c r="E7114" i="3"/>
  <c r="C7114" i="3"/>
  <c r="A7114" i="3"/>
  <c r="G7113" i="3"/>
  <c r="E7113" i="3"/>
  <c r="C7113" i="3"/>
  <c r="A7113" i="3"/>
  <c r="G7109" i="3"/>
  <c r="E7109" i="3"/>
  <c r="C7109" i="3"/>
  <c r="A7109" i="3"/>
  <c r="E7108" i="3"/>
  <c r="B7099" i="3"/>
  <c r="C7108" i="3"/>
  <c r="G7108" i="3"/>
  <c r="G7066" i="3"/>
  <c r="E7066" i="3"/>
  <c r="C7066" i="3"/>
  <c r="A7066" i="3"/>
  <c r="G7065" i="3"/>
  <c r="E7065" i="3"/>
  <c r="C7065" i="3"/>
  <c r="A7065" i="3"/>
  <c r="G7063" i="3"/>
  <c r="E7063" i="3"/>
  <c r="C7063" i="3"/>
  <c r="A7063" i="3"/>
  <c r="E7062" i="3"/>
  <c r="B7053" i="3"/>
  <c r="C7062" i="3"/>
  <c r="G7062" i="3"/>
  <c r="G7019" i="3"/>
  <c r="E7019" i="3"/>
  <c r="C7019" i="3"/>
  <c r="A7019" i="3"/>
  <c r="G7018" i="3"/>
  <c r="E7018" i="3"/>
  <c r="C7018" i="3"/>
  <c r="A7018" i="3"/>
  <c r="G7014" i="3"/>
  <c r="E7014" i="3"/>
  <c r="C7014" i="3"/>
  <c r="A7014" i="3"/>
  <c r="G7013" i="3"/>
  <c r="E7013" i="3"/>
  <c r="C7013" i="3"/>
  <c r="A7013" i="3"/>
  <c r="G7012" i="3"/>
  <c r="E7012" i="3"/>
  <c r="C7012" i="3"/>
  <c r="A7012" i="3"/>
  <c r="E7011" i="3"/>
  <c r="B7002" i="3"/>
  <c r="C7011" i="3"/>
  <c r="G7011" i="3"/>
  <c r="G6968" i="3"/>
  <c r="E6968" i="3"/>
  <c r="C6968" i="3"/>
  <c r="A6968" i="3"/>
  <c r="G6967" i="3"/>
  <c r="E6967" i="3"/>
  <c r="C6967" i="3"/>
  <c r="A6967" i="3"/>
  <c r="E6962" i="3"/>
  <c r="B6953" i="3"/>
  <c r="C6962" i="3"/>
  <c r="G6962" i="3"/>
  <c r="G6778" i="3"/>
  <c r="E6778" i="3"/>
  <c r="C6778" i="3"/>
  <c r="A6778" i="3"/>
  <c r="E6777" i="3"/>
  <c r="B6768" i="3"/>
  <c r="C6777" i="3"/>
  <c r="G6777" i="3"/>
  <c r="G6734" i="3"/>
  <c r="E6734" i="3"/>
  <c r="C6734" i="3"/>
  <c r="A6734" i="3"/>
  <c r="E6733" i="3"/>
  <c r="B6724" i="3"/>
  <c r="C6733" i="3"/>
  <c r="G6733" i="3"/>
  <c r="G6687" i="3"/>
  <c r="E6687" i="3"/>
  <c r="C6687" i="3"/>
  <c r="A6687" i="3"/>
  <c r="G6686" i="3"/>
  <c r="E6686" i="3"/>
  <c r="C6686" i="3"/>
  <c r="A6686" i="3"/>
  <c r="G6685" i="3"/>
  <c r="E6685" i="3"/>
  <c r="C6685" i="3"/>
  <c r="A6685" i="3"/>
  <c r="E6684" i="3"/>
  <c r="B6675" i="3"/>
  <c r="C6684" i="3"/>
  <c r="G6684" i="3"/>
  <c r="E6637" i="3"/>
  <c r="B6628" i="3"/>
  <c r="C6637" i="3"/>
  <c r="G6637" i="3"/>
  <c r="G6450" i="3"/>
  <c r="E6450" i="3"/>
  <c r="C6450" i="3"/>
  <c r="A6450" i="3"/>
  <c r="G6449" i="3"/>
  <c r="E6449" i="3"/>
  <c r="C6449" i="3"/>
  <c r="A6449" i="3"/>
  <c r="G6445" i="3"/>
  <c r="E6445" i="3"/>
  <c r="C6445" i="3"/>
  <c r="A6445" i="3"/>
  <c r="E6444" i="3"/>
  <c r="B6435" i="3"/>
  <c r="C6444" i="3"/>
  <c r="G6444" i="3"/>
  <c r="G6402" i="3"/>
  <c r="E6402" i="3"/>
  <c r="C6402" i="3"/>
  <c r="A6402" i="3"/>
  <c r="G6401" i="3"/>
  <c r="E6401" i="3"/>
  <c r="C6401" i="3"/>
  <c r="A6401" i="3"/>
  <c r="G6399" i="3"/>
  <c r="E6399" i="3"/>
  <c r="C6399" i="3"/>
  <c r="A6399" i="3"/>
  <c r="E6398" i="3"/>
  <c r="B6389" i="3"/>
  <c r="C6398" i="3"/>
  <c r="G6398" i="3"/>
  <c r="G6355" i="3"/>
  <c r="E6355" i="3"/>
  <c r="C6355" i="3"/>
  <c r="A6355" i="3"/>
  <c r="G6354" i="3"/>
  <c r="E6354" i="3"/>
  <c r="C6354" i="3"/>
  <c r="A6354" i="3"/>
  <c r="G6350" i="3"/>
  <c r="E6350" i="3"/>
  <c r="C6350" i="3"/>
  <c r="A6350" i="3"/>
  <c r="G6349" i="3"/>
  <c r="E6349" i="3"/>
  <c r="C6349" i="3"/>
  <c r="A6349" i="3"/>
  <c r="G6348" i="3"/>
  <c r="E6348" i="3"/>
  <c r="C6348" i="3"/>
  <c r="A6348" i="3"/>
  <c r="E6347" i="3"/>
  <c r="B6338" i="3"/>
  <c r="C6347" i="3"/>
  <c r="G6347" i="3"/>
  <c r="G6304" i="3"/>
  <c r="E6304" i="3"/>
  <c r="C6304" i="3"/>
  <c r="A6304" i="3"/>
  <c r="G6303" i="3"/>
  <c r="E6303" i="3"/>
  <c r="C6303" i="3"/>
  <c r="A6303" i="3"/>
  <c r="E6298" i="3"/>
  <c r="B6289" i="3"/>
  <c r="C6298" i="3"/>
  <c r="G6298" i="3"/>
  <c r="G6114" i="3"/>
  <c r="E6114" i="3"/>
  <c r="C6114" i="3"/>
  <c r="A6114" i="3"/>
  <c r="E6113" i="3"/>
  <c r="B6104" i="3"/>
  <c r="C6113" i="3"/>
  <c r="G6113" i="3"/>
  <c r="G6070" i="3"/>
  <c r="E6070" i="3"/>
  <c r="C6070" i="3"/>
  <c r="A6070" i="3"/>
  <c r="E6069" i="3"/>
  <c r="B6060" i="3"/>
  <c r="C6069" i="3"/>
  <c r="G6069" i="3"/>
  <c r="G6023" i="3"/>
  <c r="E6023" i="3"/>
  <c r="C6023" i="3"/>
  <c r="A6023" i="3"/>
  <c r="G6022" i="3"/>
  <c r="E6022" i="3"/>
  <c r="C6022" i="3"/>
  <c r="A6022" i="3"/>
  <c r="G6021" i="3"/>
  <c r="E6021" i="3"/>
  <c r="C6021" i="3"/>
  <c r="A6021" i="3"/>
  <c r="E6020" i="3"/>
  <c r="B6011" i="3"/>
  <c r="C6020" i="3"/>
  <c r="G6020" i="3"/>
  <c r="E5973" i="3"/>
  <c r="B5964" i="3"/>
  <c r="C5973" i="3"/>
  <c r="G5973" i="3"/>
  <c r="B388" i="10"/>
  <c r="A387" i="10"/>
  <c r="A403" i="10" s="1"/>
  <c r="A419" i="10" s="1"/>
  <c r="A435" i="10" s="1"/>
  <c r="A388" i="10"/>
  <c r="A404" i="10" s="1"/>
  <c r="A420" i="10" s="1"/>
  <c r="A436" i="10" s="1"/>
  <c r="D398" i="10"/>
  <c r="G5786" i="3"/>
  <c r="E5786" i="3"/>
  <c r="C5786" i="3"/>
  <c r="A5786" i="3"/>
  <c r="G5785" i="3"/>
  <c r="E5785" i="3"/>
  <c r="C5785" i="3"/>
  <c r="A5785" i="3"/>
  <c r="G5781" i="3"/>
  <c r="E5781" i="3"/>
  <c r="C5781" i="3"/>
  <c r="A5781" i="3"/>
  <c r="E5780" i="3"/>
  <c r="B5771" i="3"/>
  <c r="C5780" i="3"/>
  <c r="G5780" i="3"/>
  <c r="G5738" i="3"/>
  <c r="E5738" i="3"/>
  <c r="C5738" i="3"/>
  <c r="A5738" i="3"/>
  <c r="G5737" i="3"/>
  <c r="E5737" i="3"/>
  <c r="C5737" i="3"/>
  <c r="A5737" i="3"/>
  <c r="G5735" i="3"/>
  <c r="E5735" i="3"/>
  <c r="C5735" i="3"/>
  <c r="A5735" i="3"/>
  <c r="E5734" i="3"/>
  <c r="B5725" i="3"/>
  <c r="C5734" i="3"/>
  <c r="G5734" i="3"/>
  <c r="G5691" i="3"/>
  <c r="E5691" i="3"/>
  <c r="C5691" i="3"/>
  <c r="A5691" i="3"/>
  <c r="G5690" i="3"/>
  <c r="E5690" i="3"/>
  <c r="C5690" i="3"/>
  <c r="A5690" i="3"/>
  <c r="G5686" i="3"/>
  <c r="E5686" i="3"/>
  <c r="C5686" i="3"/>
  <c r="A5686" i="3"/>
  <c r="G5685" i="3"/>
  <c r="E5685" i="3"/>
  <c r="C5685" i="3"/>
  <c r="A5685" i="3"/>
  <c r="G5684" i="3"/>
  <c r="E5684" i="3"/>
  <c r="C5684" i="3"/>
  <c r="A5684" i="3"/>
  <c r="E5683" i="3"/>
  <c r="B5674" i="3"/>
  <c r="C5683" i="3"/>
  <c r="G5683" i="3"/>
  <c r="G5640" i="3"/>
  <c r="E5640" i="3"/>
  <c r="C5640" i="3"/>
  <c r="A5640" i="3"/>
  <c r="G5639" i="3"/>
  <c r="E5639" i="3"/>
  <c r="C5639" i="3"/>
  <c r="A5639" i="3"/>
  <c r="E5634" i="3"/>
  <c r="B5625" i="3"/>
  <c r="C5634" i="3"/>
  <c r="G5634" i="3"/>
  <c r="G5450" i="3"/>
  <c r="E5450" i="3"/>
  <c r="C5450" i="3"/>
  <c r="A5450" i="3"/>
  <c r="E5449" i="3"/>
  <c r="B5440" i="3"/>
  <c r="C5449" i="3"/>
  <c r="G5449" i="3"/>
  <c r="G5406" i="3"/>
  <c r="E5406" i="3"/>
  <c r="C5406" i="3"/>
  <c r="A5406" i="3"/>
  <c r="E5405" i="3"/>
  <c r="B5396" i="3"/>
  <c r="C5405" i="3"/>
  <c r="G5405" i="3"/>
  <c r="G5359" i="3"/>
  <c r="E5359" i="3"/>
  <c r="C5359" i="3"/>
  <c r="A5359" i="3"/>
  <c r="G5358" i="3"/>
  <c r="E5358" i="3"/>
  <c r="C5358" i="3"/>
  <c r="A5358" i="3"/>
  <c r="G5357" i="3"/>
  <c r="E5357" i="3"/>
  <c r="C5357" i="3"/>
  <c r="A5357" i="3"/>
  <c r="E5356" i="3"/>
  <c r="B5347" i="3"/>
  <c r="C5356" i="3"/>
  <c r="G5356" i="3"/>
  <c r="E5309" i="3"/>
  <c r="B5300" i="3"/>
  <c r="C5309" i="3"/>
  <c r="G5309" i="3"/>
  <c r="G5121" i="3"/>
  <c r="E5121" i="3"/>
  <c r="C5121" i="3"/>
  <c r="A5121" i="3"/>
  <c r="G5120" i="3"/>
  <c r="E5120" i="3"/>
  <c r="C5120" i="3"/>
  <c r="A5120" i="3"/>
  <c r="G5116" i="3"/>
  <c r="E5116" i="3"/>
  <c r="C5116" i="3"/>
  <c r="A5116" i="3"/>
  <c r="E5115" i="3"/>
  <c r="B5106" i="3"/>
  <c r="C5115" i="3"/>
  <c r="G5115" i="3"/>
  <c r="G5073" i="3"/>
  <c r="E5073" i="3"/>
  <c r="C5073" i="3"/>
  <c r="A5073" i="3"/>
  <c r="G5072" i="3"/>
  <c r="E5072" i="3"/>
  <c r="C5072" i="3"/>
  <c r="A5072" i="3"/>
  <c r="G5070" i="3"/>
  <c r="E5070" i="3"/>
  <c r="C5070" i="3"/>
  <c r="A5070" i="3"/>
  <c r="E5069" i="3"/>
  <c r="B5060" i="3"/>
  <c r="C5069" i="3"/>
  <c r="G5069" i="3"/>
  <c r="G5026" i="3"/>
  <c r="E5026" i="3"/>
  <c r="C5026" i="3"/>
  <c r="A5026" i="3"/>
  <c r="G5025" i="3"/>
  <c r="E5025" i="3"/>
  <c r="C5025" i="3"/>
  <c r="A5025" i="3"/>
  <c r="G5021" i="3"/>
  <c r="E5021" i="3"/>
  <c r="C5021" i="3"/>
  <c r="A5021" i="3"/>
  <c r="G5020" i="3"/>
  <c r="E5020" i="3"/>
  <c r="C5020" i="3"/>
  <c r="A5020" i="3"/>
  <c r="G5019" i="3"/>
  <c r="E5019" i="3"/>
  <c r="C5019" i="3"/>
  <c r="A5019" i="3"/>
  <c r="E5018" i="3"/>
  <c r="B5009" i="3"/>
  <c r="C5018" i="3"/>
  <c r="G5018" i="3"/>
  <c r="G4975" i="3"/>
  <c r="E4975" i="3"/>
  <c r="C4975" i="3"/>
  <c r="A4975" i="3"/>
  <c r="G4974" i="3"/>
  <c r="E4974" i="3"/>
  <c r="C4974" i="3"/>
  <c r="A4974" i="3"/>
  <c r="E4969" i="3"/>
  <c r="B4960" i="3"/>
  <c r="C4969" i="3"/>
  <c r="G4969" i="3"/>
  <c r="G4785" i="3"/>
  <c r="E4785" i="3"/>
  <c r="C4785" i="3"/>
  <c r="A4785" i="3"/>
  <c r="E4784" i="3"/>
  <c r="B4775" i="3"/>
  <c r="C4784" i="3"/>
  <c r="G4784" i="3"/>
  <c r="G4741" i="3"/>
  <c r="E4741" i="3"/>
  <c r="C4741" i="3"/>
  <c r="A4741" i="3"/>
  <c r="E4740" i="3"/>
  <c r="B4731" i="3"/>
  <c r="C4740" i="3"/>
  <c r="G4740" i="3"/>
  <c r="G4694" i="3"/>
  <c r="E4694" i="3"/>
  <c r="C4694" i="3"/>
  <c r="A4694" i="3"/>
  <c r="G4693" i="3"/>
  <c r="E4693" i="3"/>
  <c r="C4693" i="3"/>
  <c r="A4693" i="3"/>
  <c r="G4692" i="3"/>
  <c r="E4692" i="3"/>
  <c r="C4692" i="3"/>
  <c r="A4692" i="3"/>
  <c r="E4691" i="3"/>
  <c r="B4682" i="3"/>
  <c r="C4691" i="3"/>
  <c r="G4691" i="3"/>
  <c r="E4644" i="3"/>
  <c r="B4635" i="3"/>
  <c r="C4644" i="3"/>
  <c r="G4644" i="3"/>
  <c r="G4457" i="3"/>
  <c r="E4457" i="3"/>
  <c r="C4457" i="3"/>
  <c r="A4457" i="3"/>
  <c r="G4456" i="3"/>
  <c r="E4456" i="3"/>
  <c r="C4456" i="3"/>
  <c r="A4456" i="3"/>
  <c r="G4452" i="3"/>
  <c r="E4452" i="3"/>
  <c r="C4452" i="3"/>
  <c r="A4452" i="3"/>
  <c r="E4451" i="3"/>
  <c r="B4442" i="3"/>
  <c r="C4451" i="3"/>
  <c r="G4451" i="3"/>
  <c r="G4409" i="3"/>
  <c r="E4409" i="3"/>
  <c r="C4409" i="3"/>
  <c r="A4409" i="3"/>
  <c r="G4408" i="3"/>
  <c r="E4408" i="3"/>
  <c r="C4408" i="3"/>
  <c r="A4408" i="3"/>
  <c r="G4406" i="3"/>
  <c r="E4406" i="3"/>
  <c r="C4406" i="3"/>
  <c r="A4406" i="3"/>
  <c r="E4405" i="3"/>
  <c r="B4396" i="3"/>
  <c r="C4405" i="3"/>
  <c r="G4405" i="3"/>
  <c r="G4362" i="3"/>
  <c r="E4362" i="3"/>
  <c r="C4362" i="3"/>
  <c r="A4362" i="3"/>
  <c r="G4361" i="3"/>
  <c r="E4361" i="3"/>
  <c r="C4361" i="3"/>
  <c r="A4361" i="3"/>
  <c r="G4357" i="3"/>
  <c r="E4357" i="3"/>
  <c r="C4357" i="3"/>
  <c r="A4357" i="3"/>
  <c r="G4356" i="3"/>
  <c r="E4356" i="3"/>
  <c r="C4356" i="3"/>
  <c r="A4356" i="3"/>
  <c r="G4355" i="3"/>
  <c r="E4355" i="3"/>
  <c r="C4355" i="3"/>
  <c r="A4355" i="3"/>
  <c r="E4354" i="3"/>
  <c r="B4345" i="3"/>
  <c r="C4354" i="3"/>
  <c r="G4354" i="3"/>
  <c r="G4311" i="3"/>
  <c r="E4311" i="3"/>
  <c r="C4311" i="3"/>
  <c r="A4311" i="3"/>
  <c r="G4310" i="3"/>
  <c r="E4310" i="3"/>
  <c r="C4310" i="3"/>
  <c r="A4310" i="3"/>
  <c r="E4305" i="3"/>
  <c r="B4296" i="3"/>
  <c r="C4305" i="3"/>
  <c r="G4305" i="3"/>
  <c r="G4121" i="3"/>
  <c r="E4121" i="3"/>
  <c r="C4121" i="3"/>
  <c r="A4121" i="3"/>
  <c r="E4120" i="3"/>
  <c r="B4111" i="3"/>
  <c r="C4120" i="3"/>
  <c r="G4120" i="3"/>
  <c r="G4077" i="3"/>
  <c r="E4077" i="3"/>
  <c r="C4077" i="3"/>
  <c r="A4077" i="3"/>
  <c r="E4076" i="3"/>
  <c r="B4067" i="3"/>
  <c r="C4076" i="3"/>
  <c r="G4076" i="3"/>
  <c r="G4030" i="3"/>
  <c r="E4030" i="3"/>
  <c r="C4030" i="3"/>
  <c r="A4030" i="3"/>
  <c r="G4029" i="3"/>
  <c r="E4029" i="3"/>
  <c r="C4029" i="3"/>
  <c r="A4029" i="3"/>
  <c r="G4028" i="3"/>
  <c r="E4028" i="3"/>
  <c r="C4028" i="3"/>
  <c r="A4028" i="3"/>
  <c r="E4027" i="3"/>
  <c r="B4018" i="3"/>
  <c r="C4027" i="3"/>
  <c r="G4027" i="3"/>
  <c r="E3980" i="3"/>
  <c r="B3971" i="3"/>
  <c r="C3980" i="3"/>
  <c r="G3980" i="3"/>
  <c r="G3938" i="3"/>
  <c r="E3938" i="3"/>
  <c r="C3938" i="3"/>
  <c r="A3938" i="3"/>
  <c r="G3934" i="3"/>
  <c r="E3934" i="3"/>
  <c r="C3934" i="3"/>
  <c r="A3934" i="3"/>
  <c r="E3933" i="3"/>
  <c r="B3782" i="3"/>
  <c r="G3749" i="3"/>
  <c r="E3749" i="3"/>
  <c r="C3749" i="3"/>
  <c r="A3749" i="3"/>
  <c r="G3747" i="3"/>
  <c r="E3747" i="3"/>
  <c r="C3747" i="3"/>
  <c r="A3747" i="3"/>
  <c r="E3746" i="3"/>
  <c r="B3737" i="3"/>
  <c r="C3746" i="3"/>
  <c r="G3746" i="3"/>
  <c r="G3703" i="3"/>
  <c r="E3703" i="3"/>
  <c r="C3703" i="3"/>
  <c r="A3703" i="3"/>
  <c r="G3699" i="3"/>
  <c r="E3699" i="3"/>
  <c r="C3699" i="3"/>
  <c r="A3699" i="3"/>
  <c r="G3698" i="3"/>
  <c r="E3698" i="3"/>
  <c r="C3698" i="3"/>
  <c r="A3698" i="3"/>
  <c r="G3697" i="3"/>
  <c r="E3697" i="3"/>
  <c r="C3697" i="3"/>
  <c r="A3697" i="3"/>
  <c r="E3696" i="3"/>
  <c r="B3687" i="3"/>
  <c r="C3696" i="3"/>
  <c r="G3696" i="3"/>
  <c r="G3653" i="3"/>
  <c r="E3653" i="3"/>
  <c r="C3653" i="3"/>
  <c r="A3653" i="3"/>
  <c r="E3649" i="3"/>
  <c r="B3640" i="3"/>
  <c r="C3649" i="3"/>
  <c r="G3649" i="3"/>
  <c r="G3465" i="3"/>
  <c r="E3465" i="3"/>
  <c r="C3465" i="3"/>
  <c r="A3465" i="3"/>
  <c r="E3464" i="3"/>
  <c r="B3455" i="3"/>
  <c r="C3464" i="3"/>
  <c r="G3464" i="3"/>
  <c r="G3421" i="3"/>
  <c r="E3421" i="3"/>
  <c r="C3421" i="3"/>
  <c r="A3421" i="3"/>
  <c r="E3420" i="3"/>
  <c r="B3411" i="3"/>
  <c r="C3420" i="3"/>
  <c r="G3420" i="3"/>
  <c r="G3374" i="3"/>
  <c r="E3374" i="3"/>
  <c r="C3374" i="3"/>
  <c r="A3374" i="3"/>
  <c r="G3373" i="3"/>
  <c r="E3373" i="3"/>
  <c r="C3373" i="3"/>
  <c r="A3373" i="3"/>
  <c r="G3372" i="3"/>
  <c r="E3372" i="3"/>
  <c r="C3372" i="3"/>
  <c r="A3372" i="3"/>
  <c r="E3371" i="3"/>
  <c r="B3362" i="3"/>
  <c r="C3371" i="3"/>
  <c r="G3371" i="3"/>
  <c r="E3324" i="3"/>
  <c r="B3315" i="3"/>
  <c r="C3324" i="3"/>
  <c r="G3324" i="3"/>
  <c r="G3139" i="3"/>
  <c r="E3139" i="3"/>
  <c r="C3139" i="3"/>
  <c r="A3139" i="3"/>
  <c r="E3138" i="3"/>
  <c r="C3138" i="3"/>
  <c r="G3135" i="3"/>
  <c r="E3135" i="3"/>
  <c r="C3135" i="3"/>
  <c r="A3135" i="3"/>
  <c r="E3134" i="3"/>
  <c r="B3125" i="3"/>
  <c r="C3134" i="3"/>
  <c r="G3134" i="3"/>
  <c r="G3092" i="3"/>
  <c r="E3092" i="3"/>
  <c r="C3092" i="3"/>
  <c r="A3092" i="3"/>
  <c r="E3091" i="3"/>
  <c r="C3091" i="3"/>
  <c r="G3090" i="3"/>
  <c r="E3090" i="3"/>
  <c r="C3090" i="3"/>
  <c r="A3090" i="3"/>
  <c r="E3089" i="3"/>
  <c r="B3080" i="3"/>
  <c r="C3089" i="3"/>
  <c r="G3089" i="3"/>
  <c r="G3046" i="3"/>
  <c r="E3046" i="3"/>
  <c r="C3046" i="3"/>
  <c r="A3046" i="3"/>
  <c r="E3045" i="3"/>
  <c r="C3045" i="3"/>
  <c r="G3042" i="3"/>
  <c r="E3042" i="3"/>
  <c r="C3042" i="3"/>
  <c r="A3042" i="3"/>
  <c r="G3041" i="3"/>
  <c r="E3041" i="3"/>
  <c r="C3041" i="3"/>
  <c r="A3041" i="3"/>
  <c r="G3040" i="3"/>
  <c r="E3040" i="3"/>
  <c r="C3040" i="3"/>
  <c r="A3040" i="3"/>
  <c r="E3039" i="3"/>
  <c r="B3030" i="3"/>
  <c r="C3039" i="3"/>
  <c r="G3039" i="3"/>
  <c r="G2996" i="3"/>
  <c r="E2996" i="3"/>
  <c r="C2996" i="3"/>
  <c r="A2996" i="3"/>
  <c r="E2995" i="3"/>
  <c r="C2995" i="3"/>
  <c r="E2992" i="3"/>
  <c r="B2983" i="3"/>
  <c r="C2992" i="3"/>
  <c r="G2992" i="3"/>
  <c r="E2811" i="3"/>
  <c r="C2811" i="3"/>
  <c r="G2808" i="3"/>
  <c r="E2808" i="3"/>
  <c r="C2808" i="3"/>
  <c r="A2808" i="3"/>
  <c r="E2807" i="3"/>
  <c r="B2798" i="3"/>
  <c r="C2807" i="3"/>
  <c r="G2807" i="3"/>
  <c r="E2765" i="3"/>
  <c r="C2765" i="3"/>
  <c r="G2764" i="3"/>
  <c r="E2764" i="3"/>
  <c r="C2764" i="3"/>
  <c r="A2764" i="3"/>
  <c r="E2763" i="3"/>
  <c r="B2754" i="3"/>
  <c r="C2763" i="3"/>
  <c r="G2763" i="3"/>
  <c r="E2720" i="3"/>
  <c r="C2720" i="3"/>
  <c r="G2717" i="3"/>
  <c r="E2717" i="3"/>
  <c r="C2717" i="3"/>
  <c r="A2717" i="3"/>
  <c r="G2716" i="3"/>
  <c r="E2716" i="3"/>
  <c r="C2716" i="3"/>
  <c r="A2716" i="3"/>
  <c r="G2715" i="3"/>
  <c r="E2715" i="3"/>
  <c r="C2715" i="3"/>
  <c r="A2715" i="3"/>
  <c r="E2714" i="3"/>
  <c r="B2705" i="3"/>
  <c r="C2714" i="3"/>
  <c r="G2714" i="3"/>
  <c r="E2671" i="3"/>
  <c r="C2671" i="3"/>
  <c r="E2667" i="3"/>
  <c r="B2658" i="3"/>
  <c r="C2667" i="3"/>
  <c r="G2667" i="3"/>
  <c r="G2483" i="3"/>
  <c r="E2483" i="3"/>
  <c r="C2483" i="3"/>
  <c r="A2483" i="3"/>
  <c r="E2482" i="3"/>
  <c r="C2482" i="3"/>
  <c r="G2479" i="3"/>
  <c r="E2479" i="3"/>
  <c r="C2479" i="3"/>
  <c r="A2479" i="3"/>
  <c r="E2478" i="3"/>
  <c r="B2469" i="3"/>
  <c r="C2478" i="3"/>
  <c r="G2478" i="3"/>
  <c r="G2436" i="3"/>
  <c r="E2436" i="3"/>
  <c r="C2436" i="3"/>
  <c r="A2436" i="3"/>
  <c r="E2435" i="3"/>
  <c r="C2435" i="3"/>
  <c r="G2434" i="3"/>
  <c r="E2434" i="3"/>
  <c r="C2434" i="3"/>
  <c r="A2434" i="3"/>
  <c r="E2433" i="3"/>
  <c r="B2424" i="3"/>
  <c r="C2433" i="3"/>
  <c r="G2433" i="3"/>
  <c r="G2390" i="3"/>
  <c r="E2390" i="3"/>
  <c r="C2390" i="3"/>
  <c r="A2390" i="3"/>
  <c r="E2389" i="3"/>
  <c r="C2389" i="3"/>
  <c r="G2386" i="3"/>
  <c r="E2386" i="3"/>
  <c r="C2386" i="3"/>
  <c r="A2386" i="3"/>
  <c r="G2385" i="3"/>
  <c r="E2385" i="3"/>
  <c r="C2385" i="3"/>
  <c r="A2385" i="3"/>
  <c r="G2384" i="3"/>
  <c r="E2384" i="3"/>
  <c r="C2384" i="3"/>
  <c r="A2384" i="3"/>
  <c r="E2383" i="3"/>
  <c r="B2374" i="3"/>
  <c r="C2383" i="3"/>
  <c r="G2383" i="3"/>
  <c r="G2340" i="3"/>
  <c r="E2340" i="3"/>
  <c r="C2340" i="3"/>
  <c r="A2340" i="3"/>
  <c r="E2339" i="3"/>
  <c r="C2339" i="3"/>
  <c r="E2336" i="3"/>
  <c r="B2327" i="3"/>
  <c r="C2336" i="3"/>
  <c r="G2336" i="3"/>
  <c r="E2155" i="3"/>
  <c r="C2155" i="3"/>
  <c r="G2152" i="3"/>
  <c r="E2152" i="3"/>
  <c r="C2152" i="3"/>
  <c r="A2152" i="3"/>
  <c r="E2151" i="3"/>
  <c r="B2142" i="3"/>
  <c r="C2151" i="3"/>
  <c r="G2151" i="3"/>
  <c r="E2109" i="3"/>
  <c r="C2109" i="3"/>
  <c r="G2108" i="3"/>
  <c r="E2108" i="3"/>
  <c r="C2108" i="3"/>
  <c r="A2108" i="3"/>
  <c r="E2107" i="3"/>
  <c r="B2098" i="3"/>
  <c r="C2107" i="3"/>
  <c r="G2107" i="3"/>
  <c r="E2064" i="3"/>
  <c r="C2064" i="3"/>
  <c r="G2061" i="3"/>
  <c r="E2061" i="3"/>
  <c r="C2061" i="3"/>
  <c r="A2061" i="3"/>
  <c r="G2060" i="3"/>
  <c r="E2060" i="3"/>
  <c r="C2060" i="3"/>
  <c r="A2060" i="3"/>
  <c r="G2059" i="3"/>
  <c r="E2059" i="3"/>
  <c r="C2059" i="3"/>
  <c r="A2059" i="3"/>
  <c r="E2058" i="3"/>
  <c r="B2049" i="3"/>
  <c r="C2058" i="3"/>
  <c r="G2058" i="3"/>
  <c r="E2015" i="3"/>
  <c r="C2015" i="3"/>
  <c r="E2011" i="3"/>
  <c r="B2002" i="3"/>
  <c r="C2011" i="3"/>
  <c r="G2011" i="3"/>
  <c r="D382" i="10"/>
  <c r="C382" i="10"/>
  <c r="G1826" i="3"/>
  <c r="E1826" i="3"/>
  <c r="C1826" i="3"/>
  <c r="A1826" i="3"/>
  <c r="E1825" i="3"/>
  <c r="C1825" i="3"/>
  <c r="G1822" i="3"/>
  <c r="E1822" i="3"/>
  <c r="C1822" i="3"/>
  <c r="A1822" i="3"/>
  <c r="E1821" i="3"/>
  <c r="B1812" i="3"/>
  <c r="C1821" i="3"/>
  <c r="G1821" i="3"/>
  <c r="G1779" i="3"/>
  <c r="E1779" i="3"/>
  <c r="C1779" i="3"/>
  <c r="A1779" i="3"/>
  <c r="E1778" i="3"/>
  <c r="C1778" i="3"/>
  <c r="G1777" i="3"/>
  <c r="E1777" i="3"/>
  <c r="C1777" i="3"/>
  <c r="A1777" i="3"/>
  <c r="E1776" i="3"/>
  <c r="B1767" i="3"/>
  <c r="C1776" i="3"/>
  <c r="G1776" i="3"/>
  <c r="G1733" i="3"/>
  <c r="E1733" i="3"/>
  <c r="C1733" i="3"/>
  <c r="A1733" i="3"/>
  <c r="E1732" i="3"/>
  <c r="C1732" i="3"/>
  <c r="G1729" i="3"/>
  <c r="E1729" i="3"/>
  <c r="C1729" i="3"/>
  <c r="A1729" i="3"/>
  <c r="G1728" i="3"/>
  <c r="E1728" i="3"/>
  <c r="C1728" i="3"/>
  <c r="A1728" i="3"/>
  <c r="G1727" i="3"/>
  <c r="E1727" i="3"/>
  <c r="C1727" i="3"/>
  <c r="A1727" i="3"/>
  <c r="E1726" i="3"/>
  <c r="B1717" i="3"/>
  <c r="C1726" i="3"/>
  <c r="G1726" i="3"/>
  <c r="G1683" i="3"/>
  <c r="E1683" i="3"/>
  <c r="C1683" i="3"/>
  <c r="A1683" i="3"/>
  <c r="E1682" i="3"/>
  <c r="C1682" i="3"/>
  <c r="E1679" i="3"/>
  <c r="B1670" i="3"/>
  <c r="C1679" i="3"/>
  <c r="G1679" i="3"/>
  <c r="E1498" i="3"/>
  <c r="C1498" i="3"/>
  <c r="G1495" i="3"/>
  <c r="E1495" i="3"/>
  <c r="C1495" i="3"/>
  <c r="A1495" i="3"/>
  <c r="E1494" i="3"/>
  <c r="B1485" i="3"/>
  <c r="C1494" i="3"/>
  <c r="G1494" i="3"/>
  <c r="E1452" i="3"/>
  <c r="C1452" i="3"/>
  <c r="G1451" i="3"/>
  <c r="E1451" i="3"/>
  <c r="C1451" i="3"/>
  <c r="A1451" i="3"/>
  <c r="E1450" i="3"/>
  <c r="B1441" i="3"/>
  <c r="C1450" i="3"/>
  <c r="G1450" i="3"/>
  <c r="E1407" i="3"/>
  <c r="C1407" i="3"/>
  <c r="G1404" i="3"/>
  <c r="E1404" i="3"/>
  <c r="C1404" i="3"/>
  <c r="A1404" i="3"/>
  <c r="G1403" i="3"/>
  <c r="E1403" i="3"/>
  <c r="C1403" i="3"/>
  <c r="A1403" i="3"/>
  <c r="G1402" i="3"/>
  <c r="E1402" i="3"/>
  <c r="C1402" i="3"/>
  <c r="A1402" i="3"/>
  <c r="E1401" i="3"/>
  <c r="B1392" i="3"/>
  <c r="C1401" i="3"/>
  <c r="G1401" i="3"/>
  <c r="E1358" i="3"/>
  <c r="C1358" i="3"/>
  <c r="E1354" i="3"/>
  <c r="B1345" i="3"/>
  <c r="C1354" i="3"/>
  <c r="G1354" i="3"/>
  <c r="G1169" i="3"/>
  <c r="E1169" i="3"/>
  <c r="C1169" i="3"/>
  <c r="A1169" i="3"/>
  <c r="E1168" i="3"/>
  <c r="C1168" i="3"/>
  <c r="G1165" i="3"/>
  <c r="E1165" i="3"/>
  <c r="C1165" i="3"/>
  <c r="A1165" i="3"/>
  <c r="E1164" i="3"/>
  <c r="B1155" i="3"/>
  <c r="C1164" i="3"/>
  <c r="G1164" i="3"/>
  <c r="G1122" i="3"/>
  <c r="E1122" i="3"/>
  <c r="C1122" i="3"/>
  <c r="A1122" i="3"/>
  <c r="E1121" i="3"/>
  <c r="C1121" i="3"/>
  <c r="G1120" i="3"/>
  <c r="E1120" i="3"/>
  <c r="C1120" i="3"/>
  <c r="A1120" i="3"/>
  <c r="E1119" i="3"/>
  <c r="B1110" i="3"/>
  <c r="C1119" i="3"/>
  <c r="G1119" i="3"/>
  <c r="G1076" i="3"/>
  <c r="E1076" i="3"/>
  <c r="C1076" i="3"/>
  <c r="A1076" i="3"/>
  <c r="E1075" i="3"/>
  <c r="C1075" i="3"/>
  <c r="G1072" i="3"/>
  <c r="E1072" i="3"/>
  <c r="C1072" i="3"/>
  <c r="A1072" i="3"/>
  <c r="G1071" i="3"/>
  <c r="E1071" i="3"/>
  <c r="C1071" i="3"/>
  <c r="A1071" i="3"/>
  <c r="G1070" i="3"/>
  <c r="E1070" i="3"/>
  <c r="C1070" i="3"/>
  <c r="A1070" i="3"/>
  <c r="E1069" i="3"/>
  <c r="B1060" i="3"/>
  <c r="C1069" i="3"/>
  <c r="G1069" i="3"/>
  <c r="G1026" i="3"/>
  <c r="E1026" i="3"/>
  <c r="C1026" i="3"/>
  <c r="A1026" i="3"/>
  <c r="E1025" i="3"/>
  <c r="C1025" i="3"/>
  <c r="E1022" i="3"/>
  <c r="B1013" i="3"/>
  <c r="C1022" i="3"/>
  <c r="G1022" i="3"/>
  <c r="E841" i="3"/>
  <c r="C841" i="3"/>
  <c r="G838" i="3"/>
  <c r="E838" i="3"/>
  <c r="C838" i="3"/>
  <c r="A838" i="3"/>
  <c r="E837" i="3"/>
  <c r="B828" i="3"/>
  <c r="C837" i="3"/>
  <c r="G837" i="3"/>
  <c r="E795" i="3"/>
  <c r="C795" i="3"/>
  <c r="G794" i="3"/>
  <c r="E794" i="3"/>
  <c r="C794" i="3"/>
  <c r="A794" i="3"/>
  <c r="E793" i="3"/>
  <c r="B784" i="3"/>
  <c r="C793" i="3"/>
  <c r="G793" i="3"/>
  <c r="E750" i="3"/>
  <c r="C750" i="3"/>
  <c r="G747" i="3"/>
  <c r="E747" i="3"/>
  <c r="C747" i="3"/>
  <c r="A747" i="3"/>
  <c r="G746" i="3"/>
  <c r="E746" i="3"/>
  <c r="C746" i="3"/>
  <c r="A746" i="3"/>
  <c r="G745" i="3"/>
  <c r="E745" i="3"/>
  <c r="C745" i="3"/>
  <c r="A745" i="3"/>
  <c r="E744" i="3"/>
  <c r="B735" i="3"/>
  <c r="C744" i="3"/>
  <c r="G744" i="3"/>
  <c r="E701" i="3"/>
  <c r="C701" i="3"/>
  <c r="E697" i="3"/>
  <c r="B688" i="3"/>
  <c r="C697" i="3"/>
  <c r="G697" i="3"/>
  <c r="G608" i="3"/>
  <c r="E608" i="3"/>
  <c r="C608" i="3"/>
  <c r="A608" i="3"/>
  <c r="E607" i="3"/>
  <c r="C607" i="3"/>
  <c r="G604" i="3"/>
  <c r="E604" i="3"/>
  <c r="C604" i="3"/>
  <c r="A604" i="3"/>
  <c r="E603" i="3"/>
  <c r="B594" i="3"/>
  <c r="C603" i="3"/>
  <c r="G603" i="3"/>
  <c r="G516" i="3"/>
  <c r="E516" i="3"/>
  <c r="C516" i="3"/>
  <c r="A516" i="3"/>
  <c r="E515" i="3"/>
  <c r="C515" i="3"/>
  <c r="G514" i="3"/>
  <c r="E514" i="3"/>
  <c r="C514" i="3"/>
  <c r="A514" i="3"/>
  <c r="E513" i="3"/>
  <c r="B504" i="3"/>
  <c r="C513" i="3"/>
  <c r="G513" i="3"/>
  <c r="G420" i="3"/>
  <c r="E420" i="3"/>
  <c r="C420" i="3"/>
  <c r="A420" i="3"/>
  <c r="E419" i="3"/>
  <c r="C419" i="3"/>
  <c r="G416" i="3"/>
  <c r="E416" i="3"/>
  <c r="C416" i="3"/>
  <c r="A416" i="3"/>
  <c r="G415" i="3"/>
  <c r="E415" i="3"/>
  <c r="C415" i="3"/>
  <c r="A415" i="3"/>
  <c r="G414" i="3"/>
  <c r="E414" i="3"/>
  <c r="C414" i="3"/>
  <c r="A414" i="3"/>
  <c r="E413" i="3"/>
  <c r="B404" i="3"/>
  <c r="C413" i="3"/>
  <c r="G413" i="3"/>
  <c r="G370" i="3"/>
  <c r="E370" i="3"/>
  <c r="C370" i="3"/>
  <c r="A370" i="3"/>
  <c r="E369" i="3"/>
  <c r="C369" i="3"/>
  <c r="E366" i="3"/>
  <c r="B357" i="3"/>
  <c r="C366" i="3"/>
  <c r="G366" i="3"/>
  <c r="I9" i="12"/>
  <c r="J9" i="12" s="1"/>
  <c r="E278" i="3"/>
  <c r="C278" i="3"/>
  <c r="G275" i="3"/>
  <c r="E275" i="3"/>
  <c r="C275" i="3"/>
  <c r="A275" i="3"/>
  <c r="E274" i="3"/>
  <c r="B265" i="3"/>
  <c r="C274" i="3"/>
  <c r="G274" i="3"/>
  <c r="I7" i="12"/>
  <c r="J7" i="12" s="1"/>
  <c r="B55" i="4" l="1"/>
  <c r="L55" i="4" s="1"/>
  <c r="M55" i="4" s="1"/>
  <c r="B56" i="4"/>
  <c r="B404" i="10"/>
  <c r="J388" i="10"/>
  <c r="J387" i="10"/>
  <c r="B1966" i="3"/>
  <c r="L1966" i="3" s="1"/>
  <c r="M1966" i="3" s="1"/>
  <c r="B4262" i="3"/>
  <c r="L4262" i="3" s="1"/>
  <c r="M4262" i="3" s="1"/>
  <c r="B4926" i="3"/>
  <c r="L4926" i="3" s="1"/>
  <c r="M4926" i="3" s="1"/>
  <c r="B8912" i="3"/>
  <c r="L8912" i="3" s="1"/>
  <c r="M8912" i="3" s="1"/>
  <c r="B3606" i="3"/>
  <c r="L3606" i="3" s="1"/>
  <c r="M3606" i="3" s="1"/>
  <c r="B3279" i="3"/>
  <c r="L3279" i="3" s="1"/>
  <c r="M3279" i="3" s="1"/>
  <c r="B6255" i="3"/>
  <c r="L6255" i="3" s="1"/>
  <c r="M6255" i="3" s="1"/>
  <c r="B8585" i="3"/>
  <c r="L8585" i="3" s="1"/>
  <c r="M8585" i="3" s="1"/>
  <c r="B3936" i="3"/>
  <c r="L3936" i="3" s="1"/>
  <c r="M3936" i="3" s="1"/>
  <c r="B4599" i="3"/>
  <c r="L4599" i="3" s="1"/>
  <c r="M4599" i="3" s="1"/>
  <c r="B9249" i="3"/>
  <c r="L9249" i="3" s="1"/>
  <c r="M9249" i="3" s="1"/>
  <c r="B6919" i="3"/>
  <c r="L6919" i="3" s="1"/>
  <c r="M6919" i="3" s="1"/>
  <c r="B5591" i="3"/>
  <c r="L5591" i="3" s="1"/>
  <c r="M5591" i="3" s="1"/>
  <c r="B323" i="3"/>
  <c r="L323" i="3" s="1"/>
  <c r="M323" i="3" s="1"/>
  <c r="B7584" i="3"/>
  <c r="L7584" i="3" s="1"/>
  <c r="M7584" i="3" s="1"/>
  <c r="B9914" i="3"/>
  <c r="L9914" i="3" s="1"/>
  <c r="M9914" i="3" s="1"/>
  <c r="B5263" i="3"/>
  <c r="L5263" i="3" s="1"/>
  <c r="M5263" i="3" s="1"/>
  <c r="B7256" i="3"/>
  <c r="L7256" i="3" s="1"/>
  <c r="M7256" i="3" s="1"/>
  <c r="B2623" i="3"/>
  <c r="L2623" i="3" s="1"/>
  <c r="M2623" i="3" s="1"/>
  <c r="B9577" i="3"/>
  <c r="L9577" i="3" s="1"/>
  <c r="M9577" i="3" s="1"/>
  <c r="B6592" i="3"/>
  <c r="L6592" i="3" s="1"/>
  <c r="M6592" i="3" s="1"/>
  <c r="B5928" i="3"/>
  <c r="L5928" i="3" s="1"/>
  <c r="M5928" i="3" s="1"/>
  <c r="B979" i="3"/>
  <c r="L979" i="3" s="1"/>
  <c r="M979" i="3" s="1"/>
  <c r="B1309" i="3"/>
  <c r="L1309" i="3" s="1"/>
  <c r="M1309" i="3" s="1"/>
  <c r="B7921" i="3"/>
  <c r="L7921" i="3" s="1"/>
  <c r="M7921" i="3" s="1"/>
  <c r="B653" i="3"/>
  <c r="L653" i="3" s="1"/>
  <c r="M653" i="3" s="1"/>
  <c r="B1636" i="3"/>
  <c r="L1636" i="3" s="1"/>
  <c r="M1636" i="3" s="1"/>
  <c r="B2293" i="3"/>
  <c r="L2293" i="3" s="1"/>
  <c r="M2293" i="3" s="1"/>
  <c r="B8248" i="3"/>
  <c r="L8248" i="3" s="1"/>
  <c r="M8248" i="3" s="1"/>
  <c r="B2949" i="3"/>
  <c r="L2949" i="3" s="1"/>
  <c r="M2949" i="3" s="1"/>
  <c r="A1155" i="14"/>
  <c r="A1154" i="14"/>
  <c r="A1110" i="14"/>
  <c r="A1109" i="14"/>
  <c r="A1060" i="14"/>
  <c r="A1059" i="14"/>
  <c r="A1012" i="14"/>
  <c r="A1011" i="14"/>
  <c r="A825" i="14"/>
  <c r="A824" i="14"/>
  <c r="A781" i="14"/>
  <c r="A780" i="14"/>
  <c r="A732" i="14"/>
  <c r="A731" i="14"/>
  <c r="A685" i="14"/>
  <c r="A684" i="14"/>
  <c r="A494" i="14"/>
  <c r="A493" i="14"/>
  <c r="A449" i="14"/>
  <c r="A448" i="14"/>
  <c r="A399" i="14"/>
  <c r="A398" i="14"/>
  <c r="A351" i="14"/>
  <c r="A350" i="14"/>
  <c r="A164" i="14"/>
  <c r="A163" i="14"/>
  <c r="A120" i="14"/>
  <c r="A119" i="14"/>
  <c r="A71" i="14"/>
  <c r="A70" i="14"/>
  <c r="A24" i="14"/>
  <c r="A23" i="14"/>
  <c r="C797" i="14"/>
  <c r="B758" i="14"/>
  <c r="C367" i="14"/>
  <c r="B328" i="14"/>
  <c r="C510" i="14"/>
  <c r="B471" i="14"/>
  <c r="K514" i="14" s="1"/>
  <c r="C87" i="14"/>
  <c r="B48" i="14"/>
  <c r="K94" i="14" s="1"/>
  <c r="C841" i="14"/>
  <c r="B802" i="14"/>
  <c r="K845" i="14" s="1"/>
  <c r="C465" i="14"/>
  <c r="B426" i="14"/>
  <c r="K465" i="14" s="1"/>
  <c r="C415" i="14"/>
  <c r="B376" i="14"/>
  <c r="C1028" i="14"/>
  <c r="B989" i="14"/>
  <c r="C1171" i="14"/>
  <c r="B1132" i="14"/>
  <c r="K1176" i="14" s="1"/>
  <c r="C136" i="14"/>
  <c r="B97" i="14"/>
  <c r="C748" i="14"/>
  <c r="B709" i="14"/>
  <c r="C1126" i="14"/>
  <c r="B1087" i="14"/>
  <c r="C180" i="14"/>
  <c r="B141" i="14"/>
  <c r="C701" i="14"/>
  <c r="B662" i="14"/>
  <c r="K703" i="14" s="1"/>
  <c r="C1076" i="14"/>
  <c r="B1037" i="14"/>
  <c r="C40" i="14"/>
  <c r="B1" i="14"/>
  <c r="K42" i="14" s="1"/>
  <c r="B2031" i="13"/>
  <c r="K2077" i="13" s="1"/>
  <c r="B662" i="13"/>
  <c r="K703" i="13" s="1"/>
  <c r="B426" i="13"/>
  <c r="A465" i="13" s="1"/>
  <c r="B471" i="13"/>
  <c r="K515" i="13" s="1"/>
  <c r="B1037" i="13"/>
  <c r="B1463" i="13"/>
  <c r="B1984" i="13"/>
  <c r="B2409" i="13"/>
  <c r="B2454" i="13"/>
  <c r="K2496" i="13" s="1"/>
  <c r="B1087" i="13"/>
  <c r="B758" i="13"/>
  <c r="K799" i="13" s="1"/>
  <c r="B2359" i="13"/>
  <c r="B48" i="13"/>
  <c r="A87" i="13" s="1"/>
  <c r="B1650" i="13"/>
  <c r="A1689" i="13" s="1"/>
  <c r="B1793" i="13"/>
  <c r="K1832" i="13" s="1"/>
  <c r="B2080" i="13"/>
  <c r="C136" i="13"/>
  <c r="B97" i="13"/>
  <c r="B802" i="13"/>
  <c r="A841" i="13" s="1"/>
  <c r="B1370" i="13"/>
  <c r="K1416" i="13" s="1"/>
  <c r="B141" i="13"/>
  <c r="K182" i="13" s="1"/>
  <c r="B1323" i="13"/>
  <c r="B1748" i="13"/>
  <c r="B2124" i="13"/>
  <c r="C367" i="13"/>
  <c r="B328" i="13"/>
  <c r="B989" i="13"/>
  <c r="K1030" i="13" s="1"/>
  <c r="B1132" i="13"/>
  <c r="B1698" i="13"/>
  <c r="C415" i="13"/>
  <c r="B376" i="13"/>
  <c r="B709" i="13"/>
  <c r="B1419" i="13"/>
  <c r="A1458" i="13" s="1"/>
  <c r="B2311" i="13"/>
  <c r="C2493" i="13"/>
  <c r="A2477" i="13"/>
  <c r="C2448" i="13"/>
  <c r="A2432" i="13"/>
  <c r="C2398" i="13"/>
  <c r="A2382" i="13"/>
  <c r="C2350" i="13"/>
  <c r="A2334" i="13"/>
  <c r="C2163" i="13"/>
  <c r="A2147" i="13"/>
  <c r="C2119" i="13"/>
  <c r="A2103" i="13"/>
  <c r="C2070" i="13"/>
  <c r="A2054" i="13"/>
  <c r="C2023" i="13"/>
  <c r="A2007" i="13"/>
  <c r="C1832" i="13"/>
  <c r="A1816" i="13"/>
  <c r="C1787" i="13"/>
  <c r="A1771" i="13"/>
  <c r="C1737" i="13"/>
  <c r="A1721" i="13"/>
  <c r="C1689" i="13"/>
  <c r="A1673" i="13"/>
  <c r="C1502" i="13"/>
  <c r="A1486" i="13"/>
  <c r="C1458" i="13"/>
  <c r="A1442" i="13"/>
  <c r="C1409" i="13"/>
  <c r="A1393" i="13"/>
  <c r="C1362" i="13"/>
  <c r="A1346" i="13"/>
  <c r="C1171" i="13"/>
  <c r="A1155" i="13"/>
  <c r="C1126" i="13"/>
  <c r="A1110" i="13"/>
  <c r="C1076" i="13"/>
  <c r="A1060" i="13"/>
  <c r="C1028" i="13"/>
  <c r="A1012" i="13"/>
  <c r="C841" i="13"/>
  <c r="A825" i="13"/>
  <c r="C797" i="13"/>
  <c r="A781" i="13"/>
  <c r="C748" i="13"/>
  <c r="A732" i="13"/>
  <c r="C701" i="13"/>
  <c r="A685" i="13"/>
  <c r="C510" i="13"/>
  <c r="A494" i="13"/>
  <c r="C465" i="13"/>
  <c r="C180" i="13"/>
  <c r="A164" i="13"/>
  <c r="C87" i="13"/>
  <c r="A71" i="13"/>
  <c r="C40" i="13"/>
  <c r="A24" i="13"/>
  <c r="A23" i="13"/>
  <c r="B1" i="13"/>
  <c r="K2013" i="3"/>
  <c r="K2994" i="3"/>
  <c r="K3326" i="3"/>
  <c r="K3371" i="3"/>
  <c r="K3651" i="3"/>
  <c r="K4028" i="3"/>
  <c r="K5311" i="3"/>
  <c r="K5361" i="3"/>
  <c r="K7115" i="3"/>
  <c r="K8729" i="3"/>
  <c r="K9014" i="3"/>
  <c r="K1499" i="3"/>
  <c r="K4698" i="3"/>
  <c r="K1078" i="3"/>
  <c r="K1450" i="3"/>
  <c r="K1728" i="3"/>
  <c r="A4451" i="3"/>
  <c r="K5120" i="3"/>
  <c r="K6400" i="3"/>
  <c r="K7018" i="3"/>
  <c r="A7398" i="3"/>
  <c r="A7727" i="3"/>
  <c r="K3422" i="3"/>
  <c r="K3704" i="3"/>
  <c r="K4742" i="3"/>
  <c r="K5738" i="3"/>
  <c r="A6777" i="3"/>
  <c r="K8020" i="3"/>
  <c r="K9346" i="3"/>
  <c r="K2437" i="3"/>
  <c r="K1024" i="3"/>
  <c r="K2669" i="3"/>
  <c r="K419" i="3"/>
  <c r="K2156" i="3"/>
  <c r="K2809" i="3"/>
  <c r="K5975" i="3"/>
  <c r="K6964" i="3"/>
  <c r="K7355" i="3"/>
  <c r="K7629" i="3"/>
  <c r="K9768" i="3"/>
  <c r="B9721" i="3"/>
  <c r="L9721" i="3" s="1"/>
  <c r="M9721" i="3" s="1"/>
  <c r="B8392" i="3"/>
  <c r="L8392" i="3" s="1"/>
  <c r="M8392" i="3" s="1"/>
  <c r="B9056" i="3"/>
  <c r="L9056" i="3" s="1"/>
  <c r="M9056" i="3" s="1"/>
  <c r="B7728" i="3"/>
  <c r="L7728" i="3" s="1"/>
  <c r="M7728" i="3" s="1"/>
  <c r="B6399" i="3"/>
  <c r="L6399" i="3" s="1"/>
  <c r="M6399" i="3" s="1"/>
  <c r="B7063" i="3"/>
  <c r="L7063" i="3" s="1"/>
  <c r="M7063" i="3" s="1"/>
  <c r="B4406" i="3"/>
  <c r="L4406" i="3" s="1"/>
  <c r="M4406" i="3" s="1"/>
  <c r="B5735" i="3"/>
  <c r="L5735" i="3" s="1"/>
  <c r="M5735" i="3" s="1"/>
  <c r="B5070" i="3"/>
  <c r="L5070" i="3" s="1"/>
  <c r="M5070" i="3" s="1"/>
  <c r="J403" i="10" l="1"/>
  <c r="B420" i="10"/>
  <c r="J404" i="10"/>
  <c r="K416" i="14"/>
  <c r="K2406" i="13"/>
  <c r="K423" i="13"/>
  <c r="B840" i="3"/>
  <c r="L840" i="3" s="1"/>
  <c r="M840" i="3" s="1"/>
  <c r="B1497" i="3"/>
  <c r="L1497" i="3" s="1"/>
  <c r="M1497" i="3" s="1"/>
  <c r="B6447" i="3"/>
  <c r="L6447" i="3" s="1"/>
  <c r="M6447" i="3" s="1"/>
  <c r="B7445" i="3"/>
  <c r="L7445" i="3" s="1"/>
  <c r="M7445" i="3" s="1"/>
  <c r="B8109" i="3"/>
  <c r="L8109" i="3" s="1"/>
  <c r="M8109" i="3" s="1"/>
  <c r="B8773" i="3"/>
  <c r="L8773" i="3" s="1"/>
  <c r="M8773" i="3" s="1"/>
  <c r="B5118" i="3"/>
  <c r="L5118" i="3" s="1"/>
  <c r="M5118" i="3" s="1"/>
  <c r="B5783" i="3"/>
  <c r="L5783" i="3" s="1"/>
  <c r="M5783" i="3" s="1"/>
  <c r="B9104" i="3"/>
  <c r="L9104" i="3" s="1"/>
  <c r="M9104" i="3" s="1"/>
  <c r="B9769" i="3"/>
  <c r="L9769" i="3" s="1"/>
  <c r="M9769" i="3" s="1"/>
  <c r="B2481" i="3"/>
  <c r="L2481" i="3" s="1"/>
  <c r="M2481" i="3" s="1"/>
  <c r="B3467" i="3"/>
  <c r="L3467" i="3" s="1"/>
  <c r="M3467" i="3" s="1"/>
  <c r="B2154" i="3"/>
  <c r="L2154" i="3" s="1"/>
  <c r="M2154" i="3" s="1"/>
  <c r="B6116" i="3"/>
  <c r="L6116" i="3" s="1"/>
  <c r="M6116" i="3" s="1"/>
  <c r="B1167" i="3"/>
  <c r="L1167" i="3" s="1"/>
  <c r="M1167" i="3" s="1"/>
  <c r="B2810" i="3"/>
  <c r="L2810" i="3" s="1"/>
  <c r="M2810" i="3" s="1"/>
  <c r="B4454" i="3"/>
  <c r="L4454" i="3" s="1"/>
  <c r="M4454" i="3" s="1"/>
  <c r="B5452" i="3"/>
  <c r="L5452" i="3" s="1"/>
  <c r="M5452" i="3" s="1"/>
  <c r="B7111" i="3"/>
  <c r="L7111" i="3" s="1"/>
  <c r="M7111" i="3" s="1"/>
  <c r="B7776" i="3"/>
  <c r="L7776" i="3" s="1"/>
  <c r="M7776" i="3" s="1"/>
  <c r="B8440" i="3"/>
  <c r="L8440" i="3" s="1"/>
  <c r="M8440" i="3" s="1"/>
  <c r="B1824" i="3"/>
  <c r="L1824" i="3" s="1"/>
  <c r="M1824" i="3" s="1"/>
  <c r="B4787" i="3"/>
  <c r="L4787" i="3" s="1"/>
  <c r="M4787" i="3" s="1"/>
  <c r="B9438" i="3"/>
  <c r="L9438" i="3" s="1"/>
  <c r="M9438" i="3" s="1"/>
  <c r="B3137" i="3"/>
  <c r="L3137" i="3" s="1"/>
  <c r="M3137" i="3" s="1"/>
  <c r="B4123" i="3"/>
  <c r="L4123" i="3" s="1"/>
  <c r="M4123" i="3" s="1"/>
  <c r="B6780" i="3"/>
  <c r="L6780" i="3" s="1"/>
  <c r="M6780" i="3" s="1"/>
  <c r="B277" i="3"/>
  <c r="L277" i="3" s="1"/>
  <c r="M277" i="3" s="1"/>
  <c r="B606" i="3"/>
  <c r="L606" i="3" s="1"/>
  <c r="M606" i="3" s="1"/>
  <c r="B753" i="13"/>
  <c r="M753" i="13" s="1"/>
  <c r="B752" i="13"/>
  <c r="L752" i="13" s="1"/>
  <c r="M752" i="13" s="1"/>
  <c r="B2075" i="13"/>
  <c r="M2075" i="13" s="1"/>
  <c r="B2074" i="13"/>
  <c r="L2074" i="13" s="1"/>
  <c r="M2074" i="13" s="1"/>
  <c r="B420" i="14"/>
  <c r="M420" i="14" s="1"/>
  <c r="B419" i="14"/>
  <c r="L419" i="14" s="1"/>
  <c r="M419" i="14" s="1"/>
  <c r="B2403" i="13"/>
  <c r="M2403" i="13" s="1"/>
  <c r="B2402" i="13"/>
  <c r="L2402" i="13" s="1"/>
  <c r="M2402" i="13" s="1"/>
  <c r="B420" i="13"/>
  <c r="M420" i="13" s="1"/>
  <c r="B419" i="13"/>
  <c r="L419" i="13" s="1"/>
  <c r="M419" i="13" s="1"/>
  <c r="B92" i="14"/>
  <c r="M92" i="14" s="1"/>
  <c r="B91" i="14"/>
  <c r="L91" i="14" s="1"/>
  <c r="M91" i="14" s="1"/>
  <c r="B753" i="14"/>
  <c r="M753" i="14" s="1"/>
  <c r="B752" i="14"/>
  <c r="L752" i="14" s="1"/>
  <c r="M752" i="14" s="1"/>
  <c r="B1414" i="13"/>
  <c r="M1414" i="13" s="1"/>
  <c r="B1413" i="13"/>
  <c r="L1413" i="13" s="1"/>
  <c r="M1413" i="13" s="1"/>
  <c r="B1081" i="14"/>
  <c r="M1081" i="14" s="1"/>
  <c r="B1080" i="14"/>
  <c r="L1080" i="14" s="1"/>
  <c r="M1080" i="14" s="1"/>
  <c r="B1742" i="13"/>
  <c r="M1742" i="13" s="1"/>
  <c r="B1741" i="13"/>
  <c r="L1741" i="13" s="1"/>
  <c r="M1741" i="13" s="1"/>
  <c r="B1081" i="13"/>
  <c r="M1081" i="13" s="1"/>
  <c r="B1080" i="13"/>
  <c r="L1080" i="13" s="1"/>
  <c r="M1080" i="13" s="1"/>
  <c r="B92" i="13"/>
  <c r="M92" i="13" s="1"/>
  <c r="B91" i="13"/>
  <c r="L91" i="13" s="1"/>
  <c r="M91" i="13" s="1"/>
  <c r="B417" i="3"/>
  <c r="L417" i="3" s="1"/>
  <c r="M417" i="3" s="1"/>
  <c r="B418" i="3"/>
  <c r="M418" i="3" s="1"/>
  <c r="B748" i="3"/>
  <c r="L748" i="3" s="1"/>
  <c r="M748" i="3" s="1"/>
  <c r="B749" i="3"/>
  <c r="M749" i="3" s="1"/>
  <c r="B2718" i="3"/>
  <c r="L2718" i="3" s="1"/>
  <c r="M2718" i="3" s="1"/>
  <c r="B2719" i="3"/>
  <c r="M2719" i="3" s="1"/>
  <c r="B4358" i="3"/>
  <c r="L4358" i="3" s="1"/>
  <c r="M4358" i="3" s="1"/>
  <c r="B4359" i="3"/>
  <c r="M4359" i="3" s="1"/>
  <c r="B5360" i="3"/>
  <c r="L5360" i="3" s="1"/>
  <c r="M5360" i="3" s="1"/>
  <c r="B5361" i="3"/>
  <c r="M5361" i="3" s="1"/>
  <c r="B7015" i="3"/>
  <c r="L7015" i="3" s="1"/>
  <c r="M7015" i="3" s="1"/>
  <c r="B7016" i="3"/>
  <c r="M7016" i="3" s="1"/>
  <c r="B5022" i="3"/>
  <c r="L5022" i="3" s="1"/>
  <c r="M5022" i="3" s="1"/>
  <c r="B5023" i="3"/>
  <c r="M5023" i="3" s="1"/>
  <c r="B6351" i="3"/>
  <c r="L6351" i="3" s="1"/>
  <c r="M6351" i="3" s="1"/>
  <c r="B6352" i="3"/>
  <c r="M6352" i="3" s="1"/>
  <c r="B8344" i="3"/>
  <c r="L8344" i="3" s="1"/>
  <c r="M8344" i="3" s="1"/>
  <c r="B8345" i="3"/>
  <c r="M8345" i="3" s="1"/>
  <c r="B9346" i="3"/>
  <c r="L9346" i="3" s="1"/>
  <c r="M9346" i="3" s="1"/>
  <c r="B9347" i="3"/>
  <c r="M9347" i="3" s="1"/>
  <c r="B9673" i="3"/>
  <c r="L9673" i="3" s="1"/>
  <c r="M9673" i="3" s="1"/>
  <c r="B9674" i="3"/>
  <c r="M9674" i="3" s="1"/>
  <c r="B1730" i="3"/>
  <c r="L1730" i="3" s="1"/>
  <c r="M1730" i="3" s="1"/>
  <c r="B1731" i="3"/>
  <c r="M1731" i="3" s="1"/>
  <c r="B2387" i="3"/>
  <c r="L2387" i="3" s="1"/>
  <c r="M2387" i="3" s="1"/>
  <c r="B2388" i="3"/>
  <c r="M2388" i="3" s="1"/>
  <c r="B3700" i="3"/>
  <c r="L3700" i="3" s="1"/>
  <c r="M3700" i="3" s="1"/>
  <c r="B3701" i="3"/>
  <c r="M3701" i="3" s="1"/>
  <c r="B9008" i="3"/>
  <c r="L9008" i="3" s="1"/>
  <c r="M9008" i="3" s="1"/>
  <c r="B9009" i="3"/>
  <c r="M9009" i="3" s="1"/>
  <c r="B1405" i="3"/>
  <c r="L1405" i="3" s="1"/>
  <c r="M1405" i="3" s="1"/>
  <c r="B1406" i="3"/>
  <c r="M1406" i="3" s="1"/>
  <c r="B1073" i="3"/>
  <c r="L1073" i="3" s="1"/>
  <c r="M1073" i="3" s="1"/>
  <c r="B1074" i="3"/>
  <c r="M1074" i="3" s="1"/>
  <c r="B2062" i="3"/>
  <c r="L2062" i="3" s="1"/>
  <c r="M2062" i="3" s="1"/>
  <c r="B2063" i="3"/>
  <c r="M2063" i="3" s="1"/>
  <c r="B3043" i="3"/>
  <c r="L3043" i="3" s="1"/>
  <c r="M3043" i="3" s="1"/>
  <c r="B3044" i="3"/>
  <c r="M3044" i="3" s="1"/>
  <c r="B4031" i="3"/>
  <c r="L4031" i="3" s="1"/>
  <c r="M4031" i="3" s="1"/>
  <c r="B4032" i="3"/>
  <c r="M4032" i="3" s="1"/>
  <c r="B5687" i="3"/>
  <c r="L5687" i="3" s="1"/>
  <c r="M5687" i="3" s="1"/>
  <c r="B5688" i="3"/>
  <c r="M5688" i="3" s="1"/>
  <c r="B6688" i="3"/>
  <c r="L6688" i="3" s="1"/>
  <c r="M6688" i="3" s="1"/>
  <c r="B6689" i="3"/>
  <c r="M6689" i="3" s="1"/>
  <c r="B8681" i="3"/>
  <c r="L8681" i="3" s="1"/>
  <c r="M8681" i="3" s="1"/>
  <c r="B8682" i="3"/>
  <c r="M8682" i="3" s="1"/>
  <c r="B7680" i="3"/>
  <c r="L7680" i="3" s="1"/>
  <c r="M7680" i="3" s="1"/>
  <c r="B7681" i="3"/>
  <c r="M7681" i="3" s="1"/>
  <c r="B6024" i="3"/>
  <c r="L6024" i="3" s="1"/>
  <c r="M6024" i="3" s="1"/>
  <c r="B6025" i="3"/>
  <c r="M6025" i="3" s="1"/>
  <c r="B7353" i="3"/>
  <c r="L7353" i="3" s="1"/>
  <c r="M7353" i="3" s="1"/>
  <c r="B7354" i="3"/>
  <c r="M7354" i="3" s="1"/>
  <c r="B8017" i="3"/>
  <c r="L8017" i="3" s="1"/>
  <c r="M8017" i="3" s="1"/>
  <c r="B8018" i="3"/>
  <c r="M8018" i="3" s="1"/>
  <c r="B3375" i="3"/>
  <c r="L3375" i="3" s="1"/>
  <c r="M3375" i="3" s="1"/>
  <c r="B3376" i="3"/>
  <c r="M3376" i="3" s="1"/>
  <c r="B4695" i="3"/>
  <c r="L4695" i="3" s="1"/>
  <c r="M4695" i="3" s="1"/>
  <c r="B4696" i="3"/>
  <c r="M4696" i="3" s="1"/>
  <c r="K41" i="4"/>
  <c r="K40" i="4"/>
  <c r="K1031" i="14"/>
  <c r="K1030" i="14"/>
  <c r="K371" i="14"/>
  <c r="K369" i="14"/>
  <c r="K2352" i="13"/>
  <c r="A2023" i="13"/>
  <c r="K2025" i="13"/>
  <c r="K1691" i="13"/>
  <c r="K1364" i="13"/>
  <c r="K45" i="13"/>
  <c r="K42" i="13"/>
  <c r="K371" i="13"/>
  <c r="K369" i="13"/>
  <c r="K9625" i="3"/>
  <c r="K9622" i="3"/>
  <c r="K9297" i="3"/>
  <c r="K8959" i="3"/>
  <c r="K8957" i="3"/>
  <c r="K8634" i="3"/>
  <c r="K8632" i="3"/>
  <c r="K8297" i="3"/>
  <c r="K8293" i="3"/>
  <c r="K7968" i="3"/>
  <c r="K7304" i="3"/>
  <c r="K6639" i="3"/>
  <c r="K6305" i="3"/>
  <c r="K6300" i="3"/>
  <c r="K5640" i="3"/>
  <c r="K5636" i="3"/>
  <c r="A4969" i="3"/>
  <c r="K4971" i="3"/>
  <c r="K4644" i="3"/>
  <c r="K4646" i="3"/>
  <c r="K4307" i="3"/>
  <c r="K3982" i="3"/>
  <c r="K2336" i="3"/>
  <c r="K2338" i="3"/>
  <c r="K1682" i="3"/>
  <c r="K1681" i="3"/>
  <c r="K1359" i="3"/>
  <c r="K1356" i="3"/>
  <c r="K703" i="3"/>
  <c r="K699" i="3"/>
  <c r="K366" i="3"/>
  <c r="K368" i="3"/>
  <c r="K1838" i="13"/>
  <c r="K2169" i="13"/>
  <c r="K2166" i="13"/>
  <c r="K2165" i="13"/>
  <c r="K2164" i="13"/>
  <c r="K2168" i="13"/>
  <c r="K2024" i="13"/>
  <c r="A2163" i="13"/>
  <c r="K2163" i="13"/>
  <c r="K2167" i="13"/>
  <c r="A2398" i="13"/>
  <c r="K95" i="14"/>
  <c r="K1791" i="13"/>
  <c r="K845" i="13"/>
  <c r="K1032" i="14"/>
  <c r="K1505" i="13"/>
  <c r="K1504" i="13"/>
  <c r="K1502" i="13"/>
  <c r="K1503" i="13"/>
  <c r="K92" i="14"/>
  <c r="K1362" i="13"/>
  <c r="K1173" i="13"/>
  <c r="K1507" i="13"/>
  <c r="K1508" i="13"/>
  <c r="A38" i="4"/>
  <c r="K38" i="4"/>
  <c r="K42" i="4"/>
  <c r="K39" i="4"/>
  <c r="A9669" i="3"/>
  <c r="K2398" i="13"/>
  <c r="K2401" i="13"/>
  <c r="K1171" i="14"/>
  <c r="K2404" i="13"/>
  <c r="K2402" i="13"/>
  <c r="K2400" i="13"/>
  <c r="K1175" i="14"/>
  <c r="K2405" i="13"/>
  <c r="K1178" i="14"/>
  <c r="K847" i="14"/>
  <c r="K2399" i="13"/>
  <c r="K841" i="14"/>
  <c r="K2403" i="13"/>
  <c r="K1411" i="13"/>
  <c r="K91" i="14"/>
  <c r="K93" i="14"/>
  <c r="K89" i="14"/>
  <c r="K8962" i="3"/>
  <c r="K186" i="13"/>
  <c r="K1076" i="13"/>
  <c r="K90" i="14"/>
  <c r="K842" i="14"/>
  <c r="K1412" i="13"/>
  <c r="K1084" i="13"/>
  <c r="A1787" i="13"/>
  <c r="K1173" i="14"/>
  <c r="K1417" i="13"/>
  <c r="K1834" i="13"/>
  <c r="K1368" i="13"/>
  <c r="K465" i="13"/>
  <c r="K1035" i="14"/>
  <c r="K1410" i="13"/>
  <c r="K1835" i="13"/>
  <c r="K468" i="13"/>
  <c r="A1028" i="14"/>
  <c r="K1414" i="13"/>
  <c r="K1690" i="13"/>
  <c r="K1837" i="13"/>
  <c r="K1833" i="13"/>
  <c r="K1692" i="13"/>
  <c r="K1839" i="13"/>
  <c r="K9769" i="3"/>
  <c r="K1694" i="13"/>
  <c r="A1832" i="13"/>
  <c r="K1506" i="13"/>
  <c r="K1034" i="14"/>
  <c r="K844" i="14"/>
  <c r="K1696" i="13"/>
  <c r="K1836" i="13"/>
  <c r="K88" i="13"/>
  <c r="K136" i="13"/>
  <c r="K418" i="13"/>
  <c r="K1415" i="13"/>
  <c r="A1409" i="13"/>
  <c r="K2450" i="13"/>
  <c r="K2452" i="13"/>
  <c r="A2070" i="13"/>
  <c r="K510" i="13"/>
  <c r="K841" i="13"/>
  <c r="K2072" i="13"/>
  <c r="A2448" i="13"/>
  <c r="K843" i="13"/>
  <c r="K2074" i="13"/>
  <c r="K846" i="13"/>
  <c r="K2076" i="13"/>
  <c r="K91" i="13"/>
  <c r="K847" i="13"/>
  <c r="K842" i="13"/>
  <c r="K2449" i="13"/>
  <c r="K844" i="13"/>
  <c r="K2356" i="13"/>
  <c r="K2500" i="13"/>
  <c r="K517" i="13"/>
  <c r="K1409" i="13"/>
  <c r="K1695" i="13"/>
  <c r="K2070" i="13"/>
  <c r="K2448" i="13"/>
  <c r="K2407" i="13"/>
  <c r="K2355" i="13"/>
  <c r="K2357" i="13"/>
  <c r="K2121" i="13"/>
  <c r="K2120" i="13"/>
  <c r="K2122" i="13"/>
  <c r="K2119" i="13"/>
  <c r="A2119" i="13"/>
  <c r="K2071" i="13"/>
  <c r="K2073" i="13"/>
  <c r="K2078" i="13"/>
  <c r="K2075" i="13"/>
  <c r="K2029" i="13"/>
  <c r="K2026" i="13"/>
  <c r="K2023" i="13"/>
  <c r="K2027" i="13"/>
  <c r="K2028" i="13"/>
  <c r="K1788" i="13"/>
  <c r="K1790" i="13"/>
  <c r="K1689" i="13"/>
  <c r="K1693" i="13"/>
  <c r="A1502" i="13"/>
  <c r="K1413" i="13"/>
  <c r="K1366" i="13"/>
  <c r="A1362" i="13"/>
  <c r="K1363" i="13"/>
  <c r="K1365" i="13"/>
  <c r="K1367" i="13"/>
  <c r="K185" i="13"/>
  <c r="K95" i="13"/>
  <c r="K512" i="13"/>
  <c r="K1789" i="13"/>
  <c r="A510" i="13"/>
  <c r="K1460" i="13"/>
  <c r="K181" i="13"/>
  <c r="K180" i="13"/>
  <c r="K514" i="13"/>
  <c r="K1787" i="13"/>
  <c r="K2494" i="13"/>
  <c r="K93" i="13"/>
  <c r="K516" i="13"/>
  <c r="K513" i="13"/>
  <c r="K467" i="13"/>
  <c r="K2451" i="13"/>
  <c r="K2351" i="13"/>
  <c r="K183" i="13"/>
  <c r="A180" i="13"/>
  <c r="K90" i="13"/>
  <c r="K184" i="13"/>
  <c r="K511" i="13"/>
  <c r="K469" i="13"/>
  <c r="K2498" i="13"/>
  <c r="K2353" i="13"/>
  <c r="A797" i="13"/>
  <c r="K416" i="13"/>
  <c r="A1171" i="13"/>
  <c r="K1174" i="13"/>
  <c r="K1079" i="13"/>
  <c r="K420" i="13"/>
  <c r="A415" i="13"/>
  <c r="K1177" i="13"/>
  <c r="K1176" i="13"/>
  <c r="K798" i="13"/>
  <c r="K1459" i="13"/>
  <c r="K2493" i="13"/>
  <c r="K422" i="13"/>
  <c r="K417" i="13"/>
  <c r="K1172" i="13"/>
  <c r="K1178" i="13"/>
  <c r="A1076" i="13"/>
  <c r="K2495" i="13"/>
  <c r="A136" i="13"/>
  <c r="K424" i="13"/>
  <c r="K419" i="13"/>
  <c r="K1081" i="13"/>
  <c r="K1078" i="13"/>
  <c r="K1461" i="13"/>
  <c r="A2493" i="13"/>
  <c r="A2350" i="13"/>
  <c r="K415" i="13"/>
  <c r="K1083" i="13"/>
  <c r="K1080" i="13"/>
  <c r="K797" i="13"/>
  <c r="K1458" i="13"/>
  <c r="K2497" i="13"/>
  <c r="K2350" i="13"/>
  <c r="K800" i="13"/>
  <c r="K137" i="13"/>
  <c r="K421" i="13"/>
  <c r="K87" i="13"/>
  <c r="K1171" i="13"/>
  <c r="K1085" i="13"/>
  <c r="K1082" i="13"/>
  <c r="K2499" i="13"/>
  <c r="K2354" i="13"/>
  <c r="K1737" i="13"/>
  <c r="K1746" i="13"/>
  <c r="K1744" i="13"/>
  <c r="K1742" i="13"/>
  <c r="K1738" i="13"/>
  <c r="K1740" i="13"/>
  <c r="K1745" i="13"/>
  <c r="K1743" i="13"/>
  <c r="K1741" i="13"/>
  <c r="K1739" i="13"/>
  <c r="A1737" i="13"/>
  <c r="K1033" i="14"/>
  <c r="K1028" i="14"/>
  <c r="K1029" i="14"/>
  <c r="K419" i="14"/>
  <c r="K423" i="14"/>
  <c r="K87" i="14"/>
  <c r="K424" i="14"/>
  <c r="K415" i="14"/>
  <c r="K421" i="14"/>
  <c r="K846" i="14"/>
  <c r="A415" i="14"/>
  <c r="K1177" i="14"/>
  <c r="A1171" i="14"/>
  <c r="K417" i="14"/>
  <c r="A87" i="14"/>
  <c r="K1174" i="14"/>
  <c r="A841" i="14"/>
  <c r="A136" i="14"/>
  <c r="K88" i="14"/>
  <c r="K1172" i="14"/>
  <c r="K843" i="14"/>
  <c r="K138" i="14"/>
  <c r="K370" i="14"/>
  <c r="K367" i="14"/>
  <c r="K516" i="14"/>
  <c r="K511" i="14"/>
  <c r="K510" i="14"/>
  <c r="K513" i="14"/>
  <c r="K368" i="14"/>
  <c r="K515" i="14"/>
  <c r="K517" i="14"/>
  <c r="K136" i="14"/>
  <c r="K512" i="14"/>
  <c r="A510" i="14"/>
  <c r="K139" i="14"/>
  <c r="K467" i="14"/>
  <c r="K469" i="14"/>
  <c r="K468" i="14"/>
  <c r="A465" i="14"/>
  <c r="K466" i="14"/>
  <c r="K418" i="14"/>
  <c r="K420" i="14"/>
  <c r="K422" i="14"/>
  <c r="K374" i="14"/>
  <c r="A367" i="14"/>
  <c r="K372" i="14"/>
  <c r="K373" i="14"/>
  <c r="K137" i="14"/>
  <c r="K1129" i="14"/>
  <c r="K1127" i="14"/>
  <c r="K1130" i="14"/>
  <c r="K1128" i="14"/>
  <c r="A1126" i="14"/>
  <c r="K1126" i="14"/>
  <c r="K43" i="14"/>
  <c r="K41" i="14"/>
  <c r="K46" i="14"/>
  <c r="K44" i="14"/>
  <c r="K40" i="14"/>
  <c r="K45" i="14"/>
  <c r="A40" i="14"/>
  <c r="A701" i="14"/>
  <c r="K704" i="14"/>
  <c r="K702" i="14"/>
  <c r="K705" i="14"/>
  <c r="K701" i="14"/>
  <c r="K707" i="14"/>
  <c r="K706" i="14"/>
  <c r="K1084" i="14"/>
  <c r="K1082" i="14"/>
  <c r="K1080" i="14"/>
  <c r="K1078" i="14"/>
  <c r="A1076" i="14"/>
  <c r="K1079" i="14"/>
  <c r="K1076" i="14"/>
  <c r="K1085" i="14"/>
  <c r="K1077" i="14"/>
  <c r="K1083" i="14"/>
  <c r="K1081" i="14"/>
  <c r="K797" i="14"/>
  <c r="K798" i="14"/>
  <c r="K799" i="14"/>
  <c r="A797" i="14"/>
  <c r="K800" i="14"/>
  <c r="K756" i="14"/>
  <c r="K754" i="14"/>
  <c r="K752" i="14"/>
  <c r="K750" i="14"/>
  <c r="A748" i="14"/>
  <c r="K755" i="14"/>
  <c r="K751" i="14"/>
  <c r="K748" i="14"/>
  <c r="K753" i="14"/>
  <c r="K749" i="14"/>
  <c r="K185" i="14"/>
  <c r="K183" i="14"/>
  <c r="K186" i="14"/>
  <c r="K182" i="14"/>
  <c r="K180" i="14"/>
  <c r="K181" i="14"/>
  <c r="A180" i="14"/>
  <c r="K184" i="14"/>
  <c r="K1175" i="13"/>
  <c r="K1077" i="13"/>
  <c r="K1129" i="13"/>
  <c r="K1127" i="13"/>
  <c r="K1130" i="13"/>
  <c r="K1128" i="13"/>
  <c r="A1126" i="13"/>
  <c r="K1126" i="13"/>
  <c r="A701" i="13"/>
  <c r="K702" i="13"/>
  <c r="K704" i="13"/>
  <c r="K707" i="13"/>
  <c r="K705" i="13"/>
  <c r="K701" i="13"/>
  <c r="K706" i="13"/>
  <c r="K756" i="13"/>
  <c r="K754" i="13"/>
  <c r="K752" i="13"/>
  <c r="K750" i="13"/>
  <c r="A748" i="13"/>
  <c r="K755" i="13"/>
  <c r="K751" i="13"/>
  <c r="K748" i="13"/>
  <c r="K749" i="13"/>
  <c r="K753" i="13"/>
  <c r="A1028" i="13"/>
  <c r="K1035" i="13"/>
  <c r="K1033" i="13"/>
  <c r="K1031" i="13"/>
  <c r="K1029" i="13"/>
  <c r="K1034" i="13"/>
  <c r="K1032" i="13"/>
  <c r="K1028" i="13"/>
  <c r="K46" i="13"/>
  <c r="K40" i="13"/>
  <c r="K139" i="13"/>
  <c r="K44" i="13"/>
  <c r="K138" i="13"/>
  <c r="K92" i="13"/>
  <c r="K89" i="13"/>
  <c r="K43" i="13"/>
  <c r="A40" i="13"/>
  <c r="K94" i="13"/>
  <c r="K466" i="13"/>
  <c r="K373" i="13"/>
  <c r="K370" i="13"/>
  <c r="K374" i="13"/>
  <c r="A367" i="13"/>
  <c r="K367" i="13"/>
  <c r="K372" i="13"/>
  <c r="K368" i="13"/>
  <c r="K41" i="13"/>
  <c r="K9011" i="3"/>
  <c r="K9673" i="3"/>
  <c r="K8727" i="3"/>
  <c r="K8110" i="3"/>
  <c r="K9671" i="3"/>
  <c r="K9669" i="3"/>
  <c r="K9350" i="3"/>
  <c r="K9672" i="3"/>
  <c r="K9676" i="3"/>
  <c r="A7966" i="3"/>
  <c r="K9345" i="3"/>
  <c r="K7972" i="3"/>
  <c r="A9342" i="3"/>
  <c r="K7969" i="3"/>
  <c r="K8444" i="3"/>
  <c r="K9348" i="3"/>
  <c r="K8958" i="3"/>
  <c r="K8961" i="3"/>
  <c r="K8021" i="3"/>
  <c r="K8016" i="3"/>
  <c r="A8726" i="3"/>
  <c r="K6643" i="3"/>
  <c r="K8014" i="3"/>
  <c r="K8728" i="3"/>
  <c r="K8960" i="3"/>
  <c r="K8015" i="3"/>
  <c r="K8956" i="3"/>
  <c r="K9770" i="3"/>
  <c r="K8107" i="3"/>
  <c r="K9772" i="3"/>
  <c r="K9767" i="3"/>
  <c r="K7400" i="3"/>
  <c r="K6304" i="3"/>
  <c r="K9766" i="3"/>
  <c r="K8299" i="3"/>
  <c r="K1076" i="3"/>
  <c r="K6114" i="3"/>
  <c r="K8631" i="3"/>
  <c r="K8018" i="3"/>
  <c r="A9766" i="3"/>
  <c r="K9771" i="3"/>
  <c r="K9773" i="3"/>
  <c r="K9675" i="3"/>
  <c r="K9620" i="3"/>
  <c r="K9621" i="3"/>
  <c r="K9627" i="3"/>
  <c r="K9623" i="3"/>
  <c r="K9624" i="3"/>
  <c r="K9626" i="3"/>
  <c r="K9628" i="3"/>
  <c r="A9620" i="3"/>
  <c r="K9299" i="3"/>
  <c r="A9295" i="3"/>
  <c r="K9300" i="3"/>
  <c r="K9296" i="3"/>
  <c r="K9301" i="3"/>
  <c r="K9298" i="3"/>
  <c r="K9007" i="3"/>
  <c r="K9010" i="3"/>
  <c r="K9004" i="3"/>
  <c r="K9013" i="3"/>
  <c r="K9005" i="3"/>
  <c r="K9009" i="3"/>
  <c r="K9012" i="3"/>
  <c r="K8963" i="3"/>
  <c r="A8955" i="3"/>
  <c r="K8955" i="3"/>
  <c r="K8726" i="3"/>
  <c r="A8630" i="3"/>
  <c r="K8291" i="3"/>
  <c r="K8295" i="3"/>
  <c r="K8298" i="3"/>
  <c r="K8292" i="3"/>
  <c r="K8294" i="3"/>
  <c r="K8106" i="3"/>
  <c r="K8108" i="3"/>
  <c r="K8019" i="3"/>
  <c r="K8017" i="3"/>
  <c r="A8013" i="3"/>
  <c r="K7967" i="3"/>
  <c r="K7971" i="3"/>
  <c r="K7966" i="3"/>
  <c r="K7970" i="3"/>
  <c r="A8437" i="3"/>
  <c r="K8440" i="3"/>
  <c r="K9342" i="3"/>
  <c r="K9349" i="3"/>
  <c r="K8443" i="3"/>
  <c r="K8437" i="3"/>
  <c r="K9347" i="3"/>
  <c r="K9344" i="3"/>
  <c r="K9295" i="3"/>
  <c r="K8442" i="3"/>
  <c r="K9343" i="3"/>
  <c r="K6299" i="3"/>
  <c r="A8106" i="3"/>
  <c r="K8636" i="3"/>
  <c r="K8109" i="3"/>
  <c r="K8635" i="3"/>
  <c r="K8013" i="3"/>
  <c r="K8111" i="3"/>
  <c r="K7684" i="3"/>
  <c r="K7399" i="3"/>
  <c r="K8441" i="3"/>
  <c r="K8438" i="3"/>
  <c r="K9678" i="3"/>
  <c r="K9674" i="3"/>
  <c r="K9679" i="3"/>
  <c r="K9670" i="3"/>
  <c r="K9677" i="3"/>
  <c r="K7401" i="3"/>
  <c r="K8633" i="3"/>
  <c r="K8630" i="3"/>
  <c r="K8439" i="3"/>
  <c r="K8296" i="3"/>
  <c r="A8291" i="3"/>
  <c r="K7398" i="3"/>
  <c r="A9004" i="3"/>
  <c r="K9006" i="3"/>
  <c r="K9008" i="3"/>
  <c r="K8394" i="3"/>
  <c r="K8391" i="3"/>
  <c r="K8395" i="3"/>
  <c r="K8392" i="3"/>
  <c r="A8391" i="3"/>
  <c r="K8396" i="3"/>
  <c r="K8393" i="3"/>
  <c r="K9724" i="3"/>
  <c r="K9721" i="3"/>
  <c r="K9725" i="3"/>
  <c r="K9722" i="3"/>
  <c r="A9720" i="3"/>
  <c r="K9723" i="3"/>
  <c r="K9720" i="3"/>
  <c r="K8063" i="3"/>
  <c r="K8064" i="3"/>
  <c r="A8062" i="3"/>
  <c r="K8065" i="3"/>
  <c r="K8062" i="3"/>
  <c r="K9106" i="3"/>
  <c r="K9102" i="3"/>
  <c r="K9107" i="3"/>
  <c r="K9104" i="3"/>
  <c r="A9101" i="3"/>
  <c r="K9101" i="3"/>
  <c r="K9103" i="3"/>
  <c r="K9105" i="3"/>
  <c r="K9108" i="3"/>
  <c r="K9436" i="3"/>
  <c r="K9438" i="3"/>
  <c r="A9435" i="3"/>
  <c r="K9439" i="3"/>
  <c r="K9437" i="3"/>
  <c r="K9440" i="3"/>
  <c r="K9435" i="3"/>
  <c r="K8677" i="3"/>
  <c r="K8684" i="3"/>
  <c r="K8682" i="3"/>
  <c r="A8677" i="3"/>
  <c r="K8681" i="3"/>
  <c r="K8679" i="3"/>
  <c r="K8683" i="3"/>
  <c r="K8680" i="3"/>
  <c r="K8685" i="3"/>
  <c r="K8678" i="3"/>
  <c r="K9391" i="3"/>
  <c r="K9392" i="3"/>
  <c r="K9394" i="3"/>
  <c r="K9393" i="3"/>
  <c r="A9391" i="3"/>
  <c r="K9058" i="3"/>
  <c r="K9055" i="3"/>
  <c r="K9057" i="3"/>
  <c r="K9059" i="3"/>
  <c r="K9060" i="3"/>
  <c r="A9055" i="3"/>
  <c r="K9056" i="3"/>
  <c r="K8774" i="3"/>
  <c r="K8775" i="3"/>
  <c r="K8772" i="3"/>
  <c r="K8770" i="3"/>
  <c r="K8773" i="3"/>
  <c r="K8771" i="3"/>
  <c r="A8770" i="3"/>
  <c r="K8347" i="3"/>
  <c r="K8340" i="3"/>
  <c r="K8350" i="3"/>
  <c r="K8348" i="3"/>
  <c r="K8345" i="3"/>
  <c r="K8341" i="3"/>
  <c r="K8349" i="3"/>
  <c r="K8346" i="3"/>
  <c r="K8344" i="3"/>
  <c r="K8342" i="3"/>
  <c r="A8340" i="3"/>
  <c r="K8343" i="3"/>
  <c r="K5688" i="3"/>
  <c r="K4692" i="3"/>
  <c r="K4076" i="3"/>
  <c r="K5691" i="3"/>
  <c r="A5683" i="3"/>
  <c r="K5685" i="3"/>
  <c r="K7111" i="3"/>
  <c r="K4309" i="3"/>
  <c r="K7776" i="3"/>
  <c r="K4305" i="3"/>
  <c r="K5684" i="3"/>
  <c r="K7773" i="3"/>
  <c r="K6302" i="3"/>
  <c r="K6303" i="3"/>
  <c r="K7108" i="3"/>
  <c r="K5359" i="3"/>
  <c r="A5356" i="3"/>
  <c r="K5362" i="3"/>
  <c r="K4972" i="3"/>
  <c r="K5364" i="3"/>
  <c r="K6301" i="3"/>
  <c r="K7679" i="3"/>
  <c r="K6735" i="3"/>
  <c r="K7732" i="3"/>
  <c r="A7676" i="3"/>
  <c r="K6447" i="3"/>
  <c r="K6069" i="3"/>
  <c r="K6113" i="3"/>
  <c r="K7678" i="3"/>
  <c r="K6779" i="3"/>
  <c r="K6642" i="3"/>
  <c r="K6450" i="3"/>
  <c r="K6115" i="3"/>
  <c r="K7682" i="3"/>
  <c r="K6782" i="3"/>
  <c r="K6637" i="3"/>
  <c r="K6640" i="3"/>
  <c r="K6641" i="3"/>
  <c r="A6637" i="3"/>
  <c r="K6781" i="3"/>
  <c r="K6638" i="3"/>
  <c r="K6117" i="3"/>
  <c r="K6445" i="3"/>
  <c r="K6780" i="3"/>
  <c r="K6449" i="3"/>
  <c r="K4696" i="3"/>
  <c r="K6448" i="3"/>
  <c r="K6733" i="3"/>
  <c r="K7775" i="3"/>
  <c r="K7114" i="3"/>
  <c r="K5736" i="3"/>
  <c r="K5683" i="3"/>
  <c r="K5689" i="3"/>
  <c r="K4311" i="3"/>
  <c r="K4693" i="3"/>
  <c r="K4306" i="3"/>
  <c r="K4740" i="3"/>
  <c r="K4078" i="3"/>
  <c r="K7308" i="3"/>
  <c r="K7109" i="3"/>
  <c r="K4079" i="3"/>
  <c r="K4313" i="3"/>
  <c r="A4691" i="3"/>
  <c r="K5739" i="3"/>
  <c r="K5690" i="3"/>
  <c r="K5692" i="3"/>
  <c r="K4308" i="3"/>
  <c r="K5356" i="3"/>
  <c r="K4695" i="3"/>
  <c r="K7112" i="3"/>
  <c r="K6451" i="3"/>
  <c r="A4076" i="3"/>
  <c r="K5734" i="3"/>
  <c r="K5735" i="3"/>
  <c r="K5686" i="3"/>
  <c r="K4697" i="3"/>
  <c r="K4077" i="3"/>
  <c r="K6777" i="3"/>
  <c r="K6734" i="3"/>
  <c r="A6444" i="3"/>
  <c r="K6778" i="3"/>
  <c r="K7305" i="3"/>
  <c r="A5734" i="3"/>
  <c r="K5693" i="3"/>
  <c r="K5687" i="3"/>
  <c r="K5737" i="3"/>
  <c r="K5363" i="3"/>
  <c r="K4312" i="3"/>
  <c r="A6733" i="3"/>
  <c r="A7773" i="3"/>
  <c r="K7779" i="3"/>
  <c r="K7774" i="3"/>
  <c r="K7777" i="3"/>
  <c r="K7778" i="3"/>
  <c r="K7780" i="3"/>
  <c r="K7729" i="3"/>
  <c r="K7730" i="3"/>
  <c r="K7731" i="3"/>
  <c r="K7728" i="3"/>
  <c r="K7727" i="3"/>
  <c r="K7681" i="3"/>
  <c r="K7680" i="3"/>
  <c r="K7686" i="3"/>
  <c r="K7685" i="3"/>
  <c r="K7349" i="3"/>
  <c r="K7352" i="3"/>
  <c r="K7357" i="3"/>
  <c r="K7356" i="3"/>
  <c r="A7349" i="3"/>
  <c r="K7350" i="3"/>
  <c r="K7351" i="3"/>
  <c r="K7353" i="3"/>
  <c r="K7303" i="3"/>
  <c r="K7306" i="3"/>
  <c r="K7307" i="3"/>
  <c r="A7302" i="3"/>
  <c r="K7110" i="3"/>
  <c r="A7108" i="3"/>
  <c r="A7011" i="3"/>
  <c r="K7011" i="3"/>
  <c r="K7017" i="3"/>
  <c r="K7014" i="3"/>
  <c r="K7016" i="3"/>
  <c r="K7019" i="3"/>
  <c r="K7021" i="3"/>
  <c r="K7015" i="3"/>
  <c r="K7020" i="3"/>
  <c r="K7013" i="3"/>
  <c r="K7012" i="3"/>
  <c r="K6444" i="3"/>
  <c r="K6446" i="3"/>
  <c r="A6398" i="3"/>
  <c r="K6403" i="3"/>
  <c r="K6399" i="3"/>
  <c r="K6402" i="3"/>
  <c r="K6398" i="3"/>
  <c r="K6401" i="3"/>
  <c r="K6306" i="3"/>
  <c r="K6298" i="3"/>
  <c r="K6116" i="3"/>
  <c r="A6113" i="3"/>
  <c r="K6118" i="3"/>
  <c r="K6072" i="3"/>
  <c r="A6069" i="3"/>
  <c r="K6070" i="3"/>
  <c r="K6071" i="3"/>
  <c r="A4784" i="3"/>
  <c r="K4977" i="3"/>
  <c r="K4973" i="3"/>
  <c r="K7683" i="3"/>
  <c r="K7677" i="3"/>
  <c r="K7676" i="3"/>
  <c r="K4974" i="3"/>
  <c r="K4976" i="3"/>
  <c r="K7354" i="3"/>
  <c r="K4784" i="3"/>
  <c r="K7113" i="3"/>
  <c r="A6298" i="3"/>
  <c r="K6736" i="3"/>
  <c r="K7302" i="3"/>
  <c r="K6020" i="3"/>
  <c r="K6025" i="3"/>
  <c r="K6021" i="3"/>
  <c r="K6027" i="3"/>
  <c r="K6023" i="3"/>
  <c r="K6028" i="3"/>
  <c r="K6026" i="3"/>
  <c r="K6024" i="3"/>
  <c r="K6022" i="3"/>
  <c r="A6020" i="3"/>
  <c r="K5979" i="3"/>
  <c r="K5977" i="3"/>
  <c r="K5973" i="3"/>
  <c r="K5978" i="3"/>
  <c r="K5976" i="3"/>
  <c r="A5973" i="3"/>
  <c r="K5974" i="3"/>
  <c r="K6350" i="3"/>
  <c r="K6357" i="3"/>
  <c r="K6355" i="3"/>
  <c r="K6352" i="3"/>
  <c r="K6348" i="3"/>
  <c r="K6356" i="3"/>
  <c r="K6353" i="3"/>
  <c r="K6351" i="3"/>
  <c r="K6349" i="3"/>
  <c r="A6347" i="3"/>
  <c r="K6354" i="3"/>
  <c r="K6347" i="3"/>
  <c r="K7632" i="3"/>
  <c r="A7627" i="3"/>
  <c r="K7628" i="3"/>
  <c r="K7630" i="3"/>
  <c r="K7634" i="3"/>
  <c r="K7627" i="3"/>
  <c r="K7633" i="3"/>
  <c r="K7631" i="3"/>
  <c r="K7635" i="3"/>
  <c r="K7443" i="3"/>
  <c r="K7445" i="3"/>
  <c r="A7442" i="3"/>
  <c r="K7447" i="3"/>
  <c r="K7442" i="3"/>
  <c r="K7444" i="3"/>
  <c r="K7446" i="3"/>
  <c r="K6684" i="3"/>
  <c r="K6688" i="3"/>
  <c r="K6686" i="3"/>
  <c r="K6685" i="3"/>
  <c r="K6690" i="3"/>
  <c r="K6687" i="3"/>
  <c r="K6692" i="3"/>
  <c r="K6691" i="3"/>
  <c r="K6689" i="3"/>
  <c r="A6684" i="3"/>
  <c r="K7065" i="3"/>
  <c r="K7062" i="3"/>
  <c r="A7062" i="3"/>
  <c r="K7063" i="3"/>
  <c r="K7067" i="3"/>
  <c r="K7066" i="3"/>
  <c r="K7064" i="3"/>
  <c r="K6970" i="3"/>
  <c r="K6968" i="3"/>
  <c r="K6965" i="3"/>
  <c r="K6963" i="3"/>
  <c r="K6969" i="3"/>
  <c r="K6966" i="3"/>
  <c r="K6962" i="3"/>
  <c r="K6967" i="3"/>
  <c r="A6962" i="3"/>
  <c r="K4033" i="3"/>
  <c r="K2383" i="3"/>
  <c r="A3420" i="3"/>
  <c r="K4405" i="3"/>
  <c r="A4644" i="3"/>
  <c r="K4410" i="3"/>
  <c r="K4407" i="3"/>
  <c r="A4405" i="3"/>
  <c r="K4409" i="3"/>
  <c r="K4406" i="3"/>
  <c r="K3985" i="3"/>
  <c r="K4408" i="3"/>
  <c r="K4451" i="3"/>
  <c r="K3705" i="3"/>
  <c r="K4034" i="3"/>
  <c r="K3421" i="3"/>
  <c r="K5635" i="3"/>
  <c r="K4456" i="3"/>
  <c r="A4027" i="3"/>
  <c r="K4032" i="3"/>
  <c r="K4030" i="3"/>
  <c r="K4788" i="3"/>
  <c r="K3044" i="3"/>
  <c r="K4029" i="3"/>
  <c r="K4027" i="3"/>
  <c r="K4457" i="3"/>
  <c r="K4031" i="3"/>
  <c r="K4786" i="3"/>
  <c r="K5637" i="3"/>
  <c r="A4305" i="3"/>
  <c r="K4453" i="3"/>
  <c r="K4035" i="3"/>
  <c r="K4785" i="3"/>
  <c r="K5642" i="3"/>
  <c r="K4310" i="3"/>
  <c r="K4452" i="3"/>
  <c r="K4789" i="3"/>
  <c r="K5641" i="3"/>
  <c r="K5639" i="3"/>
  <c r="K5634" i="3"/>
  <c r="A5634" i="3"/>
  <c r="K5638" i="3"/>
  <c r="K5358" i="3"/>
  <c r="K5360" i="3"/>
  <c r="K5357" i="3"/>
  <c r="K5122" i="3"/>
  <c r="K4970" i="3"/>
  <c r="K4975" i="3"/>
  <c r="K4969" i="3"/>
  <c r="K4787" i="3"/>
  <c r="K4743" i="3"/>
  <c r="K4741" i="3"/>
  <c r="K4691" i="3"/>
  <c r="K4699" i="3"/>
  <c r="K4694" i="3"/>
  <c r="K4645" i="3"/>
  <c r="K4650" i="3"/>
  <c r="K4455" i="3"/>
  <c r="K4454" i="3"/>
  <c r="K4648" i="3"/>
  <c r="K3980" i="3"/>
  <c r="K5119" i="3"/>
  <c r="K3984" i="3"/>
  <c r="A5115" i="3"/>
  <c r="K3983" i="3"/>
  <c r="K3986" i="3"/>
  <c r="K3423" i="3"/>
  <c r="K4647" i="3"/>
  <c r="K5121" i="3"/>
  <c r="K3981" i="3"/>
  <c r="K3420" i="3"/>
  <c r="K2152" i="3"/>
  <c r="K5115" i="3"/>
  <c r="K2386" i="3"/>
  <c r="K4649" i="3"/>
  <c r="K5118" i="3"/>
  <c r="K2059" i="3"/>
  <c r="K2063" i="3"/>
  <c r="K2062" i="3"/>
  <c r="K2391" i="3"/>
  <c r="K2388" i="3"/>
  <c r="K5117" i="3"/>
  <c r="K5116" i="3"/>
  <c r="K4458" i="3"/>
  <c r="A4740" i="3"/>
  <c r="A3980" i="3"/>
  <c r="K2390" i="3"/>
  <c r="K4124" i="3"/>
  <c r="K4123" i="3"/>
  <c r="K4125" i="3"/>
  <c r="K4122" i="3"/>
  <c r="K4120" i="3"/>
  <c r="K4121" i="3"/>
  <c r="A4120" i="3"/>
  <c r="K5787" i="3"/>
  <c r="K5784" i="3"/>
  <c r="K5782" i="3"/>
  <c r="K5780" i="3"/>
  <c r="K5785" i="3"/>
  <c r="K5781" i="3"/>
  <c r="K5786" i="3"/>
  <c r="K5783" i="3"/>
  <c r="A5780" i="3"/>
  <c r="K4361" i="3"/>
  <c r="K4354" i="3"/>
  <c r="K4364" i="3"/>
  <c r="K4362" i="3"/>
  <c r="K4359" i="3"/>
  <c r="K4355" i="3"/>
  <c r="K4357" i="3"/>
  <c r="K4363" i="3"/>
  <c r="K4360" i="3"/>
  <c r="K4358" i="3"/>
  <c r="K4356" i="3"/>
  <c r="A4354" i="3"/>
  <c r="A5309" i="3"/>
  <c r="K5315" i="3"/>
  <c r="K5313" i="3"/>
  <c r="K5309" i="3"/>
  <c r="K5312" i="3"/>
  <c r="K5310" i="3"/>
  <c r="K5314" i="3"/>
  <c r="K5405" i="3"/>
  <c r="K5407" i="3"/>
  <c r="A5405" i="3"/>
  <c r="K5406" i="3"/>
  <c r="K5408" i="3"/>
  <c r="K5073" i="3"/>
  <c r="K5070" i="3"/>
  <c r="K5074" i="3"/>
  <c r="K5072" i="3"/>
  <c r="A5069" i="3"/>
  <c r="K5071" i="3"/>
  <c r="K5069" i="3"/>
  <c r="K5450" i="3"/>
  <c r="K5453" i="3"/>
  <c r="K5454" i="3"/>
  <c r="K5451" i="3"/>
  <c r="A5449" i="3"/>
  <c r="K5452" i="3"/>
  <c r="K5449" i="3"/>
  <c r="K5025" i="3"/>
  <c r="K5018" i="3"/>
  <c r="K5027" i="3"/>
  <c r="K5024" i="3"/>
  <c r="K5022" i="3"/>
  <c r="K5020" i="3"/>
  <c r="A5018" i="3"/>
  <c r="K5021" i="3"/>
  <c r="K5026" i="3"/>
  <c r="K5028" i="3"/>
  <c r="K5019" i="3"/>
  <c r="K5023" i="3"/>
  <c r="K2436" i="3"/>
  <c r="K3042" i="3"/>
  <c r="K2065" i="3"/>
  <c r="K3047" i="3"/>
  <c r="K3046" i="3"/>
  <c r="K1074" i="3"/>
  <c r="A2383" i="3"/>
  <c r="K3043" i="3"/>
  <c r="K2434" i="3"/>
  <c r="K2154" i="3"/>
  <c r="K3041" i="3"/>
  <c r="A3039" i="3"/>
  <c r="K2384" i="3"/>
  <c r="K3045" i="3"/>
  <c r="A3696" i="3"/>
  <c r="K2151" i="3"/>
  <c r="K2433" i="3"/>
  <c r="A2433" i="3"/>
  <c r="K2337" i="3"/>
  <c r="K3039" i="3"/>
  <c r="K2341" i="3"/>
  <c r="K3040" i="3"/>
  <c r="K3701" i="3"/>
  <c r="K3703" i="3"/>
  <c r="K3379" i="3"/>
  <c r="K3372" i="3"/>
  <c r="K3378" i="3"/>
  <c r="K3376" i="3"/>
  <c r="A3371" i="3"/>
  <c r="K3048" i="3"/>
  <c r="K2807" i="3"/>
  <c r="K2810" i="3"/>
  <c r="A2807" i="3"/>
  <c r="K2808" i="3"/>
  <c r="K2392" i="3"/>
  <c r="K2385" i="3"/>
  <c r="K2389" i="3"/>
  <c r="K2340" i="3"/>
  <c r="K2342" i="3"/>
  <c r="K2153" i="3"/>
  <c r="K2155" i="3"/>
  <c r="K2058" i="3"/>
  <c r="K2066" i="3"/>
  <c r="K2061" i="3"/>
  <c r="K2064" i="3"/>
  <c r="K2060" i="3"/>
  <c r="A2058" i="3"/>
  <c r="K3373" i="3"/>
  <c r="K2435" i="3"/>
  <c r="K3696" i="3"/>
  <c r="K3698" i="3"/>
  <c r="K3374" i="3"/>
  <c r="K3375" i="3"/>
  <c r="K2339" i="3"/>
  <c r="A2151" i="3"/>
  <c r="K3700" i="3"/>
  <c r="K3377" i="3"/>
  <c r="K3699" i="3"/>
  <c r="K3702" i="3"/>
  <c r="K2812" i="3"/>
  <c r="K2811" i="3"/>
  <c r="A2336" i="3"/>
  <c r="K794" i="3"/>
  <c r="K795" i="3"/>
  <c r="K3697" i="3"/>
  <c r="K2387" i="3"/>
  <c r="A793" i="3"/>
  <c r="K796" i="3"/>
  <c r="A697" i="3"/>
  <c r="K700" i="3"/>
  <c r="K697" i="3"/>
  <c r="A1069" i="3"/>
  <c r="K1075" i="3"/>
  <c r="K702" i="3"/>
  <c r="K1077" i="3"/>
  <c r="K3939" i="3"/>
  <c r="K3937" i="3"/>
  <c r="K3935" i="3"/>
  <c r="K3933" i="3"/>
  <c r="K3934" i="3"/>
  <c r="K3938" i="3"/>
  <c r="K3936" i="3"/>
  <c r="K2673" i="3"/>
  <c r="K2671" i="3"/>
  <c r="K2667" i="3"/>
  <c r="A2667" i="3"/>
  <c r="K2672" i="3"/>
  <c r="K2670" i="3"/>
  <c r="K2668" i="3"/>
  <c r="A3324" i="3"/>
  <c r="K3329" i="3"/>
  <c r="K3327" i="3"/>
  <c r="K3330" i="3"/>
  <c r="K3325" i="3"/>
  <c r="K3324" i="3"/>
  <c r="K3328" i="3"/>
  <c r="K2479" i="3"/>
  <c r="K2483" i="3"/>
  <c r="K2481" i="3"/>
  <c r="A2478" i="3"/>
  <c r="K2484" i="3"/>
  <c r="K2482" i="3"/>
  <c r="K2480" i="3"/>
  <c r="K2478" i="3"/>
  <c r="K3749" i="3"/>
  <c r="K3747" i="3"/>
  <c r="K3750" i="3"/>
  <c r="K3746" i="3"/>
  <c r="K3748" i="3"/>
  <c r="A3746" i="3"/>
  <c r="K2110" i="3"/>
  <c r="K2109" i="3"/>
  <c r="A2107" i="3"/>
  <c r="K2108" i="3"/>
  <c r="K2107" i="3"/>
  <c r="K3465" i="3"/>
  <c r="K3469" i="3"/>
  <c r="K3466" i="3"/>
  <c r="K3464" i="3"/>
  <c r="K3468" i="3"/>
  <c r="A3464" i="3"/>
  <c r="K3467" i="3"/>
  <c r="K2012" i="3"/>
  <c r="K2015" i="3"/>
  <c r="K2011" i="3"/>
  <c r="K2017" i="3"/>
  <c r="K2016" i="3"/>
  <c r="K2014" i="3"/>
  <c r="A2011" i="3"/>
  <c r="K2714" i="3"/>
  <c r="K2718" i="3"/>
  <c r="K2716" i="3"/>
  <c r="K2720" i="3"/>
  <c r="K2717" i="3"/>
  <c r="K2722" i="3"/>
  <c r="K2715" i="3"/>
  <c r="A2714" i="3"/>
  <c r="K2721" i="3"/>
  <c r="K2719" i="3"/>
  <c r="K2765" i="3"/>
  <c r="A2763" i="3"/>
  <c r="K2764" i="3"/>
  <c r="K2766" i="3"/>
  <c r="K2763" i="3"/>
  <c r="K3135" i="3"/>
  <c r="K3136" i="3"/>
  <c r="K3134" i="3"/>
  <c r="K3139" i="3"/>
  <c r="K3138" i="3"/>
  <c r="A3134" i="3"/>
  <c r="K3140" i="3"/>
  <c r="K3137" i="3"/>
  <c r="K3093" i="3"/>
  <c r="K3091" i="3"/>
  <c r="A3089" i="3"/>
  <c r="K3089" i="3"/>
  <c r="K3090" i="3"/>
  <c r="K3092" i="3"/>
  <c r="K3654" i="3"/>
  <c r="K3652" i="3"/>
  <c r="K3649" i="3"/>
  <c r="A3649" i="3"/>
  <c r="K3655" i="3"/>
  <c r="K3650" i="3"/>
  <c r="K3653" i="3"/>
  <c r="K2998" i="3"/>
  <c r="K2996" i="3"/>
  <c r="K2997" i="3"/>
  <c r="A2992" i="3"/>
  <c r="K2993" i="3"/>
  <c r="K2995" i="3"/>
  <c r="K2992" i="3"/>
  <c r="K1825" i="3"/>
  <c r="A1450" i="3"/>
  <c r="K701" i="3"/>
  <c r="K698" i="3"/>
  <c r="K1679" i="3"/>
  <c r="K1824" i="3"/>
  <c r="K1823" i="3"/>
  <c r="K1497" i="3"/>
  <c r="K1496" i="3"/>
  <c r="K1072" i="3"/>
  <c r="A1679" i="3"/>
  <c r="K1731" i="3"/>
  <c r="K1069" i="3"/>
  <c r="K1071" i="3"/>
  <c r="K1167" i="3"/>
  <c r="K1166" i="3"/>
  <c r="K1070" i="3"/>
  <c r="K793" i="3"/>
  <c r="K1821" i="3"/>
  <c r="K838" i="3"/>
  <c r="K840" i="3"/>
  <c r="K839" i="3"/>
  <c r="K1827" i="3"/>
  <c r="K1822" i="3"/>
  <c r="K1073" i="3"/>
  <c r="K1826" i="3"/>
  <c r="K1453" i="3"/>
  <c r="K606" i="3"/>
  <c r="K605" i="3"/>
  <c r="A1726" i="3"/>
  <c r="K1494" i="3"/>
  <c r="K1730" i="3"/>
  <c r="K277" i="3"/>
  <c r="K1732" i="3"/>
  <c r="K1451" i="3"/>
  <c r="K1452" i="3"/>
  <c r="K841" i="3"/>
  <c r="K1735" i="3"/>
  <c r="K1357" i="3"/>
  <c r="K1498" i="3"/>
  <c r="K1358" i="3"/>
  <c r="K604" i="3"/>
  <c r="K1680" i="3"/>
  <c r="K1726" i="3"/>
  <c r="A837" i="3"/>
  <c r="K1495" i="3"/>
  <c r="A1354" i="3"/>
  <c r="K1685" i="3"/>
  <c r="K1684" i="3"/>
  <c r="K1355" i="3"/>
  <c r="K1354" i="3"/>
  <c r="K609" i="3"/>
  <c r="K837" i="3"/>
  <c r="K1360" i="3"/>
  <c r="K274" i="3"/>
  <c r="K276" i="3"/>
  <c r="K1729" i="3"/>
  <c r="K1683" i="3"/>
  <c r="A366" i="3"/>
  <c r="K842" i="3"/>
  <c r="K371" i="3"/>
  <c r="K608" i="3"/>
  <c r="A1494" i="3"/>
  <c r="A1821" i="3"/>
  <c r="K1734" i="3"/>
  <c r="K1727" i="3"/>
  <c r="K1733" i="3"/>
  <c r="K1401" i="3"/>
  <c r="K1405" i="3"/>
  <c r="K1406" i="3"/>
  <c r="K1402" i="3"/>
  <c r="A1401" i="3"/>
  <c r="K1407" i="3"/>
  <c r="K1403" i="3"/>
  <c r="K1408" i="3"/>
  <c r="K1404" i="3"/>
  <c r="K1409" i="3"/>
  <c r="K1776" i="3"/>
  <c r="K1779" i="3"/>
  <c r="K1777" i="3"/>
  <c r="K1780" i="3"/>
  <c r="K1778" i="3"/>
  <c r="A1776" i="3"/>
  <c r="K744" i="3"/>
  <c r="K749" i="3"/>
  <c r="K745" i="3"/>
  <c r="K746" i="3"/>
  <c r="K748" i="3"/>
  <c r="K752" i="3"/>
  <c r="K750" i="3"/>
  <c r="A744" i="3"/>
  <c r="K747" i="3"/>
  <c r="K751" i="3"/>
  <c r="K1170" i="3"/>
  <c r="K1168" i="3"/>
  <c r="A1164" i="3"/>
  <c r="K1164" i="3"/>
  <c r="K1165" i="3"/>
  <c r="K1169" i="3"/>
  <c r="K1119" i="3"/>
  <c r="K1122" i="3"/>
  <c r="K1120" i="3"/>
  <c r="K1123" i="3"/>
  <c r="K1121" i="3"/>
  <c r="A1119" i="3"/>
  <c r="K1027" i="3"/>
  <c r="K1025" i="3"/>
  <c r="K1022" i="3"/>
  <c r="A1022" i="3"/>
  <c r="K1023" i="3"/>
  <c r="K1028" i="3"/>
  <c r="K1026" i="3"/>
  <c r="K416" i="3"/>
  <c r="K422" i="3"/>
  <c r="K372" i="3"/>
  <c r="K420" i="3"/>
  <c r="K603" i="3"/>
  <c r="K370" i="3"/>
  <c r="A603" i="3"/>
  <c r="K369" i="3"/>
  <c r="K607" i="3"/>
  <c r="K421" i="3"/>
  <c r="K413" i="3"/>
  <c r="K414" i="3"/>
  <c r="A413" i="3"/>
  <c r="K415" i="3"/>
  <c r="K418" i="3"/>
  <c r="K417" i="3"/>
  <c r="K367" i="3"/>
  <c r="K513" i="3"/>
  <c r="K517" i="3"/>
  <c r="K515" i="3"/>
  <c r="A513" i="3"/>
  <c r="K514" i="3"/>
  <c r="K516" i="3"/>
  <c r="A274" i="3"/>
  <c r="K278" i="3"/>
  <c r="K275" i="3"/>
  <c r="K279" i="3"/>
  <c r="B436" i="10" l="1"/>
  <c r="J436" i="10" s="1"/>
  <c r="J420" i="10"/>
  <c r="J435" i="10"/>
  <c r="J419" i="10"/>
  <c r="E188" i="3"/>
  <c r="C188" i="3"/>
  <c r="G187" i="3"/>
  <c r="E187" i="3"/>
  <c r="C187" i="3"/>
  <c r="A187" i="3"/>
  <c r="E186" i="3"/>
  <c r="B177" i="3"/>
  <c r="C186" i="3"/>
  <c r="G186" i="3"/>
  <c r="E45" i="3"/>
  <c r="C45" i="3"/>
  <c r="H5" i="12" l="1"/>
  <c r="I5" i="12" s="1"/>
  <c r="G91" i="3"/>
  <c r="E91" i="3"/>
  <c r="C91" i="3"/>
  <c r="A91" i="3"/>
  <c r="G90" i="3"/>
  <c r="E90" i="3"/>
  <c r="C90" i="3"/>
  <c r="A90" i="3"/>
  <c r="G89" i="3"/>
  <c r="E89" i="3"/>
  <c r="C89" i="3"/>
  <c r="A89" i="3"/>
  <c r="C94" i="3"/>
  <c r="E94" i="3"/>
  <c r="E88" i="3"/>
  <c r="B79" i="3"/>
  <c r="C88" i="3"/>
  <c r="G88" i="3"/>
  <c r="D446" i="10"/>
  <c r="B385" i="10"/>
  <c r="A384" i="10"/>
  <c r="A400" i="10" s="1"/>
  <c r="A416" i="10" s="1"/>
  <c r="A432" i="10" s="1"/>
  <c r="B384" i="10"/>
  <c r="A383" i="10"/>
  <c r="A399" i="10" s="1"/>
  <c r="A415" i="10" s="1"/>
  <c r="A431" i="10" s="1"/>
  <c r="D366" i="10"/>
  <c r="C366" i="10"/>
  <c r="B401" i="10" l="1"/>
  <c r="J385" i="10"/>
  <c r="B400" i="10"/>
  <c r="J384" i="10"/>
  <c r="J5" i="12"/>
  <c r="B383" i="10"/>
  <c r="A186" i="3"/>
  <c r="K189" i="3"/>
  <c r="K187" i="3"/>
  <c r="K186" i="3"/>
  <c r="K188" i="3"/>
  <c r="G446" i="10"/>
  <c r="B399" i="10" l="1"/>
  <c r="J383" i="10"/>
  <c r="B416" i="10"/>
  <c r="J400" i="10"/>
  <c r="B417" i="10"/>
  <c r="J401" i="10"/>
  <c r="B93" i="3"/>
  <c r="M93" i="3" s="1"/>
  <c r="B92" i="3"/>
  <c r="L92" i="3" s="1"/>
  <c r="M92" i="3" s="1"/>
  <c r="J4" i="12"/>
  <c r="K96" i="3"/>
  <c r="K91" i="3"/>
  <c r="K90" i="3"/>
  <c r="K89" i="3"/>
  <c r="K88" i="3"/>
  <c r="K94" i="3"/>
  <c r="K95" i="3"/>
  <c r="K93" i="3"/>
  <c r="K92" i="3"/>
  <c r="A88" i="3"/>
  <c r="B433" i="10" l="1"/>
  <c r="J433" i="10" s="1"/>
  <c r="J417" i="10"/>
  <c r="B432" i="10"/>
  <c r="J432" i="10" s="1"/>
  <c r="J416" i="10"/>
  <c r="B415" i="10"/>
  <c r="J399" i="10"/>
  <c r="B1544" i="13"/>
  <c r="B7816" i="3"/>
  <c r="B3505" i="3"/>
  <c r="B2192" i="3"/>
  <c r="B1535" i="3"/>
  <c r="B1206" i="3"/>
  <c r="B458" i="3"/>
  <c r="B5158" i="3"/>
  <c r="B8811" i="3"/>
  <c r="B6154" i="3"/>
  <c r="B5823" i="3"/>
  <c r="B5490" i="3"/>
  <c r="B222" i="13"/>
  <c r="B1214" i="13"/>
  <c r="B1214" i="14"/>
  <c r="B883" i="14"/>
  <c r="B8480" i="3"/>
  <c r="B2536" i="13"/>
  <c r="B553" i="15"/>
  <c r="B9144" i="3"/>
  <c r="B6487" i="3"/>
  <c r="B2848" i="3"/>
  <c r="B553" i="13"/>
  <c r="B1875" i="13"/>
  <c r="B9809" i="3"/>
  <c r="B222" i="14"/>
  <c r="B8147" i="3"/>
  <c r="B7483" i="3"/>
  <c r="B2205" i="13"/>
  <c r="B222" i="15"/>
  <c r="B553" i="14"/>
  <c r="B4494" i="3"/>
  <c r="B4161" i="3"/>
  <c r="B3833" i="3"/>
  <c r="B3176" i="3"/>
  <c r="B1863" i="3"/>
  <c r="B9476" i="3"/>
  <c r="B6818" i="3"/>
  <c r="B883" i="13"/>
  <c r="B7151" i="3"/>
  <c r="B4825" i="3"/>
  <c r="B2520" i="3"/>
  <c r="B878" i="3"/>
  <c r="B132" i="3"/>
  <c r="B32" i="3"/>
  <c r="E41" i="3"/>
  <c r="A13" i="2"/>
  <c r="A12" i="2"/>
  <c r="A11" i="2"/>
  <c r="A10" i="2"/>
  <c r="A7" i="2"/>
  <c r="A6" i="2"/>
  <c r="A5" i="2"/>
  <c r="A4" i="2"/>
  <c r="C41" i="3"/>
  <c r="G41" i="3"/>
  <c r="B2537" i="13" l="1"/>
  <c r="B132" i="15"/>
  <c r="B1122" i="14"/>
  <c r="B411" i="14"/>
  <c r="B272" i="14"/>
  <c r="B2489" i="13"/>
  <c r="B2019" i="13"/>
  <c r="B1594" i="13"/>
  <c r="B1265" i="13"/>
  <c r="B933" i="13"/>
  <c r="B461" i="13"/>
  <c r="B132" i="13"/>
  <c r="B9570" i="3"/>
  <c r="B8387" i="3"/>
  <c r="B8951" i="3"/>
  <c r="B8532" i="3"/>
  <c r="B8058" i="3"/>
  <c r="B7817" i="3"/>
  <c r="B7438" i="3"/>
  <c r="B7007" i="3"/>
  <c r="B6773" i="3"/>
  <c r="B6204" i="3"/>
  <c r="B5776" i="3"/>
  <c r="B5679" i="3"/>
  <c r="B5111" i="3"/>
  <c r="B4495" i="3"/>
  <c r="B4211" i="3"/>
  <c r="B4023" i="3"/>
  <c r="B3416" i="3"/>
  <c r="B3320" i="3"/>
  <c r="B2663" i="3"/>
  <c r="B2103" i="3"/>
  <c r="B1675" i="3"/>
  <c r="B1302" i="3"/>
  <c r="B833" i="3"/>
  <c r="B362" i="3"/>
  <c r="B649" i="15"/>
  <c r="B83" i="15"/>
  <c r="B793" i="14"/>
  <c r="B649" i="14"/>
  <c r="B36" i="14"/>
  <c r="B2346" i="13"/>
  <c r="B1876" i="13"/>
  <c r="B1545" i="13"/>
  <c r="B1122" i="13"/>
  <c r="B837" i="13"/>
  <c r="B411" i="13"/>
  <c r="B36" i="13"/>
  <c r="B9477" i="3"/>
  <c r="B9051" i="3"/>
  <c r="B8861" i="3"/>
  <c r="B8433" i="3"/>
  <c r="B8102" i="3"/>
  <c r="B7672" i="3"/>
  <c r="B7298" i="3"/>
  <c r="B6958" i="3"/>
  <c r="B6440" i="3"/>
  <c r="B5921" i="3"/>
  <c r="B5875" i="3"/>
  <c r="B5630" i="3"/>
  <c r="B5014" i="3"/>
  <c r="B4736" i="3"/>
  <c r="B4401" i="3"/>
  <c r="B3787" i="3"/>
  <c r="B3555" i="3"/>
  <c r="B2942" i="3"/>
  <c r="B2710" i="3"/>
  <c r="B2147" i="3"/>
  <c r="B1350" i="3"/>
  <c r="B1160" i="3"/>
  <c r="B599" i="3"/>
  <c r="B270" i="3"/>
  <c r="B1310" i="14"/>
  <c r="B461" i="15"/>
  <c r="B36" i="15"/>
  <c r="B837" i="14"/>
  <c r="B363" i="14"/>
  <c r="B83" i="14"/>
  <c r="B2299" i="13"/>
  <c r="B2115" i="13"/>
  <c r="B1498" i="13"/>
  <c r="B1215" i="13"/>
  <c r="B604" i="13"/>
  <c r="B363" i="13"/>
  <c r="B9762" i="3"/>
  <c r="B9526" i="3"/>
  <c r="B8905" i="3"/>
  <c r="B8812" i="3"/>
  <c r="B8481" i="3"/>
  <c r="B7769" i="3"/>
  <c r="B7623" i="3"/>
  <c r="B7249" i="3"/>
  <c r="B6912" i="3"/>
  <c r="B6539" i="3"/>
  <c r="B6155" i="3"/>
  <c r="B5491" i="3"/>
  <c r="B5445" i="3"/>
  <c r="B4447" i="3"/>
  <c r="B4640" i="3"/>
  <c r="B3742" i="3"/>
  <c r="B3929" i="3"/>
  <c r="B3506" i="3"/>
  <c r="B3227" i="3"/>
  <c r="B2616" i="3"/>
  <c r="B2054" i="3"/>
  <c r="B1629" i="3"/>
  <c r="B1065" i="3"/>
  <c r="B646" i="3"/>
  <c r="B226" i="3"/>
  <c r="B2005" i="3"/>
  <c r="B1973" i="3" s="1"/>
  <c r="B411" i="15"/>
  <c r="B1215" i="14"/>
  <c r="B933" i="14"/>
  <c r="B554" i="14"/>
  <c r="B176" i="14"/>
  <c r="B2206" i="13"/>
  <c r="B1926" i="13"/>
  <c r="B1405" i="13"/>
  <c r="B1167" i="13"/>
  <c r="B744" i="13"/>
  <c r="B316" i="13"/>
  <c r="B9665" i="3"/>
  <c r="B9616" i="3"/>
  <c r="B9338" i="3"/>
  <c r="B8766" i="3"/>
  <c r="B8336" i="3"/>
  <c r="B7914" i="3"/>
  <c r="B7345" i="3"/>
  <c r="B7203" i="3"/>
  <c r="B6868" i="3"/>
  <c r="B6488" i="3"/>
  <c r="B6109" i="3"/>
  <c r="B5540" i="3"/>
  <c r="B5352" i="3"/>
  <c r="B4965" i="3"/>
  <c r="B4687" i="3"/>
  <c r="B4301" i="3"/>
  <c r="B3884" i="3"/>
  <c r="B3460" i="3"/>
  <c r="B3130" i="3"/>
  <c r="B2474" i="3"/>
  <c r="B2007" i="3"/>
  <c r="B1536" i="3"/>
  <c r="B1018" i="3"/>
  <c r="B509" i="3"/>
  <c r="B182" i="3"/>
  <c r="B554" i="15"/>
  <c r="B1265" i="14"/>
  <c r="B316" i="15"/>
  <c r="B1024" i="14"/>
  <c r="B884" i="14"/>
  <c r="B506" i="14"/>
  <c r="B132" i="14"/>
  <c r="B2255" i="13"/>
  <c r="B1828" i="13"/>
  <c r="B1454" i="13"/>
  <c r="B1024" i="13"/>
  <c r="B793" i="13"/>
  <c r="B223" i="13"/>
  <c r="B9861" i="3"/>
  <c r="B9097" i="3"/>
  <c r="B9291" i="3"/>
  <c r="B8722" i="3"/>
  <c r="B8241" i="3"/>
  <c r="B7962" i="3"/>
  <c r="B7577" i="3"/>
  <c r="B7104" i="3"/>
  <c r="B6633" i="3"/>
  <c r="B6248" i="3"/>
  <c r="B6065" i="3"/>
  <c r="B5824" i="3"/>
  <c r="B5401" i="3"/>
  <c r="B4919" i="3"/>
  <c r="B4592" i="3"/>
  <c r="B4162" i="3"/>
  <c r="B3692" i="3"/>
  <c r="B3367" i="3"/>
  <c r="B2849" i="3"/>
  <c r="B2286" i="3"/>
  <c r="B1959" i="3"/>
  <c r="B1490" i="3"/>
  <c r="B740" i="3"/>
  <c r="B554" i="3"/>
  <c r="B84" i="3"/>
  <c r="B506" i="15"/>
  <c r="B2587" i="13"/>
  <c r="B272" i="15"/>
  <c r="B1072" i="14"/>
  <c r="B744" i="14"/>
  <c r="B461" i="14"/>
  <c r="B1733" i="13"/>
  <c r="B1971" i="13"/>
  <c r="B1783" i="13"/>
  <c r="B1072" i="13"/>
  <c r="B977" i="13"/>
  <c r="B697" i="13"/>
  <c r="B272" i="13"/>
  <c r="B9716" i="3"/>
  <c r="B9387" i="3"/>
  <c r="B9145" i="3"/>
  <c r="B8673" i="3"/>
  <c r="B8197" i="3"/>
  <c r="B8009" i="3"/>
  <c r="B7533" i="3"/>
  <c r="B7152" i="3"/>
  <c r="B6819" i="3"/>
  <c r="B6394" i="3"/>
  <c r="B5969" i="3"/>
  <c r="B5065" i="3"/>
  <c r="B5159" i="3"/>
  <c r="B4875" i="3"/>
  <c r="B4546" i="3"/>
  <c r="B4116" i="3"/>
  <c r="B3599" i="3"/>
  <c r="B3272" i="3"/>
  <c r="B2988" i="3"/>
  <c r="B2379" i="3"/>
  <c r="B1864" i="3"/>
  <c r="B1257" i="3"/>
  <c r="B972" i="3"/>
  <c r="B459" i="3"/>
  <c r="B133" i="3"/>
  <c r="B2632" i="13"/>
  <c r="B363" i="15"/>
  <c r="B223" i="15"/>
  <c r="B977" i="14"/>
  <c r="B604" i="14"/>
  <c r="B316" i="14"/>
  <c r="B2394" i="13"/>
  <c r="B2066" i="13"/>
  <c r="B1685" i="13"/>
  <c r="B1358" i="13"/>
  <c r="B554" i="13"/>
  <c r="B649" i="13"/>
  <c r="B176" i="13"/>
  <c r="B9907" i="3"/>
  <c r="B9242" i="3"/>
  <c r="B9196" i="3"/>
  <c r="B8626" i="3"/>
  <c r="B8287" i="3"/>
  <c r="B7868" i="3"/>
  <c r="B7484" i="3"/>
  <c r="B7058" i="3"/>
  <c r="B6680" i="3"/>
  <c r="B6343" i="3"/>
  <c r="B6016" i="3"/>
  <c r="B5730" i="3"/>
  <c r="B5305" i="3"/>
  <c r="B4780" i="3"/>
  <c r="B4255" i="3"/>
  <c r="B4072" i="3"/>
  <c r="B3834" i="3"/>
  <c r="B3035" i="3"/>
  <c r="B2521" i="3"/>
  <c r="B2332" i="3"/>
  <c r="B1817" i="3"/>
  <c r="B1397" i="3"/>
  <c r="B693" i="3"/>
  <c r="B409" i="3"/>
  <c r="B37" i="3"/>
  <c r="B604" i="15"/>
  <c r="B176" i="15"/>
  <c r="B1167" i="14"/>
  <c r="B697" i="14"/>
  <c r="B223" i="14"/>
  <c r="B2444" i="13"/>
  <c r="B2159" i="13"/>
  <c r="B1638" i="13"/>
  <c r="B1310" i="13"/>
  <c r="B884" i="13"/>
  <c r="B506" i="13"/>
  <c r="B83" i="13"/>
  <c r="B9810" i="3"/>
  <c r="B9431" i="3"/>
  <c r="B9000" i="3"/>
  <c r="B8578" i="3"/>
  <c r="B8148" i="3"/>
  <c r="B7723" i="3"/>
  <c r="B7394" i="3"/>
  <c r="B6585" i="3"/>
  <c r="B6729" i="3"/>
  <c r="B6294" i="3"/>
  <c r="B5210" i="3"/>
  <c r="B5584" i="3"/>
  <c r="B5256" i="3"/>
  <c r="B4826" i="3"/>
  <c r="B4350" i="3"/>
  <c r="B3976" i="3"/>
  <c r="B3645" i="3"/>
  <c r="B3177" i="3"/>
  <c r="B2803" i="3"/>
  <c r="B2193" i="3"/>
  <c r="B1722" i="3"/>
  <c r="B1207" i="3"/>
  <c r="B879" i="3"/>
  <c r="B316" i="3"/>
  <c r="B35" i="3"/>
  <c r="B928" i="3"/>
  <c r="B789" i="3"/>
  <c r="B2429" i="3"/>
  <c r="B1914" i="3"/>
  <c r="B1115" i="3"/>
  <c r="B1585" i="3"/>
  <c r="B1772" i="3"/>
  <c r="B2759" i="3"/>
  <c r="B2571" i="3"/>
  <c r="B3085" i="3"/>
  <c r="B1446" i="3"/>
  <c r="B2242" i="3"/>
  <c r="B2898" i="3"/>
  <c r="B431" i="10"/>
  <c r="J431" i="10" s="1"/>
  <c r="J415" i="10"/>
  <c r="B551" i="15"/>
  <c r="B458" i="15"/>
  <c r="B600" i="15"/>
  <c r="B550" i="15"/>
  <c r="B545" i="15"/>
  <c r="B638" i="15"/>
  <c r="B27" i="15"/>
  <c r="B455" i="15"/>
  <c r="B77" i="15"/>
  <c r="B29" i="15"/>
  <c r="B79" i="15"/>
  <c r="B122" i="15"/>
  <c r="B264" i="15"/>
  <c r="B452" i="15"/>
  <c r="B74" i="15"/>
  <c r="B266" i="15"/>
  <c r="B597" i="14"/>
  <c r="B1209" i="14"/>
  <c r="B1261" i="14"/>
  <c r="B1257" i="14"/>
  <c r="B923" i="14"/>
  <c r="B968" i="14"/>
  <c r="B310" i="14"/>
  <c r="B874" i="14"/>
  <c r="B965" i="14"/>
  <c r="B546" i="14"/>
  <c r="B596" i="14"/>
  <c r="B312" i="14"/>
  <c r="B262" i="14"/>
  <c r="B264" i="14"/>
  <c r="B220" i="14"/>
  <c r="B260" i="14"/>
  <c r="B2630" i="13"/>
  <c r="B2624" i="13"/>
  <c r="B2526" i="13"/>
  <c r="B2295" i="13"/>
  <c r="B2297" i="13"/>
  <c r="B2203" i="13"/>
  <c r="B1868" i="13"/>
  <c r="B1969" i="13"/>
  <c r="B1923" i="13"/>
  <c r="B1865" i="13"/>
  <c r="B1961" i="13"/>
  <c r="B1538" i="13"/>
  <c r="B1587" i="13"/>
  <c r="B1631" i="13"/>
  <c r="B1590" i="13"/>
  <c r="B1208" i="13"/>
  <c r="B1212" i="13"/>
  <c r="B923" i="13"/>
  <c r="B873" i="13"/>
  <c r="B552" i="13"/>
  <c r="B600" i="13"/>
  <c r="B638" i="13"/>
  <c r="B306" i="13"/>
  <c r="B305" i="13"/>
  <c r="B217" i="13"/>
  <c r="B9240" i="3"/>
  <c r="B312" i="15"/>
  <c r="B75" i="15"/>
  <c r="B169" i="15"/>
  <c r="B592" i="15"/>
  <c r="B546" i="15"/>
  <c r="B639" i="15"/>
  <c r="B126" i="15"/>
  <c r="B212" i="15"/>
  <c r="B495" i="15"/>
  <c r="B129" i="15"/>
  <c r="B130" i="15"/>
  <c r="B263" i="15"/>
  <c r="B399" i="15"/>
  <c r="B33" i="15"/>
  <c r="B217" i="15"/>
  <c r="B170" i="15"/>
  <c r="B1211" i="14"/>
  <c r="B1259" i="14"/>
  <c r="B1303" i="14"/>
  <c r="B1263" i="14"/>
  <c r="B1307" i="14"/>
  <c r="B26" i="15"/>
  <c r="B361" i="15"/>
  <c r="B123" i="15"/>
  <c r="B165" i="15"/>
  <c r="B457" i="15"/>
  <c r="B541" i="15"/>
  <c r="B552" i="15"/>
  <c r="B594" i="15"/>
  <c r="B262" i="15"/>
  <c r="B313" i="15"/>
  <c r="B306" i="15"/>
  <c r="B30" i="15"/>
  <c r="B459" i="15"/>
  <c r="B72" i="15"/>
  <c r="B216" i="15"/>
  <c r="B400" i="15"/>
  <c r="B25" i="15"/>
  <c r="B453" i="15"/>
  <c r="B304" i="15"/>
  <c r="B647" i="14"/>
  <c r="B1208" i="14"/>
  <c r="B1304" i="14"/>
  <c r="B1204" i="14"/>
  <c r="B973" i="14"/>
  <c r="B967" i="14"/>
  <c r="B969" i="14"/>
  <c r="B550" i="14"/>
  <c r="B640" i="14"/>
  <c r="B593" i="14"/>
  <c r="B543" i="14"/>
  <c r="B639" i="14"/>
  <c r="B216" i="14"/>
  <c r="B306" i="14"/>
  <c r="B308" i="14"/>
  <c r="B221" i="14"/>
  <c r="B2583" i="13"/>
  <c r="B2535" i="13"/>
  <c r="B2581" i="13"/>
  <c r="B2584" i="13"/>
  <c r="B2578" i="13"/>
  <c r="B2199" i="13"/>
  <c r="B2291" i="13"/>
  <c r="B2204" i="13"/>
  <c r="B2287" i="13"/>
  <c r="B1962" i="13"/>
  <c r="B1870" i="13"/>
  <c r="B1967" i="13"/>
  <c r="B1866" i="13"/>
  <c r="B1539" i="13"/>
  <c r="B1635" i="13"/>
  <c r="B1541" i="13"/>
  <c r="B1588" i="13"/>
  <c r="B1536" i="13"/>
  <c r="B1304" i="13"/>
  <c r="B1306" i="13"/>
  <c r="B967" i="13"/>
  <c r="B882" i="13"/>
  <c r="B965" i="13"/>
  <c r="B641" i="13"/>
  <c r="B601" i="13"/>
  <c r="B551" i="13"/>
  <c r="B502" i="15"/>
  <c r="B1302" i="14"/>
  <c r="B172" i="15"/>
  <c r="B404" i="15"/>
  <c r="B548" i="15"/>
  <c r="B261" i="15"/>
  <c r="B503" i="15"/>
  <c r="B221" i="15"/>
  <c r="B356" i="15"/>
  <c r="B32" i="15"/>
  <c r="B73" i="15"/>
  <c r="B34" i="15"/>
  <c r="B352" i="15"/>
  <c r="B1258" i="14"/>
  <c r="B1254" i="14"/>
  <c r="B1212" i="14"/>
  <c r="B269" i="14"/>
  <c r="B924" i="14"/>
  <c r="B882" i="14"/>
  <c r="B645" i="14"/>
  <c r="B545" i="14"/>
  <c r="B551" i="14"/>
  <c r="B215" i="14"/>
  <c r="B263" i="14"/>
  <c r="B212" i="14"/>
  <c r="B261" i="14"/>
  <c r="B1591" i="13"/>
  <c r="B2623" i="13"/>
  <c r="B2579" i="13"/>
  <c r="B2296" i="13"/>
  <c r="B1874" i="13"/>
  <c r="B597" i="13"/>
  <c r="B1586" i="13"/>
  <c r="B1592" i="13"/>
  <c r="B1308" i="13"/>
  <c r="B1626" i="13"/>
  <c r="B1259" i="13"/>
  <c r="B1254" i="13"/>
  <c r="B1256" i="13"/>
  <c r="B1300" i="13"/>
  <c r="B925" i="13"/>
  <c r="B929" i="13"/>
  <c r="B546" i="13"/>
  <c r="B221" i="13"/>
  <c r="B266" i="13"/>
  <c r="B213" i="13"/>
  <c r="B9903" i="3"/>
  <c r="B9905" i="3"/>
  <c r="B9858" i="3"/>
  <c r="B9807" i="3"/>
  <c r="B9473" i="3"/>
  <c r="B9524" i="3"/>
  <c r="B9561" i="3"/>
  <c r="B9563" i="3"/>
  <c r="B9468" i="3"/>
  <c r="B9190" i="3"/>
  <c r="B9137" i="3"/>
  <c r="B9139" i="3"/>
  <c r="B9194" i="3"/>
  <c r="B9188" i="3"/>
  <c r="B8804" i="3"/>
  <c r="B8859" i="3"/>
  <c r="B8896" i="3"/>
  <c r="B8803" i="3"/>
  <c r="B8473" i="3"/>
  <c r="B8529" i="3"/>
  <c r="B8574" i="3"/>
  <c r="B8239" i="3"/>
  <c r="B8137" i="3"/>
  <c r="B7861" i="3"/>
  <c r="B7908" i="3"/>
  <c r="B7810" i="3"/>
  <c r="B595" i="15"/>
  <c r="B543" i="15"/>
  <c r="B219" i="15"/>
  <c r="B640" i="15"/>
  <c r="B637" i="15"/>
  <c r="B220" i="15"/>
  <c r="B314" i="15"/>
  <c r="B407" i="15"/>
  <c r="B80" i="15"/>
  <c r="B350" i="15"/>
  <c r="B124" i="15"/>
  <c r="B493" i="15"/>
  <c r="B1213" i="14"/>
  <c r="B1206" i="14"/>
  <c r="B1262" i="14"/>
  <c r="B1299" i="14"/>
  <c r="B873" i="14"/>
  <c r="B971" i="14"/>
  <c r="B598" i="14"/>
  <c r="B601" i="14"/>
  <c r="B638" i="14"/>
  <c r="B304" i="14"/>
  <c r="B2198" i="13"/>
  <c r="B2621" i="13"/>
  <c r="B2200" i="13"/>
  <c r="B2246" i="13"/>
  <c r="B2195" i="13"/>
  <c r="B2197" i="13"/>
  <c r="B1964" i="13"/>
  <c r="B1873" i="13"/>
  <c r="B1537" i="13"/>
  <c r="B1627" i="13"/>
  <c r="B1213" i="13"/>
  <c r="B1303" i="13"/>
  <c r="B1301" i="13"/>
  <c r="B1262" i="13"/>
  <c r="B1204" i="13"/>
  <c r="B931" i="13"/>
  <c r="B968" i="13"/>
  <c r="B970" i="13"/>
  <c r="B922" i="13"/>
  <c r="B547" i="13"/>
  <c r="B594" i="13"/>
  <c r="B544" i="13"/>
  <c r="B215" i="13"/>
  <c r="B261" i="13"/>
  <c r="B9808" i="3"/>
  <c r="B9801" i="3"/>
  <c r="B9853" i="3"/>
  <c r="B9559" i="3"/>
  <c r="B9514" i="3"/>
  <c r="B9141" i="3"/>
  <c r="B9234" i="3"/>
  <c r="B9185" i="3"/>
  <c r="B9231" i="3"/>
  <c r="B8894" i="3"/>
  <c r="B8808" i="3"/>
  <c r="B8898" i="3"/>
  <c r="B8849" i="3"/>
  <c r="B8530" i="3"/>
  <c r="B8570" i="3"/>
  <c r="B8572" i="3"/>
  <c r="B7910" i="3"/>
  <c r="B8568" i="3"/>
  <c r="B8189" i="3"/>
  <c r="B8145" i="3"/>
  <c r="B8139" i="3"/>
  <c r="B647" i="15"/>
  <c r="B597" i="15"/>
  <c r="B645" i="15"/>
  <c r="B76" i="15"/>
  <c r="B268" i="15"/>
  <c r="B120" i="15"/>
  <c r="B450" i="15"/>
  <c r="B357" i="15"/>
  <c r="B359" i="15"/>
  <c r="B351" i="15"/>
  <c r="B211" i="15"/>
  <c r="B876" i="14"/>
  <c r="B1301" i="14"/>
  <c r="B1205" i="14"/>
  <c r="B877" i="14"/>
  <c r="B975" i="14"/>
  <c r="B881" i="14"/>
  <c r="B875" i="14"/>
  <c r="B641" i="14"/>
  <c r="B646" i="14"/>
  <c r="B217" i="14"/>
  <c r="B314" i="14"/>
  <c r="B309" i="14"/>
  <c r="B2625" i="13"/>
  <c r="B2577" i="13"/>
  <c r="B2629" i="13"/>
  <c r="B2249" i="13"/>
  <c r="B2243" i="13"/>
  <c r="B1867" i="13"/>
  <c r="B1915" i="13"/>
  <c r="B1918" i="13"/>
  <c r="B1585" i="13"/>
  <c r="B1535" i="13"/>
  <c r="B1257" i="13"/>
  <c r="B927" i="13"/>
  <c r="B966" i="13"/>
  <c r="B880" i="13"/>
  <c r="B602" i="13"/>
  <c r="B214" i="13"/>
  <c r="B264" i="13"/>
  <c r="B309" i="13"/>
  <c r="B304" i="13"/>
  <c r="B9854" i="3"/>
  <c r="B9899" i="3"/>
  <c r="B9855" i="3"/>
  <c r="B9896" i="3"/>
  <c r="B9470" i="3"/>
  <c r="B9567" i="3"/>
  <c r="B9189" i="3"/>
  <c r="B9522" i="3"/>
  <c r="B9193" i="3"/>
  <c r="B9187" i="3"/>
  <c r="B9239" i="3"/>
  <c r="B8806" i="3"/>
  <c r="B402" i="15"/>
  <c r="B166" i="15"/>
  <c r="B547" i="15"/>
  <c r="B164" i="15"/>
  <c r="B305" i="15"/>
  <c r="B496" i="15"/>
  <c r="B497" i="15"/>
  <c r="B408" i="15"/>
  <c r="B409" i="15"/>
  <c r="B360" i="15"/>
  <c r="B925" i="14"/>
  <c r="B1207" i="14"/>
  <c r="B927" i="14"/>
  <c r="B921" i="14"/>
  <c r="B307" i="14"/>
  <c r="B2252" i="13"/>
  <c r="B2585" i="13"/>
  <c r="B2527" i="13"/>
  <c r="B2289" i="13"/>
  <c r="B2251" i="13"/>
  <c r="B1963" i="13"/>
  <c r="B1965" i="13"/>
  <c r="B1960" i="13"/>
  <c r="B1630" i="13"/>
  <c r="B1543" i="13"/>
  <c r="B1299" i="13"/>
  <c r="B876" i="13"/>
  <c r="B974" i="13"/>
  <c r="B874" i="13"/>
  <c r="B642" i="13"/>
  <c r="B550" i="13"/>
  <c r="B639" i="13"/>
  <c r="B262" i="13"/>
  <c r="B307" i="13"/>
  <c r="B9469" i="3"/>
  <c r="B9898" i="3"/>
  <c r="B9851" i="3"/>
  <c r="B9904" i="3"/>
  <c r="B9471" i="3"/>
  <c r="B9517" i="3"/>
  <c r="B9562" i="3"/>
  <c r="B9515" i="3"/>
  <c r="B8858" i="3"/>
  <c r="B9138" i="3"/>
  <c r="B9236" i="3"/>
  <c r="B8191" i="3"/>
  <c r="B8526" i="3"/>
  <c r="B174" i="15"/>
  <c r="B355" i="15"/>
  <c r="B598" i="15"/>
  <c r="B641" i="15"/>
  <c r="B602" i="15"/>
  <c r="B173" i="15"/>
  <c r="B28" i="15"/>
  <c r="B214" i="15"/>
  <c r="B451" i="15"/>
  <c r="B499" i="15"/>
  <c r="B401" i="15"/>
  <c r="B1255" i="14"/>
  <c r="B1300" i="14"/>
  <c r="B880" i="14"/>
  <c r="B929" i="14"/>
  <c r="B600" i="14"/>
  <c r="B594" i="14"/>
  <c r="B544" i="14"/>
  <c r="B219" i="14"/>
  <c r="B1919" i="13"/>
  <c r="B2290" i="13"/>
  <c r="B2292" i="13"/>
  <c r="B2244" i="13"/>
  <c r="B1968" i="13"/>
  <c r="B1628" i="13"/>
  <c r="B1258" i="13"/>
  <c r="B1632" i="13"/>
  <c r="B1207" i="13"/>
  <c r="B1255" i="13"/>
  <c r="B1307" i="13"/>
  <c r="B924" i="13"/>
  <c r="B926" i="13"/>
  <c r="B971" i="13"/>
  <c r="B598" i="13"/>
  <c r="B595" i="13"/>
  <c r="B270" i="13"/>
  <c r="B265" i="13"/>
  <c r="B310" i="13"/>
  <c r="B9566" i="3"/>
  <c r="B9523" i="3"/>
  <c r="B9857" i="3"/>
  <c r="B9859" i="3"/>
  <c r="B9800" i="3"/>
  <c r="B9466" i="3"/>
  <c r="B9467" i="3"/>
  <c r="B9558" i="3"/>
  <c r="B9136" i="3"/>
  <c r="B8899" i="3"/>
  <c r="B8237" i="3"/>
  <c r="B9135" i="3"/>
  <c r="B405" i="15"/>
  <c r="B167" i="15"/>
  <c r="B601" i="15"/>
  <c r="B642" i="15"/>
  <c r="B646" i="15"/>
  <c r="B353" i="15"/>
  <c r="B307" i="15"/>
  <c r="B215" i="15"/>
  <c r="B498" i="15"/>
  <c r="B265" i="15"/>
  <c r="B500" i="15"/>
  <c r="B930" i="14"/>
  <c r="B931" i="14"/>
  <c r="B970" i="14"/>
  <c r="B922" i="14"/>
  <c r="B547" i="14"/>
  <c r="B602" i="14"/>
  <c r="B611" i="14" s="1"/>
  <c r="L611" i="14" s="1"/>
  <c r="M611" i="14" s="1"/>
  <c r="B270" i="14"/>
  <c r="B213" i="14"/>
  <c r="B2580" i="13"/>
  <c r="B2529" i="13"/>
  <c r="B2531" i="13"/>
  <c r="B2533" i="13"/>
  <c r="B2622" i="13"/>
  <c r="B2245" i="13"/>
  <c r="B2202" i="13"/>
  <c r="B1916" i="13"/>
  <c r="B1636" i="13"/>
  <c r="B1534" i="13"/>
  <c r="B1582" i="13"/>
  <c r="B312" i="13"/>
  <c r="B1263" i="13"/>
  <c r="B647" i="13"/>
  <c r="B877" i="13"/>
  <c r="B645" i="13"/>
  <c r="B545" i="13"/>
  <c r="B548" i="13"/>
  <c r="B543" i="13"/>
  <c r="B314" i="13"/>
  <c r="B313" i="13"/>
  <c r="B308" i="13"/>
  <c r="B212" i="13"/>
  <c r="B9802" i="3"/>
  <c r="B9803" i="3"/>
  <c r="B81" i="15"/>
  <c r="B270" i="15"/>
  <c r="B548" i="14"/>
  <c r="B2288" i="13"/>
  <c r="B2293" i="13"/>
  <c r="B1869" i="13"/>
  <c r="B1634" i="13"/>
  <c r="B1629" i="13"/>
  <c r="B1583" i="13"/>
  <c r="B921" i="13"/>
  <c r="B643" i="13"/>
  <c r="B9901" i="3"/>
  <c r="B9897" i="3"/>
  <c r="B9560" i="3"/>
  <c r="B8851" i="3"/>
  <c r="B8854" i="3"/>
  <c r="B8571" i="3"/>
  <c r="B8569" i="3"/>
  <c r="B8235" i="3"/>
  <c r="B8567" i="3"/>
  <c r="B8188" i="3"/>
  <c r="B7813" i="3"/>
  <c r="B7864" i="3"/>
  <c r="B7808" i="3"/>
  <c r="B7857" i="3"/>
  <c r="B7859" i="3"/>
  <c r="B7807" i="3"/>
  <c r="B7477" i="3"/>
  <c r="B7474" i="3"/>
  <c r="B7565" i="3"/>
  <c r="B7144" i="3"/>
  <c r="B7193" i="3"/>
  <c r="B7246" i="3"/>
  <c r="B6813" i="3"/>
  <c r="B6909" i="3"/>
  <c r="B6244" i="3"/>
  <c r="B6816" i="3"/>
  <c r="B6810" i="3"/>
  <c r="B6579" i="3"/>
  <c r="B6201" i="3"/>
  <c r="B6536" i="3"/>
  <c r="B6530" i="3"/>
  <c r="B6478" i="3"/>
  <c r="B6195" i="3"/>
  <c r="B6197" i="3"/>
  <c r="B6193" i="3"/>
  <c r="B5815" i="3"/>
  <c r="B5873" i="3"/>
  <c r="B5821" i="3"/>
  <c r="B5911" i="3"/>
  <c r="B5487" i="3"/>
  <c r="B5582" i="3"/>
  <c r="B5534" i="3"/>
  <c r="B5489" i="3"/>
  <c r="B5529" i="3"/>
  <c r="B5151" i="3"/>
  <c r="B5199" i="3"/>
  <c r="B5155" i="3"/>
  <c r="B5245" i="3"/>
  <c r="B4873" i="3"/>
  <c r="B4910" i="3"/>
  <c r="B4817" i="3"/>
  <c r="B4540" i="3"/>
  <c r="B4492" i="3"/>
  <c r="B4582" i="3"/>
  <c r="B4247" i="3"/>
  <c r="B4249" i="3"/>
  <c r="B3827" i="3"/>
  <c r="B3831" i="3"/>
  <c r="B3502" i="3"/>
  <c r="B3553" i="3"/>
  <c r="B3590" i="3"/>
  <c r="B3551" i="3"/>
  <c r="B3221" i="3"/>
  <c r="B3170" i="3"/>
  <c r="B593" i="15"/>
  <c r="B1308" i="14"/>
  <c r="B552" i="14"/>
  <c r="B2576" i="13"/>
  <c r="B2247" i="13"/>
  <c r="B1922" i="13"/>
  <c r="B973" i="13"/>
  <c r="B220" i="13"/>
  <c r="B9850" i="3"/>
  <c r="B9519" i="3"/>
  <c r="B9568" i="3"/>
  <c r="B9233" i="3"/>
  <c r="B9232" i="3"/>
  <c r="B8902" i="3"/>
  <c r="B8802" i="3"/>
  <c r="B8525" i="3"/>
  <c r="B8575" i="3"/>
  <c r="B8141" i="3"/>
  <c r="B8231" i="3"/>
  <c r="B8234" i="3"/>
  <c r="B8186" i="3"/>
  <c r="B7862" i="3"/>
  <c r="B7865" i="3"/>
  <c r="B7806" i="3"/>
  <c r="B7567" i="3"/>
  <c r="B7569" i="3"/>
  <c r="B7482" i="3"/>
  <c r="B7241" i="3"/>
  <c r="B7143" i="3"/>
  <c r="B7146" i="3"/>
  <c r="B7201" i="3"/>
  <c r="B6583" i="3"/>
  <c r="B6859" i="3"/>
  <c r="B6815" i="3"/>
  <c r="B6856" i="3"/>
  <c r="B6535" i="3"/>
  <c r="B6533" i="3"/>
  <c r="B6242" i="3"/>
  <c r="B6581" i="3"/>
  <c r="B6148" i="3"/>
  <c r="B6145" i="3"/>
  <c r="B6236" i="3"/>
  <c r="B5912" i="3"/>
  <c r="B5914" i="3"/>
  <c r="B5867" i="3"/>
  <c r="B5530" i="3"/>
  <c r="B5578" i="3"/>
  <c r="B5572" i="3"/>
  <c r="B5152" i="3"/>
  <c r="B5207" i="3"/>
  <c r="B5201" i="3"/>
  <c r="B5253" i="3"/>
  <c r="B4820" i="3"/>
  <c r="B4908" i="3"/>
  <c r="B4822" i="3"/>
  <c r="B4912" i="3"/>
  <c r="B4863" i="3"/>
  <c r="B4584" i="3"/>
  <c r="B4538" i="3"/>
  <c r="B4248" i="3"/>
  <c r="B4151" i="3"/>
  <c r="B4153" i="3"/>
  <c r="B3828" i="3"/>
  <c r="B3922" i="3"/>
  <c r="B3874" i="3"/>
  <c r="B3876" i="3"/>
  <c r="B3877" i="3"/>
  <c r="B3588" i="3"/>
  <c r="B2841" i="3"/>
  <c r="B454" i="15"/>
  <c r="B596" i="15"/>
  <c r="B308" i="15"/>
  <c r="B1256" i="14"/>
  <c r="B966" i="14"/>
  <c r="B2626" i="13"/>
  <c r="B1209" i="13"/>
  <c r="B596" i="13"/>
  <c r="B216" i="13"/>
  <c r="B268" i="13"/>
  <c r="B9518" i="3"/>
  <c r="B9475" i="3"/>
  <c r="B6532" i="3"/>
  <c r="B8855" i="3"/>
  <c r="B8852" i="3"/>
  <c r="B8897" i="3"/>
  <c r="B8810" i="3"/>
  <c r="B8471" i="3"/>
  <c r="B8232" i="3"/>
  <c r="B8229" i="3"/>
  <c r="B7809" i="3"/>
  <c r="B7905" i="3"/>
  <c r="B7571" i="3"/>
  <c r="B7814" i="3"/>
  <c r="B7904" i="3"/>
  <c r="B7575" i="3"/>
  <c r="B7473" i="3"/>
  <c r="B7150" i="3"/>
  <c r="B7247" i="3"/>
  <c r="B7240" i="3"/>
  <c r="B7192" i="3"/>
  <c r="B7142" i="3"/>
  <c r="B6812" i="3"/>
  <c r="B6905" i="3"/>
  <c r="B6864" i="3"/>
  <c r="B6576" i="3"/>
  <c r="B5580" i="3"/>
  <c r="B6575" i="3"/>
  <c r="B6238" i="3"/>
  <c r="B6240" i="3"/>
  <c r="B6153" i="3"/>
  <c r="B5816" i="3"/>
  <c r="B4869" i="3"/>
  <c r="B5910" i="3"/>
  <c r="B5533" i="3"/>
  <c r="B5575" i="3"/>
  <c r="B5577" i="3"/>
  <c r="B4818" i="3"/>
  <c r="B5150" i="3"/>
  <c r="B5250" i="3"/>
  <c r="B5252" i="3"/>
  <c r="B4539" i="3"/>
  <c r="B3878" i="3"/>
  <c r="B4916" i="3"/>
  <c r="B4871" i="3"/>
  <c r="B4536" i="3"/>
  <c r="B4581" i="3"/>
  <c r="B4253" i="3"/>
  <c r="B4201" i="3"/>
  <c r="B4203" i="3"/>
  <c r="B4159" i="3"/>
  <c r="B4199" i="3"/>
  <c r="B3220" i="3"/>
  <c r="B3873" i="3"/>
  <c r="B3882" i="3"/>
  <c r="B3918" i="3"/>
  <c r="B3499" i="3"/>
  <c r="B354" i="15"/>
  <c r="B403" i="15"/>
  <c r="B1306" i="14"/>
  <c r="B974" i="14"/>
  <c r="B642" i="14"/>
  <c r="B595" i="14"/>
  <c r="B305" i="14"/>
  <c r="B2530" i="13"/>
  <c r="B2248" i="13"/>
  <c r="B930" i="13"/>
  <c r="B878" i="13"/>
  <c r="B969" i="13"/>
  <c r="B640" i="13"/>
  <c r="B646" i="13"/>
  <c r="B9804" i="3"/>
  <c r="B9564" i="3"/>
  <c r="B8140" i="3"/>
  <c r="B9186" i="3"/>
  <c r="B8801" i="3"/>
  <c r="B8474" i="3"/>
  <c r="B8477" i="3"/>
  <c r="B8144" i="3"/>
  <c r="B7907" i="3"/>
  <c r="B7811" i="3"/>
  <c r="B7860" i="3"/>
  <c r="B7573" i="3"/>
  <c r="B7523" i="3"/>
  <c r="B7525" i="3"/>
  <c r="B7481" i="3"/>
  <c r="B7245" i="3"/>
  <c r="B7200" i="3"/>
  <c r="B7194" i="3"/>
  <c r="B6902" i="3"/>
  <c r="B6861" i="3"/>
  <c r="B6578" i="3"/>
  <c r="B6479" i="3"/>
  <c r="B6477" i="3"/>
  <c r="B6198" i="3"/>
  <c r="B6246" i="3"/>
  <c r="B6144" i="3"/>
  <c r="B5483" i="3"/>
  <c r="B5919" i="3"/>
  <c r="B5913" i="3"/>
  <c r="B5864" i="3"/>
  <c r="B5820" i="3"/>
  <c r="B5918" i="3"/>
  <c r="B5538" i="3"/>
  <c r="B5573" i="3"/>
  <c r="B5482" i="3"/>
  <c r="B5249" i="3"/>
  <c r="B4251" i="3"/>
  <c r="B5149" i="3"/>
  <c r="B4866" i="3"/>
  <c r="B4868" i="3"/>
  <c r="B4864" i="3"/>
  <c r="B4542" i="3"/>
  <c r="B4544" i="3"/>
  <c r="B4589" i="3"/>
  <c r="B4207" i="3"/>
  <c r="B4209" i="3"/>
  <c r="B4246" i="3"/>
  <c r="B4200" i="3"/>
  <c r="B3826" i="3"/>
  <c r="B3881" i="3"/>
  <c r="B3926" i="3"/>
  <c r="B3919" i="3"/>
  <c r="B544" i="15"/>
  <c r="B504" i="15"/>
  <c r="B309" i="15"/>
  <c r="B643" i="14"/>
  <c r="B313" i="14"/>
  <c r="B214" i="14"/>
  <c r="B2528" i="13"/>
  <c r="B1920" i="13"/>
  <c r="B1924" i="13"/>
  <c r="B1542" i="13"/>
  <c r="B1206" i="13"/>
  <c r="B881" i="13"/>
  <c r="B6865" i="3"/>
  <c r="B9806" i="3"/>
  <c r="B9143" i="3"/>
  <c r="B8895" i="3"/>
  <c r="B8809" i="3"/>
  <c r="B8857" i="3"/>
  <c r="B8522" i="3"/>
  <c r="B8523" i="3"/>
  <c r="B8194" i="3"/>
  <c r="B8187" i="3"/>
  <c r="B8138" i="3"/>
  <c r="B7912" i="3"/>
  <c r="B7815" i="3"/>
  <c r="B7903" i="3"/>
  <c r="B7527" i="3"/>
  <c r="B7531" i="3"/>
  <c r="B7568" i="3"/>
  <c r="B7475" i="3"/>
  <c r="B7197" i="3"/>
  <c r="B7145" i="3"/>
  <c r="B7243" i="3"/>
  <c r="B7141" i="3"/>
  <c r="B7239" i="3"/>
  <c r="B6910" i="3"/>
  <c r="B6857" i="3"/>
  <c r="B6529" i="3"/>
  <c r="B6485" i="3"/>
  <c r="B6194" i="3"/>
  <c r="B6196" i="3"/>
  <c r="B6152" i="3"/>
  <c r="B5915" i="3"/>
  <c r="B5872" i="3"/>
  <c r="B5866" i="3"/>
  <c r="B5157" i="3"/>
  <c r="B5581" i="3"/>
  <c r="B4486" i="3"/>
  <c r="B5528" i="3"/>
  <c r="B5247" i="3"/>
  <c r="B4590" i="3"/>
  <c r="B4819" i="3"/>
  <c r="B4909" i="3"/>
  <c r="B4816" i="3"/>
  <c r="B4907" i="3"/>
  <c r="B4487" i="3"/>
  <c r="B2895" i="3"/>
  <c r="B4205" i="3"/>
  <c r="B4244" i="3"/>
  <c r="B4158" i="3"/>
  <c r="B4243" i="3"/>
  <c r="B3921" i="3"/>
  <c r="B3923" i="3"/>
  <c r="B3830" i="3"/>
  <c r="B3270" i="3"/>
  <c r="B643" i="15"/>
  <c r="B213" i="15"/>
  <c r="B310" i="15"/>
  <c r="B268" i="14"/>
  <c r="B1917" i="13"/>
  <c r="B263" i="13"/>
  <c r="B8901" i="3"/>
  <c r="B9852" i="3"/>
  <c r="B9474" i="3"/>
  <c r="B9238" i="3"/>
  <c r="B8576" i="3"/>
  <c r="B8805" i="3"/>
  <c r="B8903" i="3"/>
  <c r="B8475" i="3"/>
  <c r="B8470" i="3"/>
  <c r="B8195" i="3"/>
  <c r="B8190" i="3"/>
  <c r="B8146" i="3"/>
  <c r="B6147" i="3"/>
  <c r="B7858" i="3"/>
  <c r="B7911" i="3"/>
  <c r="B7566" i="3"/>
  <c r="B7480" i="3"/>
  <c r="B7570" i="3"/>
  <c r="B7521" i="3"/>
  <c r="B7199" i="3"/>
  <c r="B6906" i="3"/>
  <c r="B7149" i="3"/>
  <c r="B6862" i="3"/>
  <c r="B6858" i="3"/>
  <c r="B6860" i="3"/>
  <c r="B6904" i="3"/>
  <c r="B6809" i="3"/>
  <c r="B6900" i="3"/>
  <c r="B6480" i="3"/>
  <c r="B6537" i="3"/>
  <c r="B6531" i="3"/>
  <c r="B6149" i="3"/>
  <c r="B6202" i="3"/>
  <c r="B6239" i="3"/>
  <c r="B6146" i="3"/>
  <c r="B5868" i="3"/>
  <c r="B5817" i="3"/>
  <c r="B5917" i="3"/>
  <c r="B5537" i="3"/>
  <c r="B5531" i="3"/>
  <c r="B5576" i="3"/>
  <c r="B5536" i="3"/>
  <c r="B5200" i="3"/>
  <c r="B5148" i="3"/>
  <c r="B5246" i="3"/>
  <c r="B4917" i="3"/>
  <c r="B4911" i="3"/>
  <c r="B4824" i="3"/>
  <c r="B4585" i="3"/>
  <c r="B4488" i="3"/>
  <c r="B3595" i="3"/>
  <c r="B4245" i="3"/>
  <c r="B4208" i="3"/>
  <c r="B4154" i="3"/>
  <c r="B4252" i="3"/>
  <c r="B125" i="15"/>
  <c r="B121" i="15"/>
  <c r="B2196" i="13"/>
  <c r="B1584" i="13"/>
  <c r="B9520" i="3"/>
  <c r="B9142" i="3"/>
  <c r="B8893" i="3"/>
  <c r="B8238" i="3"/>
  <c r="B8193" i="3"/>
  <c r="B6486" i="3"/>
  <c r="B7574" i="3"/>
  <c r="B6481" i="3"/>
  <c r="B5254" i="3"/>
  <c r="B5574" i="3"/>
  <c r="B5203" i="3"/>
  <c r="B5208" i="3"/>
  <c r="B4815" i="3"/>
  <c r="B4588" i="3"/>
  <c r="B4485" i="3"/>
  <c r="B4152" i="3"/>
  <c r="B3823" i="3"/>
  <c r="B3552" i="3"/>
  <c r="B3596" i="3"/>
  <c r="B3504" i="3"/>
  <c r="B3268" i="3"/>
  <c r="B3264" i="3"/>
  <c r="B3224" i="3"/>
  <c r="B3218" i="3"/>
  <c r="B3167" i="3"/>
  <c r="B2932" i="3"/>
  <c r="B2934" i="3"/>
  <c r="B2847" i="3"/>
  <c r="B2930" i="3"/>
  <c r="B2239" i="3"/>
  <c r="B2609" i="3"/>
  <c r="B2569" i="3"/>
  <c r="B2605" i="3"/>
  <c r="B2232" i="3"/>
  <c r="B2234" i="3"/>
  <c r="B2182" i="3"/>
  <c r="B1907" i="3"/>
  <c r="B2231" i="3"/>
  <c r="B1855" i="3"/>
  <c r="B1910" i="3"/>
  <c r="B1956" i="3"/>
  <c r="B1529" i="3"/>
  <c r="B1626" i="3"/>
  <c r="B548" i="3"/>
  <c r="B1581" i="3"/>
  <c r="B1293" i="3"/>
  <c r="B1204" i="3"/>
  <c r="B921" i="3"/>
  <c r="B918" i="3"/>
  <c r="B920" i="3"/>
  <c r="B916" i="3"/>
  <c r="B636" i="3"/>
  <c r="B551" i="3"/>
  <c r="B453" i="3"/>
  <c r="B312" i="3"/>
  <c r="B307" i="3"/>
  <c r="B215" i="3"/>
  <c r="B127" i="3"/>
  <c r="B3225" i="3"/>
  <c r="B1911" i="3"/>
  <c r="B1527" i="3"/>
  <c r="B962" i="3"/>
  <c r="B224" i="3"/>
  <c r="B878" i="14"/>
  <c r="B265" i="14"/>
  <c r="B1211" i="13"/>
  <c r="B975" i="13"/>
  <c r="B269" i="13"/>
  <c r="B6908" i="3"/>
  <c r="B7524" i="3"/>
  <c r="B7529" i="3"/>
  <c r="B7242" i="3"/>
  <c r="B6811" i="3"/>
  <c r="B6903" i="3"/>
  <c r="B6482" i="3"/>
  <c r="B4823" i="3"/>
  <c r="B4535" i="3"/>
  <c r="B4160" i="3"/>
  <c r="B3173" i="3"/>
  <c r="B3549" i="3"/>
  <c r="B3546" i="3"/>
  <c r="B3495" i="3"/>
  <c r="B3593" i="3"/>
  <c r="B3223" i="3"/>
  <c r="B3266" i="3"/>
  <c r="B3166" i="3"/>
  <c r="B2940" i="3"/>
  <c r="B2838" i="3"/>
  <c r="B2936" i="3"/>
  <c r="B2512" i="3"/>
  <c r="B2613" i="3"/>
  <c r="B2187" i="3"/>
  <c r="B2240" i="3"/>
  <c r="B2277" i="3"/>
  <c r="B2190" i="3"/>
  <c r="B1955" i="3"/>
  <c r="B2274" i="3"/>
  <c r="B1950" i="3"/>
  <c r="B1904" i="3"/>
  <c r="B1300" i="3"/>
  <c r="B1530" i="3"/>
  <c r="B1576" i="3"/>
  <c r="B968" i="3"/>
  <c r="B1296" i="3"/>
  <c r="B871" i="3"/>
  <c r="B1205" i="3"/>
  <c r="B1247" i="3"/>
  <c r="B1249" i="3"/>
  <c r="B875" i="3"/>
  <c r="B926" i="3"/>
  <c r="B963" i="3"/>
  <c r="B965" i="3"/>
  <c r="B924" i="3"/>
  <c r="B639" i="3"/>
  <c r="B451" i="3"/>
  <c r="B308" i="3"/>
  <c r="B217" i="3"/>
  <c r="B223" i="3"/>
  <c r="B129" i="3"/>
  <c r="B2183" i="3"/>
  <c r="B1583" i="3"/>
  <c r="B1298" i="3"/>
  <c r="B635" i="3"/>
  <c r="B124" i="3"/>
  <c r="B2628" i="13"/>
  <c r="B2253" i="13"/>
  <c r="B1205" i="13"/>
  <c r="B219" i="13"/>
  <c r="B9235" i="3"/>
  <c r="B8521" i="3"/>
  <c r="B8142" i="3"/>
  <c r="B7906" i="3"/>
  <c r="B7522" i="3"/>
  <c r="B5869" i="3"/>
  <c r="B6817" i="3"/>
  <c r="B6484" i="3"/>
  <c r="B5484" i="3"/>
  <c r="B5481" i="3"/>
  <c r="B5156" i="3"/>
  <c r="B4543" i="3"/>
  <c r="B3920" i="3"/>
  <c r="B3591" i="3"/>
  <c r="B3824" i="3"/>
  <c r="B3503" i="3"/>
  <c r="B2515" i="3"/>
  <c r="B2935" i="3"/>
  <c r="B3174" i="3"/>
  <c r="B3262" i="3"/>
  <c r="B2888" i="3"/>
  <c r="B2890" i="3"/>
  <c r="B2846" i="3"/>
  <c r="B2610" i="3"/>
  <c r="B2565" i="3"/>
  <c r="B2607" i="3"/>
  <c r="B2560" i="3"/>
  <c r="B2517" i="3"/>
  <c r="B1250" i="3"/>
  <c r="B1528" i="3"/>
  <c r="B2275" i="3"/>
  <c r="B1582" i="3"/>
  <c r="B2184" i="3"/>
  <c r="B1856" i="3"/>
  <c r="B1952" i="3"/>
  <c r="B1912" i="3"/>
  <c r="B1854" i="3"/>
  <c r="B1525" i="3"/>
  <c r="B1294" i="3"/>
  <c r="B1255" i="3"/>
  <c r="B1291" i="3"/>
  <c r="B961" i="3"/>
  <c r="B917" i="3"/>
  <c r="B448" i="3"/>
  <c r="B452" i="3"/>
  <c r="B218" i="3"/>
  <c r="B216" i="3"/>
  <c r="B122" i="3"/>
  <c r="B9799" i="3"/>
  <c r="B6866" i="3"/>
  <c r="B6528" i="3"/>
  <c r="B5813" i="3"/>
  <c r="B4156" i="3"/>
  <c r="B3544" i="3"/>
  <c r="B2282" i="3"/>
  <c r="B2185" i="3"/>
  <c r="B2276" i="3"/>
  <c r="B1906" i="3"/>
  <c r="B1254" i="3"/>
  <c r="B637" i="3"/>
  <c r="B222" i="3"/>
  <c r="B266" i="14"/>
  <c r="B2534" i="13"/>
  <c r="B7476" i="3"/>
  <c r="B8233" i="3"/>
  <c r="B7148" i="3"/>
  <c r="B5532" i="3"/>
  <c r="B6574" i="3"/>
  <c r="B6241" i="3"/>
  <c r="B5822" i="3"/>
  <c r="B5865" i="3"/>
  <c r="B5485" i="3"/>
  <c r="B3498" i="3"/>
  <c r="B5202" i="3"/>
  <c r="B4865" i="3"/>
  <c r="B4489" i="3"/>
  <c r="B4155" i="3"/>
  <c r="B4204" i="3"/>
  <c r="B3832" i="3"/>
  <c r="B3500" i="3"/>
  <c r="B3589" i="3"/>
  <c r="B3497" i="3"/>
  <c r="B3175" i="3"/>
  <c r="B3219" i="3"/>
  <c r="B2892" i="3"/>
  <c r="B2896" i="3"/>
  <c r="B2933" i="3"/>
  <c r="B2840" i="3"/>
  <c r="B2567" i="3"/>
  <c r="B2513" i="3"/>
  <c r="B2568" i="3"/>
  <c r="B2562" i="3"/>
  <c r="B1957" i="3"/>
  <c r="B2283" i="3"/>
  <c r="B2189" i="3"/>
  <c r="B2279" i="3"/>
  <c r="B2230" i="3"/>
  <c r="B1951" i="3"/>
  <c r="B1905" i="3"/>
  <c r="B1619" i="3"/>
  <c r="B1533" i="3"/>
  <c r="B1526" i="3"/>
  <c r="B1574" i="3"/>
  <c r="B1199" i="3"/>
  <c r="B1299" i="3"/>
  <c r="B872" i="3"/>
  <c r="B969" i="3"/>
  <c r="B960" i="3"/>
  <c r="B640" i="3"/>
  <c r="B547" i="3"/>
  <c r="B544" i="3"/>
  <c r="B456" i="3"/>
  <c r="B305" i="3"/>
  <c r="B309" i="3"/>
  <c r="B130" i="3"/>
  <c r="B1261" i="13"/>
  <c r="B8478" i="3"/>
  <c r="B7866" i="3"/>
  <c r="B6808" i="3"/>
  <c r="B5871" i="3"/>
  <c r="B4583" i="3"/>
  <c r="B3927" i="3"/>
  <c r="B3171" i="3"/>
  <c r="B2891" i="3"/>
  <c r="B2518" i="3"/>
  <c r="B1532" i="3"/>
  <c r="B1198" i="3"/>
  <c r="B966" i="3"/>
  <c r="B306" i="3"/>
  <c r="B269" i="15"/>
  <c r="B9900" i="3"/>
  <c r="B9516" i="3"/>
  <c r="B9192" i="3"/>
  <c r="B8528" i="3"/>
  <c r="B8479" i="3"/>
  <c r="B7478" i="3"/>
  <c r="B7526" i="3"/>
  <c r="B6582" i="3"/>
  <c r="B6237" i="3"/>
  <c r="B5480" i="3"/>
  <c r="B5248" i="3"/>
  <c r="B4493" i="3"/>
  <c r="B3825" i="3"/>
  <c r="B3597" i="3"/>
  <c r="B3592" i="3"/>
  <c r="B3543" i="3"/>
  <c r="B3265" i="3"/>
  <c r="B3261" i="3"/>
  <c r="B2931" i="3"/>
  <c r="B2845" i="3"/>
  <c r="B2886" i="3"/>
  <c r="B2608" i="3"/>
  <c r="B2280" i="3"/>
  <c r="B2612" i="3"/>
  <c r="B2511" i="3"/>
  <c r="B2233" i="3"/>
  <c r="B2238" i="3"/>
  <c r="B1908" i="3"/>
  <c r="B1625" i="3"/>
  <c r="B1858" i="3"/>
  <c r="B1853" i="3"/>
  <c r="B1949" i="3"/>
  <c r="B1627" i="3"/>
  <c r="B1579" i="3"/>
  <c r="B1534" i="3"/>
  <c r="B1617" i="3"/>
  <c r="B1200" i="3"/>
  <c r="B1203" i="3"/>
  <c r="B546" i="3"/>
  <c r="B873" i="3"/>
  <c r="B919" i="3"/>
  <c r="B964" i="3"/>
  <c r="B869" i="3"/>
  <c r="B552" i="3"/>
  <c r="B313" i="3"/>
  <c r="B125" i="3"/>
  <c r="B123" i="3"/>
  <c r="B1302" i="13"/>
  <c r="B7530" i="3"/>
  <c r="B7195" i="3"/>
  <c r="B6192" i="3"/>
  <c r="B4872" i="3"/>
  <c r="B3875" i="3"/>
  <c r="B3263" i="3"/>
  <c r="B2889" i="3"/>
  <c r="B2606" i="3"/>
  <c r="B1857" i="3"/>
  <c r="B1620" i="3"/>
  <c r="B876" i="3"/>
  <c r="B457" i="3"/>
  <c r="B303" i="15"/>
  <c r="B593" i="13"/>
  <c r="B8472" i="3"/>
  <c r="B7196" i="3"/>
  <c r="B5818" i="3"/>
  <c r="B6577" i="3"/>
  <c r="B6245" i="3"/>
  <c r="B5206" i="3"/>
  <c r="B5488" i="3"/>
  <c r="B5153" i="3"/>
  <c r="B4913" i="3"/>
  <c r="B4867" i="3"/>
  <c r="B4491" i="3"/>
  <c r="B3547" i="3"/>
  <c r="B3168" i="3"/>
  <c r="B3217" i="3"/>
  <c r="B3269" i="3"/>
  <c r="B2843" i="3"/>
  <c r="B2939" i="3"/>
  <c r="B2564" i="3"/>
  <c r="B2894" i="3"/>
  <c r="B2519" i="3"/>
  <c r="B2510" i="3"/>
  <c r="B2186" i="3"/>
  <c r="B2235" i="3"/>
  <c r="B1201" i="3"/>
  <c r="B1903" i="3"/>
  <c r="B1861" i="3"/>
  <c r="B1578" i="3"/>
  <c r="B1575" i="3"/>
  <c r="B1577" i="3"/>
  <c r="B1623" i="3"/>
  <c r="B1295" i="3"/>
  <c r="B925" i="3"/>
  <c r="B1246" i="3"/>
  <c r="B1248" i="3"/>
  <c r="B1197" i="3"/>
  <c r="B868" i="3"/>
  <c r="B877" i="3"/>
  <c r="B644" i="3"/>
  <c r="B642" i="3"/>
  <c r="B310" i="3"/>
  <c r="B545" i="3"/>
  <c r="B449" i="3"/>
  <c r="B304" i="3"/>
  <c r="B219" i="3"/>
  <c r="B131" i="3"/>
  <c r="B4537" i="3"/>
  <c r="B1621" i="3"/>
  <c r="B1622" i="3"/>
  <c r="B550" i="3"/>
  <c r="B126" i="3"/>
  <c r="B8853" i="3"/>
  <c r="B8230" i="3"/>
  <c r="B4586" i="3"/>
  <c r="B3545" i="3"/>
  <c r="B3496" i="3"/>
  <c r="B2514" i="3"/>
  <c r="B1251" i="3"/>
  <c r="B1196" i="3"/>
  <c r="B970" i="3"/>
  <c r="B3880" i="3"/>
  <c r="B3216" i="3"/>
  <c r="B2284" i="3"/>
  <c r="B1292" i="3"/>
  <c r="B2938" i="3"/>
  <c r="B2839" i="3"/>
  <c r="B1573" i="3"/>
  <c r="B455" i="3"/>
  <c r="B1618" i="3"/>
  <c r="B926" i="14"/>
  <c r="B2614" i="3"/>
  <c r="B4915" i="3"/>
  <c r="B1860" i="3"/>
  <c r="B71" i="15"/>
  <c r="B9134" i="3"/>
  <c r="B2563" i="3"/>
  <c r="B2191" i="3"/>
  <c r="B638" i="3"/>
  <c r="B543" i="3"/>
  <c r="B314" i="3"/>
  <c r="B220" i="3"/>
  <c r="B6200" i="3"/>
  <c r="B4484" i="3"/>
  <c r="B3587" i="3"/>
  <c r="B2842" i="3"/>
  <c r="B1862" i="3"/>
  <c r="B3548" i="3"/>
  <c r="B2236" i="3"/>
  <c r="B922" i="3"/>
  <c r="B1953" i="3"/>
  <c r="B8850" i="3"/>
  <c r="B3925" i="3"/>
  <c r="B875" i="13"/>
  <c r="B8524" i="3"/>
  <c r="B7238" i="3"/>
  <c r="B168" i="15"/>
  <c r="B1872" i="13"/>
  <c r="B8185" i="3"/>
  <c r="B4202" i="3"/>
  <c r="B870" i="3"/>
  <c r="B6901" i="3"/>
  <c r="B6151" i="3"/>
  <c r="B2887" i="3"/>
  <c r="B2561" i="3"/>
  <c r="B5814" i="3"/>
  <c r="B5204" i="3"/>
  <c r="B3169" i="3"/>
  <c r="B2278" i="3"/>
  <c r="B1253" i="3"/>
  <c r="B643" i="3"/>
  <c r="B1948" i="3"/>
  <c r="B450" i="3"/>
  <c r="B1195" i="3"/>
  <c r="B1244" i="3"/>
  <c r="B2885" i="3"/>
  <c r="B2837" i="3"/>
  <c r="B1902" i="3"/>
  <c r="B303" i="3"/>
  <c r="B6807" i="3"/>
  <c r="B3214" i="3"/>
  <c r="B633" i="3"/>
  <c r="B5812" i="3"/>
  <c r="B5197" i="3"/>
  <c r="B4579" i="3"/>
  <c r="B8565" i="3"/>
  <c r="B7237" i="3"/>
  <c r="B5479" i="3"/>
  <c r="B210" i="13"/>
  <c r="B8135" i="3"/>
  <c r="B920" i="14"/>
  <c r="B9849" i="3"/>
  <c r="B591" i="13"/>
  <c r="B9230" i="3"/>
  <c r="B8519" i="3"/>
  <c r="B70" i="15"/>
  <c r="B872" i="13"/>
  <c r="B119" i="15"/>
  <c r="B3260" i="3"/>
  <c r="B3821" i="3"/>
  <c r="B3493" i="3"/>
  <c r="B2929" i="3"/>
  <c r="B541" i="3"/>
  <c r="B1913" i="13"/>
  <c r="B3164" i="3"/>
  <c r="B959" i="3"/>
  <c r="B6235" i="3"/>
  <c r="B5147" i="3"/>
  <c r="B4813" i="3"/>
  <c r="B8520" i="3"/>
  <c r="B8566" i="3"/>
  <c r="B5478" i="3"/>
  <c r="B3871" i="3"/>
  <c r="B9183" i="3"/>
  <c r="B1298" i="14"/>
  <c r="B1533" i="13"/>
  <c r="B637" i="13"/>
  <c r="B9465" i="3"/>
  <c r="B8892" i="3"/>
  <c r="B871" i="13"/>
  <c r="B494" i="15"/>
  <c r="B1297" i="13"/>
  <c r="B1958" i="13"/>
  <c r="B920" i="13"/>
  <c r="B3586" i="3"/>
  <c r="B2603" i="3"/>
  <c r="B1194" i="3"/>
  <c r="B9848" i="3"/>
  <c r="B120" i="3"/>
  <c r="B7471" i="3"/>
  <c r="B7191" i="3"/>
  <c r="B3165" i="3"/>
  <c r="B867" i="3"/>
  <c r="B2836" i="3"/>
  <c r="B4533" i="3"/>
  <c r="B1245" i="3"/>
  <c r="B7472" i="3"/>
  <c r="B5811" i="3"/>
  <c r="B5146" i="3"/>
  <c r="B1914" i="13"/>
  <c r="B2242" i="13"/>
  <c r="B5909" i="3"/>
  <c r="B4483" i="3"/>
  <c r="B9895" i="3"/>
  <c r="B9464" i="3"/>
  <c r="B2286" i="13"/>
  <c r="B1203" i="13"/>
  <c r="B9798" i="3"/>
  <c r="B964" i="13"/>
  <c r="B1202" i="13"/>
  <c r="B163" i="15"/>
  <c r="B2525" i="13"/>
  <c r="B964" i="14"/>
  <c r="B1625" i="13"/>
  <c r="B6526" i="3"/>
  <c r="B3542" i="3"/>
  <c r="B2273" i="3"/>
  <c r="B2229" i="3"/>
  <c r="B211" i="13"/>
  <c r="B866" i="3"/>
  <c r="B9184" i="3"/>
  <c r="B1852" i="3"/>
  <c r="B3822" i="3"/>
  <c r="B1523" i="3"/>
  <c r="B446" i="3"/>
  <c r="B5244" i="3"/>
  <c r="B2181" i="3"/>
  <c r="B7901" i="3"/>
  <c r="B5863" i="3"/>
  <c r="B5527" i="3"/>
  <c r="B4534" i="3"/>
  <c r="B637" i="14"/>
  <c r="B6899" i="3"/>
  <c r="B4906" i="3"/>
  <c r="B9894" i="3"/>
  <c r="B9797" i="3"/>
  <c r="B2619" i="13"/>
  <c r="B1253" i="13"/>
  <c r="B303" i="13"/>
  <c r="B2194" i="13"/>
  <c r="B2574" i="13"/>
  <c r="B542" i="15"/>
  <c r="B564" i="15" s="1"/>
  <c r="B210" i="15"/>
  <c r="B2524" i="13"/>
  <c r="B591" i="14"/>
  <c r="B1572" i="3"/>
  <c r="B1616" i="3"/>
  <c r="B213" i="3"/>
  <c r="B121" i="3"/>
  <c r="B3872" i="3"/>
  <c r="B1947" i="3"/>
  <c r="B447" i="3"/>
  <c r="B6573" i="3"/>
  <c r="B5862" i="3"/>
  <c r="B8136" i="3"/>
  <c r="B6143" i="3"/>
  <c r="B6475" i="3"/>
  <c r="B4862" i="3"/>
  <c r="B3494" i="3"/>
  <c r="B6806" i="3"/>
  <c r="B4814" i="3"/>
  <c r="B1863" i="13"/>
  <c r="B1532" i="13"/>
  <c r="B2575" i="13"/>
  <c r="B2193" i="13"/>
  <c r="B1864" i="13"/>
  <c r="B542" i="13"/>
  <c r="B592" i="14"/>
  <c r="B260" i="13"/>
  <c r="B542" i="14"/>
  <c r="B7139" i="3"/>
  <c r="B3916" i="3"/>
  <c r="B2508" i="3"/>
  <c r="B915" i="3"/>
  <c r="B6191" i="3"/>
  <c r="B1851" i="3"/>
  <c r="B634" i="3"/>
  <c r="B1290" i="3"/>
  <c r="B7140" i="3"/>
  <c r="B3215" i="3"/>
  <c r="B542" i="3"/>
  <c r="B9557" i="3"/>
  <c r="B8848" i="3"/>
  <c r="B1298" i="13"/>
  <c r="B7564" i="3"/>
  <c r="B7190" i="3"/>
  <c r="B6476" i="3"/>
  <c r="B4150" i="3"/>
  <c r="B7855" i="3"/>
  <c r="B5908" i="3"/>
  <c r="B1959" i="13"/>
  <c r="B2620" i="13"/>
  <c r="B210" i="14"/>
  <c r="B541" i="14"/>
  <c r="B303" i="14"/>
  <c r="B541" i="13"/>
  <c r="B1253" i="14"/>
  <c r="B591" i="15"/>
  <c r="B449" i="15"/>
  <c r="B872" i="14"/>
  <c r="B1297" i="14"/>
  <c r="B636" i="13"/>
  <c r="B7236" i="3"/>
  <c r="B3259" i="3"/>
  <c r="B1581" i="13"/>
  <c r="B1524" i="3"/>
  <c r="B2558" i="3"/>
  <c r="B2180" i="3"/>
  <c r="B1289" i="3"/>
  <c r="B7520" i="3"/>
  <c r="B4198" i="3"/>
  <c r="B1946" i="3"/>
  <c r="B5243" i="3"/>
  <c r="B24" i="15"/>
  <c r="B3917" i="3"/>
  <c r="B7805" i="3"/>
  <c r="B6527" i="3"/>
  <c r="B4482" i="3"/>
  <c r="B8469" i="3"/>
  <c r="B6142" i="3"/>
  <c r="B259" i="14"/>
  <c r="B1202" i="14"/>
  <c r="B1252" i="14"/>
  <c r="B1203" i="14"/>
  <c r="B211" i="14"/>
  <c r="B233" i="14" s="1"/>
  <c r="B636" i="15"/>
  <c r="B260" i="15"/>
  <c r="B398" i="15"/>
  <c r="B7902" i="3"/>
  <c r="B2509" i="3"/>
  <c r="B2559" i="3"/>
  <c r="B1901" i="3"/>
  <c r="B7856" i="3"/>
  <c r="B4149" i="3"/>
  <c r="B2604" i="3"/>
  <c r="B214" i="3"/>
  <c r="B5198" i="3"/>
  <c r="B4580" i="3"/>
  <c r="B4242" i="3"/>
  <c r="B7804" i="3"/>
  <c r="B6855" i="3"/>
  <c r="B5571" i="3"/>
  <c r="B9133" i="3"/>
  <c r="B8228" i="3"/>
  <c r="B636" i="14"/>
  <c r="B8799" i="3"/>
  <c r="B9132" i="3"/>
  <c r="B8800" i="3"/>
  <c r="B871" i="14"/>
  <c r="B448" i="15"/>
  <c r="B259" i="15"/>
  <c r="B23" i="15"/>
  <c r="B592" i="13"/>
  <c r="B259" i="13"/>
  <c r="B1252" i="13"/>
  <c r="B9513" i="3"/>
  <c r="B8184" i="3"/>
  <c r="B6572" i="3"/>
  <c r="B9229" i="3"/>
  <c r="B8468" i="3"/>
  <c r="B1873" i="3"/>
  <c r="M1873" i="3" s="1"/>
  <c r="B1872" i="3"/>
  <c r="L1872" i="3" s="1"/>
  <c r="M1872" i="3" s="1"/>
  <c r="B3186" i="3"/>
  <c r="M3186" i="3" s="1"/>
  <c r="B3185" i="3"/>
  <c r="L3185" i="3" s="1"/>
  <c r="M3185" i="3" s="1"/>
  <c r="B3842" i="3"/>
  <c r="L3842" i="3" s="1"/>
  <c r="M3842" i="3" s="1"/>
  <c r="B3843" i="3"/>
  <c r="M3843" i="3" s="1"/>
  <c r="B232" i="14"/>
  <c r="M232" i="14" s="1"/>
  <c r="B231" i="14"/>
  <c r="L231" i="14" s="1"/>
  <c r="M231" i="14" s="1"/>
  <c r="B9486" i="3"/>
  <c r="M9486" i="3" s="1"/>
  <c r="B9485" i="3"/>
  <c r="L9485" i="3" s="1"/>
  <c r="M9485" i="3" s="1"/>
  <c r="B2215" i="13"/>
  <c r="M2215" i="13" s="1"/>
  <c r="B2214" i="13"/>
  <c r="L2214" i="13" s="1"/>
  <c r="M2214" i="13" s="1"/>
  <c r="B6496" i="3"/>
  <c r="L6496" i="3" s="1"/>
  <c r="M6496" i="3" s="1"/>
  <c r="B6497" i="3"/>
  <c r="M6497" i="3" s="1"/>
  <c r="B468" i="3"/>
  <c r="M468" i="3" s="1"/>
  <c r="B467" i="3"/>
  <c r="L467" i="3" s="1"/>
  <c r="M467" i="3" s="1"/>
  <c r="B9154" i="3"/>
  <c r="M9154" i="3" s="1"/>
  <c r="B9153" i="3"/>
  <c r="L9153" i="3" s="1"/>
  <c r="M9153" i="3" s="1"/>
  <c r="B8157" i="3"/>
  <c r="M8157" i="3" s="1"/>
  <c r="B8156" i="3"/>
  <c r="L8156" i="3" s="1"/>
  <c r="M8156" i="3" s="1"/>
  <c r="B5500" i="3"/>
  <c r="M5500" i="3" s="1"/>
  <c r="B5499" i="3"/>
  <c r="L5499" i="3" s="1"/>
  <c r="M5499" i="3" s="1"/>
  <c r="B2202" i="3"/>
  <c r="M2202" i="3" s="1"/>
  <c r="B2201" i="3"/>
  <c r="L2201" i="3" s="1"/>
  <c r="M2201" i="3" s="1"/>
  <c r="B141" i="3"/>
  <c r="L141" i="3" s="1"/>
  <c r="M141" i="3" s="1"/>
  <c r="B142" i="3"/>
  <c r="M142" i="3" s="1"/>
  <c r="B888" i="3"/>
  <c r="M888" i="3" s="1"/>
  <c r="B887" i="3"/>
  <c r="L887" i="3" s="1"/>
  <c r="M887" i="3" s="1"/>
  <c r="B2530" i="3"/>
  <c r="M2530" i="3" s="1"/>
  <c r="B2529" i="3"/>
  <c r="L2529" i="3" s="1"/>
  <c r="M2529" i="3" s="1"/>
  <c r="B3515" i="3"/>
  <c r="M3515" i="3" s="1"/>
  <c r="B3514" i="3"/>
  <c r="L3514" i="3" s="1"/>
  <c r="M3514" i="3" s="1"/>
  <c r="B1216" i="3"/>
  <c r="M1216" i="3" s="1"/>
  <c r="B1215" i="3"/>
  <c r="L1215" i="3" s="1"/>
  <c r="M1215" i="3" s="1"/>
  <c r="B1545" i="3"/>
  <c r="M1545" i="3" s="1"/>
  <c r="B1544" i="3"/>
  <c r="L1544" i="3" s="1"/>
  <c r="M1544" i="3" s="1"/>
  <c r="B7160" i="3"/>
  <c r="L7160" i="3" s="1"/>
  <c r="M7160" i="3" s="1"/>
  <c r="B7161" i="3"/>
  <c r="M7161" i="3" s="1"/>
  <c r="B1224" i="13"/>
  <c r="M1224" i="13" s="1"/>
  <c r="B1223" i="13"/>
  <c r="L1223" i="13" s="1"/>
  <c r="M1223" i="13" s="1"/>
  <c r="B563" i="15"/>
  <c r="M563" i="15" s="1"/>
  <c r="B562" i="15"/>
  <c r="L562" i="15" s="1"/>
  <c r="M562" i="15" s="1"/>
  <c r="B4835" i="3"/>
  <c r="M4835" i="3" s="1"/>
  <c r="B4834" i="3"/>
  <c r="L4834" i="3" s="1"/>
  <c r="M4834" i="3" s="1"/>
  <c r="B9819" i="3"/>
  <c r="M9819" i="3" s="1"/>
  <c r="B9818" i="3"/>
  <c r="L9818" i="3" s="1"/>
  <c r="M9818" i="3" s="1"/>
  <c r="B5833" i="3"/>
  <c r="M5833" i="3" s="1"/>
  <c r="B5832" i="3"/>
  <c r="L5832" i="3" s="1"/>
  <c r="M5832" i="3" s="1"/>
  <c r="B1885" i="13"/>
  <c r="M1885" i="13" s="1"/>
  <c r="B1884" i="13"/>
  <c r="L1884" i="13" s="1"/>
  <c r="M1884" i="13" s="1"/>
  <c r="B6164" i="3"/>
  <c r="M6164" i="3" s="1"/>
  <c r="B6163" i="3"/>
  <c r="L6163" i="3" s="1"/>
  <c r="M6163" i="3" s="1"/>
  <c r="B893" i="13"/>
  <c r="M893" i="13" s="1"/>
  <c r="B892" i="13"/>
  <c r="L892" i="13" s="1"/>
  <c r="M892" i="13" s="1"/>
  <c r="B563" i="14"/>
  <c r="M563" i="14" s="1"/>
  <c r="B562" i="14"/>
  <c r="L562" i="14" s="1"/>
  <c r="M562" i="14" s="1"/>
  <c r="B562" i="13"/>
  <c r="L562" i="13" s="1"/>
  <c r="M562" i="13" s="1"/>
  <c r="B563" i="13"/>
  <c r="M563" i="13" s="1"/>
  <c r="B893" i="14"/>
  <c r="M893" i="14" s="1"/>
  <c r="B892" i="14"/>
  <c r="L892" i="14" s="1"/>
  <c r="M892" i="14" s="1"/>
  <c r="B8821" i="3"/>
  <c r="M8821" i="3" s="1"/>
  <c r="B8820" i="3"/>
  <c r="L8820" i="3" s="1"/>
  <c r="M8820" i="3" s="1"/>
  <c r="B7493" i="3"/>
  <c r="M7493" i="3" s="1"/>
  <c r="B7492" i="3"/>
  <c r="L7492" i="3" s="1"/>
  <c r="M7492" i="3" s="1"/>
  <c r="B231" i="13"/>
  <c r="L231" i="13" s="1"/>
  <c r="M231" i="13" s="1"/>
  <c r="B232" i="13"/>
  <c r="M232" i="13" s="1"/>
  <c r="B4170" i="3"/>
  <c r="L4170" i="3" s="1"/>
  <c r="M4170" i="3" s="1"/>
  <c r="B4171" i="3"/>
  <c r="M4171" i="3" s="1"/>
  <c r="B2545" i="13"/>
  <c r="L2545" i="13" s="1"/>
  <c r="M2545" i="13" s="1"/>
  <c r="B2546" i="13"/>
  <c r="M2546" i="13" s="1"/>
  <c r="B4504" i="3"/>
  <c r="M4504" i="3" s="1"/>
  <c r="B4503" i="3"/>
  <c r="L4503" i="3" s="1"/>
  <c r="M4503" i="3" s="1"/>
  <c r="B8490" i="3"/>
  <c r="M8490" i="3" s="1"/>
  <c r="B8489" i="3"/>
  <c r="L8489" i="3" s="1"/>
  <c r="M8489" i="3" s="1"/>
  <c r="B7825" i="3"/>
  <c r="L7825" i="3" s="1"/>
  <c r="M7825" i="3" s="1"/>
  <c r="B7826" i="3"/>
  <c r="M7826" i="3" s="1"/>
  <c r="B6827" i="3"/>
  <c r="L6827" i="3" s="1"/>
  <c r="M6827" i="3" s="1"/>
  <c r="B6828" i="3"/>
  <c r="M6828" i="3" s="1"/>
  <c r="B232" i="15"/>
  <c r="M232" i="15" s="1"/>
  <c r="B231" i="15"/>
  <c r="L231" i="15" s="1"/>
  <c r="M231" i="15" s="1"/>
  <c r="B2858" i="3"/>
  <c r="M2858" i="3" s="1"/>
  <c r="B2857" i="3"/>
  <c r="L2857" i="3" s="1"/>
  <c r="M2857" i="3" s="1"/>
  <c r="B1224" i="14"/>
  <c r="M1224" i="14" s="1"/>
  <c r="B1223" i="14"/>
  <c r="L1223" i="14" s="1"/>
  <c r="M1223" i="14" s="1"/>
  <c r="B5168" i="3"/>
  <c r="M5168" i="3" s="1"/>
  <c r="B5167" i="3"/>
  <c r="L5167" i="3" s="1"/>
  <c r="M5167" i="3" s="1"/>
  <c r="B1553" i="13"/>
  <c r="L1553" i="13" s="1"/>
  <c r="M1553" i="13" s="1"/>
  <c r="B1554" i="13"/>
  <c r="M1554" i="13" s="1"/>
  <c r="B1352" i="13"/>
  <c r="B126" i="14"/>
  <c r="B77" i="13"/>
  <c r="B30" i="14"/>
  <c r="B1161" i="13"/>
  <c r="B1448" i="13"/>
  <c r="B4774" i="3"/>
  <c r="B405" i="3"/>
  <c r="B396" i="3"/>
  <c r="B3079" i="3"/>
  <c r="B5673" i="3"/>
  <c r="B1154" i="3"/>
  <c r="B4681" i="3"/>
  <c r="B5059" i="3"/>
  <c r="B2001" i="3"/>
  <c r="B6434" i="3"/>
  <c r="B9045" i="3"/>
  <c r="B356" i="3"/>
  <c r="B6337" i="3"/>
  <c r="B8096" i="3"/>
  <c r="B1669" i="3"/>
  <c r="B783" i="3"/>
  <c r="B406" i="3"/>
  <c r="B1484" i="3"/>
  <c r="B5105" i="3"/>
  <c r="B738" i="14"/>
  <c r="B5008" i="3"/>
  <c r="B6059" i="3"/>
  <c r="B1399" i="13"/>
  <c r="B691" i="14"/>
  <c r="B1116" i="13"/>
  <c r="B77" i="14"/>
  <c r="B1492" i="13"/>
  <c r="B2013" i="13"/>
  <c r="B5439" i="3"/>
  <c r="B403" i="3"/>
  <c r="B402" i="3"/>
  <c r="B3410" i="3"/>
  <c r="B5724" i="3"/>
  <c r="B1811" i="3"/>
  <c r="B4959" i="3"/>
  <c r="B6103" i="3"/>
  <c r="B2048" i="3"/>
  <c r="B7098" i="3"/>
  <c r="B9381" i="3"/>
  <c r="B2468" i="3"/>
  <c r="B6388" i="3"/>
  <c r="B8760" i="3"/>
  <c r="B264" i="3"/>
  <c r="B1109" i="3"/>
  <c r="B738" i="13"/>
  <c r="B1116" i="14"/>
  <c r="B6627" i="3"/>
  <c r="B4017" i="3"/>
  <c r="B7388" i="3"/>
  <c r="B2153" i="13"/>
  <c r="B4110" i="3"/>
  <c r="B5395" i="3"/>
  <c r="B5624" i="3"/>
  <c r="B9091" i="3"/>
  <c r="B2483" i="13"/>
  <c r="B1018" i="14"/>
  <c r="B787" i="14"/>
  <c r="B126" i="13"/>
  <c r="B405" i="13"/>
  <c r="B2060" i="13"/>
  <c r="B5963" i="3"/>
  <c r="B401" i="3"/>
  <c r="B3686" i="3"/>
  <c r="B8620" i="3"/>
  <c r="B3361" i="3"/>
  <c r="B5299" i="3"/>
  <c r="B6767" i="3"/>
  <c r="B2326" i="3"/>
  <c r="B7763" i="3"/>
  <c r="B9659" i="3"/>
  <c r="B3124" i="3"/>
  <c r="B6723" i="3"/>
  <c r="B9425" i="3"/>
  <c r="B6952" i="3"/>
  <c r="B1440" i="3"/>
  <c r="B405" i="14"/>
  <c r="B2797" i="3"/>
  <c r="B9285" i="3"/>
  <c r="B8381" i="3"/>
  <c r="B9610" i="3"/>
  <c r="B1391" i="3"/>
  <c r="B1066" i="13"/>
  <c r="B1822" i="13"/>
  <c r="B2438" i="13"/>
  <c r="B357" i="14"/>
  <c r="B787" i="13"/>
  <c r="B831" i="13"/>
  <c r="B9756" i="3"/>
  <c r="B6010" i="3"/>
  <c r="B400" i="3"/>
  <c r="B2097" i="3"/>
  <c r="B3736" i="3"/>
  <c r="B8667" i="3"/>
  <c r="B3639" i="3"/>
  <c r="B5346" i="3"/>
  <c r="B7432" i="3"/>
  <c r="B2657" i="3"/>
  <c r="B8052" i="3"/>
  <c r="B9710" i="3"/>
  <c r="B3781" i="3"/>
  <c r="B7001" i="3"/>
  <c r="B687" i="3"/>
  <c r="B7292" i="3"/>
  <c r="B2388" i="13"/>
  <c r="B2423" i="3"/>
  <c r="B2982" i="3"/>
  <c r="B1012" i="3"/>
  <c r="B691" i="13"/>
  <c r="B170" i="13"/>
  <c r="B3029" i="3"/>
  <c r="B8994" i="3"/>
  <c r="B2109" i="13"/>
  <c r="B357" i="13"/>
  <c r="B1066" i="14"/>
  <c r="B1727" i="13"/>
  <c r="B1679" i="13"/>
  <c r="B2141" i="3"/>
  <c r="B6288" i="3"/>
  <c r="B399" i="3"/>
  <c r="B2373" i="3"/>
  <c r="B4066" i="3"/>
  <c r="B8945" i="3"/>
  <c r="B3970" i="3"/>
  <c r="B827" i="3"/>
  <c r="B7956" i="3"/>
  <c r="B2704" i="3"/>
  <c r="B8330" i="3"/>
  <c r="B593" i="3"/>
  <c r="B4441" i="3"/>
  <c r="B7052" i="3"/>
  <c r="B734" i="3"/>
  <c r="B7339" i="3"/>
  <c r="B1777" i="13"/>
  <c r="B4344" i="3"/>
  <c r="B8003" i="3"/>
  <c r="B1059" i="3"/>
  <c r="B7617" i="3"/>
  <c r="B1018" i="13"/>
  <c r="B4634" i="3"/>
  <c r="B1766" i="3"/>
  <c r="B500" i="14"/>
  <c r="B455" i="13"/>
  <c r="B1161" i="14"/>
  <c r="B500" i="13"/>
  <c r="B455" i="14"/>
  <c r="B831" i="14"/>
  <c r="B2340" i="13"/>
  <c r="B30" i="13"/>
  <c r="B3454" i="3"/>
  <c r="B6674" i="3"/>
  <c r="B398" i="3"/>
  <c r="B2753" i="3"/>
  <c r="B4395" i="3"/>
  <c r="B9332" i="3"/>
  <c r="B4295" i="3"/>
  <c r="B4730" i="3"/>
  <c r="B8281" i="3"/>
  <c r="B3314" i="3"/>
  <c r="B8716" i="3"/>
  <c r="B1716" i="3"/>
  <c r="B5770" i="3"/>
  <c r="B7666" i="3"/>
  <c r="B1344" i="3"/>
  <c r="B8427" i="3"/>
  <c r="B170" i="14"/>
  <c r="B407" i="3"/>
  <c r="B420" i="3" s="1"/>
  <c r="B397" i="3"/>
  <c r="B503" i="3"/>
  <c r="B7717" i="3"/>
  <c r="B176" i="3"/>
  <c r="B78" i="3"/>
  <c r="B31" i="3"/>
  <c r="B1164" i="14"/>
  <c r="B1022" i="14"/>
  <c r="B790" i="14"/>
  <c r="B502" i="14"/>
  <c r="B361" i="14"/>
  <c r="B2486" i="13"/>
  <c r="B2344" i="13"/>
  <c r="B2111" i="13"/>
  <c r="B1824" i="13"/>
  <c r="B1683" i="13"/>
  <c r="B1450" i="13"/>
  <c r="B1164" i="13"/>
  <c r="B1022" i="13"/>
  <c r="B790" i="13"/>
  <c r="B502" i="13"/>
  <c r="B361" i="13"/>
  <c r="B9759" i="3"/>
  <c r="B9614" i="3"/>
  <c r="B9383" i="3"/>
  <c r="B9094" i="3"/>
  <c r="B8949" i="3"/>
  <c r="B8719" i="3"/>
  <c r="B8430" i="3"/>
  <c r="B8285" i="3"/>
  <c r="B8054" i="3"/>
  <c r="B7766" i="3"/>
  <c r="B7621" i="3"/>
  <c r="B7391" i="3"/>
  <c r="B7101" i="3"/>
  <c r="B6956" i="3"/>
  <c r="B6725" i="3"/>
  <c r="B6437" i="3"/>
  <c r="B6292" i="3"/>
  <c r="B6061" i="3"/>
  <c r="B5773" i="3"/>
  <c r="B5628" i="3"/>
  <c r="B5397" i="3"/>
  <c r="B5108" i="3"/>
  <c r="B4963" i="3"/>
  <c r="B4732" i="3"/>
  <c r="B4444" i="3"/>
  <c r="B4299" i="3"/>
  <c r="B4068" i="3"/>
  <c r="B3784" i="3"/>
  <c r="B3643" i="3"/>
  <c r="B3412" i="3"/>
  <c r="B3127" i="3"/>
  <c r="B2986" i="3"/>
  <c r="B2755" i="3"/>
  <c r="B2471" i="3"/>
  <c r="B2330" i="3"/>
  <c r="B2100" i="3"/>
  <c r="B1814" i="3"/>
  <c r="B1673" i="3"/>
  <c r="B1442" i="3"/>
  <c r="B1158" i="3"/>
  <c r="B1016" i="3"/>
  <c r="B785" i="3"/>
  <c r="B596" i="3"/>
  <c r="B360" i="3"/>
  <c r="B1163" i="14"/>
  <c r="B1021" i="14"/>
  <c r="B742" i="14"/>
  <c r="B503" i="14"/>
  <c r="B360" i="14"/>
  <c r="B81" i="14"/>
  <c r="B2485" i="13"/>
  <c r="B2343" i="13"/>
  <c r="B2064" i="13"/>
  <c r="B1825" i="13"/>
  <c r="B1682" i="13"/>
  <c r="B1403" i="13"/>
  <c r="B1163" i="13"/>
  <c r="B1021" i="13"/>
  <c r="B742" i="13"/>
  <c r="B503" i="13"/>
  <c r="B359" i="13"/>
  <c r="B81" i="13"/>
  <c r="B9758" i="3"/>
  <c r="B9613" i="3"/>
  <c r="B9336" i="3"/>
  <c r="B9093" i="3"/>
  <c r="B8948" i="3"/>
  <c r="B8671" i="3"/>
  <c r="B8429" i="3"/>
  <c r="B8283" i="3"/>
  <c r="B8007" i="3"/>
  <c r="B7765" i="3"/>
  <c r="B7620" i="3"/>
  <c r="B7343" i="3"/>
  <c r="B7100" i="3"/>
  <c r="B6955" i="3"/>
  <c r="B6678" i="3"/>
  <c r="B6436" i="3"/>
  <c r="B6291" i="3"/>
  <c r="B6014" i="3"/>
  <c r="B5772" i="3"/>
  <c r="B5627" i="3"/>
  <c r="B5350" i="3"/>
  <c r="B5107" i="3"/>
  <c r="B4961" i="3"/>
  <c r="B4685" i="3"/>
  <c r="B4443" i="3"/>
  <c r="B4298" i="3"/>
  <c r="B4021" i="3"/>
  <c r="B3783" i="3"/>
  <c r="B3642" i="3"/>
  <c r="B3365" i="3"/>
  <c r="B3126" i="3"/>
  <c r="B2985" i="3"/>
  <c r="B2708" i="3"/>
  <c r="B2470" i="3"/>
  <c r="B2329" i="3"/>
  <c r="B2052" i="3"/>
  <c r="B1813" i="3"/>
  <c r="B1672" i="3"/>
  <c r="B1395" i="3"/>
  <c r="B1157" i="3"/>
  <c r="B1015" i="3"/>
  <c r="B738" i="3"/>
  <c r="B595" i="3"/>
  <c r="B359" i="3"/>
  <c r="B1120" i="14"/>
  <c r="B1020" i="14"/>
  <c r="B741" i="14"/>
  <c r="B459" i="14"/>
  <c r="B359" i="14"/>
  <c r="B79" i="14"/>
  <c r="B2442" i="13"/>
  <c r="B2342" i="13"/>
  <c r="B2063" i="13"/>
  <c r="B1781" i="13"/>
  <c r="B1681" i="13"/>
  <c r="B1402" i="13"/>
  <c r="B1120" i="13"/>
  <c r="B1020" i="13"/>
  <c r="B741" i="13"/>
  <c r="B459" i="13"/>
  <c r="B360" i="13"/>
  <c r="B79" i="13"/>
  <c r="B9714" i="3"/>
  <c r="B9612" i="3"/>
  <c r="B9335" i="3"/>
  <c r="B9049" i="3"/>
  <c r="B8947" i="3"/>
  <c r="B8670" i="3"/>
  <c r="B8385" i="3"/>
  <c r="B8284" i="3"/>
  <c r="B8006" i="3"/>
  <c r="B7721" i="3"/>
  <c r="B7619" i="3"/>
  <c r="B7342" i="3"/>
  <c r="B7056" i="3"/>
  <c r="B6954" i="3"/>
  <c r="B6676" i="3"/>
  <c r="B6392" i="3"/>
  <c r="B6290" i="3"/>
  <c r="B6013" i="3"/>
  <c r="B5728" i="3"/>
  <c r="B5626" i="3"/>
  <c r="B5349" i="3"/>
  <c r="B5063" i="3"/>
  <c r="B4962" i="3"/>
  <c r="B4683" i="3"/>
  <c r="B4399" i="3"/>
  <c r="B4297" i="3"/>
  <c r="B4020" i="3"/>
  <c r="B3740" i="3"/>
  <c r="B3641" i="3"/>
  <c r="B3364" i="3"/>
  <c r="B3083" i="3"/>
  <c r="B2984" i="3"/>
  <c r="B2707" i="3"/>
  <c r="B2427" i="3"/>
  <c r="B2328" i="3"/>
  <c r="B2051" i="3"/>
  <c r="B1770" i="3"/>
  <c r="B1671" i="3"/>
  <c r="B1394" i="3"/>
  <c r="B1113" i="3"/>
  <c r="B1014" i="3"/>
  <c r="B737" i="3"/>
  <c r="B507" i="3"/>
  <c r="B358" i="3"/>
  <c r="B1119" i="14"/>
  <c r="B835" i="14"/>
  <c r="B740" i="14"/>
  <c r="B457" i="14"/>
  <c r="B174" i="14"/>
  <c r="B80" i="14"/>
  <c r="B2441" i="13"/>
  <c r="B2157" i="13"/>
  <c r="B2062" i="13"/>
  <c r="B1780" i="13"/>
  <c r="B1496" i="13"/>
  <c r="B1401" i="13"/>
  <c r="B1118" i="13"/>
  <c r="B835" i="13"/>
  <c r="B740" i="13"/>
  <c r="B457" i="13"/>
  <c r="B174" i="13"/>
  <c r="B80" i="13"/>
  <c r="B9713" i="3"/>
  <c r="B9429" i="3"/>
  <c r="B9334" i="3"/>
  <c r="B9048" i="3"/>
  <c r="B8764" i="3"/>
  <c r="B8669" i="3"/>
  <c r="B8384" i="3"/>
  <c r="B8100" i="3"/>
  <c r="B8005" i="3"/>
  <c r="B7720" i="3"/>
  <c r="B7436" i="3"/>
  <c r="B7341" i="3"/>
  <c r="B7054" i="3"/>
  <c r="B6771" i="3"/>
  <c r="B6677" i="3"/>
  <c r="B6391" i="3"/>
  <c r="B6107" i="3"/>
  <c r="B6012" i="3"/>
  <c r="B5727" i="3"/>
  <c r="B5443" i="3"/>
  <c r="B5348" i="3"/>
  <c r="B5062" i="3"/>
  <c r="B4778" i="3"/>
  <c r="B4684" i="3"/>
  <c r="B4398" i="3"/>
  <c r="B4114" i="3"/>
  <c r="B4019" i="3"/>
  <c r="B3738" i="3"/>
  <c r="B3458" i="3"/>
  <c r="B3363" i="3"/>
  <c r="B3082" i="3"/>
  <c r="B2801" i="3"/>
  <c r="B2706" i="3"/>
  <c r="B2426" i="3"/>
  <c r="B2145" i="3"/>
  <c r="B2050" i="3"/>
  <c r="B1769" i="3"/>
  <c r="B1488" i="3"/>
  <c r="B1393" i="3"/>
  <c r="B1112" i="3"/>
  <c r="B831" i="3"/>
  <c r="B736" i="3"/>
  <c r="B506" i="3"/>
  <c r="B268" i="3"/>
  <c r="B1118" i="14"/>
  <c r="B833" i="14"/>
  <c r="B695" i="14"/>
  <c r="B458" i="14"/>
  <c r="B173" i="14"/>
  <c r="B34" i="14"/>
  <c r="B2440" i="13"/>
  <c r="B2156" i="13"/>
  <c r="B2017" i="13"/>
  <c r="B1779" i="13"/>
  <c r="B1495" i="13"/>
  <c r="B1356" i="13"/>
  <c r="B1119" i="13"/>
  <c r="B833" i="13"/>
  <c r="B695" i="13"/>
  <c r="B458" i="13"/>
  <c r="B173" i="13"/>
  <c r="B34" i="13"/>
  <c r="B9712" i="3"/>
  <c r="B9427" i="3"/>
  <c r="B9289" i="3"/>
  <c r="B9047" i="3"/>
  <c r="B8763" i="3"/>
  <c r="B8624" i="3"/>
  <c r="B8383" i="3"/>
  <c r="B8099" i="3"/>
  <c r="B7960" i="3"/>
  <c r="B7719" i="3"/>
  <c r="B7434" i="3"/>
  <c r="B7294" i="3"/>
  <c r="B7055" i="3"/>
  <c r="B6769" i="3"/>
  <c r="B6631" i="3"/>
  <c r="B6390" i="3"/>
  <c r="B6106" i="3"/>
  <c r="B5967" i="3"/>
  <c r="B5726" i="3"/>
  <c r="B5442" i="3"/>
  <c r="B5303" i="3"/>
  <c r="B5061" i="3"/>
  <c r="B4777" i="3"/>
  <c r="B4638" i="3"/>
  <c r="B4397" i="3"/>
  <c r="B4113" i="3"/>
  <c r="B3974" i="3"/>
  <c r="B3739" i="3"/>
  <c r="B3457" i="3"/>
  <c r="B3318" i="3"/>
  <c r="B3081" i="3"/>
  <c r="B2800" i="3"/>
  <c r="B2661" i="3"/>
  <c r="B2425" i="3"/>
  <c r="B2144" i="3"/>
  <c r="B1768" i="3"/>
  <c r="B1487" i="3"/>
  <c r="B1348" i="3"/>
  <c r="B1111" i="3"/>
  <c r="B830" i="3"/>
  <c r="B691" i="3"/>
  <c r="B505" i="3"/>
  <c r="B267" i="3"/>
  <c r="B1070" i="14"/>
  <c r="B834" i="14"/>
  <c r="B694" i="14"/>
  <c r="B409" i="14"/>
  <c r="B172" i="14"/>
  <c r="B33" i="14"/>
  <c r="B2392" i="13"/>
  <c r="B2155" i="13"/>
  <c r="B2016" i="13"/>
  <c r="B1731" i="13"/>
  <c r="B1494" i="13"/>
  <c r="B1355" i="13"/>
  <c r="B1070" i="13"/>
  <c r="B834" i="13"/>
  <c r="B693" i="13"/>
  <c r="B409" i="13"/>
  <c r="B172" i="13"/>
  <c r="B32" i="13"/>
  <c r="B9663" i="3"/>
  <c r="B9428" i="3"/>
  <c r="B9288" i="3"/>
  <c r="B1165" i="14"/>
  <c r="B1068" i="14"/>
  <c r="B789" i="14"/>
  <c r="B504" i="14"/>
  <c r="B407" i="14"/>
  <c r="B129" i="14"/>
  <c r="B2487" i="13"/>
  <c r="B2390" i="13"/>
  <c r="B2112" i="13"/>
  <c r="B1826" i="13"/>
  <c r="B1729" i="13"/>
  <c r="B1451" i="13"/>
  <c r="B1165" i="13"/>
  <c r="B1068" i="13"/>
  <c r="B789" i="13"/>
  <c r="B504" i="13"/>
  <c r="B408" i="13"/>
  <c r="B129" i="13"/>
  <c r="B9760" i="3"/>
  <c r="B9661" i="3"/>
  <c r="B9384" i="3"/>
  <c r="B9095" i="3"/>
  <c r="B8996" i="3"/>
  <c r="B8718" i="3"/>
  <c r="B8431" i="3"/>
  <c r="B8332" i="3"/>
  <c r="B8055" i="3"/>
  <c r="B7767" i="3"/>
  <c r="B7669" i="3"/>
  <c r="B7392" i="3"/>
  <c r="B7102" i="3"/>
  <c r="B7003" i="3"/>
  <c r="B6726" i="3"/>
  <c r="B6438" i="3"/>
  <c r="B6339" i="3"/>
  <c r="B6062" i="3"/>
  <c r="B5774" i="3"/>
  <c r="B5675" i="3"/>
  <c r="B5398" i="3"/>
  <c r="B5109" i="3"/>
  <c r="B5010" i="3"/>
  <c r="B4733" i="3"/>
  <c r="B4445" i="3"/>
  <c r="B4347" i="3"/>
  <c r="B4069" i="3"/>
  <c r="B3785" i="3"/>
  <c r="B3688" i="3"/>
  <c r="B3413" i="3"/>
  <c r="B3128" i="3"/>
  <c r="B3031" i="3"/>
  <c r="B2756" i="3"/>
  <c r="B2472" i="3"/>
  <c r="B2375" i="3"/>
  <c r="B2099" i="3"/>
  <c r="B1815" i="3"/>
  <c r="B1718" i="3"/>
  <c r="B1443" i="3"/>
  <c r="B1156" i="3"/>
  <c r="B1061" i="3"/>
  <c r="B786" i="3"/>
  <c r="B597" i="3"/>
  <c r="B408" i="14"/>
  <c r="B1354" i="13"/>
  <c r="B9385" i="3"/>
  <c r="B8334" i="3"/>
  <c r="B7435" i="3"/>
  <c r="B6630" i="3"/>
  <c r="B5677" i="3"/>
  <c r="B4776" i="3"/>
  <c r="B3973" i="3"/>
  <c r="B3033" i="3"/>
  <c r="B2143" i="3"/>
  <c r="B1346" i="3"/>
  <c r="B130" i="14"/>
  <c r="B1069" i="13"/>
  <c r="B9287" i="3"/>
  <c r="B8333" i="3"/>
  <c r="B7390" i="3"/>
  <c r="B6629" i="3"/>
  <c r="B5676" i="3"/>
  <c r="B4734" i="3"/>
  <c r="B3972" i="3"/>
  <c r="B3032" i="3"/>
  <c r="B2101" i="3"/>
  <c r="B1347" i="3"/>
  <c r="B32" i="14"/>
  <c r="B791" i="13"/>
  <c r="B8998" i="3"/>
  <c r="B8098" i="3"/>
  <c r="B7296" i="3"/>
  <c r="B6341" i="3"/>
  <c r="B5441" i="3"/>
  <c r="B4637" i="3"/>
  <c r="B3690" i="3"/>
  <c r="B2799" i="3"/>
  <c r="B2004" i="3"/>
  <c r="B1063" i="3"/>
  <c r="B266" i="3"/>
  <c r="B2391" i="13"/>
  <c r="B694" i="13"/>
  <c r="B8997" i="3"/>
  <c r="B8056" i="3"/>
  <c r="B7295" i="3"/>
  <c r="B6340" i="3"/>
  <c r="B5399" i="3"/>
  <c r="B4636" i="3"/>
  <c r="B3689" i="3"/>
  <c r="B2757" i="3"/>
  <c r="B2003" i="3"/>
  <c r="B1062" i="3"/>
  <c r="B2113" i="13"/>
  <c r="B407" i="13"/>
  <c r="B8762" i="3"/>
  <c r="B7959" i="3"/>
  <c r="B7005" i="3"/>
  <c r="B6105" i="3"/>
  <c r="B5301" i="3"/>
  <c r="B4348" i="3"/>
  <c r="B3456" i="3"/>
  <c r="B2660" i="3"/>
  <c r="B1720" i="3"/>
  <c r="B829" i="3"/>
  <c r="B2377" i="3"/>
  <c r="B1069" i="14"/>
  <c r="B2015" i="13"/>
  <c r="B130" i="13"/>
  <c r="B8720" i="3"/>
  <c r="B7958" i="3"/>
  <c r="B7004" i="3"/>
  <c r="B6063" i="3"/>
  <c r="B5302" i="3"/>
  <c r="B4346" i="3"/>
  <c r="B3414" i="3"/>
  <c r="B2659" i="3"/>
  <c r="B1719" i="3"/>
  <c r="B787" i="3"/>
  <c r="B1486" i="3"/>
  <c r="B791" i="14"/>
  <c r="B1730" i="13"/>
  <c r="B33" i="13"/>
  <c r="B8623" i="3"/>
  <c r="B7670" i="3"/>
  <c r="B6770" i="3"/>
  <c r="B5966" i="3"/>
  <c r="B5012" i="3"/>
  <c r="B4112" i="3"/>
  <c r="B3317" i="3"/>
  <c r="B690" i="3"/>
  <c r="B693" i="14"/>
  <c r="B1452" i="13"/>
  <c r="B9662" i="3"/>
  <c r="B8622" i="3"/>
  <c r="B7668" i="3"/>
  <c r="B6727" i="3"/>
  <c r="B5965" i="3"/>
  <c r="B5011" i="3"/>
  <c r="B4070" i="3"/>
  <c r="B3316" i="3"/>
  <c r="B2376" i="3"/>
  <c r="B1444" i="3"/>
  <c r="B689" i="3"/>
  <c r="B180" i="3"/>
  <c r="B179" i="3"/>
  <c r="B178" i="3"/>
  <c r="B82" i="3"/>
  <c r="B81" i="3"/>
  <c r="B80" i="3"/>
  <c r="B34" i="3"/>
  <c r="B33" i="3"/>
  <c r="B1770" i="13"/>
  <c r="B827" i="13"/>
  <c r="B1771" i="13"/>
  <c r="B2383" i="13"/>
  <c r="B1673" i="13"/>
  <c r="B785" i="13"/>
  <c r="B1721" i="13"/>
  <c r="B2476" i="13"/>
  <c r="B2103" i="13"/>
  <c r="B2436" i="13"/>
  <c r="B2058" i="13"/>
  <c r="B2012" i="13"/>
  <c r="B1816" i="13"/>
  <c r="B1350" i="13"/>
  <c r="B2481" i="13"/>
  <c r="B1725" i="13"/>
  <c r="B2433" i="13"/>
  <c r="B24" i="14"/>
  <c r="B1113" i="14"/>
  <c r="B786" i="14"/>
  <c r="B350" i="14"/>
  <c r="B70" i="14"/>
  <c r="B495" i="14"/>
  <c r="B825" i="14"/>
  <c r="B1115" i="14"/>
  <c r="B124" i="14"/>
  <c r="B26" i="14"/>
  <c r="B1064" i="14"/>
  <c r="B401" i="14"/>
  <c r="B454" i="14"/>
  <c r="B163" i="14"/>
  <c r="B688" i="13"/>
  <c r="B1155" i="13"/>
  <c r="B1063" i="13"/>
  <c r="B1159" i="13"/>
  <c r="B169" i="13"/>
  <c r="B499" i="13"/>
  <c r="B450" i="13"/>
  <c r="B125" i="13"/>
  <c r="B167" i="13"/>
  <c r="B168" i="13"/>
  <c r="B9088" i="3"/>
  <c r="B8616" i="3"/>
  <c r="B8323" i="3"/>
  <c r="B9423" i="3"/>
  <c r="B8944" i="3"/>
  <c r="B8091" i="3"/>
  <c r="B8662" i="3"/>
  <c r="B8045" i="3"/>
  <c r="B9374" i="3"/>
  <c r="B9040" i="3"/>
  <c r="B9705" i="3"/>
  <c r="B7999" i="3"/>
  <c r="B8664" i="3"/>
  <c r="B8279" i="3"/>
  <c r="B8992" i="3"/>
  <c r="B9375" i="3"/>
  <c r="B9281" i="3"/>
  <c r="B8002" i="3"/>
  <c r="B9283" i="3"/>
  <c r="B8756" i="3"/>
  <c r="B9603" i="3"/>
  <c r="B9657" i="3"/>
  <c r="B9652" i="3"/>
  <c r="B6287" i="3"/>
  <c r="B6101" i="3"/>
  <c r="B7661" i="3"/>
  <c r="B6717" i="3"/>
  <c r="B5956" i="3"/>
  <c r="B6716" i="3"/>
  <c r="B6098" i="3"/>
  <c r="B6055" i="3"/>
  <c r="B6718" i="3"/>
  <c r="B7427" i="3"/>
  <c r="B6383" i="3"/>
  <c r="B5958" i="3"/>
  <c r="B2149" i="13"/>
  <c r="B1345" i="13"/>
  <c r="B1817" i="13"/>
  <c r="B1772" i="13"/>
  <c r="B2434" i="13"/>
  <c r="B1394" i="13"/>
  <c r="B2477" i="13"/>
  <c r="B1445" i="13"/>
  <c r="B1490" i="13"/>
  <c r="B2059" i="13"/>
  <c r="B2479" i="13"/>
  <c r="B1397" i="13"/>
  <c r="B1446" i="13"/>
  <c r="B2482" i="13"/>
  <c r="B735" i="14"/>
  <c r="B497" i="14"/>
  <c r="B1061" i="14"/>
  <c r="B449" i="14"/>
  <c r="B165" i="14"/>
  <c r="B71" i="14"/>
  <c r="B690" i="14"/>
  <c r="B1014" i="14"/>
  <c r="B494" i="14"/>
  <c r="B737" i="14"/>
  <c r="B73" i="14"/>
  <c r="B453" i="14"/>
  <c r="B1154" i="13"/>
  <c r="B1061" i="13"/>
  <c r="B781" i="13"/>
  <c r="B735" i="13"/>
  <c r="B1015" i="13"/>
  <c r="B1011" i="13"/>
  <c r="B685" i="13"/>
  <c r="B495" i="13"/>
  <c r="B73" i="13"/>
  <c r="B71" i="13"/>
  <c r="B351" i="13"/>
  <c r="B355" i="13"/>
  <c r="B356" i="13"/>
  <c r="B9608" i="3"/>
  <c r="B8938" i="3"/>
  <c r="B8753" i="3"/>
  <c r="B7950" i="3"/>
  <c r="B9654" i="3"/>
  <c r="B9422" i="3"/>
  <c r="B8661" i="3"/>
  <c r="B8991" i="3"/>
  <c r="B8715" i="3"/>
  <c r="B9044" i="3"/>
  <c r="B9704" i="3"/>
  <c r="B8094" i="3"/>
  <c r="B8941" i="3"/>
  <c r="B8326" i="3"/>
  <c r="B8990" i="3"/>
  <c r="B8710" i="3"/>
  <c r="B8380" i="3"/>
  <c r="B9376" i="3"/>
  <c r="B8089" i="3"/>
  <c r="B9378" i="3"/>
  <c r="B9039" i="3"/>
  <c r="B9752" i="3"/>
  <c r="B9755" i="3"/>
  <c r="B5961" i="3"/>
  <c r="B7286" i="3"/>
  <c r="B7660" i="3"/>
  <c r="B6667" i="3"/>
  <c r="B5957" i="3"/>
  <c r="B7614" i="3"/>
  <c r="B7290" i="3"/>
  <c r="B8940" i="3"/>
  <c r="B1672" i="13"/>
  <c r="B1675" i="13"/>
  <c r="B786" i="13"/>
  <c r="B1819" i="13"/>
  <c r="B1677" i="13"/>
  <c r="B1820" i="13"/>
  <c r="B1487" i="13"/>
  <c r="B1347" i="13"/>
  <c r="B1821" i="13"/>
  <c r="B2339" i="13"/>
  <c r="B1676" i="13"/>
  <c r="B2104" i="13"/>
  <c r="B1442" i="13"/>
  <c r="B2106" i="13"/>
  <c r="B1351" i="13"/>
  <c r="B1818" i="13"/>
  <c r="B828" i="14"/>
  <c r="B1060" i="14"/>
  <c r="B450" i="14"/>
  <c r="B164" i="14"/>
  <c r="B689" i="14"/>
  <c r="B1013" i="14"/>
  <c r="B493" i="14"/>
  <c r="B824" i="14"/>
  <c r="B123" i="14"/>
  <c r="B736" i="14"/>
  <c r="B1157" i="14"/>
  <c r="B784" i="14"/>
  <c r="B403" i="14"/>
  <c r="B1156" i="13"/>
  <c r="B1064" i="13"/>
  <c r="B782" i="13"/>
  <c r="B780" i="13"/>
  <c r="B1113" i="13"/>
  <c r="B1115" i="13"/>
  <c r="B1065" i="13"/>
  <c r="B784" i="13"/>
  <c r="B732" i="13"/>
  <c r="B163" i="13"/>
  <c r="B120" i="13"/>
  <c r="B122" i="13"/>
  <c r="B398" i="13"/>
  <c r="B28" i="13"/>
  <c r="B29" i="13"/>
  <c r="B402" i="13"/>
  <c r="B403" i="13"/>
  <c r="B404" i="13"/>
  <c r="B8424" i="3"/>
  <c r="B9420" i="3"/>
  <c r="B9328" i="3"/>
  <c r="B8989" i="3"/>
  <c r="B9041" i="3"/>
  <c r="B8051" i="3"/>
  <c r="B8093" i="3"/>
  <c r="B9087" i="3"/>
  <c r="B9703" i="3"/>
  <c r="B8278" i="3"/>
  <c r="B8379" i="3"/>
  <c r="B8987" i="3"/>
  <c r="B828" i="13"/>
  <c r="B1392" i="13"/>
  <c r="B2055" i="13"/>
  <c r="B1726" i="13"/>
  <c r="B2008" i="13"/>
  <c r="B1720" i="13"/>
  <c r="B2151" i="13"/>
  <c r="B2337" i="13"/>
  <c r="B2010" i="13"/>
  <c r="B2385" i="13"/>
  <c r="B1722" i="13"/>
  <c r="B2146" i="13"/>
  <c r="B1349" i="13"/>
  <c r="B2147" i="13"/>
  <c r="B1678" i="13"/>
  <c r="B2148" i="13"/>
  <c r="B1398" i="13"/>
  <c r="B2007" i="13"/>
  <c r="B28" i="14"/>
  <c r="B1063" i="14"/>
  <c r="B734" i="14"/>
  <c r="B23" i="14"/>
  <c r="B122" i="14"/>
  <c r="B1012" i="14"/>
  <c r="B1112" i="14"/>
  <c r="B499" i="14"/>
  <c r="B829" i="14"/>
  <c r="B168" i="14"/>
  <c r="B27" i="14"/>
  <c r="B1112" i="13"/>
  <c r="B829" i="13"/>
  <c r="B783" i="13"/>
  <c r="B830" i="13"/>
  <c r="B689" i="13"/>
  <c r="B1109" i="13"/>
  <c r="B826" i="13"/>
  <c r="B1013" i="13"/>
  <c r="B166" i="13"/>
  <c r="B401" i="13"/>
  <c r="B164" i="13"/>
  <c r="B350" i="13"/>
  <c r="B449" i="13"/>
  <c r="B74" i="13"/>
  <c r="B354" i="13"/>
  <c r="B452" i="13"/>
  <c r="B453" i="13"/>
  <c r="B454" i="13"/>
  <c r="B9089" i="3"/>
  <c r="B8939" i="3"/>
  <c r="B9284" i="3"/>
  <c r="B8277" i="3"/>
  <c r="B7996" i="3"/>
  <c r="B9325" i="3"/>
  <c r="B9750" i="3"/>
  <c r="B9085" i="3"/>
  <c r="B8325" i="3"/>
  <c r="B9278" i="3"/>
  <c r="B8421" i="3"/>
  <c r="B1444" i="13"/>
  <c r="B686" i="13"/>
  <c r="B2105" i="13"/>
  <c r="B1393" i="13"/>
  <c r="B1723" i="13"/>
  <c r="B2435" i="13"/>
  <c r="B1447" i="13"/>
  <c r="B2437" i="13"/>
  <c r="B1396" i="13"/>
  <c r="B2333" i="13"/>
  <c r="B1724" i="13"/>
  <c r="B2334" i="13"/>
  <c r="B1443" i="13"/>
  <c r="B2054" i="13"/>
  <c r="B166" i="14"/>
  <c r="B1114" i="14"/>
  <c r="B72" i="14"/>
  <c r="B398" i="14"/>
  <c r="B75" i="14"/>
  <c r="B121" i="14"/>
  <c r="B1011" i="14"/>
  <c r="B498" i="14"/>
  <c r="B1111" i="14"/>
  <c r="B688" i="14"/>
  <c r="B1016" i="14"/>
  <c r="B354" i="14"/>
  <c r="B74" i="14"/>
  <c r="B1065" i="14"/>
  <c r="B1059" i="14"/>
  <c r="B733" i="13"/>
  <c r="B1016" i="13"/>
  <c r="B736" i="13"/>
  <c r="B1158" i="13"/>
  <c r="B1012" i="13"/>
  <c r="B1059" i="13"/>
  <c r="B165" i="13"/>
  <c r="B75" i="13"/>
  <c r="B26" i="13"/>
  <c r="B448" i="13"/>
  <c r="B493" i="13"/>
  <c r="B494" i="13"/>
  <c r="B24" i="13"/>
  <c r="B496" i="13"/>
  <c r="B8049" i="3"/>
  <c r="B9042" i="3"/>
  <c r="B9607" i="3"/>
  <c r="B8993" i="3"/>
  <c r="B8324" i="3"/>
  <c r="B7949" i="3"/>
  <c r="B7998" i="3"/>
  <c r="B8048" i="3"/>
  <c r="B8619" i="3"/>
  <c r="B9090" i="3"/>
  <c r="B9709" i="3"/>
  <c r="B8378" i="3"/>
  <c r="B8666" i="3"/>
  <c r="B8758" i="3"/>
  <c r="B8712" i="3"/>
  <c r="B690" i="13"/>
  <c r="B2108" i="13"/>
  <c r="B1773" i="13"/>
  <c r="B2102" i="13"/>
  <c r="B2056" i="13"/>
  <c r="B2338" i="13"/>
  <c r="B2011" i="13"/>
  <c r="B1395" i="13"/>
  <c r="B1815" i="13"/>
  <c r="B2480" i="13"/>
  <c r="B2053" i="13"/>
  <c r="B2432" i="13"/>
  <c r="B2381" i="13"/>
  <c r="B1062" i="14"/>
  <c r="B399" i="14"/>
  <c r="B1156" i="14"/>
  <c r="B783" i="14"/>
  <c r="B684" i="14"/>
  <c r="B496" i="14"/>
  <c r="B826" i="14"/>
  <c r="B731" i="14"/>
  <c r="B830" i="14"/>
  <c r="B782" i="14"/>
  <c r="B355" i="14"/>
  <c r="B402" i="14"/>
  <c r="B76" i="14"/>
  <c r="B1157" i="13"/>
  <c r="B687" i="13"/>
  <c r="B1114" i="13"/>
  <c r="B1017" i="13"/>
  <c r="B731" i="13"/>
  <c r="B1110" i="13"/>
  <c r="B737" i="13"/>
  <c r="B451" i="13"/>
  <c r="B497" i="13"/>
  <c r="B121" i="13"/>
  <c r="B352" i="13"/>
  <c r="B400" i="13"/>
  <c r="B119" i="13"/>
  <c r="B8663" i="3"/>
  <c r="B8374" i="3"/>
  <c r="B8425" i="3"/>
  <c r="B8280" i="3"/>
  <c r="B8328" i="3"/>
  <c r="B8423" i="3"/>
  <c r="B2382" i="13"/>
  <c r="B2336" i="13"/>
  <c r="B1346" i="13"/>
  <c r="B1489" i="13"/>
  <c r="B2431" i="13"/>
  <c r="B25" i="14"/>
  <c r="B1155" i="14"/>
  <c r="B119" i="14"/>
  <c r="B733" i="14"/>
  <c r="B1159" i="14"/>
  <c r="B684" i="13"/>
  <c r="B123" i="13"/>
  <c r="B8276" i="3"/>
  <c r="B8376" i="3"/>
  <c r="B8422" i="3"/>
  <c r="B9424" i="3"/>
  <c r="B9380" i="3"/>
  <c r="B9656" i="3"/>
  <c r="B6668" i="3"/>
  <c r="B6382" i="3"/>
  <c r="B7335" i="3"/>
  <c r="B7337" i="3"/>
  <c r="B7715" i="3"/>
  <c r="B6096" i="3"/>
  <c r="B7092" i="3"/>
  <c r="B6057" i="3"/>
  <c r="B6427" i="3"/>
  <c r="B7613" i="3"/>
  <c r="B6052" i="3"/>
  <c r="B7429" i="3"/>
  <c r="B7047" i="3"/>
  <c r="B6764" i="3"/>
  <c r="B7710" i="3"/>
  <c r="B6998" i="3"/>
  <c r="B5343" i="3"/>
  <c r="B4767" i="3"/>
  <c r="B5433" i="3"/>
  <c r="B4011" i="3"/>
  <c r="B4015" i="3"/>
  <c r="B3963" i="3"/>
  <c r="B5763" i="3"/>
  <c r="B5298" i="3"/>
  <c r="B4062" i="3"/>
  <c r="B4726" i="3"/>
  <c r="B5006" i="3"/>
  <c r="B4729" i="3"/>
  <c r="B5057" i="3"/>
  <c r="B3966" i="3"/>
  <c r="B5339" i="3"/>
  <c r="B4014" i="3"/>
  <c r="B5622" i="3"/>
  <c r="B5719" i="3"/>
  <c r="B4627" i="3"/>
  <c r="B4063" i="3"/>
  <c r="B4955" i="3"/>
  <c r="B5766" i="3"/>
  <c r="B2135" i="3"/>
  <c r="B3356" i="3"/>
  <c r="B3359" i="3"/>
  <c r="B3636" i="3"/>
  <c r="B2697" i="3"/>
  <c r="B3681" i="3"/>
  <c r="B2463" i="3"/>
  <c r="B3313" i="3"/>
  <c r="B3405" i="3"/>
  <c r="B2466" i="3"/>
  <c r="B2792" i="3"/>
  <c r="B2138" i="3"/>
  <c r="B3119" i="3"/>
  <c r="B2420" i="3"/>
  <c r="B1014" i="13"/>
  <c r="B2386" i="13"/>
  <c r="B1776" i="13"/>
  <c r="B2107" i="13"/>
  <c r="B353" i="14"/>
  <c r="B451" i="14"/>
  <c r="B732" i="14"/>
  <c r="B169" i="14"/>
  <c r="B29" i="14"/>
  <c r="B25" i="13"/>
  <c r="B72" i="13"/>
  <c r="B353" i="13"/>
  <c r="B7953" i="3"/>
  <c r="B7951" i="3"/>
  <c r="B9330" i="3"/>
  <c r="B7997" i="3"/>
  <c r="B8714" i="3"/>
  <c r="B9706" i="3"/>
  <c r="B9280" i="3"/>
  <c r="B8613" i="3"/>
  <c r="B8759" i="3"/>
  <c r="B9707" i="3"/>
  <c r="B9606" i="3"/>
  <c r="B9751" i="3"/>
  <c r="B7713" i="3"/>
  <c r="B6429" i="3"/>
  <c r="B6621" i="3"/>
  <c r="B7757" i="3"/>
  <c r="B7662" i="3"/>
  <c r="B7386" i="3"/>
  <c r="B6004" i="3"/>
  <c r="B6431" i="3"/>
  <c r="B7091" i="3"/>
  <c r="B6283" i="3"/>
  <c r="B6056" i="3"/>
  <c r="B6626" i="3"/>
  <c r="B7612" i="3"/>
  <c r="B6286" i="3"/>
  <c r="B7430" i="3"/>
  <c r="B7289" i="3"/>
  <c r="B6949" i="3"/>
  <c r="B7760" i="3"/>
  <c r="B7051" i="3"/>
  <c r="B4632" i="3"/>
  <c r="B5437" i="3"/>
  <c r="B5005" i="3"/>
  <c r="B4061" i="3"/>
  <c r="B4389" i="3"/>
  <c r="B4105" i="3"/>
  <c r="B4106" i="3"/>
  <c r="B3964" i="3"/>
  <c r="B5390" i="3"/>
  <c r="B4104" i="3"/>
  <c r="B4769" i="3"/>
  <c r="B5002" i="3"/>
  <c r="B3965" i="3"/>
  <c r="B4633" i="3"/>
  <c r="B5099" i="3"/>
  <c r="B4013" i="3"/>
  <c r="B4679" i="3"/>
  <c r="B5344" i="3"/>
  <c r="B4059" i="3"/>
  <c r="B4954" i="3"/>
  <c r="B5667" i="3"/>
  <c r="B5718" i="3"/>
  <c r="B4723" i="3"/>
  <c r="B4957" i="3"/>
  <c r="B5767" i="3"/>
  <c r="B3451" i="3"/>
  <c r="B2796" i="3"/>
  <c r="B2042" i="3"/>
  <c r="B2136" i="3"/>
  <c r="B3633" i="3"/>
  <c r="B3685" i="3"/>
  <c r="B2747" i="3"/>
  <c r="B2702" i="3"/>
  <c r="B3732" i="3"/>
  <c r="B2462" i="3"/>
  <c r="B3312" i="3"/>
  <c r="B2150" i="13"/>
  <c r="B2006" i="13"/>
  <c r="B2335" i="13"/>
  <c r="B1015" i="14"/>
  <c r="B125" i="14"/>
  <c r="B1160" i="14"/>
  <c r="B824" i="13"/>
  <c r="B8618" i="3"/>
  <c r="B9655" i="3"/>
  <c r="B8274" i="3"/>
  <c r="B8092" i="3"/>
  <c r="B9379" i="3"/>
  <c r="B8426" i="3"/>
  <c r="B8757" i="3"/>
  <c r="B9326" i="3"/>
  <c r="B7955" i="3"/>
  <c r="B9605" i="3"/>
  <c r="B9658" i="3"/>
  <c r="B6097" i="3"/>
  <c r="B6948" i="3"/>
  <c r="B5959" i="3"/>
  <c r="B7615" i="3"/>
  <c r="B6102" i="3"/>
  <c r="B6432" i="3"/>
  <c r="B6335" i="3"/>
  <c r="B7097" i="3"/>
  <c r="B6330" i="3"/>
  <c r="B6005" i="3"/>
  <c r="B6670" i="3"/>
  <c r="B6671" i="3"/>
  <c r="B7611" i="3"/>
  <c r="B6333" i="3"/>
  <c r="B6620" i="3"/>
  <c r="B7714" i="3"/>
  <c r="B7336" i="3"/>
  <c r="B6996" i="3"/>
  <c r="B6950" i="3"/>
  <c r="B7285" i="3"/>
  <c r="B5098" i="3"/>
  <c r="B5393" i="3"/>
  <c r="B4289" i="3"/>
  <c r="B4290" i="3"/>
  <c r="B2009" i="13"/>
  <c r="B1674" i="13"/>
  <c r="B1488" i="13"/>
  <c r="B2478" i="13"/>
  <c r="B1017" i="14"/>
  <c r="B167" i="14"/>
  <c r="B825" i="13"/>
  <c r="B124" i="13"/>
  <c r="B76" i="13"/>
  <c r="B9327" i="3"/>
  <c r="B8709" i="3"/>
  <c r="B9377" i="3"/>
  <c r="B8617" i="3"/>
  <c r="B9331" i="3"/>
  <c r="B8615" i="3"/>
  <c r="B9604" i="3"/>
  <c r="B9753" i="3"/>
  <c r="B7334" i="3"/>
  <c r="B6387" i="3"/>
  <c r="B7046" i="3"/>
  <c r="B7664" i="3"/>
  <c r="B6282" i="3"/>
  <c r="B7428" i="3"/>
  <c r="B6433" i="3"/>
  <c r="B6058" i="3"/>
  <c r="B7000" i="3"/>
  <c r="B6766" i="3"/>
  <c r="B7610" i="3"/>
  <c r="B6386" i="3"/>
  <c r="B7756" i="3"/>
  <c r="B7381" i="3"/>
  <c r="B7049" i="3"/>
  <c r="B6997" i="3"/>
  <c r="B7332" i="3"/>
  <c r="B4342" i="3"/>
  <c r="B4956" i="3"/>
  <c r="B4437" i="3"/>
  <c r="B5621" i="3"/>
  <c r="B5394" i="3"/>
  <c r="B4390" i="3"/>
  <c r="B4436" i="3"/>
  <c r="B5765" i="3"/>
  <c r="B5296" i="3"/>
  <c r="B5293" i="3"/>
  <c r="B4065" i="3"/>
  <c r="B4773" i="3"/>
  <c r="B5435" i="3"/>
  <c r="B1775" i="13"/>
  <c r="B1348" i="13"/>
  <c r="B1441" i="13"/>
  <c r="B404" i="14"/>
  <c r="B780" i="14"/>
  <c r="B687" i="14"/>
  <c r="B1158" i="14"/>
  <c r="B399" i="13"/>
  <c r="B498" i="13"/>
  <c r="B8090" i="3"/>
  <c r="B8375" i="3"/>
  <c r="B8047" i="3"/>
  <c r="B7952" i="3"/>
  <c r="B8095" i="3"/>
  <c r="B7954" i="3"/>
  <c r="B8711" i="3"/>
  <c r="B8614" i="3"/>
  <c r="B8660" i="3"/>
  <c r="B9609" i="3"/>
  <c r="B6099" i="3"/>
  <c r="B7382" i="3"/>
  <c r="B6334" i="3"/>
  <c r="B6622" i="3"/>
  <c r="B6623" i="3"/>
  <c r="B6381" i="3"/>
  <c r="B5962" i="3"/>
  <c r="B6430" i="3"/>
  <c r="B7426" i="3"/>
  <c r="B6625" i="3"/>
  <c r="B6100" i="3"/>
  <c r="B6765" i="3"/>
  <c r="B7616" i="3"/>
  <c r="B6428" i="3"/>
  <c r="B6720" i="3"/>
  <c r="B7663" i="3"/>
  <c r="B7291" i="3"/>
  <c r="B7050" i="3"/>
  <c r="B7385" i="3"/>
  <c r="B3969" i="3"/>
  <c r="B3968" i="3"/>
  <c r="B4010" i="3"/>
  <c r="B5436" i="3"/>
  <c r="B4676" i="3"/>
  <c r="B4677" i="3"/>
  <c r="B4440" i="3"/>
  <c r="B4343" i="3"/>
  <c r="B5341" i="3"/>
  <c r="B5292" i="3"/>
  <c r="B4107" i="3"/>
  <c r="B4952" i="3"/>
  <c r="B5434" i="3"/>
  <c r="B2152" i="13"/>
  <c r="B1774" i="13"/>
  <c r="B2387" i="13"/>
  <c r="B1485" i="13"/>
  <c r="B1154" i="14"/>
  <c r="B120" i="14"/>
  <c r="B1109" i="14"/>
  <c r="B1062" i="13"/>
  <c r="B70" i="13"/>
  <c r="B9653" i="3"/>
  <c r="B8988" i="3"/>
  <c r="B8275" i="3"/>
  <c r="B8665" i="3"/>
  <c r="B8942" i="3"/>
  <c r="B9419" i="3"/>
  <c r="B9084" i="3"/>
  <c r="B9279" i="3"/>
  <c r="B9329" i="3"/>
  <c r="B9754" i="3"/>
  <c r="B6672" i="3"/>
  <c r="B6761" i="3"/>
  <c r="B7759" i="3"/>
  <c r="B7288" i="3"/>
  <c r="B6945" i="3"/>
  <c r="B7045" i="3"/>
  <c r="B6054" i="3"/>
  <c r="B7093" i="3"/>
  <c r="B6336" i="3"/>
  <c r="B6995" i="3"/>
  <c r="B6384" i="3"/>
  <c r="B6385" i="3"/>
  <c r="B6007" i="3"/>
  <c r="B7096" i="3"/>
  <c r="B6999" i="3"/>
  <c r="B6994" i="3"/>
  <c r="B6722" i="3"/>
  <c r="B7665" i="3"/>
  <c r="B7761" i="3"/>
  <c r="B7762" i="3"/>
  <c r="B4337" i="3"/>
  <c r="B4630" i="3"/>
  <c r="B5721" i="3"/>
  <c r="B5723" i="3"/>
  <c r="B5670" i="3"/>
  <c r="B5388" i="3"/>
  <c r="B5056" i="3"/>
  <c r="B4629" i="3"/>
  <c r="B4771" i="3"/>
  <c r="B4064" i="3"/>
  <c r="B1486" i="13"/>
  <c r="B351" i="14"/>
  <c r="B686" i="14"/>
  <c r="B8000" i="3"/>
  <c r="B9708" i="3"/>
  <c r="B7048" i="3"/>
  <c r="B6763" i="3"/>
  <c r="B6669" i="3"/>
  <c r="B7711" i="3"/>
  <c r="B4674" i="3"/>
  <c r="B5342" i="3"/>
  <c r="B5623" i="3"/>
  <c r="B4391" i="3"/>
  <c r="B4680" i="3"/>
  <c r="B4724" i="3"/>
  <c r="B4435" i="3"/>
  <c r="B4060" i="3"/>
  <c r="B5294" i="3"/>
  <c r="B5052" i="3"/>
  <c r="B2041" i="3"/>
  <c r="B3632" i="3"/>
  <c r="B2653" i="3"/>
  <c r="B3118" i="3"/>
  <c r="B3453" i="3"/>
  <c r="B3730" i="3"/>
  <c r="B2981" i="3"/>
  <c r="B2096" i="3"/>
  <c r="B3311" i="3"/>
  <c r="B2369" i="3"/>
  <c r="B3024" i="3"/>
  <c r="B3073" i="3"/>
  <c r="B3120" i="3"/>
  <c r="B2703" i="3"/>
  <c r="B2325" i="3"/>
  <c r="B3026" i="3"/>
  <c r="B1998" i="3"/>
  <c r="B3028" i="3"/>
  <c r="B1389" i="3"/>
  <c r="B1667" i="3"/>
  <c r="B1668" i="3"/>
  <c r="B1483" i="3"/>
  <c r="B1806" i="3"/>
  <c r="B1384" i="3"/>
  <c r="B1481" i="3"/>
  <c r="B1666" i="3"/>
  <c r="B823" i="3"/>
  <c r="B779" i="3"/>
  <c r="B780" i="3"/>
  <c r="B1006" i="3"/>
  <c r="B1052" i="3"/>
  <c r="B1147" i="3"/>
  <c r="B352" i="3"/>
  <c r="B587" i="3"/>
  <c r="B496" i="3"/>
  <c r="B349" i="3"/>
  <c r="B262" i="3"/>
  <c r="B2465" i="3"/>
  <c r="B2322" i="3"/>
  <c r="B3679" i="3"/>
  <c r="B3658" i="3" s="1"/>
  <c r="B1999" i="3"/>
  <c r="B1714" i="3"/>
  <c r="B1338" i="3"/>
  <c r="B1478" i="3"/>
  <c r="B1662" i="3"/>
  <c r="B1665" i="3"/>
  <c r="B1103" i="3"/>
  <c r="B731" i="3"/>
  <c r="B589" i="3"/>
  <c r="B500" i="3"/>
  <c r="B1760" i="3"/>
  <c r="B1341" i="3"/>
  <c r="B1152" i="3"/>
  <c r="B260" i="3"/>
  <c r="B592" i="3"/>
  <c r="B826" i="3"/>
  <c r="B355" i="3"/>
  <c r="B785" i="14"/>
  <c r="B8001" i="3"/>
  <c r="B7425" i="3"/>
  <c r="B7338" i="3"/>
  <c r="B4388" i="3"/>
  <c r="B4392" i="3"/>
  <c r="B5717" i="3"/>
  <c r="B1994" i="3"/>
  <c r="B3406" i="3"/>
  <c r="B3355" i="3"/>
  <c r="B1438" i="3"/>
  <c r="B1713" i="3"/>
  <c r="B1150" i="3"/>
  <c r="B1009" i="3"/>
  <c r="B502" i="3"/>
  <c r="B400" i="14"/>
  <c r="B8713" i="3"/>
  <c r="B7383" i="3"/>
  <c r="B2319" i="3"/>
  <c r="B3307" i="3"/>
  <c r="B1148" i="3"/>
  <c r="B2057" i="13"/>
  <c r="B781" i="14"/>
  <c r="B352" i="14"/>
  <c r="B685" i="14"/>
  <c r="B8377" i="3"/>
  <c r="B8754" i="3"/>
  <c r="B9282" i="3"/>
  <c r="B7333" i="3"/>
  <c r="B6762" i="3"/>
  <c r="B7659" i="3"/>
  <c r="B4439" i="3"/>
  <c r="B5053" i="3"/>
  <c r="B4772" i="3"/>
  <c r="B4727" i="3"/>
  <c r="B5058" i="3"/>
  <c r="B4728" i="3"/>
  <c r="B5001" i="3"/>
  <c r="B5672" i="3"/>
  <c r="B4341" i="3"/>
  <c r="B4770" i="3"/>
  <c r="B5295" i="3"/>
  <c r="B2321" i="3"/>
  <c r="B3448" i="3"/>
  <c r="B3638" i="3"/>
  <c r="B2652" i="3"/>
  <c r="B3729" i="3"/>
  <c r="B2980" i="3"/>
  <c r="B2464" i="3"/>
  <c r="B3309" i="3"/>
  <c r="B2093" i="3"/>
  <c r="B2368" i="3"/>
  <c r="B3023" i="3"/>
  <c r="B3077" i="3"/>
  <c r="B3122" i="3"/>
  <c r="B3680" i="3"/>
  <c r="B2370" i="3"/>
  <c r="B3072" i="3"/>
  <c r="B2045" i="3"/>
  <c r="B3074" i="3"/>
  <c r="B820" i="3"/>
  <c r="B782" i="3"/>
  <c r="B1105" i="3"/>
  <c r="B1807" i="3"/>
  <c r="B1477" i="3"/>
  <c r="B1479" i="3"/>
  <c r="B1664" i="3"/>
  <c r="B1482" i="3"/>
  <c r="B1711" i="3"/>
  <c r="B777" i="3"/>
  <c r="B821" i="3"/>
  <c r="B822" i="3"/>
  <c r="B1153" i="3"/>
  <c r="B825" i="3"/>
  <c r="B588" i="3"/>
  <c r="B354" i="3"/>
  <c r="B590" i="3"/>
  <c r="B263" i="3"/>
  <c r="B3022" i="3"/>
  <c r="B2701" i="3"/>
  <c r="B2422" i="3"/>
  <c r="B3117" i="3"/>
  <c r="B1804" i="3"/>
  <c r="B1764" i="3"/>
  <c r="B1343" i="3"/>
  <c r="B1709" i="3"/>
  <c r="B778" i="3"/>
  <c r="B1005" i="3"/>
  <c r="B824" i="3"/>
  <c r="B1007" i="3"/>
  <c r="B497" i="3"/>
  <c r="B1710" i="3"/>
  <c r="B1058" i="3"/>
  <c r="B1104" i="3"/>
  <c r="B586" i="3"/>
  <c r="B730" i="3"/>
  <c r="B6008" i="3"/>
  <c r="B6951" i="3"/>
  <c r="B6332" i="3"/>
  <c r="B4012" i="3"/>
  <c r="B5345" i="3"/>
  <c r="B5100" i="3"/>
  <c r="B2090" i="3"/>
  <c r="B3452" i="3"/>
  <c r="B3779" i="3"/>
  <c r="B1436" i="3"/>
  <c r="B728" i="3"/>
  <c r="B448" i="14"/>
  <c r="B8327" i="3"/>
  <c r="B4678" i="3"/>
  <c r="B5391" i="3"/>
  <c r="B5392" i="3"/>
  <c r="B3360" i="3"/>
  <c r="B2094" i="3"/>
  <c r="B2324" i="3"/>
  <c r="B1008" i="3"/>
  <c r="B2384" i="13"/>
  <c r="B23" i="13"/>
  <c r="B9749" i="3"/>
  <c r="B9421" i="3"/>
  <c r="B6009" i="3"/>
  <c r="B6284" i="3"/>
  <c r="B5960" i="3"/>
  <c r="B6947" i="3"/>
  <c r="B7712" i="3"/>
  <c r="B5103" i="3"/>
  <c r="B4294" i="3"/>
  <c r="B5054" i="3"/>
  <c r="B5007" i="3"/>
  <c r="B4108" i="3"/>
  <c r="B5102" i="3"/>
  <c r="B3967" i="3"/>
  <c r="B5671" i="3"/>
  <c r="B4394" i="3"/>
  <c r="B4103" i="3"/>
  <c r="B5432" i="3"/>
  <c r="B3123" i="3"/>
  <c r="B2699" i="3"/>
  <c r="B3075" i="3"/>
  <c r="B1995" i="3"/>
  <c r="B2698" i="3"/>
  <c r="B2366" i="3"/>
  <c r="B2750" i="3"/>
  <c r="B2461" i="3"/>
  <c r="B2367" i="3"/>
  <c r="B3408" i="3"/>
  <c r="B1342" i="3"/>
  <c r="B1763" i="3"/>
  <c r="B258" i="3"/>
  <c r="B1715" i="3"/>
  <c r="B1057" i="3"/>
  <c r="B776" i="3"/>
  <c r="B351" i="3"/>
  <c r="B1011" i="3"/>
  <c r="B5768" i="3"/>
  <c r="B3734" i="3"/>
  <c r="B2751" i="3"/>
  <c r="B1808" i="3"/>
  <c r="B1056" i="3"/>
  <c r="B8420" i="3"/>
  <c r="B4340" i="3"/>
  <c r="B3076" i="3"/>
  <c r="B2091" i="3"/>
  <c r="B2752" i="3"/>
  <c r="B3777" i="3"/>
  <c r="B827" i="14"/>
  <c r="B1111" i="13"/>
  <c r="B8943" i="3"/>
  <c r="B8755" i="3"/>
  <c r="B7287" i="3"/>
  <c r="B6003" i="3"/>
  <c r="B7387" i="3"/>
  <c r="B6331" i="3"/>
  <c r="B6673" i="3"/>
  <c r="B7716" i="3"/>
  <c r="B5617" i="3"/>
  <c r="B4288" i="3"/>
  <c r="B5297" i="3"/>
  <c r="B4292" i="3"/>
  <c r="B5669" i="3"/>
  <c r="B5003" i="3"/>
  <c r="B4628" i="3"/>
  <c r="B5764" i="3"/>
  <c r="B2749" i="3"/>
  <c r="B2655" i="3"/>
  <c r="B1996" i="3"/>
  <c r="B2137" i="3"/>
  <c r="B2047" i="3"/>
  <c r="B1997" i="3"/>
  <c r="B3774" i="3"/>
  <c r="B2793" i="3"/>
  <c r="B3358" i="3"/>
  <c r="B2419" i="3"/>
  <c r="B3450" i="3"/>
  <c r="B3682" i="3"/>
  <c r="B3635" i="3"/>
  <c r="B2650" i="3"/>
  <c r="B2134" i="3"/>
  <c r="B3447" i="3"/>
  <c r="B1480" i="3"/>
  <c r="B732" i="3"/>
  <c r="B1434" i="3"/>
  <c r="B1761" i="3"/>
  <c r="B781" i="3"/>
  <c r="B733" i="3"/>
  <c r="B257" i="3"/>
  <c r="B501" i="3"/>
  <c r="B5619" i="3"/>
  <c r="B2139" i="3"/>
  <c r="B2977" i="3"/>
  <c r="B2790" i="3"/>
  <c r="B3637" i="3"/>
  <c r="B1663" i="3"/>
  <c r="B8050" i="3"/>
  <c r="B7431" i="3"/>
  <c r="B4438" i="3"/>
  <c r="B2044" i="3"/>
  <c r="B2976" i="3"/>
  <c r="B1110" i="14"/>
  <c r="B356" i="14"/>
  <c r="B1160" i="13"/>
  <c r="B9418" i="3"/>
  <c r="B9043" i="3"/>
  <c r="B9038" i="3"/>
  <c r="B6719" i="3"/>
  <c r="B6721" i="3"/>
  <c r="B6281" i="3"/>
  <c r="B7094" i="3"/>
  <c r="B6285" i="3"/>
  <c r="B7758" i="3"/>
  <c r="B4016" i="3"/>
  <c r="B5055" i="3"/>
  <c r="B4339" i="3"/>
  <c r="B5340" i="3"/>
  <c r="B4109" i="3"/>
  <c r="B5620" i="3"/>
  <c r="B5720" i="3"/>
  <c r="B5101" i="3"/>
  <c r="B4725" i="3"/>
  <c r="B5389" i="3"/>
  <c r="B2043" i="3"/>
  <c r="B2418" i="3"/>
  <c r="B3684" i="3"/>
  <c r="B3731" i="3"/>
  <c r="B2092" i="3"/>
  <c r="B2467" i="3"/>
  <c r="B3409" i="3"/>
  <c r="B2791" i="3"/>
  <c r="B2654" i="3"/>
  <c r="B2656" i="3"/>
  <c r="B3449" i="3"/>
  <c r="B3634" i="3"/>
  <c r="B3780" i="3"/>
  <c r="B2651" i="3"/>
  <c r="B685" i="3"/>
  <c r="B1107" i="3"/>
  <c r="B1765" i="3"/>
  <c r="B1435" i="3"/>
  <c r="B1390" i="3"/>
  <c r="B1759" i="3"/>
  <c r="B1810" i="3"/>
  <c r="B1762" i="3"/>
  <c r="B1149" i="3"/>
  <c r="B683" i="3"/>
  <c r="B1102" i="3"/>
  <c r="B686" i="3"/>
  <c r="B350" i="3"/>
  <c r="B4293" i="3"/>
  <c r="B2417" i="3"/>
  <c r="B2372" i="3"/>
  <c r="B2978" i="3"/>
  <c r="B2140" i="3"/>
  <c r="B1809" i="3"/>
  <c r="B1108" i="3"/>
  <c r="B6053" i="3"/>
  <c r="B4291" i="3"/>
  <c r="B3778" i="3"/>
  <c r="B3735" i="3"/>
  <c r="B2979" i="3"/>
  <c r="B2746" i="3"/>
  <c r="B1060" i="13"/>
  <c r="B1491" i="13"/>
  <c r="B452" i="14"/>
  <c r="B734" i="13"/>
  <c r="B8329" i="3"/>
  <c r="B8046" i="3"/>
  <c r="B9086" i="3"/>
  <c r="B6006" i="3"/>
  <c r="B6946" i="3"/>
  <c r="B6624" i="3"/>
  <c r="B7095" i="3"/>
  <c r="B6760" i="3"/>
  <c r="B7384" i="3"/>
  <c r="B4953" i="3"/>
  <c r="B4958" i="3"/>
  <c r="B4338" i="3"/>
  <c r="B5438" i="3"/>
  <c r="B4675" i="3"/>
  <c r="B4631" i="3"/>
  <c r="B4393" i="3"/>
  <c r="B5666" i="3"/>
  <c r="B5722" i="3"/>
  <c r="B5104" i="3"/>
  <c r="B5004" i="3"/>
  <c r="B5769" i="3"/>
  <c r="B3683" i="3"/>
  <c r="B2000" i="3"/>
  <c r="B3121" i="3"/>
  <c r="B2371" i="3"/>
  <c r="B2416" i="3"/>
  <c r="B3776" i="3"/>
  <c r="B3733" i="3"/>
  <c r="B2975" i="3"/>
  <c r="B3310" i="3"/>
  <c r="B3403" i="3"/>
  <c r="B2095" i="3"/>
  <c r="B3025" i="3"/>
  <c r="B3078" i="3"/>
  <c r="B2323" i="3"/>
  <c r="B3357" i="3"/>
  <c r="B2421" i="3"/>
  <c r="B2046" i="3"/>
  <c r="B3027" i="3"/>
  <c r="B3775" i="3"/>
  <c r="B2794" i="3"/>
  <c r="B1055" i="3"/>
  <c r="B1385" i="3"/>
  <c r="B1337" i="3"/>
  <c r="B1439" i="3"/>
  <c r="B1387" i="3"/>
  <c r="B1433" i="3"/>
  <c r="B727" i="3"/>
  <c r="B682" i="3"/>
  <c r="B1106" i="3"/>
  <c r="B591" i="3"/>
  <c r="B259" i="3"/>
  <c r="B261" i="3"/>
  <c r="B5618" i="3"/>
  <c r="B4768" i="3"/>
  <c r="B2795" i="3"/>
  <c r="B3308" i="3"/>
  <c r="B2700" i="3"/>
  <c r="B2748" i="3"/>
  <c r="B1712" i="3"/>
  <c r="B1339" i="3"/>
  <c r="B1151" i="3"/>
  <c r="B1053" i="3"/>
  <c r="B27" i="13"/>
  <c r="B5668" i="3"/>
  <c r="B4434" i="3"/>
  <c r="B2320" i="3"/>
  <c r="B3404" i="3"/>
  <c r="B3354" i="3"/>
  <c r="B3407" i="3"/>
  <c r="B1388" i="3"/>
  <c r="B729" i="3"/>
  <c r="B1054" i="3"/>
  <c r="B499" i="3"/>
  <c r="B680" i="3"/>
  <c r="B1805" i="3"/>
  <c r="B498" i="3"/>
  <c r="B1340" i="3"/>
  <c r="B1010" i="3"/>
  <c r="B1437" i="3"/>
  <c r="B353" i="3"/>
  <c r="B684" i="3"/>
  <c r="B1386" i="3"/>
  <c r="B681" i="3"/>
  <c r="B174" i="3"/>
  <c r="B171" i="3"/>
  <c r="B175" i="3"/>
  <c r="B169" i="3"/>
  <c r="B170" i="3"/>
  <c r="B173" i="3"/>
  <c r="B172" i="3"/>
  <c r="B76" i="3"/>
  <c r="B77" i="3"/>
  <c r="B71" i="3"/>
  <c r="B72" i="3"/>
  <c r="B73" i="3"/>
  <c r="B75" i="3"/>
  <c r="B74" i="3"/>
  <c r="K43" i="3"/>
  <c r="B24" i="3"/>
  <c r="B25" i="3"/>
  <c r="B26" i="3"/>
  <c r="B27" i="3"/>
  <c r="B28" i="3"/>
  <c r="B29" i="3"/>
  <c r="B30" i="3"/>
  <c r="L564" i="15" l="1"/>
  <c r="M564" i="15" s="1"/>
  <c r="B567" i="15"/>
  <c r="L567" i="15" s="1"/>
  <c r="M567" i="15" s="1"/>
  <c r="L233" i="14"/>
  <c r="M233" i="14" s="1"/>
  <c r="B235" i="14"/>
  <c r="L235" i="14" s="1"/>
  <c r="M235" i="14" s="1"/>
  <c r="L420" i="3"/>
  <c r="M420" i="3" s="1"/>
  <c r="B3234" i="3"/>
  <c r="L3234" i="3" s="1"/>
  <c r="M3234" i="3" s="1"/>
  <c r="B610" i="13"/>
  <c r="L610" i="13" s="1"/>
  <c r="M610" i="13" s="1"/>
  <c r="B232" i="3"/>
  <c r="L232" i="3" s="1"/>
  <c r="M232" i="3" s="1"/>
  <c r="B470" i="3"/>
  <c r="B2594" i="13"/>
  <c r="L2594" i="13" s="1"/>
  <c r="M2594" i="13" s="1"/>
  <c r="B98" i="15"/>
  <c r="B516" i="15"/>
  <c r="L516" i="15" s="1"/>
  <c r="M516" i="15" s="1"/>
  <c r="B98" i="14"/>
  <c r="B990" i="14"/>
  <c r="B3184" i="3"/>
  <c r="L3184" i="3" s="1"/>
  <c r="M3184" i="3" s="1"/>
  <c r="B6117" i="3"/>
  <c r="L6117" i="3" s="1"/>
  <c r="M6117" i="3" s="1"/>
  <c r="B1169" i="3"/>
  <c r="L1169" i="3" s="1"/>
  <c r="M1169" i="3" s="1"/>
  <c r="B3046" i="3"/>
  <c r="B7114" i="3"/>
  <c r="L7114" i="3" s="1"/>
  <c r="M7114" i="3" s="1"/>
  <c r="B655" i="3"/>
  <c r="L655" i="3" s="1"/>
  <c r="M655" i="3" s="1"/>
  <c r="B1320" i="14"/>
  <c r="L1320" i="14" s="1"/>
  <c r="M1320" i="14" s="1"/>
  <c r="B516" i="14"/>
  <c r="L516" i="14" s="1"/>
  <c r="M516" i="14" s="1"/>
  <c r="B1272" i="13"/>
  <c r="L1272" i="13" s="1"/>
  <c r="M1272" i="13" s="1"/>
  <c r="B372" i="14"/>
  <c r="L372" i="14" s="1"/>
  <c r="M372" i="14" s="1"/>
  <c r="B7162" i="3"/>
  <c r="L7162" i="3" s="1"/>
  <c r="M7162" i="3" s="1"/>
  <c r="B8588" i="3"/>
  <c r="L8588" i="3" s="1"/>
  <c r="M8588" i="3" s="1"/>
  <c r="B9724" i="3"/>
  <c r="L9724" i="3" s="1"/>
  <c r="M9724" i="3" s="1"/>
  <c r="B2954" i="3"/>
  <c r="B229" i="15"/>
  <c r="L229" i="15" s="1"/>
  <c r="M229" i="15" s="1"/>
  <c r="B233" i="15"/>
  <c r="B228" i="15"/>
  <c r="L228" i="15" s="1"/>
  <c r="M228" i="15" s="1"/>
  <c r="B230" i="15"/>
  <c r="L230" i="15" s="1"/>
  <c r="M230" i="15" s="1"/>
  <c r="B659" i="15"/>
  <c r="L659" i="15" s="1"/>
  <c r="M659" i="15" s="1"/>
  <c r="B1226" i="14"/>
  <c r="L1226" i="14" s="1"/>
  <c r="M1226" i="14" s="1"/>
  <c r="B1272" i="14"/>
  <c r="L1272" i="14" s="1"/>
  <c r="M1272" i="14" s="1"/>
  <c r="B5266" i="3"/>
  <c r="L5266" i="3" s="1"/>
  <c r="M5266" i="3" s="1"/>
  <c r="B3845" i="3"/>
  <c r="B7924" i="3"/>
  <c r="L7924" i="3" s="1"/>
  <c r="M7924" i="3" s="1"/>
  <c r="B1319" i="13"/>
  <c r="L1319" i="13" s="1"/>
  <c r="M1319" i="13" s="1"/>
  <c r="B516" i="13"/>
  <c r="L516" i="13" s="1"/>
  <c r="M516" i="13" s="1"/>
  <c r="B1033" i="13"/>
  <c r="L1033" i="13" s="1"/>
  <c r="M1033" i="13" s="1"/>
  <c r="B561" i="13"/>
  <c r="L561" i="13" s="1"/>
  <c r="M561" i="13" s="1"/>
  <c r="B98" i="13"/>
  <c r="B990" i="13"/>
  <c r="B1981" i="13"/>
  <c r="L1981" i="13" s="1"/>
  <c r="M1981" i="13" s="1"/>
  <c r="B659" i="13"/>
  <c r="L659" i="13" s="1"/>
  <c r="M659" i="13" s="1"/>
  <c r="B1129" i="13"/>
  <c r="L1129" i="13" s="1"/>
  <c r="M1129" i="13" s="1"/>
  <c r="B3565" i="3"/>
  <c r="B7633" i="3"/>
  <c r="L7633" i="3" s="1"/>
  <c r="M7633" i="3" s="1"/>
  <c r="B5073" i="3"/>
  <c r="L5073" i="3" s="1"/>
  <c r="M5073" i="3" s="1"/>
  <c r="B9626" i="3"/>
  <c r="L9626" i="3" s="1"/>
  <c r="M9626" i="3" s="1"/>
  <c r="B3850" i="3"/>
  <c r="B9012" i="3"/>
  <c r="B1076" i="3"/>
  <c r="B1733" i="3"/>
  <c r="B3796" i="3"/>
  <c r="L3796" i="3" s="1"/>
  <c r="M3796" i="3" s="1"/>
  <c r="B2625" i="3"/>
  <c r="L2625" i="3" s="1"/>
  <c r="M2625" i="3" s="1"/>
  <c r="B1875" i="3"/>
  <c r="B4554" i="3"/>
  <c r="L4554" i="3" s="1"/>
  <c r="M4554" i="3" s="1"/>
  <c r="B1311" i="3"/>
  <c r="L1311" i="3" s="1"/>
  <c r="M1311" i="3" s="1"/>
  <c r="B6595" i="3"/>
  <c r="L6595" i="3" s="1"/>
  <c r="M6595" i="3" s="1"/>
  <c r="B5738" i="3"/>
  <c r="L5738" i="3" s="1"/>
  <c r="M5738" i="3" s="1"/>
  <c r="B7876" i="3"/>
  <c r="L7876" i="3" s="1"/>
  <c r="M7876" i="3" s="1"/>
  <c r="B5786" i="3"/>
  <c r="L5786" i="3" s="1"/>
  <c r="M5786" i="3" s="1"/>
  <c r="B2436" i="3"/>
  <c r="L2436" i="3" s="1"/>
  <c r="M2436" i="3" s="1"/>
  <c r="B7164" i="3"/>
  <c r="B9204" i="3"/>
  <c r="L9204" i="3" s="1"/>
  <c r="M9204" i="3" s="1"/>
  <c r="B2532" i="3"/>
  <c r="B9869" i="3"/>
  <c r="L9869" i="3" s="1"/>
  <c r="M9869" i="3" s="1"/>
  <c r="B4457" i="3"/>
  <c r="L4457" i="3" s="1"/>
  <c r="M4457" i="3" s="1"/>
  <c r="B6402" i="3"/>
  <c r="L6402" i="3" s="1"/>
  <c r="M6402" i="3" s="1"/>
  <c r="B4362" i="3"/>
  <c r="B9107" i="3"/>
  <c r="L9107" i="3" s="1"/>
  <c r="M9107" i="3" s="1"/>
  <c r="B9677" i="3"/>
  <c r="B516" i="3"/>
  <c r="L516" i="3" s="1"/>
  <c r="M516" i="3" s="1"/>
  <c r="B1921" i="3"/>
  <c r="L1921" i="3" s="1"/>
  <c r="M1921" i="3" s="1"/>
  <c r="B5171" i="3"/>
  <c r="B565" i="15"/>
  <c r="L565" i="15" s="1"/>
  <c r="M565" i="15" s="1"/>
  <c r="B2499" i="13"/>
  <c r="L2499" i="13" s="1"/>
  <c r="M2499" i="13" s="1"/>
  <c r="B608" i="3"/>
  <c r="L608" i="3" s="1"/>
  <c r="M608" i="3" s="1"/>
  <c r="B1177" i="13"/>
  <c r="L1177" i="13" s="1"/>
  <c r="M1177" i="13" s="1"/>
  <c r="B2483" i="3"/>
  <c r="L2483" i="3" s="1"/>
  <c r="M2483" i="3" s="1"/>
  <c r="B4409" i="3"/>
  <c r="L4409" i="3" s="1"/>
  <c r="M4409" i="3" s="1"/>
  <c r="B3653" i="3"/>
  <c r="L3653" i="3" s="1"/>
  <c r="M3653" i="3" s="1"/>
  <c r="B3891" i="3"/>
  <c r="L3891" i="3" s="1"/>
  <c r="M3891" i="3" s="1"/>
  <c r="B2390" i="3"/>
  <c r="B9772" i="3"/>
  <c r="L9772" i="3" s="1"/>
  <c r="M9772" i="3" s="1"/>
  <c r="B1790" i="13"/>
  <c r="L1790" i="13" s="1"/>
  <c r="M1790" i="13" s="1"/>
  <c r="B4602" i="3"/>
  <c r="L4602" i="3" s="1"/>
  <c r="M4602" i="3" s="1"/>
  <c r="B5883" i="3"/>
  <c r="L5883" i="3" s="1"/>
  <c r="M5883" i="3" s="1"/>
  <c r="B2405" i="13"/>
  <c r="L2405" i="13" s="1"/>
  <c r="M2405" i="13" s="1"/>
  <c r="B1129" i="14"/>
  <c r="L1129" i="14" s="1"/>
  <c r="M1129" i="14" s="1"/>
  <c r="B1177" i="14"/>
  <c r="L1177" i="14" s="1"/>
  <c r="M1177" i="14" s="1"/>
  <c r="B468" i="13"/>
  <c r="L468" i="13" s="1"/>
  <c r="M468" i="13" s="1"/>
  <c r="B8493" i="3"/>
  <c r="B611" i="15"/>
  <c r="L611" i="15" s="1"/>
  <c r="M611" i="15" s="1"/>
  <c r="B422" i="15"/>
  <c r="L422" i="15" s="1"/>
  <c r="M422" i="15" s="1"/>
  <c r="B468" i="15"/>
  <c r="L468" i="15" s="1"/>
  <c r="M468" i="15" s="1"/>
  <c r="B372" i="15"/>
  <c r="L372" i="15" s="1"/>
  <c r="M372" i="15" s="1"/>
  <c r="B559" i="15"/>
  <c r="L559" i="15" s="1"/>
  <c r="M559" i="15" s="1"/>
  <c r="B561" i="15"/>
  <c r="L561" i="15" s="1"/>
  <c r="M561" i="15" s="1"/>
  <c r="B560" i="15"/>
  <c r="L560" i="15" s="1"/>
  <c r="M560" i="15" s="1"/>
  <c r="B515" i="15"/>
  <c r="L515" i="15" s="1"/>
  <c r="M515" i="15" s="1"/>
  <c r="B659" i="14"/>
  <c r="L659" i="14" s="1"/>
  <c r="M659" i="14" s="1"/>
  <c r="B565" i="14"/>
  <c r="L565" i="14" s="1"/>
  <c r="M565" i="14" s="1"/>
  <c r="B422" i="14"/>
  <c r="L422" i="14" s="1"/>
  <c r="M422" i="14" s="1"/>
  <c r="B1033" i="14"/>
  <c r="L1033" i="14" s="1"/>
  <c r="M1033" i="14" s="1"/>
  <c r="B1083" i="14"/>
  <c r="L1083" i="14" s="1"/>
  <c r="M1083" i="14" s="1"/>
  <c r="B1221" i="14"/>
  <c r="L1221" i="14" s="1"/>
  <c r="M1221" i="14" s="1"/>
  <c r="B468" i="14"/>
  <c r="L468" i="14" s="1"/>
  <c r="M468" i="14" s="1"/>
  <c r="B1222" i="14"/>
  <c r="L1222" i="14" s="1"/>
  <c r="M1222" i="14" s="1"/>
  <c r="B230" i="14"/>
  <c r="L230" i="14" s="1"/>
  <c r="M230" i="14" s="1"/>
  <c r="B1220" i="14"/>
  <c r="L1220" i="14" s="1"/>
  <c r="M1220" i="14" s="1"/>
  <c r="B229" i="14"/>
  <c r="L229" i="14" s="1"/>
  <c r="M229" i="14" s="1"/>
  <c r="B228" i="14"/>
  <c r="L228" i="14" s="1"/>
  <c r="M228" i="14" s="1"/>
  <c r="B891" i="14"/>
  <c r="L891" i="14" s="1"/>
  <c r="M891" i="14" s="1"/>
  <c r="B1320" i="13"/>
  <c r="L1320" i="13" s="1"/>
  <c r="M1320" i="13" s="1"/>
  <c r="B611" i="13"/>
  <c r="L611" i="13" s="1"/>
  <c r="M611" i="13" s="1"/>
  <c r="B1226" i="13"/>
  <c r="L1226" i="13" s="1"/>
  <c r="M1226" i="13" s="1"/>
  <c r="B2548" i="13"/>
  <c r="L2548" i="13" s="1"/>
  <c r="M2548" i="13" s="1"/>
  <c r="B565" i="13"/>
  <c r="L565" i="13" s="1"/>
  <c r="M565" i="13" s="1"/>
  <c r="B2451" i="13"/>
  <c r="L2451" i="13" s="1"/>
  <c r="M2451" i="13" s="1"/>
  <c r="B1887" i="13"/>
  <c r="L1887" i="13" s="1"/>
  <c r="M1887" i="13" s="1"/>
  <c r="B1933" i="13"/>
  <c r="L1933" i="13" s="1"/>
  <c r="M1933" i="13" s="1"/>
  <c r="B2642" i="13"/>
  <c r="L2642" i="13" s="1"/>
  <c r="M2642" i="13" s="1"/>
  <c r="B1744" i="13"/>
  <c r="L1744" i="13" s="1"/>
  <c r="M1744" i="13" s="1"/>
  <c r="B2355" i="13"/>
  <c r="L2355" i="13" s="1"/>
  <c r="M2355" i="13" s="1"/>
  <c r="B1838" i="13"/>
  <c r="L1838" i="13" s="1"/>
  <c r="M1838" i="13" s="1"/>
  <c r="B422" i="13"/>
  <c r="L422" i="13" s="1"/>
  <c r="M422" i="13" s="1"/>
  <c r="B1083" i="13"/>
  <c r="L1083" i="13" s="1"/>
  <c r="M1083" i="13" s="1"/>
  <c r="B1694" i="13"/>
  <c r="L1694" i="13" s="1"/>
  <c r="M1694" i="13" s="1"/>
  <c r="B372" i="13"/>
  <c r="L372" i="13" s="1"/>
  <c r="M372" i="13" s="1"/>
  <c r="B1683" i="3"/>
  <c r="L1683" i="3" s="1"/>
  <c r="M1683" i="3" s="1"/>
  <c r="B4507" i="3"/>
  <c r="B5836" i="3"/>
  <c r="B5838" i="3" s="1"/>
  <c r="B6500" i="3"/>
  <c r="B5931" i="3"/>
  <c r="L5931" i="3" s="1"/>
  <c r="M5931" i="3" s="1"/>
  <c r="B7259" i="3"/>
  <c r="L7259" i="3" s="1"/>
  <c r="M7259" i="3" s="1"/>
  <c r="B8540" i="3"/>
  <c r="L8540" i="3" s="1"/>
  <c r="M8540" i="3" s="1"/>
  <c r="B8961" i="3"/>
  <c r="L8961" i="3" s="1"/>
  <c r="M8961" i="3" s="1"/>
  <c r="B1968" i="3"/>
  <c r="L1968" i="3" s="1"/>
  <c r="M1968" i="3" s="1"/>
  <c r="B9157" i="3"/>
  <c r="B5218" i="3"/>
  <c r="L5218" i="3" s="1"/>
  <c r="M5218" i="3" s="1"/>
  <c r="B8395" i="3"/>
  <c r="L8395" i="3" s="1"/>
  <c r="M8395" i="3" s="1"/>
  <c r="B3188" i="3"/>
  <c r="B6547" i="3"/>
  <c r="L6547" i="3" s="1"/>
  <c r="M6547" i="3" s="1"/>
  <c r="B7211" i="3"/>
  <c r="L7211" i="3" s="1"/>
  <c r="M7211" i="3" s="1"/>
  <c r="B8348" i="3"/>
  <c r="B3139" i="3"/>
  <c r="L3139" i="3" s="1"/>
  <c r="M3139" i="3" s="1"/>
  <c r="B1218" i="3"/>
  <c r="B9917" i="3"/>
  <c r="L9917" i="3" s="1"/>
  <c r="M9917" i="3" s="1"/>
  <c r="B9822" i="3"/>
  <c r="B1264" i="3"/>
  <c r="L1264" i="3" s="1"/>
  <c r="M1264" i="3" s="1"/>
  <c r="B2578" i="3"/>
  <c r="L2578" i="3" s="1"/>
  <c r="M2578" i="3" s="1"/>
  <c r="B9252" i="3"/>
  <c r="L9252" i="3" s="1"/>
  <c r="M9252" i="3" s="1"/>
  <c r="B3703" i="3"/>
  <c r="B3281" i="3"/>
  <c r="L3281" i="3" s="1"/>
  <c r="M3281" i="3" s="1"/>
  <c r="B7829" i="3"/>
  <c r="B7731" i="3"/>
  <c r="L7731" i="3" s="1"/>
  <c r="M7731" i="3" s="1"/>
  <c r="B561" i="3"/>
  <c r="L561" i="3" s="1"/>
  <c r="M561" i="3" s="1"/>
  <c r="B6968" i="3"/>
  <c r="L6968" i="3" s="1"/>
  <c r="M6968" i="3" s="1"/>
  <c r="B6450" i="3"/>
  <c r="L6450" i="3" s="1"/>
  <c r="M6450" i="3" s="1"/>
  <c r="B5121" i="3"/>
  <c r="L5121" i="3" s="1"/>
  <c r="M5121" i="3" s="1"/>
  <c r="B7066" i="3"/>
  <c r="L7066" i="3" s="1"/>
  <c r="M7066" i="3" s="1"/>
  <c r="B1826" i="3"/>
  <c r="L1826" i="3" s="1"/>
  <c r="M1826" i="3" s="1"/>
  <c r="B9059" i="3"/>
  <c r="L9059" i="3" s="1"/>
  <c r="M9059" i="3" s="1"/>
  <c r="B2996" i="3"/>
  <c r="L2996" i="3" s="1"/>
  <c r="M2996" i="3" s="1"/>
  <c r="B7684" i="3"/>
  <c r="B4975" i="3"/>
  <c r="L4975" i="3" s="1"/>
  <c r="M4975" i="3" s="1"/>
  <c r="B564" i="13"/>
  <c r="B567" i="13" s="1"/>
  <c r="L567" i="13" s="1"/>
  <c r="M567" i="13" s="1"/>
  <c r="B2216" i="13"/>
  <c r="B559" i="13"/>
  <c r="L559" i="13" s="1"/>
  <c r="M559" i="13" s="1"/>
  <c r="B1886" i="13"/>
  <c r="B2641" i="13"/>
  <c r="B1555" i="13"/>
  <c r="B560" i="13"/>
  <c r="L560" i="13" s="1"/>
  <c r="M560" i="13" s="1"/>
  <c r="B230" i="13"/>
  <c r="L230" i="13" s="1"/>
  <c r="M230" i="13" s="1"/>
  <c r="B891" i="13"/>
  <c r="L891" i="13" s="1"/>
  <c r="M891" i="13" s="1"/>
  <c r="B189" i="13"/>
  <c r="B228" i="13"/>
  <c r="L228" i="13" s="1"/>
  <c r="M228" i="13" s="1"/>
  <c r="B229" i="13"/>
  <c r="L229" i="13" s="1"/>
  <c r="M229" i="13" s="1"/>
  <c r="B3749" i="3"/>
  <c r="L3749" i="3" s="1"/>
  <c r="M3749" i="3" s="1"/>
  <c r="B8297" i="3"/>
  <c r="L8297" i="3" s="1"/>
  <c r="M8297" i="3" s="1"/>
  <c r="B5691" i="3"/>
  <c r="B7779" i="3"/>
  <c r="L7779" i="3" s="1"/>
  <c r="M7779" i="3" s="1"/>
  <c r="B7019" i="3"/>
  <c r="B6355" i="3"/>
  <c r="B1122" i="3"/>
  <c r="L1122" i="3" s="1"/>
  <c r="M1122" i="3" s="1"/>
  <c r="B5640" i="3"/>
  <c r="L5640" i="3" s="1"/>
  <c r="M5640" i="3" s="1"/>
  <c r="B3938" i="3"/>
  <c r="L3938" i="3" s="1"/>
  <c r="M3938" i="3" s="1"/>
  <c r="B3092" i="3"/>
  <c r="L3092" i="3" s="1"/>
  <c r="M3092" i="3" s="1"/>
  <c r="B2340" i="3"/>
  <c r="L2340" i="3" s="1"/>
  <c r="M2340" i="3" s="1"/>
  <c r="B5026" i="3"/>
  <c r="B8443" i="3"/>
  <c r="L8443" i="3" s="1"/>
  <c r="M8443" i="3" s="1"/>
  <c r="B4311" i="3"/>
  <c r="L4311" i="3" s="1"/>
  <c r="M4311" i="3" s="1"/>
  <c r="B1779" i="3"/>
  <c r="L1779" i="3" s="1"/>
  <c r="M1779" i="3" s="1"/>
  <c r="B6304" i="3"/>
  <c r="L6304" i="3" s="1"/>
  <c r="M6304" i="3" s="1"/>
  <c r="B1026" i="3"/>
  <c r="L1026" i="3" s="1"/>
  <c r="M1026" i="3" s="1"/>
  <c r="B370" i="3"/>
  <c r="L370" i="3" s="1"/>
  <c r="M370" i="3" s="1"/>
  <c r="B5407" i="3"/>
  <c r="B1874" i="3"/>
  <c r="B1877" i="3" s="1"/>
  <c r="B5496" i="3"/>
  <c r="L5496" i="3" s="1"/>
  <c r="M5496" i="3" s="1"/>
  <c r="B7491" i="3"/>
  <c r="L7491" i="3" s="1"/>
  <c r="M7491" i="3" s="1"/>
  <c r="B5498" i="3"/>
  <c r="L5498" i="3" s="1"/>
  <c r="M5498" i="3" s="1"/>
  <c r="B3516" i="3"/>
  <c r="B3890" i="3"/>
  <c r="B7490" i="3"/>
  <c r="L7490" i="3" s="1"/>
  <c r="M7490" i="3" s="1"/>
  <c r="B4600" i="3"/>
  <c r="B1546" i="3"/>
  <c r="B1548" i="3" s="1"/>
  <c r="B9487" i="3"/>
  <c r="B9489" i="3" s="1"/>
  <c r="L9489" i="3" s="1"/>
  <c r="M9489" i="3" s="1"/>
  <c r="B7823" i="3"/>
  <c r="L7823" i="3" s="1"/>
  <c r="M7823" i="3" s="1"/>
  <c r="B3844" i="3"/>
  <c r="B3847" i="3" s="1"/>
  <c r="B7494" i="3"/>
  <c r="B7496" i="3" s="1"/>
  <c r="L7496" i="3" s="1"/>
  <c r="M7496" i="3" s="1"/>
  <c r="B4836" i="3"/>
  <c r="B4838" i="3" s="1"/>
  <c r="B8491" i="3"/>
  <c r="B8158" i="3"/>
  <c r="B8160" i="3" s="1"/>
  <c r="L8160" i="3" s="1"/>
  <c r="M8160" i="3" s="1"/>
  <c r="B3937" i="3"/>
  <c r="B4505" i="3"/>
  <c r="B4509" i="3" s="1"/>
  <c r="B1173" i="3"/>
  <c r="B5216" i="3"/>
  <c r="B1214" i="3"/>
  <c r="L1214" i="3" s="1"/>
  <c r="M1214" i="3" s="1"/>
  <c r="B6165" i="3"/>
  <c r="B6167" i="3" s="1"/>
  <c r="L6167" i="3" s="1"/>
  <c r="M6167" i="3" s="1"/>
  <c r="B5169" i="3"/>
  <c r="B5173" i="3" s="1"/>
  <c r="B469" i="3"/>
  <c r="B472" i="3" s="1"/>
  <c r="B654" i="3"/>
  <c r="B6824" i="3"/>
  <c r="L6824" i="3" s="1"/>
  <c r="M6824" i="3" s="1"/>
  <c r="B9111" i="3"/>
  <c r="B1871" i="3"/>
  <c r="L1871" i="3" s="1"/>
  <c r="M1871" i="3" s="1"/>
  <c r="B140" i="3"/>
  <c r="L140" i="3" s="1"/>
  <c r="M140" i="3" s="1"/>
  <c r="B886" i="3"/>
  <c r="L886" i="3" s="1"/>
  <c r="M886" i="3" s="1"/>
  <c r="B9202" i="3"/>
  <c r="B2203" i="3"/>
  <c r="B8871" i="3"/>
  <c r="B8586" i="3"/>
  <c r="B2527" i="3"/>
  <c r="L2527" i="3" s="1"/>
  <c r="M2527" i="3" s="1"/>
  <c r="B4168" i="3"/>
  <c r="L4168" i="3" s="1"/>
  <c r="M4168" i="3" s="1"/>
  <c r="B9484" i="3"/>
  <c r="L9484" i="3" s="1"/>
  <c r="M9484" i="3" s="1"/>
  <c r="B4172" i="3"/>
  <c r="B4174" i="3" s="1"/>
  <c r="L4174" i="3" s="1"/>
  <c r="M4174" i="3" s="1"/>
  <c r="B850" i="14"/>
  <c r="B8822" i="3"/>
  <c r="B8824" i="3" s="1"/>
  <c r="L8824" i="3" s="1"/>
  <c r="M8824" i="3" s="1"/>
  <c r="B1225" i="14"/>
  <c r="B1228" i="14" s="1"/>
  <c r="L1228" i="14" s="1"/>
  <c r="M1228" i="14" s="1"/>
  <c r="B845" i="3"/>
  <c r="B2815" i="3"/>
  <c r="B2950" i="3"/>
  <c r="L2950" i="3" s="1"/>
  <c r="M2950" i="3" s="1"/>
  <c r="B143" i="3"/>
  <c r="B145" i="3" s="1"/>
  <c r="B8154" i="3"/>
  <c r="L8154" i="3" s="1"/>
  <c r="M8154" i="3" s="1"/>
  <c r="B2213" i="13"/>
  <c r="L2213" i="13" s="1"/>
  <c r="M2213" i="13" s="1"/>
  <c r="B3233" i="3"/>
  <c r="B7783" i="3"/>
  <c r="B2547" i="13"/>
  <c r="B2550" i="13" s="1"/>
  <c r="L2550" i="13" s="1"/>
  <c r="M2550" i="13" s="1"/>
  <c r="B6829" i="3"/>
  <c r="B6831" i="3" s="1"/>
  <c r="L6831" i="3" s="1"/>
  <c r="M6831" i="3" s="1"/>
  <c r="B189" i="14"/>
  <c r="B1181" i="14"/>
  <c r="B2859" i="3"/>
  <c r="B2861" i="3" s="1"/>
  <c r="B980" i="3"/>
  <c r="L980" i="3" s="1"/>
  <c r="M980" i="3" s="1"/>
  <c r="B2577" i="3"/>
  <c r="B2593" i="13"/>
  <c r="B189" i="15"/>
  <c r="B6498" i="3"/>
  <c r="B1217" i="3"/>
  <c r="B1220" i="3" s="1"/>
  <c r="B894" i="14"/>
  <c r="B8538" i="3"/>
  <c r="B610" i="15"/>
  <c r="B233" i="13"/>
  <c r="B889" i="3"/>
  <c r="B891" i="3" s="1"/>
  <c r="B7922" i="3"/>
  <c r="B1271" i="14"/>
  <c r="B560" i="3"/>
  <c r="B2531" i="3"/>
  <c r="B2534" i="3" s="1"/>
  <c r="B3607" i="3"/>
  <c r="L3607" i="3" s="1"/>
  <c r="M3607" i="3" s="1"/>
  <c r="B324" i="3"/>
  <c r="L324" i="3" s="1"/>
  <c r="M324" i="3" s="1"/>
  <c r="B5166" i="3"/>
  <c r="L5166" i="3" s="1"/>
  <c r="M5166" i="3" s="1"/>
  <c r="B4263" i="3"/>
  <c r="B520" i="13"/>
  <c r="B1600" i="13"/>
  <c r="L1600" i="13" s="1"/>
  <c r="M1600" i="13" s="1"/>
  <c r="B2" i="15"/>
  <c r="B9820" i="3"/>
  <c r="B1932" i="13"/>
  <c r="B9867" i="3"/>
  <c r="B1591" i="3"/>
  <c r="L1591" i="3" s="1"/>
  <c r="M1591" i="3" s="1"/>
  <c r="B884" i="3"/>
  <c r="L884" i="3" s="1"/>
  <c r="M884" i="3" s="1"/>
  <c r="B2624" i="3"/>
  <c r="B4552" i="3"/>
  <c r="B1225" i="13"/>
  <c r="B1228" i="13" s="1"/>
  <c r="L1228" i="13" s="1"/>
  <c r="M1228" i="13" s="1"/>
  <c r="B8203" i="3"/>
  <c r="B9873" i="3"/>
  <c r="B885" i="3"/>
  <c r="L885" i="3" s="1"/>
  <c r="M885" i="3" s="1"/>
  <c r="B3512" i="3"/>
  <c r="L3512" i="3" s="1"/>
  <c r="M3512" i="3" s="1"/>
  <c r="B7827" i="3"/>
  <c r="B1842" i="13"/>
  <c r="B6545" i="3"/>
  <c r="B894" i="13"/>
  <c r="B1870" i="3"/>
  <c r="L1870" i="3" s="1"/>
  <c r="M1870" i="3" s="1"/>
  <c r="B6454" i="3"/>
  <c r="B2252" i="3"/>
  <c r="B5831" i="3"/>
  <c r="L5831" i="3" s="1"/>
  <c r="M5831" i="3" s="1"/>
  <c r="B139" i="3"/>
  <c r="L139" i="3" s="1"/>
  <c r="M139" i="3" s="1"/>
  <c r="B6494" i="3"/>
  <c r="L6494" i="3" s="1"/>
  <c r="M6494" i="3" s="1"/>
  <c r="B7158" i="3"/>
  <c r="L7158" i="3" s="1"/>
  <c r="M7158" i="3" s="1"/>
  <c r="B3800" i="3"/>
  <c r="B5125" i="3"/>
  <c r="B6825" i="3"/>
  <c r="L6825" i="3" s="1"/>
  <c r="M6825" i="3" s="1"/>
  <c r="B2543" i="13"/>
  <c r="L2543" i="13" s="1"/>
  <c r="M2543" i="13" s="1"/>
  <c r="B8817" i="3"/>
  <c r="L8817" i="3" s="1"/>
  <c r="M8817" i="3" s="1"/>
  <c r="B1883" i="13"/>
  <c r="L1883" i="13" s="1"/>
  <c r="M1883" i="13" s="1"/>
  <c r="B899" i="13"/>
  <c r="B6493" i="3"/>
  <c r="L6493" i="3" s="1"/>
  <c r="M6493" i="3" s="1"/>
  <c r="B933" i="3"/>
  <c r="L933" i="3" s="1"/>
  <c r="M933" i="3" s="1"/>
  <c r="B231" i="3"/>
  <c r="L231" i="3" s="1"/>
  <c r="M231" i="3" s="1"/>
  <c r="B5164" i="3"/>
  <c r="L5164" i="3" s="1"/>
  <c r="M5164" i="3" s="1"/>
  <c r="B3560" i="3"/>
  <c r="L3560" i="3" s="1"/>
  <c r="M3560" i="3" s="1"/>
  <c r="B890" i="14"/>
  <c r="L890" i="14" s="1"/>
  <c r="M890" i="14" s="1"/>
  <c r="B9482" i="3"/>
  <c r="L9482" i="3" s="1"/>
  <c r="M9482" i="3" s="1"/>
  <c r="B8866" i="3"/>
  <c r="L8866" i="3" s="1"/>
  <c r="M8866" i="3" s="1"/>
  <c r="B6826" i="3"/>
  <c r="L6826" i="3" s="1"/>
  <c r="M6826" i="3" s="1"/>
  <c r="B8778" i="3"/>
  <c r="B99" i="3"/>
  <c r="B8155" i="3"/>
  <c r="L8155" i="3" s="1"/>
  <c r="M8155" i="3" s="1"/>
  <c r="B1830" i="3"/>
  <c r="B9776" i="3"/>
  <c r="B465" i="3"/>
  <c r="L465" i="3" s="1"/>
  <c r="M465" i="3" s="1"/>
  <c r="B1552" i="13"/>
  <c r="L1552" i="13" s="1"/>
  <c r="M1552" i="13" s="1"/>
  <c r="B6785" i="3"/>
  <c r="B7157" i="3"/>
  <c r="L7157" i="3" s="1"/>
  <c r="M7157" i="3" s="1"/>
  <c r="B6495" i="3"/>
  <c r="L6495" i="3" s="1"/>
  <c r="M6495" i="3" s="1"/>
  <c r="B3839" i="3"/>
  <c r="L3839" i="3" s="1"/>
  <c r="M3839" i="3" s="1"/>
  <c r="B8487" i="3"/>
  <c r="L8487" i="3" s="1"/>
  <c r="M8487" i="3" s="1"/>
  <c r="B2903" i="3"/>
  <c r="L2903" i="3" s="1"/>
  <c r="M2903" i="3" s="1"/>
  <c r="B1542" i="3"/>
  <c r="L1542" i="3" s="1"/>
  <c r="M1542" i="3" s="1"/>
  <c r="B4792" i="3"/>
  <c r="B6121" i="3"/>
  <c r="B8447" i="3"/>
  <c r="B2542" i="13"/>
  <c r="L2542" i="13" s="1"/>
  <c r="M2542" i="13" s="1"/>
  <c r="B7489" i="3"/>
  <c r="L7489" i="3" s="1"/>
  <c r="M7489" i="3" s="1"/>
  <c r="B8818" i="3"/>
  <c r="L8818" i="3" s="1"/>
  <c r="M8818" i="3" s="1"/>
  <c r="B889" i="14"/>
  <c r="L889" i="14" s="1"/>
  <c r="M889" i="14" s="1"/>
  <c r="B1212" i="3"/>
  <c r="L1212" i="3" s="1"/>
  <c r="M1212" i="3" s="1"/>
  <c r="B9483" i="3"/>
  <c r="L9483" i="3" s="1"/>
  <c r="M9483" i="3" s="1"/>
  <c r="B3840" i="3"/>
  <c r="L3840" i="3" s="1"/>
  <c r="M3840" i="3" s="1"/>
  <c r="B894" i="3"/>
  <c r="B4841" i="3"/>
  <c r="B1590" i="3"/>
  <c r="L1590" i="3" s="1"/>
  <c r="M1590" i="3" s="1"/>
  <c r="B4502" i="3"/>
  <c r="L4502" i="3" s="1"/>
  <c r="M4502" i="3" s="1"/>
  <c r="B2199" i="3"/>
  <c r="L2199" i="3" s="1"/>
  <c r="M2199" i="3" s="1"/>
  <c r="B7824" i="3"/>
  <c r="L7824" i="3" s="1"/>
  <c r="M7824" i="3" s="1"/>
  <c r="B560" i="14"/>
  <c r="L560" i="14" s="1"/>
  <c r="M560" i="14" s="1"/>
  <c r="B9443" i="3"/>
  <c r="B9151" i="3"/>
  <c r="L9151" i="3" s="1"/>
  <c r="M9151" i="3" s="1"/>
  <c r="B8819" i="3"/>
  <c r="L8819" i="3" s="1"/>
  <c r="M8819" i="3" s="1"/>
  <c r="B7159" i="3"/>
  <c r="L7159" i="3" s="1"/>
  <c r="M7159" i="3" s="1"/>
  <c r="B3182" i="3"/>
  <c r="L3182" i="3" s="1"/>
  <c r="M3182" i="3" s="1"/>
  <c r="B3143" i="3"/>
  <c r="B3183" i="3"/>
  <c r="L3183" i="3" s="1"/>
  <c r="M3183" i="3" s="1"/>
  <c r="B7118" i="3"/>
  <c r="B1262" i="3"/>
  <c r="L1262" i="3" s="1"/>
  <c r="M1262" i="3" s="1"/>
  <c r="B4833" i="3"/>
  <c r="L4833" i="3" s="1"/>
  <c r="M4833" i="3" s="1"/>
  <c r="B138" i="3"/>
  <c r="L138" i="3" s="1"/>
  <c r="M138" i="3" s="1"/>
  <c r="B8153" i="3"/>
  <c r="L8153" i="3" s="1"/>
  <c r="M8153" i="3" s="1"/>
  <c r="B2211" i="13"/>
  <c r="L2211" i="13" s="1"/>
  <c r="M2211" i="13" s="1"/>
  <c r="B3841" i="3"/>
  <c r="L3841" i="3" s="1"/>
  <c r="M3841" i="3" s="1"/>
  <c r="B5165" i="3"/>
  <c r="L5165" i="3" s="1"/>
  <c r="M5165" i="3" s="1"/>
  <c r="B5497" i="3"/>
  <c r="L5497" i="3" s="1"/>
  <c r="M5497" i="3" s="1"/>
  <c r="B1181" i="13"/>
  <c r="B8114" i="3"/>
  <c r="B561" i="14"/>
  <c r="L561" i="14" s="1"/>
  <c r="M561" i="14" s="1"/>
  <c r="B4500" i="3"/>
  <c r="L4500" i="3" s="1"/>
  <c r="M4500" i="3" s="1"/>
  <c r="B1213" i="3"/>
  <c r="L1213" i="3" s="1"/>
  <c r="M1213" i="3" s="1"/>
  <c r="B7822" i="3"/>
  <c r="L7822" i="3" s="1"/>
  <c r="M7822" i="3" s="1"/>
  <c r="B6161" i="3"/>
  <c r="L6161" i="3" s="1"/>
  <c r="M6161" i="3" s="1"/>
  <c r="B850" i="13"/>
  <c r="B5457" i="3"/>
  <c r="B7450" i="3"/>
  <c r="B4167" i="3"/>
  <c r="L4167" i="3" s="1"/>
  <c r="M4167" i="3" s="1"/>
  <c r="B2854" i="3"/>
  <c r="L2854" i="3" s="1"/>
  <c r="M2854" i="3" s="1"/>
  <c r="B3511" i="3"/>
  <c r="L3511" i="3" s="1"/>
  <c r="M3511" i="3" s="1"/>
  <c r="B6160" i="3"/>
  <c r="L6160" i="3" s="1"/>
  <c r="M6160" i="3" s="1"/>
  <c r="B890" i="13"/>
  <c r="L890" i="13" s="1"/>
  <c r="M890" i="13" s="1"/>
  <c r="B1502" i="3"/>
  <c r="B9816" i="3"/>
  <c r="L9816" i="3" s="1"/>
  <c r="M9816" i="3" s="1"/>
  <c r="B4501" i="3"/>
  <c r="L4501" i="3" s="1"/>
  <c r="M4501" i="3" s="1"/>
  <c r="B559" i="14"/>
  <c r="L559" i="14" s="1"/>
  <c r="M559" i="14" s="1"/>
  <c r="B520" i="15"/>
  <c r="B6162" i="3"/>
  <c r="L6162" i="3" s="1"/>
  <c r="M6162" i="3" s="1"/>
  <c r="B464" i="3"/>
  <c r="L464" i="3" s="1"/>
  <c r="M464" i="3" s="1"/>
  <c r="B2864" i="3"/>
  <c r="B1869" i="3"/>
  <c r="L1869" i="3" s="1"/>
  <c r="M1869" i="3" s="1"/>
  <c r="B425" i="3"/>
  <c r="B466" i="3"/>
  <c r="L466" i="3" s="1"/>
  <c r="M466" i="3" s="1"/>
  <c r="B238" i="15"/>
  <c r="B5790" i="3"/>
  <c r="B4128" i="3"/>
  <c r="B2503" i="13"/>
  <c r="B4461" i="3"/>
  <c r="B520" i="14"/>
  <c r="B1550" i="13"/>
  <c r="L1550" i="13" s="1"/>
  <c r="M1550" i="13" s="1"/>
  <c r="B2159" i="3"/>
  <c r="B1268" i="3"/>
  <c r="B652" i="3"/>
  <c r="L652" i="3" s="1"/>
  <c r="M652" i="3" s="1"/>
  <c r="B651" i="3"/>
  <c r="L651" i="3" s="1"/>
  <c r="M651" i="3" s="1"/>
  <c r="B1511" i="13"/>
  <c r="B2544" i="13"/>
  <c r="L2544" i="13" s="1"/>
  <c r="M2544" i="13" s="1"/>
  <c r="B9817" i="3"/>
  <c r="L9817" i="3" s="1"/>
  <c r="M9817" i="3" s="1"/>
  <c r="B1220" i="13"/>
  <c r="L1220" i="13" s="1"/>
  <c r="M1220" i="13" s="1"/>
  <c r="B2487" i="3"/>
  <c r="B9152" i="3"/>
  <c r="L9152" i="3" s="1"/>
  <c r="M9152" i="3" s="1"/>
  <c r="B2212" i="13"/>
  <c r="L2212" i="13" s="1"/>
  <c r="M2212" i="13" s="1"/>
  <c r="B3187" i="3"/>
  <c r="B3190" i="3" s="1"/>
  <c r="B9208" i="3"/>
  <c r="B8207" i="3"/>
  <c r="B1231" i="14"/>
  <c r="B7169" i="3"/>
  <c r="B1310" i="3"/>
  <c r="L1310" i="3" s="1"/>
  <c r="M1310" i="3" s="1"/>
  <c r="B7209" i="3"/>
  <c r="L7209" i="3" s="1"/>
  <c r="M7209" i="3" s="1"/>
  <c r="B1978" i="13"/>
  <c r="L1978" i="13" s="1"/>
  <c r="M1978" i="13" s="1"/>
  <c r="B1977" i="13"/>
  <c r="L1977" i="13" s="1"/>
  <c r="M1977" i="13" s="1"/>
  <c r="B1979" i="13"/>
  <c r="L1979" i="13" s="1"/>
  <c r="M1979" i="13" s="1"/>
  <c r="B1976" i="13"/>
  <c r="L1976" i="13" s="1"/>
  <c r="M1976" i="13" s="1"/>
  <c r="B1937" i="13"/>
  <c r="B520" i="3"/>
  <c r="B899" i="14"/>
  <c r="B1223" i="3"/>
  <c r="B559" i="3"/>
  <c r="L559" i="3" s="1"/>
  <c r="M559" i="3" s="1"/>
  <c r="B4217" i="3"/>
  <c r="L4217" i="3" s="1"/>
  <c r="M4217" i="3" s="1"/>
  <c r="B8911" i="3"/>
  <c r="L8911" i="3" s="1"/>
  <c r="M8911" i="3" s="1"/>
  <c r="B8910" i="3"/>
  <c r="L8910" i="3" s="1"/>
  <c r="M8910" i="3" s="1"/>
  <c r="B1316" i="14"/>
  <c r="L1316" i="14" s="1"/>
  <c r="M1316" i="14" s="1"/>
  <c r="B1318" i="14"/>
  <c r="L1318" i="14" s="1"/>
  <c r="M1318" i="14" s="1"/>
  <c r="B1315" i="14"/>
  <c r="L1315" i="14" s="1"/>
  <c r="M1315" i="14" s="1"/>
  <c r="B1317" i="14"/>
  <c r="L1317" i="14" s="1"/>
  <c r="M1317" i="14" s="1"/>
  <c r="B1276" i="14"/>
  <c r="B1892" i="13"/>
  <c r="B7582" i="3"/>
  <c r="L7582" i="3" s="1"/>
  <c r="M7582" i="3" s="1"/>
  <c r="B7583" i="3"/>
  <c r="L7583" i="3" s="1"/>
  <c r="M7583" i="3" s="1"/>
  <c r="B2592" i="13"/>
  <c r="L2592" i="13" s="1"/>
  <c r="M2592" i="13" s="1"/>
  <c r="B1551" i="13"/>
  <c r="L1551" i="13" s="1"/>
  <c r="M1551" i="13" s="1"/>
  <c r="B8488" i="3"/>
  <c r="L8488" i="3" s="1"/>
  <c r="M8488" i="3" s="1"/>
  <c r="B1541" i="3"/>
  <c r="L1541" i="3" s="1"/>
  <c r="M1541" i="3" s="1"/>
  <c r="B3513" i="3"/>
  <c r="L3513" i="3" s="1"/>
  <c r="M3513" i="3" s="1"/>
  <c r="B2200" i="3"/>
  <c r="L2200" i="3" s="1"/>
  <c r="M2200" i="3" s="1"/>
  <c r="B6551" i="3"/>
  <c r="B2537" i="3"/>
  <c r="B7543" i="3"/>
  <c r="B192" i="3"/>
  <c r="B4885" i="3"/>
  <c r="B5264" i="3"/>
  <c r="L5264" i="3" s="1"/>
  <c r="M5264" i="3" s="1"/>
  <c r="B2208" i="3"/>
  <c r="B2307" i="13"/>
  <c r="L2307" i="13" s="1"/>
  <c r="M2307" i="13" s="1"/>
  <c r="B2306" i="13"/>
  <c r="L2306" i="13" s="1"/>
  <c r="M2306" i="13" s="1"/>
  <c r="B2305" i="13"/>
  <c r="L2305" i="13" s="1"/>
  <c r="M2305" i="13" s="1"/>
  <c r="B2304" i="13"/>
  <c r="L2304" i="13" s="1"/>
  <c r="M2304" i="13" s="1"/>
  <c r="B2265" i="13"/>
  <c r="B2908" i="3"/>
  <c r="B612" i="3"/>
  <c r="B1965" i="3"/>
  <c r="L1965" i="3" s="1"/>
  <c r="M1965" i="3" s="1"/>
  <c r="B1964" i="3"/>
  <c r="L1964" i="3" s="1"/>
  <c r="M1964" i="3" s="1"/>
  <c r="B4925" i="3"/>
  <c r="L4925" i="3" s="1"/>
  <c r="M4925" i="3" s="1"/>
  <c r="B4924" i="3"/>
  <c r="L4924" i="3" s="1"/>
  <c r="M4924" i="3" s="1"/>
  <c r="B3604" i="3"/>
  <c r="L3604" i="3" s="1"/>
  <c r="M3604" i="3" s="1"/>
  <c r="B3605" i="3"/>
  <c r="L3605" i="3" s="1"/>
  <c r="M3605" i="3" s="1"/>
  <c r="B934" i="3"/>
  <c r="L934" i="3" s="1"/>
  <c r="M934" i="3" s="1"/>
  <c r="B8913" i="3"/>
  <c r="L8913" i="3" s="1"/>
  <c r="M8913" i="3" s="1"/>
  <c r="B5927" i="3"/>
  <c r="L5927" i="3" s="1"/>
  <c r="M5927" i="3" s="1"/>
  <c r="B5926" i="3"/>
  <c r="L5926" i="3" s="1"/>
  <c r="M5926" i="3" s="1"/>
  <c r="B7538" i="3"/>
  <c r="L7538" i="3" s="1"/>
  <c r="M7538" i="3" s="1"/>
  <c r="B9576" i="3"/>
  <c r="L9576" i="3" s="1"/>
  <c r="M9576" i="3" s="1"/>
  <c r="B9575" i="3"/>
  <c r="L9575" i="3" s="1"/>
  <c r="M9575" i="3" s="1"/>
  <c r="B3889" i="3"/>
  <c r="L3889" i="3" s="1"/>
  <c r="M3889" i="3" s="1"/>
  <c r="B6874" i="3"/>
  <c r="L6874" i="3" s="1"/>
  <c r="M6874" i="3" s="1"/>
  <c r="B6591" i="3"/>
  <c r="L6591" i="3" s="1"/>
  <c r="M6591" i="3" s="1"/>
  <c r="B6590" i="3"/>
  <c r="L6590" i="3" s="1"/>
  <c r="M6590" i="3" s="1"/>
  <c r="B1599" i="13"/>
  <c r="L1599" i="13" s="1"/>
  <c r="M1599" i="13" s="1"/>
  <c r="B2308" i="13"/>
  <c r="L2308" i="13" s="1"/>
  <c r="M2308" i="13" s="1"/>
  <c r="B986" i="14"/>
  <c r="L986" i="14" s="1"/>
  <c r="M986" i="14" s="1"/>
  <c r="B2855" i="3"/>
  <c r="L2855" i="3" s="1"/>
  <c r="M2855" i="3" s="1"/>
  <c r="B564" i="14"/>
  <c r="B567" i="14" s="1"/>
  <c r="L567" i="14" s="1"/>
  <c r="M567" i="14" s="1"/>
  <c r="B889" i="13"/>
  <c r="L889" i="13" s="1"/>
  <c r="M889" i="13" s="1"/>
  <c r="B1881" i="13"/>
  <c r="L1881" i="13" s="1"/>
  <c r="M1881" i="13" s="1"/>
  <c r="B5834" i="3"/>
  <c r="B4831" i="3"/>
  <c r="L4831" i="3" s="1"/>
  <c r="M4831" i="3" s="1"/>
  <c r="B2528" i="3"/>
  <c r="L2528" i="3" s="1"/>
  <c r="M2528" i="3" s="1"/>
  <c r="B2198" i="3"/>
  <c r="L2198" i="3" s="1"/>
  <c r="M2198" i="3" s="1"/>
  <c r="B9150" i="3"/>
  <c r="L9150" i="3" s="1"/>
  <c r="M9150" i="3" s="1"/>
  <c r="B2172" i="13"/>
  <c r="B8163" i="3"/>
  <c r="B427" i="15"/>
  <c r="B5550" i="3"/>
  <c r="B238" i="14"/>
  <c r="B5222" i="3"/>
  <c r="B1595" i="3"/>
  <c r="B2553" i="13"/>
  <c r="B6878" i="3"/>
  <c r="B142" i="15"/>
  <c r="B658" i="13"/>
  <c r="L658" i="13" s="1"/>
  <c r="M658" i="13" s="1"/>
  <c r="B49" i="15"/>
  <c r="B3193" i="3"/>
  <c r="B321" i="3"/>
  <c r="L321" i="3" s="1"/>
  <c r="M321" i="3" s="1"/>
  <c r="B322" i="3"/>
  <c r="L322" i="3" s="1"/>
  <c r="M322" i="3" s="1"/>
  <c r="B3561" i="3"/>
  <c r="L3561" i="3" s="1"/>
  <c r="M3561" i="3" s="1"/>
  <c r="B6873" i="3"/>
  <c r="L6873" i="3" s="1"/>
  <c r="M6873" i="3" s="1"/>
  <c r="B4216" i="3"/>
  <c r="L4216" i="3" s="1"/>
  <c r="M4216" i="3" s="1"/>
  <c r="B8249" i="3"/>
  <c r="L8249" i="3" s="1"/>
  <c r="M8249" i="3" s="1"/>
  <c r="B6256" i="3"/>
  <c r="L6256" i="3" s="1"/>
  <c r="M6256" i="3" s="1"/>
  <c r="B7585" i="3"/>
  <c r="L7585" i="3" s="1"/>
  <c r="M7585" i="3" s="1"/>
  <c r="B9578" i="3"/>
  <c r="L9578" i="3" s="1"/>
  <c r="M9578" i="3" s="1"/>
  <c r="B8202" i="3"/>
  <c r="L8202" i="3" s="1"/>
  <c r="M8202" i="3" s="1"/>
  <c r="B939" i="14"/>
  <c r="L939" i="14" s="1"/>
  <c r="M939" i="14" s="1"/>
  <c r="B8584" i="3"/>
  <c r="L8584" i="3" s="1"/>
  <c r="M8584" i="3" s="1"/>
  <c r="B8583" i="3"/>
  <c r="L8583" i="3" s="1"/>
  <c r="M8583" i="3" s="1"/>
  <c r="B325" i="14"/>
  <c r="L325" i="14" s="1"/>
  <c r="M325" i="14" s="1"/>
  <c r="B7920" i="3"/>
  <c r="L7920" i="3" s="1"/>
  <c r="M7920" i="3" s="1"/>
  <c r="B7919" i="3"/>
  <c r="L7919" i="3" s="1"/>
  <c r="M7919" i="3" s="1"/>
  <c r="B325" i="15"/>
  <c r="L325" i="15" s="1"/>
  <c r="M325" i="15" s="1"/>
  <c r="B1270" i="14"/>
  <c r="L1270" i="14" s="1"/>
  <c r="M1270" i="14" s="1"/>
  <c r="B278" i="14"/>
  <c r="L278" i="14" s="1"/>
  <c r="M278" i="14" s="1"/>
  <c r="B277" i="15"/>
  <c r="L277" i="15" s="1"/>
  <c r="M277" i="15" s="1"/>
  <c r="B3278" i="3"/>
  <c r="L3278" i="3" s="1"/>
  <c r="M3278" i="3" s="1"/>
  <c r="B3277" i="3"/>
  <c r="L3277" i="3" s="1"/>
  <c r="M3277" i="3" s="1"/>
  <c r="B2856" i="3"/>
  <c r="L2856" i="3" s="1"/>
  <c r="M2856" i="3" s="1"/>
  <c r="B4169" i="3"/>
  <c r="L4169" i="3" s="1"/>
  <c r="M4169" i="3" s="1"/>
  <c r="B5829" i="3"/>
  <c r="L5829" i="3" s="1"/>
  <c r="M5829" i="3" s="1"/>
  <c r="B4832" i="3"/>
  <c r="L4832" i="3" s="1"/>
  <c r="M4832" i="3" s="1"/>
  <c r="B1221" i="13"/>
  <c r="L1221" i="13" s="1"/>
  <c r="M1221" i="13" s="1"/>
  <c r="B1543" i="3"/>
  <c r="L1543" i="3" s="1"/>
  <c r="M1543" i="3" s="1"/>
  <c r="B3472" i="3"/>
  <c r="B5501" i="3"/>
  <c r="B5503" i="3" s="1"/>
  <c r="L5503" i="3" s="1"/>
  <c r="M5503" i="3" s="1"/>
  <c r="B9492" i="3"/>
  <c r="B6834" i="3"/>
  <c r="B7874" i="3"/>
  <c r="L7874" i="3" s="1"/>
  <c r="M7874" i="3" s="1"/>
  <c r="B377" i="15"/>
  <c r="B1560" i="13"/>
  <c r="B1980" i="13"/>
  <c r="L1980" i="13" s="1"/>
  <c r="M1980" i="13" s="1"/>
  <c r="B8827" i="3"/>
  <c r="B6170" i="3"/>
  <c r="B5841" i="3"/>
  <c r="B1551" i="3"/>
  <c r="B658" i="14"/>
  <c r="L658" i="14" s="1"/>
  <c r="M658" i="14" s="1"/>
  <c r="B3521" i="3"/>
  <c r="B9915" i="3"/>
  <c r="L9915" i="3" s="1"/>
  <c r="M9915" i="3" s="1"/>
  <c r="B1263" i="3"/>
  <c r="L1263" i="3" s="1"/>
  <c r="M1263" i="3" s="1"/>
  <c r="B9827" i="3"/>
  <c r="B1317" i="13"/>
  <c r="L1317" i="13" s="1"/>
  <c r="M1317" i="13" s="1"/>
  <c r="B1318" i="13"/>
  <c r="L1318" i="13" s="1"/>
  <c r="M1318" i="13" s="1"/>
  <c r="B1315" i="13"/>
  <c r="L1315" i="13" s="1"/>
  <c r="M1315" i="13" s="1"/>
  <c r="B1316" i="13"/>
  <c r="L1316" i="13" s="1"/>
  <c r="M1316" i="13" s="1"/>
  <c r="B1276" i="13"/>
  <c r="B2247" i="3"/>
  <c r="L2247" i="3" s="1"/>
  <c r="M2247" i="3" s="1"/>
  <c r="B321" i="15"/>
  <c r="L321" i="15" s="1"/>
  <c r="M321" i="15" s="1"/>
  <c r="B324" i="15"/>
  <c r="L324" i="15" s="1"/>
  <c r="M324" i="15" s="1"/>
  <c r="B322" i="15"/>
  <c r="L322" i="15" s="1"/>
  <c r="M322" i="15" s="1"/>
  <c r="B323" i="15"/>
  <c r="L323" i="15" s="1"/>
  <c r="M323" i="15" s="1"/>
  <c r="B282" i="15"/>
  <c r="B2292" i="3"/>
  <c r="L2292" i="3" s="1"/>
  <c r="M2292" i="3" s="1"/>
  <c r="B2291" i="3"/>
  <c r="L2291" i="3" s="1"/>
  <c r="M2291" i="3" s="1"/>
  <c r="B2248" i="3"/>
  <c r="L2248" i="3" s="1"/>
  <c r="M2248" i="3" s="1"/>
  <c r="B2576" i="3"/>
  <c r="L2576" i="3" s="1"/>
  <c r="M2576" i="3" s="1"/>
  <c r="B2294" i="3"/>
  <c r="L2294" i="3" s="1"/>
  <c r="M2294" i="3" s="1"/>
  <c r="B2947" i="3"/>
  <c r="L2947" i="3" s="1"/>
  <c r="M2947" i="3" s="1"/>
  <c r="B2948" i="3"/>
  <c r="L2948" i="3" s="1"/>
  <c r="M2948" i="3" s="1"/>
  <c r="B9531" i="3"/>
  <c r="L9531" i="3" s="1"/>
  <c r="M9531" i="3" s="1"/>
  <c r="B5546" i="3"/>
  <c r="L5546" i="3" s="1"/>
  <c r="M5546" i="3" s="1"/>
  <c r="B7254" i="3"/>
  <c r="L7254" i="3" s="1"/>
  <c r="M7254" i="3" s="1"/>
  <c r="B7255" i="3"/>
  <c r="L7255" i="3" s="1"/>
  <c r="M7255" i="3" s="1"/>
  <c r="B6209" i="3"/>
  <c r="L6209" i="3" s="1"/>
  <c r="M6209" i="3" s="1"/>
  <c r="B4880" i="3"/>
  <c r="L4880" i="3" s="1"/>
  <c r="M4880" i="3" s="1"/>
  <c r="B4881" i="3"/>
  <c r="L4881" i="3" s="1"/>
  <c r="M4881" i="3" s="1"/>
  <c r="B5545" i="3"/>
  <c r="L5545" i="3" s="1"/>
  <c r="M5545" i="3" s="1"/>
  <c r="B9248" i="3"/>
  <c r="L9248" i="3" s="1"/>
  <c r="M9248" i="3" s="1"/>
  <c r="B9247" i="3"/>
  <c r="L9247" i="3" s="1"/>
  <c r="M9247" i="3" s="1"/>
  <c r="B938" i="14"/>
  <c r="L938" i="14" s="1"/>
  <c r="M938" i="14" s="1"/>
  <c r="B2261" i="13"/>
  <c r="L2261" i="13" s="1"/>
  <c r="M2261" i="13" s="1"/>
  <c r="B658" i="15"/>
  <c r="L658" i="15" s="1"/>
  <c r="M658" i="15" s="1"/>
  <c r="B986" i="13"/>
  <c r="L986" i="13" s="1"/>
  <c r="M986" i="13" s="1"/>
  <c r="B655" i="14"/>
  <c r="L655" i="14" s="1"/>
  <c r="M655" i="14" s="1"/>
  <c r="B656" i="14"/>
  <c r="L656" i="14" s="1"/>
  <c r="M656" i="14" s="1"/>
  <c r="B654" i="14"/>
  <c r="L654" i="14" s="1"/>
  <c r="M654" i="14" s="1"/>
  <c r="B657" i="14"/>
  <c r="L657" i="14" s="1"/>
  <c r="M657" i="14" s="1"/>
  <c r="B615" i="14"/>
  <c r="B324" i="14"/>
  <c r="L324" i="14" s="1"/>
  <c r="M324" i="14" s="1"/>
  <c r="B323" i="14"/>
  <c r="L323" i="14" s="1"/>
  <c r="M323" i="14" s="1"/>
  <c r="B322" i="14"/>
  <c r="L322" i="14" s="1"/>
  <c r="M322" i="14" s="1"/>
  <c r="B321" i="14"/>
  <c r="L321" i="14" s="1"/>
  <c r="M321" i="14" s="1"/>
  <c r="B282" i="14"/>
  <c r="B7880" i="3"/>
  <c r="B5176" i="3"/>
  <c r="B1882" i="13"/>
  <c r="L1882" i="13" s="1"/>
  <c r="M1882" i="13" s="1"/>
  <c r="B5830" i="3"/>
  <c r="L5830" i="3" s="1"/>
  <c r="M5830" i="3" s="1"/>
  <c r="B9815" i="3"/>
  <c r="L9815" i="3" s="1"/>
  <c r="M9815" i="3" s="1"/>
  <c r="B1222" i="13"/>
  <c r="L1222" i="13" s="1"/>
  <c r="M1222" i="13" s="1"/>
  <c r="B9155" i="3"/>
  <c r="B1231" i="13"/>
  <c r="B1880" i="3"/>
  <c r="B278" i="15"/>
  <c r="L278" i="15" s="1"/>
  <c r="M278" i="15" s="1"/>
  <c r="B1925" i="3"/>
  <c r="B3238" i="3"/>
  <c r="B570" i="15"/>
  <c r="B5887" i="3"/>
  <c r="B9536" i="3"/>
  <c r="B278" i="13"/>
  <c r="L278" i="13" s="1"/>
  <c r="M278" i="13" s="1"/>
  <c r="B6593" i="3"/>
  <c r="L6593" i="3" s="1"/>
  <c r="M6593" i="3" s="1"/>
  <c r="B570" i="14"/>
  <c r="B323" i="13"/>
  <c r="L323" i="13" s="1"/>
  <c r="M323" i="13" s="1"/>
  <c r="B322" i="13"/>
  <c r="L322" i="13" s="1"/>
  <c r="M322" i="13" s="1"/>
  <c r="B324" i="13"/>
  <c r="L324" i="13" s="1"/>
  <c r="M324" i="13" s="1"/>
  <c r="B321" i="13"/>
  <c r="L321" i="13" s="1"/>
  <c r="M321" i="13" s="1"/>
  <c r="B282" i="13"/>
  <c r="B6505" i="3"/>
  <c r="B4512" i="3"/>
  <c r="B1319" i="14"/>
  <c r="L1319" i="14" s="1"/>
  <c r="M1319" i="14" s="1"/>
  <c r="B6214" i="3"/>
  <c r="B8498" i="3"/>
  <c r="B7257" i="3"/>
  <c r="L7257" i="3" s="1"/>
  <c r="M7257" i="3" s="1"/>
  <c r="B282" i="3"/>
  <c r="B1634" i="3"/>
  <c r="L1634" i="3" s="1"/>
  <c r="M1634" i="3" s="1"/>
  <c r="B1635" i="3"/>
  <c r="L1635" i="3" s="1"/>
  <c r="M1635" i="3" s="1"/>
  <c r="B978" i="3"/>
  <c r="L978" i="3" s="1"/>
  <c r="M978" i="3" s="1"/>
  <c r="B977" i="3"/>
  <c r="L977" i="3" s="1"/>
  <c r="M977" i="3" s="1"/>
  <c r="B2622" i="3"/>
  <c r="L2622" i="3" s="1"/>
  <c r="M2622" i="3" s="1"/>
  <c r="B2621" i="3"/>
  <c r="L2621" i="3" s="1"/>
  <c r="M2621" i="3" s="1"/>
  <c r="B1308" i="3"/>
  <c r="L1308" i="3" s="1"/>
  <c r="M1308" i="3" s="1"/>
  <c r="B1307" i="3"/>
  <c r="L1307" i="3" s="1"/>
  <c r="M1307" i="3" s="1"/>
  <c r="B6918" i="3"/>
  <c r="L6918" i="3" s="1"/>
  <c r="M6918" i="3" s="1"/>
  <c r="B6917" i="3"/>
  <c r="L6917" i="3" s="1"/>
  <c r="M6917" i="3" s="1"/>
  <c r="B1931" i="13"/>
  <c r="L1931" i="13" s="1"/>
  <c r="M1931" i="13" s="1"/>
  <c r="B5262" i="3"/>
  <c r="L5262" i="3" s="1"/>
  <c r="M5262" i="3" s="1"/>
  <c r="B5261" i="3"/>
  <c r="L5261" i="3" s="1"/>
  <c r="M5261" i="3" s="1"/>
  <c r="B5592" i="3"/>
  <c r="L5592" i="3" s="1"/>
  <c r="M5592" i="3" s="1"/>
  <c r="B9912" i="3"/>
  <c r="L9912" i="3" s="1"/>
  <c r="M9912" i="3" s="1"/>
  <c r="B9913" i="3"/>
  <c r="L9913" i="3" s="1"/>
  <c r="M9913" i="3" s="1"/>
  <c r="B185" i="15"/>
  <c r="L185" i="15" s="1"/>
  <c r="M185" i="15" s="1"/>
  <c r="B938" i="13"/>
  <c r="L938" i="13" s="1"/>
  <c r="M938" i="13" s="1"/>
  <c r="B2260" i="13"/>
  <c r="L2260" i="13" s="1"/>
  <c r="M2260" i="13" s="1"/>
  <c r="B472" i="15"/>
  <c r="B277" i="13"/>
  <c r="L277" i="13" s="1"/>
  <c r="M277" i="13" s="1"/>
  <c r="B1270" i="13"/>
  <c r="L1270" i="13" s="1"/>
  <c r="M1270" i="13" s="1"/>
  <c r="B610" i="14"/>
  <c r="L610" i="14" s="1"/>
  <c r="M610" i="14" s="1"/>
  <c r="B1271" i="13"/>
  <c r="L1271" i="13" s="1"/>
  <c r="M1271" i="13" s="1"/>
  <c r="B5506" i="3"/>
  <c r="B1644" i="13"/>
  <c r="L1644" i="13" s="1"/>
  <c r="M1644" i="13" s="1"/>
  <c r="B1645" i="13"/>
  <c r="L1645" i="13" s="1"/>
  <c r="M1645" i="13" s="1"/>
  <c r="B1643" i="13"/>
  <c r="L1643" i="13" s="1"/>
  <c r="M1643" i="13" s="1"/>
  <c r="B1646" i="13"/>
  <c r="L1646" i="13" s="1"/>
  <c r="M1646" i="13" s="1"/>
  <c r="B1604" i="13"/>
  <c r="B5929" i="3"/>
  <c r="L5929" i="3" s="1"/>
  <c r="M5929" i="3" s="1"/>
  <c r="B2582" i="3"/>
  <c r="B9162" i="3"/>
  <c r="B938" i="3"/>
  <c r="B3280" i="3"/>
  <c r="L3280" i="3" s="1"/>
  <c r="M3280" i="3" s="1"/>
  <c r="B9250" i="3"/>
  <c r="L9250" i="3" s="1"/>
  <c r="M9250" i="3" s="1"/>
  <c r="B8544" i="3"/>
  <c r="B1920" i="3"/>
  <c r="L1920" i="3" s="1"/>
  <c r="M1920" i="3" s="1"/>
  <c r="B4598" i="3"/>
  <c r="L4598" i="3" s="1"/>
  <c r="M4598" i="3" s="1"/>
  <c r="B4597" i="3"/>
  <c r="L4597" i="3" s="1"/>
  <c r="M4597" i="3" s="1"/>
  <c r="B2904" i="3"/>
  <c r="L2904" i="3" s="1"/>
  <c r="M2904" i="3" s="1"/>
  <c r="B6920" i="3"/>
  <c r="L6920" i="3" s="1"/>
  <c r="M6920" i="3" s="1"/>
  <c r="B3935" i="3"/>
  <c r="L3935" i="3" s="1"/>
  <c r="M3935" i="3" s="1"/>
  <c r="B3934" i="3"/>
  <c r="L3934" i="3" s="1"/>
  <c r="M3934" i="3" s="1"/>
  <c r="B4927" i="3"/>
  <c r="L4927" i="3" s="1"/>
  <c r="M4927" i="3" s="1"/>
  <c r="B5589" i="3"/>
  <c r="L5589" i="3" s="1"/>
  <c r="M5589" i="3" s="1"/>
  <c r="B5590" i="3"/>
  <c r="L5590" i="3" s="1"/>
  <c r="M5590" i="3" s="1"/>
  <c r="B4261" i="3"/>
  <c r="L4261" i="3" s="1"/>
  <c r="M4261" i="3" s="1"/>
  <c r="B4260" i="3"/>
  <c r="L4260" i="3" s="1"/>
  <c r="M4260" i="3" s="1"/>
  <c r="B8247" i="3"/>
  <c r="L8247" i="3" s="1"/>
  <c r="M8247" i="3" s="1"/>
  <c r="B8246" i="3"/>
  <c r="L8246" i="3" s="1"/>
  <c r="M8246" i="3" s="1"/>
  <c r="B609" i="15"/>
  <c r="L609" i="15" s="1"/>
  <c r="M609" i="15" s="1"/>
  <c r="B325" i="13"/>
  <c r="L325" i="13" s="1"/>
  <c r="M325" i="13" s="1"/>
  <c r="B8867" i="3"/>
  <c r="L8867" i="3" s="1"/>
  <c r="M8867" i="3" s="1"/>
  <c r="B9532" i="3"/>
  <c r="L9532" i="3" s="1"/>
  <c r="M9532" i="3" s="1"/>
  <c r="B609" i="14"/>
  <c r="L609" i="14" s="1"/>
  <c r="M609" i="14" s="1"/>
  <c r="B1647" i="13"/>
  <c r="L1647" i="13" s="1"/>
  <c r="M1647" i="13" s="1"/>
  <c r="B8486" i="3"/>
  <c r="L8486" i="3" s="1"/>
  <c r="M8486" i="3" s="1"/>
  <c r="B2526" i="3"/>
  <c r="L2526" i="3" s="1"/>
  <c r="M2526" i="3" s="1"/>
  <c r="B238" i="13"/>
  <c r="B4221" i="3"/>
  <c r="B656" i="15"/>
  <c r="L656" i="15" s="1"/>
  <c r="M656" i="15" s="1"/>
  <c r="B657" i="15"/>
  <c r="L657" i="15" s="1"/>
  <c r="M657" i="15" s="1"/>
  <c r="B655" i="15"/>
  <c r="L655" i="15" s="1"/>
  <c r="M655" i="15" s="1"/>
  <c r="B654" i="15"/>
  <c r="L654" i="15" s="1"/>
  <c r="M654" i="15" s="1"/>
  <c r="B615" i="15"/>
  <c r="B4177" i="3"/>
  <c r="B7215" i="3"/>
  <c r="B7834" i="3"/>
  <c r="B7499" i="3"/>
  <c r="B656" i="13"/>
  <c r="L656" i="13" s="1"/>
  <c r="M656" i="13" s="1"/>
  <c r="B655" i="13"/>
  <c r="L655" i="13" s="1"/>
  <c r="M655" i="13" s="1"/>
  <c r="B657" i="13"/>
  <c r="L657" i="13" s="1"/>
  <c r="M657" i="13" s="1"/>
  <c r="B654" i="13"/>
  <c r="L654" i="13" s="1"/>
  <c r="M654" i="13" s="1"/>
  <c r="B615" i="13"/>
  <c r="B3895" i="3"/>
  <c r="B1967" i="3"/>
  <c r="L1967" i="3" s="1"/>
  <c r="M1967" i="3" s="1"/>
  <c r="B2640" i="13"/>
  <c r="L2640" i="13" s="1"/>
  <c r="M2640" i="13" s="1"/>
  <c r="B2639" i="13"/>
  <c r="L2639" i="13" s="1"/>
  <c r="M2639" i="13" s="1"/>
  <c r="B2638" i="13"/>
  <c r="L2638" i="13" s="1"/>
  <c r="M2638" i="13" s="1"/>
  <c r="B2637" i="13"/>
  <c r="L2637" i="13" s="1"/>
  <c r="M2637" i="13" s="1"/>
  <c r="B2598" i="13"/>
  <c r="B5881" i="3"/>
  <c r="L5881" i="3" s="1"/>
  <c r="M5881" i="3" s="1"/>
  <c r="B983" i="14"/>
  <c r="L983" i="14" s="1"/>
  <c r="M983" i="14" s="1"/>
  <c r="B984" i="14"/>
  <c r="L984" i="14" s="1"/>
  <c r="M984" i="14" s="1"/>
  <c r="B982" i="14"/>
  <c r="L982" i="14" s="1"/>
  <c r="M982" i="14" s="1"/>
  <c r="B985" i="14"/>
  <c r="L985" i="14" s="1"/>
  <c r="M985" i="14" s="1"/>
  <c r="B943" i="14"/>
  <c r="B982" i="13"/>
  <c r="L982" i="13" s="1"/>
  <c r="M982" i="13" s="1"/>
  <c r="B983" i="13"/>
  <c r="L983" i="13" s="1"/>
  <c r="M983" i="13" s="1"/>
  <c r="B984" i="13"/>
  <c r="L984" i="13" s="1"/>
  <c r="M984" i="13" s="1"/>
  <c r="B985" i="13"/>
  <c r="L985" i="13" s="1"/>
  <c r="M985" i="13" s="1"/>
  <c r="B943" i="13"/>
  <c r="B2221" i="13"/>
  <c r="B570" i="13"/>
  <c r="B4558" i="3"/>
  <c r="B6210" i="3"/>
  <c r="L6210" i="3" s="1"/>
  <c r="M6210" i="3" s="1"/>
  <c r="B1637" i="3"/>
  <c r="L1637" i="3" s="1"/>
  <c r="M1637" i="3" s="1"/>
  <c r="B1919" i="3"/>
  <c r="L1919" i="3" s="1"/>
  <c r="M1919" i="3" s="1"/>
  <c r="B277" i="14"/>
  <c r="L277" i="14" s="1"/>
  <c r="M277" i="14" s="1"/>
  <c r="B7539" i="3"/>
  <c r="L7539" i="3" s="1"/>
  <c r="M7539" i="3" s="1"/>
  <c r="B6253" i="3"/>
  <c r="L6253" i="3" s="1"/>
  <c r="M6253" i="3" s="1"/>
  <c r="B6254" i="3"/>
  <c r="L6254" i="3" s="1"/>
  <c r="M6254" i="3" s="1"/>
  <c r="B3232" i="3"/>
  <c r="L3232" i="3" s="1"/>
  <c r="M3232" i="3" s="1"/>
  <c r="B939" i="13"/>
  <c r="L939" i="13" s="1"/>
  <c r="M939" i="13" s="1"/>
  <c r="B609" i="13"/>
  <c r="B329" i="15"/>
  <c r="B187" i="3"/>
  <c r="L187" i="3" s="1"/>
  <c r="M187" i="3" s="1"/>
  <c r="B8393" i="3"/>
  <c r="L8393" i="3" s="1"/>
  <c r="M8393" i="3" s="1"/>
  <c r="B3795" i="3"/>
  <c r="B234" i="14"/>
  <c r="L234" i="14" s="1"/>
  <c r="M234" i="14" s="1"/>
  <c r="B566" i="15"/>
  <c r="L566" i="15" s="1"/>
  <c r="M566" i="15" s="1"/>
  <c r="B9722" i="3"/>
  <c r="L9722" i="3" s="1"/>
  <c r="M9722" i="3" s="1"/>
  <c r="B5071" i="3"/>
  <c r="L5071" i="3" s="1"/>
  <c r="M5071" i="3" s="1"/>
  <c r="B846" i="14"/>
  <c r="L846" i="14" s="1"/>
  <c r="M846" i="14" s="1"/>
  <c r="B9057" i="3"/>
  <c r="L9057" i="3" s="1"/>
  <c r="M9057" i="3" s="1"/>
  <c r="B1507" i="13"/>
  <c r="L1507" i="13" s="1"/>
  <c r="M1507" i="13" s="1"/>
  <c r="B5736" i="3"/>
  <c r="L5736" i="3" s="1"/>
  <c r="M5736" i="3" s="1"/>
  <c r="B1837" i="13"/>
  <c r="L1837" i="13" s="1"/>
  <c r="M1837" i="13" s="1"/>
  <c r="B7729" i="3"/>
  <c r="L7729" i="3" s="1"/>
  <c r="M7729" i="3" s="1"/>
  <c r="B7064" i="3"/>
  <c r="L7064" i="3" s="1"/>
  <c r="M7064" i="3" s="1"/>
  <c r="B1176" i="13"/>
  <c r="L1176" i="13" s="1"/>
  <c r="M1176" i="13" s="1"/>
  <c r="B1176" i="14"/>
  <c r="L1176" i="14" s="1"/>
  <c r="M1176" i="14" s="1"/>
  <c r="B846" i="13"/>
  <c r="L846" i="13" s="1"/>
  <c r="M846" i="13" s="1"/>
  <c r="B515" i="13"/>
  <c r="L515" i="13" s="1"/>
  <c r="M515" i="13" s="1"/>
  <c r="B4407" i="3"/>
  <c r="L4407" i="3" s="1"/>
  <c r="M4407" i="3" s="1"/>
  <c r="B185" i="14"/>
  <c r="L185" i="14" s="1"/>
  <c r="M185" i="14" s="1"/>
  <c r="B2168" i="13"/>
  <c r="L2168" i="13" s="1"/>
  <c r="M2168" i="13" s="1"/>
  <c r="B515" i="14"/>
  <c r="L515" i="14" s="1"/>
  <c r="M515" i="14" s="1"/>
  <c r="B2498" i="13"/>
  <c r="L2498" i="13" s="1"/>
  <c r="M2498" i="13" s="1"/>
  <c r="B185" i="13"/>
  <c r="L185" i="13" s="1"/>
  <c r="M185" i="13" s="1"/>
  <c r="B6400" i="3"/>
  <c r="L6400" i="3" s="1"/>
  <c r="M6400" i="3" s="1"/>
  <c r="B6739" i="3"/>
  <c r="B1738" i="3"/>
  <c r="B8592" i="3"/>
  <c r="B2629" i="3"/>
  <c r="B663" i="13"/>
  <c r="B2312" i="13"/>
  <c r="B2125" i="13"/>
  <c r="B142" i="13"/>
  <c r="B427" i="14"/>
  <c r="B5645" i="3"/>
  <c r="B799" i="3"/>
  <c r="B4367" i="3"/>
  <c r="B7589" i="3"/>
  <c r="B7264" i="3"/>
  <c r="B6406" i="3"/>
  <c r="B759" i="14"/>
  <c r="B377" i="14"/>
  <c r="B472" i="14"/>
  <c r="B142" i="14"/>
  <c r="B710" i="14"/>
  <c r="B49" i="14"/>
  <c r="B1088" i="14"/>
  <c r="B329" i="14"/>
  <c r="B1038" i="14"/>
  <c r="B663" i="14"/>
  <c r="B1133" i="14"/>
  <c r="B803" i="14"/>
  <c r="B2" i="14"/>
  <c r="B49" i="13"/>
  <c r="B710" i="13"/>
  <c r="B1088" i="13"/>
  <c r="B2455" i="13"/>
  <c r="B1133" i="13"/>
  <c r="B2360" i="13"/>
  <c r="B427" i="13"/>
  <c r="B329" i="13"/>
  <c r="B1324" i="13"/>
  <c r="B1420" i="13"/>
  <c r="B1371" i="13"/>
  <c r="B1985" i="13"/>
  <c r="B2081" i="13"/>
  <c r="B1749" i="13"/>
  <c r="B2032" i="13"/>
  <c r="B377" i="13"/>
  <c r="B1464" i="13"/>
  <c r="B2410" i="13"/>
  <c r="B1699" i="13"/>
  <c r="B759" i="13"/>
  <c r="B1651" i="13"/>
  <c r="B472" i="13"/>
  <c r="B803" i="13"/>
  <c r="B1794" i="13"/>
  <c r="B1038" i="13"/>
  <c r="B2" i="13"/>
  <c r="B7975" i="3"/>
  <c r="B8024" i="3"/>
  <c r="B706" i="3"/>
  <c r="B1641" i="3"/>
  <c r="B8688" i="3"/>
  <c r="B7928" i="3"/>
  <c r="B9631" i="3"/>
  <c r="B1412" i="3"/>
  <c r="B3382" i="3"/>
  <c r="B6260" i="3"/>
  <c r="B2769" i="3"/>
  <c r="B5982" i="3"/>
  <c r="B1783" i="3"/>
  <c r="B2298" i="3"/>
  <c r="B7404" i="3"/>
  <c r="B328" i="3"/>
  <c r="B4316" i="3"/>
  <c r="B6924" i="3"/>
  <c r="B9063" i="3"/>
  <c r="B7311" i="3"/>
  <c r="B5318" i="3"/>
  <c r="B5742" i="3"/>
  <c r="B7689" i="3"/>
  <c r="B3286" i="3"/>
  <c r="B3051" i="3"/>
  <c r="B475" i="3"/>
  <c r="B4931" i="3"/>
  <c r="B8639" i="3"/>
  <c r="B6309" i="3"/>
  <c r="B4702" i="3"/>
  <c r="B3942" i="3"/>
  <c r="B6075" i="3"/>
  <c r="B9257" i="3"/>
  <c r="B6646" i="3"/>
  <c r="B8068" i="3"/>
  <c r="B8732" i="3"/>
  <c r="B6695" i="3"/>
  <c r="B9582" i="3"/>
  <c r="B148" i="3"/>
  <c r="B1456" i="3"/>
  <c r="B3611" i="3"/>
  <c r="B3989" i="3"/>
  <c r="B6360" i="3"/>
  <c r="B8253" i="3"/>
  <c r="B7070" i="3"/>
  <c r="B8966" i="3"/>
  <c r="B8917" i="3"/>
  <c r="B5935" i="3"/>
  <c r="B1081" i="3"/>
  <c r="B9017" i="3"/>
  <c r="B2440" i="3"/>
  <c r="B2020" i="3"/>
  <c r="B5367" i="3"/>
  <c r="B5271" i="3"/>
  <c r="B7360" i="3"/>
  <c r="B6599" i="3"/>
  <c r="B8302" i="3"/>
  <c r="B3096" i="3"/>
  <c r="B4267" i="3"/>
  <c r="B1316" i="3"/>
  <c r="B2725" i="3"/>
  <c r="B8399" i="3"/>
  <c r="B5411" i="3"/>
  <c r="B3426" i="3"/>
  <c r="B4082" i="3"/>
  <c r="B9728" i="3"/>
  <c r="B2069" i="3"/>
  <c r="B565" i="3"/>
  <c r="B3001" i="3"/>
  <c r="B3708" i="3"/>
  <c r="B7638" i="3"/>
  <c r="B5696" i="3"/>
  <c r="B1126" i="3"/>
  <c r="B1363" i="3"/>
  <c r="B5031" i="3"/>
  <c r="B7735" i="3"/>
  <c r="B2676" i="3"/>
  <c r="B4606" i="3"/>
  <c r="B6031" i="3"/>
  <c r="B7024" i="3"/>
  <c r="B50" i="3"/>
  <c r="B3333" i="3"/>
  <c r="B5596" i="3"/>
  <c r="B755" i="3"/>
  <c r="B984" i="3"/>
  <c r="B659" i="3"/>
  <c r="B4413" i="3"/>
  <c r="B2395" i="3"/>
  <c r="B9397" i="3"/>
  <c r="B236" i="3"/>
  <c r="B2113" i="3"/>
  <c r="B3753" i="3"/>
  <c r="B2345" i="3"/>
  <c r="B1688" i="3"/>
  <c r="B4980" i="3"/>
  <c r="B1031" i="3"/>
  <c r="B4653" i="3"/>
  <c r="B6973" i="3"/>
  <c r="B5077" i="3"/>
  <c r="B4038" i="3"/>
  <c r="B4746" i="3"/>
  <c r="B8353" i="3"/>
  <c r="B9304" i="3"/>
  <c r="B9682" i="3"/>
  <c r="B9353" i="3"/>
  <c r="B375" i="3"/>
  <c r="B3" i="3"/>
  <c r="B3793" i="3"/>
  <c r="L3793" i="3" s="1"/>
  <c r="M3793" i="3" s="1"/>
  <c r="B3792" i="3"/>
  <c r="L3792" i="3" s="1"/>
  <c r="M3792" i="3" s="1"/>
  <c r="B8064" i="3"/>
  <c r="L8064" i="3" s="1"/>
  <c r="M8064" i="3" s="1"/>
  <c r="B9675" i="3"/>
  <c r="L9675" i="3" s="1"/>
  <c r="M9675" i="3" s="1"/>
  <c r="B421" i="14"/>
  <c r="B138" i="14"/>
  <c r="L138" i="14" s="1"/>
  <c r="M138" i="14" s="1"/>
  <c r="B4078" i="3"/>
  <c r="L4078" i="3" s="1"/>
  <c r="M4078" i="3" s="1"/>
  <c r="B467" i="15"/>
  <c r="L467" i="15" s="1"/>
  <c r="M467" i="15" s="1"/>
  <c r="B419" i="3"/>
  <c r="B1451" i="3"/>
  <c r="L1451" i="3" s="1"/>
  <c r="M1451" i="3" s="1"/>
  <c r="B6690" i="3"/>
  <c r="B421" i="15"/>
  <c r="B138" i="15"/>
  <c r="L138" i="15" s="1"/>
  <c r="M138" i="15" s="1"/>
  <c r="B183" i="15"/>
  <c r="L183" i="15" s="1"/>
  <c r="M183" i="15" s="1"/>
  <c r="B182" i="15"/>
  <c r="L182" i="15" s="1"/>
  <c r="M182" i="15" s="1"/>
  <c r="B184" i="15"/>
  <c r="L184" i="15" s="1"/>
  <c r="M184" i="15" s="1"/>
  <c r="B181" i="15"/>
  <c r="L181" i="15" s="1"/>
  <c r="M181" i="15" s="1"/>
  <c r="B41" i="15"/>
  <c r="B89" i="15"/>
  <c r="L89" i="15" s="1"/>
  <c r="M89" i="15" s="1"/>
  <c r="B90" i="15"/>
  <c r="L90" i="15" s="1"/>
  <c r="M90" i="15" s="1"/>
  <c r="B88" i="15"/>
  <c r="L88" i="15" s="1"/>
  <c r="M88" i="15" s="1"/>
  <c r="B368" i="15"/>
  <c r="B514" i="15"/>
  <c r="L514" i="15" s="1"/>
  <c r="M514" i="15" s="1"/>
  <c r="B512" i="15"/>
  <c r="L512" i="15" s="1"/>
  <c r="M512" i="15" s="1"/>
  <c r="B513" i="15"/>
  <c r="L513" i="15" s="1"/>
  <c r="M513" i="15" s="1"/>
  <c r="B511" i="15"/>
  <c r="L511" i="15" s="1"/>
  <c r="M511" i="15" s="1"/>
  <c r="B93" i="15"/>
  <c r="B44" i="15"/>
  <c r="B137" i="15"/>
  <c r="L137" i="15" s="1"/>
  <c r="M137" i="15" s="1"/>
  <c r="B371" i="15"/>
  <c r="B466" i="15"/>
  <c r="L466" i="15" s="1"/>
  <c r="M466" i="15" s="1"/>
  <c r="B417" i="15"/>
  <c r="L417" i="15" s="1"/>
  <c r="M417" i="15" s="1"/>
  <c r="B418" i="15"/>
  <c r="L418" i="15" s="1"/>
  <c r="M418" i="15" s="1"/>
  <c r="B416" i="15"/>
  <c r="L416" i="15" s="1"/>
  <c r="M416" i="15" s="1"/>
  <c r="B1407" i="3"/>
  <c r="B1409" i="3" s="1"/>
  <c r="B7399" i="3"/>
  <c r="L7399" i="3" s="1"/>
  <c r="M7399" i="3" s="1"/>
  <c r="B414" i="3"/>
  <c r="L414" i="3" s="1"/>
  <c r="M414" i="3" s="1"/>
  <c r="B416" i="3"/>
  <c r="L416" i="3" s="1"/>
  <c r="M416" i="3" s="1"/>
  <c r="B415" i="3"/>
  <c r="L415" i="3" s="1"/>
  <c r="M415" i="3" s="1"/>
  <c r="B8774" i="3"/>
  <c r="L8774" i="3" s="1"/>
  <c r="M8774" i="3" s="1"/>
  <c r="B8110" i="3"/>
  <c r="L8110" i="3" s="1"/>
  <c r="M8110" i="3" s="1"/>
  <c r="B8727" i="3"/>
  <c r="L8727" i="3" s="1"/>
  <c r="M8727" i="3" s="1"/>
  <c r="B798" i="13"/>
  <c r="L798" i="13" s="1"/>
  <c r="M798" i="13" s="1"/>
  <c r="B421" i="13"/>
  <c r="B42" i="3"/>
  <c r="B6448" i="3"/>
  <c r="L6448" i="3" s="1"/>
  <c r="M6448" i="3" s="1"/>
  <c r="B1082" i="13"/>
  <c r="B2120" i="13"/>
  <c r="L2120" i="13" s="1"/>
  <c r="M2120" i="13" s="1"/>
  <c r="B4788" i="3"/>
  <c r="L4788" i="3" s="1"/>
  <c r="M4788" i="3" s="1"/>
  <c r="B799" i="14"/>
  <c r="L799" i="14" s="1"/>
  <c r="M799" i="14" s="1"/>
  <c r="B705" i="14"/>
  <c r="B5784" i="3"/>
  <c r="L5784" i="3" s="1"/>
  <c r="M5784" i="3" s="1"/>
  <c r="B2108" i="3"/>
  <c r="L2108" i="3" s="1"/>
  <c r="M2108" i="3" s="1"/>
  <c r="B6734" i="3"/>
  <c r="L6734" i="3" s="1"/>
  <c r="M6734" i="3" s="1"/>
  <c r="B1459" i="13"/>
  <c r="L1459" i="13" s="1"/>
  <c r="M1459" i="13" s="1"/>
  <c r="B8063" i="3"/>
  <c r="L8063" i="3" s="1"/>
  <c r="M8063" i="3" s="1"/>
  <c r="B2450" i="13"/>
  <c r="L2450" i="13" s="1"/>
  <c r="M2450" i="13" s="1"/>
  <c r="B841" i="3"/>
  <c r="L841" i="3" s="1"/>
  <c r="M841" i="3" s="1"/>
  <c r="B4077" i="3"/>
  <c r="L4077" i="3" s="1"/>
  <c r="M4077" i="3" s="1"/>
  <c r="B137" i="13"/>
  <c r="L137" i="13" s="1"/>
  <c r="M137" i="13" s="1"/>
  <c r="B1777" i="3"/>
  <c r="L1777" i="3" s="1"/>
  <c r="M1777" i="3" s="1"/>
  <c r="B1825" i="3"/>
  <c r="L1825" i="3" s="1"/>
  <c r="M1825" i="3" s="1"/>
  <c r="B3422" i="3"/>
  <c r="L3422" i="3" s="1"/>
  <c r="M3422" i="3" s="1"/>
  <c r="B2811" i="3"/>
  <c r="L2811" i="3" s="1"/>
  <c r="M2811" i="3" s="1"/>
  <c r="B6781" i="3"/>
  <c r="L6781" i="3" s="1"/>
  <c r="M6781" i="3" s="1"/>
  <c r="B5119" i="3"/>
  <c r="L5119" i="3" s="1"/>
  <c r="M5119" i="3" s="1"/>
  <c r="B5116" i="3"/>
  <c r="L5116" i="3" s="1"/>
  <c r="M5116" i="3" s="1"/>
  <c r="B5117" i="3"/>
  <c r="L5117" i="3" s="1"/>
  <c r="M5117" i="3" s="1"/>
  <c r="B839" i="3"/>
  <c r="L839" i="3" s="1"/>
  <c r="M839" i="3" s="1"/>
  <c r="B838" i="3"/>
  <c r="L838" i="3" s="1"/>
  <c r="M838" i="3" s="1"/>
  <c r="B6115" i="3"/>
  <c r="L6115" i="3" s="1"/>
  <c r="M6115" i="3" s="1"/>
  <c r="B6114" i="3"/>
  <c r="L6114" i="3" s="1"/>
  <c r="M6114" i="3" s="1"/>
  <c r="B1823" i="3"/>
  <c r="L1823" i="3" s="1"/>
  <c r="M1823" i="3" s="1"/>
  <c r="B1822" i="3"/>
  <c r="L1822" i="3" s="1"/>
  <c r="M1822" i="3" s="1"/>
  <c r="B7110" i="3"/>
  <c r="L7110" i="3" s="1"/>
  <c r="M7110" i="3" s="1"/>
  <c r="B7109" i="3"/>
  <c r="L7109" i="3" s="1"/>
  <c r="M7109" i="3" s="1"/>
  <c r="B2808" i="3"/>
  <c r="L2808" i="3" s="1"/>
  <c r="M2808" i="3" s="1"/>
  <c r="B2809" i="3"/>
  <c r="L2809" i="3" s="1"/>
  <c r="M2809" i="3" s="1"/>
  <c r="B8107" i="3"/>
  <c r="L8107" i="3" s="1"/>
  <c r="M8107" i="3" s="1"/>
  <c r="B8108" i="3"/>
  <c r="L8108" i="3" s="1"/>
  <c r="M8108" i="3" s="1"/>
  <c r="B8441" i="3"/>
  <c r="L8441" i="3" s="1"/>
  <c r="M8441" i="3" s="1"/>
  <c r="B9103" i="3"/>
  <c r="L9103" i="3" s="1"/>
  <c r="M9103" i="3" s="1"/>
  <c r="B9102" i="3"/>
  <c r="L9102" i="3" s="1"/>
  <c r="M9102" i="3" s="1"/>
  <c r="B4786" i="3"/>
  <c r="L4786" i="3" s="1"/>
  <c r="M4786" i="3" s="1"/>
  <c r="B4785" i="3"/>
  <c r="L4785" i="3" s="1"/>
  <c r="M4785" i="3" s="1"/>
  <c r="B5453" i="3"/>
  <c r="L5453" i="3" s="1"/>
  <c r="M5453" i="3" s="1"/>
  <c r="B5782" i="3"/>
  <c r="L5782" i="3" s="1"/>
  <c r="M5782" i="3" s="1"/>
  <c r="B5781" i="3"/>
  <c r="L5781" i="3" s="1"/>
  <c r="M5781" i="3" s="1"/>
  <c r="B1495" i="3"/>
  <c r="L1495" i="3" s="1"/>
  <c r="M1495" i="3" s="1"/>
  <c r="B1496" i="3"/>
  <c r="L1496" i="3" s="1"/>
  <c r="M1496" i="3" s="1"/>
  <c r="B6779" i="3"/>
  <c r="L6779" i="3" s="1"/>
  <c r="M6779" i="3" s="1"/>
  <c r="B6778" i="3"/>
  <c r="L6778" i="3" s="1"/>
  <c r="M6778" i="3" s="1"/>
  <c r="B1166" i="3"/>
  <c r="L1166" i="3" s="1"/>
  <c r="M1166" i="3" s="1"/>
  <c r="B1165" i="3"/>
  <c r="L1165" i="3" s="1"/>
  <c r="M1165" i="3" s="1"/>
  <c r="B1168" i="3"/>
  <c r="L1168" i="3" s="1"/>
  <c r="M1168" i="3" s="1"/>
  <c r="B2482" i="3"/>
  <c r="L2482" i="3" s="1"/>
  <c r="M2482" i="3" s="1"/>
  <c r="B2480" i="3"/>
  <c r="L2480" i="3" s="1"/>
  <c r="M2480" i="3" s="1"/>
  <c r="B2479" i="3"/>
  <c r="L2479" i="3" s="1"/>
  <c r="M2479" i="3" s="1"/>
  <c r="B7775" i="3"/>
  <c r="L7775" i="3" s="1"/>
  <c r="M7775" i="3" s="1"/>
  <c r="B7774" i="3"/>
  <c r="L7774" i="3" s="1"/>
  <c r="M7774" i="3" s="1"/>
  <c r="B3466" i="3"/>
  <c r="L3466" i="3" s="1"/>
  <c r="M3466" i="3" s="1"/>
  <c r="B3465" i="3"/>
  <c r="L3465" i="3" s="1"/>
  <c r="M3465" i="3" s="1"/>
  <c r="B8771" i="3"/>
  <c r="L8771" i="3" s="1"/>
  <c r="M8771" i="3" s="1"/>
  <c r="B8772" i="3"/>
  <c r="L8772" i="3" s="1"/>
  <c r="M8772" i="3" s="1"/>
  <c r="B3468" i="3"/>
  <c r="L3468" i="3" s="1"/>
  <c r="M3468" i="3" s="1"/>
  <c r="B4455" i="3"/>
  <c r="L4455" i="3" s="1"/>
  <c r="M4455" i="3" s="1"/>
  <c r="B4124" i="3"/>
  <c r="L4124" i="3" s="1"/>
  <c r="M4124" i="3" s="1"/>
  <c r="B9105" i="3"/>
  <c r="L9105" i="3" s="1"/>
  <c r="M9105" i="3" s="1"/>
  <c r="B4453" i="3"/>
  <c r="L4453" i="3" s="1"/>
  <c r="M4453" i="3" s="1"/>
  <c r="B4452" i="3"/>
  <c r="L4452" i="3" s="1"/>
  <c r="M4452" i="3" s="1"/>
  <c r="B9768" i="3"/>
  <c r="L9768" i="3" s="1"/>
  <c r="M9768" i="3" s="1"/>
  <c r="B9767" i="3"/>
  <c r="L9767" i="3" s="1"/>
  <c r="M9767" i="3" s="1"/>
  <c r="B5450" i="3"/>
  <c r="L5450" i="3" s="1"/>
  <c r="M5450" i="3" s="1"/>
  <c r="B5451" i="3"/>
  <c r="L5451" i="3" s="1"/>
  <c r="M5451" i="3" s="1"/>
  <c r="B1498" i="3"/>
  <c r="L1498" i="3" s="1"/>
  <c r="M1498" i="3" s="1"/>
  <c r="B3138" i="3"/>
  <c r="L3138" i="3" s="1"/>
  <c r="M3138" i="3" s="1"/>
  <c r="B7446" i="3"/>
  <c r="L7446" i="3" s="1"/>
  <c r="M7446" i="3" s="1"/>
  <c r="B7777" i="3"/>
  <c r="L7777" i="3" s="1"/>
  <c r="M7777" i="3" s="1"/>
  <c r="B9770" i="3"/>
  <c r="L9770" i="3" s="1"/>
  <c r="M9770" i="3" s="1"/>
  <c r="B6446" i="3"/>
  <c r="L6446" i="3" s="1"/>
  <c r="M6446" i="3" s="1"/>
  <c r="B6445" i="3"/>
  <c r="L6445" i="3" s="1"/>
  <c r="M6445" i="3" s="1"/>
  <c r="B2152" i="3"/>
  <c r="L2152" i="3" s="1"/>
  <c r="M2152" i="3" s="1"/>
  <c r="B2153" i="3"/>
  <c r="L2153" i="3" s="1"/>
  <c r="M2153" i="3" s="1"/>
  <c r="B7443" i="3"/>
  <c r="L7443" i="3" s="1"/>
  <c r="M7443" i="3" s="1"/>
  <c r="B7444" i="3"/>
  <c r="L7444" i="3" s="1"/>
  <c r="M7444" i="3" s="1"/>
  <c r="B9439" i="3"/>
  <c r="L9439" i="3" s="1"/>
  <c r="M9439" i="3" s="1"/>
  <c r="B2155" i="3"/>
  <c r="L2155" i="3" s="1"/>
  <c r="M2155" i="3" s="1"/>
  <c r="B7112" i="3"/>
  <c r="L7112" i="3" s="1"/>
  <c r="M7112" i="3" s="1"/>
  <c r="B3136" i="3"/>
  <c r="L3136" i="3" s="1"/>
  <c r="M3136" i="3" s="1"/>
  <c r="B3135" i="3"/>
  <c r="L3135" i="3" s="1"/>
  <c r="M3135" i="3" s="1"/>
  <c r="B8439" i="3"/>
  <c r="L8439" i="3" s="1"/>
  <c r="M8439" i="3" s="1"/>
  <c r="B8438" i="3"/>
  <c r="L8438" i="3" s="1"/>
  <c r="M8438" i="3" s="1"/>
  <c r="B4121" i="3"/>
  <c r="L4121" i="3" s="1"/>
  <c r="M4121" i="3" s="1"/>
  <c r="B4122" i="3"/>
  <c r="L4122" i="3" s="1"/>
  <c r="M4122" i="3" s="1"/>
  <c r="B9437" i="3"/>
  <c r="L9437" i="3" s="1"/>
  <c r="M9437" i="3" s="1"/>
  <c r="B9436" i="3"/>
  <c r="L9436" i="3" s="1"/>
  <c r="M9436" i="3" s="1"/>
  <c r="B607" i="3"/>
  <c r="L607" i="3" s="1"/>
  <c r="M607" i="3" s="1"/>
  <c r="B605" i="3"/>
  <c r="L605" i="3" s="1"/>
  <c r="M605" i="3" s="1"/>
  <c r="B604" i="3"/>
  <c r="L604" i="3" s="1"/>
  <c r="M604" i="3" s="1"/>
  <c r="B278" i="3"/>
  <c r="L278" i="3" s="1"/>
  <c r="M278" i="3" s="1"/>
  <c r="B276" i="3"/>
  <c r="L276" i="3" s="1"/>
  <c r="M276" i="3" s="1"/>
  <c r="B275" i="3"/>
  <c r="L275" i="3" s="1"/>
  <c r="M275" i="3" s="1"/>
  <c r="B1789" i="13"/>
  <c r="L1789" i="13" s="1"/>
  <c r="M1789" i="13" s="1"/>
  <c r="B6071" i="3"/>
  <c r="L6071" i="3" s="1"/>
  <c r="M6071" i="3" s="1"/>
  <c r="B1127" i="14"/>
  <c r="L1127" i="14" s="1"/>
  <c r="M1127" i="14" s="1"/>
  <c r="B6070" i="3"/>
  <c r="L6070" i="3" s="1"/>
  <c r="M6070" i="3" s="1"/>
  <c r="B466" i="13"/>
  <c r="L466" i="13" s="1"/>
  <c r="M466" i="13" s="1"/>
  <c r="B799" i="13"/>
  <c r="L799" i="13" s="1"/>
  <c r="M799" i="13" s="1"/>
  <c r="B1128" i="14"/>
  <c r="L1128" i="14" s="1"/>
  <c r="M1128" i="14" s="1"/>
  <c r="B515" i="3"/>
  <c r="L515" i="3" s="1"/>
  <c r="M515" i="3" s="1"/>
  <c r="B3421" i="3"/>
  <c r="L3421" i="3" s="1"/>
  <c r="M3421" i="3" s="1"/>
  <c r="B2449" i="13"/>
  <c r="L2449" i="13" s="1"/>
  <c r="M2449" i="13" s="1"/>
  <c r="B2764" i="3"/>
  <c r="L2764" i="3" s="1"/>
  <c r="M2764" i="3" s="1"/>
  <c r="B798" i="14"/>
  <c r="L798" i="14" s="1"/>
  <c r="M798" i="14" s="1"/>
  <c r="B467" i="14"/>
  <c r="L467" i="14" s="1"/>
  <c r="M467" i="14" s="1"/>
  <c r="B466" i="14"/>
  <c r="L466" i="14" s="1"/>
  <c r="M466" i="14" s="1"/>
  <c r="B137" i="14"/>
  <c r="L137" i="14" s="1"/>
  <c r="M137" i="14" s="1"/>
  <c r="B1460" i="13"/>
  <c r="L1460" i="13" s="1"/>
  <c r="M1460" i="13" s="1"/>
  <c r="B2121" i="13"/>
  <c r="L2121" i="13" s="1"/>
  <c r="M2121" i="13" s="1"/>
  <c r="B1127" i="13"/>
  <c r="L1127" i="13" s="1"/>
  <c r="M1127" i="13" s="1"/>
  <c r="B1128" i="13"/>
  <c r="L1128" i="13" s="1"/>
  <c r="M1128" i="13" s="1"/>
  <c r="B1788" i="13"/>
  <c r="L1788" i="13" s="1"/>
  <c r="M1788" i="13" s="1"/>
  <c r="B138" i="13"/>
  <c r="L138" i="13" s="1"/>
  <c r="M138" i="13" s="1"/>
  <c r="B467" i="13"/>
  <c r="L467" i="13" s="1"/>
  <c r="M467" i="13" s="1"/>
  <c r="B3090" i="3"/>
  <c r="L3090" i="3" s="1"/>
  <c r="M3090" i="3" s="1"/>
  <c r="B1121" i="3"/>
  <c r="L1121" i="3" s="1"/>
  <c r="M1121" i="3" s="1"/>
  <c r="B3747" i="3"/>
  <c r="L3747" i="3" s="1"/>
  <c r="M3747" i="3" s="1"/>
  <c r="B2435" i="3"/>
  <c r="L2435" i="3" s="1"/>
  <c r="M2435" i="3" s="1"/>
  <c r="B3748" i="3"/>
  <c r="L3748" i="3" s="1"/>
  <c r="M3748" i="3" s="1"/>
  <c r="B2434" i="3"/>
  <c r="L2434" i="3" s="1"/>
  <c r="M2434" i="3" s="1"/>
  <c r="B3091" i="3"/>
  <c r="L3091" i="3" s="1"/>
  <c r="M3091" i="3" s="1"/>
  <c r="B1778" i="3"/>
  <c r="L1778" i="3" s="1"/>
  <c r="M1778" i="3" s="1"/>
  <c r="B1120" i="3"/>
  <c r="L1120" i="3" s="1"/>
  <c r="M1120" i="3" s="1"/>
  <c r="B6735" i="3"/>
  <c r="L6735" i="3" s="1"/>
  <c r="M6735" i="3" s="1"/>
  <c r="B9392" i="3"/>
  <c r="L9392" i="3" s="1"/>
  <c r="M9392" i="3" s="1"/>
  <c r="B514" i="3"/>
  <c r="L514" i="3" s="1"/>
  <c r="M514" i="3" s="1"/>
  <c r="B4742" i="3"/>
  <c r="L4742" i="3" s="1"/>
  <c r="M4742" i="3" s="1"/>
  <c r="B794" i="3"/>
  <c r="L794" i="3" s="1"/>
  <c r="M794" i="3" s="1"/>
  <c r="B4741" i="3"/>
  <c r="L4741" i="3" s="1"/>
  <c r="M4741" i="3" s="1"/>
  <c r="B8728" i="3"/>
  <c r="L8728" i="3" s="1"/>
  <c r="M8728" i="3" s="1"/>
  <c r="B795" i="3"/>
  <c r="L795" i="3" s="1"/>
  <c r="M795" i="3" s="1"/>
  <c r="B9393" i="3"/>
  <c r="L9393" i="3" s="1"/>
  <c r="M9393" i="3" s="1"/>
  <c r="B7400" i="3"/>
  <c r="L7400" i="3" s="1"/>
  <c r="M7400" i="3" s="1"/>
  <c r="B2109" i="3"/>
  <c r="L2109" i="3" s="1"/>
  <c r="M2109" i="3" s="1"/>
  <c r="B1452" i="3"/>
  <c r="L1452" i="3" s="1"/>
  <c r="M1452" i="3" s="1"/>
  <c r="B2765" i="3"/>
  <c r="L2765" i="3" s="1"/>
  <c r="M2765" i="3" s="1"/>
  <c r="B5406" i="3"/>
  <c r="L5406" i="3" s="1"/>
  <c r="M5406" i="3" s="1"/>
  <c r="B4360" i="3"/>
  <c r="L4360" i="3" s="1"/>
  <c r="M4360" i="3" s="1"/>
  <c r="B188" i="3"/>
  <c r="L188" i="3" s="1"/>
  <c r="M188" i="3" s="1"/>
  <c r="B6353" i="3"/>
  <c r="L6353" i="3" s="1"/>
  <c r="M6353" i="3" s="1"/>
  <c r="B89" i="3"/>
  <c r="L89" i="3" s="1"/>
  <c r="M89" i="3" s="1"/>
  <c r="B754" i="14"/>
  <c r="B1415" i="13"/>
  <c r="B1743" i="13"/>
  <c r="B1082" i="14"/>
  <c r="B2404" i="13"/>
  <c r="B2351" i="13"/>
  <c r="B8019" i="3"/>
  <c r="B754" i="13"/>
  <c r="B2076" i="13"/>
  <c r="B93" i="14"/>
  <c r="B702" i="14"/>
  <c r="B751" i="13"/>
  <c r="L751" i="13" s="1"/>
  <c r="M751" i="13" s="1"/>
  <c r="B750" i="13"/>
  <c r="L750" i="13" s="1"/>
  <c r="M750" i="13" s="1"/>
  <c r="B749" i="13"/>
  <c r="L749" i="13" s="1"/>
  <c r="M749" i="13" s="1"/>
  <c r="B1077" i="13"/>
  <c r="L1077" i="13" s="1"/>
  <c r="M1077" i="13" s="1"/>
  <c r="B1079" i="13"/>
  <c r="L1079" i="13" s="1"/>
  <c r="M1079" i="13" s="1"/>
  <c r="B1078" i="13"/>
  <c r="L1078" i="13" s="1"/>
  <c r="M1078" i="13" s="1"/>
  <c r="B418" i="14"/>
  <c r="L418" i="14" s="1"/>
  <c r="M418" i="14" s="1"/>
  <c r="B417" i="14"/>
  <c r="L417" i="14" s="1"/>
  <c r="M417" i="14" s="1"/>
  <c r="B416" i="14"/>
  <c r="L416" i="14" s="1"/>
  <c r="M416" i="14" s="1"/>
  <c r="B90" i="14"/>
  <c r="L90" i="14" s="1"/>
  <c r="M90" i="14" s="1"/>
  <c r="B89" i="14"/>
  <c r="L89" i="14" s="1"/>
  <c r="M89" i="14" s="1"/>
  <c r="B88" i="14"/>
  <c r="L88" i="14" s="1"/>
  <c r="M88" i="14" s="1"/>
  <c r="B1738" i="13"/>
  <c r="L1738" i="13" s="1"/>
  <c r="M1738" i="13" s="1"/>
  <c r="B1740" i="13"/>
  <c r="L1740" i="13" s="1"/>
  <c r="M1740" i="13" s="1"/>
  <c r="B1739" i="13"/>
  <c r="L1739" i="13" s="1"/>
  <c r="M1739" i="13" s="1"/>
  <c r="B1412" i="13"/>
  <c r="L1412" i="13" s="1"/>
  <c r="M1412" i="13" s="1"/>
  <c r="B1411" i="13"/>
  <c r="L1411" i="13" s="1"/>
  <c r="M1411" i="13" s="1"/>
  <c r="B1410" i="13"/>
  <c r="L1410" i="13" s="1"/>
  <c r="M1410" i="13" s="1"/>
  <c r="B1079" i="14"/>
  <c r="L1079" i="14" s="1"/>
  <c r="M1079" i="14" s="1"/>
  <c r="B1078" i="14"/>
  <c r="L1078" i="14" s="1"/>
  <c r="M1078" i="14" s="1"/>
  <c r="B1077" i="14"/>
  <c r="L1077" i="14" s="1"/>
  <c r="M1077" i="14" s="1"/>
  <c r="B751" i="14"/>
  <c r="L751" i="14" s="1"/>
  <c r="M751" i="14" s="1"/>
  <c r="B750" i="14"/>
  <c r="L750" i="14" s="1"/>
  <c r="M750" i="14" s="1"/>
  <c r="B749" i="14"/>
  <c r="L749" i="14" s="1"/>
  <c r="M749" i="14" s="1"/>
  <c r="B417" i="13"/>
  <c r="L417" i="13" s="1"/>
  <c r="M417" i="13" s="1"/>
  <c r="B416" i="13"/>
  <c r="L416" i="13" s="1"/>
  <c r="M416" i="13" s="1"/>
  <c r="B418" i="13"/>
  <c r="L418" i="13" s="1"/>
  <c r="M418" i="13" s="1"/>
  <c r="B2401" i="13"/>
  <c r="L2401" i="13" s="1"/>
  <c r="M2401" i="13" s="1"/>
  <c r="B2400" i="13"/>
  <c r="L2400" i="13" s="1"/>
  <c r="M2400" i="13" s="1"/>
  <c r="B2399" i="13"/>
  <c r="L2399" i="13" s="1"/>
  <c r="M2399" i="13" s="1"/>
  <c r="B2071" i="13"/>
  <c r="L2071" i="13" s="1"/>
  <c r="M2071" i="13" s="1"/>
  <c r="B2073" i="13"/>
  <c r="L2073" i="13" s="1"/>
  <c r="M2073" i="13" s="1"/>
  <c r="B2072" i="13"/>
  <c r="L2072" i="13" s="1"/>
  <c r="M2072" i="13" s="1"/>
  <c r="B93" i="13"/>
  <c r="B89" i="13"/>
  <c r="L89" i="13" s="1"/>
  <c r="M89" i="13" s="1"/>
  <c r="B88" i="13"/>
  <c r="L88" i="13" s="1"/>
  <c r="M88" i="13" s="1"/>
  <c r="B90" i="13"/>
  <c r="L90" i="13" s="1"/>
  <c r="M90" i="13" s="1"/>
  <c r="B9348" i="3"/>
  <c r="B4697" i="3"/>
  <c r="B4699" i="3" s="1"/>
  <c r="B5362" i="3"/>
  <c r="B3702" i="3"/>
  <c r="B2720" i="3"/>
  <c r="B2722" i="3" s="1"/>
  <c r="B4033" i="3"/>
  <c r="B2389" i="3"/>
  <c r="B3377" i="3"/>
  <c r="B3379" i="3" s="1"/>
  <c r="B2064" i="3"/>
  <c r="B2066" i="3" s="1"/>
  <c r="B5024" i="3"/>
  <c r="L5024" i="3" s="1"/>
  <c r="M5024" i="3" s="1"/>
  <c r="B6026" i="3"/>
  <c r="B8346" i="3"/>
  <c r="L8346" i="3" s="1"/>
  <c r="M8346" i="3" s="1"/>
  <c r="B5689" i="3"/>
  <c r="L5689" i="3" s="1"/>
  <c r="M5689" i="3" s="1"/>
  <c r="B8683" i="3"/>
  <c r="B7017" i="3"/>
  <c r="L7017" i="3" s="1"/>
  <c r="M7017" i="3" s="1"/>
  <c r="B9010" i="3"/>
  <c r="L9010" i="3" s="1"/>
  <c r="M9010" i="3" s="1"/>
  <c r="B1075" i="3"/>
  <c r="B3045" i="3"/>
  <c r="B7355" i="3"/>
  <c r="B7682" i="3"/>
  <c r="L7682" i="3" s="1"/>
  <c r="M7682" i="3" s="1"/>
  <c r="B750" i="3"/>
  <c r="B752" i="3" s="1"/>
  <c r="B1732" i="3"/>
  <c r="B9007" i="3"/>
  <c r="L9007" i="3" s="1"/>
  <c r="M9007" i="3" s="1"/>
  <c r="B9006" i="3"/>
  <c r="L9006" i="3" s="1"/>
  <c r="M9006" i="3" s="1"/>
  <c r="B9005" i="3"/>
  <c r="L9005" i="3" s="1"/>
  <c r="M9005" i="3" s="1"/>
  <c r="B5359" i="3"/>
  <c r="L5359" i="3" s="1"/>
  <c r="M5359" i="3" s="1"/>
  <c r="B5358" i="3"/>
  <c r="L5358" i="3" s="1"/>
  <c r="M5358" i="3" s="1"/>
  <c r="B5357" i="3"/>
  <c r="L5357" i="3" s="1"/>
  <c r="M5357" i="3" s="1"/>
  <c r="B7678" i="3"/>
  <c r="L7678" i="3" s="1"/>
  <c r="M7678" i="3" s="1"/>
  <c r="B7679" i="3"/>
  <c r="L7679" i="3" s="1"/>
  <c r="M7679" i="3" s="1"/>
  <c r="B7677" i="3"/>
  <c r="L7677" i="3" s="1"/>
  <c r="M7677" i="3" s="1"/>
  <c r="B4357" i="3"/>
  <c r="L4357" i="3" s="1"/>
  <c r="M4357" i="3" s="1"/>
  <c r="B4356" i="3"/>
  <c r="L4356" i="3" s="1"/>
  <c r="M4356" i="3" s="1"/>
  <c r="B4355" i="3"/>
  <c r="L4355" i="3" s="1"/>
  <c r="M4355" i="3" s="1"/>
  <c r="B3040" i="3"/>
  <c r="L3040" i="3" s="1"/>
  <c r="M3040" i="3" s="1"/>
  <c r="B3042" i="3"/>
  <c r="L3042" i="3" s="1"/>
  <c r="M3042" i="3" s="1"/>
  <c r="B3041" i="3"/>
  <c r="L3041" i="3" s="1"/>
  <c r="M3041" i="3" s="1"/>
  <c r="B2060" i="3"/>
  <c r="L2060" i="3" s="1"/>
  <c r="M2060" i="3" s="1"/>
  <c r="B2059" i="3"/>
  <c r="L2059" i="3" s="1"/>
  <c r="M2059" i="3" s="1"/>
  <c r="B2061" i="3"/>
  <c r="L2061" i="3" s="1"/>
  <c r="M2061" i="3" s="1"/>
  <c r="B7352" i="3"/>
  <c r="L7352" i="3" s="1"/>
  <c r="M7352" i="3" s="1"/>
  <c r="B7351" i="3"/>
  <c r="L7351" i="3" s="1"/>
  <c r="M7351" i="3" s="1"/>
  <c r="B7350" i="3"/>
  <c r="L7350" i="3" s="1"/>
  <c r="M7350" i="3" s="1"/>
  <c r="B3699" i="3"/>
  <c r="L3699" i="3" s="1"/>
  <c r="M3699" i="3" s="1"/>
  <c r="B3698" i="3"/>
  <c r="L3698" i="3" s="1"/>
  <c r="M3698" i="3" s="1"/>
  <c r="B3697" i="3"/>
  <c r="L3697" i="3" s="1"/>
  <c r="M3697" i="3" s="1"/>
  <c r="B9672" i="3"/>
  <c r="L9672" i="3" s="1"/>
  <c r="M9672" i="3" s="1"/>
  <c r="B9671" i="3"/>
  <c r="L9671" i="3" s="1"/>
  <c r="M9671" i="3" s="1"/>
  <c r="B9670" i="3"/>
  <c r="L9670" i="3" s="1"/>
  <c r="M9670" i="3" s="1"/>
  <c r="B4028" i="3"/>
  <c r="L4028" i="3" s="1"/>
  <c r="M4028" i="3" s="1"/>
  <c r="B4029" i="3"/>
  <c r="L4029" i="3" s="1"/>
  <c r="M4029" i="3" s="1"/>
  <c r="B4030" i="3"/>
  <c r="L4030" i="3" s="1"/>
  <c r="M4030" i="3" s="1"/>
  <c r="B9345" i="3"/>
  <c r="L9345" i="3" s="1"/>
  <c r="M9345" i="3" s="1"/>
  <c r="B9344" i="3"/>
  <c r="L9344" i="3" s="1"/>
  <c r="M9344" i="3" s="1"/>
  <c r="B9343" i="3"/>
  <c r="L9343" i="3" s="1"/>
  <c r="M9343" i="3" s="1"/>
  <c r="B747" i="3"/>
  <c r="L747" i="3" s="1"/>
  <c r="M747" i="3" s="1"/>
  <c r="B746" i="3"/>
  <c r="L746" i="3" s="1"/>
  <c r="M746" i="3" s="1"/>
  <c r="B745" i="3"/>
  <c r="L745" i="3" s="1"/>
  <c r="M745" i="3" s="1"/>
  <c r="B6023" i="3"/>
  <c r="L6023" i="3" s="1"/>
  <c r="M6023" i="3" s="1"/>
  <c r="B6022" i="3"/>
  <c r="L6022" i="3" s="1"/>
  <c r="M6022" i="3" s="1"/>
  <c r="B6021" i="3"/>
  <c r="L6021" i="3" s="1"/>
  <c r="M6021" i="3" s="1"/>
  <c r="B2385" i="3"/>
  <c r="L2385" i="3" s="1"/>
  <c r="M2385" i="3" s="1"/>
  <c r="B2384" i="3"/>
  <c r="L2384" i="3" s="1"/>
  <c r="M2384" i="3" s="1"/>
  <c r="B2386" i="3"/>
  <c r="L2386" i="3" s="1"/>
  <c r="M2386" i="3" s="1"/>
  <c r="B7012" i="3"/>
  <c r="L7012" i="3" s="1"/>
  <c r="M7012" i="3" s="1"/>
  <c r="B7014" i="3"/>
  <c r="L7014" i="3" s="1"/>
  <c r="M7014" i="3" s="1"/>
  <c r="B7013" i="3"/>
  <c r="L7013" i="3" s="1"/>
  <c r="M7013" i="3" s="1"/>
  <c r="B5684" i="3"/>
  <c r="L5684" i="3" s="1"/>
  <c r="M5684" i="3" s="1"/>
  <c r="B5686" i="3"/>
  <c r="L5686" i="3" s="1"/>
  <c r="M5686" i="3" s="1"/>
  <c r="B5685" i="3"/>
  <c r="L5685" i="3" s="1"/>
  <c r="M5685" i="3" s="1"/>
  <c r="B2716" i="3"/>
  <c r="L2716" i="3" s="1"/>
  <c r="M2716" i="3" s="1"/>
  <c r="B2715" i="3"/>
  <c r="L2715" i="3" s="1"/>
  <c r="M2715" i="3" s="1"/>
  <c r="B2717" i="3"/>
  <c r="L2717" i="3" s="1"/>
  <c r="M2717" i="3" s="1"/>
  <c r="B8016" i="3"/>
  <c r="L8016" i="3" s="1"/>
  <c r="M8016" i="3" s="1"/>
  <c r="B8015" i="3"/>
  <c r="L8015" i="3" s="1"/>
  <c r="M8015" i="3" s="1"/>
  <c r="B8014" i="3"/>
  <c r="L8014" i="3" s="1"/>
  <c r="M8014" i="3" s="1"/>
  <c r="B6350" i="3"/>
  <c r="L6350" i="3" s="1"/>
  <c r="M6350" i="3" s="1"/>
  <c r="B6349" i="3"/>
  <c r="L6349" i="3" s="1"/>
  <c r="M6349" i="3" s="1"/>
  <c r="B6348" i="3"/>
  <c r="L6348" i="3" s="1"/>
  <c r="M6348" i="3" s="1"/>
  <c r="B4692" i="3"/>
  <c r="L4692" i="3" s="1"/>
  <c r="M4692" i="3" s="1"/>
  <c r="B4694" i="3"/>
  <c r="L4694" i="3" s="1"/>
  <c r="M4694" i="3" s="1"/>
  <c r="B4693" i="3"/>
  <c r="L4693" i="3" s="1"/>
  <c r="M4693" i="3" s="1"/>
  <c r="B5020" i="3"/>
  <c r="L5020" i="3" s="1"/>
  <c r="M5020" i="3" s="1"/>
  <c r="B5021" i="3"/>
  <c r="L5021" i="3" s="1"/>
  <c r="M5021" i="3" s="1"/>
  <c r="B5019" i="3"/>
  <c r="L5019" i="3" s="1"/>
  <c r="M5019" i="3" s="1"/>
  <c r="B1727" i="3"/>
  <c r="L1727" i="3" s="1"/>
  <c r="M1727" i="3" s="1"/>
  <c r="B1729" i="3"/>
  <c r="L1729" i="3" s="1"/>
  <c r="M1729" i="3" s="1"/>
  <c r="B1728" i="3"/>
  <c r="L1728" i="3" s="1"/>
  <c r="M1728" i="3" s="1"/>
  <c r="B1403" i="3"/>
  <c r="L1403" i="3" s="1"/>
  <c r="M1403" i="3" s="1"/>
  <c r="B1404" i="3"/>
  <c r="L1404" i="3" s="1"/>
  <c r="M1404" i="3" s="1"/>
  <c r="B1402" i="3"/>
  <c r="L1402" i="3" s="1"/>
  <c r="M1402" i="3" s="1"/>
  <c r="B6687" i="3"/>
  <c r="L6687" i="3" s="1"/>
  <c r="M6687" i="3" s="1"/>
  <c r="B6686" i="3"/>
  <c r="L6686" i="3" s="1"/>
  <c r="M6686" i="3" s="1"/>
  <c r="B6685" i="3"/>
  <c r="L6685" i="3" s="1"/>
  <c r="M6685" i="3" s="1"/>
  <c r="B1072" i="3"/>
  <c r="L1072" i="3" s="1"/>
  <c r="M1072" i="3" s="1"/>
  <c r="B1071" i="3"/>
  <c r="L1071" i="3" s="1"/>
  <c r="M1071" i="3" s="1"/>
  <c r="B1070" i="3"/>
  <c r="L1070" i="3" s="1"/>
  <c r="M1070" i="3" s="1"/>
  <c r="B8341" i="3"/>
  <c r="L8341" i="3" s="1"/>
  <c r="M8341" i="3" s="1"/>
  <c r="B8343" i="3"/>
  <c r="L8343" i="3" s="1"/>
  <c r="M8343" i="3" s="1"/>
  <c r="B8342" i="3"/>
  <c r="L8342" i="3" s="1"/>
  <c r="M8342" i="3" s="1"/>
  <c r="B3373" i="3"/>
  <c r="L3373" i="3" s="1"/>
  <c r="M3373" i="3" s="1"/>
  <c r="B3372" i="3"/>
  <c r="L3372" i="3" s="1"/>
  <c r="M3372" i="3" s="1"/>
  <c r="B3374" i="3"/>
  <c r="L3374" i="3" s="1"/>
  <c r="M3374" i="3" s="1"/>
  <c r="B8678" i="3"/>
  <c r="L8678" i="3" s="1"/>
  <c r="M8678" i="3" s="1"/>
  <c r="B8680" i="3"/>
  <c r="L8680" i="3" s="1"/>
  <c r="M8680" i="3" s="1"/>
  <c r="B8679" i="3"/>
  <c r="L8679" i="3" s="1"/>
  <c r="M8679" i="3" s="1"/>
  <c r="B94" i="3"/>
  <c r="B2015" i="3"/>
  <c r="B2017" i="3" s="1"/>
  <c r="B1680" i="3"/>
  <c r="B6963" i="3"/>
  <c r="B91" i="3"/>
  <c r="L91" i="3" s="1"/>
  <c r="M91" i="3" s="1"/>
  <c r="B90" i="3"/>
  <c r="L90" i="3" s="1"/>
  <c r="M90" i="3" s="1"/>
  <c r="B8959" i="3"/>
  <c r="B8631" i="3"/>
  <c r="B1363" i="13"/>
  <c r="B2012" i="3"/>
  <c r="B41" i="14"/>
  <c r="B2024" i="13"/>
  <c r="B2993" i="3"/>
  <c r="B1029" i="14"/>
  <c r="B5974" i="3"/>
  <c r="B1690" i="13"/>
  <c r="B1023" i="3"/>
  <c r="B6299" i="3"/>
  <c r="B9296" i="3"/>
  <c r="B3650" i="3"/>
  <c r="B8956" i="3"/>
  <c r="B698" i="3"/>
  <c r="B4645" i="3"/>
  <c r="B41" i="13"/>
  <c r="B367" i="3"/>
  <c r="B5635" i="3"/>
  <c r="B1029" i="13"/>
  <c r="B7967" i="3"/>
  <c r="B3981" i="3"/>
  <c r="B2337" i="3"/>
  <c r="B7628" i="3"/>
  <c r="B368" i="14"/>
  <c r="B4306" i="3"/>
  <c r="B9621" i="3"/>
  <c r="B8292" i="3"/>
  <c r="B3325" i="3"/>
  <c r="B2668" i="3"/>
  <c r="B1355" i="3"/>
  <c r="B702" i="13"/>
  <c r="B7303" i="3"/>
  <c r="B4970" i="3"/>
  <c r="B368" i="13"/>
  <c r="B371" i="14"/>
  <c r="B5310" i="3"/>
  <c r="B6638" i="3"/>
  <c r="B9299" i="3"/>
  <c r="B4973" i="3"/>
  <c r="B4977" i="3" s="1"/>
  <c r="B2339" i="3"/>
  <c r="B2342" i="3" s="1"/>
  <c r="B5638" i="3"/>
  <c r="B1032" i="13"/>
  <c r="B8634" i="3"/>
  <c r="B2671" i="3"/>
  <c r="B2673" i="3" s="1"/>
  <c r="B6966" i="3"/>
  <c r="L6966" i="3" s="1"/>
  <c r="M6966" i="3" s="1"/>
  <c r="B5977" i="3"/>
  <c r="B3328" i="3"/>
  <c r="B8295" i="3"/>
  <c r="B1693" i="13"/>
  <c r="B1025" i="3"/>
  <c r="B1028" i="3" s="1"/>
  <c r="B1682" i="3"/>
  <c r="B1685" i="3" s="1"/>
  <c r="B1366" i="13"/>
  <c r="B1358" i="3"/>
  <c r="B1360" i="3" s="1"/>
  <c r="B701" i="3"/>
  <c r="B703" i="3" s="1"/>
  <c r="B1172" i="14"/>
  <c r="L1172" i="14" s="1"/>
  <c r="M1172" i="14" s="1"/>
  <c r="B1174" i="14"/>
  <c r="L1174" i="14" s="1"/>
  <c r="M1174" i="14" s="1"/>
  <c r="B1173" i="14"/>
  <c r="L1173" i="14" s="1"/>
  <c r="M1173" i="14" s="1"/>
  <c r="B1175" i="14"/>
  <c r="L1175" i="14" s="1"/>
  <c r="M1175" i="14" s="1"/>
  <c r="B6302" i="3"/>
  <c r="L6302" i="3" s="1"/>
  <c r="M6302" i="3" s="1"/>
  <c r="B9624" i="3"/>
  <c r="B844" i="13"/>
  <c r="L844" i="13" s="1"/>
  <c r="M844" i="13" s="1"/>
  <c r="B845" i="13"/>
  <c r="L845" i="13" s="1"/>
  <c r="M845" i="13" s="1"/>
  <c r="B843" i="13"/>
  <c r="L843" i="13" s="1"/>
  <c r="M843" i="13" s="1"/>
  <c r="B842" i="13"/>
  <c r="L842" i="13" s="1"/>
  <c r="M842" i="13" s="1"/>
  <c r="B7306" i="3"/>
  <c r="B1172" i="13"/>
  <c r="L1172" i="13" s="1"/>
  <c r="M1172" i="13" s="1"/>
  <c r="B1173" i="13"/>
  <c r="L1173" i="13" s="1"/>
  <c r="M1173" i="13" s="1"/>
  <c r="B1174" i="13"/>
  <c r="L1174" i="13" s="1"/>
  <c r="M1174" i="13" s="1"/>
  <c r="B1175" i="13"/>
  <c r="L1175" i="13" s="1"/>
  <c r="M1175" i="13" s="1"/>
  <c r="B7631" i="3"/>
  <c r="L7631" i="3" s="1"/>
  <c r="M7631" i="3" s="1"/>
  <c r="B2995" i="3"/>
  <c r="B44" i="13"/>
  <c r="B2354" i="13"/>
  <c r="B2167" i="13"/>
  <c r="L2167" i="13" s="1"/>
  <c r="M2167" i="13" s="1"/>
  <c r="B2164" i="13"/>
  <c r="L2164" i="13" s="1"/>
  <c r="M2164" i="13" s="1"/>
  <c r="B2166" i="13"/>
  <c r="L2166" i="13" s="1"/>
  <c r="M2166" i="13" s="1"/>
  <c r="B2165" i="13"/>
  <c r="L2165" i="13" s="1"/>
  <c r="M2165" i="13" s="1"/>
  <c r="B705" i="13"/>
  <c r="B184" i="14"/>
  <c r="L184" i="14" s="1"/>
  <c r="M184" i="14" s="1"/>
  <c r="B181" i="14"/>
  <c r="L181" i="14" s="1"/>
  <c r="M181" i="14" s="1"/>
  <c r="B183" i="14"/>
  <c r="L183" i="14" s="1"/>
  <c r="M183" i="14" s="1"/>
  <c r="B182" i="14"/>
  <c r="L182" i="14" s="1"/>
  <c r="M182" i="14" s="1"/>
  <c r="B44" i="14"/>
  <c r="B5313" i="3"/>
  <c r="B1505" i="13"/>
  <c r="L1505" i="13" s="1"/>
  <c r="M1505" i="13" s="1"/>
  <c r="B1504" i="13"/>
  <c r="L1504" i="13" s="1"/>
  <c r="M1504" i="13" s="1"/>
  <c r="B1506" i="13"/>
  <c r="L1506" i="13" s="1"/>
  <c r="M1506" i="13" s="1"/>
  <c r="B1503" i="13"/>
  <c r="L1503" i="13" s="1"/>
  <c r="M1503" i="13" s="1"/>
  <c r="B4309" i="3"/>
  <c r="B3984" i="3"/>
  <c r="B1834" i="13"/>
  <c r="L1834" i="13" s="1"/>
  <c r="M1834" i="13" s="1"/>
  <c r="B1836" i="13"/>
  <c r="L1836" i="13" s="1"/>
  <c r="M1836" i="13" s="1"/>
  <c r="B1835" i="13"/>
  <c r="L1835" i="13" s="1"/>
  <c r="M1835" i="13" s="1"/>
  <c r="B1833" i="13"/>
  <c r="L1833" i="13" s="1"/>
  <c r="M1833" i="13" s="1"/>
  <c r="B514" i="13"/>
  <c r="L514" i="13" s="1"/>
  <c r="M514" i="13" s="1"/>
  <c r="B513" i="13"/>
  <c r="L513" i="13" s="1"/>
  <c r="M513" i="13" s="1"/>
  <c r="B512" i="13"/>
  <c r="L512" i="13" s="1"/>
  <c r="M512" i="13" s="1"/>
  <c r="B511" i="13"/>
  <c r="L511" i="13" s="1"/>
  <c r="M511" i="13" s="1"/>
  <c r="B2027" i="13"/>
  <c r="B845" i="14"/>
  <c r="L845" i="14" s="1"/>
  <c r="M845" i="14" s="1"/>
  <c r="B842" i="14"/>
  <c r="L842" i="14" s="1"/>
  <c r="M842" i="14" s="1"/>
  <c r="B844" i="14"/>
  <c r="L844" i="14" s="1"/>
  <c r="M844" i="14" s="1"/>
  <c r="B843" i="14"/>
  <c r="L843" i="14" s="1"/>
  <c r="M843" i="14" s="1"/>
  <c r="B369" i="3"/>
  <c r="B372" i="3" s="1"/>
  <c r="B3652" i="3"/>
  <c r="B184" i="13"/>
  <c r="L184" i="13" s="1"/>
  <c r="M184" i="13" s="1"/>
  <c r="B182" i="13"/>
  <c r="L182" i="13" s="1"/>
  <c r="M182" i="13" s="1"/>
  <c r="B181" i="13"/>
  <c r="L181" i="13" s="1"/>
  <c r="M181" i="13" s="1"/>
  <c r="B183" i="13"/>
  <c r="L183" i="13" s="1"/>
  <c r="M183" i="13" s="1"/>
  <c r="B511" i="14"/>
  <c r="L511" i="14" s="1"/>
  <c r="M511" i="14" s="1"/>
  <c r="B513" i="14"/>
  <c r="L513" i="14" s="1"/>
  <c r="M513" i="14" s="1"/>
  <c r="B512" i="14"/>
  <c r="L512" i="14" s="1"/>
  <c r="M512" i="14" s="1"/>
  <c r="B514" i="14"/>
  <c r="L514" i="14" s="1"/>
  <c r="M514" i="14" s="1"/>
  <c r="B4648" i="3"/>
  <c r="B4650" i="3" s="1"/>
  <c r="B6641" i="3"/>
  <c r="B1032" i="14"/>
  <c r="B7970" i="3"/>
  <c r="B371" i="13"/>
  <c r="B2494" i="13"/>
  <c r="L2494" i="13" s="1"/>
  <c r="M2494" i="13" s="1"/>
  <c r="B2495" i="13"/>
  <c r="L2495" i="13" s="1"/>
  <c r="M2495" i="13" s="1"/>
  <c r="B2496" i="13"/>
  <c r="L2496" i="13" s="1"/>
  <c r="M2496" i="13" s="1"/>
  <c r="B2497" i="13"/>
  <c r="L2497" i="13" s="1"/>
  <c r="M2497" i="13" s="1"/>
  <c r="B45" i="3"/>
  <c r="A41" i="3"/>
  <c r="K45" i="3"/>
  <c r="K44" i="3"/>
  <c r="K42" i="3"/>
  <c r="K46" i="3"/>
  <c r="K41" i="3"/>
  <c r="K47" i="3"/>
  <c r="B233" i="3" l="1"/>
  <c r="L233" i="3" s="1"/>
  <c r="M233" i="3" s="1"/>
  <c r="B612" i="13"/>
  <c r="L612" i="13" s="1"/>
  <c r="M612" i="13" s="1"/>
  <c r="L421" i="15"/>
  <c r="M421" i="15" s="1"/>
  <c r="B424" i="15"/>
  <c r="L424" i="15" s="1"/>
  <c r="M424" i="15" s="1"/>
  <c r="L233" i="15"/>
  <c r="M233" i="15" s="1"/>
  <c r="B235" i="15"/>
  <c r="L235" i="15" s="1"/>
  <c r="M235" i="15" s="1"/>
  <c r="B234" i="15"/>
  <c r="L234" i="15" s="1"/>
  <c r="M234" i="15" s="1"/>
  <c r="L93" i="15"/>
  <c r="M93" i="15" s="1"/>
  <c r="B95" i="15"/>
  <c r="L95" i="15" s="1"/>
  <c r="M95" i="15" s="1"/>
  <c r="L421" i="14"/>
  <c r="M421" i="14" s="1"/>
  <c r="B424" i="14"/>
  <c r="L424" i="14" s="1"/>
  <c r="M424" i="14" s="1"/>
  <c r="L894" i="14"/>
  <c r="M894" i="14" s="1"/>
  <c r="B896" i="14"/>
  <c r="L896" i="14" s="1"/>
  <c r="M896" i="14" s="1"/>
  <c r="L93" i="14"/>
  <c r="M93" i="14" s="1"/>
  <c r="B95" i="14"/>
  <c r="L95" i="14" s="1"/>
  <c r="M95" i="14" s="1"/>
  <c r="L1082" i="14"/>
  <c r="M1082" i="14" s="1"/>
  <c r="B1085" i="14"/>
  <c r="L1085" i="14" s="1"/>
  <c r="M1085" i="14" s="1"/>
  <c r="L754" i="14"/>
  <c r="M754" i="14" s="1"/>
  <c r="B756" i="14"/>
  <c r="L756" i="14" s="1"/>
  <c r="M756" i="14" s="1"/>
  <c r="B2218" i="13"/>
  <c r="L2218" i="13" s="1"/>
  <c r="M2218" i="13" s="1"/>
  <c r="B96" i="3"/>
  <c r="L96" i="3" s="1"/>
  <c r="M96" i="3" s="1"/>
  <c r="B95" i="3"/>
  <c r="L2076" i="13"/>
  <c r="M2076" i="13" s="1"/>
  <c r="B2078" i="13"/>
  <c r="L2078" i="13" s="1"/>
  <c r="M2078" i="13" s="1"/>
  <c r="L894" i="13"/>
  <c r="M894" i="13" s="1"/>
  <c r="B896" i="13"/>
  <c r="L896" i="13" s="1"/>
  <c r="M896" i="13" s="1"/>
  <c r="L754" i="13"/>
  <c r="M754" i="13" s="1"/>
  <c r="B756" i="13"/>
  <c r="L756" i="13" s="1"/>
  <c r="M756" i="13" s="1"/>
  <c r="L1082" i="13"/>
  <c r="M1082" i="13" s="1"/>
  <c r="B1085" i="13"/>
  <c r="L1085" i="13" s="1"/>
  <c r="M1085" i="13" s="1"/>
  <c r="L233" i="13"/>
  <c r="M233" i="13" s="1"/>
  <c r="B235" i="13"/>
  <c r="L235" i="13" s="1"/>
  <c r="M235" i="13" s="1"/>
  <c r="L1555" i="13"/>
  <c r="M1555" i="13" s="1"/>
  <c r="B1557" i="13"/>
  <c r="L1557" i="13" s="1"/>
  <c r="M1557" i="13" s="1"/>
  <c r="L2404" i="13"/>
  <c r="M2404" i="13" s="1"/>
  <c r="B2407" i="13"/>
  <c r="L2407" i="13" s="1"/>
  <c r="M2407" i="13" s="1"/>
  <c r="L421" i="13"/>
  <c r="M421" i="13" s="1"/>
  <c r="B424" i="13"/>
  <c r="L424" i="13" s="1"/>
  <c r="M424" i="13" s="1"/>
  <c r="L1743" i="13"/>
  <c r="M1743" i="13" s="1"/>
  <c r="B1746" i="13"/>
  <c r="L1746" i="13" s="1"/>
  <c r="M1746" i="13" s="1"/>
  <c r="L93" i="13"/>
  <c r="M93" i="13" s="1"/>
  <c r="B95" i="13"/>
  <c r="L95" i="13" s="1"/>
  <c r="M95" i="13" s="1"/>
  <c r="L1415" i="13"/>
  <c r="M1415" i="13" s="1"/>
  <c r="B1417" i="13"/>
  <c r="L1417" i="13" s="1"/>
  <c r="M1417" i="13" s="1"/>
  <c r="L1886" i="13"/>
  <c r="M1886" i="13" s="1"/>
  <c r="B1889" i="13"/>
  <c r="L1889" i="13" s="1"/>
  <c r="M1889" i="13" s="1"/>
  <c r="L3702" i="3"/>
  <c r="M3702" i="3" s="1"/>
  <c r="B3705" i="3"/>
  <c r="L3705" i="3" s="1"/>
  <c r="M3705" i="3" s="1"/>
  <c r="L4838" i="3"/>
  <c r="M4838" i="3" s="1"/>
  <c r="L3045" i="3"/>
  <c r="M3045" i="3" s="1"/>
  <c r="B3048" i="3"/>
  <c r="L3048" i="3" s="1"/>
  <c r="M3048" i="3" s="1"/>
  <c r="L2389" i="3"/>
  <c r="M2389" i="3" s="1"/>
  <c r="B2392" i="3"/>
  <c r="L2392" i="3" s="1"/>
  <c r="M2392" i="3" s="1"/>
  <c r="B2205" i="3"/>
  <c r="L2205" i="3" s="1"/>
  <c r="M2205" i="3" s="1"/>
  <c r="L419" i="3"/>
  <c r="M419" i="3" s="1"/>
  <c r="B422" i="3"/>
  <c r="L422" i="3" s="1"/>
  <c r="M422" i="3" s="1"/>
  <c r="L1732" i="3"/>
  <c r="M1732" i="3" s="1"/>
  <c r="B1735" i="3"/>
  <c r="L1735" i="3" s="1"/>
  <c r="M1735" i="3" s="1"/>
  <c r="L1075" i="3"/>
  <c r="M1075" i="3" s="1"/>
  <c r="B1078" i="3"/>
  <c r="L1078" i="3" s="1"/>
  <c r="M1078" i="3" s="1"/>
  <c r="L4697" i="3"/>
  <c r="M4697" i="3" s="1"/>
  <c r="L4699" i="3"/>
  <c r="M4699" i="3" s="1"/>
  <c r="L3377" i="3"/>
  <c r="M3377" i="3" s="1"/>
  <c r="L3379" i="3"/>
  <c r="M3379" i="3" s="1"/>
  <c r="L6355" i="3"/>
  <c r="M6355" i="3" s="1"/>
  <c r="L7019" i="3"/>
  <c r="M7019" i="3" s="1"/>
  <c r="L9677" i="3"/>
  <c r="M9677" i="3" s="1"/>
  <c r="L7164" i="3"/>
  <c r="M7164" i="3" s="1"/>
  <c r="L1875" i="3"/>
  <c r="M1875" i="3" s="1"/>
  <c r="L1877" i="3"/>
  <c r="M1877" i="3" s="1"/>
  <c r="L3046" i="3"/>
  <c r="M3046" i="3" s="1"/>
  <c r="L8019" i="3"/>
  <c r="M8019" i="3" s="1"/>
  <c r="B8021" i="3"/>
  <c r="L8021" i="3" s="1"/>
  <c r="M8021" i="3" s="1"/>
  <c r="L8683" i="3"/>
  <c r="M8683" i="3" s="1"/>
  <c r="B8685" i="3"/>
  <c r="L8685" i="3" s="1"/>
  <c r="M8685" i="3" s="1"/>
  <c r="L4033" i="3"/>
  <c r="M4033" i="3" s="1"/>
  <c r="B4035" i="3"/>
  <c r="L4035" i="3" s="1"/>
  <c r="M4035" i="3" s="1"/>
  <c r="L889" i="3"/>
  <c r="M889" i="3" s="1"/>
  <c r="L891" i="3"/>
  <c r="M891" i="3" s="1"/>
  <c r="L1546" i="3"/>
  <c r="M1546" i="3" s="1"/>
  <c r="L1548" i="3"/>
  <c r="M1548" i="3" s="1"/>
  <c r="L5026" i="3"/>
  <c r="M5026" i="3" s="1"/>
  <c r="L3188" i="3"/>
  <c r="M3188" i="3" s="1"/>
  <c r="L3190" i="3"/>
  <c r="M3190" i="3" s="1"/>
  <c r="L470" i="3"/>
  <c r="M470" i="3" s="1"/>
  <c r="L472" i="3"/>
  <c r="M472" i="3" s="1"/>
  <c r="L5691" i="3"/>
  <c r="M5691" i="3" s="1"/>
  <c r="L7684" i="3"/>
  <c r="M7684" i="3" s="1"/>
  <c r="L9822" i="3"/>
  <c r="M9822" i="3" s="1"/>
  <c r="L6500" i="3"/>
  <c r="M6500" i="3" s="1"/>
  <c r="L4362" i="3"/>
  <c r="M4362" i="3" s="1"/>
  <c r="L5836" i="3"/>
  <c r="M5836" i="3" s="1"/>
  <c r="L5838" i="3"/>
  <c r="M5838" i="3" s="1"/>
  <c r="L8493" i="3"/>
  <c r="M8493" i="3" s="1"/>
  <c r="L1733" i="3"/>
  <c r="M1733" i="3" s="1"/>
  <c r="L750" i="3"/>
  <c r="M750" i="3" s="1"/>
  <c r="L752" i="3"/>
  <c r="M752" i="3" s="1"/>
  <c r="L7355" i="3"/>
  <c r="M7355" i="3" s="1"/>
  <c r="B7357" i="3"/>
  <c r="L7357" i="3" s="1"/>
  <c r="M7357" i="3" s="1"/>
  <c r="L6026" i="3"/>
  <c r="M6026" i="3" s="1"/>
  <c r="B6028" i="3"/>
  <c r="L6028" i="3" s="1"/>
  <c r="M6028" i="3" s="1"/>
  <c r="L5362" i="3"/>
  <c r="M5362" i="3" s="1"/>
  <c r="B5364" i="3"/>
  <c r="L5364" i="3" s="1"/>
  <c r="M5364" i="3" s="1"/>
  <c r="L2859" i="3"/>
  <c r="M2859" i="3" s="1"/>
  <c r="L2861" i="3"/>
  <c r="M2861" i="3" s="1"/>
  <c r="L7829" i="3"/>
  <c r="M7829" i="3" s="1"/>
  <c r="L1218" i="3"/>
  <c r="M1218" i="3" s="1"/>
  <c r="L1220" i="3"/>
  <c r="M1220" i="3" s="1"/>
  <c r="L9157" i="3"/>
  <c r="M9157" i="3" s="1"/>
  <c r="L4507" i="3"/>
  <c r="M4507" i="3" s="1"/>
  <c r="L4509" i="3"/>
  <c r="M4509" i="3" s="1"/>
  <c r="L2390" i="3"/>
  <c r="M2390" i="3" s="1"/>
  <c r="L1076" i="3"/>
  <c r="M1076" i="3" s="1"/>
  <c r="L2720" i="3"/>
  <c r="M2720" i="3" s="1"/>
  <c r="L2722" i="3"/>
  <c r="M2722" i="3" s="1"/>
  <c r="L143" i="3"/>
  <c r="M143" i="3" s="1"/>
  <c r="L145" i="3"/>
  <c r="M145" i="3" s="1"/>
  <c r="L3516" i="3"/>
  <c r="M3516" i="3" s="1"/>
  <c r="B3518" i="3"/>
  <c r="L3518" i="3" s="1"/>
  <c r="M3518" i="3" s="1"/>
  <c r="L5171" i="3"/>
  <c r="M5171" i="3" s="1"/>
  <c r="L5173" i="3"/>
  <c r="M5173" i="3" s="1"/>
  <c r="L9012" i="3"/>
  <c r="M9012" i="3" s="1"/>
  <c r="L3845" i="3"/>
  <c r="M3845" i="3" s="1"/>
  <c r="L3847" i="3"/>
  <c r="M3847" i="3" s="1"/>
  <c r="L1407" i="3"/>
  <c r="M1407" i="3" s="1"/>
  <c r="L1409" i="3"/>
  <c r="M1409" i="3" s="1"/>
  <c r="L6690" i="3"/>
  <c r="M6690" i="3" s="1"/>
  <c r="B6692" i="3"/>
  <c r="L6692" i="3" s="1"/>
  <c r="M6692" i="3" s="1"/>
  <c r="L2064" i="3"/>
  <c r="M2064" i="3" s="1"/>
  <c r="L2066" i="3"/>
  <c r="M2066" i="3" s="1"/>
  <c r="L9348" i="3"/>
  <c r="M9348" i="3" s="1"/>
  <c r="B9350" i="3"/>
  <c r="L9350" i="3" s="1"/>
  <c r="M9350" i="3" s="1"/>
  <c r="L3703" i="3"/>
  <c r="M3703" i="3" s="1"/>
  <c r="L8348" i="3"/>
  <c r="M8348" i="3" s="1"/>
  <c r="L2532" i="3"/>
  <c r="M2532" i="3" s="1"/>
  <c r="L2534" i="3"/>
  <c r="M2534" i="3" s="1"/>
  <c r="L371" i="15"/>
  <c r="M371" i="15" s="1"/>
  <c r="B374" i="15"/>
  <c r="L374" i="15" s="1"/>
  <c r="M374" i="15" s="1"/>
  <c r="L44" i="15"/>
  <c r="M44" i="15" s="1"/>
  <c r="B46" i="15"/>
  <c r="L46" i="15" s="1"/>
  <c r="M46" i="15" s="1"/>
  <c r="L44" i="14"/>
  <c r="M44" i="14" s="1"/>
  <c r="B46" i="14"/>
  <c r="L46" i="14" s="1"/>
  <c r="M46" i="14" s="1"/>
  <c r="L371" i="14"/>
  <c r="M371" i="14" s="1"/>
  <c r="B374" i="14"/>
  <c r="L374" i="14" s="1"/>
  <c r="M374" i="14" s="1"/>
  <c r="L1032" i="14"/>
  <c r="M1032" i="14" s="1"/>
  <c r="B1035" i="14"/>
  <c r="L1035" i="14" s="1"/>
  <c r="M1035" i="14" s="1"/>
  <c r="L705" i="14"/>
  <c r="M705" i="14" s="1"/>
  <c r="B707" i="14"/>
  <c r="L707" i="14" s="1"/>
  <c r="M707" i="14" s="1"/>
  <c r="L371" i="13"/>
  <c r="M371" i="13" s="1"/>
  <c r="B374" i="13"/>
  <c r="L374" i="13" s="1"/>
  <c r="M374" i="13" s="1"/>
  <c r="L705" i="13"/>
  <c r="M705" i="13" s="1"/>
  <c r="B707" i="13"/>
  <c r="L707" i="13" s="1"/>
  <c r="M707" i="13" s="1"/>
  <c r="L1366" i="13"/>
  <c r="M1366" i="13" s="1"/>
  <c r="B1368" i="13"/>
  <c r="L1368" i="13" s="1"/>
  <c r="M1368" i="13" s="1"/>
  <c r="L1032" i="13"/>
  <c r="M1032" i="13" s="1"/>
  <c r="B1035" i="13"/>
  <c r="L1035" i="13" s="1"/>
  <c r="M1035" i="13" s="1"/>
  <c r="L2027" i="13"/>
  <c r="M2027" i="13" s="1"/>
  <c r="B2029" i="13"/>
  <c r="L2029" i="13" s="1"/>
  <c r="M2029" i="13" s="1"/>
  <c r="L2354" i="13"/>
  <c r="M2354" i="13" s="1"/>
  <c r="B2357" i="13"/>
  <c r="L2357" i="13" s="1"/>
  <c r="M2357" i="13" s="1"/>
  <c r="L1693" i="13"/>
  <c r="M1693" i="13" s="1"/>
  <c r="B1696" i="13"/>
  <c r="L1696" i="13" s="1"/>
  <c r="M1696" i="13" s="1"/>
  <c r="L8295" i="3"/>
  <c r="M8295" i="3" s="1"/>
  <c r="B8299" i="3"/>
  <c r="L4973" i="3"/>
  <c r="M4973" i="3" s="1"/>
  <c r="L8959" i="3"/>
  <c r="M8959" i="3" s="1"/>
  <c r="B8963" i="3"/>
  <c r="L9624" i="3"/>
  <c r="M9624" i="3" s="1"/>
  <c r="B9628" i="3"/>
  <c r="L4309" i="3"/>
  <c r="M4309" i="3" s="1"/>
  <c r="B4313" i="3"/>
  <c r="L44" i="13"/>
  <c r="M44" i="13" s="1"/>
  <c r="B46" i="13"/>
  <c r="L46" i="13" s="1"/>
  <c r="M46" i="13" s="1"/>
  <c r="L5638" i="3"/>
  <c r="M5638" i="3" s="1"/>
  <c r="B5642" i="3"/>
  <c r="L2339" i="3"/>
  <c r="M2339" i="3" s="1"/>
  <c r="L2342" i="3"/>
  <c r="M2342" i="3" s="1"/>
  <c r="L2995" i="3"/>
  <c r="M2995" i="3" s="1"/>
  <c r="B2998" i="3"/>
  <c r="L2998" i="3" s="1"/>
  <c r="M2998" i="3" s="1"/>
  <c r="L1025" i="3"/>
  <c r="M1025" i="3" s="1"/>
  <c r="L1028" i="3"/>
  <c r="M1028" i="3" s="1"/>
  <c r="L1682" i="3"/>
  <c r="M1682" i="3" s="1"/>
  <c r="L1685" i="3"/>
  <c r="M1685" i="3" s="1"/>
  <c r="L3652" i="3"/>
  <c r="M3652" i="3" s="1"/>
  <c r="B3655" i="3"/>
  <c r="L3655" i="3" s="1"/>
  <c r="M3655" i="3" s="1"/>
  <c r="L369" i="3"/>
  <c r="M369" i="3" s="1"/>
  <c r="L372" i="3"/>
  <c r="M372" i="3" s="1"/>
  <c r="L701" i="3"/>
  <c r="M701" i="3" s="1"/>
  <c r="L703" i="3"/>
  <c r="M703" i="3" s="1"/>
  <c r="L5977" i="3"/>
  <c r="M5977" i="3" s="1"/>
  <c r="B5979" i="3"/>
  <c r="L5979" i="3" s="1"/>
  <c r="M5979" i="3" s="1"/>
  <c r="L9299" i="3"/>
  <c r="M9299" i="3" s="1"/>
  <c r="B9301" i="3"/>
  <c r="L9301" i="3" s="1"/>
  <c r="M9301" i="3" s="1"/>
  <c r="L5313" i="3"/>
  <c r="M5313" i="3" s="1"/>
  <c r="B5315" i="3"/>
  <c r="L5315" i="3" s="1"/>
  <c r="M5315" i="3" s="1"/>
  <c r="L2671" i="3"/>
  <c r="M2671" i="3" s="1"/>
  <c r="L2673" i="3"/>
  <c r="M2673" i="3" s="1"/>
  <c r="L3328" i="3"/>
  <c r="M3328" i="3" s="1"/>
  <c r="B3330" i="3"/>
  <c r="L3330" i="3" s="1"/>
  <c r="M3330" i="3" s="1"/>
  <c r="L6641" i="3"/>
  <c r="M6641" i="3" s="1"/>
  <c r="B6643" i="3"/>
  <c r="L6643" i="3" s="1"/>
  <c r="M6643" i="3" s="1"/>
  <c r="L8634" i="3"/>
  <c r="M8634" i="3" s="1"/>
  <c r="B8636" i="3"/>
  <c r="L8636" i="3" s="1"/>
  <c r="M8636" i="3" s="1"/>
  <c r="L1358" i="3"/>
  <c r="M1358" i="3" s="1"/>
  <c r="L1360" i="3"/>
  <c r="M1360" i="3" s="1"/>
  <c r="L4648" i="3"/>
  <c r="M4648" i="3" s="1"/>
  <c r="L4650" i="3"/>
  <c r="M4650" i="3" s="1"/>
  <c r="L3984" i="3"/>
  <c r="M3984" i="3" s="1"/>
  <c r="B3986" i="3"/>
  <c r="L3986" i="3" s="1"/>
  <c r="M3986" i="3" s="1"/>
  <c r="L2015" i="3"/>
  <c r="M2015" i="3" s="1"/>
  <c r="L2017" i="3"/>
  <c r="M2017" i="3" s="1"/>
  <c r="L7970" i="3"/>
  <c r="M7970" i="3" s="1"/>
  <c r="B7972" i="3"/>
  <c r="L7972" i="3" s="1"/>
  <c r="M7972" i="3" s="1"/>
  <c r="L7306" i="3"/>
  <c r="M7306" i="3" s="1"/>
  <c r="B7308" i="3"/>
  <c r="L7308" i="3" s="1"/>
  <c r="M7308" i="3" s="1"/>
  <c r="L45" i="3"/>
  <c r="M45" i="3" s="1"/>
  <c r="B47" i="3"/>
  <c r="L47" i="3" s="1"/>
  <c r="M47" i="3" s="1"/>
  <c r="B1321" i="13"/>
  <c r="L1321" i="13" s="1"/>
  <c r="M1321" i="13" s="1"/>
  <c r="B6118" i="3"/>
  <c r="L6118" i="3" s="1"/>
  <c r="M6118" i="3" s="1"/>
  <c r="L94" i="3"/>
  <c r="M94" i="3" s="1"/>
  <c r="L95" i="3"/>
  <c r="M95" i="3" s="1"/>
  <c r="B42" i="15"/>
  <c r="L42" i="15" s="1"/>
  <c r="M42" i="15" s="1"/>
  <c r="L41" i="15"/>
  <c r="M41" i="15" s="1"/>
  <c r="B369" i="15"/>
  <c r="L369" i="15" s="1"/>
  <c r="M369" i="15" s="1"/>
  <c r="L368" i="15"/>
  <c r="M368" i="15" s="1"/>
  <c r="B612" i="15"/>
  <c r="L612" i="15" s="1"/>
  <c r="M612" i="15" s="1"/>
  <c r="L610" i="15"/>
  <c r="M610" i="15" s="1"/>
  <c r="B1273" i="14"/>
  <c r="L1273" i="14" s="1"/>
  <c r="M1273" i="14" s="1"/>
  <c r="L1271" i="14"/>
  <c r="M1271" i="14" s="1"/>
  <c r="B1030" i="14"/>
  <c r="L1030" i="14" s="1"/>
  <c r="M1030" i="14" s="1"/>
  <c r="L1029" i="14"/>
  <c r="M1029" i="14" s="1"/>
  <c r="L1225" i="14"/>
  <c r="M1225" i="14" s="1"/>
  <c r="L564" i="14"/>
  <c r="M564" i="14" s="1"/>
  <c r="B42" i="14"/>
  <c r="L42" i="14" s="1"/>
  <c r="M42" i="14" s="1"/>
  <c r="L41" i="14"/>
  <c r="M41" i="14" s="1"/>
  <c r="B703" i="14"/>
  <c r="L703" i="14" s="1"/>
  <c r="M703" i="14" s="1"/>
  <c r="L702" i="14"/>
  <c r="M702" i="14" s="1"/>
  <c r="B369" i="14"/>
  <c r="L369" i="14" s="1"/>
  <c r="M369" i="14" s="1"/>
  <c r="L368" i="14"/>
  <c r="M368" i="14" s="1"/>
  <c r="B1888" i="13"/>
  <c r="L1888" i="13" s="1"/>
  <c r="M1888" i="13" s="1"/>
  <c r="L1932" i="13"/>
  <c r="M1932" i="13" s="1"/>
  <c r="B2643" i="13"/>
  <c r="L2643" i="13" s="1"/>
  <c r="M2643" i="13" s="1"/>
  <c r="L2641" i="13"/>
  <c r="M2641" i="13" s="1"/>
  <c r="B1364" i="13"/>
  <c r="L1364" i="13" s="1"/>
  <c r="M1364" i="13" s="1"/>
  <c r="L1363" i="13"/>
  <c r="M1363" i="13" s="1"/>
  <c r="B2025" i="13"/>
  <c r="L2025" i="13" s="1"/>
  <c r="M2025" i="13" s="1"/>
  <c r="L2024" i="13"/>
  <c r="M2024" i="13" s="1"/>
  <c r="B2352" i="13"/>
  <c r="L2352" i="13" s="1"/>
  <c r="M2352" i="13" s="1"/>
  <c r="L2351" i="13"/>
  <c r="M2351" i="13" s="1"/>
  <c r="L609" i="13"/>
  <c r="M609" i="13" s="1"/>
  <c r="L1225" i="13"/>
  <c r="M1225" i="13" s="1"/>
  <c r="B1030" i="13"/>
  <c r="L1030" i="13" s="1"/>
  <c r="M1030" i="13" s="1"/>
  <c r="L1029" i="13"/>
  <c r="M1029" i="13" s="1"/>
  <c r="B369" i="13"/>
  <c r="L369" i="13" s="1"/>
  <c r="M369" i="13" s="1"/>
  <c r="L368" i="13"/>
  <c r="M368" i="13" s="1"/>
  <c r="B2217" i="13"/>
  <c r="L2217" i="13" s="1"/>
  <c r="M2217" i="13" s="1"/>
  <c r="L2216" i="13"/>
  <c r="M2216" i="13" s="1"/>
  <c r="L2547" i="13"/>
  <c r="M2547" i="13" s="1"/>
  <c r="B566" i="13"/>
  <c r="L566" i="13" s="1"/>
  <c r="M566" i="13" s="1"/>
  <c r="L564" i="13"/>
  <c r="M564" i="13" s="1"/>
  <c r="B42" i="13"/>
  <c r="L42" i="13" s="1"/>
  <c r="M42" i="13" s="1"/>
  <c r="L41" i="13"/>
  <c r="M41" i="13" s="1"/>
  <c r="B1691" i="13"/>
  <c r="L1691" i="13" s="1"/>
  <c r="M1691" i="13" s="1"/>
  <c r="L1690" i="13"/>
  <c r="M1690" i="13" s="1"/>
  <c r="B2595" i="13"/>
  <c r="L2595" i="13" s="1"/>
  <c r="M2595" i="13" s="1"/>
  <c r="L2593" i="13"/>
  <c r="M2593" i="13" s="1"/>
  <c r="B703" i="13"/>
  <c r="L703" i="13" s="1"/>
  <c r="M703" i="13" s="1"/>
  <c r="L702" i="13"/>
  <c r="M702" i="13" s="1"/>
  <c r="B7165" i="3"/>
  <c r="L7165" i="3" s="1"/>
  <c r="M7165" i="3" s="1"/>
  <c r="L560" i="3"/>
  <c r="M560" i="3" s="1"/>
  <c r="L1217" i="3"/>
  <c r="M1217" i="3" s="1"/>
  <c r="B5219" i="3"/>
  <c r="L5216" i="3"/>
  <c r="M5216" i="3" s="1"/>
  <c r="B3846" i="3"/>
  <c r="L3846" i="3" s="1"/>
  <c r="M3846" i="3" s="1"/>
  <c r="L3844" i="3"/>
  <c r="M3844" i="3" s="1"/>
  <c r="B6546" i="3"/>
  <c r="L6546" i="3" s="1"/>
  <c r="M6546" i="3" s="1"/>
  <c r="L6545" i="3"/>
  <c r="M6545" i="3" s="1"/>
  <c r="B4555" i="3"/>
  <c r="L4552" i="3"/>
  <c r="M4552" i="3" s="1"/>
  <c r="B6501" i="3"/>
  <c r="L6501" i="3" s="1"/>
  <c r="M6501" i="3" s="1"/>
  <c r="L6498" i="3"/>
  <c r="M6498" i="3" s="1"/>
  <c r="B6830" i="3"/>
  <c r="L6830" i="3" s="1"/>
  <c r="M6830" i="3" s="1"/>
  <c r="L6829" i="3"/>
  <c r="M6829" i="3" s="1"/>
  <c r="B2626" i="3"/>
  <c r="L2626" i="3" s="1"/>
  <c r="M2626" i="3" s="1"/>
  <c r="L2624" i="3"/>
  <c r="M2624" i="3" s="1"/>
  <c r="L7922" i="3"/>
  <c r="M7922" i="3" s="1"/>
  <c r="B8589" i="3"/>
  <c r="L8589" i="3" s="1"/>
  <c r="M8589" i="3" s="1"/>
  <c r="L8586" i="3"/>
  <c r="M8586" i="3" s="1"/>
  <c r="B4508" i="3"/>
  <c r="L4508" i="3" s="1"/>
  <c r="M4508" i="3" s="1"/>
  <c r="L4505" i="3"/>
  <c r="M4505" i="3" s="1"/>
  <c r="B9488" i="3"/>
  <c r="L9488" i="3" s="1"/>
  <c r="M9488" i="3" s="1"/>
  <c r="L9487" i="3"/>
  <c r="M9487" i="3" s="1"/>
  <c r="B6300" i="3"/>
  <c r="L6300" i="3" s="1"/>
  <c r="M6300" i="3" s="1"/>
  <c r="L6299" i="3"/>
  <c r="M6299" i="3" s="1"/>
  <c r="B4971" i="3"/>
  <c r="L4971" i="3" s="1"/>
  <c r="M4971" i="3" s="1"/>
  <c r="L4970" i="3"/>
  <c r="M4970" i="3" s="1"/>
  <c r="B8632" i="3"/>
  <c r="L8632" i="3" s="1"/>
  <c r="M8632" i="3" s="1"/>
  <c r="L8631" i="3"/>
  <c r="M8631" i="3" s="1"/>
  <c r="B4646" i="3"/>
  <c r="L4646" i="3" s="1"/>
  <c r="M4646" i="3" s="1"/>
  <c r="L4645" i="3"/>
  <c r="M4645" i="3" s="1"/>
  <c r="B1356" i="3"/>
  <c r="L1356" i="3" s="1"/>
  <c r="M1356" i="3" s="1"/>
  <c r="L1355" i="3"/>
  <c r="M1355" i="3" s="1"/>
  <c r="B2338" i="3"/>
  <c r="L2338" i="3" s="1"/>
  <c r="M2338" i="3" s="1"/>
  <c r="L2337" i="3"/>
  <c r="M2337" i="3" s="1"/>
  <c r="B699" i="3"/>
  <c r="L699" i="3" s="1"/>
  <c r="M699" i="3" s="1"/>
  <c r="L698" i="3"/>
  <c r="M698" i="3" s="1"/>
  <c r="L9155" i="3"/>
  <c r="M9155" i="3" s="1"/>
  <c r="L5501" i="3"/>
  <c r="M5501" i="3" s="1"/>
  <c r="B7830" i="3"/>
  <c r="L7830" i="3" s="1"/>
  <c r="M7830" i="3" s="1"/>
  <c r="L7827" i="3"/>
  <c r="M7827" i="3" s="1"/>
  <c r="B4264" i="3"/>
  <c r="L4263" i="3"/>
  <c r="M4263" i="3" s="1"/>
  <c r="L654" i="3"/>
  <c r="M654" i="3" s="1"/>
  <c r="B3939" i="3"/>
  <c r="L3939" i="3" s="1"/>
  <c r="M3939" i="3" s="1"/>
  <c r="L3937" i="3"/>
  <c r="M3937" i="3" s="1"/>
  <c r="L1874" i="3"/>
  <c r="M1874" i="3" s="1"/>
  <c r="B368" i="3"/>
  <c r="L368" i="3" s="1"/>
  <c r="M368" i="3" s="1"/>
  <c r="L367" i="3"/>
  <c r="M367" i="3" s="1"/>
  <c r="B7629" i="3"/>
  <c r="L7629" i="3" s="1"/>
  <c r="M7629" i="3" s="1"/>
  <c r="L7628" i="3"/>
  <c r="M7628" i="3" s="1"/>
  <c r="B5975" i="3"/>
  <c r="L5975" i="3" s="1"/>
  <c r="M5975" i="3" s="1"/>
  <c r="L5974" i="3"/>
  <c r="M5974" i="3" s="1"/>
  <c r="B6639" i="3"/>
  <c r="L6639" i="3" s="1"/>
  <c r="M6639" i="3" s="1"/>
  <c r="L6638" i="3"/>
  <c r="M6638" i="3" s="1"/>
  <c r="B2669" i="3"/>
  <c r="L2669" i="3" s="1"/>
  <c r="M2669" i="3" s="1"/>
  <c r="L2668" i="3"/>
  <c r="M2668" i="3" s="1"/>
  <c r="B3982" i="3"/>
  <c r="L3982" i="3" s="1"/>
  <c r="M3982" i="3" s="1"/>
  <c r="L3981" i="3"/>
  <c r="M3981" i="3" s="1"/>
  <c r="B8957" i="3"/>
  <c r="L8957" i="3" s="1"/>
  <c r="M8957" i="3" s="1"/>
  <c r="L8956" i="3"/>
  <c r="M8956" i="3" s="1"/>
  <c r="B2994" i="3"/>
  <c r="L2994" i="3" s="1"/>
  <c r="M2994" i="3" s="1"/>
  <c r="L2993" i="3"/>
  <c r="M2993" i="3" s="1"/>
  <c r="L3795" i="3"/>
  <c r="M3795" i="3" s="1"/>
  <c r="B5837" i="3"/>
  <c r="L5837" i="3" s="1"/>
  <c r="M5837" i="3" s="1"/>
  <c r="L5834" i="3"/>
  <c r="M5834" i="3" s="1"/>
  <c r="B2579" i="3"/>
  <c r="L2577" i="3"/>
  <c r="M2577" i="3" s="1"/>
  <c r="L3233" i="3"/>
  <c r="M3233" i="3" s="1"/>
  <c r="B8823" i="3"/>
  <c r="L8823" i="3" s="1"/>
  <c r="M8823" i="3" s="1"/>
  <c r="L8822" i="3"/>
  <c r="M8822" i="3" s="1"/>
  <c r="L2203" i="3"/>
  <c r="M2203" i="3" s="1"/>
  <c r="L469" i="3"/>
  <c r="M469" i="3" s="1"/>
  <c r="B8159" i="3"/>
  <c r="L8159" i="3" s="1"/>
  <c r="M8159" i="3" s="1"/>
  <c r="L8158" i="3"/>
  <c r="M8158" i="3" s="1"/>
  <c r="B4603" i="3"/>
  <c r="L4603" i="3" s="1"/>
  <c r="M4603" i="3" s="1"/>
  <c r="L4600" i="3"/>
  <c r="M4600" i="3" s="1"/>
  <c r="B5408" i="3"/>
  <c r="L5408" i="3" s="1"/>
  <c r="M5408" i="3" s="1"/>
  <c r="L5407" i="3"/>
  <c r="M5407" i="3" s="1"/>
  <c r="B9622" i="3"/>
  <c r="L9622" i="3" s="1"/>
  <c r="M9622" i="3" s="1"/>
  <c r="L9621" i="3"/>
  <c r="M9621" i="3" s="1"/>
  <c r="B2013" i="3"/>
  <c r="L2013" i="3" s="1"/>
  <c r="M2013" i="3" s="1"/>
  <c r="L2012" i="3"/>
  <c r="M2012" i="3" s="1"/>
  <c r="B43" i="3"/>
  <c r="L43" i="3" s="1"/>
  <c r="M43" i="3" s="1"/>
  <c r="L42" i="3"/>
  <c r="M42" i="3" s="1"/>
  <c r="B4307" i="3"/>
  <c r="L4307" i="3" s="1"/>
  <c r="M4307" i="3" s="1"/>
  <c r="L4306" i="3"/>
  <c r="M4306" i="3" s="1"/>
  <c r="B1024" i="3"/>
  <c r="L1024" i="3" s="1"/>
  <c r="M1024" i="3" s="1"/>
  <c r="L1023" i="3"/>
  <c r="M1023" i="3" s="1"/>
  <c r="B5311" i="3"/>
  <c r="L5311" i="3" s="1"/>
  <c r="M5311" i="3" s="1"/>
  <c r="L5310" i="3"/>
  <c r="M5310" i="3" s="1"/>
  <c r="B3326" i="3"/>
  <c r="L3326" i="3" s="1"/>
  <c r="M3326" i="3" s="1"/>
  <c r="L3325" i="3"/>
  <c r="M3325" i="3" s="1"/>
  <c r="B7968" i="3"/>
  <c r="L7968" i="3" s="1"/>
  <c r="M7968" i="3" s="1"/>
  <c r="L7967" i="3"/>
  <c r="M7967" i="3" s="1"/>
  <c r="B3651" i="3"/>
  <c r="L3651" i="3" s="1"/>
  <c r="M3651" i="3" s="1"/>
  <c r="L3650" i="3"/>
  <c r="M3650" i="3" s="1"/>
  <c r="B6964" i="3"/>
  <c r="L6964" i="3" s="1"/>
  <c r="M6964" i="3" s="1"/>
  <c r="L6963" i="3"/>
  <c r="M6963" i="3" s="1"/>
  <c r="L3187" i="3"/>
  <c r="M3187" i="3" s="1"/>
  <c r="B9870" i="3"/>
  <c r="L9867" i="3"/>
  <c r="M9867" i="3" s="1"/>
  <c r="B9205" i="3"/>
  <c r="L9202" i="3"/>
  <c r="M9202" i="3" s="1"/>
  <c r="B5170" i="3"/>
  <c r="L5170" i="3" s="1"/>
  <c r="M5170" i="3" s="1"/>
  <c r="L5169" i="3"/>
  <c r="M5169" i="3" s="1"/>
  <c r="L8491" i="3"/>
  <c r="M8491" i="3" s="1"/>
  <c r="B5636" i="3"/>
  <c r="L5636" i="3" s="1"/>
  <c r="M5636" i="3" s="1"/>
  <c r="L5635" i="3"/>
  <c r="M5635" i="3" s="1"/>
  <c r="B7304" i="3"/>
  <c r="L7304" i="3" s="1"/>
  <c r="M7304" i="3" s="1"/>
  <c r="L7303" i="3"/>
  <c r="M7303" i="3" s="1"/>
  <c r="B8293" i="3"/>
  <c r="L8293" i="3" s="1"/>
  <c r="M8293" i="3" s="1"/>
  <c r="L8292" i="3"/>
  <c r="M8292" i="3" s="1"/>
  <c r="B9297" i="3"/>
  <c r="L9297" i="3" s="1"/>
  <c r="M9297" i="3" s="1"/>
  <c r="L9296" i="3"/>
  <c r="M9296" i="3" s="1"/>
  <c r="B1681" i="3"/>
  <c r="L1681" i="3" s="1"/>
  <c r="M1681" i="3" s="1"/>
  <c r="L1680" i="3"/>
  <c r="M1680" i="3" s="1"/>
  <c r="L8538" i="3"/>
  <c r="M8538" i="3" s="1"/>
  <c r="B4173" i="3"/>
  <c r="L4173" i="3" s="1"/>
  <c r="M4173" i="3" s="1"/>
  <c r="L4172" i="3"/>
  <c r="M4172" i="3" s="1"/>
  <c r="L6165" i="3"/>
  <c r="M6165" i="3" s="1"/>
  <c r="L4836" i="3"/>
  <c r="M4836" i="3" s="1"/>
  <c r="L3890" i="3"/>
  <c r="M3890" i="3" s="1"/>
  <c r="B8204" i="3"/>
  <c r="L8204" i="3" s="1"/>
  <c r="M8204" i="3" s="1"/>
  <c r="L8203" i="3"/>
  <c r="M8203" i="3" s="1"/>
  <c r="B9823" i="3"/>
  <c r="L9823" i="3" s="1"/>
  <c r="M9823" i="3" s="1"/>
  <c r="L9820" i="3"/>
  <c r="M9820" i="3" s="1"/>
  <c r="L2531" i="3"/>
  <c r="M2531" i="3" s="1"/>
  <c r="B7495" i="3"/>
  <c r="L7495" i="3" s="1"/>
  <c r="M7495" i="3" s="1"/>
  <c r="L7494" i="3"/>
  <c r="M7494" i="3" s="1"/>
  <c r="B2204" i="3"/>
  <c r="L2204" i="3" s="1"/>
  <c r="M2204" i="3" s="1"/>
  <c r="B656" i="3"/>
  <c r="L656" i="3" s="1"/>
  <c r="M656" i="3" s="1"/>
  <c r="B1876" i="3"/>
  <c r="L1876" i="3" s="1"/>
  <c r="M1876" i="3" s="1"/>
  <c r="B895" i="14"/>
  <c r="L895" i="14" s="1"/>
  <c r="M895" i="14" s="1"/>
  <c r="B234" i="13"/>
  <c r="L234" i="13" s="1"/>
  <c r="M234" i="13" s="1"/>
  <c r="B1556" i="13"/>
  <c r="L1556" i="13" s="1"/>
  <c r="M1556" i="13" s="1"/>
  <c r="B895" i="13"/>
  <c r="L895" i="13" s="1"/>
  <c r="M895" i="13" s="1"/>
  <c r="B1592" i="3"/>
  <c r="L1592" i="3" s="1"/>
  <c r="M1592" i="3" s="1"/>
  <c r="B325" i="3"/>
  <c r="L325" i="3" s="1"/>
  <c r="M325" i="3" s="1"/>
  <c r="B981" i="3"/>
  <c r="B144" i="3"/>
  <c r="L144" i="3" s="1"/>
  <c r="M144" i="3" s="1"/>
  <c r="B890" i="3"/>
  <c r="L890" i="3" s="1"/>
  <c r="M890" i="3" s="1"/>
  <c r="B1547" i="3"/>
  <c r="L1547" i="3" s="1"/>
  <c r="M1547" i="3" s="1"/>
  <c r="B1934" i="13"/>
  <c r="L1934" i="13" s="1"/>
  <c r="M1934" i="13" s="1"/>
  <c r="B1227" i="14"/>
  <c r="L1227" i="14" s="1"/>
  <c r="M1227" i="14" s="1"/>
  <c r="B2549" i="13"/>
  <c r="L2549" i="13" s="1"/>
  <c r="M2549" i="13" s="1"/>
  <c r="B1601" i="13"/>
  <c r="L1601" i="13" s="1"/>
  <c r="M1601" i="13" s="1"/>
  <c r="B1227" i="13"/>
  <c r="L1227" i="13" s="1"/>
  <c r="M1227" i="13" s="1"/>
  <c r="B2533" i="3"/>
  <c r="L2533" i="3" s="1"/>
  <c r="M2533" i="3" s="1"/>
  <c r="B2860" i="3"/>
  <c r="L2860" i="3" s="1"/>
  <c r="M2860" i="3" s="1"/>
  <c r="B3517" i="3"/>
  <c r="L3517" i="3" s="1"/>
  <c r="M3517" i="3" s="1"/>
  <c r="B3892" i="3"/>
  <c r="B5172" i="3"/>
  <c r="L5172" i="3" s="1"/>
  <c r="M5172" i="3" s="1"/>
  <c r="B4837" i="3"/>
  <c r="L4837" i="3" s="1"/>
  <c r="M4837" i="3" s="1"/>
  <c r="B6166" i="3"/>
  <c r="L6166" i="3" s="1"/>
  <c r="M6166" i="3" s="1"/>
  <c r="B8494" i="3"/>
  <c r="L8494" i="3" s="1"/>
  <c r="M8494" i="3" s="1"/>
  <c r="B7925" i="3"/>
  <c r="L7925" i="3" s="1"/>
  <c r="M7925" i="3" s="1"/>
  <c r="B2951" i="3"/>
  <c r="B3235" i="3"/>
  <c r="B6548" i="3"/>
  <c r="B1219" i="3"/>
  <c r="L1219" i="3" s="1"/>
  <c r="M1219" i="3" s="1"/>
  <c r="B471" i="3"/>
  <c r="L471" i="3" s="1"/>
  <c r="M471" i="3" s="1"/>
  <c r="B9158" i="3"/>
  <c r="L9158" i="3" s="1"/>
  <c r="M9158" i="3" s="1"/>
  <c r="B3608" i="3"/>
  <c r="B8541" i="3"/>
  <c r="B3797" i="3"/>
  <c r="L3797" i="3" s="1"/>
  <c r="M3797" i="3" s="1"/>
  <c r="B562" i="3"/>
  <c r="L562" i="3" s="1"/>
  <c r="M562" i="3" s="1"/>
  <c r="B566" i="14"/>
  <c r="L566" i="14" s="1"/>
  <c r="M566" i="14" s="1"/>
  <c r="B5502" i="3"/>
  <c r="L5502" i="3" s="1"/>
  <c r="M5502" i="3" s="1"/>
  <c r="B612" i="14"/>
  <c r="L612" i="14" s="1"/>
  <c r="M612" i="14" s="1"/>
  <c r="B1321" i="14"/>
  <c r="L1321" i="14" s="1"/>
  <c r="M1321" i="14" s="1"/>
  <c r="B7212" i="3"/>
  <c r="B1312" i="3"/>
  <c r="L1312" i="3" s="1"/>
  <c r="M1312" i="3" s="1"/>
  <c r="B4928" i="3"/>
  <c r="B1922" i="3"/>
  <c r="B940" i="14"/>
  <c r="L940" i="14" s="1"/>
  <c r="M940" i="14" s="1"/>
  <c r="B660" i="14"/>
  <c r="L660" i="14" s="1"/>
  <c r="M660" i="14" s="1"/>
  <c r="B7877" i="3"/>
  <c r="B326" i="15"/>
  <c r="B660" i="13"/>
  <c r="L660" i="13" s="1"/>
  <c r="M660" i="13" s="1"/>
  <c r="B6875" i="3"/>
  <c r="L6875" i="3" s="1"/>
  <c r="M6875" i="3" s="1"/>
  <c r="B8914" i="3"/>
  <c r="B5932" i="3"/>
  <c r="L5932" i="3" s="1"/>
  <c r="M5932" i="3" s="1"/>
  <c r="B5547" i="3"/>
  <c r="L5547" i="3" s="1"/>
  <c r="M5547" i="3" s="1"/>
  <c r="B5267" i="3"/>
  <c r="L5267" i="3" s="1"/>
  <c r="M5267" i="3" s="1"/>
  <c r="B3189" i="3"/>
  <c r="L3189" i="3" s="1"/>
  <c r="M3189" i="3" s="1"/>
  <c r="B6211" i="3"/>
  <c r="L6211" i="3" s="1"/>
  <c r="M6211" i="3" s="1"/>
  <c r="B9533" i="3"/>
  <c r="L9533" i="3" s="1"/>
  <c r="M9533" i="3" s="1"/>
  <c r="B6921" i="3"/>
  <c r="B9253" i="3"/>
  <c r="L9253" i="3" s="1"/>
  <c r="M9253" i="3" s="1"/>
  <c r="B987" i="13"/>
  <c r="B4882" i="3"/>
  <c r="L4882" i="3" s="1"/>
  <c r="M4882" i="3" s="1"/>
  <c r="B9579" i="3"/>
  <c r="B987" i="14"/>
  <c r="B935" i="3"/>
  <c r="L935" i="3" s="1"/>
  <c r="M935" i="3" s="1"/>
  <c r="B9918" i="3"/>
  <c r="L9918" i="3" s="1"/>
  <c r="M9918" i="3" s="1"/>
  <c r="B5884" i="3"/>
  <c r="B4218" i="3"/>
  <c r="L4218" i="3" s="1"/>
  <c r="M4218" i="3" s="1"/>
  <c r="B7540" i="3"/>
  <c r="L7540" i="3" s="1"/>
  <c r="M7540" i="3" s="1"/>
  <c r="B8868" i="3"/>
  <c r="L8868" i="3" s="1"/>
  <c r="M8868" i="3" s="1"/>
  <c r="B2905" i="3"/>
  <c r="L2905" i="3" s="1"/>
  <c r="M2905" i="3" s="1"/>
  <c r="B3282" i="3"/>
  <c r="L3282" i="3" s="1"/>
  <c r="M3282" i="3" s="1"/>
  <c r="B5593" i="3"/>
  <c r="B279" i="15"/>
  <c r="L279" i="15" s="1"/>
  <c r="M279" i="15" s="1"/>
  <c r="B660" i="15"/>
  <c r="L660" i="15" s="1"/>
  <c r="M660" i="15" s="1"/>
  <c r="B7586" i="3"/>
  <c r="B2249" i="3"/>
  <c r="L2249" i="3" s="1"/>
  <c r="M2249" i="3" s="1"/>
  <c r="B1638" i="3"/>
  <c r="B326" i="13"/>
  <c r="B7260" i="3"/>
  <c r="L7260" i="3" s="1"/>
  <c r="M7260" i="3" s="1"/>
  <c r="B6596" i="3"/>
  <c r="L6596" i="3" s="1"/>
  <c r="M6596" i="3" s="1"/>
  <c r="B2262" i="13"/>
  <c r="L2262" i="13" s="1"/>
  <c r="M2262" i="13" s="1"/>
  <c r="B3562" i="3"/>
  <c r="L3562" i="3" s="1"/>
  <c r="M3562" i="3" s="1"/>
  <c r="B2309" i="13"/>
  <c r="B940" i="13"/>
  <c r="L940" i="13" s="1"/>
  <c r="M940" i="13" s="1"/>
  <c r="B279" i="13"/>
  <c r="L279" i="13" s="1"/>
  <c r="M279" i="13" s="1"/>
  <c r="B2295" i="3"/>
  <c r="B279" i="14"/>
  <c r="L279" i="14" s="1"/>
  <c r="M279" i="14" s="1"/>
  <c r="B326" i="14"/>
  <c r="B6257" i="3"/>
  <c r="B1648" i="13"/>
  <c r="B1969" i="3"/>
  <c r="L1969" i="3" s="1"/>
  <c r="M1969" i="3" s="1"/>
  <c r="B1273" i="13"/>
  <c r="L1273" i="13" s="1"/>
  <c r="M1273" i="13" s="1"/>
  <c r="B1265" i="3"/>
  <c r="B1982" i="13"/>
  <c r="L1982" i="13" s="1"/>
  <c r="M1982" i="13" s="1"/>
  <c r="B8250" i="3"/>
  <c r="B6691" i="3"/>
  <c r="L6691" i="3" s="1"/>
  <c r="M6691" i="3" s="1"/>
  <c r="B8775" i="3"/>
  <c r="L8775" i="3" s="1"/>
  <c r="M8775" i="3" s="1"/>
  <c r="B9821" i="3"/>
  <c r="B7163" i="3"/>
  <c r="B423" i="14"/>
  <c r="L423" i="14" s="1"/>
  <c r="M423" i="14" s="1"/>
  <c r="B8065" i="3"/>
  <c r="L8065" i="3" s="1"/>
  <c r="M8065" i="3" s="1"/>
  <c r="B9678" i="3"/>
  <c r="L9678" i="3" s="1"/>
  <c r="M9678" i="3" s="1"/>
  <c r="B139" i="14"/>
  <c r="L139" i="14" s="1"/>
  <c r="M139" i="14" s="1"/>
  <c r="B4079" i="3"/>
  <c r="L4079" i="3" s="1"/>
  <c r="M4079" i="3" s="1"/>
  <c r="B469" i="15"/>
  <c r="L469" i="15" s="1"/>
  <c r="M469" i="15" s="1"/>
  <c r="B139" i="15"/>
  <c r="L139" i="15" s="1"/>
  <c r="M139" i="15" s="1"/>
  <c r="B1084" i="13"/>
  <c r="L1084" i="13" s="1"/>
  <c r="M1084" i="13" s="1"/>
  <c r="B6451" i="3"/>
  <c r="L6451" i="3" s="1"/>
  <c r="M6451" i="3" s="1"/>
  <c r="B423" i="13"/>
  <c r="L423" i="13" s="1"/>
  <c r="M423" i="13" s="1"/>
  <c r="B517" i="15"/>
  <c r="L517" i="15" s="1"/>
  <c r="M517" i="15" s="1"/>
  <c r="B1408" i="3"/>
  <c r="L1408" i="3" s="1"/>
  <c r="M1408" i="3" s="1"/>
  <c r="B423" i="15"/>
  <c r="L423" i="15" s="1"/>
  <c r="M423" i="15" s="1"/>
  <c r="B8111" i="3"/>
  <c r="L8111" i="3" s="1"/>
  <c r="M8111" i="3" s="1"/>
  <c r="B186" i="15"/>
  <c r="L186" i="15" s="1"/>
  <c r="M186" i="15" s="1"/>
  <c r="B45" i="15"/>
  <c r="L45" i="15" s="1"/>
  <c r="M45" i="15" s="1"/>
  <c r="B94" i="15"/>
  <c r="L94" i="15" s="1"/>
  <c r="M94" i="15" s="1"/>
  <c r="B373" i="15"/>
  <c r="L373" i="15" s="1"/>
  <c r="M373" i="15" s="1"/>
  <c r="B373" i="14"/>
  <c r="L373" i="14" s="1"/>
  <c r="M373" i="14" s="1"/>
  <c r="B755" i="14"/>
  <c r="L755" i="14" s="1"/>
  <c r="M755" i="14" s="1"/>
  <c r="B800" i="14"/>
  <c r="L800" i="14" s="1"/>
  <c r="M800" i="14" s="1"/>
  <c r="B706" i="14"/>
  <c r="L706" i="14" s="1"/>
  <c r="M706" i="14" s="1"/>
  <c r="B5787" i="3"/>
  <c r="L5787" i="3" s="1"/>
  <c r="M5787" i="3" s="1"/>
  <c r="B8962" i="3"/>
  <c r="L8962" i="3" s="1"/>
  <c r="M8962" i="3" s="1"/>
  <c r="B6969" i="3"/>
  <c r="L6969" i="3" s="1"/>
  <c r="M6969" i="3" s="1"/>
  <c r="B7732" i="3"/>
  <c r="B9013" i="3"/>
  <c r="L9013" i="3" s="1"/>
  <c r="M9013" i="3" s="1"/>
  <c r="B8298" i="3"/>
  <c r="L8298" i="3" s="1"/>
  <c r="M8298" i="3" s="1"/>
  <c r="B4363" i="3"/>
  <c r="L4363" i="3" s="1"/>
  <c r="M4363" i="3" s="1"/>
  <c r="B1745" i="13"/>
  <c r="L1745" i="13" s="1"/>
  <c r="M1745" i="13" s="1"/>
  <c r="B2500" i="13"/>
  <c r="L2500" i="13" s="1"/>
  <c r="M2500" i="13" s="1"/>
  <c r="B1034" i="13"/>
  <c r="L1034" i="13" s="1"/>
  <c r="M1034" i="13" s="1"/>
  <c r="B2452" i="13"/>
  <c r="L2452" i="13" s="1"/>
  <c r="M2452" i="13" s="1"/>
  <c r="B2406" i="13"/>
  <c r="L2406" i="13" s="1"/>
  <c r="M2406" i="13" s="1"/>
  <c r="B1367" i="13"/>
  <c r="L1367" i="13" s="1"/>
  <c r="M1367" i="13" s="1"/>
  <c r="B1416" i="13"/>
  <c r="L1416" i="13" s="1"/>
  <c r="M1416" i="13" s="1"/>
  <c r="B1684" i="3"/>
  <c r="L1684" i="3" s="1"/>
  <c r="M1684" i="3" s="1"/>
  <c r="B9300" i="3"/>
  <c r="L9300" i="3" s="1"/>
  <c r="M9300" i="3" s="1"/>
  <c r="B842" i="3"/>
  <c r="L842" i="3" s="1"/>
  <c r="M842" i="3" s="1"/>
  <c r="B4789" i="3"/>
  <c r="L4789" i="3" s="1"/>
  <c r="M4789" i="3" s="1"/>
  <c r="B5978" i="3"/>
  <c r="L5978" i="3" s="1"/>
  <c r="M5978" i="3" s="1"/>
  <c r="B2016" i="3"/>
  <c r="L2016" i="3" s="1"/>
  <c r="M2016" i="3" s="1"/>
  <c r="B5363" i="3"/>
  <c r="L5363" i="3" s="1"/>
  <c r="M5363" i="3" s="1"/>
  <c r="B3423" i="3"/>
  <c r="L3423" i="3" s="1"/>
  <c r="M3423" i="3" s="1"/>
  <c r="B1791" i="13"/>
  <c r="L1791" i="13" s="1"/>
  <c r="M1791" i="13" s="1"/>
  <c r="B1827" i="3"/>
  <c r="L1827" i="3" s="1"/>
  <c r="M1827" i="3" s="1"/>
  <c r="B1130" i="14"/>
  <c r="L1130" i="14" s="1"/>
  <c r="M1130" i="14" s="1"/>
  <c r="B6736" i="3"/>
  <c r="L6736" i="3" s="1"/>
  <c r="M6736" i="3" s="1"/>
  <c r="B2812" i="3"/>
  <c r="L2812" i="3" s="1"/>
  <c r="M2812" i="3" s="1"/>
  <c r="B6782" i="3"/>
  <c r="L6782" i="3" s="1"/>
  <c r="M6782" i="3" s="1"/>
  <c r="B6072" i="3"/>
  <c r="L6072" i="3" s="1"/>
  <c r="M6072" i="3" s="1"/>
  <c r="B1170" i="3"/>
  <c r="L1170" i="3" s="1"/>
  <c r="M1170" i="3" s="1"/>
  <c r="B5454" i="3"/>
  <c r="L5454" i="3" s="1"/>
  <c r="M5454" i="3" s="1"/>
  <c r="B5122" i="3"/>
  <c r="L5122" i="3" s="1"/>
  <c r="M5122" i="3" s="1"/>
  <c r="B7115" i="3"/>
  <c r="L7115" i="3" s="1"/>
  <c r="M7115" i="3" s="1"/>
  <c r="B2156" i="3"/>
  <c r="L2156" i="3" s="1"/>
  <c r="M2156" i="3" s="1"/>
  <c r="B9773" i="3"/>
  <c r="L9773" i="3" s="1"/>
  <c r="M9773" i="3" s="1"/>
  <c r="B9108" i="3"/>
  <c r="L9108" i="3" s="1"/>
  <c r="M9108" i="3" s="1"/>
  <c r="B9440" i="3"/>
  <c r="L9440" i="3" s="1"/>
  <c r="M9440" i="3" s="1"/>
  <c r="B7780" i="3"/>
  <c r="L7780" i="3" s="1"/>
  <c r="M7780" i="3" s="1"/>
  <c r="B4125" i="3"/>
  <c r="L4125" i="3" s="1"/>
  <c r="M4125" i="3" s="1"/>
  <c r="B7447" i="3"/>
  <c r="L7447" i="3" s="1"/>
  <c r="M7447" i="3" s="1"/>
  <c r="B4458" i="3"/>
  <c r="L4458" i="3" s="1"/>
  <c r="M4458" i="3" s="1"/>
  <c r="B3140" i="3"/>
  <c r="L3140" i="3" s="1"/>
  <c r="M3140" i="3" s="1"/>
  <c r="B3469" i="3"/>
  <c r="L3469" i="3" s="1"/>
  <c r="M3469" i="3" s="1"/>
  <c r="B8444" i="3"/>
  <c r="L8444" i="3" s="1"/>
  <c r="M8444" i="3" s="1"/>
  <c r="B1499" i="3"/>
  <c r="L1499" i="3" s="1"/>
  <c r="M1499" i="3" s="1"/>
  <c r="B2484" i="3"/>
  <c r="L2484" i="3" s="1"/>
  <c r="M2484" i="3" s="1"/>
  <c r="B800" i="13"/>
  <c r="L800" i="13" s="1"/>
  <c r="M800" i="13" s="1"/>
  <c r="B469" i="14"/>
  <c r="L469" i="14" s="1"/>
  <c r="M469" i="14" s="1"/>
  <c r="B2122" i="13"/>
  <c r="L2122" i="13" s="1"/>
  <c r="M2122" i="13" s="1"/>
  <c r="B1130" i="13"/>
  <c r="L1130" i="13" s="1"/>
  <c r="M1130" i="13" s="1"/>
  <c r="B1461" i="13"/>
  <c r="L1461" i="13" s="1"/>
  <c r="M1461" i="13" s="1"/>
  <c r="B469" i="13"/>
  <c r="L469" i="13" s="1"/>
  <c r="M469" i="13" s="1"/>
  <c r="B139" i="13"/>
  <c r="L139" i="13" s="1"/>
  <c r="M139" i="13" s="1"/>
  <c r="B189" i="3"/>
  <c r="L189" i="3" s="1"/>
  <c r="M189" i="3" s="1"/>
  <c r="B1780" i="3"/>
  <c r="B3093" i="3"/>
  <c r="B3750" i="3"/>
  <c r="B2437" i="3"/>
  <c r="B1123" i="3"/>
  <c r="B4743" i="3"/>
  <c r="L4743" i="3" s="1"/>
  <c r="M4743" i="3" s="1"/>
  <c r="B7401" i="3"/>
  <c r="L7401" i="3" s="1"/>
  <c r="M7401" i="3" s="1"/>
  <c r="B9394" i="3"/>
  <c r="L9394" i="3" s="1"/>
  <c r="M9394" i="3" s="1"/>
  <c r="B796" i="3"/>
  <c r="L796" i="3" s="1"/>
  <c r="M796" i="3" s="1"/>
  <c r="B2110" i="3"/>
  <c r="L2110" i="3" s="1"/>
  <c r="M2110" i="3" s="1"/>
  <c r="B8729" i="3"/>
  <c r="L8729" i="3" s="1"/>
  <c r="M8729" i="3" s="1"/>
  <c r="B2766" i="3"/>
  <c r="L2766" i="3" s="1"/>
  <c r="M2766" i="3" s="1"/>
  <c r="B1453" i="3"/>
  <c r="L1453" i="3" s="1"/>
  <c r="M1453" i="3" s="1"/>
  <c r="B1084" i="14"/>
  <c r="L1084" i="14" s="1"/>
  <c r="M1084" i="14" s="1"/>
  <c r="B94" i="14"/>
  <c r="L94" i="14" s="1"/>
  <c r="M94" i="14" s="1"/>
  <c r="B2077" i="13"/>
  <c r="L2077" i="13" s="1"/>
  <c r="M2077" i="13" s="1"/>
  <c r="B755" i="13"/>
  <c r="L755" i="13" s="1"/>
  <c r="M755" i="13" s="1"/>
  <c r="B94" i="13"/>
  <c r="L94" i="13" s="1"/>
  <c r="M94" i="13" s="1"/>
  <c r="B1077" i="3"/>
  <c r="L1077" i="3" s="1"/>
  <c r="M1077" i="3" s="1"/>
  <c r="B7356" i="3"/>
  <c r="L7356" i="3" s="1"/>
  <c r="M7356" i="3" s="1"/>
  <c r="B421" i="3"/>
  <c r="L421" i="3" s="1"/>
  <c r="M421" i="3" s="1"/>
  <c r="B4976" i="3"/>
  <c r="L4976" i="3" s="1"/>
  <c r="M4976" i="3" s="1"/>
  <c r="B186" i="13"/>
  <c r="L186" i="13" s="1"/>
  <c r="M186" i="13" s="1"/>
  <c r="B186" i="14"/>
  <c r="L186" i="14" s="1"/>
  <c r="M186" i="14" s="1"/>
  <c r="B5641" i="3"/>
  <c r="L5641" i="3" s="1"/>
  <c r="M5641" i="3" s="1"/>
  <c r="B6356" i="3"/>
  <c r="L6356" i="3" s="1"/>
  <c r="M6356" i="3" s="1"/>
  <c r="B2672" i="3"/>
  <c r="L2672" i="3" s="1"/>
  <c r="M2672" i="3" s="1"/>
  <c r="B9349" i="3"/>
  <c r="L9349" i="3" s="1"/>
  <c r="M9349" i="3" s="1"/>
  <c r="B2341" i="3"/>
  <c r="L2341" i="3" s="1"/>
  <c r="M2341" i="3" s="1"/>
  <c r="B3329" i="3"/>
  <c r="L3329" i="3" s="1"/>
  <c r="M3329" i="3" s="1"/>
  <c r="B8396" i="3"/>
  <c r="B8349" i="3"/>
  <c r="L8349" i="3" s="1"/>
  <c r="M8349" i="3" s="1"/>
  <c r="B8635" i="3"/>
  <c r="L8635" i="3" s="1"/>
  <c r="M8635" i="3" s="1"/>
  <c r="B8020" i="3"/>
  <c r="L8020" i="3" s="1"/>
  <c r="M8020" i="3" s="1"/>
  <c r="B2721" i="3"/>
  <c r="L2721" i="3" s="1"/>
  <c r="M2721" i="3" s="1"/>
  <c r="B4698" i="3"/>
  <c r="L4698" i="3" s="1"/>
  <c r="M4698" i="3" s="1"/>
  <c r="B1695" i="13"/>
  <c r="L1695" i="13" s="1"/>
  <c r="M1695" i="13" s="1"/>
  <c r="B1359" i="3"/>
  <c r="L1359" i="3" s="1"/>
  <c r="M1359" i="3" s="1"/>
  <c r="B1027" i="3"/>
  <c r="L1027" i="3" s="1"/>
  <c r="M1027" i="3" s="1"/>
  <c r="B2169" i="13"/>
  <c r="L2169" i="13" s="1"/>
  <c r="M2169" i="13" s="1"/>
  <c r="B847" i="13"/>
  <c r="L847" i="13" s="1"/>
  <c r="M847" i="13" s="1"/>
  <c r="B5027" i="3"/>
  <c r="L5027" i="3" s="1"/>
  <c r="M5027" i="3" s="1"/>
  <c r="B5074" i="3"/>
  <c r="B373" i="13"/>
  <c r="L373" i="13" s="1"/>
  <c r="M373" i="13" s="1"/>
  <c r="B6642" i="3"/>
  <c r="L6642" i="3" s="1"/>
  <c r="M6642" i="3" s="1"/>
  <c r="B3654" i="3"/>
  <c r="L3654" i="3" s="1"/>
  <c r="M3654" i="3" s="1"/>
  <c r="B517" i="13"/>
  <c r="L517" i="13" s="1"/>
  <c r="M517" i="13" s="1"/>
  <c r="B45" i="14"/>
  <c r="L45" i="14" s="1"/>
  <c r="M45" i="14" s="1"/>
  <c r="B2997" i="3"/>
  <c r="L2997" i="3" s="1"/>
  <c r="M2997" i="3" s="1"/>
  <c r="B9627" i="3"/>
  <c r="L9627" i="3" s="1"/>
  <c r="M9627" i="3" s="1"/>
  <c r="B6305" i="3"/>
  <c r="L6305" i="3" s="1"/>
  <c r="M6305" i="3" s="1"/>
  <c r="B7971" i="3"/>
  <c r="L7971" i="3" s="1"/>
  <c r="M7971" i="3" s="1"/>
  <c r="B2391" i="3"/>
  <c r="L2391" i="3" s="1"/>
  <c r="M2391" i="3" s="1"/>
  <c r="B9725" i="3"/>
  <c r="B7307" i="3"/>
  <c r="L7307" i="3" s="1"/>
  <c r="M7307" i="3" s="1"/>
  <c r="B7020" i="3"/>
  <c r="L7020" i="3" s="1"/>
  <c r="M7020" i="3" s="1"/>
  <c r="B9060" i="3"/>
  <c r="B279" i="3"/>
  <c r="L279" i="3" s="1"/>
  <c r="M279" i="3" s="1"/>
  <c r="B6403" i="3"/>
  <c r="B702" i="3"/>
  <c r="L702" i="3" s="1"/>
  <c r="M702" i="3" s="1"/>
  <c r="B5739" i="3"/>
  <c r="B4312" i="3"/>
  <c r="L4312" i="3" s="1"/>
  <c r="M4312" i="3" s="1"/>
  <c r="B3378" i="3"/>
  <c r="L3378" i="3" s="1"/>
  <c r="M3378" i="3" s="1"/>
  <c r="B706" i="13"/>
  <c r="L706" i="13" s="1"/>
  <c r="M706" i="13" s="1"/>
  <c r="B45" i="13"/>
  <c r="L45" i="13" s="1"/>
  <c r="M45" i="13" s="1"/>
  <c r="B517" i="3"/>
  <c r="L517" i="3" s="1"/>
  <c r="M517" i="3" s="1"/>
  <c r="B6027" i="3"/>
  <c r="L6027" i="3" s="1"/>
  <c r="M6027" i="3" s="1"/>
  <c r="B1839" i="13"/>
  <c r="L1839" i="13" s="1"/>
  <c r="M1839" i="13" s="1"/>
  <c r="B4410" i="3"/>
  <c r="B751" i="3"/>
  <c r="L751" i="3" s="1"/>
  <c r="M751" i="3" s="1"/>
  <c r="B847" i="14"/>
  <c r="L847" i="14" s="1"/>
  <c r="M847" i="14" s="1"/>
  <c r="B7634" i="3"/>
  <c r="L7634" i="3" s="1"/>
  <c r="M7634" i="3" s="1"/>
  <c r="B609" i="3"/>
  <c r="L609" i="3" s="1"/>
  <c r="M609" i="3" s="1"/>
  <c r="B5314" i="3"/>
  <c r="L5314" i="3" s="1"/>
  <c r="M5314" i="3" s="1"/>
  <c r="B2356" i="13"/>
  <c r="L2356" i="13" s="1"/>
  <c r="M2356" i="13" s="1"/>
  <c r="B5692" i="3"/>
  <c r="L5692" i="3" s="1"/>
  <c r="M5692" i="3" s="1"/>
  <c r="B1034" i="14"/>
  <c r="L1034" i="14" s="1"/>
  <c r="M1034" i="14" s="1"/>
  <c r="B3985" i="3"/>
  <c r="L3985" i="3" s="1"/>
  <c r="M3985" i="3" s="1"/>
  <c r="B1178" i="14"/>
  <c r="L1178" i="14" s="1"/>
  <c r="M1178" i="14" s="1"/>
  <c r="B1508" i="13"/>
  <c r="L1508" i="13" s="1"/>
  <c r="M1508" i="13" s="1"/>
  <c r="B371" i="3"/>
  <c r="L371" i="3" s="1"/>
  <c r="M371" i="3" s="1"/>
  <c r="B2028" i="13"/>
  <c r="L2028" i="13" s="1"/>
  <c r="M2028" i="13" s="1"/>
  <c r="B3704" i="3"/>
  <c r="L3704" i="3" s="1"/>
  <c r="M3704" i="3" s="1"/>
  <c r="B7067" i="3"/>
  <c r="B1734" i="3"/>
  <c r="L1734" i="3" s="1"/>
  <c r="M1734" i="3" s="1"/>
  <c r="B1178" i="13"/>
  <c r="L1178" i="13" s="1"/>
  <c r="M1178" i="13" s="1"/>
  <c r="B2065" i="3"/>
  <c r="L2065" i="3" s="1"/>
  <c r="M2065" i="3" s="1"/>
  <c r="B517" i="14"/>
  <c r="L517" i="14" s="1"/>
  <c r="M517" i="14" s="1"/>
  <c r="B7685" i="3"/>
  <c r="L7685" i="3" s="1"/>
  <c r="M7685" i="3" s="1"/>
  <c r="B4649" i="3"/>
  <c r="L4649" i="3" s="1"/>
  <c r="M4649" i="3" s="1"/>
  <c r="B8684" i="3"/>
  <c r="L8684" i="3" s="1"/>
  <c r="M8684" i="3" s="1"/>
  <c r="B4034" i="3"/>
  <c r="L4034" i="3" s="1"/>
  <c r="M4034" i="3" s="1"/>
  <c r="B3047" i="3"/>
  <c r="L3047" i="3" s="1"/>
  <c r="M3047" i="3" s="1"/>
  <c r="B46" i="3"/>
  <c r="L46" i="3" s="1"/>
  <c r="M46" i="3" s="1"/>
  <c r="L9821" i="3" l="1"/>
  <c r="M9821" i="3" s="1"/>
  <c r="B9824" i="3"/>
  <c r="L9824" i="3" s="1"/>
  <c r="M9824" i="3" s="1"/>
  <c r="L7163" i="3"/>
  <c r="M7163" i="3" s="1"/>
  <c r="B7166" i="3"/>
  <c r="L7166" i="3" s="1"/>
  <c r="M7166" i="3" s="1"/>
  <c r="B7923" i="3"/>
  <c r="L7923" i="3" s="1"/>
  <c r="M7923" i="3" s="1"/>
  <c r="L326" i="15"/>
  <c r="M326" i="15" s="1"/>
  <c r="L987" i="14"/>
  <c r="M987" i="14" s="1"/>
  <c r="L326" i="14"/>
  <c r="M326" i="14" s="1"/>
  <c r="L326" i="13"/>
  <c r="M326" i="13" s="1"/>
  <c r="L987" i="13"/>
  <c r="M987" i="13" s="1"/>
  <c r="L1648" i="13"/>
  <c r="M1648" i="13" s="1"/>
  <c r="L2309" i="13"/>
  <c r="M2309" i="13" s="1"/>
  <c r="B8539" i="3"/>
  <c r="L8539" i="3" s="1"/>
  <c r="M8539" i="3" s="1"/>
  <c r="B9156" i="3"/>
  <c r="L9579" i="3"/>
  <c r="M9579" i="3" s="1"/>
  <c r="L7212" i="3"/>
  <c r="M7212" i="3" s="1"/>
  <c r="L1922" i="3"/>
  <c r="M1922" i="3" s="1"/>
  <c r="L981" i="3"/>
  <c r="M981" i="3" s="1"/>
  <c r="L3750" i="3"/>
  <c r="M3750" i="3" s="1"/>
  <c r="L7732" i="3"/>
  <c r="M7732" i="3" s="1"/>
  <c r="L8250" i="3"/>
  <c r="M8250" i="3" s="1"/>
  <c r="L5739" i="3"/>
  <c r="M5739" i="3" s="1"/>
  <c r="L3093" i="3"/>
  <c r="M3093" i="3" s="1"/>
  <c r="L5593" i="3"/>
  <c r="M5593" i="3" s="1"/>
  <c r="L7586" i="3"/>
  <c r="M7586" i="3" s="1"/>
  <c r="L4928" i="3"/>
  <c r="M4928" i="3" s="1"/>
  <c r="L4264" i="3"/>
  <c r="M4264" i="3" s="1"/>
  <c r="L4555" i="3"/>
  <c r="M4555" i="3" s="1"/>
  <c r="L5219" i="3"/>
  <c r="M5219" i="3" s="1"/>
  <c r="L9060" i="3"/>
  <c r="M9060" i="3" s="1"/>
  <c r="L1123" i="3"/>
  <c r="M1123" i="3" s="1"/>
  <c r="L1780" i="3"/>
  <c r="M1780" i="3" s="1"/>
  <c r="L6257" i="3"/>
  <c r="M6257" i="3" s="1"/>
  <c r="L8541" i="3"/>
  <c r="M8541" i="3" s="1"/>
  <c r="L6403" i="3"/>
  <c r="M6403" i="3" s="1"/>
  <c r="L1265" i="3"/>
  <c r="M1265" i="3" s="1"/>
  <c r="L3608" i="3"/>
  <c r="M3608" i="3" s="1"/>
  <c r="L6548" i="3"/>
  <c r="M6548" i="3" s="1"/>
  <c r="L3235" i="3"/>
  <c r="M3235" i="3" s="1"/>
  <c r="L3892" i="3"/>
  <c r="M3892" i="3" s="1"/>
  <c r="L9205" i="3"/>
  <c r="M9205" i="3" s="1"/>
  <c r="L4410" i="3"/>
  <c r="M4410" i="3" s="1"/>
  <c r="L8396" i="3"/>
  <c r="M8396" i="3" s="1"/>
  <c r="L5074" i="3"/>
  <c r="M5074" i="3" s="1"/>
  <c r="B9723" i="3"/>
  <c r="L9723" i="3" s="1"/>
  <c r="M9723" i="3" s="1"/>
  <c r="L2437" i="3"/>
  <c r="M2437" i="3" s="1"/>
  <c r="L8914" i="3"/>
  <c r="M8914" i="3" s="1"/>
  <c r="L7877" i="3"/>
  <c r="M7877" i="3" s="1"/>
  <c r="B4553" i="3"/>
  <c r="L4553" i="3" s="1"/>
  <c r="M4553" i="3" s="1"/>
  <c r="L2951" i="3"/>
  <c r="M2951" i="3" s="1"/>
  <c r="L2295" i="3"/>
  <c r="M2295" i="3" s="1"/>
  <c r="B6303" i="3"/>
  <c r="L7067" i="3"/>
  <c r="M7067" i="3" s="1"/>
  <c r="L9725" i="3"/>
  <c r="M9725" i="3" s="1"/>
  <c r="B8492" i="3"/>
  <c r="L1638" i="3"/>
  <c r="M1638" i="3" s="1"/>
  <c r="L5884" i="3"/>
  <c r="M5884" i="3" s="1"/>
  <c r="L6921" i="3"/>
  <c r="M6921" i="3" s="1"/>
  <c r="B7210" i="3"/>
  <c r="L7210" i="3" s="1"/>
  <c r="M7210" i="3" s="1"/>
  <c r="L9870" i="3"/>
  <c r="M9870" i="3" s="1"/>
  <c r="L2579" i="3"/>
  <c r="M2579" i="3" s="1"/>
  <c r="B5217" i="3"/>
  <c r="L5217" i="3" s="1"/>
  <c r="M5217" i="3" s="1"/>
  <c r="B8587" i="3"/>
  <c r="L8587" i="3" s="1"/>
  <c r="M8587" i="3" s="1"/>
  <c r="B4601" i="3"/>
  <c r="L4601" i="3" s="1"/>
  <c r="M4601" i="3" s="1"/>
  <c r="B7828" i="3"/>
  <c r="B4506" i="3"/>
  <c r="L4506" i="3" s="1"/>
  <c r="M4506" i="3" s="1"/>
  <c r="B6499" i="3"/>
  <c r="B9868" i="3"/>
  <c r="L9868" i="3" s="1"/>
  <c r="M9868" i="3" s="1"/>
  <c r="B9203" i="3"/>
  <c r="L9203" i="3" s="1"/>
  <c r="M9203" i="3" s="1"/>
  <c r="B5835" i="3"/>
  <c r="L5835" i="3" s="1"/>
  <c r="M5835" i="3" s="1"/>
  <c r="B5930" i="3"/>
  <c r="L5930" i="3" s="1"/>
  <c r="M5930" i="3" s="1"/>
  <c r="B9916" i="3"/>
  <c r="L9916" i="3" s="1"/>
  <c r="M9916" i="3" s="1"/>
  <c r="B5265" i="3"/>
  <c r="L5265" i="3" s="1"/>
  <c r="M5265" i="3" s="1"/>
  <c r="B7258" i="3"/>
  <c r="L7258" i="3" s="1"/>
  <c r="M7258" i="3" s="1"/>
  <c r="B5882" i="3"/>
  <c r="L5882" i="3" s="1"/>
  <c r="M5882" i="3" s="1"/>
  <c r="B7875" i="3"/>
  <c r="L7875" i="3" s="1"/>
  <c r="M7875" i="3" s="1"/>
  <c r="B6594" i="3"/>
  <c r="L6594" i="3" s="1"/>
  <c r="M6594" i="3" s="1"/>
  <c r="B9251" i="3"/>
  <c r="L9251" i="3" s="1"/>
  <c r="M9251" i="3" s="1"/>
  <c r="B5025" i="3"/>
  <c r="B8394" i="3"/>
  <c r="L8394" i="3" s="1"/>
  <c r="M8394" i="3" s="1"/>
  <c r="B5639" i="3"/>
  <c r="B8347" i="3"/>
  <c r="B6354" i="3"/>
  <c r="B6449" i="3"/>
  <c r="L6449" i="3" s="1"/>
  <c r="M6449" i="3" s="1"/>
  <c r="B4974" i="3"/>
  <c r="B5785" i="3"/>
  <c r="L5785" i="3" s="1"/>
  <c r="M5785" i="3" s="1"/>
  <c r="B9106" i="3"/>
  <c r="L9106" i="3" s="1"/>
  <c r="M9106" i="3" s="1"/>
  <c r="B7113" i="3"/>
  <c r="L7113" i="3" s="1"/>
  <c r="M7113" i="3" s="1"/>
  <c r="B8442" i="3"/>
  <c r="L8442" i="3" s="1"/>
  <c r="M8442" i="3" s="1"/>
  <c r="B9771" i="3"/>
  <c r="L9771" i="3" s="1"/>
  <c r="M9771" i="3" s="1"/>
  <c r="B5120" i="3"/>
  <c r="L5120" i="3" s="1"/>
  <c r="M5120" i="3" s="1"/>
  <c r="B4456" i="3"/>
  <c r="L4456" i="3" s="1"/>
  <c r="M4456" i="3" s="1"/>
  <c r="B7778" i="3"/>
  <c r="L7778" i="3" s="1"/>
  <c r="M7778" i="3" s="1"/>
  <c r="B4361" i="3"/>
  <c r="B8960" i="3"/>
  <c r="B9011" i="3"/>
  <c r="B8296" i="3"/>
  <c r="B6967" i="3"/>
  <c r="B7730" i="3"/>
  <c r="L7730" i="3" s="1"/>
  <c r="M7730" i="3" s="1"/>
  <c r="B9676" i="3"/>
  <c r="B5737" i="3"/>
  <c r="L5737" i="3" s="1"/>
  <c r="M5737" i="3" s="1"/>
  <c r="B5690" i="3"/>
  <c r="B7683" i="3"/>
  <c r="B9058" i="3"/>
  <c r="L9058" i="3" s="1"/>
  <c r="M9058" i="3" s="1"/>
  <c r="B4310" i="3"/>
  <c r="B7018" i="3"/>
  <c r="B5072" i="3"/>
  <c r="L5072" i="3" s="1"/>
  <c r="M5072" i="3" s="1"/>
  <c r="B9625" i="3"/>
  <c r="B7065" i="3"/>
  <c r="L7065" i="3" s="1"/>
  <c r="M7065" i="3" s="1"/>
  <c r="B6401" i="3"/>
  <c r="L6401" i="3" s="1"/>
  <c r="M6401" i="3" s="1"/>
  <c r="B7632" i="3"/>
  <c r="B4408" i="3"/>
  <c r="L4408" i="3" s="1"/>
  <c r="M4408" i="3" s="1"/>
  <c r="A8" i="2"/>
  <c r="L7683" i="3" l="1"/>
  <c r="M7683" i="3" s="1"/>
  <c r="B7686" i="3"/>
  <c r="L7686" i="3" s="1"/>
  <c r="M7686" i="3" s="1"/>
  <c r="L8492" i="3"/>
  <c r="M8492" i="3" s="1"/>
  <c r="B8495" i="3"/>
  <c r="L8495" i="3" s="1"/>
  <c r="M8495" i="3" s="1"/>
  <c r="L9156" i="3"/>
  <c r="M9156" i="3" s="1"/>
  <c r="B9159" i="3"/>
  <c r="L9159" i="3" s="1"/>
  <c r="M9159" i="3" s="1"/>
  <c r="L9011" i="3"/>
  <c r="M9011" i="3" s="1"/>
  <c r="B9014" i="3"/>
  <c r="L9014" i="3" s="1"/>
  <c r="M9014" i="3" s="1"/>
  <c r="L4361" i="3"/>
  <c r="M4361" i="3" s="1"/>
  <c r="B4364" i="3"/>
  <c r="L4364" i="3" s="1"/>
  <c r="M4364" i="3" s="1"/>
  <c r="L6499" i="3"/>
  <c r="M6499" i="3" s="1"/>
  <c r="B6502" i="3"/>
  <c r="L6502" i="3" s="1"/>
  <c r="M6502" i="3" s="1"/>
  <c r="L5025" i="3"/>
  <c r="M5025" i="3" s="1"/>
  <c r="B5028" i="3"/>
  <c r="L5028" i="3" s="1"/>
  <c r="M5028" i="3" s="1"/>
  <c r="L5690" i="3"/>
  <c r="M5690" i="3" s="1"/>
  <c r="B5693" i="3"/>
  <c r="L5693" i="3" s="1"/>
  <c r="M5693" i="3" s="1"/>
  <c r="L6354" i="3"/>
  <c r="M6354" i="3" s="1"/>
  <c r="B6357" i="3"/>
  <c r="L6357" i="3" s="1"/>
  <c r="M6357" i="3" s="1"/>
  <c r="L7018" i="3"/>
  <c r="M7018" i="3" s="1"/>
  <c r="B7021" i="3"/>
  <c r="L7021" i="3" s="1"/>
  <c r="M7021" i="3" s="1"/>
  <c r="L8347" i="3"/>
  <c r="M8347" i="3" s="1"/>
  <c r="B8350" i="3"/>
  <c r="L8350" i="3" s="1"/>
  <c r="M8350" i="3" s="1"/>
  <c r="L9676" i="3"/>
  <c r="M9676" i="3" s="1"/>
  <c r="B9679" i="3"/>
  <c r="L9679" i="3" s="1"/>
  <c r="M9679" i="3" s="1"/>
  <c r="L7828" i="3"/>
  <c r="M7828" i="3" s="1"/>
  <c r="B7831" i="3"/>
  <c r="L7831" i="3" s="1"/>
  <c r="M7831" i="3" s="1"/>
  <c r="L4310" i="3"/>
  <c r="M4310" i="3" s="1"/>
  <c r="L4313" i="3"/>
  <c r="M4313" i="3" s="1"/>
  <c r="L8296" i="3"/>
  <c r="M8296" i="3" s="1"/>
  <c r="L8299" i="3"/>
  <c r="M8299" i="3" s="1"/>
  <c r="L5639" i="3"/>
  <c r="M5639" i="3" s="1"/>
  <c r="L5642" i="3"/>
  <c r="M5642" i="3" s="1"/>
  <c r="L6303" i="3"/>
  <c r="M6303" i="3" s="1"/>
  <c r="B6306" i="3"/>
  <c r="L6306" i="3" s="1"/>
  <c r="M6306" i="3" s="1"/>
  <c r="L7632" i="3"/>
  <c r="M7632" i="3" s="1"/>
  <c r="B7635" i="3"/>
  <c r="L7635" i="3" s="1"/>
  <c r="M7635" i="3" s="1"/>
  <c r="L8960" i="3"/>
  <c r="M8960" i="3" s="1"/>
  <c r="L8963" i="3"/>
  <c r="M8963" i="3" s="1"/>
  <c r="L9625" i="3"/>
  <c r="M9625" i="3" s="1"/>
  <c r="L9628" i="3"/>
  <c r="M9628" i="3" s="1"/>
  <c r="L6967" i="3"/>
  <c r="M6967" i="3" s="1"/>
  <c r="B6970" i="3"/>
  <c r="L6970" i="3" s="1"/>
  <c r="M6970" i="3" s="1"/>
  <c r="L4974" i="3"/>
  <c r="M4974" i="3" s="1"/>
  <c r="L4977" i="3"/>
  <c r="M4977" i="3" s="1"/>
  <c r="B189" i="5"/>
  <c r="B425" i="5"/>
  <c r="B229" i="5"/>
  <c r="B327" i="5"/>
  <c r="B379" i="5"/>
  <c r="B374" i="5"/>
  <c r="B231" i="5"/>
  <c r="B321" i="5"/>
  <c r="B417" i="5"/>
  <c r="B285" i="5"/>
  <c r="B332" i="5"/>
  <c r="B186" i="5"/>
  <c r="B182" i="5"/>
  <c r="B328" i="5"/>
  <c r="B330" i="5"/>
  <c r="B228" i="5"/>
  <c r="B371" i="5"/>
  <c r="B230" i="5"/>
  <c r="B424" i="5"/>
  <c r="B421" i="5"/>
  <c r="B191" i="5"/>
  <c r="B323" i="5"/>
  <c r="B331" i="5"/>
  <c r="B238" i="5"/>
  <c r="B234" i="5"/>
  <c r="B322" i="5"/>
  <c r="B369" i="5"/>
  <c r="B183" i="5"/>
  <c r="B418" i="5"/>
  <c r="B276" i="5"/>
  <c r="B416" i="5"/>
  <c r="B274" i="5"/>
  <c r="B375" i="5"/>
  <c r="B415" i="5"/>
  <c r="B378" i="5"/>
  <c r="B280" i="5"/>
  <c r="B283" i="5"/>
  <c r="B419" i="5"/>
  <c r="B184" i="5"/>
  <c r="B232" i="5"/>
  <c r="B237" i="5"/>
  <c r="B368" i="5"/>
  <c r="B227" i="5"/>
  <c r="B377" i="5"/>
  <c r="B284" i="5"/>
  <c r="B277" i="5"/>
  <c r="B233" i="5"/>
  <c r="B372" i="5"/>
  <c r="B325" i="5"/>
  <c r="B422" i="5"/>
  <c r="B278" i="5"/>
  <c r="B324" i="5"/>
  <c r="B326" i="5"/>
  <c r="B190" i="5"/>
  <c r="B185" i="5"/>
  <c r="B236" i="5"/>
  <c r="B426" i="5"/>
  <c r="B373" i="5"/>
  <c r="B181" i="5"/>
  <c r="B279" i="5"/>
  <c r="B420" i="5"/>
  <c r="B275" i="5"/>
  <c r="B180" i="5"/>
  <c r="B281" i="5"/>
  <c r="B187" i="5"/>
  <c r="B370" i="5"/>
  <c r="B30" i="5"/>
  <c r="B30" i="7"/>
  <c r="B167" i="4"/>
  <c r="B237" i="4"/>
  <c r="B127" i="5"/>
  <c r="B232" i="4"/>
  <c r="B222" i="7"/>
  <c r="B128" i="7"/>
  <c r="B100" i="4"/>
  <c r="B28" i="4"/>
  <c r="B25" i="5"/>
  <c r="B27" i="7"/>
  <c r="B128" i="5"/>
  <c r="B275" i="7"/>
  <c r="B27" i="4"/>
  <c r="B138" i="5"/>
  <c r="B93" i="4"/>
  <c r="B29" i="4"/>
  <c r="B77" i="7"/>
  <c r="B23" i="7"/>
  <c r="B41" i="7" s="1"/>
  <c r="M41" i="7" s="1"/>
  <c r="B243" i="4"/>
  <c r="B382" i="4"/>
  <c r="B28" i="5"/>
  <c r="B81" i="5"/>
  <c r="B172" i="7"/>
  <c r="B104" i="4"/>
  <c r="B76" i="7"/>
  <c r="B164" i="4"/>
  <c r="B27" i="5"/>
  <c r="B372" i="4"/>
  <c r="B171" i="4"/>
  <c r="B94" i="4"/>
  <c r="B277" i="7"/>
  <c r="B74" i="7"/>
  <c r="B79" i="7"/>
  <c r="B238" i="4"/>
  <c r="B130" i="5"/>
  <c r="B242" i="4"/>
  <c r="B24" i="7"/>
  <c r="B34" i="5"/>
  <c r="B239" i="4"/>
  <c r="B123" i="7"/>
  <c r="B28" i="7"/>
  <c r="B381" i="4"/>
  <c r="B33" i="7"/>
  <c r="B124" i="7"/>
  <c r="B33" i="4"/>
  <c r="B309" i="4"/>
  <c r="B126" i="7"/>
  <c r="B303" i="4"/>
  <c r="B223" i="7"/>
  <c r="B125" i="7"/>
  <c r="B32" i="5"/>
  <c r="B312" i="4"/>
  <c r="B99" i="4"/>
  <c r="B274" i="7"/>
  <c r="B179" i="7"/>
  <c r="B236" i="4"/>
  <c r="B29" i="7"/>
  <c r="B181" i="7"/>
  <c r="B304" i="4"/>
  <c r="B30" i="4"/>
  <c r="B25" i="7"/>
  <c r="B32" i="7"/>
  <c r="B313" i="4"/>
  <c r="B86" i="5"/>
  <c r="B134" i="5"/>
  <c r="B272" i="7"/>
  <c r="B273" i="7"/>
  <c r="B235" i="4"/>
  <c r="B374" i="4"/>
  <c r="B132" i="5"/>
  <c r="B175" i="7"/>
  <c r="B380" i="4"/>
  <c r="B84" i="5"/>
  <c r="B268" i="7"/>
  <c r="B286" i="7" s="1"/>
  <c r="M286" i="7" s="1"/>
  <c r="B78" i="7"/>
  <c r="B85" i="5"/>
  <c r="B176" i="7"/>
  <c r="B279" i="7"/>
  <c r="B131" i="7"/>
  <c r="B229" i="7"/>
  <c r="B82" i="7"/>
  <c r="B225" i="7"/>
  <c r="B73" i="7"/>
  <c r="B241" i="4"/>
  <c r="B228" i="7"/>
  <c r="B121" i="7"/>
  <c r="B72" i="7"/>
  <c r="B377" i="4"/>
  <c r="B26" i="7"/>
  <c r="B131" i="5"/>
  <c r="B80" i="5"/>
  <c r="B306" i="4"/>
  <c r="B234" i="4"/>
  <c r="B226" i="7"/>
  <c r="B96" i="4"/>
  <c r="B221" i="7"/>
  <c r="B271" i="7"/>
  <c r="B171" i="7"/>
  <c r="B174" i="7"/>
  <c r="B26" i="4"/>
  <c r="B172" i="4"/>
  <c r="B127" i="7"/>
  <c r="B77" i="5"/>
  <c r="B173" i="4"/>
  <c r="B302" i="4"/>
  <c r="B219" i="7"/>
  <c r="B170" i="7"/>
  <c r="B23" i="5"/>
  <c r="B307" i="4"/>
  <c r="B133" i="5"/>
  <c r="B305" i="4"/>
  <c r="B375" i="4"/>
  <c r="B376" i="4"/>
  <c r="B311" i="4"/>
  <c r="B269" i="7"/>
  <c r="B82" i="5"/>
  <c r="B220" i="7"/>
  <c r="B166" i="4"/>
  <c r="B83" i="7"/>
  <c r="B78" i="5"/>
  <c r="B169" i="4"/>
  <c r="B278" i="7"/>
  <c r="B180" i="7"/>
  <c r="B79" i="5"/>
  <c r="B75" i="7"/>
  <c r="B34" i="4"/>
  <c r="B102" i="4"/>
  <c r="B23" i="4"/>
  <c r="B163" i="4"/>
  <c r="B378" i="4"/>
  <c r="B373" i="4"/>
  <c r="B308" i="4"/>
  <c r="B122" i="7"/>
  <c r="B224" i="7"/>
  <c r="B98" i="4"/>
  <c r="B26" i="5"/>
  <c r="B95" i="4"/>
  <c r="B230" i="7"/>
  <c r="B33" i="5"/>
  <c r="B137" i="5"/>
  <c r="B129" i="5"/>
  <c r="B233" i="4"/>
  <c r="B371" i="4"/>
  <c r="B162" i="4"/>
  <c r="B75" i="5"/>
  <c r="B32" i="4"/>
  <c r="B24" i="5"/>
  <c r="B76" i="5"/>
  <c r="B24" i="4"/>
  <c r="B270" i="7"/>
  <c r="B168" i="4"/>
  <c r="B97" i="4"/>
  <c r="B177" i="7"/>
  <c r="B165" i="4"/>
  <c r="B25" i="4"/>
  <c r="B173" i="7"/>
  <c r="B132" i="7"/>
  <c r="B34" i="7"/>
  <c r="B103" i="4"/>
  <c r="B29" i="5"/>
  <c r="B81" i="7"/>
  <c r="B130" i="7"/>
  <c r="B136" i="5"/>
  <c r="B93" i="5" l="1"/>
  <c r="B145" i="5"/>
  <c r="B41" i="5"/>
  <c r="B433" i="5"/>
  <c r="B436" i="5" s="1"/>
  <c r="L436" i="5" s="1"/>
  <c r="M436" i="5" s="1"/>
  <c r="B159" i="5"/>
  <c r="B347" i="5"/>
  <c r="B339" i="5"/>
  <c r="B386" i="5"/>
  <c r="L386" i="5" s="1"/>
  <c r="M386" i="5" s="1"/>
  <c r="B253" i="5"/>
  <c r="B394" i="5"/>
  <c r="B432" i="5"/>
  <c r="L432" i="5" s="1"/>
  <c r="M432" i="5" s="1"/>
  <c r="B300" i="5"/>
  <c r="B338" i="5"/>
  <c r="L338" i="5" s="1"/>
  <c r="M338" i="5" s="1"/>
  <c r="B206" i="5"/>
  <c r="B385" i="5"/>
  <c r="L385" i="5" s="1"/>
  <c r="M385" i="5" s="1"/>
  <c r="B2" i="5"/>
  <c r="B106" i="5"/>
  <c r="K153" i="5" s="1"/>
  <c r="B54" i="5"/>
  <c r="B2" i="4"/>
  <c r="B390" i="4"/>
  <c r="B251" i="4"/>
  <c r="B144" i="5"/>
  <c r="L144" i="5" s="1"/>
  <c r="M144" i="5" s="1"/>
  <c r="B40" i="7"/>
  <c r="M40" i="7" s="1"/>
  <c r="B291" i="7"/>
  <c r="B190" i="7"/>
  <c r="M190" i="7" s="1"/>
  <c r="B112" i="4"/>
  <c r="B387" i="4"/>
  <c r="B290" i="7"/>
  <c r="B288" i="7"/>
  <c r="M288" i="7" s="1"/>
  <c r="B285" i="7"/>
  <c r="M285" i="7" s="1"/>
  <c r="B289" i="7"/>
  <c r="M289" i="7" s="1"/>
  <c r="B40" i="5"/>
  <c r="M40" i="5" s="1"/>
  <c r="B109" i="4"/>
  <c r="B186" i="7"/>
  <c r="M186" i="7" s="1"/>
  <c r="B247" i="7"/>
  <c r="B248" i="4"/>
  <c r="B42" i="4"/>
  <c r="B46" i="7"/>
  <c r="B192" i="7"/>
  <c r="B45" i="7"/>
  <c r="B44" i="7"/>
  <c r="M44" i="7" s="1"/>
  <c r="B92" i="5"/>
  <c r="L92" i="5" s="1"/>
  <c r="M92" i="5" s="1"/>
  <c r="B187" i="7"/>
  <c r="M187" i="7" s="1"/>
  <c r="B318" i="4"/>
  <c r="B2" i="7"/>
  <c r="B181" i="4"/>
  <c r="B193" i="7"/>
  <c r="B191" i="7"/>
  <c r="M191" i="7" s="1"/>
  <c r="B245" i="5"/>
  <c r="B72" i="4"/>
  <c r="B39" i="4"/>
  <c r="B284" i="7"/>
  <c r="M284" i="7" s="1"/>
  <c r="B178" i="4"/>
  <c r="B292" i="5"/>
  <c r="B198" i="7"/>
  <c r="B237" i="7"/>
  <c r="M237" i="7" s="1"/>
  <c r="B43" i="7"/>
  <c r="M43" i="7" s="1"/>
  <c r="B39" i="7"/>
  <c r="M39" i="7" s="1"/>
  <c r="B281" i="4"/>
  <c r="B321" i="4"/>
  <c r="B51" i="7"/>
  <c r="B90" i="7"/>
  <c r="M90" i="7" s="1"/>
  <c r="B89" i="7"/>
  <c r="M89" i="7" s="1"/>
  <c r="B93" i="7"/>
  <c r="M93" i="7" s="1"/>
  <c r="B92" i="7"/>
  <c r="M92" i="7" s="1"/>
  <c r="B88" i="7"/>
  <c r="M88" i="7" s="1"/>
  <c r="B95" i="7"/>
  <c r="B94" i="7"/>
  <c r="B198" i="5"/>
  <c r="B197" i="5"/>
  <c r="L197" i="5" s="1"/>
  <c r="M197" i="5" s="1"/>
  <c r="B350" i="4"/>
  <c r="B244" i="5"/>
  <c r="L244" i="5" s="1"/>
  <c r="M244" i="5" s="1"/>
  <c r="B211" i="4"/>
  <c r="B138" i="7"/>
  <c r="M138" i="7" s="1"/>
  <c r="B137" i="7"/>
  <c r="M137" i="7" s="1"/>
  <c r="B143" i="7"/>
  <c r="B141" i="7"/>
  <c r="M141" i="7" s="1"/>
  <c r="B142" i="7"/>
  <c r="M142" i="7" s="1"/>
  <c r="B144" i="7"/>
  <c r="B100" i="7"/>
  <c r="B139" i="7"/>
  <c r="M139" i="7" s="1"/>
  <c r="B141" i="4"/>
  <c r="B291" i="5"/>
  <c r="L291" i="5" s="1"/>
  <c r="M291" i="5" s="1"/>
  <c r="B149" i="7"/>
  <c r="B188" i="7"/>
  <c r="M188" i="7" s="1"/>
  <c r="B235" i="7"/>
  <c r="M235" i="7" s="1"/>
  <c r="B241" i="7"/>
  <c r="B239" i="7"/>
  <c r="M239" i="7" s="1"/>
  <c r="B236" i="7"/>
  <c r="M236" i="7" s="1"/>
  <c r="B240" i="7"/>
  <c r="M240" i="7" s="1"/>
  <c r="B242" i="7"/>
  <c r="L42" i="4" l="1"/>
  <c r="M42" i="4" s="1"/>
  <c r="B49" i="4"/>
  <c r="L49" i="4" s="1"/>
  <c r="M49" i="4" s="1"/>
  <c r="B48" i="4"/>
  <c r="L251" i="4"/>
  <c r="M251" i="4" s="1"/>
  <c r="B257" i="4"/>
  <c r="B258" i="4"/>
  <c r="L258" i="4" s="1"/>
  <c r="M258" i="4" s="1"/>
  <c r="L181" i="4"/>
  <c r="M181" i="4" s="1"/>
  <c r="B187" i="4"/>
  <c r="L187" i="4" s="1"/>
  <c r="M187" i="4" s="1"/>
  <c r="B188" i="4"/>
  <c r="L188" i="4" s="1"/>
  <c r="M188" i="4" s="1"/>
  <c r="L321" i="4"/>
  <c r="M321" i="4" s="1"/>
  <c r="B327" i="4"/>
  <c r="L327" i="4" s="1"/>
  <c r="M327" i="4" s="1"/>
  <c r="B328" i="4"/>
  <c r="L328" i="4" s="1"/>
  <c r="M328" i="4" s="1"/>
  <c r="L112" i="4"/>
  <c r="M112" i="4" s="1"/>
  <c r="B118" i="4"/>
  <c r="L118" i="4" s="1"/>
  <c r="M118" i="4" s="1"/>
  <c r="B119" i="4"/>
  <c r="L119" i="4" s="1"/>
  <c r="M119" i="4" s="1"/>
  <c r="L390" i="4"/>
  <c r="M390" i="4" s="1"/>
  <c r="B397" i="4"/>
  <c r="L397" i="4" s="1"/>
  <c r="M397" i="4" s="1"/>
  <c r="B396" i="4"/>
  <c r="L396" i="4" s="1"/>
  <c r="M396" i="4" s="1"/>
  <c r="B319" i="4"/>
  <c r="L319" i="4" s="1"/>
  <c r="M319" i="4" s="1"/>
  <c r="L318" i="4"/>
  <c r="M318" i="4" s="1"/>
  <c r="B40" i="4"/>
  <c r="L40" i="4" s="1"/>
  <c r="M40" i="4" s="1"/>
  <c r="L39" i="4"/>
  <c r="M39" i="4" s="1"/>
  <c r="B249" i="4"/>
  <c r="L249" i="4" s="1"/>
  <c r="M249" i="4" s="1"/>
  <c r="L248" i="4"/>
  <c r="M248" i="4" s="1"/>
  <c r="B388" i="4"/>
  <c r="L388" i="4" s="1"/>
  <c r="M388" i="4" s="1"/>
  <c r="L387" i="4"/>
  <c r="M387" i="4" s="1"/>
  <c r="B110" i="4"/>
  <c r="L110" i="4" s="1"/>
  <c r="M110" i="4" s="1"/>
  <c r="L109" i="4"/>
  <c r="M109" i="4" s="1"/>
  <c r="B179" i="4"/>
  <c r="L179" i="4" s="1"/>
  <c r="M179" i="4" s="1"/>
  <c r="L178" i="4"/>
  <c r="M178" i="4" s="1"/>
  <c r="L198" i="5"/>
  <c r="M198" i="5" s="1"/>
  <c r="B147" i="5"/>
  <c r="L147" i="5" s="1"/>
  <c r="M147" i="5" s="1"/>
  <c r="L145" i="5"/>
  <c r="M145" i="5" s="1"/>
  <c r="B43" i="5"/>
  <c r="M43" i="5" s="1"/>
  <c r="M41" i="5"/>
  <c r="L292" i="5"/>
  <c r="M292" i="5" s="1"/>
  <c r="L339" i="5"/>
  <c r="M339" i="5" s="1"/>
  <c r="L245" i="5"/>
  <c r="M245" i="5" s="1"/>
  <c r="B95" i="5"/>
  <c r="L95" i="5" s="1"/>
  <c r="M95" i="5" s="1"/>
  <c r="L93" i="5"/>
  <c r="M93" i="5" s="1"/>
  <c r="L433" i="5"/>
  <c r="M433" i="5" s="1"/>
  <c r="B48" i="7"/>
  <c r="M48" i="7" s="1"/>
  <c r="M46" i="7"/>
  <c r="B292" i="7"/>
  <c r="M292" i="7" s="1"/>
  <c r="M290" i="7"/>
  <c r="B146" i="7"/>
  <c r="M146" i="7" s="1"/>
  <c r="M144" i="7"/>
  <c r="B96" i="7"/>
  <c r="M96" i="7" s="1"/>
  <c r="M94" i="7"/>
  <c r="B244" i="7"/>
  <c r="M244" i="7" s="1"/>
  <c r="M242" i="7"/>
  <c r="B145" i="7"/>
  <c r="M145" i="7" s="1"/>
  <c r="M143" i="7"/>
  <c r="B195" i="7"/>
  <c r="M195" i="7" s="1"/>
  <c r="M193" i="7"/>
  <c r="B47" i="7"/>
  <c r="M47" i="7" s="1"/>
  <c r="M45" i="7"/>
  <c r="B293" i="7"/>
  <c r="M293" i="7" s="1"/>
  <c r="M291" i="7"/>
  <c r="B243" i="7"/>
  <c r="M243" i="7" s="1"/>
  <c r="M241" i="7"/>
  <c r="B97" i="7"/>
  <c r="M97" i="7" s="1"/>
  <c r="M95" i="7"/>
  <c r="B194" i="7"/>
  <c r="M194" i="7" s="1"/>
  <c r="M192" i="7"/>
  <c r="K101" i="5"/>
  <c r="B437" i="5"/>
  <c r="L437" i="5" s="1"/>
  <c r="M437" i="5" s="1"/>
  <c r="B438" i="5"/>
  <c r="L438" i="5" s="1"/>
  <c r="M438" i="5" s="1"/>
  <c r="K49" i="5"/>
  <c r="B343" i="5"/>
  <c r="B344" i="5"/>
  <c r="L344" i="5" s="1"/>
  <c r="M344" i="5" s="1"/>
  <c r="B435" i="5"/>
  <c r="L435" i="5" s="1"/>
  <c r="M435" i="5" s="1"/>
  <c r="B342" i="5"/>
  <c r="L342" i="5" s="1"/>
  <c r="M342" i="5" s="1"/>
  <c r="B341" i="5"/>
  <c r="L341" i="5" s="1"/>
  <c r="M341" i="5" s="1"/>
  <c r="B389" i="5"/>
  <c r="L389" i="5" s="1"/>
  <c r="M389" i="5" s="1"/>
  <c r="B390" i="5"/>
  <c r="L390" i="5" s="1"/>
  <c r="M390" i="5" s="1"/>
  <c r="B391" i="5"/>
  <c r="L391" i="5" s="1"/>
  <c r="M391" i="5" s="1"/>
  <c r="B388" i="5"/>
  <c r="L388" i="5" s="1"/>
  <c r="M388" i="5" s="1"/>
  <c r="B150" i="5"/>
  <c r="L150" i="5" s="1"/>
  <c r="M150" i="5" s="1"/>
  <c r="B98" i="5"/>
  <c r="L98" i="5" s="1"/>
  <c r="M98" i="5" s="1"/>
  <c r="B46" i="5"/>
  <c r="B151" i="5"/>
  <c r="L151" i="5" s="1"/>
  <c r="M151" i="5" s="1"/>
  <c r="B99" i="5"/>
  <c r="L99" i="5" s="1"/>
  <c r="M99" i="5" s="1"/>
  <c r="B47" i="5"/>
  <c r="L47" i="5" s="1"/>
  <c r="M47" i="5" s="1"/>
  <c r="B249" i="5"/>
  <c r="L249" i="5" s="1"/>
  <c r="M249" i="5" s="1"/>
  <c r="B247" i="5"/>
  <c r="L247" i="5" s="1"/>
  <c r="M247" i="5" s="1"/>
  <c r="B250" i="5"/>
  <c r="L250" i="5" s="1"/>
  <c r="M250" i="5" s="1"/>
  <c r="B248" i="5"/>
  <c r="L248" i="5" s="1"/>
  <c r="M248" i="5" s="1"/>
  <c r="B202" i="5"/>
  <c r="B201" i="5"/>
  <c r="L201" i="5" s="1"/>
  <c r="M201" i="5" s="1"/>
  <c r="B200" i="5"/>
  <c r="L200" i="5" s="1"/>
  <c r="M200" i="5" s="1"/>
  <c r="B203" i="5"/>
  <c r="L203" i="5" s="1"/>
  <c r="M203" i="5" s="1"/>
  <c r="B296" i="5"/>
  <c r="L296" i="5" s="1"/>
  <c r="M296" i="5" s="1"/>
  <c r="B297" i="5"/>
  <c r="L297" i="5" s="1"/>
  <c r="M297" i="5" s="1"/>
  <c r="B294" i="5"/>
  <c r="L294" i="5" s="1"/>
  <c r="M294" i="5" s="1"/>
  <c r="B295" i="5"/>
  <c r="L295" i="5" s="1"/>
  <c r="M295" i="5" s="1"/>
</calcChain>
</file>

<file path=xl/sharedStrings.xml><?xml version="1.0" encoding="utf-8"?>
<sst xmlns="http://schemas.openxmlformats.org/spreadsheetml/2006/main" count="50879" uniqueCount="1301">
  <si>
    <t>Country</t>
  </si>
  <si>
    <t>Year</t>
  </si>
  <si>
    <t>Functional unit</t>
  </si>
  <si>
    <t>End-use</t>
  </si>
  <si>
    <t>Transport</t>
  </si>
  <si>
    <t>Energy carrier</t>
  </si>
  <si>
    <t>End-use technology</t>
  </si>
  <si>
    <t>Hydrogen</t>
  </si>
  <si>
    <t>CHP</t>
  </si>
  <si>
    <t>Electricity</t>
  </si>
  <si>
    <t>Fuel cell, PEM</t>
  </si>
  <si>
    <t>Fuel cell, SOFC</t>
  </si>
  <si>
    <t>Storage</t>
  </si>
  <si>
    <t>Pressure vessel for stationary storage</t>
  </si>
  <si>
    <t>Feedstock</t>
  </si>
  <si>
    <t>Hydrogen production</t>
  </si>
  <si>
    <t>Electrolysis, Alkaline</t>
  </si>
  <si>
    <t>Electrolysis, PEM</t>
  </si>
  <si>
    <t>Electrolysis, SOEC</t>
  </si>
  <si>
    <t>Steam Methane Reforming</t>
  </si>
  <si>
    <t>Auto-thermal reforming</t>
  </si>
  <si>
    <t>Steam Methane Reforming, with CCS</t>
  </si>
  <si>
    <t>Auto-thermal reforming, with CCS</t>
  </si>
  <si>
    <t>Pyrolysis</t>
  </si>
  <si>
    <t>Switzerland</t>
  </si>
  <si>
    <t>1 MJ heat</t>
  </si>
  <si>
    <t>Feedstock origin</t>
  </si>
  <si>
    <t>Solar PV (CH)</t>
  </si>
  <si>
    <t>Above surface pressure vessel</t>
  </si>
  <si>
    <t>CO2 production</t>
  </si>
  <si>
    <t>DAC</t>
  </si>
  <si>
    <t>MSWI</t>
  </si>
  <si>
    <t>Cement plant</t>
  </si>
  <si>
    <t>Russia</t>
  </si>
  <si>
    <t>Synthesis type</t>
  </si>
  <si>
    <t>Methanol</t>
  </si>
  <si>
    <t>Boiler</t>
  </si>
  <si>
    <t>Fuel cell, DMFC</t>
  </si>
  <si>
    <t>Distance [km]</t>
  </si>
  <si>
    <t>Allocation type</t>
  </si>
  <si>
    <t>LHV [MJ/kg]</t>
  </si>
  <si>
    <t>Market price [€/MJ]</t>
  </si>
  <si>
    <t>skip</t>
  </si>
  <si>
    <t>Synthesis efficiency [% LHV input]</t>
  </si>
  <si>
    <t>Hydrogen production efficiency [% LHV input]</t>
  </si>
  <si>
    <t>Distribution loss [% output]</t>
  </si>
  <si>
    <t>Storage loss [% output]</t>
  </si>
  <si>
    <t>Grid loss [%]</t>
  </si>
  <si>
    <t>id</t>
  </si>
  <si>
    <t>Database</t>
  </si>
  <si>
    <t>Activity</t>
  </si>
  <si>
    <t>comment</t>
  </si>
  <si>
    <t>location</t>
  </si>
  <si>
    <t>production amount</t>
  </si>
  <si>
    <t>reference product</t>
  </si>
  <si>
    <t>unit</t>
  </si>
  <si>
    <t>kilogram</t>
  </si>
  <si>
    <t>Exchanges</t>
  </si>
  <si>
    <t>name</t>
  </si>
  <si>
    <t>amount</t>
  </si>
  <si>
    <t>categories</t>
  </si>
  <si>
    <t>type</t>
  </si>
  <si>
    <t>production</t>
  </si>
  <si>
    <t>source</t>
  </si>
  <si>
    <t>CH</t>
  </si>
  <si>
    <t>megajoule</t>
  </si>
  <si>
    <t>heat, from residential heating system</t>
  </si>
  <si>
    <t>grid electricity</t>
  </si>
  <si>
    <t>pipeline</t>
  </si>
  <si>
    <t>truck</t>
  </si>
  <si>
    <t>combustion</t>
  </si>
  <si>
    <t>fuel cell, PEM</t>
  </si>
  <si>
    <t>fuel cell, SOFC</t>
  </si>
  <si>
    <t>fuel cell, DMFC</t>
  </si>
  <si>
    <t>boiler</t>
  </si>
  <si>
    <t>hydrogen production</t>
  </si>
  <si>
    <t>hydrogen</t>
  </si>
  <si>
    <t>methanol</t>
  </si>
  <si>
    <t>electricity</t>
  </si>
  <si>
    <t>natural gas</t>
  </si>
  <si>
    <t>Solar PV (DE)</t>
  </si>
  <si>
    <t>Biogenic share [%]</t>
  </si>
  <si>
    <t>CO2 biogenic share [%]</t>
  </si>
  <si>
    <t>market for gas boiler</t>
  </si>
  <si>
    <t>gas boiler</t>
  </si>
  <si>
    <t>GLO</t>
  </si>
  <si>
    <t>technosphere</t>
  </si>
  <si>
    <t>tag</t>
  </si>
  <si>
    <t>infrastructure</t>
  </si>
  <si>
    <t>1 kg H2 produced using a PEM electrolyzer. Source: Bareiß, K., de la Rua, C., Möckl, M., Hamacher, T., 2019. Life cycle assessment of hydrogen from proton exchange membrane water electrolysis in future energy systems 237, 862-872. 10.1016/j.apenergy.2019.01.001</t>
  </si>
  <si>
    <t>RER</t>
  </si>
  <si>
    <t>market group for electricity, low voltage</t>
  </si>
  <si>
    <t>kilowatt hour</t>
  </si>
  <si>
    <t>electricity, low voltage</t>
  </si>
  <si>
    <t>Electricity consumption with 61% eff.</t>
  </si>
  <si>
    <t>market for water, deionised</t>
  </si>
  <si>
    <t>Europe without Switzerland</t>
  </si>
  <si>
    <t>water, deionised</t>
  </si>
  <si>
    <t>Oxygen</t>
  </si>
  <si>
    <t>biosphere</t>
  </si>
  <si>
    <t>air</t>
  </si>
  <si>
    <t>market for aluminium, wrought alloy</t>
  </si>
  <si>
    <t>aluminium, wrought alloy</t>
  </si>
  <si>
    <t>market for steel, chromium steel 18/8, hot rolled</t>
  </si>
  <si>
    <t>steel, chromium steel 18/8, hot rolled</t>
  </si>
  <si>
    <t>market for activated carbon, granular</t>
  </si>
  <si>
    <t>activated carbon, granular</t>
  </si>
  <si>
    <t>tetrafluoroethylene</t>
  </si>
  <si>
    <t>market for sulfuric acid</t>
  </si>
  <si>
    <t>RoW</t>
  </si>
  <si>
    <t>sulfuric acid</t>
  </si>
  <si>
    <t>market for platinum</t>
  </si>
  <si>
    <t>platinum</t>
  </si>
  <si>
    <t>natural resource::in ground</t>
  </si>
  <si>
    <t>market for steel, low-alloyed</t>
  </si>
  <si>
    <t>steel, low-alloyed</t>
  </si>
  <si>
    <t>market for polypropylene, granulate</t>
  </si>
  <si>
    <t>polypropylene, granulate</t>
  </si>
  <si>
    <t>market for electronics, for control units</t>
  </si>
  <si>
    <t>electronics, for control units</t>
  </si>
  <si>
    <t>cubic meter</t>
  </si>
  <si>
    <t>process</t>
  </si>
  <si>
    <t>ecoinvent</t>
  </si>
  <si>
    <t>ton kilometer</t>
  </si>
  <si>
    <t>reinforcing steel</t>
  </si>
  <si>
    <t>sheet rolling, aluminium</t>
  </si>
  <si>
    <t>sheet rolling, steel</t>
  </si>
  <si>
    <t>tube insulation, elastomere</t>
  </si>
  <si>
    <t>wire drawing, copper</t>
  </si>
  <si>
    <t>cut-off</t>
  </si>
  <si>
    <t>market for electricity, low voltage</t>
  </si>
  <si>
    <t>emissions</t>
  </si>
  <si>
    <t>hydrogen, gaseous, 25 bar</t>
  </si>
  <si>
    <t>Source</t>
  </si>
  <si>
    <t>Water</t>
  </si>
  <si>
    <t>Nitrogen oxides</t>
  </si>
  <si>
    <t>dataset name</t>
  </si>
  <si>
    <t>status</t>
  </si>
  <si>
    <t>input type</t>
  </si>
  <si>
    <t>exergy</t>
  </si>
  <si>
    <t>heat out [MJ]</t>
  </si>
  <si>
    <t>electricity out [MJ]</t>
  </si>
  <si>
    <t>heat allocation key</t>
  </si>
  <si>
    <t>electricity allocation key</t>
  </si>
  <si>
    <t>energy</t>
  </si>
  <si>
    <t>CHP heat+elec</t>
  </si>
  <si>
    <t>CHP - heat</t>
  </si>
  <si>
    <t>CHP - elec</t>
  </si>
  <si>
    <t>heat and power co-generation unit, 160kW electrical, common components for heat+electricity</t>
  </si>
  <si>
    <t>heat and power co-generation unit, 160kW electrical, components for electricity only</t>
  </si>
  <si>
    <t>heat and power co-generation unit, 160kW electrical, components for heat only</t>
  </si>
  <si>
    <t>heat and power co-generation unit construction, 160kW electrical, common components for heat+electricity</t>
  </si>
  <si>
    <t>heat and power co-generation unit construction, 160kW electrical, components for electricity only</t>
  </si>
  <si>
    <t>heat and power co-generation unit construction, 160kW electrical, components for heat only</t>
  </si>
  <si>
    <t>lubricating oil</t>
  </si>
  <si>
    <t>others</t>
  </si>
  <si>
    <t>market for lubricating oil</t>
  </si>
  <si>
    <t>market for waste mineral oil</t>
  </si>
  <si>
    <t>waste mineral oil</t>
  </si>
  <si>
    <t>hydrogen leak</t>
  </si>
  <si>
    <t>Hydrogen leaks</t>
  </si>
  <si>
    <t>Distribution (pipeline) losees and storage lossses.</t>
  </si>
  <si>
    <t>distribution pipeline for hydrogen, dedicated hydrogen pipeline</t>
  </si>
  <si>
    <t>pipeline, for hydrogen distribution</t>
  </si>
  <si>
    <t>kilometer</t>
  </si>
  <si>
    <t>C. Wulf et al. / Journal of Cleaner Production 199 (2018) 431-443</t>
  </si>
  <si>
    <t>market for aluminium alloy, AlLi</t>
  </si>
  <si>
    <t>aluminium alloy, AlLi</t>
  </si>
  <si>
    <t>treatment of decommissioned pipeline, natural gas, inert material landfill</t>
  </si>
  <si>
    <t>decommissioned pipeline, natural gas</t>
  </si>
  <si>
    <t>market for silica sand</t>
  </si>
  <si>
    <t>silica sand</t>
  </si>
  <si>
    <t>market for silicone product</t>
  </si>
  <si>
    <t>silicone product</t>
  </si>
  <si>
    <t>market for zinc</t>
  </si>
  <si>
    <t>zinc</t>
  </si>
  <si>
    <t>drawing of pipe, steel</t>
  </si>
  <si>
    <t>excavation, hydraulic digger</t>
  </si>
  <si>
    <t>excavation, skid-steer loader</t>
  </si>
  <si>
    <t>zinc coating for hydrogen pipeline</t>
  </si>
  <si>
    <t>market for transport, freight train</t>
  </si>
  <si>
    <t>transport, freight train</t>
  </si>
  <si>
    <t>market for transport, freight, lorry, unspecified</t>
  </si>
  <si>
    <t>transport, freight, lorry, unspecified</t>
  </si>
  <si>
    <t>transmission pipeline for hydrogen, dedicated hydrogen pipeline</t>
  </si>
  <si>
    <t>pipeline, for hydrogen transmission</t>
  </si>
  <si>
    <t>LCI of the process of applying 1 kg of zinc coating (Faist Emmenegger et al., 2007a, b; Krieg, 2012)</t>
  </si>
  <si>
    <t>market for electric arc furnace dust</t>
  </si>
  <si>
    <t>electric arc furnace dust</t>
  </si>
  <si>
    <t>treatment of waste mineral oil, hazardous waste incineration</t>
  </si>
  <si>
    <t>market for sludge from steel rolling</t>
  </si>
  <si>
    <t>sludge from steel rolling</t>
  </si>
  <si>
    <t>chemical, inorganic</t>
  </si>
  <si>
    <t>market for aluminium sulfate, powder</t>
  </si>
  <si>
    <t>aluminium sulfate, powder</t>
  </si>
  <si>
    <t>market for ammonia, anhydrous, liquid</t>
  </si>
  <si>
    <t>ammonia, anhydrous, liquid</t>
  </si>
  <si>
    <t>heat production, light fuel oil, at boiler 100kW, non-modulating</t>
  </si>
  <si>
    <t>heat, central or small-scale, other than natural gas</t>
  </si>
  <si>
    <t>heat, from steam, in chemical industry</t>
  </si>
  <si>
    <t>market for hydrochloric acid, without water, in 30% solution state</t>
  </si>
  <si>
    <t>hydrochloric acid, without water, in 30% solution state</t>
  </si>
  <si>
    <t>market for heat, central or small-scale, natural gas</t>
  </si>
  <si>
    <t>heat, central or small-scale, natural gas</t>
  </si>
  <si>
    <t>rolling mill</t>
  </si>
  <si>
    <t>market for sodium hydroxide, without water, in 50% solution state</t>
  </si>
  <si>
    <t>sodium hydroxide, without water, in 50% solution state</t>
  </si>
  <si>
    <t>Ammonia</t>
  </si>
  <si>
    <t>BOD5, Biological Oxygen Demand</t>
  </si>
  <si>
    <t>water::ground-</t>
  </si>
  <si>
    <t>COD, Chemical Oxygen Demand</t>
  </si>
  <si>
    <t>Chloride</t>
  </si>
  <si>
    <t>Chromium VI</t>
  </si>
  <si>
    <t>Hydrocarbons, unspecified</t>
  </si>
  <si>
    <t>Oils, unspecified</t>
  </si>
  <si>
    <t>Phosphorus</t>
  </si>
  <si>
    <t>Suspended solids, unspecified</t>
  </si>
  <si>
    <t>TOC, Total Organic Carbon</t>
  </si>
  <si>
    <t>H2 transmission pipeline</t>
  </si>
  <si>
    <t>H2 distribution pipeline</t>
  </si>
  <si>
    <t>high pressure hydrogen storage tank</t>
  </si>
  <si>
    <t>uncertainty type</t>
  </si>
  <si>
    <t>market for sheet rolling, aluminium</t>
  </si>
  <si>
    <t>market for sheet rolling, chromium steel</t>
  </si>
  <si>
    <t>sheet rolling, chromium steel</t>
  </si>
  <si>
    <t>Carbon fiber, weaved</t>
  </si>
  <si>
    <t>market for epoxy resin, liquid</t>
  </si>
  <si>
    <t>epoxy resin, liquid</t>
  </si>
  <si>
    <t>market for sheet rolling, steel</t>
  </si>
  <si>
    <t>H2 tank</t>
  </si>
  <si>
    <t>H2 tank. Lifetime of 20 years, assumed to be emptied once a day.</t>
  </si>
  <si>
    <t>alkaline electrolyzer - grid</t>
  </si>
  <si>
    <t>conversion</t>
  </si>
  <si>
    <t>water and electricity</t>
  </si>
  <si>
    <t>grid</t>
  </si>
  <si>
    <t>Notter et al., 2015. Life cycle assessment of PEM FC applications: electric mobility and μ-CHP. Energy Environ. Sci., 2015,8, 1969-1985. https://doi.org/10.1039/C5EE01082A</t>
  </si>
  <si>
    <t>ENTSO-E</t>
  </si>
  <si>
    <t>chemical factory construction, organics</t>
  </si>
  <si>
    <t>chemical factory, organics</t>
  </si>
  <si>
    <t>Transportation by rail</t>
  </si>
  <si>
    <t>market for transport, freight, lorry &gt;32 metric ton, EURO4</t>
  </si>
  <si>
    <t>transport, freight, lorry &gt;32 metric ton, EURO4</t>
  </si>
  <si>
    <t>Transportation by truck</t>
  </si>
  <si>
    <t>wastewater, average</t>
  </si>
  <si>
    <t>market for carbon black</t>
  </si>
  <si>
    <t>carbon black</t>
  </si>
  <si>
    <t>ethylene glycol</t>
  </si>
  <si>
    <t>treatment of hazardous waste, hazardous waste incineration</t>
  </si>
  <si>
    <t>hazardous waste, for incineration</t>
  </si>
  <si>
    <t>tetrafluoroethylene film, on glass</t>
  </si>
  <si>
    <t>polymer electrolyte membrane (Nafion) production</t>
  </si>
  <si>
    <t>polymer electrolyte membrane (Nafion)</t>
  </si>
  <si>
    <t>Production of a polymer electrlyte membrane (Nafion)</t>
  </si>
  <si>
    <t>copolymer tetrafluorethylene; mol-ratio copolymer 1:copolymer 2 equals 7.5:1</t>
  </si>
  <si>
    <t>acrylonitrile-butadiene-styrene copolymer</t>
  </si>
  <si>
    <t>represents copolymer 2: 3,6-dioxa-4-methyl-7-octene sulfonyl fluoride with equal shares for each copolymer, mol-ratio copolymer 1:copolymer 2 equals 7.5:1</t>
  </si>
  <si>
    <t>styrene-acrylonitrile copolymer</t>
  </si>
  <si>
    <t>ethylene vinyl acetate copolymer</t>
  </si>
  <si>
    <t>[sulfonyl]urea-compound</t>
  </si>
  <si>
    <t>thermoforming, with calendering</t>
  </si>
  <si>
    <t>represents the production of potassium amide</t>
  </si>
  <si>
    <t>sodium chloride electrolysis</t>
  </si>
  <si>
    <t>sodium</t>
  </si>
  <si>
    <t>market for heat, from steam, in chemical industry</t>
  </si>
  <si>
    <t>heat required for the production of potassium amid</t>
  </si>
  <si>
    <t>electricity required for the production of
potassium amid</t>
  </si>
  <si>
    <t>metal working, average for steel product manufacturing</t>
  </si>
  <si>
    <t>meter</t>
  </si>
  <si>
    <t>market for steel, unalloyed</t>
  </si>
  <si>
    <t>steel, unalloyed</t>
  </si>
  <si>
    <t>To operate the boiler.</t>
  </si>
  <si>
    <t>To compress the H2 from 20 to 700 bar at storage. Source: US DoE</t>
  </si>
  <si>
    <t>Assumes 8000 hours of lifetime.</t>
  </si>
  <si>
    <t>stationary PEMFC</t>
  </si>
  <si>
    <t>stationary SOFC</t>
  </si>
  <si>
    <t>fuel cell production, stack solid oxide, 125kW electrical, future</t>
  </si>
  <si>
    <t>fuel cell, stack solid oxide, 125kW electrical, future</t>
  </si>
  <si>
    <t>Assumes 80000 hours of lifetime. Life Cycle Inventories of new CHP systems. Data v2.0 (2007). Alex Primas, Basler &amp; Hofmann, Zurich.</t>
  </si>
  <si>
    <t>truck transport</t>
  </si>
  <si>
    <t>H2 tank. Lifetime of 20 years, assumed to be emptied once a day. 2 are needed.</t>
  </si>
  <si>
    <t>H2 tank. Lifetime of 20 years, assumed to be emptied once a day. Two tanks are needed.</t>
  </si>
  <si>
    <t>PEM electrolyzer - grid</t>
  </si>
  <si>
    <t>SOEC electrolyzer - grid</t>
  </si>
  <si>
    <t>maintenance, solid oxide fuel cell 125kW electrical, future</t>
  </si>
  <si>
    <t>maintenance, solid oxide fuel cell, 125kW electrical, future</t>
  </si>
  <si>
    <t>storage production, 10'000 l</t>
  </si>
  <si>
    <t>storage, 10'000 l</t>
  </si>
  <si>
    <t>tap water</t>
  </si>
  <si>
    <t>market for tap water</t>
  </si>
  <si>
    <t>9kg water per kg H2</t>
  </si>
  <si>
    <t>electricity production, photovoltaic</t>
  </si>
  <si>
    <t>alkaline electrolyzer - Swiss solar PV</t>
  </si>
  <si>
    <t>PEM electrolyzer - Swiss solar PV</t>
  </si>
  <si>
    <t>SOEC electrolyzer - Swiss solar PV</t>
  </si>
  <si>
    <t>train</t>
  </si>
  <si>
    <t>train transport</t>
  </si>
  <si>
    <t>DE</t>
  </si>
  <si>
    <t>alkaline electrolyzer - German solar PV</t>
  </si>
  <si>
    <t>PEM electrolyzer - German solar PV</t>
  </si>
  <si>
    <t>SOEC electrolyzer - German solar PV</t>
  </si>
  <si>
    <t>Wind (DK)</t>
  </si>
  <si>
    <t>DK</t>
  </si>
  <si>
    <t>alkaline electrolyzer - Danish wind turbines</t>
  </si>
  <si>
    <t>PEM electrolyzer - Danish wind turbines</t>
  </si>
  <si>
    <t>SOEC electrolyzer - Danish wind turbines</t>
  </si>
  <si>
    <t>SMR - nat gas</t>
  </si>
  <si>
    <t>SMR - nat gas w CCS</t>
  </si>
  <si>
    <t>ATR - nat gas</t>
  </si>
  <si>
    <t>ATR - nat gas w CCS</t>
  </si>
  <si>
    <t>hydrogen production, steam methane reforming of natural gas, 25 bar</t>
  </si>
  <si>
    <t>Total energy input to reformer</t>
  </si>
  <si>
    <t>Acetaldehyde</t>
  </si>
  <si>
    <t>Acetic acid</t>
  </si>
  <si>
    <t>Benzene</t>
  </si>
  <si>
    <t>Benzo(a)pyrene</t>
  </si>
  <si>
    <t>Butane</t>
  </si>
  <si>
    <t>Carbon dioxide, fossil</t>
  </si>
  <si>
    <t>Carbon monoxide, fossil</t>
  </si>
  <si>
    <t>Dinitrogen monoxide</t>
  </si>
  <si>
    <t>Formaldehyde</t>
  </si>
  <si>
    <t>Methane, fossil</t>
  </si>
  <si>
    <t>PAH, polycyclic aromatic hydrocarbons</t>
  </si>
  <si>
    <t>Pentane</t>
  </si>
  <si>
    <t>Propane</t>
  </si>
  <si>
    <t>Propionic acid</t>
  </si>
  <si>
    <t>Sulfur dioxide</t>
  </si>
  <si>
    <t>Toluene</t>
  </si>
  <si>
    <t>Water, cooling, unspecified natural origin</t>
  </si>
  <si>
    <t>natural resource::in water</t>
  </si>
  <si>
    <t>market for aluminium oxide, metallurgical</t>
  </si>
  <si>
    <t>IAI Area, EU27 &amp; EFTA</t>
  </si>
  <si>
    <t>aluminium oxide, metallurgical</t>
  </si>
  <si>
    <t>market for chromium oxide, flakes</t>
  </si>
  <si>
    <t>chromium oxide, flakes</t>
  </si>
  <si>
    <t>market for copper oxide</t>
  </si>
  <si>
    <t>copper oxide</t>
  </si>
  <si>
    <t>market for liquid storage tank, chemicals, organics</t>
  </si>
  <si>
    <t>liquid storage tank, chemicals, organics</t>
  </si>
  <si>
    <t>market for magnesium oxide</t>
  </si>
  <si>
    <t>magnesium oxide</t>
  </si>
  <si>
    <t>market for molybdenum trioxide</t>
  </si>
  <si>
    <t>molybdenum trioxide</t>
  </si>
  <si>
    <t>market for nickel, class 1</t>
  </si>
  <si>
    <t>nickel, class 1</t>
  </si>
  <si>
    <t>market for portafer</t>
  </si>
  <si>
    <t>portafer</t>
  </si>
  <si>
    <t>market for quicklime, milled, packed</t>
  </si>
  <si>
    <t>quicklime, milled, packed</t>
  </si>
  <si>
    <t>market for zeolite, powder</t>
  </si>
  <si>
    <t>zeolite, powder</t>
  </si>
  <si>
    <t>market for zinc oxide</t>
  </si>
  <si>
    <t>zinc oxide</t>
  </si>
  <si>
    <t>market group for electricity, high voltage</t>
  </si>
  <si>
    <t>electricity, high voltage</t>
  </si>
  <si>
    <t>natural gas, high pressure</t>
  </si>
  <si>
    <t>hydrogen production, steam methane reforming of natural gas, with CCS (MDEA, 98% eff.), 25 bar</t>
  </si>
  <si>
    <t/>
  </si>
  <si>
    <t>market for diethanolamine</t>
  </si>
  <si>
    <t>diethanolamine</t>
  </si>
  <si>
    <t>hydrogen production, auto-thermal reforming of natural gas, 25 bar</t>
  </si>
  <si>
    <t>hydrogen production, auto-thermal reforming of natural gas, with CCS (MDEA, 98% eff.), 25 bar</t>
  </si>
  <si>
    <t>market for natural gas, high pressure</t>
  </si>
  <si>
    <t>hydrogen production, steam methane reforming of natural gas, 25 bar, natural gas from Russia</t>
  </si>
  <si>
    <t>hydrogen production, steam methane reforming of natural gas, with CCS (MDEA, 98% eff.), 25 bar, natural gas from Russia</t>
  </si>
  <si>
    <t>SMR - nat gas, from Russia</t>
  </si>
  <si>
    <t>SMR - nat gas w CCS, from Russia</t>
  </si>
  <si>
    <t>Life cycle assessment of power-to-gas with biogas as the carbon source. Xiaojin Zhang, Julia Witte, Tilman Schildhauer and Christian Bauer. https://doi.org/10.1039/C9SE00986H</t>
  </si>
  <si>
    <t>methane, from electrochemical methanation, with carbon from atmospheric CO2 capture</t>
  </si>
  <si>
    <t>methane, from electrochemical methanation</t>
  </si>
  <si>
    <t>pipeline construction, natural gas, high pressure distribution network</t>
  </si>
  <si>
    <t>pipeline, natural gas, high pressure distribution network</t>
  </si>
  <si>
    <t>Carbon dioxide, non-fossil</t>
  </si>
  <si>
    <t>Hydrogen sulfide</t>
  </si>
  <si>
    <t>Methane, non-fossil</t>
  </si>
  <si>
    <t>Nitrogen</t>
  </si>
  <si>
    <t>Originally in cubic meter. Composition: 96% CH4, 4% CO2, Density of synthetic methane: .717 kg/Nm3, LHV ~47.5 MJ/kg. Using the "CO2 methanation - sewage sludge - PSA - worst - BFB_FB" configuration. Source: Life cycle assessment of power-to-gas with biogas as the carbon source. Xiaojin Zhang, Julia Witte, Tilman Schildhauer and Christian Bauer. https://doi.org/10.1039/C9SE00986H</t>
  </si>
  <si>
    <t>Sabatier reaction methanation unit</t>
  </si>
  <si>
    <t>carbon dioxide, captured from atmosphere</t>
  </si>
  <si>
    <t>production of nickle-based catalyst for methanation</t>
  </si>
  <si>
    <t>loc</t>
  </si>
  <si>
    <t>scale</t>
  </si>
  <si>
    <t>Life cycle assessment of power-to-gas with biogas as the carbon source, Zhang et al., 2020, Sustainable Energy and Fuels, https://doi.org/10.1039/C9SE00986H</t>
  </si>
  <si>
    <t>market for aluminium alloy, AlMg3</t>
  </si>
  <si>
    <t>aluminium alloy, AlMg3</t>
  </si>
  <si>
    <t>Sabatier reaction methanation unit construction</t>
  </si>
  <si>
    <t>market for polyethylene, high density, granulate</t>
  </si>
  <si>
    <t>polyethylene, high density, granulate</t>
  </si>
  <si>
    <t>methane, from electrochemical methanation, with carbon from cement plant</t>
  </si>
  <si>
    <t>carbon dioxide, captured at cement production plant, for subsequent reuse</t>
  </si>
  <si>
    <t>carbon dioxide, captured and reused</t>
  </si>
  <si>
    <t>Alternative production of methanol from industrial CO2. Meunier et al. 2020. Renewable Energy 146, pp. 1192-1203</t>
  </si>
  <si>
    <t>share biogenic CO2</t>
  </si>
  <si>
    <t>credit allocation to fuel producer</t>
  </si>
  <si>
    <t>Carbon dioxide, in air</t>
  </si>
  <si>
    <t>natural resource::in air</t>
  </si>
  <si>
    <t>market for monoethanolamine</t>
  </si>
  <si>
    <t>monoethanolamine</t>
  </si>
  <si>
    <t>Capture of CO2 from a cement plant for subsequent reuse. It is a facility integrated in a synthetic fuel production chain, so a certain amount of the needed steam heat (used to regenerate the sorbent) can come from excess heat generated by the synfuel conversion process, the rest being complemented by a dedicated source. In Meunier et al. 2020, 26% comes from excess heat generated by the methanol production process. To be changed according to needs. Also, there is no need for water, as it is provided by the methanol production process as well. CO2 chemical absorption-regeneration process using amines as scrubbing solvent. The amine solution used for this absorption was an aqueous solution of monoethanolamine (MEA) in a mass concentration of 30 wt.%, widely studied and considered as a benchmark for industrial CO2 capture applications. The CO2 is pre-compressed at 2 bar before storage. 10% of the CO2 is released back into the atmosphere (because the CO2 absoprtion rate is only 90%). The MEA makeup has been considered to 1 kg MEA per ton captured CO2 to compensate the losses due to the thermal degradation of the amine only, as the evaporation of the amine in the absorber is prevented by a flash tank. The rate of fossil vs. biogenic CO2 received from the cement plant need to be reflected in this dataset in two places: at the leakage level, but also at the storage level. At the storage level, we only indicate biogenic CO2. By default, we asusme 20% of the CO2 emissions are biogenic.</t>
  </si>
  <si>
    <t>CNG pipeline</t>
  </si>
  <si>
    <t>Taken from "market for biomethane, high pressure"</t>
  </si>
  <si>
    <t>Carbon monoxide, non-fossil</t>
  </si>
  <si>
    <t>Dioxins, measured as 2,3,7,8-tetrachlorodibenzo-p-dioxin</t>
  </si>
  <si>
    <t>Mercury II</t>
  </si>
  <si>
    <t>Particulate Matter, &lt; 2.5 um</t>
  </si>
  <si>
    <t>Nitrate</t>
  </si>
  <si>
    <t>Nitrite</t>
  </si>
  <si>
    <t>Sulfate</t>
  </si>
  <si>
    <t>Sulfite</t>
  </si>
  <si>
    <t>air::urban air close to ground</t>
  </si>
  <si>
    <t>water::surface water</t>
  </si>
  <si>
    <t>Taken from "heat production, biomethane, at boiler condensing modulating &lt;100kW"</t>
  </si>
  <si>
    <t>methanol distillation, hydrogen from electrolysis, CO2 from DAC</t>
  </si>
  <si>
    <t>LHV: 19.9 MJ/kg</t>
  </si>
  <si>
    <t>methanol, purified</t>
  </si>
  <si>
    <t>Methanol process adapted from Comparative well-to-wheel life cycle assessment of OME3–5 synfuel production via the power-to-liquid pathway, Hank et al. 2019. https://doi.org/10.1039/C9SE00658C</t>
  </si>
  <si>
    <t>Adapted from Comparative well-to-wheel life cycle assessment of OME3–5 synfuel production via the power-to-liquid pathway, Hank et al. 2019</t>
  </si>
  <si>
    <t>Comparative well-to-wheel life cycle assessment of OME3–5 synfuel production via the power-to-liquid pathway. Christoph Hank, Lukas Lazar, Franz Mantei, Mohamed Ouda, Robin J. White, Tom Smolinka, Achim Schaadt, Christopher Hebling and Hans-Martin Henning. 2019. https://doi.org/10.1039/C9SE00658C</t>
  </si>
  <si>
    <t>methanol synthesis, hydrogen from electrolysis, CO2 from DAC</t>
  </si>
  <si>
    <t>methanol, unpurified</t>
  </si>
  <si>
    <t>methanol production facility, construction</t>
  </si>
  <si>
    <t>market for aluminium, cast alloy</t>
  </si>
  <si>
    <t xml:space="preserve">technosphere </t>
  </si>
  <si>
    <t>aluminium, cast alloy</t>
  </si>
  <si>
    <t>market for flat glass, uncoated</t>
  </si>
  <si>
    <t>flat glass, uncoated</t>
  </si>
  <si>
    <t>market for cast iron</t>
  </si>
  <si>
    <t>cast iron</t>
  </si>
  <si>
    <t>market for air compressor, screw-type compressor, 300kW</t>
  </si>
  <si>
    <t>air compressor, screw-type compressor, 300kW</t>
  </si>
  <si>
    <t>methanol distillation, hydrogen from electrolysis, CO2 from MSWI</t>
  </si>
  <si>
    <t>methanol synthesis, hydrogen from electrolysis, CO2 from MSWI</t>
  </si>
  <si>
    <t>methanol distillation, hydrogen from electrolysis, CO2 from cement plant</t>
  </si>
  <si>
    <t>methanol synthesis, hydrogen from electrolysis, CO2 from cement plant</t>
  </si>
  <si>
    <t>carbon dioxide, captured from atmosphere, with a sorbent-based direct air capture system, 100ktCO2</t>
  </si>
  <si>
    <t>For the sorbent system, the LCI data are collected from the work of Deutz and Bardow based on the Climeworks system. The LCI data represent a plant with an annual capacity of 100 kt CO2/year and a lifetime of 20 years.</t>
  </si>
  <si>
    <t>Qiu, Y., Lamers, P., Daioglou, V. et al. Environmental trade-offs of direct air capture technologies in climate change mitigation toward 2100. Nat Commun 13, 3635 (2022). https://doi.org/10.1038/s41467-022-31146-1</t>
  </si>
  <si>
    <t>amine-based silica production, for sorbent-based direct air capture system</t>
  </si>
  <si>
    <t>amine-based silica</t>
  </si>
  <si>
    <t>operational</t>
  </si>
  <si>
    <t>direct air capture system, sorbent-based, 100ktCO2</t>
  </si>
  <si>
    <t>direct air capture system</t>
  </si>
  <si>
    <t>System</t>
  </si>
  <si>
    <t>treatment of direct air capture system, solvent-based, 1MtCO2</t>
  </si>
  <si>
    <t>EoL</t>
  </si>
  <si>
    <t>CO2 uptake</t>
  </si>
  <si>
    <t>leak</t>
  </si>
  <si>
    <t>civil engineering</t>
  </si>
  <si>
    <t>market for reinforcing steel</t>
  </si>
  <si>
    <t>hall</t>
  </si>
  <si>
    <t>market for stone wool</t>
  </si>
  <si>
    <t>stone wool</t>
  </si>
  <si>
    <t>collector containers</t>
  </si>
  <si>
    <t>market for polyurethane, rigid foam</t>
  </si>
  <si>
    <t>polyurethane, rigid foam</t>
  </si>
  <si>
    <t>market for copper, cathode</t>
  </si>
  <si>
    <t>copper, cathode</t>
  </si>
  <si>
    <t>market for alkyd paint, white, without solvent, in 60% solution state</t>
  </si>
  <si>
    <t>alkyd paint, white, without solvent, in 60% solution state</t>
  </si>
  <si>
    <t>process unit</t>
  </si>
  <si>
    <t>market for polystyrene foam slab for perimeter insulation</t>
  </si>
  <si>
    <t>polystyrene foam slab for perimeter insulation</t>
  </si>
  <si>
    <t>spare parts</t>
  </si>
  <si>
    <t>treatment of direct air capture system, sorbent-based, 100ktCO2</t>
  </si>
  <si>
    <t>treatment of waste concrete, inert material landfill</t>
  </si>
  <si>
    <t>waste concrete</t>
  </si>
  <si>
    <t>treatment of waste reinforcement steel, recycling</t>
  </si>
  <si>
    <t>waste reinforcement steel</t>
  </si>
  <si>
    <t>treatment of waste plastic, mixture, municipal incineration</t>
  </si>
  <si>
    <t>waste plastic, mixture</t>
  </si>
  <si>
    <t>treatment of aluminium scrap, post-consumer, prepared for recycling, at remelter</t>
  </si>
  <si>
    <t>treatment of spent solvent mixture, hazardous waste incineration</t>
  </si>
  <si>
    <t>spent solvent mixture</t>
  </si>
  <si>
    <t>treatment of scrap copper, municipal incineration</t>
  </si>
  <si>
    <t>scrap copper</t>
  </si>
  <si>
    <t>treatment of waste mineral wool, inert material landfill</t>
  </si>
  <si>
    <t>waste mineral wool, for final disposal</t>
  </si>
  <si>
    <t>Synthesized by impregnate amines polyethylenimine (PEI) on solid silica gel. The LCI of amine-based silica is collected from literature and based on the composition that 1 kg amine-based silica requires of 0.64kg silica
gel and 0.36 kg PEI.</t>
  </si>
  <si>
    <t>64% silica gel</t>
  </si>
  <si>
    <t>market for sodium silicate, solid</t>
  </si>
  <si>
    <t>sodium silicate, solid</t>
  </si>
  <si>
    <t>Emissions to air</t>
  </si>
  <si>
    <t>36% PEI</t>
  </si>
  <si>
    <t>market for ethanol, without water, in 99.7% solution state, from fermentation</t>
  </si>
  <si>
    <t>ethanol, without water, in 99.7% solution state, from fermentation</t>
  </si>
  <si>
    <t>market for diethyl ether, without water, in 99.95% solution state</t>
  </si>
  <si>
    <t>diethyl ether, without water, in 99.95% solution state</t>
  </si>
  <si>
    <t>market for sodium sulfate, anhydrite</t>
  </si>
  <si>
    <t>sodium sulfate, anhydrite</t>
  </si>
  <si>
    <t>treatment of spent anion exchange resin from potable water production, municipal incineration</t>
  </si>
  <si>
    <t>spent anion exchange resin from potable water production</t>
  </si>
  <si>
    <t>methanol - from DAC</t>
  </si>
  <si>
    <t>methanol - from MSWI</t>
  </si>
  <si>
    <t>methanol - from cement plant</t>
  </si>
  <si>
    <t>NMVOC, non-methane volatile organic compounds</t>
  </si>
  <si>
    <t>https://www.methanol.org/methanol-industrial-boilers/</t>
  </si>
  <si>
    <t>methanol CHP</t>
  </si>
  <si>
    <t>market for oil boiler, 10kW</t>
  </si>
  <si>
    <t>oil boiler, 10kW</t>
  </si>
  <si>
    <t>market for oil storage, 3000l</t>
  </si>
  <si>
    <t>oil storage, 3000l</t>
  </si>
  <si>
    <t>market for chimney</t>
  </si>
  <si>
    <t>chimney</t>
  </si>
  <si>
    <t>market for condensate from light oil boiler</t>
  </si>
  <si>
    <t>condensate from light oil boiler</t>
  </si>
  <si>
    <t>market for hazardous waste, for incineration</t>
  </si>
  <si>
    <t>Copper ion</t>
  </si>
  <si>
    <t>Ethane</t>
  </si>
  <si>
    <t>Hydrogen fluoride</t>
  </si>
  <si>
    <t>Zinc II</t>
  </si>
  <si>
    <t>Taken from "heat production, light fuel oil, at boiler 10kW condensing, non-modulating"</t>
  </si>
  <si>
    <t>To be improved.</t>
  </si>
  <si>
    <t>1.125kg water per kg methanol</t>
  </si>
  <si>
    <t>1.372 kg CO2 per kg methanol</t>
  </si>
  <si>
    <t>Meghann Smith, Anthony Bevacqua, Sheryl Tembe, Pankaj Lal. Life cycle analysis (LCA) of residential ground source heat pump systems: A comparative analysis of energy efficiency in New Jersey, Sustainable Energy Technologies and Assessments, Volume 47, 2021, https://doi.org/10.1016/j.seta.2021.101364.</t>
  </si>
  <si>
    <t>10.55 kW GSHP system operating in New Jersey, US. The system boundary spans the entire lifetime of a GSHP system, including: borehole drilling and heat exchanger installation, heat pump production and installation, system operation and maintenance, and end-of-life. The overall efficiency of the system was assumed to have a heating coefficient of performance (COPheating) of 3.5. The system life is assumed to be 25 years. For the ground loop installation, we assume two boreholes each drilled at a depth of 80 m to represent a vertical closed-loop system.</t>
  </si>
  <si>
    <t>market for cement, Portland</t>
  </si>
  <si>
    <t>cement, Portland</t>
  </si>
  <si>
    <t>market for diesel, burned in building machine</t>
  </si>
  <si>
    <t>diesel, burned in building machine</t>
  </si>
  <si>
    <t>market for polyvinylchloride, bulk polymerised</t>
  </si>
  <si>
    <t>polyvinylchloride, bulk polymerised</t>
  </si>
  <si>
    <t>market for steel, low-alloyed, hot rolled</t>
  </si>
  <si>
    <t>steel, low-alloyed, hot rolled</t>
  </si>
  <si>
    <t>market for tube insulation, elastomere</t>
  </si>
  <si>
    <t>waste cement, hydrated</t>
  </si>
  <si>
    <t>treatment of waste polyethylene, municipal incineration</t>
  </si>
  <si>
    <t>waste polyethylene</t>
  </si>
  <si>
    <t>treatment of copper in car shredder residue, municipal incineration</t>
  </si>
  <si>
    <t>copper in car shredder residue</t>
  </si>
  <si>
    <t>market for waste polyvinylchloride product</t>
  </si>
  <si>
    <t>waste polyvinylchloride product</t>
  </si>
  <si>
    <t>market for used refrigerant R134a</t>
  </si>
  <si>
    <t>used refrigerant R134a</t>
  </si>
  <si>
    <t>market for waste reinforcement steel</t>
  </si>
  <si>
    <t>market for scrap steel</t>
  </si>
  <si>
    <t>scrap steel</t>
  </si>
  <si>
    <t>market for used air filter in exhaust air valve</t>
  </si>
  <si>
    <t>used air filter in exhaust air valve</t>
  </si>
  <si>
    <t>transfer of geothermal heat</t>
  </si>
  <si>
    <t>Energy, geothermal, converted</t>
  </si>
  <si>
    <t>market for air filter, in exhaust air valve</t>
  </si>
  <si>
    <t>air filter, in exhaust air valve</t>
  </si>
  <si>
    <t>electricity production, wind, 1-3MW turbine, offshore</t>
  </si>
  <si>
    <t>GSHP - unit</t>
  </si>
  <si>
    <t>GSHP - EoL</t>
  </si>
  <si>
    <t>ground source heat pump</t>
  </si>
  <si>
    <t>Ground source heat pump</t>
  </si>
  <si>
    <t>Lifetime [years]</t>
  </si>
  <si>
    <t>Power [kW]</t>
  </si>
  <si>
    <t>Air source heat pump</t>
  </si>
  <si>
    <t>Water source heat pump</t>
  </si>
  <si>
    <t>heat pump 10 kW production for ground source heat pump system</t>
  </si>
  <si>
    <t>heat pump 10 kW production for air source heat pump system</t>
  </si>
  <si>
    <t>heat pump 10 kW</t>
  </si>
  <si>
    <t>Domestic heat pumps: Life cycle environmental impacts and potential implications for the UK. Benjamin Greening, Adisa Azapagic.2012. http://dx.doi.org/10.1016/j.energy.2012.01.028</t>
  </si>
  <si>
    <t>10 kW air fan ASHP system operating in the UK. The ASHP uses an air fan rather than a heat collector, which is placed outside the house in open air. Comparatively to GHSP or WSHP, the ASHP systems have a larger evaporator to increase the efficiency of the systemm. CoP in the UK of 2.8. Lifetime of 20 years.</t>
  </si>
  <si>
    <t>Evaporator and condenser</t>
  </si>
  <si>
    <t>Housing and compressor</t>
  </si>
  <si>
    <t>Wiring, piping and expansion valve</t>
  </si>
  <si>
    <t>Pipework insulation</t>
  </si>
  <si>
    <t>Wiring insulation</t>
  </si>
  <si>
    <t>Lubricating oil</t>
  </si>
  <si>
    <t>Air fan</t>
  </si>
  <si>
    <t>Assembly energy</t>
  </si>
  <si>
    <t>treatment of heat pump 10 kW production for air source heat pump system</t>
  </si>
  <si>
    <t>heat pump 10 kW production for water source heat pump system</t>
  </si>
  <si>
    <t>10 kW WSHP system operating in the UK. The GSHP and WSHP use external heat
collectors which are normally installed bellow the ground or
submersed into the water body, respectively. The collectors consist or either a horizontal or vertical pipework loop with a heat-carrier working fluid. In this study, both configurations use a mixture of water and ethylene glycol as the working fluid. CoP in the UK of 3.9. Lifetime of 20 years.</t>
  </si>
  <si>
    <t>Under-floor heating system</t>
  </si>
  <si>
    <t>market for sand</t>
  </si>
  <si>
    <t>sand</t>
  </si>
  <si>
    <t>market for polyethylene, linear low density, granulate</t>
  </si>
  <si>
    <t>polyethylene, linear low density, granulate</t>
  </si>
  <si>
    <t>market for polystyrene foam slab</t>
  </si>
  <si>
    <t>polystyrene foam slab</t>
  </si>
  <si>
    <t>market for metal working, average for steel product manufacturing</t>
  </si>
  <si>
    <t>market for metal working, average for copper product manufacturing</t>
  </si>
  <si>
    <t>metal working, average for copper product manufacturing</t>
  </si>
  <si>
    <t>market for metal working, average for aluminium product manufacturing</t>
  </si>
  <si>
    <t>metal working, average for aluminium product manufacturing</t>
  </si>
  <si>
    <t>extrusion, plastic pipes</t>
  </si>
  <si>
    <t>Heat collector pipework (HHC)</t>
  </si>
  <si>
    <t>Heat collector pipework (VHC)</t>
  </si>
  <si>
    <t>Heat collector pipework insulation</t>
  </si>
  <si>
    <t>market for ethylene glycol</t>
  </si>
  <si>
    <t>Heat carrier liquid (HHC)</t>
  </si>
  <si>
    <t>Heat carrier liquid (VHC)</t>
  </si>
  <si>
    <t>Weights (HHC)</t>
  </si>
  <si>
    <t>market for cast iron removed by milling, large parts</t>
  </si>
  <si>
    <t>cast iron removed by milling, large parts</t>
  </si>
  <si>
    <t>Weights (VHC)</t>
  </si>
  <si>
    <t>market for brass removed by turning, average, conventional</t>
  </si>
  <si>
    <t>brass removed by turning, average, conventional</t>
  </si>
  <si>
    <t>Manifold</t>
  </si>
  <si>
    <t>Back-fill</t>
  </si>
  <si>
    <t>market for bentonite</t>
  </si>
  <si>
    <t>bentonite</t>
  </si>
  <si>
    <t>Scaffolding, rods, supports</t>
  </si>
  <si>
    <t>Installation</t>
  </si>
  <si>
    <t>treatment of heat pump 10 kW production for water source heat pump system</t>
  </si>
  <si>
    <t>market for waste polystyrene</t>
  </si>
  <si>
    <t>waste polystyrene</t>
  </si>
  <si>
    <t>market for waste cement, hydrated</t>
  </si>
  <si>
    <t>treatment of heat pump 10 kW production for ground source heat pump system</t>
  </si>
  <si>
    <t>10 kW GSHP system operating in the UK. The GSHP and WSHP use external heat
collectors which are normally installed bellow the ground or submersed into the water body, respectively. The collectors consist or either a horizontal or vertical pipework loop with a heat-carrier working fluid. In this study, both configurations use a mixture of water and ethylene glycol as the working fluid. CoP in the UK of 3.9. Lifetime of 20 years.</t>
  </si>
  <si>
    <t>WSHP - unit</t>
  </si>
  <si>
    <t>WSHP - EoL</t>
  </si>
  <si>
    <t>ASHP - unit</t>
  </si>
  <si>
    <t>ASHP - EoL</t>
  </si>
  <si>
    <t>http://dx.doi.org/10.1016/j.energy.2012.01.028</t>
  </si>
  <si>
    <t>COP of 3.9 for heating.</t>
  </si>
  <si>
    <t>water source heat pump</t>
  </si>
  <si>
    <t>air source heat pump</t>
  </si>
  <si>
    <t>transfer of outdoor heat</t>
  </si>
  <si>
    <t>Energy, solar, converted</t>
  </si>
  <si>
    <t>market for 1,1-difluoroethane, HFC-152a</t>
  </si>
  <si>
    <t>1,1-difluoroethane, HFC-152a</t>
  </si>
  <si>
    <t>market for trifluoromethane</t>
  </si>
  <si>
    <t>trifluoromethane</t>
  </si>
  <si>
    <t>Refrigerant R404a</t>
  </si>
  <si>
    <t>Ethane, 1,1-difluoro-, HFC-152a</t>
  </si>
  <si>
    <t>Methane, trifluoro-, HFC-23</t>
  </si>
  <si>
    <t>To evacuate the flue gases.</t>
  </si>
  <si>
    <t>Flow temp. TV [K]</t>
  </si>
  <si>
    <t>Return temp. TR [K]</t>
  </si>
  <si>
    <t>Ambient temp. TU [K]</t>
  </si>
  <si>
    <t>Heat exergy factor</t>
  </si>
  <si>
    <t>heat exergy factor</t>
  </si>
  <si>
    <t>heat efficiency</t>
  </si>
  <si>
    <t>electricity efficiency</t>
  </si>
  <si>
    <t>Power-el [kW]</t>
  </si>
  <si>
    <t>Annual operation [hours]</t>
  </si>
  <si>
    <t>Total eff. (heat + el.)</t>
  </si>
  <si>
    <t>Heat conversion efficiency [% LHV input]</t>
  </si>
  <si>
    <t>Electricity conversion efficiency [% LHV input]</t>
  </si>
  <si>
    <t>Total cap. Input-related [kW]</t>
  </si>
  <si>
    <t>Solar PV (IT)</t>
  </si>
  <si>
    <t>alkaline electrolyzer - Italian solar PV</t>
  </si>
  <si>
    <t>PEM electrolyzer - Italian solar PV</t>
  </si>
  <si>
    <t>SOEC electrolyzer - Italian solar PV</t>
  </si>
  <si>
    <t>IT</t>
  </si>
  <si>
    <t>market for soda ash, light</t>
  </si>
  <si>
    <t>soda ash, light</t>
  </si>
  <si>
    <t>treatment of wastewater, average, wastewater treatment</t>
  </si>
  <si>
    <t>market for potassium chloride</t>
  </si>
  <si>
    <t>potassium chloride</t>
  </si>
  <si>
    <t>concrete, normal strength</t>
  </si>
  <si>
    <t>market for concrete, normal strength</t>
  </si>
  <si>
    <t>market for chemical, inorganic</t>
  </si>
  <si>
    <t>market for waste polyurethane foam</t>
  </si>
  <si>
    <t>waste polyurethane foam</t>
  </si>
  <si>
    <t>titanium</t>
  </si>
  <si>
    <t>Iridium</t>
  </si>
  <si>
    <t>Arsenic ion</t>
  </si>
  <si>
    <t>Cadmium II</t>
  </si>
  <si>
    <t>Particulate Matter, &gt; 10 um</t>
  </si>
  <si>
    <t>Particulate Matter, &gt; 2.5 um and &lt; 10um</t>
  </si>
  <si>
    <t>Hydrochloric acid</t>
  </si>
  <si>
    <t>Iron ion</t>
  </si>
  <si>
    <t>Lead II</t>
  </si>
  <si>
    <t>Nickel II</t>
  </si>
  <si>
    <t>Sacchi, R., Treyer, T., Zhang, X., Bauer, C. Life Cycle Assessment of Power-to-X processes and associated electricity and heat applications in the residential sector. Paul Scherrer Institut, 2023.</t>
  </si>
  <si>
    <t>Power-2-heat</t>
  </si>
  <si>
    <t>natural gas, high pressure, import from RU</t>
  </si>
  <si>
    <t>sheet rolling, copper</t>
  </si>
  <si>
    <t>injection moulding</t>
  </si>
  <si>
    <t>power electronics (rectifier, voltage adaption)</t>
  </si>
  <si>
    <t>control panels/electronics</t>
  </si>
  <si>
    <t>tubing and pump</t>
  </si>
  <si>
    <t>steel construction element</t>
  </si>
  <si>
    <t>Purification (De-Oxo) &amp; water treatment</t>
  </si>
  <si>
    <t>water-gas separator</t>
  </si>
  <si>
    <t>valve</t>
  </si>
  <si>
    <t>back-pressure regulator</t>
  </si>
  <si>
    <t>ion exchanger</t>
  </si>
  <si>
    <t>heat exchanger</t>
  </si>
  <si>
    <t>water purifier and feed tank</t>
  </si>
  <si>
    <t>frequency converter, diaphragm compressor</t>
  </si>
  <si>
    <t>diaphragm for diaphragm compressor</t>
  </si>
  <si>
    <t>container with pipes and fittings for compressor</t>
  </si>
  <si>
    <t>buffer tank</t>
  </si>
  <si>
    <t>container</t>
  </si>
  <si>
    <t>foundation concrete</t>
  </si>
  <si>
    <t>polyethylene, low density, granulate</t>
  </si>
  <si>
    <t>market for synthetic rubber</t>
  </si>
  <si>
    <t>iridium</t>
  </si>
  <si>
    <t>synthetic rubber</t>
  </si>
  <si>
    <t>end plate</t>
  </si>
  <si>
    <t>bipolar plate</t>
  </si>
  <si>
    <t>membrane polymer</t>
  </si>
  <si>
    <t>electrocatalyst anode</t>
  </si>
  <si>
    <t>electrocatalyst cathode</t>
  </si>
  <si>
    <t>current collector</t>
  </si>
  <si>
    <t>bolts and screws</t>
  </si>
  <si>
    <t>gasket</t>
  </si>
  <si>
    <t>assembly energy</t>
  </si>
  <si>
    <t>0.28 kWh heat needed/kg H2</t>
  </si>
  <si>
    <t>1 kg H2 produced using a PEM electrolyzer. Source: 1 MW PEM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t>
  </si>
  <si>
    <t>BoP, 20 years lifetime.</t>
  </si>
  <si>
    <t>Stack, 7 years lifetime.</t>
  </si>
  <si>
    <t>market for injection moulding</t>
  </si>
  <si>
    <t>market for welding, arc, steel</t>
  </si>
  <si>
    <t>welding, arc, steel</t>
  </si>
  <si>
    <t>anode and cathode with frame</t>
  </si>
  <si>
    <t>market for polysulfone</t>
  </si>
  <si>
    <t>polysulfone</t>
  </si>
  <si>
    <t>market for zirconium oxide</t>
  </si>
  <si>
    <t>zirconium oxide</t>
  </si>
  <si>
    <t>diaphragm, zirfon</t>
  </si>
  <si>
    <t>market for glass fibre</t>
  </si>
  <si>
    <t>glass fibre</t>
  </si>
  <si>
    <t>hydrogen dryer and de-oxidizer</t>
  </si>
  <si>
    <t>tubing and cables</t>
  </si>
  <si>
    <t>water cooling plant for electrolyzer</t>
  </si>
  <si>
    <t>gas separator</t>
  </si>
  <si>
    <t>steel tank for KOH</t>
  </si>
  <si>
    <t>alkali-resistant rotary pump</t>
  </si>
  <si>
    <t>storage tank</t>
  </si>
  <si>
    <t>pumps and coolers</t>
  </si>
  <si>
    <t>market for wire drawing, copper</t>
  </si>
  <si>
    <t>1 kg H2 produced using a AEC electrolyzer. Source: 1 MW AEC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t>
  </si>
  <si>
    <t>1 kg H2 produced using a AEC electrolyzer. Source: Bareiß, K., de la Rua, C., Möckl, M., Hamacher, T., 2019. Life cycle assessment of hydrogen from proton exchange membrane water electrolysis in future energy systems 237, 862-872. 10.1016/j.apenergy.2019.01.001</t>
  </si>
  <si>
    <t>market for potassium hydroxide</t>
  </si>
  <si>
    <t>potassium hydroxide</t>
  </si>
  <si>
    <t>KOH input</t>
  </si>
  <si>
    <t>Electricity consumption with 64% eff.</t>
  </si>
  <si>
    <t>1 MWe Solid Oxide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 Produced amount of H2 over 20 years: 3779894.18 kg.</t>
  </si>
  <si>
    <t>air electrode</t>
  </si>
  <si>
    <t>screen printing</t>
  </si>
  <si>
    <t>blocking layer</t>
  </si>
  <si>
    <t>electrolyte + H2 electrode</t>
  </si>
  <si>
    <t>firing of cell</t>
  </si>
  <si>
    <t>market for praseodymium oxide</t>
  </si>
  <si>
    <t>market for lanthanum oxide</t>
  </si>
  <si>
    <t>market for strontium carbonate</t>
  </si>
  <si>
    <t>market for boric oxide</t>
  </si>
  <si>
    <t>market for barium oxide</t>
  </si>
  <si>
    <t>praseodymium oxide</t>
  </si>
  <si>
    <t>lanthanum oxide</t>
  </si>
  <si>
    <t>strontium carbonate</t>
  </si>
  <si>
    <t>boric oxide</t>
  </si>
  <si>
    <t>barium oxide</t>
  </si>
  <si>
    <t>electrolyte - to check</t>
  </si>
  <si>
    <t>market for samarium-europium-gadolinium oxide</t>
  </si>
  <si>
    <t>samarium-europium-gadolinium oxide</t>
  </si>
  <si>
    <t>market for cerium oxide</t>
  </si>
  <si>
    <t>cerium oxide</t>
  </si>
  <si>
    <t>heat exchangers</t>
  </si>
  <si>
    <t>frequency converters</t>
  </si>
  <si>
    <t>electrolyzer production, 1MWe, PEM, Stack</t>
  </si>
  <si>
    <t>electrolyzer production, 1MWe, PEM, Balance of Plant</t>
  </si>
  <si>
    <t>electrolyzer production, 1MWe, AEC, Stack</t>
  </si>
  <si>
    <t>electrolyzer production, 1MWe, AEC, Balance of Plant</t>
  </si>
  <si>
    <t>electrolyzer production, 1MWe, SOEC, Stack</t>
  </si>
  <si>
    <t>electrolyzer production, 1MWe, SOEC, Balance of Plant</t>
  </si>
  <si>
    <t>diaphragm compressor</t>
  </si>
  <si>
    <t>container with pipes and fittings for diaphragm compressor</t>
  </si>
  <si>
    <t>power electronics (rectifier, voltage adaptation)</t>
  </si>
  <si>
    <t>control electronics</t>
  </si>
  <si>
    <t>mixer</t>
  </si>
  <si>
    <t>splitter</t>
  </si>
  <si>
    <t>flange</t>
  </si>
  <si>
    <t>vessel</t>
  </si>
  <si>
    <t>control panel</t>
  </si>
  <si>
    <t>skid component</t>
  </si>
  <si>
    <t>separator</t>
  </si>
  <si>
    <t>water pump</t>
  </si>
  <si>
    <t>frequency converter -water pump</t>
  </si>
  <si>
    <t xml:space="preserve"> reinforcing steel</t>
  </si>
  <si>
    <t>tubing</t>
  </si>
  <si>
    <t>water purifier &amp; feed tank</t>
  </si>
  <si>
    <t>market for extrusion, plastic pipes</t>
  </si>
  <si>
    <t>market for polyethylene, low density, granulate</t>
  </si>
  <si>
    <t>foundation</t>
  </si>
  <si>
    <t>market for acrylonitrile-butadiene-styrene copolymer</t>
  </si>
  <si>
    <t>hydrogen production, gaseous, 25 bar, from SOEC electrolysis, from grid electricity</t>
  </si>
  <si>
    <t>1 kg H2 produced using a SOEC electrolyzer. Source: 1 MW SOEC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t>
  </si>
  <si>
    <t>hydrogen production, gaseous, 25 bar, from SOEC electrolysis, from Swiss solar PV</t>
  </si>
  <si>
    <t>1 kg H2 produced using a SOEC electrolyzer. Source: Bareiß, K., de la Rua, C., Möckl, M., Hamacher, T., 2019. Life cycle assessment of hydrogen from proton exchange membrane water electrolysis in future energy systems 237, 862-872. 10.1016/j.apenergy.2019.01.001</t>
  </si>
  <si>
    <t>hydrogen production, gaseous, 25 bar, from SOEC electrolysis, from Italian solar PV</t>
  </si>
  <si>
    <t>hydrogen production, gaseous, 25 bar, from SOEC electrolysis, from German solar PV</t>
  </si>
  <si>
    <t>hydrogen production, gaseous, 25 bar, from SOEC electrolysis, from Danish wind turbines</t>
  </si>
  <si>
    <t>5.24 kWh heat needed/kg H2</t>
  </si>
  <si>
    <t>Electricity consumption with 79% eff.</t>
  </si>
  <si>
    <t>1 MWe Alkaline electrolyzer based on Niklas Gerloff, Comparative Life-Cycle-Assessment analysis of three major water electrolysis technologies while applying various energy scenarios for a greener hydrogen production, Journal of Energy Storage, Volume 43, 2021, https://doi.org/10.1016/j.est.2021.102759. Single stack lifetime of 7-8 years @ 8000 hours/year, hence 3 replacements over 20 years. Produced amount of H2 over 20 years: 3085961.12 kg. The technology is available for large plant sizes and operates with a stack efficiency of up to 67 % (based on the lower heating value (LHV) of the generated H2). The operating temperature is in between 60–80 °C, and the current density is around 0.2–0.4 A/cm2. Moreover, the system energy –including the stack and periphery energy– is in the range of 4.4–6.6 kWh/m3H2, while the gas purity is higher than 99.5%, and the operating pressure is below 30 bar. While the LCI data of the BoP components either originate from Zhang et al., based on a 300-kW system and, therefore, scaled-up to 1 MW by a factor of 0.7, the LCI data of the other BoP components originate from manufacturer offers or have been estimated by own calculations using additional information by the producers.</t>
  </si>
  <si>
    <t>iridium production</t>
  </si>
  <si>
    <t>This is an aggregated inventory and cannot be considered transparent! 1 ton of iridium, mined. System area: Ore production to iridium in regional deposits. Geographical reference: Europe. Chronological reference: 2000-2004. Other information: Associated with platinum: approx. 0.3 to 0.4 g/10 g platinum ; share in total PGM prod.: approx. 37/542. The provision of investment goods is not considered in the data set. General information on mining and production: Type of mining: underground and open pit.
Crude ore production: South Africa 90%, Russia, Zimbabwe. Crude metal production: Germany 40% (Heraeus). Yearly production: 37 tons/year.
Source: ifeu - Institut für Energie- und Umweltforschung Heidelberg. Umweltprofile (UBA 2012). Accessible via: https://www.probas.umweltbundesamt.de/php/prozessdetails.php?id={BBAD218F-E439-42D6-9C26-14C774287F3C}</t>
  </si>
  <si>
    <t>Hydrocarbons, chlorinated</t>
  </si>
  <si>
    <t>Chromium III</t>
  </si>
  <si>
    <t>Methane, dichloro-, HCC-30</t>
  </si>
  <si>
    <t>Benzene, hexachloro-</t>
  </si>
  <si>
    <t>Ethane, 1,1,1,2-tetrafluoro-, HFC-134a</t>
  </si>
  <si>
    <t>Polychlorinated biphenyls</t>
  </si>
  <si>
    <t>Phenol, pentachloro-</t>
  </si>
  <si>
    <t>Perfluoropentane</t>
  </si>
  <si>
    <t>Sulfur hexafluoride</t>
  </si>
  <si>
    <t>Methane, tetrachloro-, R-10</t>
  </si>
  <si>
    <t>1 MW PEM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 per single stack, @ 8000 hours/year. Iridium mining process is NOT from ecoinvent. Produced amount of H2 over 20 years: 2964315.35 kg. According to a study called IndWEDe, it is assumed that the stacks are replaced 3 times during the 20 years lifespan, based on the 2030’s scenario for 1 MW systems which predicts a lifetime of 50,000 h or more for the stacks of the different water electrolysis technologies. In comparison to AEC electrolyzers, PEMEC electrolyzers are less mature. Furthermore, the PEMEC technology is commercially available and operates with a similar system efficiency as the AEC technology. However, the current density and the gas purity are higher with values in between 0.6–2.0 A/cm2 and &gt; 99.99%, respectively. Besides this, the operating pressure (below 200 bar) is significantly higher in comparison to AEC systems, while the operating temperature (50 °C to 80 °C) and the system energy (4.2–6.6 kWh/m3H2) are similar to AEC systems. The PEMEC BoP and stack components data stem from Bareiß et al. and correspond to a 1 MW system. Moreover, some further BoP components like water purifier &amp; feed tank, buffer tank, and heat exchanger have been added, derived from a 300 kW AEC system, under the assumption that the components are also suitable for a PEMEC system. The values have been scaled up from 300 kW to 1 MW.</t>
  </si>
  <si>
    <t>allocation factor for hydrogen</t>
  </si>
  <si>
    <t>market value of hydrogen [CHF/kg]</t>
  </si>
  <si>
    <t>market value of black carbon [CHF/kg]</t>
  </si>
  <si>
    <t>hydrogen production, gaseous, 100 bar, from methane pyrolysis</t>
  </si>
  <si>
    <t>hydrogen, gaseous, 100 bar</t>
  </si>
  <si>
    <t>Valentina Bisinella, Tore Hulgaard, Christian Riber, Anders Damgaard, Thomas H. Christensen, Environmental assessment of carbon capture and storage (CCS) as a post-treatment technology in waste incineration, Waste Management, Volume 128, 2021, https://doi.org/10.1016/j.wasman.2021.04.046.</t>
  </si>
  <si>
    <t>carbon dioxide, captured at municipal solid waste incineration plant, for subsequent reuse</t>
  </si>
  <si>
    <t>The MEA technology considered for this study is modelled after Tang and You, 2018, Reiter and Lindorfer, 2015. After flue gas condensation, the cooled flue gas is fed into a reactor containing a 30% MEA solution, which absorbs around 85–90% of the CO2, typically at 25 °C–50 °C at 1 bar. The process is exothermic. The CO2-rich solution is heated afterwards to 100–140 °C, and in a stripper at 1–2 bars the CO2 desorbs from the MEA and leaves saturated with water vapour. The water is then condensed from the CO2 stream, and the CO2 is compressed to around 150 bar for transporting in pipes or a lower pressure for local tank storage and shipment by truck. The recovered MEA is reused in the plant (Pour et al., 2018). About 4 kg of MEA is used per tonne of CO2, due to degradation (releasing around 0.1 kg NH3 per tonne CO2 captured), the formation of heat-stable salts and losses as vapour and aerosols during stripping (the latter is around 0.01 kg per tonne of CO2 captured). NaOH is added in the stripping step at an amount of 0.1 kg per tonne CO2 captured. Around 4 kg of solid waste is generated per tonne of CO2 captured; this waste is disregarded. The MEA CC process also reduces the content of other pollutants in the flue gas, the extent of which depends on whether flue gas condensation is already in place or is introduced as part of the CO2 capture system. SOx, HCl, particulate matter and heavy metals are reduced to very low levels by flue gas condensation and subsequent CC. The level of NH3 increases in the flue gas after CC because of degradation of MEA. This is not included here. Source: Valentina Bisinella, Tore Hulgaard, Christian Riber, Anders Damgaard, Thomas H. Christensen, Environmental assessment of carbon capture and storage (CCS) as a post-treatment technology in waste incineration, Waste Management, 2021, https://doi.org/10.1016/j.wasman.2021.04.046.</t>
  </si>
  <si>
    <t>methane, from electrochemical methanation, with carbon from municipal waste incineration plant</t>
  </si>
  <si>
    <t>18% of Swiss cement plants fuel input is biomass-based (p.139 of Switzerland’s Greenhouse Gas Inventory 1990–2018, INFRAS 2020). 2/3 of Swiss cement's plant CO2 emission are from lime calcination. Here, we simplify, considering 1/3 * 18% = 6%, which also matches with the ecoinvent 3.9 cut-off "clinker production, CH" value.</t>
  </si>
  <si>
    <t>hydrogen production, gaseous, 30 bar, from AEC electrolysis, from grid electricity</t>
  </si>
  <si>
    <t>hydrogen, gaseous, 30 bar</t>
  </si>
  <si>
    <t>hydrogen production, gaseous, 30 bar, from AEC electrolysis, from Swiss solar PV</t>
  </si>
  <si>
    <t>hydrogen production, gaseous, 30 bar, from AEC electrolysis, from Italian solar PV</t>
  </si>
  <si>
    <t>hydrogen production, gaseous, 30 bar, from AEC electrolysis, from German solar PV</t>
  </si>
  <si>
    <t>hydrogen production, gaseous, 30 bar, from AEC electrolysis, from Danish wind turbines</t>
  </si>
  <si>
    <t>hydrogen production, gaseous, 200 bar, from PEM electrolysis, from grid electricity</t>
  </si>
  <si>
    <t>hydrogen, gaseous, 200 bar</t>
  </si>
  <si>
    <t>hydrogen production, gaseous, 200 bar, from PEM electrolysis, from Swiss solar PV</t>
  </si>
  <si>
    <t>hydrogen production, gaseous, 200 bar, from PEM electrolysis, from Italian solar PV</t>
  </si>
  <si>
    <t>hydrogen production, gaseous, 200 bar, from PEM electrolysis, from German solar PV</t>
  </si>
  <si>
    <t>hydrogen production, gaseous, 200 bar, from PEM electrolysis, from Danish wind turbines</t>
  </si>
  <si>
    <t>Carbon dioxide sources</t>
  </si>
  <si>
    <t>Hydrogen compression</t>
  </si>
  <si>
    <t>bar</t>
  </si>
  <si>
    <t>Christina Wulf, Markus Reuß, Thomas Grube, Petra Zapp, Martin Robinius, Jürgen-Friedrich Hake, Detlef Stolten, Life Cycle Assessment of hydrogen transport and distribution options, Journal of Cleaner Production, 2018, https://doi.org/10.1016/j.jclepro.2018.07.180.</t>
  </si>
  <si>
    <t>Niklas Gerloff, Comparative Life-Cycle-Assessment analysis of three major water electrolysis technologies while applying various energy scenarios for a greener hydrogen production, Journal of Energy Storage, Volume 43, 2021, https://doi.org/10.1016/j.est.2021.102759</t>
  </si>
  <si>
    <t>Input pressure at local storage tank</t>
  </si>
  <si>
    <t>Adiabatic index for H2</t>
  </si>
  <si>
    <t>J/(mol.K)</t>
  </si>
  <si>
    <t>y</t>
  </si>
  <si>
    <t>Specific heat at constant pressure Cp</t>
  </si>
  <si>
    <t>Specific heat at constant volume Cv</t>
  </si>
  <si>
    <t>Compressor efficiency</t>
  </si>
  <si>
    <t>Output pressure</t>
  </si>
  <si>
    <t>Input pressure</t>
  </si>
  <si>
    <t>Storage pressure</t>
  </si>
  <si>
    <t>https://transitionaccelerator.ca/wp-content/uploads/2021/10/TA-Briefs-1.2-The-Techno-Economics-of-Hydrogen-Compression-FINALPDF.pdf</t>
  </si>
  <si>
    <t>N</t>
  </si>
  <si>
    <t>T_disc</t>
  </si>
  <si>
    <t>P_avg (Pa)</t>
  </si>
  <si>
    <t>T_avg (K)</t>
  </si>
  <si>
    <t>Z</t>
  </si>
  <si>
    <t>q_M</t>
  </si>
  <si>
    <t>Compressor power (kW)</t>
  </si>
  <si>
    <t>Rated compressor power (kW)</t>
  </si>
  <si>
    <t>Compression effort [kWh/kg H2]</t>
  </si>
  <si>
    <t>P_in</t>
  </si>
  <si>
    <t>P_out</t>
  </si>
  <si>
    <t>methane, from biological methanation, with carbon from municipal waste incineration plant</t>
  </si>
  <si>
    <t>34 m3 of wastewater/full-load hour.</t>
  </si>
  <si>
    <t>0,0833 kg Ammonia/full load hour.</t>
  </si>
  <si>
    <t>Based on stoichiometry, for every kilogram of methane produced, the system would consume approximately 2.75 kilograms of CO2 and 0.5 kilograms of H2, and produce approximately 2.25 kilograms of water. Rest of info taken from BioCat II project Annex I 2014. Consider 51.3 kg CH4 per full-load hour. Reactor heat re-circulated at the wastewater treatment plant, hence not considered here. Infrastructure missing.</t>
  </si>
  <si>
    <t>https://energiforskning.dk/sites/energiforskning.dk/files/slutrapporter/12164_annex_1_p2g_biocat_lca_final_report.pdf</t>
  </si>
  <si>
    <t>methane, from biological methanation</t>
  </si>
  <si>
    <t>60 kW at full-load, 10 kW at standby, 3000 full-load hours per year. 51.3 kg CH4 /h at full-load</t>
  </si>
  <si>
    <t>methane, from biological methanation, with carbon from cement plant</t>
  </si>
  <si>
    <t>methane, from biological methanation, with carbon from atmospheric CO2 capture</t>
  </si>
  <si>
    <t>To compress the methane and inject it into the grid</t>
  </si>
  <si>
    <t>synthetic natural gas from catalytic methanation</t>
  </si>
  <si>
    <t>synthetic natural gas from biological methanation</t>
  </si>
  <si>
    <t>SNG catalytic - w CO2 from DAC</t>
  </si>
  <si>
    <t>SNG catalytic - w CO2 from MSWI</t>
  </si>
  <si>
    <t>SNG catalytic - w CO2 from cement plant</t>
  </si>
  <si>
    <t>SNG biological - w CO2 from DAC</t>
  </si>
  <si>
    <t>SNG biological - w CO2 from MSWI</t>
  </si>
  <si>
    <t>SNG biological - w CO2 from cement plant</t>
  </si>
  <si>
    <t>2e</t>
  </si>
  <si>
    <t>electricity, from residential heating system</t>
  </si>
  <si>
    <t>3e</t>
  </si>
  <si>
    <t>4e</t>
  </si>
  <si>
    <t>6e</t>
  </si>
  <si>
    <t>7e</t>
  </si>
  <si>
    <t>8e</t>
  </si>
  <si>
    <t>10e</t>
  </si>
  <si>
    <t>11e</t>
  </si>
  <si>
    <t>12e</t>
  </si>
  <si>
    <t>14e</t>
  </si>
  <si>
    <t>15e</t>
  </si>
  <si>
    <t>16e</t>
  </si>
  <si>
    <t>18e</t>
  </si>
  <si>
    <t>19e</t>
  </si>
  <si>
    <t>20e</t>
  </si>
  <si>
    <t>22e</t>
  </si>
  <si>
    <t>23e</t>
  </si>
  <si>
    <t>24e</t>
  </si>
  <si>
    <t>26e</t>
  </si>
  <si>
    <t>27e</t>
  </si>
  <si>
    <t>28e</t>
  </si>
  <si>
    <t>30e</t>
  </si>
  <si>
    <t>31e</t>
  </si>
  <si>
    <t>32e</t>
  </si>
  <si>
    <t>34e</t>
  </si>
  <si>
    <t>35e</t>
  </si>
  <si>
    <t>36e</t>
  </si>
  <si>
    <t>38e</t>
  </si>
  <si>
    <t>39e</t>
  </si>
  <si>
    <t>40e</t>
  </si>
  <si>
    <t>42e</t>
  </si>
  <si>
    <t>43e</t>
  </si>
  <si>
    <t>44e</t>
  </si>
  <si>
    <t>46e</t>
  </si>
  <si>
    <t>47e</t>
  </si>
  <si>
    <t>48e</t>
  </si>
  <si>
    <t>50e</t>
  </si>
  <si>
    <t>51e</t>
  </si>
  <si>
    <t>52e</t>
  </si>
  <si>
    <t>54e</t>
  </si>
  <si>
    <t>55e</t>
  </si>
  <si>
    <t>56e</t>
  </si>
  <si>
    <t>58e</t>
  </si>
  <si>
    <t>59e</t>
  </si>
  <si>
    <t>60e</t>
  </si>
  <si>
    <t>62e</t>
  </si>
  <si>
    <t>63e</t>
  </si>
  <si>
    <t>64e</t>
  </si>
  <si>
    <t>66e</t>
  </si>
  <si>
    <t>67e</t>
  </si>
  <si>
    <t>68e</t>
  </si>
  <si>
    <t>70e</t>
  </si>
  <si>
    <t>71e</t>
  </si>
  <si>
    <t>72e</t>
  </si>
  <si>
    <t>74e</t>
  </si>
  <si>
    <t>75e</t>
  </si>
  <si>
    <t>76e</t>
  </si>
  <si>
    <t>78e</t>
  </si>
  <si>
    <t>79e</t>
  </si>
  <si>
    <t>80e</t>
  </si>
  <si>
    <t>82e</t>
  </si>
  <si>
    <t>83e</t>
  </si>
  <si>
    <t>84e</t>
  </si>
  <si>
    <t>86e</t>
  </si>
  <si>
    <t>87e</t>
  </si>
  <si>
    <t>88e</t>
  </si>
  <si>
    <t>90e</t>
  </si>
  <si>
    <t>91e</t>
  </si>
  <si>
    <t>92e</t>
  </si>
  <si>
    <t>94e</t>
  </si>
  <si>
    <t>95e</t>
  </si>
  <si>
    <t>96e</t>
  </si>
  <si>
    <t>98e</t>
  </si>
  <si>
    <t>99e</t>
  </si>
  <si>
    <t>100e</t>
  </si>
  <si>
    <t>102e</t>
  </si>
  <si>
    <t>103e</t>
  </si>
  <si>
    <t>104e</t>
  </si>
  <si>
    <t>106e</t>
  </si>
  <si>
    <t>107e</t>
  </si>
  <si>
    <t>108e</t>
  </si>
  <si>
    <t>110e</t>
  </si>
  <si>
    <t>111e</t>
  </si>
  <si>
    <t>112e</t>
  </si>
  <si>
    <t>114e</t>
  </si>
  <si>
    <t>115e</t>
  </si>
  <si>
    <t>116e</t>
  </si>
  <si>
    <t>118e</t>
  </si>
  <si>
    <t>119e</t>
  </si>
  <si>
    <t>120e</t>
  </si>
  <si>
    <t>122e</t>
  </si>
  <si>
    <t>123e</t>
  </si>
  <si>
    <t>124e</t>
  </si>
  <si>
    <t>126e</t>
  </si>
  <si>
    <t>127e</t>
  </si>
  <si>
    <t>128e</t>
  </si>
  <si>
    <t>130e</t>
  </si>
  <si>
    <t>131e</t>
  </si>
  <si>
    <t>132e</t>
  </si>
  <si>
    <t>134e</t>
  </si>
  <si>
    <t>135e</t>
  </si>
  <si>
    <t>136e</t>
  </si>
  <si>
    <t>138e</t>
  </si>
  <si>
    <t>139e</t>
  </si>
  <si>
    <t>140e</t>
  </si>
  <si>
    <t>142e</t>
  </si>
  <si>
    <t>143e</t>
  </si>
  <si>
    <t>144e</t>
  </si>
  <si>
    <t>146e</t>
  </si>
  <si>
    <t>147e</t>
  </si>
  <si>
    <t>148e</t>
  </si>
  <si>
    <t>150e</t>
  </si>
  <si>
    <t>151e</t>
  </si>
  <si>
    <t>152e</t>
  </si>
  <si>
    <t>154e</t>
  </si>
  <si>
    <t>155e</t>
  </si>
  <si>
    <t>156e</t>
  </si>
  <si>
    <t>158e</t>
  </si>
  <si>
    <t>159e</t>
  </si>
  <si>
    <t>160e</t>
  </si>
  <si>
    <t>162e</t>
  </si>
  <si>
    <t>163e</t>
  </si>
  <si>
    <t>164e</t>
  </si>
  <si>
    <t>166e</t>
  </si>
  <si>
    <t>167e</t>
  </si>
  <si>
    <t>168e</t>
  </si>
  <si>
    <t>170e</t>
  </si>
  <si>
    <t>171e</t>
  </si>
  <si>
    <t>172e</t>
  </si>
  <si>
    <t>174e</t>
  </si>
  <si>
    <t>175e</t>
  </si>
  <si>
    <t>176e</t>
  </si>
  <si>
    <t>186e</t>
  </si>
  <si>
    <t>187e</t>
  </si>
  <si>
    <t>188e</t>
  </si>
  <si>
    <t>189e</t>
  </si>
  <si>
    <t>190e</t>
  </si>
  <si>
    <t>191e</t>
  </si>
  <si>
    <t>1 kWh electricity</t>
  </si>
  <si>
    <t>LHV [kWh/kg]</t>
  </si>
  <si>
    <t>Allocation factor</t>
  </si>
  <si>
    <t>electrolyzer, 1MWe, PEM, Stack</t>
  </si>
  <si>
    <t>electrolyzer, 1MWe, PEM, Balance of Plant</t>
  </si>
  <si>
    <t>electrolyzer, 1MWe, AEC, Stack</t>
  </si>
  <si>
    <t>electrolyzer, 1MWe, AEC, Balance of Plant</t>
  </si>
  <si>
    <t>electrolyzer, 1MWe, SOEC, Stack</t>
  </si>
  <si>
    <t>electrolyzer, 1MWe, SOEC, Balance of Plant</t>
  </si>
  <si>
    <t>Adapted from Comparative well-to-wheel life cycle assessment of OME3–5 synfuel production via the power-to-liquid pathway, Hank et al. 2019. CO2 and H2 inputs consolidated with Alternative production of methanol from industrial CO2. Meunier et al. 2020. Renewable Energy 146, pp. 1192-1203.</t>
  </si>
  <si>
    <t>https://onlinelibrary.wiley.com/doi/full/10.1002/fuce.201900234</t>
  </si>
  <si>
    <t>fuel cell stack production, 1 kWe, proton exchange membrane (PEM)</t>
  </si>
  <si>
    <t>fuel cell stack, 1 kWe, proton exchange membrane (PEM)</t>
  </si>
  <si>
    <t>Rok Stropnik, Nejc Mlakar, Andrej Lotrič, Mihael Sekavčnik, Mitja Mori, The influence of degradation effects in proton exchange membrane fuel cells on life cycle assessment modelling and environmental impact indicators,
International Journal of Hydrogen Energy, Volume 47, Issue 57, 2022, https://doi.org/10.1016/j.ijhydene.2022.04.011</t>
  </si>
  <si>
    <t>LCI for a PEMFC fuel cell stack system. Operational time was set to 20,000 h at power of 1 kWe. Due to the degradation effects the hydrogen consumption must be increased to always generate the power of 1 kWe. In the case of dynamic operational regime 5 replacements (Nd = 5) of the PEMFC stack are included (lifetime of 3'800 hours per stack).</t>
  </si>
  <si>
    <t>market for graphite</t>
  </si>
  <si>
    <t>graphite</t>
  </si>
  <si>
    <t>market for polyvinylidenchloride, granulate</t>
  </si>
  <si>
    <t>polyvinylidenchloride, granulate</t>
  </si>
  <si>
    <t>market for aluminium, primary, ingot</t>
  </si>
  <si>
    <t>aluminium, primary, ingot</t>
  </si>
  <si>
    <t>market for steel, chromium steel 18/8</t>
  </si>
  <si>
    <t>steel, chromium steel 18/8</t>
  </si>
  <si>
    <t>fuel cell Balance of Plant production, 1 kWe, proton exchange membrane (PEM)</t>
  </si>
  <si>
    <t>fuel cell Balance of Plant, 1 kWe, proton exchange membrane (PEM)</t>
  </si>
  <si>
    <t>https://www.sciencedirect.com/science/article/pii/S0360319922014768#bib75</t>
  </si>
  <si>
    <t>fuel cell system assembly, 1 kWe, proton exchange membrane (PEM)</t>
  </si>
  <si>
    <t>fuel cell system, 1 kWe, proton exchange membrane (PEM)</t>
  </si>
  <si>
    <t>LCI for a high pressure storage tank per 10 kg hydrogen (Boureima et al., 2011; Das, 2011). Assumed lifetime of 20 years.</t>
  </si>
  <si>
    <t>pipeline construction, natural gas, low pressure distribution network</t>
  </si>
  <si>
    <t>pipeline, natural gas, low pressure distribution network</t>
  </si>
  <si>
    <t>SNG pipeline, on the basis of current CNG pipline of 19 TJ/km/year as in ecoinvent. Lifetime of 40 years.</t>
  </si>
  <si>
    <t>solution mining for geological hydrogen storage</t>
  </si>
  <si>
    <t>solution mining</t>
  </si>
  <si>
    <t>LCI of solution mining for the future storage of 1 kg of hydrogen. Includes mostly the water demand, the water injection and the brine pumping. We use tap water for now, which may not be entirely correct. The salt cavern is assumed to be 500,000 m3 large. The available hydrogen amount is 4,000 tons per year, with a lifetime of 40 years, for a total capacity of 6,350 tons per year. Hence the inputs are normalized by 4,000 tons * 40 years. Here are some additional parameters. Water demand 10 m³/m³ (Niquet, 1978), Water demand, total 5,000,000 m³, Capacity pump 570 kW (van Ohlen, 2015), Efficiency pump 76 % (Flowserve, 2015), Pumping rate, water 250 m³/h (van Ohlen, 2015), Time for solution mining 20,000 h, Electricity demand pump 750 kWh/h, Electricity demand, total 15,000 MWh</t>
  </si>
  <si>
    <t>geological hydrogen storage</t>
  </si>
  <si>
    <t>hydrogen storage</t>
  </si>
  <si>
    <t>Geological cavity to store hydrogen.</t>
  </si>
  <si>
    <t>Months of use [unit]</t>
  </si>
  <si>
    <t>Annual H2 need [kg]</t>
  </si>
  <si>
    <t>Annual heating [kWh]</t>
  </si>
  <si>
    <t>Average heating need in CH [kWh/m2-year]</t>
  </si>
  <si>
    <t>Average dwelling size [m2]</t>
  </si>
  <si>
    <t>Heating need per average dwelling [kWh/year]</t>
  </si>
  <si>
    <t>m2</t>
  </si>
  <si>
    <t>kWh/year</t>
  </si>
  <si>
    <t>10kgH2 storage tanks [unit]</t>
  </si>
  <si>
    <t>Weekly H2 need during heating period [kg]</t>
  </si>
  <si>
    <t>Transport by train.</t>
  </si>
  <si>
    <t>H2 pipeline, on the basis of current CNG pipline: 19 TJ over 40 years, but divided by 3 to reflect the energy density three times as low.</t>
  </si>
  <si>
    <t>To compress the H2 during distribution and from distribution to 900 bar at storage.</t>
  </si>
  <si>
    <t>Hydrogen input.</t>
  </si>
  <si>
    <t>Methane input.</t>
  </si>
  <si>
    <t>Methanol input.</t>
  </si>
  <si>
    <t>9kg water produced per kg H2 in fuel cell.</t>
  </si>
  <si>
    <t>9kg of water produced per kg of H2 combusted.</t>
  </si>
  <si>
    <t>u1</t>
  </si>
  <si>
    <t>u2</t>
  </si>
  <si>
    <t>u3</t>
  </si>
  <si>
    <t>u4</t>
  </si>
  <si>
    <t>u5</t>
  </si>
  <si>
    <t>u6</t>
  </si>
  <si>
    <t>ub</t>
  </si>
  <si>
    <t>Natural gas:  0.735 kg/m3 at standard condition @ 15°C, 1.0325 bar. LHV by mass: 46.5 MJ/kg. LHV by volume at standard condition: 36.0 MJ/Nm3. Source: Antonini et al., 2020. Hydrogen production from natural gas and biomethane with carbon capture and storage – A techno-environmental analysis. Sustainable Energy Fuels, 2020,4, 2967-2986. https://doi.org/10.1039/D0SE00222D</t>
  </si>
  <si>
    <t>CO2 leakage.</t>
  </si>
  <si>
    <t>CO2 keakage.</t>
  </si>
  <si>
    <t>1 kg of finished carbon fiber Toray T700 G. Carbon fiber manufacturing. Source: based on Ellringmann et al. (2016), Gill et al. (2016), Mützel (2012).</t>
  </si>
  <si>
    <t>Benitez A, Wulf C, de Palmenaer A, Lengersdorf M, Röding T, Grube T, et al. Ecological assessment of fuel cell electric vehicles with special focus on type IV carbon fiber hydrogen tank. J Clean Prod 2021;278:123277. https://doi.org/10.1016/j.jclepro.2020.123277.</t>
  </si>
  <si>
    <t>Polyacrylonitrile</t>
  </si>
  <si>
    <t>market for acrylonitrile</t>
  </si>
  <si>
    <t>acrylonitrile</t>
  </si>
  <si>
    <t>market for methyl acrylate</t>
  </si>
  <si>
    <t>methyl acrylate</t>
  </si>
  <si>
    <t>market for acrylic acid</t>
  </si>
  <si>
    <t>acrylic acid</t>
  </si>
  <si>
    <t>market for compressed air, 1000 kPa gauge</t>
  </si>
  <si>
    <t>compressed air, 1000 kPa gauge</t>
  </si>
  <si>
    <t>market for dimethyl sulfoxide</t>
  </si>
  <si>
    <t>dimethyl sulfoxide</t>
  </si>
  <si>
    <t>air separation, cryogenic</t>
  </si>
  <si>
    <t>nitrogen, liquid</t>
  </si>
  <si>
    <t>market for steam, in chemical industry</t>
  </si>
  <si>
    <t>steam, in chemical industry</t>
  </si>
  <si>
    <t>Coagulated fiber</t>
  </si>
  <si>
    <t>Stretched and washed fiber</t>
  </si>
  <si>
    <t>Sized fiber</t>
  </si>
  <si>
    <t>market for potassium permanganate</t>
  </si>
  <si>
    <t>potassium permanganate</t>
  </si>
  <si>
    <t>Dried fiber</t>
  </si>
  <si>
    <t>Relaxed fiber</t>
  </si>
  <si>
    <t>Resized fiber</t>
  </si>
  <si>
    <t>Argon-40</t>
  </si>
  <si>
    <t>market for natural gas, medium pressure, vehicle grade</t>
  </si>
  <si>
    <t>natural gas, medium pressure, vehicle grade</t>
  </si>
  <si>
    <t>market for NOx retained, by selective catalytic reduction</t>
  </si>
  <si>
    <t>NOx retained, by selective catalytic reduction</t>
  </si>
  <si>
    <t>Stabilized fiber</t>
  </si>
  <si>
    <t>Carbonized fiber, low temp</t>
  </si>
  <si>
    <t>Carbonized fiber, high temp</t>
  </si>
  <si>
    <t>market for ammonium bicarbonate</t>
  </si>
  <si>
    <t>ammonium bicarbonate</t>
  </si>
  <si>
    <t>Washed fiber</t>
  </si>
  <si>
    <t>Dried fiber 2</t>
  </si>
  <si>
    <t>Dried fiber 3</t>
  </si>
  <si>
    <t>polyacrylonitrile production (PAN), by polymerisation</t>
  </si>
  <si>
    <t>carbon fiber production, dope spinning</t>
  </si>
  <si>
    <t>carbon fiber production, fiber coagulation</t>
  </si>
  <si>
    <t>carbon fiber production, fiber stretching and washing</t>
  </si>
  <si>
    <t>carbon fiber production, fiber sizing</t>
  </si>
  <si>
    <t>carbon fiber production, fiber sizing 2</t>
  </si>
  <si>
    <t>carbon fiber production, fiber sizing 3</t>
  </si>
  <si>
    <t>carbon fiber production, fiber drying</t>
  </si>
  <si>
    <t>carbon fiber production, fiber drying 2</t>
  </si>
  <si>
    <t>carbon fiber production, fiber drying 3</t>
  </si>
  <si>
    <t>carbon fiber production, fiber relaxation</t>
  </si>
  <si>
    <t>carbon fiber production, fiber winding up</t>
  </si>
  <si>
    <t>carbon fiber production, fiber unwinding</t>
  </si>
  <si>
    <t>carbon fiber production, exhaust gas treatment 1</t>
  </si>
  <si>
    <t>carbon fiber production, exhaust gas treatment 2</t>
  </si>
  <si>
    <t>carbon fiber production, fiber stabilization</t>
  </si>
  <si>
    <t>carbon fiber production, fiber carbonization (low temp)</t>
  </si>
  <si>
    <t>carbon fiber production, fiber carbonization (high temp)</t>
  </si>
  <si>
    <t>carbon fiber production, fiber electrolysis</t>
  </si>
  <si>
    <t>carbon fiber production, fiber washing</t>
  </si>
  <si>
    <t>carbon fiber production, weaved, at factory</t>
  </si>
  <si>
    <t>negative</t>
  </si>
  <si>
    <t>hydrogen, gaseous, from pipeline</t>
  </si>
  <si>
    <t>1 kilogram hydrogen</t>
  </si>
  <si>
    <t>Geological storage loss [% output]</t>
  </si>
  <si>
    <t>On-site storage loss [%]</t>
  </si>
  <si>
    <t>Regional storage loss [% output]</t>
  </si>
  <si>
    <t>hydrogen supply, transported by pipeline, produced by Electrolysis, Alkaline using water and electricity from grid</t>
  </si>
  <si>
    <t>0.6 kWh compression every 250 km.</t>
  </si>
  <si>
    <t>hydrogen supply, transported by truck, produced by Electrolysis, Alkaline using water and electricity from grid</t>
  </si>
  <si>
    <t>hydrogen, gaseous, from truck</t>
  </si>
  <si>
    <t>hydrogen supply, transported by pipeline, produced by Electrolysis, PEM using water and electricity from grid</t>
  </si>
  <si>
    <t>hydrogen supply, transported by truck, produced by Electrolysis, PEM using water and electricity from grid</t>
  </si>
  <si>
    <t>Electrolysis, SOEC - Solar PV (CH)</t>
  </si>
  <si>
    <t>Electrolysis, Alkaline - Solar PV (IT)</t>
  </si>
  <si>
    <t>Electrolysis, PEM - Solar PV (IT)</t>
  </si>
  <si>
    <t>Electrolysis, SOEC - Solar PV (IT)</t>
  </si>
  <si>
    <t>Electrolysis, Alkaline - Solar PV (DE)</t>
  </si>
  <si>
    <t>Electrolysis, PEM - Solar PV (DE)</t>
  </si>
  <si>
    <t>Electrolysis, SOEC - Solar PV (DE)</t>
  </si>
  <si>
    <t>Electrolysis, Alkaline - Wind (DK)</t>
  </si>
  <si>
    <t>Electrolysis, PEM - Wind (DK)</t>
  </si>
  <si>
    <t>Electrolysis, SOEC - Wind (DK)</t>
  </si>
  <si>
    <t>Steam Methane Reforming - Switzerland</t>
  </si>
  <si>
    <t>Auto-thermal reforming - Switzerland</t>
  </si>
  <si>
    <t>Steam Methane Reforming, with CCS - Switzerland</t>
  </si>
  <si>
    <t>Auto-thermal reforming, with CCS - Switzerland</t>
  </si>
  <si>
    <t>Pyrolysis - Switzerland</t>
  </si>
  <si>
    <t>Steam Methane Reforming - Russia</t>
  </si>
  <si>
    <t>Steam Methane Reforming, with CCS - Russia</t>
  </si>
  <si>
    <t>synthetic natural gas, from pipeline</t>
  </si>
  <si>
    <t>H2 pipeline, on the basis of current CNG pipline: 19 TJ over 40 years, as for natural gas.</t>
  </si>
  <si>
    <t>Self-consumption for compressors.</t>
  </si>
  <si>
    <t>biological</t>
  </si>
  <si>
    <t>heat, residential, by combustion of synthetic natural gas from biological methanation using boiler, transported by pipeline, produced by Electrolysis, PEM using water and electricity from grid and carbon sourced from DAC</t>
  </si>
  <si>
    <t>heat, residential, by combustion of synthetic natural gas from biological methanation using boiler, transported by pipeline, produced by Electrolysis, PEM using water and electricity from grid and carbon sourced from MSWI</t>
  </si>
  <si>
    <t>heat, residential, by combustion of synthetic natural gas from biological methanation using boiler, transported by pipeline, produced by Electrolysis, PEM using water and electricity from grid and carbon sourced from Cement plant</t>
  </si>
  <si>
    <t>synthetic natural gas from biological methanation, transported by pipeline, produced by Electrolysis, PEM using water and electricity from grid, and carbon from DAC</t>
  </si>
  <si>
    <t>synthetic natural gas from biological methanation, transported by pipeline, produced by Electrolysis, PEM using water and electricity from grid, and carbon from MSWI</t>
  </si>
  <si>
    <t>synthetic natural gas from biological methanation, transported by pipeline, produced by Electrolysis, PEM using water and electricity from grid, and carbon from Cement plant</t>
  </si>
  <si>
    <t>1 kilogram methanol</t>
  </si>
  <si>
    <t>1 kilogram synthetic natural gas</t>
  </si>
  <si>
    <t>market for fly ash and scrubber sludge</t>
  </si>
  <si>
    <t>infrastructure construction, for regional distribution of oil product</t>
  </si>
  <si>
    <t>market for municipal solid waste</t>
  </si>
  <si>
    <t>market for rainwater mineral oil storage</t>
  </si>
  <si>
    <t>fly ash and scrubber sludge</t>
  </si>
  <si>
    <t>infrastructure, for regional distribution of oil product</t>
  </si>
  <si>
    <t>municipal solid waste</t>
  </si>
  <si>
    <t>rainwater mineral oil storage</t>
  </si>
  <si>
    <t>water</t>
  </si>
  <si>
    <t>methanol - from Cement plant</t>
  </si>
  <si>
    <t>methanol, transported by truck, produced by Electrolysis, PEM using water and electricity from grid, and carbon from DAC</t>
  </si>
  <si>
    <t>methanol, transported by truck, produced by Electrolysis, PEM using water and electricity from grid, and carbon from MSWI</t>
  </si>
  <si>
    <t>methanol, transported by truck, produced by Electrolysis, PEM using water and electricity from grid, and carbon from Cement plant</t>
  </si>
  <si>
    <t>methanol, from truck</t>
  </si>
  <si>
    <t>catalytic</t>
  </si>
  <si>
    <t>synthetic natural gas from catalytic methanation, transported by pipeline, produced by Electrolysis, PEM using water and electricity from grid, and carbon from DAC</t>
  </si>
  <si>
    <t>synthetic natural gas from catalytic methanation, transported by pipeline, produced by Electrolysis, PEM using water and electricity from grid, and carbon from MSWI</t>
  </si>
  <si>
    <t>synthetic natural gas from catalytic methanation, transported by pipeline, produced by Electrolysis, PEM using water and electricity from grid, and carbon from Cement plant</t>
  </si>
  <si>
    <t>synthetic natural gas</t>
  </si>
  <si>
    <t>1 MW PEM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 per single stack, @ 8000 hours/year. Iridium mining process is NOT from ecoinvent. Produced amount of H2 over 20 years: 2964315.35 kg. According to a study called IndWEDe, it is assumed that the stacks are replaced 3 times during the 20 years lifespan, based on the 2030’s scenario for 1 MW systems which predicts a lifetime of 50,000 h or more for the stacks of the different water electrolysis technologies. In comparison to AEC electrolyzers, PEMEC electrolyzers are less mature. Furthermore, the PEMEC technology is commercially available and operates with a similar system efficiency as the AEC technology. However, the current density and the gas purity are higher with values in between 0.6–2.0 A/cm2 and &gt; 99.99%, respectively. Besides this, the operating pressure (below 200 bar) is significantly higher in comparison to AEC systems, while the operating temperature (50 °C to 80 °C) and the system energy (4.2–6.6 kWh/m3H2) are similar to AEC systems. The PEMEC BoP and stack components data stem from Bareiß et al. and correspond to a 1 MW system. Moreover, some further BoP components like water purifier &amp; feed tank, buffer tank, and heat exchanger have been added, derived from a 300 kW AEC system, under the assumption that the components are also suitable for a PEMEC system. The values have been scaled up from 300 kW to 1 MW. Values have already been multiplied by 3 to reflect 2 stack replacements over 20 years of use.</t>
  </si>
  <si>
    <t>1 MWe Alkaline electrolyzer based on Niklas Gerloff, Comparative Life-Cycle-Assessment analysis of three major water electrolysis technologies while applying various energy scenarios for a greener hydrogen production, Journal of Energy Storage, Volume 43, 2021, https://doi.org/10.1016/j.est.2021.102759. Single stack lifetime of 7-8 years @ 8000 hours/year, hence 3 replacements over 20 years. Produced amount of H2 over 20 years: 3085961.12 kg. The technology is available for large plant sizes and operates with a stack efficiency of up to 67 % (based on the lower heating value (LHV) of the generated H2). The operating temperature is in between 60–80 °C, and the current density is around 0.2–0.4 A/cm2. Moreover, the system energy –including the stack and periphery energy– is in the range of 4.4–6.6 kWh/m3H2, while the gas purity is higher than 99.5%, and the operating pressure is below 30 bar. While the LCI data of the BoP components either originate from Zhang et al., based on a 300-kW system and, therefore, scaled-up to 1 MW by a factor of 0.7, the LCI data of the other BoP components originate from manufacturer offers or have been estimated by own calculations using additional information by the producers.  Values have already been multiplied by 3 to reflect 2 stack replacements over 20 years of use.</t>
  </si>
  <si>
    <t xml:space="preserve">1 kg H2 produced using a SOEC electrolyzer. Source: Bareiß, K., de la Rua, C., Möckl, M., Hamacher, T., 2019. Life cycle assessment of hydrogen from proton exchange membrane water electrolysis in future energy systems 237, 862-872. 10.1016/j.apenergy.2019.01.001. </t>
  </si>
  <si>
    <t>1 MWe Solid Oxide electrolyzer based on Niklas Gerloff, Comparative Life-Cycle-Assessment analysis of three major water electrolysis technologies while applying various energy scenarios for a greener hydrogen production, Journal of Energy Storage, Volume 43, 2021, https://doi.org/10.1016/j.est.2021.102759. Lifetime of 7-8 years. Produced amount of H2 over 20 years: 3779894.18 kg. Amounts of lanthanum oxide and strontium carbonate are unsure.  Values have already been multiplied by 3 to reflect 2 stack replacements over 20 years of use.</t>
  </si>
  <si>
    <t xml:space="preserve">A perfect reaction of H2O results in 1 kg H2 and 8 kg O2, and needs 9 kg H2O, however, considering some losses we assume 14 kg H2O (Simoes et al., 2021). </t>
  </si>
  <si>
    <t>market for palladium</t>
  </si>
  <si>
    <t>palladium</t>
  </si>
  <si>
    <t>market for tin</t>
  </si>
  <si>
    <t>tin</t>
  </si>
  <si>
    <t>market for silicon carbide</t>
  </si>
  <si>
    <t>silicon carbide</t>
  </si>
  <si>
    <t>market for air compressor, screw-type compressor, 4kW</t>
  </si>
  <si>
    <t>air compressor, screw-type compressor, 4kW</t>
  </si>
  <si>
    <t>Infrastructure - membrane</t>
  </si>
  <si>
    <t>Infrastructure - compressor</t>
  </si>
  <si>
    <t>Infrastructure - burner</t>
  </si>
  <si>
    <t>Infrastructure - filter</t>
  </si>
  <si>
    <t>Infrastructure - reactor</t>
  </si>
  <si>
    <t>Infrastructure - heat exchanger</t>
  </si>
  <si>
    <t>1 kg H2 produced by pyrolyzing methane. Pyrolysis processes decompose hydrocarbons into solid carbon and hydrogen at high temperatures (thermally or biologicalally). As no oxygen is present, no carbon oxides are formed, potentially eliminating the need for secondary processing steps such as the WGSR. The higher H2 concentration of the product gas stream also has considerable potential for minimising downstream clean-up processes. From a carbon-storage perspective, pyrolysis processes offer the advantage of storing a solid C-product as opposed to gaseous CO2. There is an allocation between the production of hydrogen and black carbon, based on their respective market value -- see Von Wald et al. 2020 for black carbon, and Florian Wirth, Green Hydrogen Production for Heavy-Duty Trucks, 2021, for hydrogen price in Switzerland. Source: Amjad Al-Qahtani, Brett Parkinson, Klaus Hellgardt, Nilay Shah, Gonzalo Guillen-Gosalbez, Uncovering the true cost of hydrogen production routes using life cycle monetisation, Applied Energy, 2021, https://doi.org/10.1016/j.apenergy.2020.115958.
The energy required is from DOI:10.1002/ceat.201600023. For pyrolysis, it can be provided both electrically and by burning some of the natural gas or pyrolysis products. For the comparison of technologies, electrical resistance heating is assumed, as use of this type of heating is deemed to be most practicable. The power requirement of 7.23 MWhel/ton H2 is based on thermodynamic calculations. These take into account both the energy losses during heat recovery and the compression power of 2 MWhel/ton H2, to compress pyrolysis hydrogen from 2 bar to 100 bar with three interim cooling stages. Inventories consolidated with numbers for infrastructures from Appendix A1 from Postels et al., 2016 https://doi.org/10.1016/j.ijhydene.2016.09.167. Missing input of quartz for reactor, as unavailable in ecoinvent.</t>
  </si>
  <si>
    <t>Originally, 4.86kg, then averaged with value from Postels et al., 2016, and converted to cubic meters.</t>
  </si>
  <si>
    <t>LCI of 1 km distribution and transmission pipeline adapted from (Faist Emmenegger et al., 2007a, b; Krieg, 2012).</t>
  </si>
  <si>
    <t>Hydrogen drying before injection in distribution system.</t>
  </si>
  <si>
    <t xml:space="preserve">LCI of storing 1 kg of hydrogen in a salt cavern. Includes only the electricity to inject the hydrogen in, and pump it out. Some additional parameters: Electricity demand dryer 0.104 kWh/kg H2 (Hydrogen needs to be dried before reinjection into the pipeline). Lifetime 40 a (Noack et al., 2015; Stolzenburg et al., 2014). Inlet pressure cavern 85 bar. Inlet pressure dryer 50 bar. Electricity demand compressor 0.48 kWh/kg H2 (Injection pressure for pipeline from 50 bar (drier) to 100 bar pipeline).
</t>
  </si>
  <si>
    <t>Compression electricity from distribution to on-site storage (dryer) [kWh/kg]</t>
  </si>
  <si>
    <t>Compression electricity from H2 plant to geological storage (170 bar) [kWh/kg]</t>
  </si>
  <si>
    <t>Compression electricity from geological storage (dryer, 50 bar) to distribution system [kWh/kg]</t>
  </si>
  <si>
    <t>To compress the H2 during storage and distribution, and possibly on-site storage, if needed.</t>
  </si>
  <si>
    <t>kWh/m2-year</t>
  </si>
  <si>
    <t>Based on Greenstar 8000 Hydrogen-Ready specifications.</t>
  </si>
  <si>
    <t>https://doi.org/10.1016/j.joule.2022.08.015</t>
  </si>
  <si>
    <t>Agenitor, https://www.2g-energy.com/products/hydrogen</t>
  </si>
  <si>
    <t>Originally 3.7 MJ, discounted by 60% to reflect heat recovery and injection in district heating system.</t>
  </si>
  <si>
    <t>Calculated from leakage rate and biogenic carbon share.</t>
  </si>
  <si>
    <t>Hydrogen leakage</t>
  </si>
  <si>
    <t>Sacchi, R. and Bauer, C. Life Cycle Assessment of Power-to-X processes and associated electricity and heat applications in the residential sector. Paul Scherrer Institut, 2023.</t>
  </si>
  <si>
    <t>carbon dioxide storage, at hydrogen production plant, pre, pipeline 200km, storage 1000m</t>
  </si>
  <si>
    <t>market for gas turbine, 10MW electrical</t>
  </si>
  <si>
    <t>transport, pipeline, supercritical CO2, 200km w/o recompression</t>
  </si>
  <si>
    <t>electricity, medium voltage</t>
  </si>
  <si>
    <t>gas turbine, 10MW electrical</t>
  </si>
  <si>
    <t>Life cycle assessment of carbon capture and storage in power generation and industry in Europe, Volkart et al., 2013, International Journal of Greenhouse Gas Control</t>
  </si>
  <si>
    <t>market for electricity, medium voltage</t>
  </si>
  <si>
    <t>Boron</t>
  </si>
  <si>
    <t>DOC, Dissolved Organic Carbon</t>
  </si>
  <si>
    <t>Fluoride</t>
  </si>
  <si>
    <t>Hydrocarbons, aromatic</t>
  </si>
  <si>
    <t>Magnesium</t>
  </si>
  <si>
    <t>air::non-urban air or from high stacks</t>
  </si>
  <si>
    <t>Silicon</t>
  </si>
  <si>
    <t>Strontium</t>
  </si>
  <si>
    <t>Sulfur</t>
  </si>
  <si>
    <t>Water, well, in ground</t>
  </si>
  <si>
    <t>diesel, burned in diesel-electric generating set, 18.5kW</t>
  </si>
  <si>
    <t>lignite mine operation</t>
  </si>
  <si>
    <t>lignite</t>
  </si>
  <si>
    <t>market for chemical, organic</t>
  </si>
  <si>
    <t>chemical, organic</t>
  </si>
  <si>
    <t>treatment of drilling waste, landfarming</t>
  </si>
  <si>
    <t>Waste to treatment</t>
  </si>
  <si>
    <t>treatment of drilling waste, residual material landfill</t>
  </si>
  <si>
    <t>drilling, deep borehole</t>
  </si>
  <si>
    <t>carbon dioxide, stored</t>
  </si>
  <si>
    <t>deep borehole</t>
  </si>
  <si>
    <t>Occupation, construction site</t>
  </si>
  <si>
    <t>square meter-year</t>
  </si>
  <si>
    <t>natural resource::land</t>
  </si>
  <si>
    <t>Transformation, from forest, unspecified</t>
  </si>
  <si>
    <t>square meter</t>
  </si>
  <si>
    <t>Transformation, to heterogeneous, agricultural</t>
  </si>
  <si>
    <t>Water, unspecified natural origin</t>
  </si>
  <si>
    <t>gravel and sand quarry operation</t>
  </si>
  <si>
    <t>market for stone wool, packed</t>
  </si>
  <si>
    <t>stone wool, packed</t>
  </si>
  <si>
    <t>transport, helicopter</t>
  </si>
  <si>
    <t>hour</t>
  </si>
  <si>
    <t>transport, helicopter, LTO cycle</t>
  </si>
  <si>
    <t>treatment of inert waste, inert material landfill</t>
  </si>
  <si>
    <t>inert waste, for final disposal</t>
  </si>
  <si>
    <t>treatment of scrap steel, inert material landfill</t>
  </si>
  <si>
    <t>carbon dioxide transport, supercritical, by pipeline, with recompression</t>
  </si>
  <si>
    <t>carbon dioxide, transported</t>
  </si>
  <si>
    <t>pipeline contruction, for supercritical carbon dioxide transport</t>
  </si>
  <si>
    <t>pipeline, for supercritical carbon dioxide transport</t>
  </si>
  <si>
    <t>AOX, Adsorbable Organic Halogen</t>
  </si>
  <si>
    <t>Aluminium III</t>
  </si>
  <si>
    <t>Barium II</t>
  </si>
  <si>
    <t>Calcium II</t>
  </si>
  <si>
    <t>Manganese II</t>
  </si>
  <si>
    <t>Potassium I</t>
  </si>
  <si>
    <t>activated bentonite</t>
  </si>
  <si>
    <t>barite</t>
  </si>
  <si>
    <t>Sodium I</t>
  </si>
  <si>
    <t>drilling waste</t>
  </si>
  <si>
    <t>market for barite</t>
  </si>
  <si>
    <t>market for activated bentonite</t>
  </si>
  <si>
    <t>market for titanium</t>
  </si>
  <si>
    <t>market for tetrafluoroethylene</t>
  </si>
  <si>
    <t>market for rolling mill</t>
  </si>
  <si>
    <t>market for tetrafluoroethylene film, on glass</t>
  </si>
  <si>
    <t>market for acrylonitrile-butadiene-styrene copolymer production</t>
  </si>
  <si>
    <t>market for styrene-acrylonitrile copolymer</t>
  </si>
  <si>
    <t>market for ethylene vinyl acetate copolymer</t>
  </si>
  <si>
    <t>market for [sulfonyl]urea-compound</t>
  </si>
  <si>
    <t>market for transport, helicopter</t>
  </si>
  <si>
    <t>market for transport, helicopter, LTO cycle</t>
  </si>
  <si>
    <t>market for sheet rolling, copper</t>
  </si>
  <si>
    <t>market for diesel, burned in diesel-electric generating set, 18.5kW</t>
  </si>
  <si>
    <t>market for drawing of pipe, steel</t>
  </si>
  <si>
    <t>market for excavation, hydraulic digger</t>
  </si>
  <si>
    <t>market for excavation, skid-steer loader</t>
  </si>
  <si>
    <t>production of nickel-based catalyst for methanation</t>
  </si>
  <si>
    <t>nickel-based catalyst for methanation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</si>
</sst>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 #,##0.00_ ;_ * \-#,##0.00_ ;_ * &quot;-&quot;??_ ;_ @_ "/>
    <numFmt numFmtId="164" formatCode="0.0"/>
    <numFmt numFmtId="165" formatCode="_-* #,##0.00\ [$CHF-100C]_-;\-* #,##0.00\ [$CHF-100C]_-;_-* &quot;-&quot;??\ [$CHF-100C]_-;_-@_-"/>
    <numFmt numFmtId="166" formatCode="0.000000"/>
    <numFmt numFmtId="167" formatCode="0.00000"/>
    <numFmt numFmtId="168" formatCode="0.0%"/>
    <numFmt numFmtId="169" formatCode="0.000"/>
    <numFmt numFmtId="170" formatCode="0.0E+00"/>
    <numFmt numFmtId="171" formatCode="0.0000E+00"/>
    <numFmt numFmtId="172" formatCode="0.0000"/>
    <numFmt numFmtId="173" formatCode="_ * #,##0_ ;_ * \-#,##0_ ;_ * &quot;-&quot;??_ ;_ @_ "/>
    <numFmt numFmtId="174" formatCode="0.000%"/>
    <numFmt numFmtId="175" formatCode="0.00000000000000%"/>
    <numFmt numFmtId="176" formatCode="0.000E+00"/>
    <numFmt numFmtId="177" formatCode="0.0000000"/>
  </numFmts>
  <fonts count="15" x14ac:knownFonts="1">
    <font>
      <sz val="12"/>
      <color theme="1"/>
      <name val="Calibri"/>
      <family val="2"/>
      <scheme val="minor"/>
    </font>
    <font>
      <sz val="12"/>
      <color theme="1"/>
      <name val="Calibri"/>
      <family val="2"/>
      <scheme val="minor"/>
    </font>
    <font>
      <sz val="12"/>
      <color rgb="FF9C5700"/>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
      <u/>
      <sz val="12"/>
      <color theme="10"/>
      <name val="Calibri"/>
      <family val="2"/>
      <scheme val="minor"/>
    </font>
    <font>
      <sz val="12"/>
      <name val="Calibri (Body)"/>
    </font>
    <font>
      <b/>
      <sz val="12"/>
      <name val="Calibri (Body)"/>
    </font>
    <font>
      <b/>
      <sz val="11"/>
      <name val="Calibri (Body)"/>
    </font>
    <font>
      <sz val="11"/>
      <name val="Calibri (Body)"/>
    </font>
    <font>
      <sz val="14"/>
      <name val="Calibri (Body)"/>
    </font>
    <font>
      <b/>
      <u/>
      <sz val="12"/>
      <color theme="1"/>
      <name val="Calibri"/>
      <family val="2"/>
      <scheme val="minor"/>
    </font>
    <font>
      <sz val="12"/>
      <color rgb="FF000000"/>
      <name val="Calibri"/>
      <family val="2"/>
      <scheme val="minor"/>
    </font>
    <font>
      <sz val="12"/>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0" fontId="2" fillId="2" borderId="0" applyNumberFormat="0" applyBorder="0" applyAlignment="0" applyProtection="0"/>
    <xf numFmtId="0" fontId="5" fillId="0" borderId="0"/>
    <xf numFmtId="0" fontId="5" fillId="0" borderId="0"/>
    <xf numFmtId="0" fontId="6" fillId="0" borderId="0" applyNumberFormat="0" applyFill="0" applyBorder="0" applyAlignment="0" applyProtection="0"/>
    <xf numFmtId="43" fontId="1" fillId="0" borderId="0" applyFont="0" applyFill="0" applyBorder="0" applyAlignment="0" applyProtection="0"/>
  </cellStyleXfs>
  <cellXfs count="76">
    <xf numFmtId="0" fontId="0" fillId="0" borderId="0" xfId="0"/>
    <xf numFmtId="9" fontId="0" fillId="0" borderId="0" xfId="0" applyNumberFormat="1"/>
    <xf numFmtId="0" fontId="3" fillId="0" borderId="0" xfId="0" applyFont="1"/>
    <xf numFmtId="0" fontId="4" fillId="0" borderId="0" xfId="0" applyFont="1"/>
    <xf numFmtId="9" fontId="0" fillId="0" borderId="0" xfId="1" applyFont="1"/>
    <xf numFmtId="11" fontId="0" fillId="0" borderId="0" xfId="0" applyNumberFormat="1"/>
    <xf numFmtId="0" fontId="0" fillId="0" borderId="1" xfId="0" applyBorder="1"/>
    <xf numFmtId="0" fontId="6" fillId="0" borderId="0" xfId="5"/>
    <xf numFmtId="167" fontId="0" fillId="0" borderId="0" xfId="0" applyNumberFormat="1"/>
    <xf numFmtId="168" fontId="0" fillId="0" borderId="0" xfId="1" applyNumberFormat="1" applyFont="1"/>
    <xf numFmtId="10" fontId="0" fillId="0" borderId="0" xfId="0" applyNumberFormat="1"/>
    <xf numFmtId="0" fontId="1" fillId="0" borderId="0" xfId="0" applyFont="1"/>
    <xf numFmtId="169" fontId="0" fillId="0" borderId="0" xfId="0" applyNumberFormat="1"/>
    <xf numFmtId="2" fontId="0" fillId="0" borderId="0" xfId="0" applyNumberFormat="1"/>
    <xf numFmtId="9" fontId="6" fillId="0" borderId="0" xfId="5" applyNumberFormat="1"/>
    <xf numFmtId="164" fontId="0" fillId="0" borderId="0" xfId="0" applyNumberFormat="1"/>
    <xf numFmtId="1" fontId="0" fillId="0" borderId="0" xfId="0" applyNumberFormat="1"/>
    <xf numFmtId="0" fontId="7" fillId="0" borderId="0" xfId="0" applyFont="1"/>
    <xf numFmtId="0" fontId="8" fillId="0" borderId="0" xfId="0" applyFont="1"/>
    <xf numFmtId="0" fontId="8" fillId="0" borderId="0" xfId="3" applyFont="1"/>
    <xf numFmtId="11" fontId="8" fillId="0" borderId="0" xfId="0" applyNumberFormat="1" applyFont="1"/>
    <xf numFmtId="0" fontId="7" fillId="0" borderId="0" xfId="4" applyFont="1"/>
    <xf numFmtId="0" fontId="7" fillId="0" borderId="0" xfId="3" applyFont="1"/>
    <xf numFmtId="11" fontId="7" fillId="0" borderId="0" xfId="3" applyNumberFormat="1" applyFont="1" applyAlignment="1">
      <alignment horizontal="left"/>
    </xf>
    <xf numFmtId="11" fontId="7" fillId="0" borderId="0" xfId="2" applyNumberFormat="1" applyFont="1" applyFill="1"/>
    <xf numFmtId="11" fontId="7" fillId="0" borderId="0" xfId="0" applyNumberFormat="1" applyFont="1"/>
    <xf numFmtId="0" fontId="7" fillId="0" borderId="1" xfId="4" applyFont="1" applyBorder="1"/>
    <xf numFmtId="0" fontId="7" fillId="0" borderId="0" xfId="2" applyFont="1" applyFill="1"/>
    <xf numFmtId="0" fontId="7" fillId="0" borderId="0" xfId="2" applyFont="1" applyFill="1" applyBorder="1"/>
    <xf numFmtId="0" fontId="7" fillId="0" borderId="0" xfId="0" applyFont="1" applyAlignment="1">
      <alignment horizontal="left" vertical="center"/>
    </xf>
    <xf numFmtId="11" fontId="7" fillId="0" borderId="0" xfId="4" applyNumberFormat="1" applyFont="1"/>
    <xf numFmtId="2" fontId="7" fillId="0" borderId="0" xfId="0" applyNumberFormat="1" applyFont="1"/>
    <xf numFmtId="0" fontId="7" fillId="0" borderId="0" xfId="0" applyFont="1" applyAlignment="1">
      <alignment wrapText="1"/>
    </xf>
    <xf numFmtId="169" fontId="7" fillId="0" borderId="0" xfId="0" applyNumberFormat="1" applyFont="1"/>
    <xf numFmtId="170" fontId="7" fillId="0" borderId="0" xfId="0" applyNumberFormat="1" applyFont="1"/>
    <xf numFmtId="9" fontId="7" fillId="0" borderId="0" xfId="0" applyNumberFormat="1" applyFont="1"/>
    <xf numFmtId="0" fontId="9" fillId="0" borderId="0" xfId="0" applyFont="1"/>
    <xf numFmtId="0" fontId="10" fillId="0" borderId="0" xfId="0" applyFont="1"/>
    <xf numFmtId="0" fontId="11" fillId="0" borderId="0" xfId="0" applyFont="1"/>
    <xf numFmtId="164" fontId="7" fillId="0" borderId="0" xfId="0" applyNumberFormat="1" applyFont="1"/>
    <xf numFmtId="9" fontId="7" fillId="0" borderId="0" xfId="1" applyFont="1" applyAlignment="1">
      <alignment horizontal="left"/>
    </xf>
    <xf numFmtId="172" fontId="7" fillId="0" borderId="0" xfId="0" applyNumberFormat="1" applyFont="1"/>
    <xf numFmtId="0" fontId="12" fillId="0" borderId="0" xfId="0" applyFont="1"/>
    <xf numFmtId="0" fontId="0" fillId="0" borderId="0" xfId="0" applyAlignment="1">
      <alignment horizontal="right"/>
    </xf>
    <xf numFmtId="0" fontId="3" fillId="0" borderId="0" xfId="0" applyFont="1" applyAlignment="1">
      <alignment horizontal="left"/>
    </xf>
    <xf numFmtId="0" fontId="0" fillId="0" borderId="0" xfId="0" applyAlignment="1">
      <alignment horizontal="left"/>
    </xf>
    <xf numFmtId="9" fontId="0" fillId="0" borderId="0" xfId="1" applyFont="1" applyAlignment="1">
      <alignment horizontal="left"/>
    </xf>
    <xf numFmtId="164" fontId="0" fillId="0" borderId="0" xfId="1" applyNumberFormat="1" applyFont="1" applyAlignment="1">
      <alignment horizontal="left"/>
    </xf>
    <xf numFmtId="165" fontId="0" fillId="0" borderId="0" xfId="1" applyNumberFormat="1" applyFont="1" applyAlignment="1">
      <alignment horizontal="left"/>
    </xf>
    <xf numFmtId="168" fontId="0" fillId="0" borderId="0" xfId="1" applyNumberFormat="1" applyFont="1" applyAlignment="1">
      <alignment horizontal="left"/>
    </xf>
    <xf numFmtId="2" fontId="0" fillId="0" borderId="0" xfId="1" applyNumberFormat="1" applyFont="1" applyAlignment="1">
      <alignment horizontal="left"/>
    </xf>
    <xf numFmtId="1" fontId="0" fillId="0" borderId="0" xfId="1" applyNumberFormat="1" applyFont="1" applyAlignment="1">
      <alignment horizontal="left"/>
    </xf>
    <xf numFmtId="11" fontId="0" fillId="0" borderId="0" xfId="0" applyNumberFormat="1" applyAlignment="1">
      <alignment horizontal="left"/>
    </xf>
    <xf numFmtId="167" fontId="0" fillId="0" borderId="0" xfId="0" applyNumberFormat="1" applyAlignment="1">
      <alignment horizontal="left"/>
    </xf>
    <xf numFmtId="166" fontId="0" fillId="0" borderId="0" xfId="0" applyNumberFormat="1" applyAlignment="1">
      <alignment horizontal="left"/>
    </xf>
    <xf numFmtId="169" fontId="0" fillId="0" borderId="0" xfId="0" applyNumberFormat="1" applyAlignment="1">
      <alignment horizontal="left"/>
    </xf>
    <xf numFmtId="171" fontId="0" fillId="0" borderId="0" xfId="0" applyNumberFormat="1" applyAlignment="1">
      <alignment horizontal="left"/>
    </xf>
    <xf numFmtId="0" fontId="0" fillId="0" borderId="0" xfId="0" applyAlignment="1">
      <alignment wrapText="1"/>
    </xf>
    <xf numFmtId="10" fontId="0" fillId="0" borderId="0" xfId="1" applyNumberFormat="1" applyFont="1"/>
    <xf numFmtId="173" fontId="0" fillId="0" borderId="0" xfId="6" applyNumberFormat="1" applyFont="1"/>
    <xf numFmtId="0" fontId="8" fillId="0" borderId="0" xfId="4" applyFont="1"/>
    <xf numFmtId="172" fontId="0" fillId="0" borderId="0" xfId="0" applyNumberFormat="1"/>
    <xf numFmtId="2" fontId="3" fillId="0" borderId="0" xfId="0" applyNumberFormat="1" applyFont="1"/>
    <xf numFmtId="2" fontId="7" fillId="0" borderId="0" xfId="3" applyNumberFormat="1" applyFont="1" applyAlignment="1">
      <alignment wrapText="1"/>
    </xf>
    <xf numFmtId="2" fontId="7" fillId="0" borderId="0" xfId="4" quotePrefix="1" applyNumberFormat="1" applyFont="1"/>
    <xf numFmtId="2" fontId="7" fillId="0" borderId="0" xfId="4" applyNumberFormat="1" applyFont="1"/>
    <xf numFmtId="10" fontId="0" fillId="0" borderId="0" xfId="1" applyNumberFormat="1" applyFont="1" applyAlignment="1">
      <alignment horizontal="left"/>
    </xf>
    <xf numFmtId="0" fontId="13" fillId="0" borderId="0" xfId="0" applyFont="1"/>
    <xf numFmtId="174" fontId="0" fillId="0" borderId="0" xfId="1" applyNumberFormat="1" applyFont="1"/>
    <xf numFmtId="174" fontId="0" fillId="0" borderId="0" xfId="1" applyNumberFormat="1" applyFont="1" applyAlignment="1">
      <alignment horizontal="left"/>
    </xf>
    <xf numFmtId="11" fontId="1" fillId="0" borderId="0" xfId="1" applyNumberFormat="1" applyFont="1" applyAlignment="1">
      <alignment horizontal="left"/>
    </xf>
    <xf numFmtId="0" fontId="14" fillId="0" borderId="0" xfId="0" applyFont="1"/>
    <xf numFmtId="2" fontId="7" fillId="0" borderId="0" xfId="3" applyNumberFormat="1" applyFont="1" applyAlignment="1">
      <alignment horizontal="left"/>
    </xf>
    <xf numFmtId="175" fontId="0" fillId="0" borderId="0" xfId="0" applyNumberFormat="1"/>
    <xf numFmtId="176" fontId="0" fillId="0" borderId="0" xfId="0" applyNumberFormat="1" applyAlignment="1">
      <alignment horizontal="left"/>
    </xf>
    <xf numFmtId="177" fontId="7" fillId="0" borderId="0" xfId="0" applyNumberFormat="1" applyFont="1"/>
  </cellXfs>
  <cellStyles count="7">
    <cellStyle name="Comma" xfId="6" builtinId="3"/>
    <cellStyle name="Hyperlink" xfId="5" builtinId="8"/>
    <cellStyle name="Neutral" xfId="2" builtinId="28"/>
    <cellStyle name="Normal" xfId="0" builtinId="0"/>
    <cellStyle name="Normal 11 3" xfId="3" xr:uid="{1D03DBF8-DEC8-8E46-A4EB-BBB077A1984F}"/>
    <cellStyle name="Normal 2" xfId="4" xr:uid="{E6B22870-460D-6642-8355-BBAA7D5060AA}"/>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3" Type="http://schemas.openxmlformats.org/officeDocument/2006/relationships/hyperlink" Target="https://energiforskning.dk/sites/energiforskning.dk/files/slutrapporter/12164_annex_1_p2g_biocat_lca_final_report.pdf" TargetMode="External"/><Relationship Id="rId2" Type="http://schemas.openxmlformats.org/officeDocument/2006/relationships/hyperlink" Target="https://energiforskning.dk/sites/energiforskning.dk/files/slutrapporter/12164_annex_1_p2g_biocat_lca_final_report.pdf" TargetMode="External"/><Relationship Id="rId1" Type="http://schemas.openxmlformats.org/officeDocument/2006/relationships/hyperlink" Target="https://energiforskning.dk/sites/energiforskning.dk/files/slutrapporter/12164_annex_1_p2g_biocat_lca_final_report.pdf"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i.org/10.1016/j.joule.2022.08.015" TargetMode="External"/><Relationship Id="rId3" Type="http://schemas.openxmlformats.org/officeDocument/2006/relationships/hyperlink" Target="http://dx.doi.org/10.1016/j.energy.2012.01.028" TargetMode="External"/><Relationship Id="rId7" Type="http://schemas.openxmlformats.org/officeDocument/2006/relationships/hyperlink" Target="https://onlinelibrary.wiley.com/doi/full/10.1002/fuce.201900234" TargetMode="External"/><Relationship Id="rId2" Type="http://schemas.openxmlformats.org/officeDocument/2006/relationships/hyperlink" Target="http://dx.doi.org/10.1016/j.energy.2012.01.028" TargetMode="External"/><Relationship Id="rId1" Type="http://schemas.openxmlformats.org/officeDocument/2006/relationships/hyperlink" Target="https://www.methanol.org/methanol-industrial-boilers/" TargetMode="External"/><Relationship Id="rId6" Type="http://schemas.openxmlformats.org/officeDocument/2006/relationships/hyperlink" Target="https://transitionaccelerator.ca/wp-content/uploads/2021/10/TA-Briefs-1.2-The-Techno-Economics-of-Hydrogen-Compression-FINALPDF.pdf" TargetMode="External"/><Relationship Id="rId5" Type="http://schemas.openxmlformats.org/officeDocument/2006/relationships/hyperlink" Target="https://www.sciencedirect.com/science/article/pii/S0360319922014768" TargetMode="External"/><Relationship Id="rId4" Type="http://schemas.openxmlformats.org/officeDocument/2006/relationships/hyperlink" Target="http://dx.doi.org/10.1016/j.energy.2012.01.0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9AF4-0D80-154A-8588-E04704CB5E13}">
  <dimension ref="A1:S338"/>
  <sheetViews>
    <sheetView workbookViewId="0">
      <pane ySplit="3" topLeftCell="A167" activePane="bottomLeft" state="frozen"/>
      <selection pane="bottomLeft" activeCell="G185" sqref="G185"/>
    </sheetView>
  </sheetViews>
  <sheetFormatPr baseColWidth="10" defaultRowHeight="16" x14ac:dyDescent="0.2"/>
  <cols>
    <col min="1" max="1" width="5.6640625" customWidth="1"/>
    <col min="3" max="3" width="5.1640625" bestFit="1" customWidth="1"/>
    <col min="4" max="4" width="15.83203125" bestFit="1" customWidth="1"/>
    <col min="5" max="5" width="37.1640625" bestFit="1" customWidth="1"/>
    <col min="6" max="6" width="12" bestFit="1" customWidth="1"/>
    <col min="7" max="7" width="50.6640625" customWidth="1"/>
    <col min="8" max="8" width="21.83203125" customWidth="1"/>
    <col min="9" max="9" width="17.1640625" bestFit="1" customWidth="1"/>
    <col min="11" max="11" width="9" bestFit="1" customWidth="1"/>
    <col min="12" max="12" width="12.5" bestFit="1" customWidth="1"/>
    <col min="13" max="13" width="32.5" bestFit="1" customWidth="1"/>
    <col min="14" max="14" width="12.83203125" bestFit="1" customWidth="1"/>
    <col min="15" max="15" width="32.33203125" customWidth="1"/>
    <col min="16" max="16" width="15.33203125" bestFit="1" customWidth="1"/>
    <col min="17" max="17" width="17" bestFit="1" customWidth="1"/>
    <col min="18" max="18" width="16.1640625" bestFit="1" customWidth="1"/>
  </cols>
  <sheetData>
    <row r="1" spans="1:19" x14ac:dyDescent="0.2">
      <c r="B1" t="s">
        <v>42</v>
      </c>
    </row>
    <row r="3" spans="1:19" x14ac:dyDescent="0.2">
      <c r="A3" t="s">
        <v>48</v>
      </c>
      <c r="B3" t="s">
        <v>0</v>
      </c>
      <c r="C3" t="s">
        <v>1</v>
      </c>
      <c r="D3" t="s">
        <v>2</v>
      </c>
      <c r="E3" t="s">
        <v>54</v>
      </c>
      <c r="F3" t="s">
        <v>55</v>
      </c>
      <c r="G3" t="s">
        <v>5</v>
      </c>
      <c r="H3" t="s">
        <v>3</v>
      </c>
      <c r="I3" t="s">
        <v>6</v>
      </c>
      <c r="J3" t="s">
        <v>39</v>
      </c>
      <c r="K3" t="s">
        <v>4</v>
      </c>
      <c r="L3" t="s">
        <v>38</v>
      </c>
      <c r="M3" t="s">
        <v>12</v>
      </c>
      <c r="N3" t="s">
        <v>34</v>
      </c>
      <c r="O3" t="s">
        <v>75</v>
      </c>
      <c r="P3" t="s">
        <v>14</v>
      </c>
      <c r="Q3" t="s">
        <v>26</v>
      </c>
      <c r="R3" t="s">
        <v>29</v>
      </c>
      <c r="S3" t="s">
        <v>137</v>
      </c>
    </row>
    <row r="4" spans="1:19" x14ac:dyDescent="0.2">
      <c r="A4">
        <v>1</v>
      </c>
      <c r="B4" t="s">
        <v>24</v>
      </c>
      <c r="C4">
        <v>2020</v>
      </c>
      <c r="D4" t="s">
        <v>25</v>
      </c>
      <c r="E4" t="s">
        <v>66</v>
      </c>
      <c r="F4" t="s">
        <v>65</v>
      </c>
      <c r="G4" t="s">
        <v>76</v>
      </c>
      <c r="H4" t="s">
        <v>70</v>
      </c>
      <c r="I4" t="s">
        <v>74</v>
      </c>
      <c r="K4" t="s">
        <v>68</v>
      </c>
      <c r="L4">
        <v>500</v>
      </c>
      <c r="M4" t="s">
        <v>13</v>
      </c>
      <c r="O4" t="s">
        <v>16</v>
      </c>
      <c r="P4" t="s">
        <v>233</v>
      </c>
      <c r="Q4" t="s">
        <v>234</v>
      </c>
    </row>
    <row r="5" spans="1:19" x14ac:dyDescent="0.2">
      <c r="A5">
        <v>2</v>
      </c>
      <c r="B5" t="s">
        <v>24</v>
      </c>
      <c r="C5">
        <v>2020</v>
      </c>
      <c r="D5" t="s">
        <v>25</v>
      </c>
      <c r="E5" t="s">
        <v>66</v>
      </c>
      <c r="F5" t="s">
        <v>65</v>
      </c>
      <c r="G5" t="s">
        <v>76</v>
      </c>
      <c r="H5" t="s">
        <v>70</v>
      </c>
      <c r="I5" t="s">
        <v>8</v>
      </c>
      <c r="J5" t="s">
        <v>139</v>
      </c>
      <c r="K5" t="s">
        <v>68</v>
      </c>
      <c r="L5">
        <v>500</v>
      </c>
      <c r="M5" t="s">
        <v>13</v>
      </c>
      <c r="O5" t="s">
        <v>16</v>
      </c>
      <c r="P5" t="s">
        <v>233</v>
      </c>
      <c r="Q5" t="s">
        <v>234</v>
      </c>
    </row>
    <row r="6" spans="1:19" x14ac:dyDescent="0.2">
      <c r="A6">
        <v>3</v>
      </c>
      <c r="B6" t="s">
        <v>24</v>
      </c>
      <c r="C6">
        <v>2020</v>
      </c>
      <c r="D6" t="s">
        <v>25</v>
      </c>
      <c r="E6" t="s">
        <v>66</v>
      </c>
      <c r="F6" t="s">
        <v>65</v>
      </c>
      <c r="G6" t="s">
        <v>76</v>
      </c>
      <c r="H6" t="s">
        <v>232</v>
      </c>
      <c r="I6" t="s">
        <v>71</v>
      </c>
      <c r="J6" t="s">
        <v>139</v>
      </c>
      <c r="K6" t="s">
        <v>68</v>
      </c>
      <c r="L6">
        <v>500</v>
      </c>
      <c r="M6" t="s">
        <v>13</v>
      </c>
      <c r="O6" t="s">
        <v>16</v>
      </c>
      <c r="P6" t="s">
        <v>233</v>
      </c>
      <c r="Q6" t="s">
        <v>234</v>
      </c>
    </row>
    <row r="7" spans="1:19" x14ac:dyDescent="0.2">
      <c r="A7">
        <v>4</v>
      </c>
      <c r="B7" t="s">
        <v>24</v>
      </c>
      <c r="C7">
        <v>2020</v>
      </c>
      <c r="D7" t="s">
        <v>25</v>
      </c>
      <c r="E7" t="s">
        <v>66</v>
      </c>
      <c r="F7" t="s">
        <v>65</v>
      </c>
      <c r="G7" t="s">
        <v>76</v>
      </c>
      <c r="H7" t="s">
        <v>232</v>
      </c>
      <c r="I7" t="s">
        <v>72</v>
      </c>
      <c r="J7" t="s">
        <v>139</v>
      </c>
      <c r="K7" t="s">
        <v>68</v>
      </c>
      <c r="L7">
        <v>500</v>
      </c>
      <c r="M7" t="s">
        <v>13</v>
      </c>
      <c r="O7" t="s">
        <v>16</v>
      </c>
      <c r="P7" t="s">
        <v>233</v>
      </c>
      <c r="Q7" t="s">
        <v>234</v>
      </c>
    </row>
    <row r="8" spans="1:19" x14ac:dyDescent="0.2">
      <c r="A8">
        <v>5</v>
      </c>
      <c r="B8" t="s">
        <v>24</v>
      </c>
      <c r="C8">
        <v>2020</v>
      </c>
      <c r="D8" t="s">
        <v>25</v>
      </c>
      <c r="E8" t="s">
        <v>66</v>
      </c>
      <c r="F8" t="s">
        <v>65</v>
      </c>
      <c r="G8" t="s">
        <v>76</v>
      </c>
      <c r="H8" t="s">
        <v>70</v>
      </c>
      <c r="I8" t="s">
        <v>74</v>
      </c>
      <c r="K8" t="s">
        <v>69</v>
      </c>
      <c r="L8">
        <v>200</v>
      </c>
      <c r="M8" t="s">
        <v>13</v>
      </c>
      <c r="O8" t="s">
        <v>16</v>
      </c>
      <c r="P8" t="s">
        <v>233</v>
      </c>
      <c r="Q8" t="s">
        <v>234</v>
      </c>
    </row>
    <row r="9" spans="1:19" x14ac:dyDescent="0.2">
      <c r="A9">
        <v>6</v>
      </c>
      <c r="B9" t="s">
        <v>24</v>
      </c>
      <c r="C9">
        <v>2020</v>
      </c>
      <c r="D9" t="s">
        <v>25</v>
      </c>
      <c r="E9" t="s">
        <v>66</v>
      </c>
      <c r="F9" t="s">
        <v>65</v>
      </c>
      <c r="G9" t="s">
        <v>76</v>
      </c>
      <c r="H9" t="s">
        <v>70</v>
      </c>
      <c r="I9" t="s">
        <v>8</v>
      </c>
      <c r="J9" t="s">
        <v>139</v>
      </c>
      <c r="K9" t="s">
        <v>69</v>
      </c>
      <c r="L9">
        <v>200</v>
      </c>
      <c r="M9" t="s">
        <v>13</v>
      </c>
      <c r="O9" t="s">
        <v>16</v>
      </c>
      <c r="P9" t="s">
        <v>233</v>
      </c>
      <c r="Q9" t="s">
        <v>234</v>
      </c>
    </row>
    <row r="10" spans="1:19" x14ac:dyDescent="0.2">
      <c r="A10">
        <v>7</v>
      </c>
      <c r="B10" t="s">
        <v>24</v>
      </c>
      <c r="C10">
        <v>2020</v>
      </c>
      <c r="D10" t="s">
        <v>25</v>
      </c>
      <c r="E10" t="s">
        <v>66</v>
      </c>
      <c r="F10" t="s">
        <v>65</v>
      </c>
      <c r="G10" t="s">
        <v>76</v>
      </c>
      <c r="H10" t="s">
        <v>232</v>
      </c>
      <c r="I10" t="s">
        <v>71</v>
      </c>
      <c r="J10" t="s">
        <v>139</v>
      </c>
      <c r="K10" t="s">
        <v>69</v>
      </c>
      <c r="L10">
        <v>200</v>
      </c>
      <c r="M10" t="s">
        <v>13</v>
      </c>
      <c r="O10" t="s">
        <v>16</v>
      </c>
      <c r="P10" t="s">
        <v>233</v>
      </c>
      <c r="Q10" t="s">
        <v>234</v>
      </c>
    </row>
    <row r="11" spans="1:19" x14ac:dyDescent="0.2">
      <c r="A11">
        <v>8</v>
      </c>
      <c r="B11" t="s">
        <v>24</v>
      </c>
      <c r="C11">
        <v>2020</v>
      </c>
      <c r="D11" t="s">
        <v>25</v>
      </c>
      <c r="E11" t="s">
        <v>66</v>
      </c>
      <c r="F11" t="s">
        <v>65</v>
      </c>
      <c r="G11" t="s">
        <v>76</v>
      </c>
      <c r="H11" t="s">
        <v>232</v>
      </c>
      <c r="I11" t="s">
        <v>72</v>
      </c>
      <c r="J11" t="s">
        <v>139</v>
      </c>
      <c r="K11" t="s">
        <v>69</v>
      </c>
      <c r="L11">
        <v>200</v>
      </c>
      <c r="M11" t="s">
        <v>13</v>
      </c>
      <c r="O11" t="s">
        <v>16</v>
      </c>
      <c r="P11" t="s">
        <v>233</v>
      </c>
      <c r="Q11" t="s">
        <v>234</v>
      </c>
    </row>
    <row r="12" spans="1:19" x14ac:dyDescent="0.2">
      <c r="A12">
        <v>9</v>
      </c>
      <c r="B12" t="s">
        <v>24</v>
      </c>
      <c r="C12">
        <v>2020</v>
      </c>
      <c r="D12" t="s">
        <v>25</v>
      </c>
      <c r="E12" t="s">
        <v>66</v>
      </c>
      <c r="F12" t="s">
        <v>65</v>
      </c>
      <c r="G12" t="s">
        <v>76</v>
      </c>
      <c r="H12" t="s">
        <v>70</v>
      </c>
      <c r="I12" t="s">
        <v>74</v>
      </c>
      <c r="K12" t="s">
        <v>68</v>
      </c>
      <c r="L12">
        <v>500</v>
      </c>
      <c r="M12" t="s">
        <v>13</v>
      </c>
      <c r="O12" t="s">
        <v>17</v>
      </c>
      <c r="P12" t="s">
        <v>233</v>
      </c>
      <c r="Q12" t="s">
        <v>234</v>
      </c>
    </row>
    <row r="13" spans="1:19" x14ac:dyDescent="0.2">
      <c r="A13">
        <v>10</v>
      </c>
      <c r="B13" t="s">
        <v>24</v>
      </c>
      <c r="C13">
        <v>2020</v>
      </c>
      <c r="D13" t="s">
        <v>25</v>
      </c>
      <c r="E13" t="s">
        <v>66</v>
      </c>
      <c r="F13" t="s">
        <v>65</v>
      </c>
      <c r="G13" t="s">
        <v>76</v>
      </c>
      <c r="H13" t="s">
        <v>70</v>
      </c>
      <c r="I13" t="s">
        <v>8</v>
      </c>
      <c r="J13" t="s">
        <v>139</v>
      </c>
      <c r="K13" t="s">
        <v>68</v>
      </c>
      <c r="L13">
        <v>500</v>
      </c>
      <c r="M13" t="s">
        <v>13</v>
      </c>
      <c r="O13" t="s">
        <v>17</v>
      </c>
      <c r="P13" t="s">
        <v>233</v>
      </c>
      <c r="Q13" t="s">
        <v>234</v>
      </c>
    </row>
    <row r="14" spans="1:19" x14ac:dyDescent="0.2">
      <c r="A14">
        <v>11</v>
      </c>
      <c r="B14" t="s">
        <v>24</v>
      </c>
      <c r="C14">
        <v>2020</v>
      </c>
      <c r="D14" t="s">
        <v>25</v>
      </c>
      <c r="E14" t="s">
        <v>66</v>
      </c>
      <c r="F14" t="s">
        <v>65</v>
      </c>
      <c r="G14" t="s">
        <v>76</v>
      </c>
      <c r="H14" t="s">
        <v>232</v>
      </c>
      <c r="I14" t="s">
        <v>71</v>
      </c>
      <c r="J14" t="s">
        <v>139</v>
      </c>
      <c r="K14" t="s">
        <v>68</v>
      </c>
      <c r="L14">
        <v>500</v>
      </c>
      <c r="M14" t="s">
        <v>13</v>
      </c>
      <c r="O14" t="s">
        <v>17</v>
      </c>
      <c r="P14" t="s">
        <v>233</v>
      </c>
      <c r="Q14" t="s">
        <v>234</v>
      </c>
    </row>
    <row r="15" spans="1:19" x14ac:dyDescent="0.2">
      <c r="A15">
        <v>12</v>
      </c>
      <c r="B15" t="s">
        <v>24</v>
      </c>
      <c r="C15">
        <v>2020</v>
      </c>
      <c r="D15" t="s">
        <v>25</v>
      </c>
      <c r="E15" t="s">
        <v>66</v>
      </c>
      <c r="F15" t="s">
        <v>65</v>
      </c>
      <c r="G15" t="s">
        <v>76</v>
      </c>
      <c r="H15" t="s">
        <v>232</v>
      </c>
      <c r="I15" t="s">
        <v>72</v>
      </c>
      <c r="J15" t="s">
        <v>139</v>
      </c>
      <c r="K15" t="s">
        <v>68</v>
      </c>
      <c r="L15">
        <v>500</v>
      </c>
      <c r="M15" t="s">
        <v>13</v>
      </c>
      <c r="O15" t="s">
        <v>17</v>
      </c>
      <c r="P15" t="s">
        <v>233</v>
      </c>
      <c r="Q15" t="s">
        <v>234</v>
      </c>
    </row>
    <row r="16" spans="1:19" x14ac:dyDescent="0.2">
      <c r="A16">
        <v>13</v>
      </c>
      <c r="B16" t="s">
        <v>24</v>
      </c>
      <c r="C16">
        <v>2020</v>
      </c>
      <c r="D16" t="s">
        <v>25</v>
      </c>
      <c r="E16" t="s">
        <v>66</v>
      </c>
      <c r="F16" t="s">
        <v>65</v>
      </c>
      <c r="G16" t="s">
        <v>76</v>
      </c>
      <c r="H16" t="s">
        <v>70</v>
      </c>
      <c r="I16" t="s">
        <v>74</v>
      </c>
      <c r="K16" t="s">
        <v>69</v>
      </c>
      <c r="L16">
        <v>200</v>
      </c>
      <c r="M16" t="s">
        <v>13</v>
      </c>
      <c r="O16" t="s">
        <v>17</v>
      </c>
      <c r="P16" t="s">
        <v>233</v>
      </c>
      <c r="Q16" t="s">
        <v>234</v>
      </c>
    </row>
    <row r="17" spans="1:17" x14ac:dyDescent="0.2">
      <c r="A17">
        <v>14</v>
      </c>
      <c r="B17" t="s">
        <v>24</v>
      </c>
      <c r="C17">
        <v>2020</v>
      </c>
      <c r="D17" t="s">
        <v>25</v>
      </c>
      <c r="E17" t="s">
        <v>66</v>
      </c>
      <c r="F17" t="s">
        <v>65</v>
      </c>
      <c r="G17" t="s">
        <v>76</v>
      </c>
      <c r="H17" t="s">
        <v>70</v>
      </c>
      <c r="I17" t="s">
        <v>8</v>
      </c>
      <c r="J17" t="s">
        <v>139</v>
      </c>
      <c r="K17" t="s">
        <v>69</v>
      </c>
      <c r="L17">
        <v>200</v>
      </c>
      <c r="M17" t="s">
        <v>13</v>
      </c>
      <c r="O17" t="s">
        <v>17</v>
      </c>
      <c r="P17" t="s">
        <v>233</v>
      </c>
      <c r="Q17" t="s">
        <v>234</v>
      </c>
    </row>
    <row r="18" spans="1:17" x14ac:dyDescent="0.2">
      <c r="A18">
        <v>15</v>
      </c>
      <c r="B18" t="s">
        <v>24</v>
      </c>
      <c r="C18">
        <v>2020</v>
      </c>
      <c r="D18" t="s">
        <v>25</v>
      </c>
      <c r="E18" t="s">
        <v>66</v>
      </c>
      <c r="F18" t="s">
        <v>65</v>
      </c>
      <c r="G18" t="s">
        <v>76</v>
      </c>
      <c r="H18" t="s">
        <v>232</v>
      </c>
      <c r="I18" t="s">
        <v>71</v>
      </c>
      <c r="J18" t="s">
        <v>139</v>
      </c>
      <c r="K18" t="s">
        <v>69</v>
      </c>
      <c r="L18">
        <v>200</v>
      </c>
      <c r="M18" t="s">
        <v>13</v>
      </c>
      <c r="O18" t="s">
        <v>17</v>
      </c>
      <c r="P18" t="s">
        <v>233</v>
      </c>
      <c r="Q18" t="s">
        <v>234</v>
      </c>
    </row>
    <row r="19" spans="1:17" x14ac:dyDescent="0.2">
      <c r="A19">
        <v>16</v>
      </c>
      <c r="B19" t="s">
        <v>24</v>
      </c>
      <c r="C19">
        <v>2020</v>
      </c>
      <c r="D19" t="s">
        <v>25</v>
      </c>
      <c r="E19" t="s">
        <v>66</v>
      </c>
      <c r="F19" t="s">
        <v>65</v>
      </c>
      <c r="G19" t="s">
        <v>76</v>
      </c>
      <c r="H19" t="s">
        <v>232</v>
      </c>
      <c r="I19" t="s">
        <v>72</v>
      </c>
      <c r="J19" t="s">
        <v>139</v>
      </c>
      <c r="K19" t="s">
        <v>69</v>
      </c>
      <c r="L19">
        <v>200</v>
      </c>
      <c r="M19" t="s">
        <v>13</v>
      </c>
      <c r="O19" t="s">
        <v>17</v>
      </c>
      <c r="P19" t="s">
        <v>233</v>
      </c>
      <c r="Q19" t="s">
        <v>234</v>
      </c>
    </row>
    <row r="20" spans="1:17" x14ac:dyDescent="0.2">
      <c r="A20">
        <v>17</v>
      </c>
      <c r="B20" t="s">
        <v>24</v>
      </c>
      <c r="C20">
        <v>2020</v>
      </c>
      <c r="D20" t="s">
        <v>25</v>
      </c>
      <c r="E20" t="s">
        <v>66</v>
      </c>
      <c r="F20" t="s">
        <v>65</v>
      </c>
      <c r="G20" t="s">
        <v>76</v>
      </c>
      <c r="H20" t="s">
        <v>70</v>
      </c>
      <c r="I20" t="s">
        <v>74</v>
      </c>
      <c r="K20" t="s">
        <v>68</v>
      </c>
      <c r="L20">
        <v>500</v>
      </c>
      <c r="M20" t="s">
        <v>13</v>
      </c>
      <c r="O20" t="s">
        <v>18</v>
      </c>
      <c r="P20" t="s">
        <v>233</v>
      </c>
      <c r="Q20" t="s">
        <v>234</v>
      </c>
    </row>
    <row r="21" spans="1:17" x14ac:dyDescent="0.2">
      <c r="A21">
        <v>18</v>
      </c>
      <c r="B21" t="s">
        <v>24</v>
      </c>
      <c r="C21">
        <v>2020</v>
      </c>
      <c r="D21" t="s">
        <v>25</v>
      </c>
      <c r="E21" t="s">
        <v>66</v>
      </c>
      <c r="F21" t="s">
        <v>65</v>
      </c>
      <c r="G21" t="s">
        <v>76</v>
      </c>
      <c r="H21" t="s">
        <v>70</v>
      </c>
      <c r="I21" t="s">
        <v>8</v>
      </c>
      <c r="J21" t="s">
        <v>139</v>
      </c>
      <c r="K21" t="s">
        <v>68</v>
      </c>
      <c r="L21">
        <v>500</v>
      </c>
      <c r="M21" t="s">
        <v>13</v>
      </c>
      <c r="O21" t="s">
        <v>18</v>
      </c>
      <c r="P21" t="s">
        <v>233</v>
      </c>
      <c r="Q21" t="s">
        <v>234</v>
      </c>
    </row>
    <row r="22" spans="1:17" x14ac:dyDescent="0.2">
      <c r="A22">
        <v>19</v>
      </c>
      <c r="B22" t="s">
        <v>24</v>
      </c>
      <c r="C22">
        <v>2020</v>
      </c>
      <c r="D22" t="s">
        <v>25</v>
      </c>
      <c r="E22" t="s">
        <v>66</v>
      </c>
      <c r="F22" t="s">
        <v>65</v>
      </c>
      <c r="G22" t="s">
        <v>76</v>
      </c>
      <c r="H22" t="s">
        <v>232</v>
      </c>
      <c r="I22" t="s">
        <v>71</v>
      </c>
      <c r="J22" t="s">
        <v>139</v>
      </c>
      <c r="K22" t="s">
        <v>68</v>
      </c>
      <c r="L22">
        <v>500</v>
      </c>
      <c r="M22" t="s">
        <v>13</v>
      </c>
      <c r="O22" t="s">
        <v>18</v>
      </c>
      <c r="P22" t="s">
        <v>233</v>
      </c>
      <c r="Q22" t="s">
        <v>234</v>
      </c>
    </row>
    <row r="23" spans="1:17" x14ac:dyDescent="0.2">
      <c r="A23">
        <v>20</v>
      </c>
      <c r="B23" t="s">
        <v>24</v>
      </c>
      <c r="C23">
        <v>2020</v>
      </c>
      <c r="D23" t="s">
        <v>25</v>
      </c>
      <c r="E23" t="s">
        <v>66</v>
      </c>
      <c r="F23" t="s">
        <v>65</v>
      </c>
      <c r="G23" t="s">
        <v>76</v>
      </c>
      <c r="H23" t="s">
        <v>232</v>
      </c>
      <c r="I23" t="s">
        <v>72</v>
      </c>
      <c r="J23" t="s">
        <v>139</v>
      </c>
      <c r="K23" t="s">
        <v>68</v>
      </c>
      <c r="L23">
        <v>500</v>
      </c>
      <c r="M23" t="s">
        <v>13</v>
      </c>
      <c r="O23" t="s">
        <v>18</v>
      </c>
      <c r="P23" t="s">
        <v>233</v>
      </c>
      <c r="Q23" t="s">
        <v>234</v>
      </c>
    </row>
    <row r="24" spans="1:17" x14ac:dyDescent="0.2">
      <c r="A24">
        <v>21</v>
      </c>
      <c r="B24" t="s">
        <v>24</v>
      </c>
      <c r="C24">
        <v>2020</v>
      </c>
      <c r="D24" t="s">
        <v>25</v>
      </c>
      <c r="E24" t="s">
        <v>66</v>
      </c>
      <c r="F24" t="s">
        <v>65</v>
      </c>
      <c r="G24" t="s">
        <v>76</v>
      </c>
      <c r="H24" t="s">
        <v>70</v>
      </c>
      <c r="I24" t="s">
        <v>74</v>
      </c>
      <c r="K24" t="s">
        <v>69</v>
      </c>
      <c r="L24">
        <v>200</v>
      </c>
      <c r="M24" t="s">
        <v>13</v>
      </c>
      <c r="O24" t="s">
        <v>18</v>
      </c>
      <c r="P24" t="s">
        <v>233</v>
      </c>
      <c r="Q24" t="s">
        <v>234</v>
      </c>
    </row>
    <row r="25" spans="1:17" x14ac:dyDescent="0.2">
      <c r="A25">
        <v>22</v>
      </c>
      <c r="B25" t="s">
        <v>24</v>
      </c>
      <c r="C25">
        <v>2020</v>
      </c>
      <c r="D25" t="s">
        <v>25</v>
      </c>
      <c r="E25" t="s">
        <v>66</v>
      </c>
      <c r="F25" t="s">
        <v>65</v>
      </c>
      <c r="G25" t="s">
        <v>76</v>
      </c>
      <c r="H25" t="s">
        <v>70</v>
      </c>
      <c r="I25" t="s">
        <v>8</v>
      </c>
      <c r="J25" t="s">
        <v>139</v>
      </c>
      <c r="K25" t="s">
        <v>69</v>
      </c>
      <c r="L25">
        <v>200</v>
      </c>
      <c r="M25" t="s">
        <v>13</v>
      </c>
      <c r="O25" t="s">
        <v>18</v>
      </c>
      <c r="P25" t="s">
        <v>233</v>
      </c>
      <c r="Q25" t="s">
        <v>234</v>
      </c>
    </row>
    <row r="26" spans="1:17" x14ac:dyDescent="0.2">
      <c r="A26">
        <v>23</v>
      </c>
      <c r="B26" t="s">
        <v>24</v>
      </c>
      <c r="C26">
        <v>2020</v>
      </c>
      <c r="D26" t="s">
        <v>25</v>
      </c>
      <c r="E26" t="s">
        <v>66</v>
      </c>
      <c r="F26" t="s">
        <v>65</v>
      </c>
      <c r="G26" t="s">
        <v>76</v>
      </c>
      <c r="H26" t="s">
        <v>232</v>
      </c>
      <c r="I26" t="s">
        <v>71</v>
      </c>
      <c r="J26" t="s">
        <v>139</v>
      </c>
      <c r="K26" t="s">
        <v>69</v>
      </c>
      <c r="L26">
        <v>200</v>
      </c>
      <c r="M26" t="s">
        <v>13</v>
      </c>
      <c r="O26" t="s">
        <v>18</v>
      </c>
      <c r="P26" t="s">
        <v>233</v>
      </c>
      <c r="Q26" t="s">
        <v>234</v>
      </c>
    </row>
    <row r="27" spans="1:17" x14ac:dyDescent="0.2">
      <c r="A27">
        <v>24</v>
      </c>
      <c r="B27" t="s">
        <v>24</v>
      </c>
      <c r="C27">
        <v>2020</v>
      </c>
      <c r="D27" t="s">
        <v>25</v>
      </c>
      <c r="E27" t="s">
        <v>66</v>
      </c>
      <c r="F27" t="s">
        <v>65</v>
      </c>
      <c r="G27" t="s">
        <v>76</v>
      </c>
      <c r="H27" t="s">
        <v>232</v>
      </c>
      <c r="I27" t="s">
        <v>72</v>
      </c>
      <c r="J27" t="s">
        <v>139</v>
      </c>
      <c r="K27" t="s">
        <v>69</v>
      </c>
      <c r="L27">
        <v>200</v>
      </c>
      <c r="M27" t="s">
        <v>13</v>
      </c>
      <c r="O27" t="s">
        <v>18</v>
      </c>
      <c r="P27" t="s">
        <v>233</v>
      </c>
      <c r="Q27" t="s">
        <v>234</v>
      </c>
    </row>
    <row r="28" spans="1:17" x14ac:dyDescent="0.2">
      <c r="A28">
        <v>25</v>
      </c>
      <c r="B28" t="s">
        <v>24</v>
      </c>
      <c r="C28">
        <v>2020</v>
      </c>
      <c r="D28" t="s">
        <v>25</v>
      </c>
      <c r="E28" t="s">
        <v>66</v>
      </c>
      <c r="F28" t="s">
        <v>65</v>
      </c>
      <c r="G28" t="s">
        <v>76</v>
      </c>
      <c r="H28" t="s">
        <v>70</v>
      </c>
      <c r="I28" t="s">
        <v>74</v>
      </c>
      <c r="K28" t="s">
        <v>68</v>
      </c>
      <c r="L28">
        <v>500</v>
      </c>
      <c r="M28" t="s">
        <v>13</v>
      </c>
      <c r="O28" t="s">
        <v>16</v>
      </c>
      <c r="P28" t="s">
        <v>233</v>
      </c>
      <c r="Q28" t="s">
        <v>27</v>
      </c>
    </row>
    <row r="29" spans="1:17" x14ac:dyDescent="0.2">
      <c r="A29">
        <v>26</v>
      </c>
      <c r="B29" t="s">
        <v>24</v>
      </c>
      <c r="C29">
        <v>2020</v>
      </c>
      <c r="D29" t="s">
        <v>25</v>
      </c>
      <c r="E29" t="s">
        <v>66</v>
      </c>
      <c r="F29" t="s">
        <v>65</v>
      </c>
      <c r="G29" t="s">
        <v>76</v>
      </c>
      <c r="H29" t="s">
        <v>70</v>
      </c>
      <c r="I29" t="s">
        <v>8</v>
      </c>
      <c r="J29" t="s">
        <v>139</v>
      </c>
      <c r="K29" t="s">
        <v>68</v>
      </c>
      <c r="L29">
        <v>500</v>
      </c>
      <c r="M29" t="s">
        <v>13</v>
      </c>
      <c r="O29" t="s">
        <v>16</v>
      </c>
      <c r="P29" t="s">
        <v>233</v>
      </c>
      <c r="Q29" t="s">
        <v>27</v>
      </c>
    </row>
    <row r="30" spans="1:17" x14ac:dyDescent="0.2">
      <c r="A30">
        <v>27</v>
      </c>
      <c r="B30" t="s">
        <v>24</v>
      </c>
      <c r="C30">
        <v>2020</v>
      </c>
      <c r="D30" t="s">
        <v>25</v>
      </c>
      <c r="E30" t="s">
        <v>66</v>
      </c>
      <c r="F30" t="s">
        <v>65</v>
      </c>
      <c r="G30" t="s">
        <v>76</v>
      </c>
      <c r="H30" t="s">
        <v>232</v>
      </c>
      <c r="I30" t="s">
        <v>71</v>
      </c>
      <c r="J30" t="s">
        <v>139</v>
      </c>
      <c r="K30" t="s">
        <v>68</v>
      </c>
      <c r="L30">
        <v>500</v>
      </c>
      <c r="M30" t="s">
        <v>13</v>
      </c>
      <c r="O30" t="s">
        <v>16</v>
      </c>
      <c r="P30" t="s">
        <v>233</v>
      </c>
      <c r="Q30" t="s">
        <v>27</v>
      </c>
    </row>
    <row r="31" spans="1:17" x14ac:dyDescent="0.2">
      <c r="A31">
        <v>28</v>
      </c>
      <c r="B31" t="s">
        <v>24</v>
      </c>
      <c r="C31">
        <v>2020</v>
      </c>
      <c r="D31" t="s">
        <v>25</v>
      </c>
      <c r="E31" t="s">
        <v>66</v>
      </c>
      <c r="F31" t="s">
        <v>65</v>
      </c>
      <c r="G31" t="s">
        <v>76</v>
      </c>
      <c r="H31" t="s">
        <v>232</v>
      </c>
      <c r="I31" t="s">
        <v>72</v>
      </c>
      <c r="J31" t="s">
        <v>139</v>
      </c>
      <c r="K31" t="s">
        <v>68</v>
      </c>
      <c r="L31">
        <v>500</v>
      </c>
      <c r="M31" t="s">
        <v>13</v>
      </c>
      <c r="O31" t="s">
        <v>16</v>
      </c>
      <c r="P31" t="s">
        <v>233</v>
      </c>
      <c r="Q31" t="s">
        <v>27</v>
      </c>
    </row>
    <row r="32" spans="1:17" x14ac:dyDescent="0.2">
      <c r="A32">
        <v>29</v>
      </c>
      <c r="B32" t="s">
        <v>24</v>
      </c>
      <c r="C32">
        <v>2020</v>
      </c>
      <c r="D32" t="s">
        <v>25</v>
      </c>
      <c r="E32" t="s">
        <v>66</v>
      </c>
      <c r="F32" t="s">
        <v>65</v>
      </c>
      <c r="G32" t="s">
        <v>76</v>
      </c>
      <c r="H32" t="s">
        <v>70</v>
      </c>
      <c r="I32" t="s">
        <v>74</v>
      </c>
      <c r="K32" t="s">
        <v>69</v>
      </c>
      <c r="L32">
        <v>200</v>
      </c>
      <c r="M32" t="s">
        <v>13</v>
      </c>
      <c r="O32" t="s">
        <v>16</v>
      </c>
      <c r="P32" t="s">
        <v>233</v>
      </c>
      <c r="Q32" t="s">
        <v>27</v>
      </c>
    </row>
    <row r="33" spans="1:17" x14ac:dyDescent="0.2">
      <c r="A33">
        <v>30</v>
      </c>
      <c r="B33" t="s">
        <v>24</v>
      </c>
      <c r="C33">
        <v>2020</v>
      </c>
      <c r="D33" t="s">
        <v>25</v>
      </c>
      <c r="E33" t="s">
        <v>66</v>
      </c>
      <c r="F33" t="s">
        <v>65</v>
      </c>
      <c r="G33" t="s">
        <v>76</v>
      </c>
      <c r="H33" t="s">
        <v>70</v>
      </c>
      <c r="I33" t="s">
        <v>8</v>
      </c>
      <c r="J33" t="s">
        <v>139</v>
      </c>
      <c r="K33" t="s">
        <v>69</v>
      </c>
      <c r="L33">
        <v>200</v>
      </c>
      <c r="M33" t="s">
        <v>13</v>
      </c>
      <c r="O33" t="s">
        <v>16</v>
      </c>
      <c r="P33" t="s">
        <v>233</v>
      </c>
      <c r="Q33" t="s">
        <v>27</v>
      </c>
    </row>
    <row r="34" spans="1:17" x14ac:dyDescent="0.2">
      <c r="A34">
        <v>31</v>
      </c>
      <c r="B34" t="s">
        <v>24</v>
      </c>
      <c r="C34">
        <v>2020</v>
      </c>
      <c r="D34" t="s">
        <v>25</v>
      </c>
      <c r="E34" t="s">
        <v>66</v>
      </c>
      <c r="F34" t="s">
        <v>65</v>
      </c>
      <c r="G34" t="s">
        <v>76</v>
      </c>
      <c r="H34" t="s">
        <v>232</v>
      </c>
      <c r="I34" t="s">
        <v>71</v>
      </c>
      <c r="J34" t="s">
        <v>139</v>
      </c>
      <c r="K34" t="s">
        <v>69</v>
      </c>
      <c r="L34">
        <v>200</v>
      </c>
      <c r="M34" t="s">
        <v>13</v>
      </c>
      <c r="O34" t="s">
        <v>16</v>
      </c>
      <c r="P34" t="s">
        <v>233</v>
      </c>
      <c r="Q34" t="s">
        <v>27</v>
      </c>
    </row>
    <row r="35" spans="1:17" x14ac:dyDescent="0.2">
      <c r="A35">
        <v>32</v>
      </c>
      <c r="B35" t="s">
        <v>24</v>
      </c>
      <c r="C35">
        <v>2020</v>
      </c>
      <c r="D35" t="s">
        <v>25</v>
      </c>
      <c r="E35" t="s">
        <v>66</v>
      </c>
      <c r="F35" t="s">
        <v>65</v>
      </c>
      <c r="G35" t="s">
        <v>76</v>
      </c>
      <c r="H35" t="s">
        <v>232</v>
      </c>
      <c r="I35" t="s">
        <v>72</v>
      </c>
      <c r="J35" t="s">
        <v>139</v>
      </c>
      <c r="K35" t="s">
        <v>69</v>
      </c>
      <c r="L35">
        <v>200</v>
      </c>
      <c r="M35" t="s">
        <v>13</v>
      </c>
      <c r="O35" t="s">
        <v>16</v>
      </c>
      <c r="P35" t="s">
        <v>233</v>
      </c>
      <c r="Q35" t="s">
        <v>27</v>
      </c>
    </row>
    <row r="36" spans="1:17" x14ac:dyDescent="0.2">
      <c r="A36">
        <v>33</v>
      </c>
      <c r="B36" t="s">
        <v>24</v>
      </c>
      <c r="C36">
        <v>2020</v>
      </c>
      <c r="D36" t="s">
        <v>25</v>
      </c>
      <c r="E36" t="s">
        <v>66</v>
      </c>
      <c r="F36" t="s">
        <v>65</v>
      </c>
      <c r="G36" t="s">
        <v>76</v>
      </c>
      <c r="H36" t="s">
        <v>70</v>
      </c>
      <c r="I36" t="s">
        <v>74</v>
      </c>
      <c r="K36" t="s">
        <v>68</v>
      </c>
      <c r="L36">
        <v>500</v>
      </c>
      <c r="M36" t="s">
        <v>13</v>
      </c>
      <c r="O36" t="s">
        <v>17</v>
      </c>
      <c r="P36" t="s">
        <v>233</v>
      </c>
      <c r="Q36" t="s">
        <v>27</v>
      </c>
    </row>
    <row r="37" spans="1:17" x14ac:dyDescent="0.2">
      <c r="A37">
        <v>34</v>
      </c>
      <c r="B37" t="s">
        <v>24</v>
      </c>
      <c r="C37">
        <v>2020</v>
      </c>
      <c r="D37" t="s">
        <v>25</v>
      </c>
      <c r="E37" t="s">
        <v>66</v>
      </c>
      <c r="F37" t="s">
        <v>65</v>
      </c>
      <c r="G37" t="s">
        <v>76</v>
      </c>
      <c r="H37" t="s">
        <v>70</v>
      </c>
      <c r="I37" t="s">
        <v>8</v>
      </c>
      <c r="J37" t="s">
        <v>139</v>
      </c>
      <c r="K37" t="s">
        <v>68</v>
      </c>
      <c r="L37">
        <v>500</v>
      </c>
      <c r="M37" t="s">
        <v>13</v>
      </c>
      <c r="O37" t="s">
        <v>17</v>
      </c>
      <c r="P37" t="s">
        <v>233</v>
      </c>
      <c r="Q37" t="s">
        <v>27</v>
      </c>
    </row>
    <row r="38" spans="1:17" x14ac:dyDescent="0.2">
      <c r="A38">
        <v>35</v>
      </c>
      <c r="B38" t="s">
        <v>24</v>
      </c>
      <c r="C38">
        <v>2020</v>
      </c>
      <c r="D38" t="s">
        <v>25</v>
      </c>
      <c r="E38" t="s">
        <v>66</v>
      </c>
      <c r="F38" t="s">
        <v>65</v>
      </c>
      <c r="G38" t="s">
        <v>76</v>
      </c>
      <c r="H38" t="s">
        <v>232</v>
      </c>
      <c r="I38" t="s">
        <v>71</v>
      </c>
      <c r="J38" t="s">
        <v>139</v>
      </c>
      <c r="K38" t="s">
        <v>68</v>
      </c>
      <c r="L38">
        <v>500</v>
      </c>
      <c r="M38" t="s">
        <v>13</v>
      </c>
      <c r="O38" t="s">
        <v>17</v>
      </c>
      <c r="P38" t="s">
        <v>233</v>
      </c>
      <c r="Q38" t="s">
        <v>27</v>
      </c>
    </row>
    <row r="39" spans="1:17" x14ac:dyDescent="0.2">
      <c r="A39">
        <v>36</v>
      </c>
      <c r="B39" t="s">
        <v>24</v>
      </c>
      <c r="C39">
        <v>2020</v>
      </c>
      <c r="D39" t="s">
        <v>25</v>
      </c>
      <c r="E39" t="s">
        <v>66</v>
      </c>
      <c r="F39" t="s">
        <v>65</v>
      </c>
      <c r="G39" t="s">
        <v>76</v>
      </c>
      <c r="H39" t="s">
        <v>232</v>
      </c>
      <c r="I39" t="s">
        <v>72</v>
      </c>
      <c r="J39" t="s">
        <v>139</v>
      </c>
      <c r="K39" t="s">
        <v>68</v>
      </c>
      <c r="L39">
        <v>500</v>
      </c>
      <c r="M39" t="s">
        <v>13</v>
      </c>
      <c r="O39" t="s">
        <v>17</v>
      </c>
      <c r="P39" t="s">
        <v>233</v>
      </c>
      <c r="Q39" t="s">
        <v>27</v>
      </c>
    </row>
    <row r="40" spans="1:17" x14ac:dyDescent="0.2">
      <c r="A40">
        <v>37</v>
      </c>
      <c r="B40" t="s">
        <v>24</v>
      </c>
      <c r="C40">
        <v>2020</v>
      </c>
      <c r="D40" t="s">
        <v>25</v>
      </c>
      <c r="E40" t="s">
        <v>66</v>
      </c>
      <c r="F40" t="s">
        <v>65</v>
      </c>
      <c r="G40" t="s">
        <v>76</v>
      </c>
      <c r="H40" t="s">
        <v>70</v>
      </c>
      <c r="I40" t="s">
        <v>74</v>
      </c>
      <c r="K40" t="s">
        <v>69</v>
      </c>
      <c r="L40">
        <v>200</v>
      </c>
      <c r="M40" t="s">
        <v>13</v>
      </c>
      <c r="O40" t="s">
        <v>17</v>
      </c>
      <c r="P40" t="s">
        <v>233</v>
      </c>
      <c r="Q40" t="s">
        <v>27</v>
      </c>
    </row>
    <row r="41" spans="1:17" x14ac:dyDescent="0.2">
      <c r="A41">
        <v>38</v>
      </c>
      <c r="B41" t="s">
        <v>24</v>
      </c>
      <c r="C41">
        <v>2020</v>
      </c>
      <c r="D41" t="s">
        <v>25</v>
      </c>
      <c r="E41" t="s">
        <v>66</v>
      </c>
      <c r="F41" t="s">
        <v>65</v>
      </c>
      <c r="G41" t="s">
        <v>76</v>
      </c>
      <c r="H41" t="s">
        <v>70</v>
      </c>
      <c r="I41" t="s">
        <v>8</v>
      </c>
      <c r="J41" t="s">
        <v>139</v>
      </c>
      <c r="K41" t="s">
        <v>69</v>
      </c>
      <c r="L41">
        <v>200</v>
      </c>
      <c r="M41" t="s">
        <v>13</v>
      </c>
      <c r="O41" t="s">
        <v>17</v>
      </c>
      <c r="P41" t="s">
        <v>233</v>
      </c>
      <c r="Q41" t="s">
        <v>27</v>
      </c>
    </row>
    <row r="42" spans="1:17" x14ac:dyDescent="0.2">
      <c r="A42">
        <v>39</v>
      </c>
      <c r="B42" t="s">
        <v>24</v>
      </c>
      <c r="C42">
        <v>2020</v>
      </c>
      <c r="D42" t="s">
        <v>25</v>
      </c>
      <c r="E42" t="s">
        <v>66</v>
      </c>
      <c r="F42" t="s">
        <v>65</v>
      </c>
      <c r="G42" t="s">
        <v>76</v>
      </c>
      <c r="H42" t="s">
        <v>232</v>
      </c>
      <c r="I42" t="s">
        <v>71</v>
      </c>
      <c r="J42" t="s">
        <v>139</v>
      </c>
      <c r="K42" t="s">
        <v>69</v>
      </c>
      <c r="L42">
        <v>200</v>
      </c>
      <c r="M42" t="s">
        <v>13</v>
      </c>
      <c r="O42" t="s">
        <v>17</v>
      </c>
      <c r="P42" t="s">
        <v>233</v>
      </c>
      <c r="Q42" t="s">
        <v>27</v>
      </c>
    </row>
    <row r="43" spans="1:17" x14ac:dyDescent="0.2">
      <c r="A43">
        <v>40</v>
      </c>
      <c r="B43" t="s">
        <v>24</v>
      </c>
      <c r="C43">
        <v>2020</v>
      </c>
      <c r="D43" t="s">
        <v>25</v>
      </c>
      <c r="E43" t="s">
        <v>66</v>
      </c>
      <c r="F43" t="s">
        <v>65</v>
      </c>
      <c r="G43" t="s">
        <v>76</v>
      </c>
      <c r="H43" t="s">
        <v>232</v>
      </c>
      <c r="I43" t="s">
        <v>72</v>
      </c>
      <c r="J43" t="s">
        <v>139</v>
      </c>
      <c r="K43" t="s">
        <v>69</v>
      </c>
      <c r="L43">
        <v>200</v>
      </c>
      <c r="M43" t="s">
        <v>13</v>
      </c>
      <c r="O43" t="s">
        <v>17</v>
      </c>
      <c r="P43" t="s">
        <v>233</v>
      </c>
      <c r="Q43" t="s">
        <v>27</v>
      </c>
    </row>
    <row r="44" spans="1:17" x14ac:dyDescent="0.2">
      <c r="A44">
        <v>41</v>
      </c>
      <c r="B44" t="s">
        <v>24</v>
      </c>
      <c r="C44">
        <v>2020</v>
      </c>
      <c r="D44" t="s">
        <v>25</v>
      </c>
      <c r="E44" t="s">
        <v>66</v>
      </c>
      <c r="F44" t="s">
        <v>65</v>
      </c>
      <c r="G44" t="s">
        <v>76</v>
      </c>
      <c r="H44" t="s">
        <v>70</v>
      </c>
      <c r="I44" t="s">
        <v>74</v>
      </c>
      <c r="K44" t="s">
        <v>68</v>
      </c>
      <c r="L44">
        <v>500</v>
      </c>
      <c r="M44" t="s">
        <v>13</v>
      </c>
      <c r="O44" t="s">
        <v>18</v>
      </c>
      <c r="P44" t="s">
        <v>233</v>
      </c>
      <c r="Q44" t="s">
        <v>27</v>
      </c>
    </row>
    <row r="45" spans="1:17" x14ac:dyDescent="0.2">
      <c r="A45">
        <v>42</v>
      </c>
      <c r="B45" t="s">
        <v>24</v>
      </c>
      <c r="C45">
        <v>2020</v>
      </c>
      <c r="D45" t="s">
        <v>25</v>
      </c>
      <c r="E45" t="s">
        <v>66</v>
      </c>
      <c r="F45" t="s">
        <v>65</v>
      </c>
      <c r="G45" t="s">
        <v>76</v>
      </c>
      <c r="H45" t="s">
        <v>70</v>
      </c>
      <c r="I45" t="s">
        <v>8</v>
      </c>
      <c r="J45" t="s">
        <v>139</v>
      </c>
      <c r="K45" t="s">
        <v>68</v>
      </c>
      <c r="L45">
        <v>500</v>
      </c>
      <c r="M45" t="s">
        <v>13</v>
      </c>
      <c r="O45" t="s">
        <v>18</v>
      </c>
      <c r="P45" t="s">
        <v>233</v>
      </c>
      <c r="Q45" t="s">
        <v>27</v>
      </c>
    </row>
    <row r="46" spans="1:17" x14ac:dyDescent="0.2">
      <c r="A46">
        <v>43</v>
      </c>
      <c r="B46" t="s">
        <v>24</v>
      </c>
      <c r="C46">
        <v>2020</v>
      </c>
      <c r="D46" t="s">
        <v>25</v>
      </c>
      <c r="E46" t="s">
        <v>66</v>
      </c>
      <c r="F46" t="s">
        <v>65</v>
      </c>
      <c r="G46" t="s">
        <v>76</v>
      </c>
      <c r="H46" t="s">
        <v>232</v>
      </c>
      <c r="I46" t="s">
        <v>71</v>
      </c>
      <c r="J46" t="s">
        <v>139</v>
      </c>
      <c r="K46" t="s">
        <v>68</v>
      </c>
      <c r="L46">
        <v>500</v>
      </c>
      <c r="M46" t="s">
        <v>13</v>
      </c>
      <c r="O46" t="s">
        <v>18</v>
      </c>
      <c r="P46" t="s">
        <v>233</v>
      </c>
      <c r="Q46" t="s">
        <v>27</v>
      </c>
    </row>
    <row r="47" spans="1:17" x14ac:dyDescent="0.2">
      <c r="A47">
        <v>44</v>
      </c>
      <c r="B47" t="s">
        <v>24</v>
      </c>
      <c r="C47">
        <v>2020</v>
      </c>
      <c r="D47" t="s">
        <v>25</v>
      </c>
      <c r="E47" t="s">
        <v>66</v>
      </c>
      <c r="F47" t="s">
        <v>65</v>
      </c>
      <c r="G47" t="s">
        <v>76</v>
      </c>
      <c r="H47" t="s">
        <v>232</v>
      </c>
      <c r="I47" t="s">
        <v>72</v>
      </c>
      <c r="J47" t="s">
        <v>139</v>
      </c>
      <c r="K47" t="s">
        <v>68</v>
      </c>
      <c r="L47">
        <v>500</v>
      </c>
      <c r="M47" t="s">
        <v>13</v>
      </c>
      <c r="O47" t="s">
        <v>18</v>
      </c>
      <c r="P47" t="s">
        <v>233</v>
      </c>
      <c r="Q47" t="s">
        <v>27</v>
      </c>
    </row>
    <row r="48" spans="1:17" x14ac:dyDescent="0.2">
      <c r="A48">
        <v>45</v>
      </c>
      <c r="B48" t="s">
        <v>24</v>
      </c>
      <c r="C48">
        <v>2020</v>
      </c>
      <c r="D48" t="s">
        <v>25</v>
      </c>
      <c r="E48" t="s">
        <v>66</v>
      </c>
      <c r="F48" t="s">
        <v>65</v>
      </c>
      <c r="G48" t="s">
        <v>76</v>
      </c>
      <c r="H48" t="s">
        <v>70</v>
      </c>
      <c r="I48" t="s">
        <v>74</v>
      </c>
      <c r="K48" t="s">
        <v>69</v>
      </c>
      <c r="L48">
        <v>200</v>
      </c>
      <c r="M48" t="s">
        <v>13</v>
      </c>
      <c r="O48" t="s">
        <v>18</v>
      </c>
      <c r="P48" t="s">
        <v>233</v>
      </c>
      <c r="Q48" t="s">
        <v>27</v>
      </c>
    </row>
    <row r="49" spans="1:17" x14ac:dyDescent="0.2">
      <c r="A49">
        <v>46</v>
      </c>
      <c r="B49" t="s">
        <v>24</v>
      </c>
      <c r="C49">
        <v>2020</v>
      </c>
      <c r="D49" t="s">
        <v>25</v>
      </c>
      <c r="E49" t="s">
        <v>66</v>
      </c>
      <c r="F49" t="s">
        <v>65</v>
      </c>
      <c r="G49" t="s">
        <v>76</v>
      </c>
      <c r="H49" t="s">
        <v>70</v>
      </c>
      <c r="I49" t="s">
        <v>8</v>
      </c>
      <c r="J49" t="s">
        <v>139</v>
      </c>
      <c r="K49" t="s">
        <v>69</v>
      </c>
      <c r="L49">
        <v>200</v>
      </c>
      <c r="M49" t="s">
        <v>13</v>
      </c>
      <c r="O49" t="s">
        <v>18</v>
      </c>
      <c r="P49" t="s">
        <v>233</v>
      </c>
      <c r="Q49" t="s">
        <v>27</v>
      </c>
    </row>
    <row r="50" spans="1:17" x14ac:dyDescent="0.2">
      <c r="A50">
        <v>47</v>
      </c>
      <c r="B50" t="s">
        <v>24</v>
      </c>
      <c r="C50">
        <v>2020</v>
      </c>
      <c r="D50" t="s">
        <v>25</v>
      </c>
      <c r="E50" t="s">
        <v>66</v>
      </c>
      <c r="F50" t="s">
        <v>65</v>
      </c>
      <c r="G50" t="s">
        <v>76</v>
      </c>
      <c r="H50" t="s">
        <v>232</v>
      </c>
      <c r="I50" t="s">
        <v>71</v>
      </c>
      <c r="J50" t="s">
        <v>139</v>
      </c>
      <c r="K50" t="s">
        <v>69</v>
      </c>
      <c r="L50">
        <v>200</v>
      </c>
      <c r="M50" t="s">
        <v>13</v>
      </c>
      <c r="O50" t="s">
        <v>18</v>
      </c>
      <c r="P50" t="s">
        <v>233</v>
      </c>
      <c r="Q50" t="s">
        <v>27</v>
      </c>
    </row>
    <row r="51" spans="1:17" x14ac:dyDescent="0.2">
      <c r="A51">
        <v>48</v>
      </c>
      <c r="B51" t="s">
        <v>24</v>
      </c>
      <c r="C51">
        <v>2020</v>
      </c>
      <c r="D51" t="s">
        <v>25</v>
      </c>
      <c r="E51" t="s">
        <v>66</v>
      </c>
      <c r="F51" t="s">
        <v>65</v>
      </c>
      <c r="G51" t="s">
        <v>76</v>
      </c>
      <c r="H51" t="s">
        <v>232</v>
      </c>
      <c r="I51" t="s">
        <v>72</v>
      </c>
      <c r="J51" t="s">
        <v>139</v>
      </c>
      <c r="K51" t="s">
        <v>69</v>
      </c>
      <c r="L51">
        <v>200</v>
      </c>
      <c r="M51" t="s">
        <v>13</v>
      </c>
      <c r="O51" t="s">
        <v>18</v>
      </c>
      <c r="P51" t="s">
        <v>233</v>
      </c>
      <c r="Q51" t="s">
        <v>27</v>
      </c>
    </row>
    <row r="52" spans="1:17" x14ac:dyDescent="0.2">
      <c r="A52">
        <v>49</v>
      </c>
      <c r="B52" t="s">
        <v>24</v>
      </c>
      <c r="C52">
        <v>2020</v>
      </c>
      <c r="D52" t="s">
        <v>25</v>
      </c>
      <c r="E52" t="s">
        <v>66</v>
      </c>
      <c r="F52" t="s">
        <v>65</v>
      </c>
      <c r="G52" t="s">
        <v>76</v>
      </c>
      <c r="H52" t="s">
        <v>70</v>
      </c>
      <c r="I52" t="s">
        <v>74</v>
      </c>
      <c r="K52" t="s">
        <v>68</v>
      </c>
      <c r="L52">
        <v>1700</v>
      </c>
      <c r="M52" t="s">
        <v>13</v>
      </c>
      <c r="O52" t="s">
        <v>16</v>
      </c>
      <c r="P52" t="s">
        <v>233</v>
      </c>
      <c r="Q52" t="s">
        <v>635</v>
      </c>
    </row>
    <row r="53" spans="1:17" x14ac:dyDescent="0.2">
      <c r="A53">
        <v>50</v>
      </c>
      <c r="B53" t="s">
        <v>24</v>
      </c>
      <c r="C53">
        <v>2020</v>
      </c>
      <c r="D53" t="s">
        <v>25</v>
      </c>
      <c r="E53" t="s">
        <v>66</v>
      </c>
      <c r="F53" t="s">
        <v>65</v>
      </c>
      <c r="G53" t="s">
        <v>76</v>
      </c>
      <c r="H53" t="s">
        <v>70</v>
      </c>
      <c r="I53" t="s">
        <v>8</v>
      </c>
      <c r="J53" t="s">
        <v>139</v>
      </c>
      <c r="K53" t="s">
        <v>68</v>
      </c>
      <c r="L53">
        <v>1700</v>
      </c>
      <c r="M53" t="s">
        <v>13</v>
      </c>
      <c r="O53" t="s">
        <v>16</v>
      </c>
      <c r="P53" t="s">
        <v>233</v>
      </c>
      <c r="Q53" t="s">
        <v>635</v>
      </c>
    </row>
    <row r="54" spans="1:17" x14ac:dyDescent="0.2">
      <c r="A54">
        <v>51</v>
      </c>
      <c r="B54" t="s">
        <v>24</v>
      </c>
      <c r="C54">
        <v>2020</v>
      </c>
      <c r="D54" t="s">
        <v>25</v>
      </c>
      <c r="E54" t="s">
        <v>66</v>
      </c>
      <c r="F54" t="s">
        <v>65</v>
      </c>
      <c r="G54" t="s">
        <v>76</v>
      </c>
      <c r="H54" t="s">
        <v>232</v>
      </c>
      <c r="I54" t="s">
        <v>71</v>
      </c>
      <c r="J54" t="s">
        <v>139</v>
      </c>
      <c r="K54" t="s">
        <v>68</v>
      </c>
      <c r="L54">
        <v>1700</v>
      </c>
      <c r="M54" t="s">
        <v>13</v>
      </c>
      <c r="O54" t="s">
        <v>16</v>
      </c>
      <c r="P54" t="s">
        <v>233</v>
      </c>
      <c r="Q54" t="s">
        <v>635</v>
      </c>
    </row>
    <row r="55" spans="1:17" x14ac:dyDescent="0.2">
      <c r="A55">
        <v>52</v>
      </c>
      <c r="B55" t="s">
        <v>24</v>
      </c>
      <c r="C55">
        <v>2020</v>
      </c>
      <c r="D55" t="s">
        <v>25</v>
      </c>
      <c r="E55" t="s">
        <v>66</v>
      </c>
      <c r="F55" t="s">
        <v>65</v>
      </c>
      <c r="G55" t="s">
        <v>76</v>
      </c>
      <c r="H55" t="s">
        <v>232</v>
      </c>
      <c r="I55" t="s">
        <v>72</v>
      </c>
      <c r="J55" t="s">
        <v>139</v>
      </c>
      <c r="K55" t="s">
        <v>68</v>
      </c>
      <c r="L55">
        <v>1700</v>
      </c>
      <c r="M55" t="s">
        <v>13</v>
      </c>
      <c r="O55" t="s">
        <v>16</v>
      </c>
      <c r="P55" t="s">
        <v>233</v>
      </c>
      <c r="Q55" t="s">
        <v>635</v>
      </c>
    </row>
    <row r="56" spans="1:17" x14ac:dyDescent="0.2">
      <c r="A56">
        <v>53</v>
      </c>
      <c r="B56" t="s">
        <v>24</v>
      </c>
      <c r="C56">
        <v>2020</v>
      </c>
      <c r="D56" t="s">
        <v>25</v>
      </c>
      <c r="E56" t="s">
        <v>66</v>
      </c>
      <c r="F56" t="s">
        <v>65</v>
      </c>
      <c r="G56" t="s">
        <v>76</v>
      </c>
      <c r="H56" t="s">
        <v>70</v>
      </c>
      <c r="I56" t="s">
        <v>74</v>
      </c>
      <c r="K56" t="s">
        <v>294</v>
      </c>
      <c r="L56">
        <v>1700</v>
      </c>
      <c r="M56" t="s">
        <v>13</v>
      </c>
      <c r="O56" t="s">
        <v>16</v>
      </c>
      <c r="P56" t="s">
        <v>233</v>
      </c>
      <c r="Q56" t="s">
        <v>635</v>
      </c>
    </row>
    <row r="57" spans="1:17" x14ac:dyDescent="0.2">
      <c r="A57">
        <v>54</v>
      </c>
      <c r="B57" t="s">
        <v>24</v>
      </c>
      <c r="C57">
        <v>2020</v>
      </c>
      <c r="D57" t="s">
        <v>25</v>
      </c>
      <c r="E57" t="s">
        <v>66</v>
      </c>
      <c r="F57" t="s">
        <v>65</v>
      </c>
      <c r="G57" t="s">
        <v>76</v>
      </c>
      <c r="H57" t="s">
        <v>70</v>
      </c>
      <c r="I57" t="s">
        <v>8</v>
      </c>
      <c r="J57" t="s">
        <v>139</v>
      </c>
      <c r="K57" t="s">
        <v>294</v>
      </c>
      <c r="L57">
        <v>1700</v>
      </c>
      <c r="M57" t="s">
        <v>13</v>
      </c>
      <c r="O57" t="s">
        <v>16</v>
      </c>
      <c r="P57" t="s">
        <v>233</v>
      </c>
      <c r="Q57" t="s">
        <v>635</v>
      </c>
    </row>
    <row r="58" spans="1:17" x14ac:dyDescent="0.2">
      <c r="A58">
        <v>55</v>
      </c>
      <c r="B58" t="s">
        <v>24</v>
      </c>
      <c r="C58">
        <v>2020</v>
      </c>
      <c r="D58" t="s">
        <v>25</v>
      </c>
      <c r="E58" t="s">
        <v>66</v>
      </c>
      <c r="F58" t="s">
        <v>65</v>
      </c>
      <c r="G58" t="s">
        <v>76</v>
      </c>
      <c r="H58" t="s">
        <v>232</v>
      </c>
      <c r="I58" t="s">
        <v>71</v>
      </c>
      <c r="J58" t="s">
        <v>139</v>
      </c>
      <c r="K58" t="s">
        <v>294</v>
      </c>
      <c r="L58">
        <v>1700</v>
      </c>
      <c r="M58" t="s">
        <v>13</v>
      </c>
      <c r="O58" t="s">
        <v>16</v>
      </c>
      <c r="P58" t="s">
        <v>233</v>
      </c>
      <c r="Q58" t="s">
        <v>635</v>
      </c>
    </row>
    <row r="59" spans="1:17" x14ac:dyDescent="0.2">
      <c r="A59">
        <v>56</v>
      </c>
      <c r="B59" t="s">
        <v>24</v>
      </c>
      <c r="C59">
        <v>2020</v>
      </c>
      <c r="D59" t="s">
        <v>25</v>
      </c>
      <c r="E59" t="s">
        <v>66</v>
      </c>
      <c r="F59" t="s">
        <v>65</v>
      </c>
      <c r="G59" t="s">
        <v>76</v>
      </c>
      <c r="H59" t="s">
        <v>232</v>
      </c>
      <c r="I59" t="s">
        <v>72</v>
      </c>
      <c r="J59" t="s">
        <v>139</v>
      </c>
      <c r="K59" t="s">
        <v>294</v>
      </c>
      <c r="L59">
        <v>1700</v>
      </c>
      <c r="M59" t="s">
        <v>13</v>
      </c>
      <c r="O59" t="s">
        <v>16</v>
      </c>
      <c r="P59" t="s">
        <v>233</v>
      </c>
      <c r="Q59" t="s">
        <v>635</v>
      </c>
    </row>
    <row r="60" spans="1:17" x14ac:dyDescent="0.2">
      <c r="A60">
        <v>57</v>
      </c>
      <c r="B60" t="s">
        <v>24</v>
      </c>
      <c r="C60">
        <v>2020</v>
      </c>
      <c r="D60" t="s">
        <v>25</v>
      </c>
      <c r="E60" t="s">
        <v>66</v>
      </c>
      <c r="F60" t="s">
        <v>65</v>
      </c>
      <c r="G60" t="s">
        <v>76</v>
      </c>
      <c r="H60" t="s">
        <v>70</v>
      </c>
      <c r="I60" t="s">
        <v>74</v>
      </c>
      <c r="K60" t="s">
        <v>68</v>
      </c>
      <c r="L60">
        <v>1700</v>
      </c>
      <c r="M60" t="s">
        <v>13</v>
      </c>
      <c r="O60" t="s">
        <v>17</v>
      </c>
      <c r="P60" t="s">
        <v>233</v>
      </c>
      <c r="Q60" t="s">
        <v>635</v>
      </c>
    </row>
    <row r="61" spans="1:17" x14ac:dyDescent="0.2">
      <c r="A61">
        <v>58</v>
      </c>
      <c r="B61" t="s">
        <v>24</v>
      </c>
      <c r="C61">
        <v>2020</v>
      </c>
      <c r="D61" t="s">
        <v>25</v>
      </c>
      <c r="E61" t="s">
        <v>66</v>
      </c>
      <c r="F61" t="s">
        <v>65</v>
      </c>
      <c r="G61" t="s">
        <v>76</v>
      </c>
      <c r="H61" t="s">
        <v>70</v>
      </c>
      <c r="I61" t="s">
        <v>8</v>
      </c>
      <c r="J61" t="s">
        <v>139</v>
      </c>
      <c r="K61" t="s">
        <v>68</v>
      </c>
      <c r="L61">
        <v>1700</v>
      </c>
      <c r="M61" t="s">
        <v>13</v>
      </c>
      <c r="O61" t="s">
        <v>17</v>
      </c>
      <c r="P61" t="s">
        <v>233</v>
      </c>
      <c r="Q61" t="s">
        <v>635</v>
      </c>
    </row>
    <row r="62" spans="1:17" x14ac:dyDescent="0.2">
      <c r="A62">
        <v>59</v>
      </c>
      <c r="B62" t="s">
        <v>24</v>
      </c>
      <c r="C62">
        <v>2020</v>
      </c>
      <c r="D62" t="s">
        <v>25</v>
      </c>
      <c r="E62" t="s">
        <v>66</v>
      </c>
      <c r="F62" t="s">
        <v>65</v>
      </c>
      <c r="G62" t="s">
        <v>76</v>
      </c>
      <c r="H62" t="s">
        <v>232</v>
      </c>
      <c r="I62" t="s">
        <v>71</v>
      </c>
      <c r="J62" t="s">
        <v>139</v>
      </c>
      <c r="K62" t="s">
        <v>68</v>
      </c>
      <c r="L62">
        <v>1700</v>
      </c>
      <c r="M62" t="s">
        <v>13</v>
      </c>
      <c r="O62" t="s">
        <v>17</v>
      </c>
      <c r="P62" t="s">
        <v>233</v>
      </c>
      <c r="Q62" t="s">
        <v>635</v>
      </c>
    </row>
    <row r="63" spans="1:17" x14ac:dyDescent="0.2">
      <c r="A63">
        <v>60</v>
      </c>
      <c r="B63" t="s">
        <v>24</v>
      </c>
      <c r="C63">
        <v>2020</v>
      </c>
      <c r="D63" t="s">
        <v>25</v>
      </c>
      <c r="E63" t="s">
        <v>66</v>
      </c>
      <c r="F63" t="s">
        <v>65</v>
      </c>
      <c r="G63" t="s">
        <v>76</v>
      </c>
      <c r="H63" t="s">
        <v>232</v>
      </c>
      <c r="I63" t="s">
        <v>72</v>
      </c>
      <c r="J63" t="s">
        <v>139</v>
      </c>
      <c r="K63" t="s">
        <v>68</v>
      </c>
      <c r="L63">
        <v>1700</v>
      </c>
      <c r="M63" t="s">
        <v>13</v>
      </c>
      <c r="O63" t="s">
        <v>17</v>
      </c>
      <c r="P63" t="s">
        <v>233</v>
      </c>
      <c r="Q63" t="s">
        <v>635</v>
      </c>
    </row>
    <row r="64" spans="1:17" x14ac:dyDescent="0.2">
      <c r="A64">
        <v>61</v>
      </c>
      <c r="B64" t="s">
        <v>24</v>
      </c>
      <c r="C64">
        <v>2020</v>
      </c>
      <c r="D64" t="s">
        <v>25</v>
      </c>
      <c r="E64" t="s">
        <v>66</v>
      </c>
      <c r="F64" t="s">
        <v>65</v>
      </c>
      <c r="G64" t="s">
        <v>76</v>
      </c>
      <c r="H64" t="s">
        <v>70</v>
      </c>
      <c r="I64" t="s">
        <v>74</v>
      </c>
      <c r="K64" t="s">
        <v>294</v>
      </c>
      <c r="L64">
        <v>1700</v>
      </c>
      <c r="M64" t="s">
        <v>13</v>
      </c>
      <c r="O64" t="s">
        <v>17</v>
      </c>
      <c r="P64" t="s">
        <v>233</v>
      </c>
      <c r="Q64" t="s">
        <v>635</v>
      </c>
    </row>
    <row r="65" spans="1:17" x14ac:dyDescent="0.2">
      <c r="A65">
        <v>62</v>
      </c>
      <c r="B65" t="s">
        <v>24</v>
      </c>
      <c r="C65">
        <v>2020</v>
      </c>
      <c r="D65" t="s">
        <v>25</v>
      </c>
      <c r="E65" t="s">
        <v>66</v>
      </c>
      <c r="F65" t="s">
        <v>65</v>
      </c>
      <c r="G65" t="s">
        <v>76</v>
      </c>
      <c r="H65" t="s">
        <v>70</v>
      </c>
      <c r="I65" t="s">
        <v>8</v>
      </c>
      <c r="J65" t="s">
        <v>139</v>
      </c>
      <c r="K65" t="s">
        <v>294</v>
      </c>
      <c r="L65">
        <v>1700</v>
      </c>
      <c r="M65" t="s">
        <v>13</v>
      </c>
      <c r="O65" t="s">
        <v>17</v>
      </c>
      <c r="P65" t="s">
        <v>233</v>
      </c>
      <c r="Q65" t="s">
        <v>635</v>
      </c>
    </row>
    <row r="66" spans="1:17" x14ac:dyDescent="0.2">
      <c r="A66">
        <v>63</v>
      </c>
      <c r="B66" t="s">
        <v>24</v>
      </c>
      <c r="C66">
        <v>2020</v>
      </c>
      <c r="D66" t="s">
        <v>25</v>
      </c>
      <c r="E66" t="s">
        <v>66</v>
      </c>
      <c r="F66" t="s">
        <v>65</v>
      </c>
      <c r="G66" t="s">
        <v>76</v>
      </c>
      <c r="H66" t="s">
        <v>232</v>
      </c>
      <c r="I66" t="s">
        <v>71</v>
      </c>
      <c r="J66" t="s">
        <v>139</v>
      </c>
      <c r="K66" t="s">
        <v>294</v>
      </c>
      <c r="L66">
        <v>1700</v>
      </c>
      <c r="M66" t="s">
        <v>13</v>
      </c>
      <c r="O66" t="s">
        <v>17</v>
      </c>
      <c r="P66" t="s">
        <v>233</v>
      </c>
      <c r="Q66" t="s">
        <v>635</v>
      </c>
    </row>
    <row r="67" spans="1:17" x14ac:dyDescent="0.2">
      <c r="A67">
        <v>64</v>
      </c>
      <c r="B67" t="s">
        <v>24</v>
      </c>
      <c r="C67">
        <v>2020</v>
      </c>
      <c r="D67" t="s">
        <v>25</v>
      </c>
      <c r="E67" t="s">
        <v>66</v>
      </c>
      <c r="F67" t="s">
        <v>65</v>
      </c>
      <c r="G67" t="s">
        <v>76</v>
      </c>
      <c r="H67" t="s">
        <v>232</v>
      </c>
      <c r="I67" t="s">
        <v>72</v>
      </c>
      <c r="J67" t="s">
        <v>139</v>
      </c>
      <c r="K67" t="s">
        <v>294</v>
      </c>
      <c r="L67">
        <v>1700</v>
      </c>
      <c r="M67" t="s">
        <v>13</v>
      </c>
      <c r="O67" t="s">
        <v>17</v>
      </c>
      <c r="P67" t="s">
        <v>233</v>
      </c>
      <c r="Q67" t="s">
        <v>635</v>
      </c>
    </row>
    <row r="68" spans="1:17" x14ac:dyDescent="0.2">
      <c r="A68">
        <v>65</v>
      </c>
      <c r="B68" t="s">
        <v>24</v>
      </c>
      <c r="C68">
        <v>2020</v>
      </c>
      <c r="D68" t="s">
        <v>25</v>
      </c>
      <c r="E68" t="s">
        <v>66</v>
      </c>
      <c r="F68" t="s">
        <v>65</v>
      </c>
      <c r="G68" t="s">
        <v>76</v>
      </c>
      <c r="H68" t="s">
        <v>70</v>
      </c>
      <c r="I68" t="s">
        <v>74</v>
      </c>
      <c r="K68" t="s">
        <v>68</v>
      </c>
      <c r="L68">
        <v>1700</v>
      </c>
      <c r="M68" t="s">
        <v>13</v>
      </c>
      <c r="O68" t="s">
        <v>18</v>
      </c>
      <c r="P68" t="s">
        <v>233</v>
      </c>
      <c r="Q68" t="s">
        <v>635</v>
      </c>
    </row>
    <row r="69" spans="1:17" x14ac:dyDescent="0.2">
      <c r="A69">
        <v>66</v>
      </c>
      <c r="B69" t="s">
        <v>24</v>
      </c>
      <c r="C69">
        <v>2020</v>
      </c>
      <c r="D69" t="s">
        <v>25</v>
      </c>
      <c r="E69" t="s">
        <v>66</v>
      </c>
      <c r="F69" t="s">
        <v>65</v>
      </c>
      <c r="G69" t="s">
        <v>76</v>
      </c>
      <c r="H69" t="s">
        <v>70</v>
      </c>
      <c r="I69" t="s">
        <v>8</v>
      </c>
      <c r="J69" t="s">
        <v>139</v>
      </c>
      <c r="K69" t="s">
        <v>68</v>
      </c>
      <c r="L69">
        <v>1700</v>
      </c>
      <c r="M69" t="s">
        <v>13</v>
      </c>
      <c r="O69" t="s">
        <v>18</v>
      </c>
      <c r="P69" t="s">
        <v>233</v>
      </c>
      <c r="Q69" t="s">
        <v>635</v>
      </c>
    </row>
    <row r="70" spans="1:17" x14ac:dyDescent="0.2">
      <c r="A70">
        <v>67</v>
      </c>
      <c r="B70" t="s">
        <v>24</v>
      </c>
      <c r="C70">
        <v>2020</v>
      </c>
      <c r="D70" t="s">
        <v>25</v>
      </c>
      <c r="E70" t="s">
        <v>66</v>
      </c>
      <c r="F70" t="s">
        <v>65</v>
      </c>
      <c r="G70" t="s">
        <v>76</v>
      </c>
      <c r="H70" t="s">
        <v>232</v>
      </c>
      <c r="I70" t="s">
        <v>71</v>
      </c>
      <c r="J70" t="s">
        <v>139</v>
      </c>
      <c r="K70" t="s">
        <v>68</v>
      </c>
      <c r="L70">
        <v>1700</v>
      </c>
      <c r="M70" t="s">
        <v>13</v>
      </c>
      <c r="O70" t="s">
        <v>18</v>
      </c>
      <c r="P70" t="s">
        <v>233</v>
      </c>
      <c r="Q70" t="s">
        <v>635</v>
      </c>
    </row>
    <row r="71" spans="1:17" x14ac:dyDescent="0.2">
      <c r="A71">
        <v>68</v>
      </c>
      <c r="B71" t="s">
        <v>24</v>
      </c>
      <c r="C71">
        <v>2020</v>
      </c>
      <c r="D71" t="s">
        <v>25</v>
      </c>
      <c r="E71" t="s">
        <v>66</v>
      </c>
      <c r="F71" t="s">
        <v>65</v>
      </c>
      <c r="G71" t="s">
        <v>76</v>
      </c>
      <c r="H71" t="s">
        <v>232</v>
      </c>
      <c r="I71" t="s">
        <v>72</v>
      </c>
      <c r="J71" t="s">
        <v>139</v>
      </c>
      <c r="K71" t="s">
        <v>68</v>
      </c>
      <c r="L71">
        <v>1700</v>
      </c>
      <c r="M71" t="s">
        <v>13</v>
      </c>
      <c r="O71" t="s">
        <v>18</v>
      </c>
      <c r="P71" t="s">
        <v>233</v>
      </c>
      <c r="Q71" t="s">
        <v>635</v>
      </c>
    </row>
    <row r="72" spans="1:17" x14ac:dyDescent="0.2">
      <c r="A72">
        <v>69</v>
      </c>
      <c r="B72" t="s">
        <v>24</v>
      </c>
      <c r="C72">
        <v>2020</v>
      </c>
      <c r="D72" t="s">
        <v>25</v>
      </c>
      <c r="E72" t="s">
        <v>66</v>
      </c>
      <c r="F72" t="s">
        <v>65</v>
      </c>
      <c r="G72" t="s">
        <v>76</v>
      </c>
      <c r="H72" t="s">
        <v>70</v>
      </c>
      <c r="I72" t="s">
        <v>74</v>
      </c>
      <c r="K72" t="s">
        <v>294</v>
      </c>
      <c r="L72">
        <v>1700</v>
      </c>
      <c r="M72" t="s">
        <v>13</v>
      </c>
      <c r="O72" t="s">
        <v>18</v>
      </c>
      <c r="P72" t="s">
        <v>233</v>
      </c>
      <c r="Q72" t="s">
        <v>635</v>
      </c>
    </row>
    <row r="73" spans="1:17" x14ac:dyDescent="0.2">
      <c r="A73">
        <v>70</v>
      </c>
      <c r="B73" t="s">
        <v>24</v>
      </c>
      <c r="C73">
        <v>2020</v>
      </c>
      <c r="D73" t="s">
        <v>25</v>
      </c>
      <c r="E73" t="s">
        <v>66</v>
      </c>
      <c r="F73" t="s">
        <v>65</v>
      </c>
      <c r="G73" t="s">
        <v>76</v>
      </c>
      <c r="H73" t="s">
        <v>70</v>
      </c>
      <c r="I73" t="s">
        <v>8</v>
      </c>
      <c r="J73" t="s">
        <v>139</v>
      </c>
      <c r="K73" t="s">
        <v>294</v>
      </c>
      <c r="L73">
        <v>1700</v>
      </c>
      <c r="M73" t="s">
        <v>13</v>
      </c>
      <c r="O73" t="s">
        <v>18</v>
      </c>
      <c r="P73" t="s">
        <v>233</v>
      </c>
      <c r="Q73" t="s">
        <v>635</v>
      </c>
    </row>
    <row r="74" spans="1:17" x14ac:dyDescent="0.2">
      <c r="A74">
        <v>71</v>
      </c>
      <c r="B74" t="s">
        <v>24</v>
      </c>
      <c r="C74">
        <v>2020</v>
      </c>
      <c r="D74" t="s">
        <v>25</v>
      </c>
      <c r="E74" t="s">
        <v>66</v>
      </c>
      <c r="F74" t="s">
        <v>65</v>
      </c>
      <c r="G74" t="s">
        <v>76</v>
      </c>
      <c r="H74" t="s">
        <v>232</v>
      </c>
      <c r="I74" t="s">
        <v>71</v>
      </c>
      <c r="J74" t="s">
        <v>139</v>
      </c>
      <c r="K74" t="s">
        <v>294</v>
      </c>
      <c r="L74">
        <v>1700</v>
      </c>
      <c r="M74" t="s">
        <v>13</v>
      </c>
      <c r="O74" t="s">
        <v>18</v>
      </c>
      <c r="P74" t="s">
        <v>233</v>
      </c>
      <c r="Q74" t="s">
        <v>635</v>
      </c>
    </row>
    <row r="75" spans="1:17" x14ac:dyDescent="0.2">
      <c r="A75">
        <v>72</v>
      </c>
      <c r="B75" t="s">
        <v>24</v>
      </c>
      <c r="C75">
        <v>2020</v>
      </c>
      <c r="D75" t="s">
        <v>25</v>
      </c>
      <c r="E75" t="s">
        <v>66</v>
      </c>
      <c r="F75" t="s">
        <v>65</v>
      </c>
      <c r="G75" t="s">
        <v>76</v>
      </c>
      <c r="H75" t="s">
        <v>232</v>
      </c>
      <c r="I75" t="s">
        <v>72</v>
      </c>
      <c r="J75" t="s">
        <v>139</v>
      </c>
      <c r="K75" t="s">
        <v>294</v>
      </c>
      <c r="L75">
        <v>1700</v>
      </c>
      <c r="M75" t="s">
        <v>13</v>
      </c>
      <c r="O75" t="s">
        <v>18</v>
      </c>
      <c r="P75" t="s">
        <v>233</v>
      </c>
      <c r="Q75" t="s">
        <v>635</v>
      </c>
    </row>
    <row r="76" spans="1:17" x14ac:dyDescent="0.2">
      <c r="A76">
        <v>73</v>
      </c>
      <c r="B76" t="s">
        <v>24</v>
      </c>
      <c r="C76">
        <v>2020</v>
      </c>
      <c r="D76" t="s">
        <v>25</v>
      </c>
      <c r="E76" t="s">
        <v>66</v>
      </c>
      <c r="F76" t="s">
        <v>65</v>
      </c>
      <c r="G76" t="s">
        <v>76</v>
      </c>
      <c r="H76" t="s">
        <v>70</v>
      </c>
      <c r="I76" t="s">
        <v>74</v>
      </c>
      <c r="K76" t="s">
        <v>68</v>
      </c>
      <c r="L76">
        <v>1000</v>
      </c>
      <c r="M76" t="s">
        <v>13</v>
      </c>
      <c r="O76" t="s">
        <v>16</v>
      </c>
      <c r="P76" t="s">
        <v>233</v>
      </c>
      <c r="Q76" t="s">
        <v>80</v>
      </c>
    </row>
    <row r="77" spans="1:17" x14ac:dyDescent="0.2">
      <c r="A77">
        <v>74</v>
      </c>
      <c r="B77" t="s">
        <v>24</v>
      </c>
      <c r="C77">
        <v>2020</v>
      </c>
      <c r="D77" t="s">
        <v>25</v>
      </c>
      <c r="E77" t="s">
        <v>66</v>
      </c>
      <c r="F77" t="s">
        <v>65</v>
      </c>
      <c r="G77" t="s">
        <v>76</v>
      </c>
      <c r="H77" t="s">
        <v>70</v>
      </c>
      <c r="I77" t="s">
        <v>8</v>
      </c>
      <c r="J77" t="s">
        <v>139</v>
      </c>
      <c r="K77" t="s">
        <v>68</v>
      </c>
      <c r="L77">
        <v>1000</v>
      </c>
      <c r="M77" t="s">
        <v>13</v>
      </c>
      <c r="O77" t="s">
        <v>16</v>
      </c>
      <c r="P77" t="s">
        <v>233</v>
      </c>
      <c r="Q77" t="s">
        <v>80</v>
      </c>
    </row>
    <row r="78" spans="1:17" x14ac:dyDescent="0.2">
      <c r="A78">
        <v>75</v>
      </c>
      <c r="B78" t="s">
        <v>24</v>
      </c>
      <c r="C78">
        <v>2020</v>
      </c>
      <c r="D78" t="s">
        <v>25</v>
      </c>
      <c r="E78" t="s">
        <v>66</v>
      </c>
      <c r="F78" t="s">
        <v>65</v>
      </c>
      <c r="G78" t="s">
        <v>76</v>
      </c>
      <c r="H78" t="s">
        <v>232</v>
      </c>
      <c r="I78" t="s">
        <v>71</v>
      </c>
      <c r="J78" t="s">
        <v>139</v>
      </c>
      <c r="K78" t="s">
        <v>68</v>
      </c>
      <c r="L78">
        <v>1000</v>
      </c>
      <c r="M78" t="s">
        <v>13</v>
      </c>
      <c r="O78" t="s">
        <v>16</v>
      </c>
      <c r="P78" t="s">
        <v>233</v>
      </c>
      <c r="Q78" t="s">
        <v>80</v>
      </c>
    </row>
    <row r="79" spans="1:17" x14ac:dyDescent="0.2">
      <c r="A79">
        <v>76</v>
      </c>
      <c r="B79" t="s">
        <v>24</v>
      </c>
      <c r="C79">
        <v>2020</v>
      </c>
      <c r="D79" t="s">
        <v>25</v>
      </c>
      <c r="E79" t="s">
        <v>66</v>
      </c>
      <c r="F79" t="s">
        <v>65</v>
      </c>
      <c r="G79" t="s">
        <v>76</v>
      </c>
      <c r="H79" t="s">
        <v>232</v>
      </c>
      <c r="I79" t="s">
        <v>72</v>
      </c>
      <c r="J79" t="s">
        <v>139</v>
      </c>
      <c r="K79" t="s">
        <v>68</v>
      </c>
      <c r="L79">
        <v>1000</v>
      </c>
      <c r="M79" t="s">
        <v>13</v>
      </c>
      <c r="O79" t="s">
        <v>16</v>
      </c>
      <c r="P79" t="s">
        <v>233</v>
      </c>
      <c r="Q79" t="s">
        <v>80</v>
      </c>
    </row>
    <row r="80" spans="1:17" x14ac:dyDescent="0.2">
      <c r="A80">
        <v>77</v>
      </c>
      <c r="B80" t="s">
        <v>24</v>
      </c>
      <c r="C80">
        <v>2020</v>
      </c>
      <c r="D80" t="s">
        <v>25</v>
      </c>
      <c r="E80" t="s">
        <v>66</v>
      </c>
      <c r="F80" t="s">
        <v>65</v>
      </c>
      <c r="G80" t="s">
        <v>76</v>
      </c>
      <c r="H80" t="s">
        <v>70</v>
      </c>
      <c r="I80" t="s">
        <v>74</v>
      </c>
      <c r="K80" t="s">
        <v>294</v>
      </c>
      <c r="L80">
        <v>1000</v>
      </c>
      <c r="M80" t="s">
        <v>13</v>
      </c>
      <c r="O80" t="s">
        <v>16</v>
      </c>
      <c r="P80" t="s">
        <v>233</v>
      </c>
      <c r="Q80" t="s">
        <v>80</v>
      </c>
    </row>
    <row r="81" spans="1:17" x14ac:dyDescent="0.2">
      <c r="A81">
        <v>78</v>
      </c>
      <c r="B81" t="s">
        <v>24</v>
      </c>
      <c r="C81">
        <v>2020</v>
      </c>
      <c r="D81" t="s">
        <v>25</v>
      </c>
      <c r="E81" t="s">
        <v>66</v>
      </c>
      <c r="F81" t="s">
        <v>65</v>
      </c>
      <c r="G81" t="s">
        <v>76</v>
      </c>
      <c r="H81" t="s">
        <v>70</v>
      </c>
      <c r="I81" t="s">
        <v>8</v>
      </c>
      <c r="J81" t="s">
        <v>139</v>
      </c>
      <c r="K81" t="s">
        <v>294</v>
      </c>
      <c r="L81">
        <v>1000</v>
      </c>
      <c r="M81" t="s">
        <v>13</v>
      </c>
      <c r="O81" t="s">
        <v>16</v>
      </c>
      <c r="P81" t="s">
        <v>233</v>
      </c>
      <c r="Q81" t="s">
        <v>80</v>
      </c>
    </row>
    <row r="82" spans="1:17" x14ac:dyDescent="0.2">
      <c r="A82">
        <v>79</v>
      </c>
      <c r="B82" t="s">
        <v>24</v>
      </c>
      <c r="C82">
        <v>2020</v>
      </c>
      <c r="D82" t="s">
        <v>25</v>
      </c>
      <c r="E82" t="s">
        <v>66</v>
      </c>
      <c r="F82" t="s">
        <v>65</v>
      </c>
      <c r="G82" t="s">
        <v>76</v>
      </c>
      <c r="H82" t="s">
        <v>232</v>
      </c>
      <c r="I82" t="s">
        <v>71</v>
      </c>
      <c r="J82" t="s">
        <v>139</v>
      </c>
      <c r="K82" t="s">
        <v>294</v>
      </c>
      <c r="L82">
        <v>1000</v>
      </c>
      <c r="M82" t="s">
        <v>13</v>
      </c>
      <c r="O82" t="s">
        <v>16</v>
      </c>
      <c r="P82" t="s">
        <v>233</v>
      </c>
      <c r="Q82" t="s">
        <v>80</v>
      </c>
    </row>
    <row r="83" spans="1:17" x14ac:dyDescent="0.2">
      <c r="A83">
        <v>80</v>
      </c>
      <c r="B83" t="s">
        <v>24</v>
      </c>
      <c r="C83">
        <v>2020</v>
      </c>
      <c r="D83" t="s">
        <v>25</v>
      </c>
      <c r="E83" t="s">
        <v>66</v>
      </c>
      <c r="F83" t="s">
        <v>65</v>
      </c>
      <c r="G83" t="s">
        <v>76</v>
      </c>
      <c r="H83" t="s">
        <v>232</v>
      </c>
      <c r="I83" t="s">
        <v>72</v>
      </c>
      <c r="J83" t="s">
        <v>139</v>
      </c>
      <c r="K83" t="s">
        <v>294</v>
      </c>
      <c r="L83">
        <v>1000</v>
      </c>
      <c r="M83" t="s">
        <v>13</v>
      </c>
      <c r="O83" t="s">
        <v>16</v>
      </c>
      <c r="P83" t="s">
        <v>233</v>
      </c>
      <c r="Q83" t="s">
        <v>80</v>
      </c>
    </row>
    <row r="84" spans="1:17" x14ac:dyDescent="0.2">
      <c r="A84">
        <v>81</v>
      </c>
      <c r="B84" t="s">
        <v>24</v>
      </c>
      <c r="C84">
        <v>2020</v>
      </c>
      <c r="D84" t="s">
        <v>25</v>
      </c>
      <c r="E84" t="s">
        <v>66</v>
      </c>
      <c r="F84" t="s">
        <v>65</v>
      </c>
      <c r="G84" t="s">
        <v>76</v>
      </c>
      <c r="H84" t="s">
        <v>70</v>
      </c>
      <c r="I84" t="s">
        <v>74</v>
      </c>
      <c r="K84" t="s">
        <v>68</v>
      </c>
      <c r="L84">
        <v>1000</v>
      </c>
      <c r="M84" t="s">
        <v>13</v>
      </c>
      <c r="O84" t="s">
        <v>17</v>
      </c>
      <c r="P84" t="s">
        <v>233</v>
      </c>
      <c r="Q84" t="s">
        <v>80</v>
      </c>
    </row>
    <row r="85" spans="1:17" x14ac:dyDescent="0.2">
      <c r="A85">
        <v>82</v>
      </c>
      <c r="B85" t="s">
        <v>24</v>
      </c>
      <c r="C85">
        <v>2020</v>
      </c>
      <c r="D85" t="s">
        <v>25</v>
      </c>
      <c r="E85" t="s">
        <v>66</v>
      </c>
      <c r="F85" t="s">
        <v>65</v>
      </c>
      <c r="G85" t="s">
        <v>76</v>
      </c>
      <c r="H85" t="s">
        <v>70</v>
      </c>
      <c r="I85" t="s">
        <v>8</v>
      </c>
      <c r="J85" t="s">
        <v>139</v>
      </c>
      <c r="K85" t="s">
        <v>68</v>
      </c>
      <c r="L85">
        <v>1000</v>
      </c>
      <c r="M85" t="s">
        <v>13</v>
      </c>
      <c r="O85" t="s">
        <v>17</v>
      </c>
      <c r="P85" t="s">
        <v>233</v>
      </c>
      <c r="Q85" t="s">
        <v>80</v>
      </c>
    </row>
    <row r="86" spans="1:17" x14ac:dyDescent="0.2">
      <c r="A86">
        <v>83</v>
      </c>
      <c r="B86" t="s">
        <v>24</v>
      </c>
      <c r="C86">
        <v>2020</v>
      </c>
      <c r="D86" t="s">
        <v>25</v>
      </c>
      <c r="E86" t="s">
        <v>66</v>
      </c>
      <c r="F86" t="s">
        <v>65</v>
      </c>
      <c r="G86" t="s">
        <v>76</v>
      </c>
      <c r="H86" t="s">
        <v>232</v>
      </c>
      <c r="I86" t="s">
        <v>71</v>
      </c>
      <c r="J86" t="s">
        <v>139</v>
      </c>
      <c r="K86" t="s">
        <v>68</v>
      </c>
      <c r="L86">
        <v>1000</v>
      </c>
      <c r="M86" t="s">
        <v>13</v>
      </c>
      <c r="O86" t="s">
        <v>17</v>
      </c>
      <c r="P86" t="s">
        <v>233</v>
      </c>
      <c r="Q86" t="s">
        <v>80</v>
      </c>
    </row>
    <row r="87" spans="1:17" x14ac:dyDescent="0.2">
      <c r="A87">
        <v>84</v>
      </c>
      <c r="B87" t="s">
        <v>24</v>
      </c>
      <c r="C87">
        <v>2020</v>
      </c>
      <c r="D87" t="s">
        <v>25</v>
      </c>
      <c r="E87" t="s">
        <v>66</v>
      </c>
      <c r="F87" t="s">
        <v>65</v>
      </c>
      <c r="G87" t="s">
        <v>76</v>
      </c>
      <c r="H87" t="s">
        <v>232</v>
      </c>
      <c r="I87" t="s">
        <v>72</v>
      </c>
      <c r="J87" t="s">
        <v>139</v>
      </c>
      <c r="K87" t="s">
        <v>68</v>
      </c>
      <c r="L87">
        <v>1000</v>
      </c>
      <c r="M87" t="s">
        <v>13</v>
      </c>
      <c r="O87" t="s">
        <v>17</v>
      </c>
      <c r="P87" t="s">
        <v>233</v>
      </c>
      <c r="Q87" t="s">
        <v>80</v>
      </c>
    </row>
    <row r="88" spans="1:17" x14ac:dyDescent="0.2">
      <c r="A88">
        <v>85</v>
      </c>
      <c r="B88" t="s">
        <v>24</v>
      </c>
      <c r="C88">
        <v>2020</v>
      </c>
      <c r="D88" t="s">
        <v>25</v>
      </c>
      <c r="E88" t="s">
        <v>66</v>
      </c>
      <c r="F88" t="s">
        <v>65</v>
      </c>
      <c r="G88" t="s">
        <v>76</v>
      </c>
      <c r="H88" t="s">
        <v>70</v>
      </c>
      <c r="I88" t="s">
        <v>74</v>
      </c>
      <c r="K88" t="s">
        <v>294</v>
      </c>
      <c r="L88">
        <v>1000</v>
      </c>
      <c r="M88" t="s">
        <v>13</v>
      </c>
      <c r="O88" t="s">
        <v>17</v>
      </c>
      <c r="P88" t="s">
        <v>233</v>
      </c>
      <c r="Q88" t="s">
        <v>80</v>
      </c>
    </row>
    <row r="89" spans="1:17" x14ac:dyDescent="0.2">
      <c r="A89">
        <v>86</v>
      </c>
      <c r="B89" t="s">
        <v>24</v>
      </c>
      <c r="C89">
        <v>2020</v>
      </c>
      <c r="D89" t="s">
        <v>25</v>
      </c>
      <c r="E89" t="s">
        <v>66</v>
      </c>
      <c r="F89" t="s">
        <v>65</v>
      </c>
      <c r="G89" t="s">
        <v>76</v>
      </c>
      <c r="H89" t="s">
        <v>70</v>
      </c>
      <c r="I89" t="s">
        <v>8</v>
      </c>
      <c r="J89" t="s">
        <v>139</v>
      </c>
      <c r="K89" t="s">
        <v>294</v>
      </c>
      <c r="L89">
        <v>1000</v>
      </c>
      <c r="M89" t="s">
        <v>13</v>
      </c>
      <c r="O89" t="s">
        <v>17</v>
      </c>
      <c r="P89" t="s">
        <v>233</v>
      </c>
      <c r="Q89" t="s">
        <v>80</v>
      </c>
    </row>
    <row r="90" spans="1:17" x14ac:dyDescent="0.2">
      <c r="A90">
        <v>87</v>
      </c>
      <c r="B90" t="s">
        <v>24</v>
      </c>
      <c r="C90">
        <v>2020</v>
      </c>
      <c r="D90" t="s">
        <v>25</v>
      </c>
      <c r="E90" t="s">
        <v>66</v>
      </c>
      <c r="F90" t="s">
        <v>65</v>
      </c>
      <c r="G90" t="s">
        <v>76</v>
      </c>
      <c r="H90" t="s">
        <v>232</v>
      </c>
      <c r="I90" t="s">
        <v>71</v>
      </c>
      <c r="J90" t="s">
        <v>139</v>
      </c>
      <c r="K90" t="s">
        <v>294</v>
      </c>
      <c r="L90">
        <v>1000</v>
      </c>
      <c r="M90" t="s">
        <v>13</v>
      </c>
      <c r="O90" t="s">
        <v>17</v>
      </c>
      <c r="P90" t="s">
        <v>233</v>
      </c>
      <c r="Q90" t="s">
        <v>80</v>
      </c>
    </row>
    <row r="91" spans="1:17" x14ac:dyDescent="0.2">
      <c r="A91">
        <v>88</v>
      </c>
      <c r="B91" t="s">
        <v>24</v>
      </c>
      <c r="C91">
        <v>2020</v>
      </c>
      <c r="D91" t="s">
        <v>25</v>
      </c>
      <c r="E91" t="s">
        <v>66</v>
      </c>
      <c r="F91" t="s">
        <v>65</v>
      </c>
      <c r="G91" t="s">
        <v>76</v>
      </c>
      <c r="H91" t="s">
        <v>232</v>
      </c>
      <c r="I91" t="s">
        <v>72</v>
      </c>
      <c r="J91" t="s">
        <v>139</v>
      </c>
      <c r="K91" t="s">
        <v>294</v>
      </c>
      <c r="L91">
        <v>1000</v>
      </c>
      <c r="M91" t="s">
        <v>13</v>
      </c>
      <c r="O91" t="s">
        <v>17</v>
      </c>
      <c r="P91" t="s">
        <v>233</v>
      </c>
      <c r="Q91" t="s">
        <v>80</v>
      </c>
    </row>
    <row r="92" spans="1:17" x14ac:dyDescent="0.2">
      <c r="A92">
        <v>89</v>
      </c>
      <c r="B92" t="s">
        <v>24</v>
      </c>
      <c r="C92">
        <v>2020</v>
      </c>
      <c r="D92" t="s">
        <v>25</v>
      </c>
      <c r="E92" t="s">
        <v>66</v>
      </c>
      <c r="F92" t="s">
        <v>65</v>
      </c>
      <c r="G92" t="s">
        <v>76</v>
      </c>
      <c r="H92" t="s">
        <v>70</v>
      </c>
      <c r="I92" t="s">
        <v>74</v>
      </c>
      <c r="K92" t="s">
        <v>68</v>
      </c>
      <c r="L92">
        <v>1000</v>
      </c>
      <c r="M92" t="s">
        <v>13</v>
      </c>
      <c r="O92" t="s">
        <v>18</v>
      </c>
      <c r="P92" t="s">
        <v>233</v>
      </c>
      <c r="Q92" t="s">
        <v>80</v>
      </c>
    </row>
    <row r="93" spans="1:17" x14ac:dyDescent="0.2">
      <c r="A93">
        <v>90</v>
      </c>
      <c r="B93" t="s">
        <v>24</v>
      </c>
      <c r="C93">
        <v>2020</v>
      </c>
      <c r="D93" t="s">
        <v>25</v>
      </c>
      <c r="E93" t="s">
        <v>66</v>
      </c>
      <c r="F93" t="s">
        <v>65</v>
      </c>
      <c r="G93" t="s">
        <v>76</v>
      </c>
      <c r="H93" t="s">
        <v>70</v>
      </c>
      <c r="I93" t="s">
        <v>8</v>
      </c>
      <c r="J93" t="s">
        <v>139</v>
      </c>
      <c r="K93" t="s">
        <v>68</v>
      </c>
      <c r="L93">
        <v>1000</v>
      </c>
      <c r="M93" t="s">
        <v>13</v>
      </c>
      <c r="O93" t="s">
        <v>18</v>
      </c>
      <c r="P93" t="s">
        <v>233</v>
      </c>
      <c r="Q93" t="s">
        <v>80</v>
      </c>
    </row>
    <row r="94" spans="1:17" x14ac:dyDescent="0.2">
      <c r="A94">
        <v>91</v>
      </c>
      <c r="B94" t="s">
        <v>24</v>
      </c>
      <c r="C94">
        <v>2020</v>
      </c>
      <c r="D94" t="s">
        <v>25</v>
      </c>
      <c r="E94" t="s">
        <v>66</v>
      </c>
      <c r="F94" t="s">
        <v>65</v>
      </c>
      <c r="G94" t="s">
        <v>76</v>
      </c>
      <c r="H94" t="s">
        <v>232</v>
      </c>
      <c r="I94" t="s">
        <v>71</v>
      </c>
      <c r="J94" t="s">
        <v>139</v>
      </c>
      <c r="K94" t="s">
        <v>68</v>
      </c>
      <c r="L94">
        <v>1000</v>
      </c>
      <c r="M94" t="s">
        <v>13</v>
      </c>
      <c r="O94" t="s">
        <v>18</v>
      </c>
      <c r="P94" t="s">
        <v>233</v>
      </c>
      <c r="Q94" t="s">
        <v>80</v>
      </c>
    </row>
    <row r="95" spans="1:17" x14ac:dyDescent="0.2">
      <c r="A95">
        <v>92</v>
      </c>
      <c r="B95" t="s">
        <v>24</v>
      </c>
      <c r="C95">
        <v>2020</v>
      </c>
      <c r="D95" t="s">
        <v>25</v>
      </c>
      <c r="E95" t="s">
        <v>66</v>
      </c>
      <c r="F95" t="s">
        <v>65</v>
      </c>
      <c r="G95" t="s">
        <v>76</v>
      </c>
      <c r="H95" t="s">
        <v>232</v>
      </c>
      <c r="I95" t="s">
        <v>72</v>
      </c>
      <c r="J95" t="s">
        <v>139</v>
      </c>
      <c r="K95" t="s">
        <v>68</v>
      </c>
      <c r="L95">
        <v>1000</v>
      </c>
      <c r="M95" t="s">
        <v>13</v>
      </c>
      <c r="O95" t="s">
        <v>18</v>
      </c>
      <c r="P95" t="s">
        <v>233</v>
      </c>
      <c r="Q95" t="s">
        <v>80</v>
      </c>
    </row>
    <row r="96" spans="1:17" x14ac:dyDescent="0.2">
      <c r="A96">
        <v>93</v>
      </c>
      <c r="B96" t="s">
        <v>24</v>
      </c>
      <c r="C96">
        <v>2020</v>
      </c>
      <c r="D96" t="s">
        <v>25</v>
      </c>
      <c r="E96" t="s">
        <v>66</v>
      </c>
      <c r="F96" t="s">
        <v>65</v>
      </c>
      <c r="G96" t="s">
        <v>76</v>
      </c>
      <c r="H96" t="s">
        <v>70</v>
      </c>
      <c r="I96" t="s">
        <v>74</v>
      </c>
      <c r="K96" t="s">
        <v>294</v>
      </c>
      <c r="L96">
        <v>1000</v>
      </c>
      <c r="M96" t="s">
        <v>13</v>
      </c>
      <c r="O96" t="s">
        <v>18</v>
      </c>
      <c r="P96" t="s">
        <v>233</v>
      </c>
      <c r="Q96" t="s">
        <v>80</v>
      </c>
    </row>
    <row r="97" spans="1:17" x14ac:dyDescent="0.2">
      <c r="A97">
        <v>94</v>
      </c>
      <c r="B97" t="s">
        <v>24</v>
      </c>
      <c r="C97">
        <v>2020</v>
      </c>
      <c r="D97" t="s">
        <v>25</v>
      </c>
      <c r="E97" t="s">
        <v>66</v>
      </c>
      <c r="F97" t="s">
        <v>65</v>
      </c>
      <c r="G97" t="s">
        <v>76</v>
      </c>
      <c r="H97" t="s">
        <v>70</v>
      </c>
      <c r="I97" t="s">
        <v>8</v>
      </c>
      <c r="J97" t="s">
        <v>139</v>
      </c>
      <c r="K97" t="s">
        <v>294</v>
      </c>
      <c r="L97">
        <v>1000</v>
      </c>
      <c r="M97" t="s">
        <v>13</v>
      </c>
      <c r="O97" t="s">
        <v>18</v>
      </c>
      <c r="P97" t="s">
        <v>233</v>
      </c>
      <c r="Q97" t="s">
        <v>80</v>
      </c>
    </row>
    <row r="98" spans="1:17" x14ac:dyDescent="0.2">
      <c r="A98">
        <v>95</v>
      </c>
      <c r="B98" t="s">
        <v>24</v>
      </c>
      <c r="C98">
        <v>2020</v>
      </c>
      <c r="D98" t="s">
        <v>25</v>
      </c>
      <c r="E98" t="s">
        <v>66</v>
      </c>
      <c r="F98" t="s">
        <v>65</v>
      </c>
      <c r="G98" t="s">
        <v>76</v>
      </c>
      <c r="H98" t="s">
        <v>232</v>
      </c>
      <c r="I98" t="s">
        <v>71</v>
      </c>
      <c r="J98" t="s">
        <v>139</v>
      </c>
      <c r="K98" t="s">
        <v>294</v>
      </c>
      <c r="L98">
        <v>1000</v>
      </c>
      <c r="M98" t="s">
        <v>13</v>
      </c>
      <c r="O98" t="s">
        <v>18</v>
      </c>
      <c r="P98" t="s">
        <v>233</v>
      </c>
      <c r="Q98" t="s">
        <v>80</v>
      </c>
    </row>
    <row r="99" spans="1:17" x14ac:dyDescent="0.2">
      <c r="A99">
        <v>96</v>
      </c>
      <c r="B99" t="s">
        <v>24</v>
      </c>
      <c r="C99">
        <v>2020</v>
      </c>
      <c r="D99" t="s">
        <v>25</v>
      </c>
      <c r="E99" t="s">
        <v>66</v>
      </c>
      <c r="F99" t="s">
        <v>65</v>
      </c>
      <c r="G99" t="s">
        <v>76</v>
      </c>
      <c r="H99" t="s">
        <v>232</v>
      </c>
      <c r="I99" t="s">
        <v>72</v>
      </c>
      <c r="J99" t="s">
        <v>139</v>
      </c>
      <c r="K99" t="s">
        <v>294</v>
      </c>
      <c r="L99">
        <v>1000</v>
      </c>
      <c r="M99" t="s">
        <v>13</v>
      </c>
      <c r="O99" t="s">
        <v>18</v>
      </c>
      <c r="P99" t="s">
        <v>233</v>
      </c>
      <c r="Q99" t="s">
        <v>80</v>
      </c>
    </row>
    <row r="100" spans="1:17" x14ac:dyDescent="0.2">
      <c r="A100">
        <v>97</v>
      </c>
      <c r="B100" t="s">
        <v>24</v>
      </c>
      <c r="C100">
        <v>2020</v>
      </c>
      <c r="D100" t="s">
        <v>25</v>
      </c>
      <c r="E100" t="s">
        <v>66</v>
      </c>
      <c r="F100" t="s">
        <v>65</v>
      </c>
      <c r="G100" t="s">
        <v>76</v>
      </c>
      <c r="H100" t="s">
        <v>70</v>
      </c>
      <c r="I100" t="s">
        <v>74</v>
      </c>
      <c r="K100" t="s">
        <v>68</v>
      </c>
      <c r="L100">
        <v>1300</v>
      </c>
      <c r="M100" t="s">
        <v>13</v>
      </c>
      <c r="O100" t="s">
        <v>16</v>
      </c>
      <c r="P100" t="s">
        <v>233</v>
      </c>
      <c r="Q100" t="s">
        <v>300</v>
      </c>
    </row>
    <row r="101" spans="1:17" x14ac:dyDescent="0.2">
      <c r="A101">
        <v>98</v>
      </c>
      <c r="B101" t="s">
        <v>24</v>
      </c>
      <c r="C101">
        <v>2020</v>
      </c>
      <c r="D101" t="s">
        <v>25</v>
      </c>
      <c r="E101" t="s">
        <v>66</v>
      </c>
      <c r="F101" t="s">
        <v>65</v>
      </c>
      <c r="G101" t="s">
        <v>76</v>
      </c>
      <c r="H101" t="s">
        <v>70</v>
      </c>
      <c r="I101" t="s">
        <v>8</v>
      </c>
      <c r="J101" t="s">
        <v>139</v>
      </c>
      <c r="K101" t="s">
        <v>68</v>
      </c>
      <c r="L101">
        <v>1300</v>
      </c>
      <c r="M101" t="s">
        <v>13</v>
      </c>
      <c r="O101" t="s">
        <v>16</v>
      </c>
      <c r="P101" t="s">
        <v>233</v>
      </c>
      <c r="Q101" t="s">
        <v>300</v>
      </c>
    </row>
    <row r="102" spans="1:17" x14ac:dyDescent="0.2">
      <c r="A102">
        <v>99</v>
      </c>
      <c r="B102" t="s">
        <v>24</v>
      </c>
      <c r="C102">
        <v>2020</v>
      </c>
      <c r="D102" t="s">
        <v>25</v>
      </c>
      <c r="E102" t="s">
        <v>66</v>
      </c>
      <c r="F102" t="s">
        <v>65</v>
      </c>
      <c r="G102" t="s">
        <v>76</v>
      </c>
      <c r="H102" t="s">
        <v>232</v>
      </c>
      <c r="I102" t="s">
        <v>71</v>
      </c>
      <c r="J102" t="s">
        <v>139</v>
      </c>
      <c r="K102" t="s">
        <v>68</v>
      </c>
      <c r="L102">
        <v>1300</v>
      </c>
      <c r="M102" t="s">
        <v>13</v>
      </c>
      <c r="O102" t="s">
        <v>16</v>
      </c>
      <c r="P102" t="s">
        <v>233</v>
      </c>
      <c r="Q102" t="s">
        <v>300</v>
      </c>
    </row>
    <row r="103" spans="1:17" x14ac:dyDescent="0.2">
      <c r="A103">
        <v>100</v>
      </c>
      <c r="B103" t="s">
        <v>24</v>
      </c>
      <c r="C103">
        <v>2020</v>
      </c>
      <c r="D103" t="s">
        <v>25</v>
      </c>
      <c r="E103" t="s">
        <v>66</v>
      </c>
      <c r="F103" t="s">
        <v>65</v>
      </c>
      <c r="G103" t="s">
        <v>76</v>
      </c>
      <c r="H103" t="s">
        <v>232</v>
      </c>
      <c r="I103" t="s">
        <v>72</v>
      </c>
      <c r="J103" t="s">
        <v>139</v>
      </c>
      <c r="K103" t="s">
        <v>68</v>
      </c>
      <c r="L103">
        <v>1300</v>
      </c>
      <c r="M103" t="s">
        <v>13</v>
      </c>
      <c r="O103" t="s">
        <v>16</v>
      </c>
      <c r="P103" t="s">
        <v>233</v>
      </c>
      <c r="Q103" t="s">
        <v>300</v>
      </c>
    </row>
    <row r="104" spans="1:17" x14ac:dyDescent="0.2">
      <c r="A104">
        <v>101</v>
      </c>
      <c r="B104" t="s">
        <v>24</v>
      </c>
      <c r="C104">
        <v>2020</v>
      </c>
      <c r="D104" t="s">
        <v>25</v>
      </c>
      <c r="E104" t="s">
        <v>66</v>
      </c>
      <c r="F104" t="s">
        <v>65</v>
      </c>
      <c r="G104" t="s">
        <v>76</v>
      </c>
      <c r="H104" t="s">
        <v>70</v>
      </c>
      <c r="I104" t="s">
        <v>74</v>
      </c>
      <c r="K104" t="s">
        <v>294</v>
      </c>
      <c r="L104">
        <v>1300</v>
      </c>
      <c r="M104" t="s">
        <v>13</v>
      </c>
      <c r="O104" t="s">
        <v>16</v>
      </c>
      <c r="P104" t="s">
        <v>233</v>
      </c>
      <c r="Q104" t="s">
        <v>300</v>
      </c>
    </row>
    <row r="105" spans="1:17" x14ac:dyDescent="0.2">
      <c r="A105">
        <v>102</v>
      </c>
      <c r="B105" t="s">
        <v>24</v>
      </c>
      <c r="C105">
        <v>2020</v>
      </c>
      <c r="D105" t="s">
        <v>25</v>
      </c>
      <c r="E105" t="s">
        <v>66</v>
      </c>
      <c r="F105" t="s">
        <v>65</v>
      </c>
      <c r="G105" t="s">
        <v>76</v>
      </c>
      <c r="H105" t="s">
        <v>70</v>
      </c>
      <c r="I105" t="s">
        <v>8</v>
      </c>
      <c r="J105" t="s">
        <v>139</v>
      </c>
      <c r="K105" t="s">
        <v>294</v>
      </c>
      <c r="L105">
        <v>1300</v>
      </c>
      <c r="M105" t="s">
        <v>13</v>
      </c>
      <c r="O105" t="s">
        <v>16</v>
      </c>
      <c r="P105" t="s">
        <v>233</v>
      </c>
      <c r="Q105" t="s">
        <v>300</v>
      </c>
    </row>
    <row r="106" spans="1:17" x14ac:dyDescent="0.2">
      <c r="A106">
        <v>103</v>
      </c>
      <c r="B106" t="s">
        <v>24</v>
      </c>
      <c r="C106">
        <v>2020</v>
      </c>
      <c r="D106" t="s">
        <v>25</v>
      </c>
      <c r="E106" t="s">
        <v>66</v>
      </c>
      <c r="F106" t="s">
        <v>65</v>
      </c>
      <c r="G106" t="s">
        <v>76</v>
      </c>
      <c r="H106" t="s">
        <v>232</v>
      </c>
      <c r="I106" t="s">
        <v>71</v>
      </c>
      <c r="J106" t="s">
        <v>139</v>
      </c>
      <c r="K106" t="s">
        <v>294</v>
      </c>
      <c r="L106">
        <v>1300</v>
      </c>
      <c r="M106" t="s">
        <v>13</v>
      </c>
      <c r="O106" t="s">
        <v>16</v>
      </c>
      <c r="P106" t="s">
        <v>233</v>
      </c>
      <c r="Q106" t="s">
        <v>300</v>
      </c>
    </row>
    <row r="107" spans="1:17" x14ac:dyDescent="0.2">
      <c r="A107">
        <v>104</v>
      </c>
      <c r="B107" t="s">
        <v>24</v>
      </c>
      <c r="C107">
        <v>2020</v>
      </c>
      <c r="D107" t="s">
        <v>25</v>
      </c>
      <c r="E107" t="s">
        <v>66</v>
      </c>
      <c r="F107" t="s">
        <v>65</v>
      </c>
      <c r="G107" t="s">
        <v>76</v>
      </c>
      <c r="H107" t="s">
        <v>232</v>
      </c>
      <c r="I107" t="s">
        <v>72</v>
      </c>
      <c r="J107" t="s">
        <v>139</v>
      </c>
      <c r="K107" t="s">
        <v>294</v>
      </c>
      <c r="L107">
        <v>1300</v>
      </c>
      <c r="M107" t="s">
        <v>13</v>
      </c>
      <c r="O107" t="s">
        <v>16</v>
      </c>
      <c r="P107" t="s">
        <v>233</v>
      </c>
      <c r="Q107" t="s">
        <v>300</v>
      </c>
    </row>
    <row r="108" spans="1:17" x14ac:dyDescent="0.2">
      <c r="A108">
        <v>105</v>
      </c>
      <c r="B108" t="s">
        <v>24</v>
      </c>
      <c r="C108">
        <v>2020</v>
      </c>
      <c r="D108" t="s">
        <v>25</v>
      </c>
      <c r="E108" t="s">
        <v>66</v>
      </c>
      <c r="F108" t="s">
        <v>65</v>
      </c>
      <c r="G108" t="s">
        <v>76</v>
      </c>
      <c r="H108" t="s">
        <v>70</v>
      </c>
      <c r="I108" t="s">
        <v>74</v>
      </c>
      <c r="K108" t="s">
        <v>68</v>
      </c>
      <c r="L108">
        <v>1300</v>
      </c>
      <c r="M108" t="s">
        <v>13</v>
      </c>
      <c r="O108" t="s">
        <v>17</v>
      </c>
      <c r="P108" t="s">
        <v>233</v>
      </c>
      <c r="Q108" t="s">
        <v>300</v>
      </c>
    </row>
    <row r="109" spans="1:17" x14ac:dyDescent="0.2">
      <c r="A109">
        <v>106</v>
      </c>
      <c r="B109" t="s">
        <v>24</v>
      </c>
      <c r="C109">
        <v>2020</v>
      </c>
      <c r="D109" t="s">
        <v>25</v>
      </c>
      <c r="E109" t="s">
        <v>66</v>
      </c>
      <c r="F109" t="s">
        <v>65</v>
      </c>
      <c r="G109" t="s">
        <v>76</v>
      </c>
      <c r="H109" t="s">
        <v>70</v>
      </c>
      <c r="I109" t="s">
        <v>8</v>
      </c>
      <c r="J109" t="s">
        <v>139</v>
      </c>
      <c r="K109" t="s">
        <v>68</v>
      </c>
      <c r="L109">
        <v>1300</v>
      </c>
      <c r="M109" t="s">
        <v>13</v>
      </c>
      <c r="O109" t="s">
        <v>17</v>
      </c>
      <c r="P109" t="s">
        <v>233</v>
      </c>
      <c r="Q109" t="s">
        <v>300</v>
      </c>
    </row>
    <row r="110" spans="1:17" x14ac:dyDescent="0.2">
      <c r="A110">
        <v>107</v>
      </c>
      <c r="B110" t="s">
        <v>24</v>
      </c>
      <c r="C110">
        <v>2020</v>
      </c>
      <c r="D110" t="s">
        <v>25</v>
      </c>
      <c r="E110" t="s">
        <v>66</v>
      </c>
      <c r="F110" t="s">
        <v>65</v>
      </c>
      <c r="G110" t="s">
        <v>76</v>
      </c>
      <c r="H110" t="s">
        <v>232</v>
      </c>
      <c r="I110" t="s">
        <v>71</v>
      </c>
      <c r="J110" t="s">
        <v>139</v>
      </c>
      <c r="K110" t="s">
        <v>68</v>
      </c>
      <c r="L110">
        <v>1300</v>
      </c>
      <c r="M110" t="s">
        <v>13</v>
      </c>
      <c r="O110" t="s">
        <v>17</v>
      </c>
      <c r="P110" t="s">
        <v>233</v>
      </c>
      <c r="Q110" t="s">
        <v>300</v>
      </c>
    </row>
    <row r="111" spans="1:17" x14ac:dyDescent="0.2">
      <c r="A111">
        <v>108</v>
      </c>
      <c r="B111" t="s">
        <v>24</v>
      </c>
      <c r="C111">
        <v>2020</v>
      </c>
      <c r="D111" t="s">
        <v>25</v>
      </c>
      <c r="E111" t="s">
        <v>66</v>
      </c>
      <c r="F111" t="s">
        <v>65</v>
      </c>
      <c r="G111" t="s">
        <v>76</v>
      </c>
      <c r="H111" t="s">
        <v>232</v>
      </c>
      <c r="I111" t="s">
        <v>72</v>
      </c>
      <c r="J111" t="s">
        <v>139</v>
      </c>
      <c r="K111" t="s">
        <v>68</v>
      </c>
      <c r="L111">
        <v>1300</v>
      </c>
      <c r="M111" t="s">
        <v>13</v>
      </c>
      <c r="O111" t="s">
        <v>17</v>
      </c>
      <c r="P111" t="s">
        <v>233</v>
      </c>
      <c r="Q111" t="s">
        <v>300</v>
      </c>
    </row>
    <row r="112" spans="1:17" x14ac:dyDescent="0.2">
      <c r="A112">
        <v>109</v>
      </c>
      <c r="B112" t="s">
        <v>24</v>
      </c>
      <c r="C112">
        <v>2020</v>
      </c>
      <c r="D112" t="s">
        <v>25</v>
      </c>
      <c r="E112" t="s">
        <v>66</v>
      </c>
      <c r="F112" t="s">
        <v>65</v>
      </c>
      <c r="G112" t="s">
        <v>76</v>
      </c>
      <c r="H112" t="s">
        <v>70</v>
      </c>
      <c r="I112" t="s">
        <v>74</v>
      </c>
      <c r="K112" t="s">
        <v>294</v>
      </c>
      <c r="L112">
        <v>1300</v>
      </c>
      <c r="M112" t="s">
        <v>13</v>
      </c>
      <c r="O112" t="s">
        <v>17</v>
      </c>
      <c r="P112" t="s">
        <v>233</v>
      </c>
      <c r="Q112" t="s">
        <v>300</v>
      </c>
    </row>
    <row r="113" spans="1:17" x14ac:dyDescent="0.2">
      <c r="A113">
        <v>110</v>
      </c>
      <c r="B113" t="s">
        <v>24</v>
      </c>
      <c r="C113">
        <v>2020</v>
      </c>
      <c r="D113" t="s">
        <v>25</v>
      </c>
      <c r="E113" t="s">
        <v>66</v>
      </c>
      <c r="F113" t="s">
        <v>65</v>
      </c>
      <c r="G113" t="s">
        <v>76</v>
      </c>
      <c r="H113" t="s">
        <v>70</v>
      </c>
      <c r="I113" t="s">
        <v>8</v>
      </c>
      <c r="J113" t="s">
        <v>139</v>
      </c>
      <c r="K113" t="s">
        <v>294</v>
      </c>
      <c r="L113">
        <v>1300</v>
      </c>
      <c r="M113" t="s">
        <v>13</v>
      </c>
      <c r="O113" t="s">
        <v>17</v>
      </c>
      <c r="P113" t="s">
        <v>233</v>
      </c>
      <c r="Q113" t="s">
        <v>300</v>
      </c>
    </row>
    <row r="114" spans="1:17" x14ac:dyDescent="0.2">
      <c r="A114">
        <v>111</v>
      </c>
      <c r="B114" t="s">
        <v>24</v>
      </c>
      <c r="C114">
        <v>2020</v>
      </c>
      <c r="D114" t="s">
        <v>25</v>
      </c>
      <c r="E114" t="s">
        <v>66</v>
      </c>
      <c r="F114" t="s">
        <v>65</v>
      </c>
      <c r="G114" t="s">
        <v>76</v>
      </c>
      <c r="H114" t="s">
        <v>232</v>
      </c>
      <c r="I114" t="s">
        <v>71</v>
      </c>
      <c r="J114" t="s">
        <v>139</v>
      </c>
      <c r="K114" t="s">
        <v>294</v>
      </c>
      <c r="L114">
        <v>1300</v>
      </c>
      <c r="M114" t="s">
        <v>13</v>
      </c>
      <c r="O114" t="s">
        <v>17</v>
      </c>
      <c r="P114" t="s">
        <v>233</v>
      </c>
      <c r="Q114" t="s">
        <v>300</v>
      </c>
    </row>
    <row r="115" spans="1:17" x14ac:dyDescent="0.2">
      <c r="A115">
        <v>112</v>
      </c>
      <c r="B115" t="s">
        <v>24</v>
      </c>
      <c r="C115">
        <v>2020</v>
      </c>
      <c r="D115" t="s">
        <v>25</v>
      </c>
      <c r="E115" t="s">
        <v>66</v>
      </c>
      <c r="F115" t="s">
        <v>65</v>
      </c>
      <c r="G115" t="s">
        <v>76</v>
      </c>
      <c r="H115" t="s">
        <v>232</v>
      </c>
      <c r="I115" t="s">
        <v>72</v>
      </c>
      <c r="J115" t="s">
        <v>139</v>
      </c>
      <c r="K115" t="s">
        <v>294</v>
      </c>
      <c r="L115">
        <v>1300</v>
      </c>
      <c r="M115" t="s">
        <v>13</v>
      </c>
      <c r="O115" t="s">
        <v>17</v>
      </c>
      <c r="P115" t="s">
        <v>233</v>
      </c>
      <c r="Q115" t="s">
        <v>300</v>
      </c>
    </row>
    <row r="116" spans="1:17" x14ac:dyDescent="0.2">
      <c r="A116">
        <v>113</v>
      </c>
      <c r="B116" t="s">
        <v>24</v>
      </c>
      <c r="C116">
        <v>2020</v>
      </c>
      <c r="D116" t="s">
        <v>25</v>
      </c>
      <c r="E116" t="s">
        <v>66</v>
      </c>
      <c r="F116" t="s">
        <v>65</v>
      </c>
      <c r="G116" t="s">
        <v>76</v>
      </c>
      <c r="H116" t="s">
        <v>70</v>
      </c>
      <c r="I116" t="s">
        <v>74</v>
      </c>
      <c r="K116" t="s">
        <v>68</v>
      </c>
      <c r="L116">
        <v>1300</v>
      </c>
      <c r="M116" t="s">
        <v>13</v>
      </c>
      <c r="O116" t="s">
        <v>18</v>
      </c>
      <c r="P116" t="s">
        <v>233</v>
      </c>
      <c r="Q116" t="s">
        <v>300</v>
      </c>
    </row>
    <row r="117" spans="1:17" x14ac:dyDescent="0.2">
      <c r="A117">
        <v>114</v>
      </c>
      <c r="B117" t="s">
        <v>24</v>
      </c>
      <c r="C117">
        <v>2020</v>
      </c>
      <c r="D117" t="s">
        <v>25</v>
      </c>
      <c r="E117" t="s">
        <v>66</v>
      </c>
      <c r="F117" t="s">
        <v>65</v>
      </c>
      <c r="G117" t="s">
        <v>76</v>
      </c>
      <c r="H117" t="s">
        <v>70</v>
      </c>
      <c r="I117" t="s">
        <v>8</v>
      </c>
      <c r="J117" t="s">
        <v>139</v>
      </c>
      <c r="K117" t="s">
        <v>68</v>
      </c>
      <c r="L117">
        <v>1300</v>
      </c>
      <c r="M117" t="s">
        <v>13</v>
      </c>
      <c r="O117" t="s">
        <v>18</v>
      </c>
      <c r="P117" t="s">
        <v>233</v>
      </c>
      <c r="Q117" t="s">
        <v>300</v>
      </c>
    </row>
    <row r="118" spans="1:17" x14ac:dyDescent="0.2">
      <c r="A118">
        <v>115</v>
      </c>
      <c r="B118" t="s">
        <v>24</v>
      </c>
      <c r="C118">
        <v>2020</v>
      </c>
      <c r="D118" t="s">
        <v>25</v>
      </c>
      <c r="E118" t="s">
        <v>66</v>
      </c>
      <c r="F118" t="s">
        <v>65</v>
      </c>
      <c r="G118" t="s">
        <v>76</v>
      </c>
      <c r="H118" t="s">
        <v>232</v>
      </c>
      <c r="I118" t="s">
        <v>71</v>
      </c>
      <c r="J118" t="s">
        <v>139</v>
      </c>
      <c r="K118" t="s">
        <v>68</v>
      </c>
      <c r="L118">
        <v>1300</v>
      </c>
      <c r="M118" t="s">
        <v>13</v>
      </c>
      <c r="O118" t="s">
        <v>18</v>
      </c>
      <c r="P118" t="s">
        <v>233</v>
      </c>
      <c r="Q118" t="s">
        <v>300</v>
      </c>
    </row>
    <row r="119" spans="1:17" x14ac:dyDescent="0.2">
      <c r="A119">
        <v>116</v>
      </c>
      <c r="B119" t="s">
        <v>24</v>
      </c>
      <c r="C119">
        <v>2020</v>
      </c>
      <c r="D119" t="s">
        <v>25</v>
      </c>
      <c r="E119" t="s">
        <v>66</v>
      </c>
      <c r="F119" t="s">
        <v>65</v>
      </c>
      <c r="G119" t="s">
        <v>76</v>
      </c>
      <c r="H119" t="s">
        <v>232</v>
      </c>
      <c r="I119" t="s">
        <v>72</v>
      </c>
      <c r="J119" t="s">
        <v>139</v>
      </c>
      <c r="K119" t="s">
        <v>68</v>
      </c>
      <c r="L119">
        <v>1300</v>
      </c>
      <c r="M119" t="s">
        <v>13</v>
      </c>
      <c r="O119" t="s">
        <v>18</v>
      </c>
      <c r="P119" t="s">
        <v>233</v>
      </c>
      <c r="Q119" t="s">
        <v>300</v>
      </c>
    </row>
    <row r="120" spans="1:17" x14ac:dyDescent="0.2">
      <c r="A120">
        <v>117</v>
      </c>
      <c r="B120" t="s">
        <v>24</v>
      </c>
      <c r="C120">
        <v>2020</v>
      </c>
      <c r="D120" t="s">
        <v>25</v>
      </c>
      <c r="E120" t="s">
        <v>66</v>
      </c>
      <c r="F120" t="s">
        <v>65</v>
      </c>
      <c r="G120" t="s">
        <v>76</v>
      </c>
      <c r="H120" t="s">
        <v>70</v>
      </c>
      <c r="I120" t="s">
        <v>74</v>
      </c>
      <c r="K120" t="s">
        <v>294</v>
      </c>
      <c r="L120">
        <v>1300</v>
      </c>
      <c r="M120" t="s">
        <v>13</v>
      </c>
      <c r="O120" t="s">
        <v>18</v>
      </c>
      <c r="P120" t="s">
        <v>233</v>
      </c>
      <c r="Q120" t="s">
        <v>300</v>
      </c>
    </row>
    <row r="121" spans="1:17" x14ac:dyDescent="0.2">
      <c r="A121">
        <v>118</v>
      </c>
      <c r="B121" t="s">
        <v>24</v>
      </c>
      <c r="C121">
        <v>2020</v>
      </c>
      <c r="D121" t="s">
        <v>25</v>
      </c>
      <c r="E121" t="s">
        <v>66</v>
      </c>
      <c r="F121" t="s">
        <v>65</v>
      </c>
      <c r="G121" t="s">
        <v>76</v>
      </c>
      <c r="H121" t="s">
        <v>70</v>
      </c>
      <c r="I121" t="s">
        <v>8</v>
      </c>
      <c r="J121" t="s">
        <v>139</v>
      </c>
      <c r="K121" t="s">
        <v>294</v>
      </c>
      <c r="L121">
        <v>1300</v>
      </c>
      <c r="M121" t="s">
        <v>13</v>
      </c>
      <c r="O121" t="s">
        <v>18</v>
      </c>
      <c r="P121" t="s">
        <v>233</v>
      </c>
      <c r="Q121" t="s">
        <v>300</v>
      </c>
    </row>
    <row r="122" spans="1:17" x14ac:dyDescent="0.2">
      <c r="A122">
        <v>119</v>
      </c>
      <c r="B122" t="s">
        <v>24</v>
      </c>
      <c r="C122">
        <v>2020</v>
      </c>
      <c r="D122" t="s">
        <v>25</v>
      </c>
      <c r="E122" t="s">
        <v>66</v>
      </c>
      <c r="F122" t="s">
        <v>65</v>
      </c>
      <c r="G122" t="s">
        <v>76</v>
      </c>
      <c r="H122" t="s">
        <v>232</v>
      </c>
      <c r="I122" t="s">
        <v>71</v>
      </c>
      <c r="J122" t="s">
        <v>139</v>
      </c>
      <c r="K122" t="s">
        <v>294</v>
      </c>
      <c r="L122">
        <v>1300</v>
      </c>
      <c r="M122" t="s">
        <v>13</v>
      </c>
      <c r="O122" t="s">
        <v>18</v>
      </c>
      <c r="P122" t="s">
        <v>233</v>
      </c>
      <c r="Q122" t="s">
        <v>300</v>
      </c>
    </row>
    <row r="123" spans="1:17" x14ac:dyDescent="0.2">
      <c r="A123">
        <v>120</v>
      </c>
      <c r="B123" t="s">
        <v>24</v>
      </c>
      <c r="C123">
        <v>2020</v>
      </c>
      <c r="D123" t="s">
        <v>25</v>
      </c>
      <c r="E123" t="s">
        <v>66</v>
      </c>
      <c r="F123" t="s">
        <v>65</v>
      </c>
      <c r="G123" t="s">
        <v>76</v>
      </c>
      <c r="H123" t="s">
        <v>232</v>
      </c>
      <c r="I123" t="s">
        <v>72</v>
      </c>
      <c r="J123" t="s">
        <v>139</v>
      </c>
      <c r="K123" t="s">
        <v>294</v>
      </c>
      <c r="L123">
        <v>1300</v>
      </c>
      <c r="M123" t="s">
        <v>13</v>
      </c>
      <c r="O123" t="s">
        <v>18</v>
      </c>
      <c r="P123" t="s">
        <v>233</v>
      </c>
      <c r="Q123" t="s">
        <v>300</v>
      </c>
    </row>
    <row r="124" spans="1:17" x14ac:dyDescent="0.2">
      <c r="A124">
        <v>121</v>
      </c>
      <c r="B124" t="s">
        <v>24</v>
      </c>
      <c r="C124">
        <v>2020</v>
      </c>
      <c r="D124" t="s">
        <v>25</v>
      </c>
      <c r="E124" t="s">
        <v>66</v>
      </c>
      <c r="F124" t="s">
        <v>65</v>
      </c>
      <c r="G124" t="s">
        <v>76</v>
      </c>
      <c r="H124" t="s">
        <v>70</v>
      </c>
      <c r="I124" t="s">
        <v>74</v>
      </c>
      <c r="K124" t="s">
        <v>68</v>
      </c>
      <c r="L124">
        <v>500</v>
      </c>
      <c r="M124" t="s">
        <v>13</v>
      </c>
      <c r="O124" t="s">
        <v>19</v>
      </c>
      <c r="P124" t="s">
        <v>79</v>
      </c>
      <c r="Q124" t="s">
        <v>24</v>
      </c>
    </row>
    <row r="125" spans="1:17" x14ac:dyDescent="0.2">
      <c r="A125">
        <v>122</v>
      </c>
      <c r="B125" t="s">
        <v>24</v>
      </c>
      <c r="C125">
        <v>2020</v>
      </c>
      <c r="D125" t="s">
        <v>25</v>
      </c>
      <c r="E125" t="s">
        <v>66</v>
      </c>
      <c r="F125" t="s">
        <v>65</v>
      </c>
      <c r="G125" t="s">
        <v>76</v>
      </c>
      <c r="H125" t="s">
        <v>70</v>
      </c>
      <c r="I125" t="s">
        <v>8</v>
      </c>
      <c r="J125" t="s">
        <v>139</v>
      </c>
      <c r="K125" t="s">
        <v>68</v>
      </c>
      <c r="L125">
        <v>500</v>
      </c>
      <c r="M125" t="s">
        <v>13</v>
      </c>
      <c r="O125" t="s">
        <v>19</v>
      </c>
      <c r="P125" t="s">
        <v>79</v>
      </c>
      <c r="Q125" t="s">
        <v>24</v>
      </c>
    </row>
    <row r="126" spans="1:17" x14ac:dyDescent="0.2">
      <c r="A126">
        <v>123</v>
      </c>
      <c r="B126" t="s">
        <v>24</v>
      </c>
      <c r="C126">
        <v>2020</v>
      </c>
      <c r="D126" t="s">
        <v>25</v>
      </c>
      <c r="E126" t="s">
        <v>66</v>
      </c>
      <c r="F126" t="s">
        <v>65</v>
      </c>
      <c r="G126" t="s">
        <v>76</v>
      </c>
      <c r="H126" t="s">
        <v>232</v>
      </c>
      <c r="I126" t="s">
        <v>71</v>
      </c>
      <c r="J126" t="s">
        <v>139</v>
      </c>
      <c r="K126" t="s">
        <v>68</v>
      </c>
      <c r="L126">
        <v>500</v>
      </c>
      <c r="M126" t="s">
        <v>13</v>
      </c>
      <c r="O126" t="s">
        <v>19</v>
      </c>
      <c r="P126" t="s">
        <v>79</v>
      </c>
      <c r="Q126" t="s">
        <v>24</v>
      </c>
    </row>
    <row r="127" spans="1:17" x14ac:dyDescent="0.2">
      <c r="A127">
        <v>124</v>
      </c>
      <c r="B127" t="s">
        <v>24</v>
      </c>
      <c r="C127">
        <v>2020</v>
      </c>
      <c r="D127" t="s">
        <v>25</v>
      </c>
      <c r="E127" t="s">
        <v>66</v>
      </c>
      <c r="F127" t="s">
        <v>65</v>
      </c>
      <c r="G127" t="s">
        <v>76</v>
      </c>
      <c r="H127" t="s">
        <v>232</v>
      </c>
      <c r="I127" t="s">
        <v>72</v>
      </c>
      <c r="J127" t="s">
        <v>139</v>
      </c>
      <c r="K127" t="s">
        <v>68</v>
      </c>
      <c r="L127">
        <v>500</v>
      </c>
      <c r="M127" t="s">
        <v>13</v>
      </c>
      <c r="O127" t="s">
        <v>19</v>
      </c>
      <c r="P127" t="s">
        <v>79</v>
      </c>
      <c r="Q127" t="s">
        <v>24</v>
      </c>
    </row>
    <row r="128" spans="1:17" x14ac:dyDescent="0.2">
      <c r="A128">
        <v>125</v>
      </c>
      <c r="B128" t="s">
        <v>24</v>
      </c>
      <c r="C128">
        <v>2020</v>
      </c>
      <c r="D128" t="s">
        <v>25</v>
      </c>
      <c r="E128" t="s">
        <v>66</v>
      </c>
      <c r="F128" t="s">
        <v>65</v>
      </c>
      <c r="G128" t="s">
        <v>76</v>
      </c>
      <c r="H128" t="s">
        <v>70</v>
      </c>
      <c r="I128" t="s">
        <v>74</v>
      </c>
      <c r="K128" t="s">
        <v>69</v>
      </c>
      <c r="L128">
        <v>200</v>
      </c>
      <c r="M128" t="s">
        <v>13</v>
      </c>
      <c r="O128" t="s">
        <v>19</v>
      </c>
      <c r="P128" t="s">
        <v>79</v>
      </c>
      <c r="Q128" t="s">
        <v>24</v>
      </c>
    </row>
    <row r="129" spans="1:17" x14ac:dyDescent="0.2">
      <c r="A129">
        <v>126</v>
      </c>
      <c r="B129" t="s">
        <v>24</v>
      </c>
      <c r="C129">
        <v>2020</v>
      </c>
      <c r="D129" t="s">
        <v>25</v>
      </c>
      <c r="E129" t="s">
        <v>66</v>
      </c>
      <c r="F129" t="s">
        <v>65</v>
      </c>
      <c r="G129" t="s">
        <v>76</v>
      </c>
      <c r="H129" t="s">
        <v>70</v>
      </c>
      <c r="I129" t="s">
        <v>8</v>
      </c>
      <c r="J129" t="s">
        <v>139</v>
      </c>
      <c r="K129" t="s">
        <v>69</v>
      </c>
      <c r="L129">
        <v>200</v>
      </c>
      <c r="M129" t="s">
        <v>13</v>
      </c>
      <c r="O129" t="s">
        <v>19</v>
      </c>
      <c r="P129" t="s">
        <v>79</v>
      </c>
      <c r="Q129" t="s">
        <v>24</v>
      </c>
    </row>
    <row r="130" spans="1:17" x14ac:dyDescent="0.2">
      <c r="A130">
        <v>127</v>
      </c>
      <c r="B130" t="s">
        <v>24</v>
      </c>
      <c r="C130">
        <v>2020</v>
      </c>
      <c r="D130" t="s">
        <v>25</v>
      </c>
      <c r="E130" t="s">
        <v>66</v>
      </c>
      <c r="F130" t="s">
        <v>65</v>
      </c>
      <c r="G130" t="s">
        <v>76</v>
      </c>
      <c r="H130" t="s">
        <v>232</v>
      </c>
      <c r="I130" t="s">
        <v>71</v>
      </c>
      <c r="J130" t="s">
        <v>139</v>
      </c>
      <c r="K130" t="s">
        <v>69</v>
      </c>
      <c r="L130">
        <v>200</v>
      </c>
      <c r="M130" t="s">
        <v>13</v>
      </c>
      <c r="O130" t="s">
        <v>19</v>
      </c>
      <c r="P130" t="s">
        <v>79</v>
      </c>
      <c r="Q130" t="s">
        <v>24</v>
      </c>
    </row>
    <row r="131" spans="1:17" x14ac:dyDescent="0.2">
      <c r="A131">
        <v>128</v>
      </c>
      <c r="B131" t="s">
        <v>24</v>
      </c>
      <c r="C131">
        <v>2020</v>
      </c>
      <c r="D131" t="s">
        <v>25</v>
      </c>
      <c r="E131" t="s">
        <v>66</v>
      </c>
      <c r="F131" t="s">
        <v>65</v>
      </c>
      <c r="G131" t="s">
        <v>76</v>
      </c>
      <c r="H131" t="s">
        <v>232</v>
      </c>
      <c r="I131" t="s">
        <v>72</v>
      </c>
      <c r="J131" t="s">
        <v>139</v>
      </c>
      <c r="K131" t="s">
        <v>69</v>
      </c>
      <c r="L131">
        <v>200</v>
      </c>
      <c r="M131" t="s">
        <v>13</v>
      </c>
      <c r="O131" t="s">
        <v>19</v>
      </c>
      <c r="P131" t="s">
        <v>79</v>
      </c>
      <c r="Q131" t="s">
        <v>24</v>
      </c>
    </row>
    <row r="132" spans="1:17" x14ac:dyDescent="0.2">
      <c r="A132">
        <v>129</v>
      </c>
      <c r="B132" t="s">
        <v>24</v>
      </c>
      <c r="C132">
        <v>2020</v>
      </c>
      <c r="D132" t="s">
        <v>25</v>
      </c>
      <c r="E132" t="s">
        <v>66</v>
      </c>
      <c r="F132" t="s">
        <v>65</v>
      </c>
      <c r="G132" t="s">
        <v>76</v>
      </c>
      <c r="H132" t="s">
        <v>70</v>
      </c>
      <c r="I132" t="s">
        <v>74</v>
      </c>
      <c r="K132" t="s">
        <v>68</v>
      </c>
      <c r="L132">
        <v>500</v>
      </c>
      <c r="M132" t="s">
        <v>13</v>
      </c>
      <c r="O132" t="s">
        <v>20</v>
      </c>
      <c r="P132" t="s">
        <v>79</v>
      </c>
      <c r="Q132" t="s">
        <v>24</v>
      </c>
    </row>
    <row r="133" spans="1:17" x14ac:dyDescent="0.2">
      <c r="A133">
        <v>130</v>
      </c>
      <c r="B133" t="s">
        <v>24</v>
      </c>
      <c r="C133">
        <v>2020</v>
      </c>
      <c r="D133" t="s">
        <v>25</v>
      </c>
      <c r="E133" t="s">
        <v>66</v>
      </c>
      <c r="F133" t="s">
        <v>65</v>
      </c>
      <c r="G133" t="s">
        <v>76</v>
      </c>
      <c r="H133" t="s">
        <v>70</v>
      </c>
      <c r="I133" t="s">
        <v>8</v>
      </c>
      <c r="J133" t="s">
        <v>139</v>
      </c>
      <c r="K133" t="s">
        <v>68</v>
      </c>
      <c r="L133">
        <v>500</v>
      </c>
      <c r="M133" t="s">
        <v>13</v>
      </c>
      <c r="O133" t="s">
        <v>20</v>
      </c>
      <c r="P133" t="s">
        <v>79</v>
      </c>
      <c r="Q133" t="s">
        <v>24</v>
      </c>
    </row>
    <row r="134" spans="1:17" x14ac:dyDescent="0.2">
      <c r="A134">
        <v>131</v>
      </c>
      <c r="B134" t="s">
        <v>24</v>
      </c>
      <c r="C134">
        <v>2020</v>
      </c>
      <c r="D134" t="s">
        <v>25</v>
      </c>
      <c r="E134" t="s">
        <v>66</v>
      </c>
      <c r="F134" t="s">
        <v>65</v>
      </c>
      <c r="G134" t="s">
        <v>76</v>
      </c>
      <c r="H134" t="s">
        <v>232</v>
      </c>
      <c r="I134" t="s">
        <v>71</v>
      </c>
      <c r="J134" t="s">
        <v>139</v>
      </c>
      <c r="K134" t="s">
        <v>68</v>
      </c>
      <c r="L134">
        <v>500</v>
      </c>
      <c r="M134" t="s">
        <v>13</v>
      </c>
      <c r="O134" t="s">
        <v>20</v>
      </c>
      <c r="P134" t="s">
        <v>79</v>
      </c>
      <c r="Q134" t="s">
        <v>24</v>
      </c>
    </row>
    <row r="135" spans="1:17" x14ac:dyDescent="0.2">
      <c r="A135">
        <v>132</v>
      </c>
      <c r="B135" t="s">
        <v>24</v>
      </c>
      <c r="C135">
        <v>2020</v>
      </c>
      <c r="D135" t="s">
        <v>25</v>
      </c>
      <c r="E135" t="s">
        <v>66</v>
      </c>
      <c r="F135" t="s">
        <v>65</v>
      </c>
      <c r="G135" t="s">
        <v>76</v>
      </c>
      <c r="H135" t="s">
        <v>232</v>
      </c>
      <c r="I135" t="s">
        <v>72</v>
      </c>
      <c r="J135" t="s">
        <v>139</v>
      </c>
      <c r="K135" t="s">
        <v>68</v>
      </c>
      <c r="L135">
        <v>500</v>
      </c>
      <c r="M135" t="s">
        <v>13</v>
      </c>
      <c r="O135" t="s">
        <v>20</v>
      </c>
      <c r="P135" t="s">
        <v>79</v>
      </c>
      <c r="Q135" t="s">
        <v>24</v>
      </c>
    </row>
    <row r="136" spans="1:17" x14ac:dyDescent="0.2">
      <c r="A136">
        <v>133</v>
      </c>
      <c r="B136" t="s">
        <v>24</v>
      </c>
      <c r="C136">
        <v>2020</v>
      </c>
      <c r="D136" t="s">
        <v>25</v>
      </c>
      <c r="E136" t="s">
        <v>66</v>
      </c>
      <c r="F136" t="s">
        <v>65</v>
      </c>
      <c r="G136" t="s">
        <v>76</v>
      </c>
      <c r="H136" t="s">
        <v>70</v>
      </c>
      <c r="I136" t="s">
        <v>74</v>
      </c>
      <c r="K136" t="s">
        <v>69</v>
      </c>
      <c r="L136">
        <v>200</v>
      </c>
      <c r="M136" t="s">
        <v>13</v>
      </c>
      <c r="O136" t="s">
        <v>20</v>
      </c>
      <c r="P136" t="s">
        <v>79</v>
      </c>
      <c r="Q136" t="s">
        <v>24</v>
      </c>
    </row>
    <row r="137" spans="1:17" x14ac:dyDescent="0.2">
      <c r="A137">
        <v>134</v>
      </c>
      <c r="B137" t="s">
        <v>24</v>
      </c>
      <c r="C137">
        <v>2020</v>
      </c>
      <c r="D137" t="s">
        <v>25</v>
      </c>
      <c r="E137" t="s">
        <v>66</v>
      </c>
      <c r="F137" t="s">
        <v>65</v>
      </c>
      <c r="G137" t="s">
        <v>76</v>
      </c>
      <c r="H137" t="s">
        <v>70</v>
      </c>
      <c r="I137" t="s">
        <v>8</v>
      </c>
      <c r="J137" t="s">
        <v>139</v>
      </c>
      <c r="K137" t="s">
        <v>69</v>
      </c>
      <c r="L137">
        <v>200</v>
      </c>
      <c r="M137" t="s">
        <v>13</v>
      </c>
      <c r="O137" t="s">
        <v>20</v>
      </c>
      <c r="P137" t="s">
        <v>79</v>
      </c>
      <c r="Q137" t="s">
        <v>24</v>
      </c>
    </row>
    <row r="138" spans="1:17" x14ac:dyDescent="0.2">
      <c r="A138">
        <v>135</v>
      </c>
      <c r="B138" t="s">
        <v>24</v>
      </c>
      <c r="C138">
        <v>2020</v>
      </c>
      <c r="D138" t="s">
        <v>25</v>
      </c>
      <c r="E138" t="s">
        <v>66</v>
      </c>
      <c r="F138" t="s">
        <v>65</v>
      </c>
      <c r="G138" t="s">
        <v>76</v>
      </c>
      <c r="H138" t="s">
        <v>232</v>
      </c>
      <c r="I138" t="s">
        <v>71</v>
      </c>
      <c r="J138" t="s">
        <v>139</v>
      </c>
      <c r="K138" t="s">
        <v>69</v>
      </c>
      <c r="L138">
        <v>200</v>
      </c>
      <c r="M138" t="s">
        <v>13</v>
      </c>
      <c r="O138" t="s">
        <v>20</v>
      </c>
      <c r="P138" t="s">
        <v>79</v>
      </c>
      <c r="Q138" t="s">
        <v>24</v>
      </c>
    </row>
    <row r="139" spans="1:17" x14ac:dyDescent="0.2">
      <c r="A139">
        <v>136</v>
      </c>
      <c r="B139" t="s">
        <v>24</v>
      </c>
      <c r="C139">
        <v>2020</v>
      </c>
      <c r="D139" t="s">
        <v>25</v>
      </c>
      <c r="E139" t="s">
        <v>66</v>
      </c>
      <c r="F139" t="s">
        <v>65</v>
      </c>
      <c r="G139" t="s">
        <v>76</v>
      </c>
      <c r="H139" t="s">
        <v>232</v>
      </c>
      <c r="I139" t="s">
        <v>72</v>
      </c>
      <c r="J139" t="s">
        <v>139</v>
      </c>
      <c r="K139" t="s">
        <v>69</v>
      </c>
      <c r="L139">
        <v>200</v>
      </c>
      <c r="M139" t="s">
        <v>13</v>
      </c>
      <c r="O139" t="s">
        <v>20</v>
      </c>
      <c r="P139" t="s">
        <v>79</v>
      </c>
      <c r="Q139" t="s">
        <v>24</v>
      </c>
    </row>
    <row r="140" spans="1:17" x14ac:dyDescent="0.2">
      <c r="A140">
        <v>137</v>
      </c>
      <c r="B140" t="s">
        <v>24</v>
      </c>
      <c r="C140">
        <v>2020</v>
      </c>
      <c r="D140" t="s">
        <v>25</v>
      </c>
      <c r="E140" t="s">
        <v>66</v>
      </c>
      <c r="F140" t="s">
        <v>65</v>
      </c>
      <c r="G140" t="s">
        <v>76</v>
      </c>
      <c r="H140" t="s">
        <v>70</v>
      </c>
      <c r="I140" t="s">
        <v>74</v>
      </c>
      <c r="K140" t="s">
        <v>68</v>
      </c>
      <c r="L140">
        <v>500</v>
      </c>
      <c r="M140" t="s">
        <v>13</v>
      </c>
      <c r="O140" t="s">
        <v>21</v>
      </c>
      <c r="P140" t="s">
        <v>79</v>
      </c>
      <c r="Q140" t="s">
        <v>24</v>
      </c>
    </row>
    <row r="141" spans="1:17" x14ac:dyDescent="0.2">
      <c r="A141">
        <v>138</v>
      </c>
      <c r="B141" t="s">
        <v>24</v>
      </c>
      <c r="C141">
        <v>2020</v>
      </c>
      <c r="D141" t="s">
        <v>25</v>
      </c>
      <c r="E141" t="s">
        <v>66</v>
      </c>
      <c r="F141" t="s">
        <v>65</v>
      </c>
      <c r="G141" t="s">
        <v>76</v>
      </c>
      <c r="H141" t="s">
        <v>70</v>
      </c>
      <c r="I141" t="s">
        <v>8</v>
      </c>
      <c r="J141" t="s">
        <v>139</v>
      </c>
      <c r="K141" t="s">
        <v>68</v>
      </c>
      <c r="L141">
        <v>500</v>
      </c>
      <c r="M141" t="s">
        <v>13</v>
      </c>
      <c r="O141" t="s">
        <v>21</v>
      </c>
      <c r="P141" t="s">
        <v>79</v>
      </c>
      <c r="Q141" t="s">
        <v>24</v>
      </c>
    </row>
    <row r="142" spans="1:17" x14ac:dyDescent="0.2">
      <c r="A142">
        <v>139</v>
      </c>
      <c r="B142" t="s">
        <v>24</v>
      </c>
      <c r="C142">
        <v>2020</v>
      </c>
      <c r="D142" t="s">
        <v>25</v>
      </c>
      <c r="E142" t="s">
        <v>66</v>
      </c>
      <c r="F142" t="s">
        <v>65</v>
      </c>
      <c r="G142" t="s">
        <v>76</v>
      </c>
      <c r="H142" t="s">
        <v>232</v>
      </c>
      <c r="I142" t="s">
        <v>71</v>
      </c>
      <c r="J142" t="s">
        <v>139</v>
      </c>
      <c r="K142" t="s">
        <v>68</v>
      </c>
      <c r="L142">
        <v>500</v>
      </c>
      <c r="M142" t="s">
        <v>13</v>
      </c>
      <c r="O142" t="s">
        <v>21</v>
      </c>
      <c r="P142" t="s">
        <v>79</v>
      </c>
      <c r="Q142" t="s">
        <v>24</v>
      </c>
    </row>
    <row r="143" spans="1:17" x14ac:dyDescent="0.2">
      <c r="A143">
        <v>140</v>
      </c>
      <c r="B143" t="s">
        <v>24</v>
      </c>
      <c r="C143">
        <v>2020</v>
      </c>
      <c r="D143" t="s">
        <v>25</v>
      </c>
      <c r="E143" t="s">
        <v>66</v>
      </c>
      <c r="F143" t="s">
        <v>65</v>
      </c>
      <c r="G143" t="s">
        <v>76</v>
      </c>
      <c r="H143" t="s">
        <v>232</v>
      </c>
      <c r="I143" t="s">
        <v>72</v>
      </c>
      <c r="J143" t="s">
        <v>139</v>
      </c>
      <c r="K143" t="s">
        <v>68</v>
      </c>
      <c r="L143">
        <v>500</v>
      </c>
      <c r="M143" t="s">
        <v>13</v>
      </c>
      <c r="O143" t="s">
        <v>21</v>
      </c>
      <c r="P143" t="s">
        <v>79</v>
      </c>
      <c r="Q143" t="s">
        <v>24</v>
      </c>
    </row>
    <row r="144" spans="1:17" x14ac:dyDescent="0.2">
      <c r="A144">
        <v>141</v>
      </c>
      <c r="B144" t="s">
        <v>24</v>
      </c>
      <c r="C144">
        <v>2020</v>
      </c>
      <c r="D144" t="s">
        <v>25</v>
      </c>
      <c r="E144" t="s">
        <v>66</v>
      </c>
      <c r="F144" t="s">
        <v>65</v>
      </c>
      <c r="G144" t="s">
        <v>76</v>
      </c>
      <c r="H144" t="s">
        <v>70</v>
      </c>
      <c r="I144" t="s">
        <v>74</v>
      </c>
      <c r="K144" t="s">
        <v>69</v>
      </c>
      <c r="L144">
        <v>200</v>
      </c>
      <c r="M144" t="s">
        <v>13</v>
      </c>
      <c r="O144" t="s">
        <v>21</v>
      </c>
      <c r="P144" t="s">
        <v>79</v>
      </c>
      <c r="Q144" t="s">
        <v>24</v>
      </c>
    </row>
    <row r="145" spans="1:17" x14ac:dyDescent="0.2">
      <c r="A145">
        <v>142</v>
      </c>
      <c r="B145" t="s">
        <v>24</v>
      </c>
      <c r="C145">
        <v>2020</v>
      </c>
      <c r="D145" t="s">
        <v>25</v>
      </c>
      <c r="E145" t="s">
        <v>66</v>
      </c>
      <c r="F145" t="s">
        <v>65</v>
      </c>
      <c r="G145" t="s">
        <v>76</v>
      </c>
      <c r="H145" t="s">
        <v>70</v>
      </c>
      <c r="I145" t="s">
        <v>8</v>
      </c>
      <c r="J145" t="s">
        <v>139</v>
      </c>
      <c r="K145" t="s">
        <v>69</v>
      </c>
      <c r="L145">
        <v>200</v>
      </c>
      <c r="M145" t="s">
        <v>13</v>
      </c>
      <c r="O145" t="s">
        <v>21</v>
      </c>
      <c r="P145" t="s">
        <v>79</v>
      </c>
      <c r="Q145" t="s">
        <v>24</v>
      </c>
    </row>
    <row r="146" spans="1:17" x14ac:dyDescent="0.2">
      <c r="A146">
        <v>143</v>
      </c>
      <c r="B146" t="s">
        <v>24</v>
      </c>
      <c r="C146">
        <v>2020</v>
      </c>
      <c r="D146" t="s">
        <v>25</v>
      </c>
      <c r="E146" t="s">
        <v>66</v>
      </c>
      <c r="F146" t="s">
        <v>65</v>
      </c>
      <c r="G146" t="s">
        <v>76</v>
      </c>
      <c r="H146" t="s">
        <v>232</v>
      </c>
      <c r="I146" t="s">
        <v>71</v>
      </c>
      <c r="J146" t="s">
        <v>139</v>
      </c>
      <c r="K146" t="s">
        <v>69</v>
      </c>
      <c r="L146">
        <v>200</v>
      </c>
      <c r="M146" t="s">
        <v>13</v>
      </c>
      <c r="O146" t="s">
        <v>21</v>
      </c>
      <c r="P146" t="s">
        <v>79</v>
      </c>
      <c r="Q146" t="s">
        <v>24</v>
      </c>
    </row>
    <row r="147" spans="1:17" x14ac:dyDescent="0.2">
      <c r="A147">
        <v>144</v>
      </c>
      <c r="B147" t="s">
        <v>24</v>
      </c>
      <c r="C147">
        <v>2020</v>
      </c>
      <c r="D147" t="s">
        <v>25</v>
      </c>
      <c r="E147" t="s">
        <v>66</v>
      </c>
      <c r="F147" t="s">
        <v>65</v>
      </c>
      <c r="G147" t="s">
        <v>76</v>
      </c>
      <c r="H147" t="s">
        <v>232</v>
      </c>
      <c r="I147" t="s">
        <v>72</v>
      </c>
      <c r="J147" t="s">
        <v>139</v>
      </c>
      <c r="K147" t="s">
        <v>69</v>
      </c>
      <c r="L147">
        <v>200</v>
      </c>
      <c r="M147" t="s">
        <v>13</v>
      </c>
      <c r="O147" t="s">
        <v>21</v>
      </c>
      <c r="P147" t="s">
        <v>79</v>
      </c>
      <c r="Q147" t="s">
        <v>24</v>
      </c>
    </row>
    <row r="148" spans="1:17" x14ac:dyDescent="0.2">
      <c r="A148">
        <v>145</v>
      </c>
      <c r="B148" t="s">
        <v>24</v>
      </c>
      <c r="C148">
        <v>2020</v>
      </c>
      <c r="D148" t="s">
        <v>25</v>
      </c>
      <c r="E148" t="s">
        <v>66</v>
      </c>
      <c r="F148" t="s">
        <v>65</v>
      </c>
      <c r="G148" t="s">
        <v>76</v>
      </c>
      <c r="H148" t="s">
        <v>70</v>
      </c>
      <c r="I148" t="s">
        <v>74</v>
      </c>
      <c r="K148" t="s">
        <v>68</v>
      </c>
      <c r="L148">
        <v>500</v>
      </c>
      <c r="M148" t="s">
        <v>13</v>
      </c>
      <c r="O148" t="s">
        <v>22</v>
      </c>
      <c r="P148" t="s">
        <v>79</v>
      </c>
      <c r="Q148" t="s">
        <v>24</v>
      </c>
    </row>
    <row r="149" spans="1:17" x14ac:dyDescent="0.2">
      <c r="A149">
        <v>146</v>
      </c>
      <c r="B149" t="s">
        <v>24</v>
      </c>
      <c r="C149">
        <v>2020</v>
      </c>
      <c r="D149" t="s">
        <v>25</v>
      </c>
      <c r="E149" t="s">
        <v>66</v>
      </c>
      <c r="F149" t="s">
        <v>65</v>
      </c>
      <c r="G149" t="s">
        <v>76</v>
      </c>
      <c r="H149" t="s">
        <v>70</v>
      </c>
      <c r="I149" t="s">
        <v>8</v>
      </c>
      <c r="J149" t="s">
        <v>139</v>
      </c>
      <c r="K149" t="s">
        <v>68</v>
      </c>
      <c r="L149">
        <v>500</v>
      </c>
      <c r="M149" t="s">
        <v>13</v>
      </c>
      <c r="O149" t="s">
        <v>22</v>
      </c>
      <c r="P149" t="s">
        <v>79</v>
      </c>
      <c r="Q149" t="s">
        <v>24</v>
      </c>
    </row>
    <row r="150" spans="1:17" x14ac:dyDescent="0.2">
      <c r="A150">
        <v>147</v>
      </c>
      <c r="B150" t="s">
        <v>24</v>
      </c>
      <c r="C150">
        <v>2020</v>
      </c>
      <c r="D150" t="s">
        <v>25</v>
      </c>
      <c r="E150" t="s">
        <v>66</v>
      </c>
      <c r="F150" t="s">
        <v>65</v>
      </c>
      <c r="G150" t="s">
        <v>76</v>
      </c>
      <c r="H150" t="s">
        <v>232</v>
      </c>
      <c r="I150" t="s">
        <v>71</v>
      </c>
      <c r="J150" t="s">
        <v>139</v>
      </c>
      <c r="K150" t="s">
        <v>68</v>
      </c>
      <c r="L150">
        <v>500</v>
      </c>
      <c r="M150" t="s">
        <v>13</v>
      </c>
      <c r="O150" t="s">
        <v>22</v>
      </c>
      <c r="P150" t="s">
        <v>79</v>
      </c>
      <c r="Q150" t="s">
        <v>24</v>
      </c>
    </row>
    <row r="151" spans="1:17" x14ac:dyDescent="0.2">
      <c r="A151">
        <v>148</v>
      </c>
      <c r="B151" t="s">
        <v>24</v>
      </c>
      <c r="C151">
        <v>2020</v>
      </c>
      <c r="D151" t="s">
        <v>25</v>
      </c>
      <c r="E151" t="s">
        <v>66</v>
      </c>
      <c r="F151" t="s">
        <v>65</v>
      </c>
      <c r="G151" t="s">
        <v>76</v>
      </c>
      <c r="H151" t="s">
        <v>232</v>
      </c>
      <c r="I151" t="s">
        <v>72</v>
      </c>
      <c r="J151" t="s">
        <v>139</v>
      </c>
      <c r="K151" t="s">
        <v>68</v>
      </c>
      <c r="L151">
        <v>500</v>
      </c>
      <c r="M151" t="s">
        <v>13</v>
      </c>
      <c r="O151" t="s">
        <v>22</v>
      </c>
      <c r="P151" t="s">
        <v>79</v>
      </c>
      <c r="Q151" t="s">
        <v>24</v>
      </c>
    </row>
    <row r="152" spans="1:17" x14ac:dyDescent="0.2">
      <c r="A152">
        <v>149</v>
      </c>
      <c r="B152" t="s">
        <v>24</v>
      </c>
      <c r="C152">
        <v>2020</v>
      </c>
      <c r="D152" t="s">
        <v>25</v>
      </c>
      <c r="E152" t="s">
        <v>66</v>
      </c>
      <c r="F152" t="s">
        <v>65</v>
      </c>
      <c r="G152" t="s">
        <v>76</v>
      </c>
      <c r="H152" t="s">
        <v>70</v>
      </c>
      <c r="I152" t="s">
        <v>74</v>
      </c>
      <c r="K152" t="s">
        <v>69</v>
      </c>
      <c r="L152">
        <v>200</v>
      </c>
      <c r="M152" t="s">
        <v>13</v>
      </c>
      <c r="O152" t="s">
        <v>22</v>
      </c>
      <c r="P152" t="s">
        <v>79</v>
      </c>
      <c r="Q152" t="s">
        <v>24</v>
      </c>
    </row>
    <row r="153" spans="1:17" x14ac:dyDescent="0.2">
      <c r="A153">
        <v>150</v>
      </c>
      <c r="B153" t="s">
        <v>24</v>
      </c>
      <c r="C153">
        <v>2020</v>
      </c>
      <c r="D153" t="s">
        <v>25</v>
      </c>
      <c r="E153" t="s">
        <v>66</v>
      </c>
      <c r="F153" t="s">
        <v>65</v>
      </c>
      <c r="G153" t="s">
        <v>76</v>
      </c>
      <c r="H153" t="s">
        <v>70</v>
      </c>
      <c r="I153" t="s">
        <v>8</v>
      </c>
      <c r="J153" t="s">
        <v>139</v>
      </c>
      <c r="K153" t="s">
        <v>69</v>
      </c>
      <c r="L153">
        <v>200</v>
      </c>
      <c r="M153" t="s">
        <v>13</v>
      </c>
      <c r="O153" t="s">
        <v>22</v>
      </c>
      <c r="P153" t="s">
        <v>79</v>
      </c>
      <c r="Q153" t="s">
        <v>24</v>
      </c>
    </row>
    <row r="154" spans="1:17" x14ac:dyDescent="0.2">
      <c r="A154">
        <v>151</v>
      </c>
      <c r="B154" t="s">
        <v>24</v>
      </c>
      <c r="C154">
        <v>2020</v>
      </c>
      <c r="D154" t="s">
        <v>25</v>
      </c>
      <c r="E154" t="s">
        <v>66</v>
      </c>
      <c r="F154" t="s">
        <v>65</v>
      </c>
      <c r="G154" t="s">
        <v>76</v>
      </c>
      <c r="H154" t="s">
        <v>232</v>
      </c>
      <c r="I154" t="s">
        <v>71</v>
      </c>
      <c r="J154" t="s">
        <v>139</v>
      </c>
      <c r="K154" t="s">
        <v>69</v>
      </c>
      <c r="L154">
        <v>200</v>
      </c>
      <c r="M154" t="s">
        <v>13</v>
      </c>
      <c r="O154" t="s">
        <v>22</v>
      </c>
      <c r="P154" t="s">
        <v>79</v>
      </c>
      <c r="Q154" t="s">
        <v>24</v>
      </c>
    </row>
    <row r="155" spans="1:17" x14ac:dyDescent="0.2">
      <c r="A155">
        <v>152</v>
      </c>
      <c r="B155" t="s">
        <v>24</v>
      </c>
      <c r="C155">
        <v>2020</v>
      </c>
      <c r="D155" t="s">
        <v>25</v>
      </c>
      <c r="E155" t="s">
        <v>66</v>
      </c>
      <c r="F155" t="s">
        <v>65</v>
      </c>
      <c r="G155" t="s">
        <v>76</v>
      </c>
      <c r="H155" t="s">
        <v>232</v>
      </c>
      <c r="I155" t="s">
        <v>72</v>
      </c>
      <c r="J155" t="s">
        <v>139</v>
      </c>
      <c r="K155" t="s">
        <v>69</v>
      </c>
      <c r="L155">
        <v>200</v>
      </c>
      <c r="M155" t="s">
        <v>13</v>
      </c>
      <c r="O155" t="s">
        <v>22</v>
      </c>
      <c r="P155" t="s">
        <v>79</v>
      </c>
      <c r="Q155" t="s">
        <v>24</v>
      </c>
    </row>
    <row r="156" spans="1:17" x14ac:dyDescent="0.2">
      <c r="A156">
        <v>153</v>
      </c>
      <c r="B156" t="s">
        <v>24</v>
      </c>
      <c r="C156">
        <v>2020</v>
      </c>
      <c r="D156" t="s">
        <v>25</v>
      </c>
      <c r="E156" t="s">
        <v>66</v>
      </c>
      <c r="F156" t="s">
        <v>65</v>
      </c>
      <c r="G156" t="s">
        <v>76</v>
      </c>
      <c r="H156" t="s">
        <v>70</v>
      </c>
      <c r="I156" t="s">
        <v>74</v>
      </c>
      <c r="K156" t="s">
        <v>68</v>
      </c>
      <c r="L156">
        <v>500</v>
      </c>
      <c r="M156" t="s">
        <v>13</v>
      </c>
      <c r="O156" t="s">
        <v>23</v>
      </c>
      <c r="P156" t="s">
        <v>79</v>
      </c>
      <c r="Q156" t="s">
        <v>24</v>
      </c>
    </row>
    <row r="157" spans="1:17" x14ac:dyDescent="0.2">
      <c r="A157">
        <v>154</v>
      </c>
      <c r="B157" t="s">
        <v>24</v>
      </c>
      <c r="C157">
        <v>2020</v>
      </c>
      <c r="D157" t="s">
        <v>25</v>
      </c>
      <c r="E157" t="s">
        <v>66</v>
      </c>
      <c r="F157" t="s">
        <v>65</v>
      </c>
      <c r="G157" t="s">
        <v>76</v>
      </c>
      <c r="H157" t="s">
        <v>70</v>
      </c>
      <c r="I157" t="s">
        <v>8</v>
      </c>
      <c r="J157" t="s">
        <v>139</v>
      </c>
      <c r="K157" t="s">
        <v>68</v>
      </c>
      <c r="L157">
        <v>500</v>
      </c>
      <c r="M157" t="s">
        <v>13</v>
      </c>
      <c r="O157" t="s">
        <v>23</v>
      </c>
      <c r="P157" t="s">
        <v>79</v>
      </c>
      <c r="Q157" t="s">
        <v>24</v>
      </c>
    </row>
    <row r="158" spans="1:17" x14ac:dyDescent="0.2">
      <c r="A158">
        <v>155</v>
      </c>
      <c r="B158" t="s">
        <v>24</v>
      </c>
      <c r="C158">
        <v>2020</v>
      </c>
      <c r="D158" t="s">
        <v>25</v>
      </c>
      <c r="E158" t="s">
        <v>66</v>
      </c>
      <c r="F158" t="s">
        <v>65</v>
      </c>
      <c r="G158" t="s">
        <v>76</v>
      </c>
      <c r="H158" t="s">
        <v>232</v>
      </c>
      <c r="I158" t="s">
        <v>71</v>
      </c>
      <c r="J158" t="s">
        <v>139</v>
      </c>
      <c r="K158" t="s">
        <v>68</v>
      </c>
      <c r="L158">
        <v>500</v>
      </c>
      <c r="M158" t="s">
        <v>13</v>
      </c>
      <c r="O158" t="s">
        <v>23</v>
      </c>
      <c r="P158" t="s">
        <v>79</v>
      </c>
      <c r="Q158" t="s">
        <v>24</v>
      </c>
    </row>
    <row r="159" spans="1:17" x14ac:dyDescent="0.2">
      <c r="A159">
        <v>156</v>
      </c>
      <c r="B159" t="s">
        <v>24</v>
      </c>
      <c r="C159">
        <v>2020</v>
      </c>
      <c r="D159" t="s">
        <v>25</v>
      </c>
      <c r="E159" t="s">
        <v>66</v>
      </c>
      <c r="F159" t="s">
        <v>65</v>
      </c>
      <c r="G159" t="s">
        <v>76</v>
      </c>
      <c r="H159" t="s">
        <v>232</v>
      </c>
      <c r="I159" t="s">
        <v>72</v>
      </c>
      <c r="J159" t="s">
        <v>139</v>
      </c>
      <c r="K159" t="s">
        <v>68</v>
      </c>
      <c r="L159">
        <v>500</v>
      </c>
      <c r="M159" t="s">
        <v>13</v>
      </c>
      <c r="O159" t="s">
        <v>23</v>
      </c>
      <c r="P159" t="s">
        <v>79</v>
      </c>
      <c r="Q159" t="s">
        <v>24</v>
      </c>
    </row>
    <row r="160" spans="1:17" x14ac:dyDescent="0.2">
      <c r="A160">
        <v>157</v>
      </c>
      <c r="B160" t="s">
        <v>24</v>
      </c>
      <c r="C160">
        <v>2020</v>
      </c>
      <c r="D160" t="s">
        <v>25</v>
      </c>
      <c r="E160" t="s">
        <v>66</v>
      </c>
      <c r="F160" t="s">
        <v>65</v>
      </c>
      <c r="G160" t="s">
        <v>76</v>
      </c>
      <c r="H160" t="s">
        <v>70</v>
      </c>
      <c r="I160" t="s">
        <v>74</v>
      </c>
      <c r="K160" t="s">
        <v>69</v>
      </c>
      <c r="L160">
        <v>200</v>
      </c>
      <c r="M160" t="s">
        <v>13</v>
      </c>
      <c r="O160" t="s">
        <v>23</v>
      </c>
      <c r="P160" t="s">
        <v>79</v>
      </c>
      <c r="Q160" t="s">
        <v>24</v>
      </c>
    </row>
    <row r="161" spans="1:17" x14ac:dyDescent="0.2">
      <c r="A161">
        <v>158</v>
      </c>
      <c r="B161" t="s">
        <v>24</v>
      </c>
      <c r="C161">
        <v>2020</v>
      </c>
      <c r="D161" t="s">
        <v>25</v>
      </c>
      <c r="E161" t="s">
        <v>66</v>
      </c>
      <c r="F161" t="s">
        <v>65</v>
      </c>
      <c r="G161" t="s">
        <v>76</v>
      </c>
      <c r="H161" t="s">
        <v>70</v>
      </c>
      <c r="I161" t="s">
        <v>8</v>
      </c>
      <c r="J161" t="s">
        <v>139</v>
      </c>
      <c r="K161" t="s">
        <v>69</v>
      </c>
      <c r="L161">
        <v>200</v>
      </c>
      <c r="M161" t="s">
        <v>13</v>
      </c>
      <c r="O161" t="s">
        <v>23</v>
      </c>
      <c r="P161" t="s">
        <v>79</v>
      </c>
      <c r="Q161" t="s">
        <v>24</v>
      </c>
    </row>
    <row r="162" spans="1:17" x14ac:dyDescent="0.2">
      <c r="A162">
        <v>159</v>
      </c>
      <c r="B162" t="s">
        <v>24</v>
      </c>
      <c r="C162">
        <v>2020</v>
      </c>
      <c r="D162" t="s">
        <v>25</v>
      </c>
      <c r="E162" t="s">
        <v>66</v>
      </c>
      <c r="F162" t="s">
        <v>65</v>
      </c>
      <c r="G162" t="s">
        <v>76</v>
      </c>
      <c r="H162" t="s">
        <v>232</v>
      </c>
      <c r="I162" t="s">
        <v>71</v>
      </c>
      <c r="J162" t="s">
        <v>139</v>
      </c>
      <c r="K162" t="s">
        <v>69</v>
      </c>
      <c r="L162">
        <v>200</v>
      </c>
      <c r="M162" t="s">
        <v>13</v>
      </c>
      <c r="O162" t="s">
        <v>23</v>
      </c>
      <c r="P162" t="s">
        <v>79</v>
      </c>
      <c r="Q162" t="s">
        <v>24</v>
      </c>
    </row>
    <row r="163" spans="1:17" x14ac:dyDescent="0.2">
      <c r="A163">
        <v>160</v>
      </c>
      <c r="B163" t="s">
        <v>24</v>
      </c>
      <c r="C163">
        <v>2020</v>
      </c>
      <c r="D163" t="s">
        <v>25</v>
      </c>
      <c r="E163" t="s">
        <v>66</v>
      </c>
      <c r="F163" t="s">
        <v>65</v>
      </c>
      <c r="G163" t="s">
        <v>76</v>
      </c>
      <c r="H163" t="s">
        <v>232</v>
      </c>
      <c r="I163" t="s">
        <v>72</v>
      </c>
      <c r="J163" t="s">
        <v>139</v>
      </c>
      <c r="K163" t="s">
        <v>69</v>
      </c>
      <c r="L163">
        <v>200</v>
      </c>
      <c r="M163" t="s">
        <v>13</v>
      </c>
      <c r="O163" t="s">
        <v>23</v>
      </c>
      <c r="P163" t="s">
        <v>79</v>
      </c>
      <c r="Q163" t="s">
        <v>24</v>
      </c>
    </row>
    <row r="164" spans="1:17" x14ac:dyDescent="0.2">
      <c r="A164">
        <v>161</v>
      </c>
      <c r="B164" t="s">
        <v>24</v>
      </c>
      <c r="C164">
        <v>2020</v>
      </c>
      <c r="D164" t="s">
        <v>25</v>
      </c>
      <c r="E164" t="s">
        <v>66</v>
      </c>
      <c r="F164" t="s">
        <v>65</v>
      </c>
      <c r="G164" t="s">
        <v>76</v>
      </c>
      <c r="H164" t="s">
        <v>70</v>
      </c>
      <c r="I164" t="s">
        <v>74</v>
      </c>
      <c r="K164" t="s">
        <v>68</v>
      </c>
      <c r="L164">
        <v>500</v>
      </c>
      <c r="M164" t="s">
        <v>13</v>
      </c>
      <c r="O164" t="s">
        <v>19</v>
      </c>
      <c r="P164" t="s">
        <v>79</v>
      </c>
      <c r="Q164" t="s">
        <v>33</v>
      </c>
    </row>
    <row r="165" spans="1:17" x14ac:dyDescent="0.2">
      <c r="A165">
        <v>162</v>
      </c>
      <c r="B165" t="s">
        <v>24</v>
      </c>
      <c r="C165">
        <v>2020</v>
      </c>
      <c r="D165" t="s">
        <v>25</v>
      </c>
      <c r="E165" t="s">
        <v>66</v>
      </c>
      <c r="F165" t="s">
        <v>65</v>
      </c>
      <c r="G165" t="s">
        <v>76</v>
      </c>
      <c r="H165" t="s">
        <v>70</v>
      </c>
      <c r="I165" t="s">
        <v>8</v>
      </c>
      <c r="J165" t="s">
        <v>139</v>
      </c>
      <c r="K165" t="s">
        <v>68</v>
      </c>
      <c r="L165">
        <v>500</v>
      </c>
      <c r="M165" t="s">
        <v>13</v>
      </c>
      <c r="O165" t="s">
        <v>19</v>
      </c>
      <c r="P165" t="s">
        <v>79</v>
      </c>
      <c r="Q165" t="s">
        <v>33</v>
      </c>
    </row>
    <row r="166" spans="1:17" x14ac:dyDescent="0.2">
      <c r="A166">
        <v>163</v>
      </c>
      <c r="B166" t="s">
        <v>24</v>
      </c>
      <c r="C166">
        <v>2020</v>
      </c>
      <c r="D166" t="s">
        <v>25</v>
      </c>
      <c r="E166" t="s">
        <v>66</v>
      </c>
      <c r="F166" t="s">
        <v>65</v>
      </c>
      <c r="G166" t="s">
        <v>76</v>
      </c>
      <c r="H166" t="s">
        <v>232</v>
      </c>
      <c r="I166" t="s">
        <v>71</v>
      </c>
      <c r="J166" t="s">
        <v>139</v>
      </c>
      <c r="K166" t="s">
        <v>68</v>
      </c>
      <c r="L166">
        <v>500</v>
      </c>
      <c r="M166" t="s">
        <v>13</v>
      </c>
      <c r="O166" t="s">
        <v>19</v>
      </c>
      <c r="P166" t="s">
        <v>79</v>
      </c>
      <c r="Q166" t="s">
        <v>33</v>
      </c>
    </row>
    <row r="167" spans="1:17" x14ac:dyDescent="0.2">
      <c r="A167">
        <v>164</v>
      </c>
      <c r="B167" t="s">
        <v>24</v>
      </c>
      <c r="C167">
        <v>2020</v>
      </c>
      <c r="D167" t="s">
        <v>25</v>
      </c>
      <c r="E167" t="s">
        <v>66</v>
      </c>
      <c r="F167" t="s">
        <v>65</v>
      </c>
      <c r="G167" t="s">
        <v>76</v>
      </c>
      <c r="H167" t="s">
        <v>232</v>
      </c>
      <c r="I167" t="s">
        <v>72</v>
      </c>
      <c r="J167" t="s">
        <v>139</v>
      </c>
      <c r="K167" t="s">
        <v>68</v>
      </c>
      <c r="L167">
        <v>500</v>
      </c>
      <c r="M167" t="s">
        <v>13</v>
      </c>
      <c r="O167" t="s">
        <v>19</v>
      </c>
      <c r="P167" t="s">
        <v>79</v>
      </c>
      <c r="Q167" t="s">
        <v>33</v>
      </c>
    </row>
    <row r="168" spans="1:17" x14ac:dyDescent="0.2">
      <c r="A168">
        <v>165</v>
      </c>
      <c r="B168" t="s">
        <v>24</v>
      </c>
      <c r="C168">
        <v>2020</v>
      </c>
      <c r="D168" t="s">
        <v>25</v>
      </c>
      <c r="E168" t="s">
        <v>66</v>
      </c>
      <c r="F168" t="s">
        <v>65</v>
      </c>
      <c r="G168" t="s">
        <v>76</v>
      </c>
      <c r="H168" t="s">
        <v>70</v>
      </c>
      <c r="I168" t="s">
        <v>74</v>
      </c>
      <c r="K168" t="s">
        <v>69</v>
      </c>
      <c r="L168">
        <v>200</v>
      </c>
      <c r="M168" t="s">
        <v>13</v>
      </c>
      <c r="O168" t="s">
        <v>19</v>
      </c>
      <c r="P168" t="s">
        <v>79</v>
      </c>
      <c r="Q168" t="s">
        <v>33</v>
      </c>
    </row>
    <row r="169" spans="1:17" x14ac:dyDescent="0.2">
      <c r="A169">
        <v>166</v>
      </c>
      <c r="B169" t="s">
        <v>24</v>
      </c>
      <c r="C169">
        <v>2020</v>
      </c>
      <c r="D169" t="s">
        <v>25</v>
      </c>
      <c r="E169" t="s">
        <v>66</v>
      </c>
      <c r="F169" t="s">
        <v>65</v>
      </c>
      <c r="G169" t="s">
        <v>76</v>
      </c>
      <c r="H169" t="s">
        <v>70</v>
      </c>
      <c r="I169" t="s">
        <v>8</v>
      </c>
      <c r="J169" t="s">
        <v>139</v>
      </c>
      <c r="K169" t="s">
        <v>69</v>
      </c>
      <c r="L169">
        <v>200</v>
      </c>
      <c r="M169" t="s">
        <v>13</v>
      </c>
      <c r="O169" t="s">
        <v>19</v>
      </c>
      <c r="P169" t="s">
        <v>79</v>
      </c>
      <c r="Q169" t="s">
        <v>33</v>
      </c>
    </row>
    <row r="170" spans="1:17" x14ac:dyDescent="0.2">
      <c r="A170">
        <v>167</v>
      </c>
      <c r="B170" t="s">
        <v>24</v>
      </c>
      <c r="C170">
        <v>2020</v>
      </c>
      <c r="D170" t="s">
        <v>25</v>
      </c>
      <c r="E170" t="s">
        <v>66</v>
      </c>
      <c r="F170" t="s">
        <v>65</v>
      </c>
      <c r="G170" t="s">
        <v>76</v>
      </c>
      <c r="H170" t="s">
        <v>232</v>
      </c>
      <c r="I170" t="s">
        <v>71</v>
      </c>
      <c r="J170" t="s">
        <v>139</v>
      </c>
      <c r="K170" t="s">
        <v>69</v>
      </c>
      <c r="L170">
        <v>200</v>
      </c>
      <c r="M170" t="s">
        <v>13</v>
      </c>
      <c r="O170" t="s">
        <v>19</v>
      </c>
      <c r="P170" t="s">
        <v>79</v>
      </c>
      <c r="Q170" t="s">
        <v>33</v>
      </c>
    </row>
    <row r="171" spans="1:17" x14ac:dyDescent="0.2">
      <c r="A171">
        <v>168</v>
      </c>
      <c r="B171" t="s">
        <v>24</v>
      </c>
      <c r="C171">
        <v>2020</v>
      </c>
      <c r="D171" t="s">
        <v>25</v>
      </c>
      <c r="E171" t="s">
        <v>66</v>
      </c>
      <c r="F171" t="s">
        <v>65</v>
      </c>
      <c r="G171" t="s">
        <v>76</v>
      </c>
      <c r="H171" t="s">
        <v>232</v>
      </c>
      <c r="I171" t="s">
        <v>72</v>
      </c>
      <c r="J171" t="s">
        <v>139</v>
      </c>
      <c r="K171" t="s">
        <v>69</v>
      </c>
      <c r="L171">
        <v>200</v>
      </c>
      <c r="M171" t="s">
        <v>13</v>
      </c>
      <c r="O171" t="s">
        <v>19</v>
      </c>
      <c r="P171" t="s">
        <v>79</v>
      </c>
      <c r="Q171" t="s">
        <v>33</v>
      </c>
    </row>
    <row r="172" spans="1:17" x14ac:dyDescent="0.2">
      <c r="A172">
        <v>169</v>
      </c>
      <c r="B172" t="s">
        <v>24</v>
      </c>
      <c r="C172">
        <v>2020</v>
      </c>
      <c r="D172" t="s">
        <v>25</v>
      </c>
      <c r="E172" t="s">
        <v>66</v>
      </c>
      <c r="F172" t="s">
        <v>65</v>
      </c>
      <c r="G172" t="s">
        <v>76</v>
      </c>
      <c r="H172" t="s">
        <v>70</v>
      </c>
      <c r="I172" t="s">
        <v>74</v>
      </c>
      <c r="K172" t="s">
        <v>68</v>
      </c>
      <c r="L172">
        <v>500</v>
      </c>
      <c r="M172" t="s">
        <v>13</v>
      </c>
      <c r="O172" t="s">
        <v>21</v>
      </c>
      <c r="P172" t="s">
        <v>79</v>
      </c>
      <c r="Q172" t="s">
        <v>33</v>
      </c>
    </row>
    <row r="173" spans="1:17" x14ac:dyDescent="0.2">
      <c r="A173">
        <v>170</v>
      </c>
      <c r="B173" t="s">
        <v>24</v>
      </c>
      <c r="C173">
        <v>2020</v>
      </c>
      <c r="D173" t="s">
        <v>25</v>
      </c>
      <c r="E173" t="s">
        <v>66</v>
      </c>
      <c r="F173" t="s">
        <v>65</v>
      </c>
      <c r="G173" t="s">
        <v>76</v>
      </c>
      <c r="H173" t="s">
        <v>70</v>
      </c>
      <c r="I173" t="s">
        <v>8</v>
      </c>
      <c r="J173" t="s">
        <v>139</v>
      </c>
      <c r="K173" t="s">
        <v>68</v>
      </c>
      <c r="L173">
        <v>500</v>
      </c>
      <c r="M173" t="s">
        <v>13</v>
      </c>
      <c r="O173" t="s">
        <v>21</v>
      </c>
      <c r="P173" t="s">
        <v>79</v>
      </c>
      <c r="Q173" t="s">
        <v>33</v>
      </c>
    </row>
    <row r="174" spans="1:17" x14ac:dyDescent="0.2">
      <c r="A174">
        <v>171</v>
      </c>
      <c r="B174" t="s">
        <v>24</v>
      </c>
      <c r="C174">
        <v>2020</v>
      </c>
      <c r="D174" t="s">
        <v>25</v>
      </c>
      <c r="E174" t="s">
        <v>66</v>
      </c>
      <c r="F174" t="s">
        <v>65</v>
      </c>
      <c r="G174" t="s">
        <v>76</v>
      </c>
      <c r="H174" t="s">
        <v>232</v>
      </c>
      <c r="I174" t="s">
        <v>71</v>
      </c>
      <c r="J174" t="s">
        <v>139</v>
      </c>
      <c r="K174" t="s">
        <v>68</v>
      </c>
      <c r="L174">
        <v>500</v>
      </c>
      <c r="M174" t="s">
        <v>13</v>
      </c>
      <c r="O174" t="s">
        <v>21</v>
      </c>
      <c r="P174" t="s">
        <v>79</v>
      </c>
      <c r="Q174" t="s">
        <v>33</v>
      </c>
    </row>
    <row r="175" spans="1:17" x14ac:dyDescent="0.2">
      <c r="A175">
        <v>172</v>
      </c>
      <c r="B175" t="s">
        <v>24</v>
      </c>
      <c r="C175">
        <v>2020</v>
      </c>
      <c r="D175" t="s">
        <v>25</v>
      </c>
      <c r="E175" t="s">
        <v>66</v>
      </c>
      <c r="F175" t="s">
        <v>65</v>
      </c>
      <c r="G175" t="s">
        <v>76</v>
      </c>
      <c r="H175" t="s">
        <v>232</v>
      </c>
      <c r="I175" t="s">
        <v>72</v>
      </c>
      <c r="J175" t="s">
        <v>139</v>
      </c>
      <c r="K175" t="s">
        <v>68</v>
      </c>
      <c r="L175">
        <v>500</v>
      </c>
      <c r="M175" t="s">
        <v>13</v>
      </c>
      <c r="O175" t="s">
        <v>21</v>
      </c>
      <c r="P175" t="s">
        <v>79</v>
      </c>
      <c r="Q175" t="s">
        <v>33</v>
      </c>
    </row>
    <row r="176" spans="1:17" x14ac:dyDescent="0.2">
      <c r="A176">
        <v>173</v>
      </c>
      <c r="B176" t="s">
        <v>24</v>
      </c>
      <c r="C176">
        <v>2020</v>
      </c>
      <c r="D176" t="s">
        <v>25</v>
      </c>
      <c r="E176" t="s">
        <v>66</v>
      </c>
      <c r="F176" t="s">
        <v>65</v>
      </c>
      <c r="G176" t="s">
        <v>76</v>
      </c>
      <c r="H176" t="s">
        <v>70</v>
      </c>
      <c r="I176" t="s">
        <v>74</v>
      </c>
      <c r="K176" t="s">
        <v>69</v>
      </c>
      <c r="L176">
        <v>200</v>
      </c>
      <c r="M176" t="s">
        <v>13</v>
      </c>
      <c r="O176" t="s">
        <v>21</v>
      </c>
      <c r="P176" t="s">
        <v>79</v>
      </c>
      <c r="Q176" t="s">
        <v>33</v>
      </c>
    </row>
    <row r="177" spans="1:18" x14ac:dyDescent="0.2">
      <c r="A177">
        <v>174</v>
      </c>
      <c r="B177" t="s">
        <v>24</v>
      </c>
      <c r="C177">
        <v>2020</v>
      </c>
      <c r="D177" t="s">
        <v>25</v>
      </c>
      <c r="E177" t="s">
        <v>66</v>
      </c>
      <c r="F177" t="s">
        <v>65</v>
      </c>
      <c r="G177" t="s">
        <v>76</v>
      </c>
      <c r="H177" t="s">
        <v>70</v>
      </c>
      <c r="I177" t="s">
        <v>8</v>
      </c>
      <c r="J177" t="s">
        <v>139</v>
      </c>
      <c r="K177" t="s">
        <v>69</v>
      </c>
      <c r="L177">
        <v>200</v>
      </c>
      <c r="M177" t="s">
        <v>13</v>
      </c>
      <c r="O177" t="s">
        <v>21</v>
      </c>
      <c r="P177" t="s">
        <v>79</v>
      </c>
      <c r="Q177" t="s">
        <v>33</v>
      </c>
    </row>
    <row r="178" spans="1:18" x14ac:dyDescent="0.2">
      <c r="A178">
        <v>175</v>
      </c>
      <c r="B178" t="s">
        <v>24</v>
      </c>
      <c r="C178">
        <v>2020</v>
      </c>
      <c r="D178" t="s">
        <v>25</v>
      </c>
      <c r="E178" t="s">
        <v>66</v>
      </c>
      <c r="F178" t="s">
        <v>65</v>
      </c>
      <c r="G178" t="s">
        <v>76</v>
      </c>
      <c r="H178" t="s">
        <v>232</v>
      </c>
      <c r="I178" t="s">
        <v>71</v>
      </c>
      <c r="J178" t="s">
        <v>139</v>
      </c>
      <c r="K178" t="s">
        <v>69</v>
      </c>
      <c r="L178">
        <v>200</v>
      </c>
      <c r="M178" t="s">
        <v>13</v>
      </c>
      <c r="O178" t="s">
        <v>21</v>
      </c>
      <c r="P178" t="s">
        <v>79</v>
      </c>
      <c r="Q178" t="s">
        <v>33</v>
      </c>
    </row>
    <row r="179" spans="1:18" x14ac:dyDescent="0.2">
      <c r="A179">
        <v>176</v>
      </c>
      <c r="B179" t="s">
        <v>24</v>
      </c>
      <c r="C179">
        <v>2020</v>
      </c>
      <c r="D179" t="s">
        <v>25</v>
      </c>
      <c r="E179" t="s">
        <v>66</v>
      </c>
      <c r="F179" t="s">
        <v>65</v>
      </c>
      <c r="G179" t="s">
        <v>76</v>
      </c>
      <c r="H179" t="s">
        <v>232</v>
      </c>
      <c r="I179" t="s">
        <v>72</v>
      </c>
      <c r="J179" t="s">
        <v>139</v>
      </c>
      <c r="K179" t="s">
        <v>69</v>
      </c>
      <c r="L179">
        <v>200</v>
      </c>
      <c r="M179" t="s">
        <v>13</v>
      </c>
      <c r="O179" t="s">
        <v>21</v>
      </c>
      <c r="P179" t="s">
        <v>79</v>
      </c>
      <c r="Q179" t="s">
        <v>33</v>
      </c>
    </row>
    <row r="180" spans="1:18" x14ac:dyDescent="0.2">
      <c r="A180">
        <v>177</v>
      </c>
      <c r="B180" t="s">
        <v>24</v>
      </c>
      <c r="C180">
        <v>2020</v>
      </c>
      <c r="D180" t="s">
        <v>25</v>
      </c>
      <c r="E180" t="s">
        <v>66</v>
      </c>
      <c r="F180" t="s">
        <v>65</v>
      </c>
      <c r="G180" t="s">
        <v>857</v>
      </c>
      <c r="H180" t="s">
        <v>70</v>
      </c>
      <c r="I180" t="s">
        <v>74</v>
      </c>
      <c r="K180" t="s">
        <v>68</v>
      </c>
      <c r="L180">
        <v>500</v>
      </c>
      <c r="M180" t="s">
        <v>28</v>
      </c>
      <c r="N180" t="s">
        <v>1160</v>
      </c>
      <c r="O180" t="s">
        <v>17</v>
      </c>
      <c r="P180" t="s">
        <v>233</v>
      </c>
      <c r="Q180" t="s">
        <v>234</v>
      </c>
      <c r="R180" t="s">
        <v>30</v>
      </c>
    </row>
    <row r="181" spans="1:18" x14ac:dyDescent="0.2">
      <c r="A181">
        <v>178</v>
      </c>
      <c r="B181" t="s">
        <v>24</v>
      </c>
      <c r="C181">
        <v>2020</v>
      </c>
      <c r="D181" t="s">
        <v>25</v>
      </c>
      <c r="E181" t="s">
        <v>66</v>
      </c>
      <c r="F181" t="s">
        <v>65</v>
      </c>
      <c r="G181" t="s">
        <v>857</v>
      </c>
      <c r="H181" t="s">
        <v>70</v>
      </c>
      <c r="I181" t="s">
        <v>74</v>
      </c>
      <c r="K181" t="s">
        <v>68</v>
      </c>
      <c r="L181">
        <v>500</v>
      </c>
      <c r="M181" t="s">
        <v>28</v>
      </c>
      <c r="N181" t="s">
        <v>1160</v>
      </c>
      <c r="O181" t="s">
        <v>17</v>
      </c>
      <c r="P181" t="s">
        <v>233</v>
      </c>
      <c r="Q181" t="s">
        <v>234</v>
      </c>
      <c r="R181" t="s">
        <v>31</v>
      </c>
    </row>
    <row r="182" spans="1:18" x14ac:dyDescent="0.2">
      <c r="A182">
        <v>179</v>
      </c>
      <c r="B182" t="s">
        <v>24</v>
      </c>
      <c r="C182">
        <v>2020</v>
      </c>
      <c r="D182" t="s">
        <v>25</v>
      </c>
      <c r="E182" t="s">
        <v>66</v>
      </c>
      <c r="F182" t="s">
        <v>65</v>
      </c>
      <c r="G182" t="s">
        <v>857</v>
      </c>
      <c r="H182" t="s">
        <v>70</v>
      </c>
      <c r="I182" t="s">
        <v>74</v>
      </c>
      <c r="K182" t="s">
        <v>68</v>
      </c>
      <c r="L182">
        <v>500</v>
      </c>
      <c r="M182" t="s">
        <v>28</v>
      </c>
      <c r="N182" t="s">
        <v>1160</v>
      </c>
      <c r="O182" t="s">
        <v>17</v>
      </c>
      <c r="P182" t="s">
        <v>233</v>
      </c>
      <c r="Q182" t="s">
        <v>234</v>
      </c>
      <c r="R182" t="s">
        <v>32</v>
      </c>
    </row>
    <row r="183" spans="1:18" x14ac:dyDescent="0.2">
      <c r="A183">
        <v>180</v>
      </c>
      <c r="B183" t="s">
        <v>24</v>
      </c>
      <c r="C183">
        <v>2020</v>
      </c>
      <c r="D183" t="s">
        <v>25</v>
      </c>
      <c r="E183" t="s">
        <v>66</v>
      </c>
      <c r="F183" t="s">
        <v>65</v>
      </c>
      <c r="G183" t="s">
        <v>856</v>
      </c>
      <c r="H183" t="s">
        <v>70</v>
      </c>
      <c r="I183" t="s">
        <v>74</v>
      </c>
      <c r="K183" t="s">
        <v>68</v>
      </c>
      <c r="L183">
        <v>500</v>
      </c>
      <c r="M183" t="s">
        <v>28</v>
      </c>
      <c r="N183" t="s">
        <v>1183</v>
      </c>
      <c r="O183" t="s">
        <v>17</v>
      </c>
      <c r="P183" t="s">
        <v>233</v>
      </c>
      <c r="Q183" t="s">
        <v>234</v>
      </c>
      <c r="R183" t="s">
        <v>30</v>
      </c>
    </row>
    <row r="184" spans="1:18" x14ac:dyDescent="0.2">
      <c r="A184">
        <v>181</v>
      </c>
      <c r="B184" t="s">
        <v>24</v>
      </c>
      <c r="C184">
        <v>2020</v>
      </c>
      <c r="D184" t="s">
        <v>25</v>
      </c>
      <c r="E184" t="s">
        <v>66</v>
      </c>
      <c r="F184" t="s">
        <v>65</v>
      </c>
      <c r="G184" t="s">
        <v>856</v>
      </c>
      <c r="H184" t="s">
        <v>70</v>
      </c>
      <c r="I184" t="s">
        <v>74</v>
      </c>
      <c r="K184" t="s">
        <v>68</v>
      </c>
      <c r="L184">
        <v>500</v>
      </c>
      <c r="M184" t="s">
        <v>28</v>
      </c>
      <c r="N184" t="s">
        <v>1183</v>
      </c>
      <c r="O184" t="s">
        <v>17</v>
      </c>
      <c r="P184" t="s">
        <v>233</v>
      </c>
      <c r="Q184" t="s">
        <v>234</v>
      </c>
      <c r="R184" t="s">
        <v>31</v>
      </c>
    </row>
    <row r="185" spans="1:18" x14ac:dyDescent="0.2">
      <c r="A185">
        <v>182</v>
      </c>
      <c r="B185" t="s">
        <v>24</v>
      </c>
      <c r="C185">
        <v>2020</v>
      </c>
      <c r="D185" t="s">
        <v>25</v>
      </c>
      <c r="E185" t="s">
        <v>66</v>
      </c>
      <c r="F185" t="s">
        <v>65</v>
      </c>
      <c r="G185" t="s">
        <v>856</v>
      </c>
      <c r="H185" t="s">
        <v>70</v>
      </c>
      <c r="I185" t="s">
        <v>74</v>
      </c>
      <c r="K185" t="s">
        <v>68</v>
      </c>
      <c r="L185">
        <v>500</v>
      </c>
      <c r="M185" t="s">
        <v>28</v>
      </c>
      <c r="N185" t="s">
        <v>1183</v>
      </c>
      <c r="O185" t="s">
        <v>17</v>
      </c>
      <c r="P185" t="s">
        <v>233</v>
      </c>
      <c r="Q185" t="s">
        <v>234</v>
      </c>
      <c r="R185" t="s">
        <v>32</v>
      </c>
    </row>
    <row r="186" spans="1:18" x14ac:dyDescent="0.2">
      <c r="A186">
        <v>183</v>
      </c>
      <c r="B186" t="s">
        <v>24</v>
      </c>
      <c r="C186">
        <v>2020</v>
      </c>
      <c r="D186" t="s">
        <v>25</v>
      </c>
      <c r="E186" t="s">
        <v>66</v>
      </c>
      <c r="F186" t="s">
        <v>65</v>
      </c>
      <c r="G186" t="s">
        <v>77</v>
      </c>
      <c r="H186" t="s">
        <v>70</v>
      </c>
      <c r="I186" t="s">
        <v>74</v>
      </c>
      <c r="K186" t="s">
        <v>69</v>
      </c>
      <c r="L186">
        <v>200</v>
      </c>
      <c r="M186" t="s">
        <v>28</v>
      </c>
      <c r="N186" t="s">
        <v>1160</v>
      </c>
      <c r="O186" t="s">
        <v>17</v>
      </c>
      <c r="P186" t="s">
        <v>233</v>
      </c>
      <c r="Q186" t="s">
        <v>234</v>
      </c>
      <c r="R186" t="s">
        <v>30</v>
      </c>
    </row>
    <row r="187" spans="1:18" x14ac:dyDescent="0.2">
      <c r="A187">
        <v>184</v>
      </c>
      <c r="B187" t="s">
        <v>24</v>
      </c>
      <c r="C187">
        <v>2020</v>
      </c>
      <c r="D187" t="s">
        <v>25</v>
      </c>
      <c r="E187" t="s">
        <v>66</v>
      </c>
      <c r="F187" t="s">
        <v>65</v>
      </c>
      <c r="G187" t="s">
        <v>77</v>
      </c>
      <c r="H187" t="s">
        <v>70</v>
      </c>
      <c r="I187" t="s">
        <v>74</v>
      </c>
      <c r="K187" t="s">
        <v>69</v>
      </c>
      <c r="L187">
        <v>200</v>
      </c>
      <c r="M187" t="s">
        <v>28</v>
      </c>
      <c r="N187" t="s">
        <v>1160</v>
      </c>
      <c r="O187" t="s">
        <v>17</v>
      </c>
      <c r="P187" t="s">
        <v>233</v>
      </c>
      <c r="Q187" t="s">
        <v>234</v>
      </c>
      <c r="R187" t="s">
        <v>31</v>
      </c>
    </row>
    <row r="188" spans="1:18" x14ac:dyDescent="0.2">
      <c r="A188">
        <v>185</v>
      </c>
      <c r="B188" t="s">
        <v>24</v>
      </c>
      <c r="C188">
        <v>2020</v>
      </c>
      <c r="D188" t="s">
        <v>25</v>
      </c>
      <c r="E188" t="s">
        <v>66</v>
      </c>
      <c r="F188" t="s">
        <v>65</v>
      </c>
      <c r="G188" t="s">
        <v>77</v>
      </c>
      <c r="H188" t="s">
        <v>70</v>
      </c>
      <c r="I188" t="s">
        <v>74</v>
      </c>
      <c r="K188" t="s">
        <v>69</v>
      </c>
      <c r="L188">
        <v>200</v>
      </c>
      <c r="M188" t="s">
        <v>28</v>
      </c>
      <c r="N188" t="s">
        <v>1160</v>
      </c>
      <c r="O188" t="s">
        <v>17</v>
      </c>
      <c r="P188" t="s">
        <v>233</v>
      </c>
      <c r="Q188" t="s">
        <v>234</v>
      </c>
      <c r="R188" t="s">
        <v>32</v>
      </c>
    </row>
    <row r="189" spans="1:18" x14ac:dyDescent="0.2">
      <c r="A189">
        <v>186</v>
      </c>
      <c r="B189" t="s">
        <v>24</v>
      </c>
      <c r="C189">
        <v>2020</v>
      </c>
      <c r="D189" t="s">
        <v>25</v>
      </c>
      <c r="E189" t="s">
        <v>66</v>
      </c>
      <c r="F189" t="s">
        <v>65</v>
      </c>
      <c r="G189" t="s">
        <v>77</v>
      </c>
      <c r="H189" t="s">
        <v>70</v>
      </c>
      <c r="I189" t="s">
        <v>8</v>
      </c>
      <c r="J189" t="s">
        <v>139</v>
      </c>
      <c r="K189" t="s">
        <v>69</v>
      </c>
      <c r="L189">
        <v>200</v>
      </c>
      <c r="M189" t="s">
        <v>28</v>
      </c>
      <c r="N189" t="s">
        <v>1160</v>
      </c>
      <c r="O189" t="s">
        <v>17</v>
      </c>
      <c r="P189" t="s">
        <v>233</v>
      </c>
      <c r="Q189" t="s">
        <v>234</v>
      </c>
      <c r="R189" t="s">
        <v>30</v>
      </c>
    </row>
    <row r="190" spans="1:18" x14ac:dyDescent="0.2">
      <c r="A190">
        <v>187</v>
      </c>
      <c r="B190" t="s">
        <v>24</v>
      </c>
      <c r="C190">
        <v>2020</v>
      </c>
      <c r="D190" t="s">
        <v>25</v>
      </c>
      <c r="E190" t="s">
        <v>66</v>
      </c>
      <c r="F190" t="s">
        <v>65</v>
      </c>
      <c r="G190" t="s">
        <v>77</v>
      </c>
      <c r="H190" t="s">
        <v>70</v>
      </c>
      <c r="I190" t="s">
        <v>8</v>
      </c>
      <c r="J190" t="s">
        <v>139</v>
      </c>
      <c r="K190" t="s">
        <v>69</v>
      </c>
      <c r="L190">
        <v>200</v>
      </c>
      <c r="M190" t="s">
        <v>28</v>
      </c>
      <c r="N190" t="s">
        <v>1160</v>
      </c>
      <c r="O190" t="s">
        <v>17</v>
      </c>
      <c r="P190" t="s">
        <v>233</v>
      </c>
      <c r="Q190" t="s">
        <v>234</v>
      </c>
      <c r="R190" t="s">
        <v>31</v>
      </c>
    </row>
    <row r="191" spans="1:18" x14ac:dyDescent="0.2">
      <c r="A191">
        <v>188</v>
      </c>
      <c r="B191" t="s">
        <v>24</v>
      </c>
      <c r="C191">
        <v>2020</v>
      </c>
      <c r="D191" t="s">
        <v>25</v>
      </c>
      <c r="E191" t="s">
        <v>66</v>
      </c>
      <c r="F191" t="s">
        <v>65</v>
      </c>
      <c r="G191" t="s">
        <v>77</v>
      </c>
      <c r="H191" t="s">
        <v>70</v>
      </c>
      <c r="I191" t="s">
        <v>8</v>
      </c>
      <c r="J191" t="s">
        <v>139</v>
      </c>
      <c r="K191" t="s">
        <v>69</v>
      </c>
      <c r="L191">
        <v>200</v>
      </c>
      <c r="M191" t="s">
        <v>28</v>
      </c>
      <c r="N191" t="s">
        <v>1160</v>
      </c>
      <c r="O191" t="s">
        <v>17</v>
      </c>
      <c r="P191" t="s">
        <v>233</v>
      </c>
      <c r="Q191" t="s">
        <v>234</v>
      </c>
      <c r="R191" t="s">
        <v>32</v>
      </c>
    </row>
    <row r="192" spans="1:18" x14ac:dyDescent="0.2">
      <c r="A192">
        <v>189</v>
      </c>
      <c r="B192" t="s">
        <v>24</v>
      </c>
      <c r="C192">
        <v>2020</v>
      </c>
      <c r="D192" t="s">
        <v>25</v>
      </c>
      <c r="E192" t="s">
        <v>66</v>
      </c>
      <c r="F192" t="s">
        <v>65</v>
      </c>
      <c r="G192" t="s">
        <v>77</v>
      </c>
      <c r="H192" t="s">
        <v>232</v>
      </c>
      <c r="I192" t="s">
        <v>73</v>
      </c>
      <c r="J192" t="s">
        <v>139</v>
      </c>
      <c r="K192" t="s">
        <v>69</v>
      </c>
      <c r="L192">
        <v>200</v>
      </c>
      <c r="M192" t="s">
        <v>28</v>
      </c>
      <c r="N192" t="s">
        <v>1160</v>
      </c>
      <c r="O192" t="s">
        <v>17</v>
      </c>
      <c r="P192" t="s">
        <v>233</v>
      </c>
      <c r="Q192" t="s">
        <v>234</v>
      </c>
      <c r="R192" t="s">
        <v>30</v>
      </c>
    </row>
    <row r="193" spans="1:18" x14ac:dyDescent="0.2">
      <c r="A193">
        <v>190</v>
      </c>
      <c r="B193" t="s">
        <v>24</v>
      </c>
      <c r="C193">
        <v>2020</v>
      </c>
      <c r="D193" t="s">
        <v>25</v>
      </c>
      <c r="E193" t="s">
        <v>66</v>
      </c>
      <c r="F193" t="s">
        <v>65</v>
      </c>
      <c r="G193" t="s">
        <v>77</v>
      </c>
      <c r="H193" t="s">
        <v>232</v>
      </c>
      <c r="I193" t="s">
        <v>73</v>
      </c>
      <c r="J193" t="s">
        <v>139</v>
      </c>
      <c r="K193" t="s">
        <v>69</v>
      </c>
      <c r="L193">
        <v>200</v>
      </c>
      <c r="M193" t="s">
        <v>28</v>
      </c>
      <c r="N193" t="s">
        <v>1160</v>
      </c>
      <c r="O193" t="s">
        <v>17</v>
      </c>
      <c r="P193" t="s">
        <v>233</v>
      </c>
      <c r="Q193" t="s">
        <v>234</v>
      </c>
      <c r="R193" t="s">
        <v>31</v>
      </c>
    </row>
    <row r="194" spans="1:18" x14ac:dyDescent="0.2">
      <c r="A194">
        <v>191</v>
      </c>
      <c r="B194" t="s">
        <v>24</v>
      </c>
      <c r="C194">
        <v>2020</v>
      </c>
      <c r="D194" t="s">
        <v>25</v>
      </c>
      <c r="E194" t="s">
        <v>66</v>
      </c>
      <c r="F194" t="s">
        <v>65</v>
      </c>
      <c r="G194" t="s">
        <v>77</v>
      </c>
      <c r="H194" t="s">
        <v>232</v>
      </c>
      <c r="I194" t="s">
        <v>73</v>
      </c>
      <c r="J194" t="s">
        <v>139</v>
      </c>
      <c r="K194" t="s">
        <v>69</v>
      </c>
      <c r="L194">
        <v>200</v>
      </c>
      <c r="M194" t="s">
        <v>28</v>
      </c>
      <c r="N194" t="s">
        <v>1160</v>
      </c>
      <c r="O194" t="s">
        <v>17</v>
      </c>
      <c r="P194" t="s">
        <v>233</v>
      </c>
      <c r="Q194" t="s">
        <v>234</v>
      </c>
      <c r="R194" t="s">
        <v>32</v>
      </c>
    </row>
    <row r="195" spans="1:18" x14ac:dyDescent="0.2">
      <c r="A195">
        <v>192</v>
      </c>
      <c r="B195" t="s">
        <v>24</v>
      </c>
      <c r="C195">
        <v>2020</v>
      </c>
      <c r="D195" t="s">
        <v>25</v>
      </c>
      <c r="E195" t="s">
        <v>66</v>
      </c>
      <c r="F195" t="s">
        <v>65</v>
      </c>
      <c r="G195" t="s">
        <v>78</v>
      </c>
      <c r="H195" t="s">
        <v>538</v>
      </c>
      <c r="I195" t="s">
        <v>545</v>
      </c>
      <c r="P195" t="s">
        <v>78</v>
      </c>
      <c r="Q195" t="s">
        <v>234</v>
      </c>
    </row>
    <row r="196" spans="1:18" x14ac:dyDescent="0.2">
      <c r="A196">
        <v>193</v>
      </c>
      <c r="B196" t="s">
        <v>24</v>
      </c>
      <c r="C196">
        <v>2020</v>
      </c>
      <c r="D196" t="s">
        <v>25</v>
      </c>
      <c r="E196" t="s">
        <v>66</v>
      </c>
      <c r="F196" t="s">
        <v>65</v>
      </c>
      <c r="G196" t="s">
        <v>78</v>
      </c>
      <c r="H196" t="s">
        <v>538</v>
      </c>
      <c r="I196" t="s">
        <v>545</v>
      </c>
      <c r="P196" t="s">
        <v>78</v>
      </c>
      <c r="Q196" t="s">
        <v>27</v>
      </c>
    </row>
    <row r="197" spans="1:18" x14ac:dyDescent="0.2">
      <c r="A197">
        <v>194</v>
      </c>
      <c r="B197" t="s">
        <v>24</v>
      </c>
      <c r="C197">
        <v>2020</v>
      </c>
      <c r="D197" t="s">
        <v>25</v>
      </c>
      <c r="E197" t="s">
        <v>66</v>
      </c>
      <c r="F197" t="s">
        <v>65</v>
      </c>
      <c r="G197" t="s">
        <v>78</v>
      </c>
      <c r="H197" t="s">
        <v>538</v>
      </c>
      <c r="I197" t="s">
        <v>610</v>
      </c>
      <c r="P197" t="s">
        <v>78</v>
      </c>
      <c r="Q197" t="s">
        <v>234</v>
      </c>
    </row>
    <row r="198" spans="1:18" x14ac:dyDescent="0.2">
      <c r="A198">
        <v>195</v>
      </c>
      <c r="B198" t="s">
        <v>24</v>
      </c>
      <c r="C198">
        <v>2020</v>
      </c>
      <c r="D198" t="s">
        <v>25</v>
      </c>
      <c r="E198" t="s">
        <v>66</v>
      </c>
      <c r="F198" t="s">
        <v>65</v>
      </c>
      <c r="G198" t="s">
        <v>78</v>
      </c>
      <c r="H198" t="s">
        <v>538</v>
      </c>
      <c r="I198" t="s">
        <v>610</v>
      </c>
      <c r="P198" t="s">
        <v>78</v>
      </c>
      <c r="Q198" t="s">
        <v>27</v>
      </c>
    </row>
    <row r="199" spans="1:18" x14ac:dyDescent="0.2">
      <c r="A199">
        <v>196</v>
      </c>
      <c r="B199" t="s">
        <v>24</v>
      </c>
      <c r="C199">
        <v>2020</v>
      </c>
      <c r="D199" t="s">
        <v>25</v>
      </c>
      <c r="E199" t="s">
        <v>66</v>
      </c>
      <c r="F199" t="s">
        <v>65</v>
      </c>
      <c r="G199" t="s">
        <v>78</v>
      </c>
      <c r="H199" t="s">
        <v>612</v>
      </c>
      <c r="I199" t="s">
        <v>611</v>
      </c>
      <c r="P199" t="s">
        <v>78</v>
      </c>
      <c r="Q199" t="s">
        <v>234</v>
      </c>
    </row>
    <row r="200" spans="1:18" x14ac:dyDescent="0.2">
      <c r="A200">
        <v>197</v>
      </c>
      <c r="B200" t="s">
        <v>24</v>
      </c>
      <c r="C200">
        <v>2020</v>
      </c>
      <c r="D200" t="s">
        <v>25</v>
      </c>
      <c r="E200" t="s">
        <v>66</v>
      </c>
      <c r="F200" t="s">
        <v>65</v>
      </c>
      <c r="G200" t="s">
        <v>78</v>
      </c>
      <c r="H200" t="s">
        <v>612</v>
      </c>
      <c r="I200" t="s">
        <v>611</v>
      </c>
      <c r="P200" t="s">
        <v>78</v>
      </c>
      <c r="Q200" t="s">
        <v>27</v>
      </c>
    </row>
    <row r="201" spans="1:18" x14ac:dyDescent="0.2">
      <c r="A201" s="43" t="s">
        <v>864</v>
      </c>
      <c r="B201" t="s">
        <v>24</v>
      </c>
      <c r="C201">
        <v>2020</v>
      </c>
      <c r="D201" t="s">
        <v>1003</v>
      </c>
      <c r="E201" t="s">
        <v>865</v>
      </c>
      <c r="F201" t="s">
        <v>92</v>
      </c>
      <c r="G201" t="s">
        <v>76</v>
      </c>
      <c r="H201" t="s">
        <v>70</v>
      </c>
      <c r="I201" t="s">
        <v>8</v>
      </c>
      <c r="J201" t="s">
        <v>139</v>
      </c>
      <c r="K201" t="s">
        <v>68</v>
      </c>
      <c r="L201">
        <v>500</v>
      </c>
      <c r="M201" t="s">
        <v>13</v>
      </c>
      <c r="O201" t="s">
        <v>16</v>
      </c>
      <c r="P201" t="s">
        <v>233</v>
      </c>
      <c r="Q201" t="s">
        <v>234</v>
      </c>
    </row>
    <row r="202" spans="1:18" x14ac:dyDescent="0.2">
      <c r="A202" s="43" t="s">
        <v>866</v>
      </c>
      <c r="B202" t="s">
        <v>24</v>
      </c>
      <c r="C202">
        <v>2020</v>
      </c>
      <c r="D202" t="s">
        <v>1003</v>
      </c>
      <c r="E202" t="s">
        <v>865</v>
      </c>
      <c r="F202" t="s">
        <v>92</v>
      </c>
      <c r="G202" t="s">
        <v>76</v>
      </c>
      <c r="H202" t="s">
        <v>232</v>
      </c>
      <c r="I202" t="s">
        <v>71</v>
      </c>
      <c r="J202" t="s">
        <v>139</v>
      </c>
      <c r="K202" t="s">
        <v>68</v>
      </c>
      <c r="L202">
        <v>500</v>
      </c>
      <c r="M202" t="s">
        <v>13</v>
      </c>
      <c r="O202" t="s">
        <v>16</v>
      </c>
      <c r="P202" t="s">
        <v>233</v>
      </c>
      <c r="Q202" t="s">
        <v>234</v>
      </c>
    </row>
    <row r="203" spans="1:18" x14ac:dyDescent="0.2">
      <c r="A203" s="43" t="s">
        <v>867</v>
      </c>
      <c r="B203" t="s">
        <v>24</v>
      </c>
      <c r="C203">
        <v>2020</v>
      </c>
      <c r="D203" t="s">
        <v>1003</v>
      </c>
      <c r="E203" t="s">
        <v>865</v>
      </c>
      <c r="F203" t="s">
        <v>92</v>
      </c>
      <c r="G203" t="s">
        <v>76</v>
      </c>
      <c r="H203" t="s">
        <v>232</v>
      </c>
      <c r="I203" t="s">
        <v>72</v>
      </c>
      <c r="J203" t="s">
        <v>139</v>
      </c>
      <c r="K203" t="s">
        <v>68</v>
      </c>
      <c r="L203">
        <v>500</v>
      </c>
      <c r="M203" t="s">
        <v>13</v>
      </c>
      <c r="O203" t="s">
        <v>16</v>
      </c>
      <c r="P203" t="s">
        <v>233</v>
      </c>
      <c r="Q203" t="s">
        <v>234</v>
      </c>
    </row>
    <row r="204" spans="1:18" x14ac:dyDescent="0.2">
      <c r="A204" s="43" t="s">
        <v>868</v>
      </c>
      <c r="B204" t="s">
        <v>24</v>
      </c>
      <c r="C204">
        <v>2020</v>
      </c>
      <c r="D204" t="s">
        <v>1003</v>
      </c>
      <c r="E204" t="s">
        <v>865</v>
      </c>
      <c r="F204" t="s">
        <v>92</v>
      </c>
      <c r="G204" t="s">
        <v>76</v>
      </c>
      <c r="H204" t="s">
        <v>70</v>
      </c>
      <c r="I204" t="s">
        <v>8</v>
      </c>
      <c r="J204" t="s">
        <v>139</v>
      </c>
      <c r="K204" t="s">
        <v>69</v>
      </c>
      <c r="L204">
        <v>200</v>
      </c>
      <c r="M204" t="s">
        <v>13</v>
      </c>
      <c r="O204" t="s">
        <v>16</v>
      </c>
      <c r="P204" t="s">
        <v>233</v>
      </c>
      <c r="Q204" t="s">
        <v>234</v>
      </c>
    </row>
    <row r="205" spans="1:18" x14ac:dyDescent="0.2">
      <c r="A205" s="43" t="s">
        <v>869</v>
      </c>
      <c r="B205" t="s">
        <v>24</v>
      </c>
      <c r="C205">
        <v>2020</v>
      </c>
      <c r="D205" t="s">
        <v>1003</v>
      </c>
      <c r="E205" t="s">
        <v>865</v>
      </c>
      <c r="F205" t="s">
        <v>92</v>
      </c>
      <c r="G205" t="s">
        <v>76</v>
      </c>
      <c r="H205" t="s">
        <v>232</v>
      </c>
      <c r="I205" t="s">
        <v>71</v>
      </c>
      <c r="J205" t="s">
        <v>139</v>
      </c>
      <c r="K205" t="s">
        <v>69</v>
      </c>
      <c r="L205">
        <v>200</v>
      </c>
      <c r="M205" t="s">
        <v>13</v>
      </c>
      <c r="O205" t="s">
        <v>16</v>
      </c>
      <c r="P205" t="s">
        <v>233</v>
      </c>
      <c r="Q205" t="s">
        <v>234</v>
      </c>
    </row>
    <row r="206" spans="1:18" x14ac:dyDescent="0.2">
      <c r="A206" s="43" t="s">
        <v>870</v>
      </c>
      <c r="B206" t="s">
        <v>24</v>
      </c>
      <c r="C206">
        <v>2020</v>
      </c>
      <c r="D206" t="s">
        <v>1003</v>
      </c>
      <c r="E206" t="s">
        <v>865</v>
      </c>
      <c r="F206" t="s">
        <v>92</v>
      </c>
      <c r="G206" t="s">
        <v>76</v>
      </c>
      <c r="H206" t="s">
        <v>232</v>
      </c>
      <c r="I206" t="s">
        <v>72</v>
      </c>
      <c r="J206" t="s">
        <v>139</v>
      </c>
      <c r="K206" t="s">
        <v>69</v>
      </c>
      <c r="L206">
        <v>200</v>
      </c>
      <c r="M206" t="s">
        <v>13</v>
      </c>
      <c r="O206" t="s">
        <v>16</v>
      </c>
      <c r="P206" t="s">
        <v>233</v>
      </c>
      <c r="Q206" t="s">
        <v>234</v>
      </c>
    </row>
    <row r="207" spans="1:18" x14ac:dyDescent="0.2">
      <c r="A207" s="43" t="s">
        <v>871</v>
      </c>
      <c r="B207" t="s">
        <v>24</v>
      </c>
      <c r="C207">
        <v>2020</v>
      </c>
      <c r="D207" t="s">
        <v>1003</v>
      </c>
      <c r="E207" t="s">
        <v>865</v>
      </c>
      <c r="F207" t="s">
        <v>92</v>
      </c>
      <c r="G207" t="s">
        <v>76</v>
      </c>
      <c r="H207" t="s">
        <v>70</v>
      </c>
      <c r="I207" t="s">
        <v>8</v>
      </c>
      <c r="J207" t="s">
        <v>139</v>
      </c>
      <c r="K207" t="s">
        <v>68</v>
      </c>
      <c r="L207">
        <v>500</v>
      </c>
      <c r="M207" t="s">
        <v>13</v>
      </c>
      <c r="O207" t="s">
        <v>17</v>
      </c>
      <c r="P207" t="s">
        <v>233</v>
      </c>
      <c r="Q207" t="s">
        <v>234</v>
      </c>
    </row>
    <row r="208" spans="1:18" x14ac:dyDescent="0.2">
      <c r="A208" s="43" t="s">
        <v>872</v>
      </c>
      <c r="B208" t="s">
        <v>24</v>
      </c>
      <c r="C208">
        <v>2020</v>
      </c>
      <c r="D208" t="s">
        <v>1003</v>
      </c>
      <c r="E208" t="s">
        <v>865</v>
      </c>
      <c r="F208" t="s">
        <v>92</v>
      </c>
      <c r="G208" t="s">
        <v>76</v>
      </c>
      <c r="H208" t="s">
        <v>232</v>
      </c>
      <c r="I208" t="s">
        <v>71</v>
      </c>
      <c r="J208" t="s">
        <v>139</v>
      </c>
      <c r="K208" t="s">
        <v>68</v>
      </c>
      <c r="L208">
        <v>500</v>
      </c>
      <c r="M208" t="s">
        <v>13</v>
      </c>
      <c r="O208" t="s">
        <v>17</v>
      </c>
      <c r="P208" t="s">
        <v>233</v>
      </c>
      <c r="Q208" t="s">
        <v>234</v>
      </c>
    </row>
    <row r="209" spans="1:17" x14ac:dyDescent="0.2">
      <c r="A209" s="43" t="s">
        <v>873</v>
      </c>
      <c r="B209" t="s">
        <v>24</v>
      </c>
      <c r="C209">
        <v>2020</v>
      </c>
      <c r="D209" t="s">
        <v>1003</v>
      </c>
      <c r="E209" t="s">
        <v>865</v>
      </c>
      <c r="F209" t="s">
        <v>92</v>
      </c>
      <c r="G209" t="s">
        <v>76</v>
      </c>
      <c r="H209" t="s">
        <v>232</v>
      </c>
      <c r="I209" t="s">
        <v>72</v>
      </c>
      <c r="J209" t="s">
        <v>139</v>
      </c>
      <c r="K209" t="s">
        <v>68</v>
      </c>
      <c r="L209">
        <v>500</v>
      </c>
      <c r="M209" t="s">
        <v>13</v>
      </c>
      <c r="O209" t="s">
        <v>17</v>
      </c>
      <c r="P209" t="s">
        <v>233</v>
      </c>
      <c r="Q209" t="s">
        <v>234</v>
      </c>
    </row>
    <row r="210" spans="1:17" x14ac:dyDescent="0.2">
      <c r="A210" s="43" t="s">
        <v>874</v>
      </c>
      <c r="B210" t="s">
        <v>24</v>
      </c>
      <c r="C210">
        <v>2020</v>
      </c>
      <c r="D210" t="s">
        <v>1003</v>
      </c>
      <c r="E210" t="s">
        <v>865</v>
      </c>
      <c r="F210" t="s">
        <v>92</v>
      </c>
      <c r="G210" t="s">
        <v>76</v>
      </c>
      <c r="H210" t="s">
        <v>70</v>
      </c>
      <c r="I210" t="s">
        <v>8</v>
      </c>
      <c r="J210" t="s">
        <v>139</v>
      </c>
      <c r="K210" t="s">
        <v>69</v>
      </c>
      <c r="L210">
        <v>200</v>
      </c>
      <c r="M210" t="s">
        <v>13</v>
      </c>
      <c r="O210" t="s">
        <v>17</v>
      </c>
      <c r="P210" t="s">
        <v>233</v>
      </c>
      <c r="Q210" t="s">
        <v>234</v>
      </c>
    </row>
    <row r="211" spans="1:17" x14ac:dyDescent="0.2">
      <c r="A211" s="43" t="s">
        <v>875</v>
      </c>
      <c r="B211" t="s">
        <v>24</v>
      </c>
      <c r="C211">
        <v>2020</v>
      </c>
      <c r="D211" t="s">
        <v>1003</v>
      </c>
      <c r="E211" t="s">
        <v>865</v>
      </c>
      <c r="F211" t="s">
        <v>92</v>
      </c>
      <c r="G211" t="s">
        <v>76</v>
      </c>
      <c r="H211" t="s">
        <v>232</v>
      </c>
      <c r="I211" t="s">
        <v>71</v>
      </c>
      <c r="J211" t="s">
        <v>139</v>
      </c>
      <c r="K211" t="s">
        <v>69</v>
      </c>
      <c r="L211">
        <v>200</v>
      </c>
      <c r="M211" t="s">
        <v>13</v>
      </c>
      <c r="O211" t="s">
        <v>17</v>
      </c>
      <c r="P211" t="s">
        <v>233</v>
      </c>
      <c r="Q211" t="s">
        <v>234</v>
      </c>
    </row>
    <row r="212" spans="1:17" x14ac:dyDescent="0.2">
      <c r="A212" s="43" t="s">
        <v>876</v>
      </c>
      <c r="B212" t="s">
        <v>24</v>
      </c>
      <c r="C212">
        <v>2020</v>
      </c>
      <c r="D212" t="s">
        <v>1003</v>
      </c>
      <c r="E212" t="s">
        <v>865</v>
      </c>
      <c r="F212" t="s">
        <v>92</v>
      </c>
      <c r="G212" t="s">
        <v>76</v>
      </c>
      <c r="H212" t="s">
        <v>232</v>
      </c>
      <c r="I212" t="s">
        <v>72</v>
      </c>
      <c r="J212" t="s">
        <v>139</v>
      </c>
      <c r="K212" t="s">
        <v>69</v>
      </c>
      <c r="L212">
        <v>200</v>
      </c>
      <c r="M212" t="s">
        <v>13</v>
      </c>
      <c r="O212" t="s">
        <v>17</v>
      </c>
      <c r="P212" t="s">
        <v>233</v>
      </c>
      <c r="Q212" t="s">
        <v>234</v>
      </c>
    </row>
    <row r="213" spans="1:17" x14ac:dyDescent="0.2">
      <c r="A213" s="43" t="s">
        <v>877</v>
      </c>
      <c r="B213" t="s">
        <v>24</v>
      </c>
      <c r="C213">
        <v>2020</v>
      </c>
      <c r="D213" t="s">
        <v>1003</v>
      </c>
      <c r="E213" t="s">
        <v>865</v>
      </c>
      <c r="F213" t="s">
        <v>92</v>
      </c>
      <c r="G213" t="s">
        <v>76</v>
      </c>
      <c r="H213" t="s">
        <v>70</v>
      </c>
      <c r="I213" t="s">
        <v>8</v>
      </c>
      <c r="J213" t="s">
        <v>139</v>
      </c>
      <c r="K213" t="s">
        <v>68</v>
      </c>
      <c r="L213">
        <v>500</v>
      </c>
      <c r="M213" t="s">
        <v>13</v>
      </c>
      <c r="O213" t="s">
        <v>18</v>
      </c>
      <c r="P213" t="s">
        <v>233</v>
      </c>
      <c r="Q213" t="s">
        <v>234</v>
      </c>
    </row>
    <row r="214" spans="1:17" x14ac:dyDescent="0.2">
      <c r="A214" s="43" t="s">
        <v>878</v>
      </c>
      <c r="B214" t="s">
        <v>24</v>
      </c>
      <c r="C214">
        <v>2020</v>
      </c>
      <c r="D214" t="s">
        <v>1003</v>
      </c>
      <c r="E214" t="s">
        <v>865</v>
      </c>
      <c r="F214" t="s">
        <v>92</v>
      </c>
      <c r="G214" t="s">
        <v>76</v>
      </c>
      <c r="H214" t="s">
        <v>232</v>
      </c>
      <c r="I214" t="s">
        <v>71</v>
      </c>
      <c r="J214" t="s">
        <v>139</v>
      </c>
      <c r="K214" t="s">
        <v>68</v>
      </c>
      <c r="L214">
        <v>500</v>
      </c>
      <c r="M214" t="s">
        <v>13</v>
      </c>
      <c r="O214" t="s">
        <v>18</v>
      </c>
      <c r="P214" t="s">
        <v>233</v>
      </c>
      <c r="Q214" t="s">
        <v>234</v>
      </c>
    </row>
    <row r="215" spans="1:17" x14ac:dyDescent="0.2">
      <c r="A215" s="43" t="s">
        <v>879</v>
      </c>
      <c r="B215" t="s">
        <v>24</v>
      </c>
      <c r="C215">
        <v>2020</v>
      </c>
      <c r="D215" t="s">
        <v>1003</v>
      </c>
      <c r="E215" t="s">
        <v>865</v>
      </c>
      <c r="F215" t="s">
        <v>92</v>
      </c>
      <c r="G215" t="s">
        <v>76</v>
      </c>
      <c r="H215" t="s">
        <v>232</v>
      </c>
      <c r="I215" t="s">
        <v>72</v>
      </c>
      <c r="J215" t="s">
        <v>139</v>
      </c>
      <c r="K215" t="s">
        <v>68</v>
      </c>
      <c r="L215">
        <v>500</v>
      </c>
      <c r="M215" t="s">
        <v>13</v>
      </c>
      <c r="O215" t="s">
        <v>18</v>
      </c>
      <c r="P215" t="s">
        <v>233</v>
      </c>
      <c r="Q215" t="s">
        <v>234</v>
      </c>
    </row>
    <row r="216" spans="1:17" x14ac:dyDescent="0.2">
      <c r="A216" s="43" t="s">
        <v>880</v>
      </c>
      <c r="B216" t="s">
        <v>24</v>
      </c>
      <c r="C216">
        <v>2020</v>
      </c>
      <c r="D216" t="s">
        <v>1003</v>
      </c>
      <c r="E216" t="s">
        <v>865</v>
      </c>
      <c r="F216" t="s">
        <v>92</v>
      </c>
      <c r="G216" t="s">
        <v>76</v>
      </c>
      <c r="H216" t="s">
        <v>70</v>
      </c>
      <c r="I216" t="s">
        <v>8</v>
      </c>
      <c r="J216" t="s">
        <v>139</v>
      </c>
      <c r="K216" t="s">
        <v>69</v>
      </c>
      <c r="L216">
        <v>200</v>
      </c>
      <c r="M216" t="s">
        <v>13</v>
      </c>
      <c r="O216" t="s">
        <v>18</v>
      </c>
      <c r="P216" t="s">
        <v>233</v>
      </c>
      <c r="Q216" t="s">
        <v>234</v>
      </c>
    </row>
    <row r="217" spans="1:17" x14ac:dyDescent="0.2">
      <c r="A217" s="43" t="s">
        <v>881</v>
      </c>
      <c r="B217" t="s">
        <v>24</v>
      </c>
      <c r="C217">
        <v>2020</v>
      </c>
      <c r="D217" t="s">
        <v>1003</v>
      </c>
      <c r="E217" t="s">
        <v>865</v>
      </c>
      <c r="F217" t="s">
        <v>92</v>
      </c>
      <c r="G217" t="s">
        <v>76</v>
      </c>
      <c r="H217" t="s">
        <v>232</v>
      </c>
      <c r="I217" t="s">
        <v>71</v>
      </c>
      <c r="J217" t="s">
        <v>139</v>
      </c>
      <c r="K217" t="s">
        <v>69</v>
      </c>
      <c r="L217">
        <v>200</v>
      </c>
      <c r="M217" t="s">
        <v>13</v>
      </c>
      <c r="O217" t="s">
        <v>18</v>
      </c>
      <c r="P217" t="s">
        <v>233</v>
      </c>
      <c r="Q217" t="s">
        <v>234</v>
      </c>
    </row>
    <row r="218" spans="1:17" x14ac:dyDescent="0.2">
      <c r="A218" s="43" t="s">
        <v>882</v>
      </c>
      <c r="B218" t="s">
        <v>24</v>
      </c>
      <c r="C218">
        <v>2020</v>
      </c>
      <c r="D218" t="s">
        <v>1003</v>
      </c>
      <c r="E218" t="s">
        <v>865</v>
      </c>
      <c r="F218" t="s">
        <v>92</v>
      </c>
      <c r="G218" t="s">
        <v>76</v>
      </c>
      <c r="H218" t="s">
        <v>232</v>
      </c>
      <c r="I218" t="s">
        <v>72</v>
      </c>
      <c r="J218" t="s">
        <v>139</v>
      </c>
      <c r="K218" t="s">
        <v>69</v>
      </c>
      <c r="L218">
        <v>200</v>
      </c>
      <c r="M218" t="s">
        <v>13</v>
      </c>
      <c r="O218" t="s">
        <v>18</v>
      </c>
      <c r="P218" t="s">
        <v>233</v>
      </c>
      <c r="Q218" t="s">
        <v>234</v>
      </c>
    </row>
    <row r="219" spans="1:17" x14ac:dyDescent="0.2">
      <c r="A219" s="43" t="s">
        <v>883</v>
      </c>
      <c r="B219" t="s">
        <v>24</v>
      </c>
      <c r="C219">
        <v>2020</v>
      </c>
      <c r="D219" t="s">
        <v>1003</v>
      </c>
      <c r="E219" t="s">
        <v>865</v>
      </c>
      <c r="F219" t="s">
        <v>92</v>
      </c>
      <c r="G219" t="s">
        <v>76</v>
      </c>
      <c r="H219" t="s">
        <v>70</v>
      </c>
      <c r="I219" t="s">
        <v>8</v>
      </c>
      <c r="J219" t="s">
        <v>139</v>
      </c>
      <c r="K219" t="s">
        <v>68</v>
      </c>
      <c r="L219">
        <v>500</v>
      </c>
      <c r="M219" t="s">
        <v>13</v>
      </c>
      <c r="O219" t="s">
        <v>16</v>
      </c>
      <c r="P219" t="s">
        <v>233</v>
      </c>
      <c r="Q219" t="s">
        <v>27</v>
      </c>
    </row>
    <row r="220" spans="1:17" x14ac:dyDescent="0.2">
      <c r="A220" s="43" t="s">
        <v>884</v>
      </c>
      <c r="B220" t="s">
        <v>24</v>
      </c>
      <c r="C220">
        <v>2020</v>
      </c>
      <c r="D220" t="s">
        <v>1003</v>
      </c>
      <c r="E220" t="s">
        <v>865</v>
      </c>
      <c r="F220" t="s">
        <v>92</v>
      </c>
      <c r="G220" t="s">
        <v>76</v>
      </c>
      <c r="H220" t="s">
        <v>232</v>
      </c>
      <c r="I220" t="s">
        <v>71</v>
      </c>
      <c r="J220" t="s">
        <v>139</v>
      </c>
      <c r="K220" t="s">
        <v>68</v>
      </c>
      <c r="L220">
        <v>500</v>
      </c>
      <c r="M220" t="s">
        <v>13</v>
      </c>
      <c r="O220" t="s">
        <v>16</v>
      </c>
      <c r="P220" t="s">
        <v>233</v>
      </c>
      <c r="Q220" t="s">
        <v>27</v>
      </c>
    </row>
    <row r="221" spans="1:17" x14ac:dyDescent="0.2">
      <c r="A221" s="43" t="s">
        <v>885</v>
      </c>
      <c r="B221" t="s">
        <v>24</v>
      </c>
      <c r="C221">
        <v>2020</v>
      </c>
      <c r="D221" t="s">
        <v>1003</v>
      </c>
      <c r="E221" t="s">
        <v>865</v>
      </c>
      <c r="F221" t="s">
        <v>92</v>
      </c>
      <c r="G221" t="s">
        <v>76</v>
      </c>
      <c r="H221" t="s">
        <v>232</v>
      </c>
      <c r="I221" t="s">
        <v>72</v>
      </c>
      <c r="J221" t="s">
        <v>139</v>
      </c>
      <c r="K221" t="s">
        <v>68</v>
      </c>
      <c r="L221">
        <v>500</v>
      </c>
      <c r="M221" t="s">
        <v>13</v>
      </c>
      <c r="O221" t="s">
        <v>16</v>
      </c>
      <c r="P221" t="s">
        <v>233</v>
      </c>
      <c r="Q221" t="s">
        <v>27</v>
      </c>
    </row>
    <row r="222" spans="1:17" x14ac:dyDescent="0.2">
      <c r="A222" s="43" t="s">
        <v>886</v>
      </c>
      <c r="B222" t="s">
        <v>24</v>
      </c>
      <c r="C222">
        <v>2020</v>
      </c>
      <c r="D222" t="s">
        <v>1003</v>
      </c>
      <c r="E222" t="s">
        <v>865</v>
      </c>
      <c r="F222" t="s">
        <v>92</v>
      </c>
      <c r="G222" t="s">
        <v>76</v>
      </c>
      <c r="H222" t="s">
        <v>70</v>
      </c>
      <c r="I222" t="s">
        <v>8</v>
      </c>
      <c r="J222" t="s">
        <v>139</v>
      </c>
      <c r="K222" t="s">
        <v>69</v>
      </c>
      <c r="L222">
        <v>200</v>
      </c>
      <c r="M222" t="s">
        <v>13</v>
      </c>
      <c r="O222" t="s">
        <v>16</v>
      </c>
      <c r="P222" t="s">
        <v>233</v>
      </c>
      <c r="Q222" t="s">
        <v>27</v>
      </c>
    </row>
    <row r="223" spans="1:17" x14ac:dyDescent="0.2">
      <c r="A223" s="43" t="s">
        <v>887</v>
      </c>
      <c r="B223" t="s">
        <v>24</v>
      </c>
      <c r="C223">
        <v>2020</v>
      </c>
      <c r="D223" t="s">
        <v>1003</v>
      </c>
      <c r="E223" t="s">
        <v>865</v>
      </c>
      <c r="F223" t="s">
        <v>92</v>
      </c>
      <c r="G223" t="s">
        <v>76</v>
      </c>
      <c r="H223" t="s">
        <v>232</v>
      </c>
      <c r="I223" t="s">
        <v>71</v>
      </c>
      <c r="J223" t="s">
        <v>139</v>
      </c>
      <c r="K223" t="s">
        <v>69</v>
      </c>
      <c r="L223">
        <v>200</v>
      </c>
      <c r="M223" t="s">
        <v>13</v>
      </c>
      <c r="O223" t="s">
        <v>16</v>
      </c>
      <c r="P223" t="s">
        <v>233</v>
      </c>
      <c r="Q223" t="s">
        <v>27</v>
      </c>
    </row>
    <row r="224" spans="1:17" x14ac:dyDescent="0.2">
      <c r="A224" s="43" t="s">
        <v>888</v>
      </c>
      <c r="B224" t="s">
        <v>24</v>
      </c>
      <c r="C224">
        <v>2020</v>
      </c>
      <c r="D224" t="s">
        <v>1003</v>
      </c>
      <c r="E224" t="s">
        <v>865</v>
      </c>
      <c r="F224" t="s">
        <v>92</v>
      </c>
      <c r="G224" t="s">
        <v>76</v>
      </c>
      <c r="H224" t="s">
        <v>232</v>
      </c>
      <c r="I224" t="s">
        <v>72</v>
      </c>
      <c r="J224" t="s">
        <v>139</v>
      </c>
      <c r="K224" t="s">
        <v>69</v>
      </c>
      <c r="L224">
        <v>200</v>
      </c>
      <c r="M224" t="s">
        <v>13</v>
      </c>
      <c r="O224" t="s">
        <v>16</v>
      </c>
      <c r="P224" t="s">
        <v>233</v>
      </c>
      <c r="Q224" t="s">
        <v>27</v>
      </c>
    </row>
    <row r="225" spans="1:17" x14ac:dyDescent="0.2">
      <c r="A225" s="43" t="s">
        <v>889</v>
      </c>
      <c r="B225" t="s">
        <v>24</v>
      </c>
      <c r="C225">
        <v>2020</v>
      </c>
      <c r="D225" t="s">
        <v>1003</v>
      </c>
      <c r="E225" t="s">
        <v>865</v>
      </c>
      <c r="F225" t="s">
        <v>92</v>
      </c>
      <c r="G225" t="s">
        <v>76</v>
      </c>
      <c r="H225" t="s">
        <v>70</v>
      </c>
      <c r="I225" t="s">
        <v>8</v>
      </c>
      <c r="J225" t="s">
        <v>139</v>
      </c>
      <c r="K225" t="s">
        <v>68</v>
      </c>
      <c r="L225">
        <v>500</v>
      </c>
      <c r="M225" t="s">
        <v>13</v>
      </c>
      <c r="O225" t="s">
        <v>17</v>
      </c>
      <c r="P225" t="s">
        <v>233</v>
      </c>
      <c r="Q225" t="s">
        <v>27</v>
      </c>
    </row>
    <row r="226" spans="1:17" x14ac:dyDescent="0.2">
      <c r="A226" s="43" t="s">
        <v>890</v>
      </c>
      <c r="B226" t="s">
        <v>24</v>
      </c>
      <c r="C226">
        <v>2020</v>
      </c>
      <c r="D226" t="s">
        <v>1003</v>
      </c>
      <c r="E226" t="s">
        <v>865</v>
      </c>
      <c r="F226" t="s">
        <v>92</v>
      </c>
      <c r="G226" t="s">
        <v>76</v>
      </c>
      <c r="H226" t="s">
        <v>232</v>
      </c>
      <c r="I226" t="s">
        <v>71</v>
      </c>
      <c r="J226" t="s">
        <v>139</v>
      </c>
      <c r="K226" t="s">
        <v>68</v>
      </c>
      <c r="L226">
        <v>500</v>
      </c>
      <c r="M226" t="s">
        <v>13</v>
      </c>
      <c r="O226" t="s">
        <v>17</v>
      </c>
      <c r="P226" t="s">
        <v>233</v>
      </c>
      <c r="Q226" t="s">
        <v>27</v>
      </c>
    </row>
    <row r="227" spans="1:17" x14ac:dyDescent="0.2">
      <c r="A227" s="43" t="s">
        <v>891</v>
      </c>
      <c r="B227" t="s">
        <v>24</v>
      </c>
      <c r="C227">
        <v>2020</v>
      </c>
      <c r="D227" t="s">
        <v>1003</v>
      </c>
      <c r="E227" t="s">
        <v>865</v>
      </c>
      <c r="F227" t="s">
        <v>92</v>
      </c>
      <c r="G227" t="s">
        <v>76</v>
      </c>
      <c r="H227" t="s">
        <v>232</v>
      </c>
      <c r="I227" t="s">
        <v>72</v>
      </c>
      <c r="J227" t="s">
        <v>139</v>
      </c>
      <c r="K227" t="s">
        <v>68</v>
      </c>
      <c r="L227">
        <v>500</v>
      </c>
      <c r="M227" t="s">
        <v>13</v>
      </c>
      <c r="O227" t="s">
        <v>17</v>
      </c>
      <c r="P227" t="s">
        <v>233</v>
      </c>
      <c r="Q227" t="s">
        <v>27</v>
      </c>
    </row>
    <row r="228" spans="1:17" x14ac:dyDescent="0.2">
      <c r="A228" s="43" t="s">
        <v>892</v>
      </c>
      <c r="B228" t="s">
        <v>24</v>
      </c>
      <c r="C228">
        <v>2020</v>
      </c>
      <c r="D228" t="s">
        <v>1003</v>
      </c>
      <c r="E228" t="s">
        <v>865</v>
      </c>
      <c r="F228" t="s">
        <v>92</v>
      </c>
      <c r="G228" t="s">
        <v>76</v>
      </c>
      <c r="H228" t="s">
        <v>70</v>
      </c>
      <c r="I228" t="s">
        <v>8</v>
      </c>
      <c r="J228" t="s">
        <v>139</v>
      </c>
      <c r="K228" t="s">
        <v>69</v>
      </c>
      <c r="L228">
        <v>200</v>
      </c>
      <c r="M228" t="s">
        <v>13</v>
      </c>
      <c r="O228" t="s">
        <v>17</v>
      </c>
      <c r="P228" t="s">
        <v>233</v>
      </c>
      <c r="Q228" t="s">
        <v>27</v>
      </c>
    </row>
    <row r="229" spans="1:17" x14ac:dyDescent="0.2">
      <c r="A229" s="43" t="s">
        <v>893</v>
      </c>
      <c r="B229" t="s">
        <v>24</v>
      </c>
      <c r="C229">
        <v>2020</v>
      </c>
      <c r="D229" t="s">
        <v>1003</v>
      </c>
      <c r="E229" t="s">
        <v>865</v>
      </c>
      <c r="F229" t="s">
        <v>92</v>
      </c>
      <c r="G229" t="s">
        <v>76</v>
      </c>
      <c r="H229" t="s">
        <v>232</v>
      </c>
      <c r="I229" t="s">
        <v>71</v>
      </c>
      <c r="J229" t="s">
        <v>139</v>
      </c>
      <c r="K229" t="s">
        <v>69</v>
      </c>
      <c r="L229">
        <v>200</v>
      </c>
      <c r="M229" t="s">
        <v>13</v>
      </c>
      <c r="O229" t="s">
        <v>17</v>
      </c>
      <c r="P229" t="s">
        <v>233</v>
      </c>
      <c r="Q229" t="s">
        <v>27</v>
      </c>
    </row>
    <row r="230" spans="1:17" x14ac:dyDescent="0.2">
      <c r="A230" s="43" t="s">
        <v>894</v>
      </c>
      <c r="B230" t="s">
        <v>24</v>
      </c>
      <c r="C230">
        <v>2020</v>
      </c>
      <c r="D230" t="s">
        <v>1003</v>
      </c>
      <c r="E230" t="s">
        <v>865</v>
      </c>
      <c r="F230" t="s">
        <v>92</v>
      </c>
      <c r="G230" t="s">
        <v>76</v>
      </c>
      <c r="H230" t="s">
        <v>232</v>
      </c>
      <c r="I230" t="s">
        <v>72</v>
      </c>
      <c r="J230" t="s">
        <v>139</v>
      </c>
      <c r="K230" t="s">
        <v>69</v>
      </c>
      <c r="L230">
        <v>200</v>
      </c>
      <c r="M230" t="s">
        <v>13</v>
      </c>
      <c r="O230" t="s">
        <v>17</v>
      </c>
      <c r="P230" t="s">
        <v>233</v>
      </c>
      <c r="Q230" t="s">
        <v>27</v>
      </c>
    </row>
    <row r="231" spans="1:17" x14ac:dyDescent="0.2">
      <c r="A231" s="43" t="s">
        <v>895</v>
      </c>
      <c r="B231" t="s">
        <v>24</v>
      </c>
      <c r="C231">
        <v>2020</v>
      </c>
      <c r="D231" t="s">
        <v>1003</v>
      </c>
      <c r="E231" t="s">
        <v>865</v>
      </c>
      <c r="F231" t="s">
        <v>92</v>
      </c>
      <c r="G231" t="s">
        <v>76</v>
      </c>
      <c r="H231" t="s">
        <v>70</v>
      </c>
      <c r="I231" t="s">
        <v>8</v>
      </c>
      <c r="J231" t="s">
        <v>139</v>
      </c>
      <c r="K231" t="s">
        <v>68</v>
      </c>
      <c r="L231">
        <v>500</v>
      </c>
      <c r="M231" t="s">
        <v>13</v>
      </c>
      <c r="O231" t="s">
        <v>18</v>
      </c>
      <c r="P231" t="s">
        <v>233</v>
      </c>
      <c r="Q231" t="s">
        <v>27</v>
      </c>
    </row>
    <row r="232" spans="1:17" x14ac:dyDescent="0.2">
      <c r="A232" s="43" t="s">
        <v>896</v>
      </c>
      <c r="B232" t="s">
        <v>24</v>
      </c>
      <c r="C232">
        <v>2020</v>
      </c>
      <c r="D232" t="s">
        <v>1003</v>
      </c>
      <c r="E232" t="s">
        <v>865</v>
      </c>
      <c r="F232" t="s">
        <v>92</v>
      </c>
      <c r="G232" t="s">
        <v>76</v>
      </c>
      <c r="H232" t="s">
        <v>232</v>
      </c>
      <c r="I232" t="s">
        <v>71</v>
      </c>
      <c r="J232" t="s">
        <v>139</v>
      </c>
      <c r="K232" t="s">
        <v>68</v>
      </c>
      <c r="L232">
        <v>500</v>
      </c>
      <c r="M232" t="s">
        <v>13</v>
      </c>
      <c r="O232" t="s">
        <v>18</v>
      </c>
      <c r="P232" t="s">
        <v>233</v>
      </c>
      <c r="Q232" t="s">
        <v>27</v>
      </c>
    </row>
    <row r="233" spans="1:17" x14ac:dyDescent="0.2">
      <c r="A233" s="43" t="s">
        <v>897</v>
      </c>
      <c r="B233" t="s">
        <v>24</v>
      </c>
      <c r="C233">
        <v>2020</v>
      </c>
      <c r="D233" t="s">
        <v>1003</v>
      </c>
      <c r="E233" t="s">
        <v>865</v>
      </c>
      <c r="F233" t="s">
        <v>92</v>
      </c>
      <c r="G233" t="s">
        <v>76</v>
      </c>
      <c r="H233" t="s">
        <v>232</v>
      </c>
      <c r="I233" t="s">
        <v>72</v>
      </c>
      <c r="J233" t="s">
        <v>139</v>
      </c>
      <c r="K233" t="s">
        <v>68</v>
      </c>
      <c r="L233">
        <v>500</v>
      </c>
      <c r="M233" t="s">
        <v>13</v>
      </c>
      <c r="O233" t="s">
        <v>18</v>
      </c>
      <c r="P233" t="s">
        <v>233</v>
      </c>
      <c r="Q233" t="s">
        <v>27</v>
      </c>
    </row>
    <row r="234" spans="1:17" x14ac:dyDescent="0.2">
      <c r="A234" s="43" t="s">
        <v>898</v>
      </c>
      <c r="B234" t="s">
        <v>24</v>
      </c>
      <c r="C234">
        <v>2020</v>
      </c>
      <c r="D234" t="s">
        <v>1003</v>
      </c>
      <c r="E234" t="s">
        <v>865</v>
      </c>
      <c r="F234" t="s">
        <v>92</v>
      </c>
      <c r="G234" t="s">
        <v>76</v>
      </c>
      <c r="H234" t="s">
        <v>70</v>
      </c>
      <c r="I234" t="s">
        <v>8</v>
      </c>
      <c r="J234" t="s">
        <v>139</v>
      </c>
      <c r="K234" t="s">
        <v>69</v>
      </c>
      <c r="L234">
        <v>200</v>
      </c>
      <c r="M234" t="s">
        <v>13</v>
      </c>
      <c r="O234" t="s">
        <v>18</v>
      </c>
      <c r="P234" t="s">
        <v>233</v>
      </c>
      <c r="Q234" t="s">
        <v>27</v>
      </c>
    </row>
    <row r="235" spans="1:17" x14ac:dyDescent="0.2">
      <c r="A235" s="43" t="s">
        <v>899</v>
      </c>
      <c r="B235" t="s">
        <v>24</v>
      </c>
      <c r="C235">
        <v>2020</v>
      </c>
      <c r="D235" t="s">
        <v>1003</v>
      </c>
      <c r="E235" t="s">
        <v>865</v>
      </c>
      <c r="F235" t="s">
        <v>92</v>
      </c>
      <c r="G235" t="s">
        <v>76</v>
      </c>
      <c r="H235" t="s">
        <v>232</v>
      </c>
      <c r="I235" t="s">
        <v>71</v>
      </c>
      <c r="J235" t="s">
        <v>139</v>
      </c>
      <c r="K235" t="s">
        <v>69</v>
      </c>
      <c r="L235">
        <v>200</v>
      </c>
      <c r="M235" t="s">
        <v>13</v>
      </c>
      <c r="O235" t="s">
        <v>18</v>
      </c>
      <c r="P235" t="s">
        <v>233</v>
      </c>
      <c r="Q235" t="s">
        <v>27</v>
      </c>
    </row>
    <row r="236" spans="1:17" x14ac:dyDescent="0.2">
      <c r="A236" s="43" t="s">
        <v>900</v>
      </c>
      <c r="B236" t="s">
        <v>24</v>
      </c>
      <c r="C236">
        <v>2020</v>
      </c>
      <c r="D236" t="s">
        <v>1003</v>
      </c>
      <c r="E236" t="s">
        <v>865</v>
      </c>
      <c r="F236" t="s">
        <v>92</v>
      </c>
      <c r="G236" t="s">
        <v>76</v>
      </c>
      <c r="H236" t="s">
        <v>232</v>
      </c>
      <c r="I236" t="s">
        <v>72</v>
      </c>
      <c r="J236" t="s">
        <v>139</v>
      </c>
      <c r="K236" t="s">
        <v>69</v>
      </c>
      <c r="L236">
        <v>200</v>
      </c>
      <c r="M236" t="s">
        <v>13</v>
      </c>
      <c r="O236" t="s">
        <v>18</v>
      </c>
      <c r="P236" t="s">
        <v>233</v>
      </c>
      <c r="Q236" t="s">
        <v>27</v>
      </c>
    </row>
    <row r="237" spans="1:17" x14ac:dyDescent="0.2">
      <c r="A237" s="43" t="s">
        <v>901</v>
      </c>
      <c r="B237" t="s">
        <v>24</v>
      </c>
      <c r="C237">
        <v>2020</v>
      </c>
      <c r="D237" t="s">
        <v>1003</v>
      </c>
      <c r="E237" t="s">
        <v>865</v>
      </c>
      <c r="F237" t="s">
        <v>92</v>
      </c>
      <c r="G237" t="s">
        <v>76</v>
      </c>
      <c r="H237" t="s">
        <v>70</v>
      </c>
      <c r="I237" t="s">
        <v>8</v>
      </c>
      <c r="J237" t="s">
        <v>139</v>
      </c>
      <c r="K237" t="s">
        <v>68</v>
      </c>
      <c r="L237">
        <v>1700</v>
      </c>
      <c r="M237" t="s">
        <v>13</v>
      </c>
      <c r="O237" t="s">
        <v>16</v>
      </c>
      <c r="P237" t="s">
        <v>233</v>
      </c>
      <c r="Q237" t="s">
        <v>635</v>
      </c>
    </row>
    <row r="238" spans="1:17" x14ac:dyDescent="0.2">
      <c r="A238" s="43" t="s">
        <v>902</v>
      </c>
      <c r="B238" t="s">
        <v>24</v>
      </c>
      <c r="C238">
        <v>2020</v>
      </c>
      <c r="D238" t="s">
        <v>1003</v>
      </c>
      <c r="E238" t="s">
        <v>865</v>
      </c>
      <c r="F238" t="s">
        <v>92</v>
      </c>
      <c r="G238" t="s">
        <v>76</v>
      </c>
      <c r="H238" t="s">
        <v>232</v>
      </c>
      <c r="I238" t="s">
        <v>71</v>
      </c>
      <c r="J238" t="s">
        <v>139</v>
      </c>
      <c r="K238" t="s">
        <v>68</v>
      </c>
      <c r="L238">
        <v>1700</v>
      </c>
      <c r="M238" t="s">
        <v>13</v>
      </c>
      <c r="O238" t="s">
        <v>16</v>
      </c>
      <c r="P238" t="s">
        <v>233</v>
      </c>
      <c r="Q238" t="s">
        <v>635</v>
      </c>
    </row>
    <row r="239" spans="1:17" x14ac:dyDescent="0.2">
      <c r="A239" s="43" t="s">
        <v>903</v>
      </c>
      <c r="B239" t="s">
        <v>24</v>
      </c>
      <c r="C239">
        <v>2020</v>
      </c>
      <c r="D239" t="s">
        <v>1003</v>
      </c>
      <c r="E239" t="s">
        <v>865</v>
      </c>
      <c r="F239" t="s">
        <v>92</v>
      </c>
      <c r="G239" t="s">
        <v>76</v>
      </c>
      <c r="H239" t="s">
        <v>232</v>
      </c>
      <c r="I239" t="s">
        <v>72</v>
      </c>
      <c r="J239" t="s">
        <v>139</v>
      </c>
      <c r="K239" t="s">
        <v>68</v>
      </c>
      <c r="L239">
        <v>1700</v>
      </c>
      <c r="M239" t="s">
        <v>13</v>
      </c>
      <c r="O239" t="s">
        <v>16</v>
      </c>
      <c r="P239" t="s">
        <v>233</v>
      </c>
      <c r="Q239" t="s">
        <v>635</v>
      </c>
    </row>
    <row r="240" spans="1:17" x14ac:dyDescent="0.2">
      <c r="A240" s="43" t="s">
        <v>904</v>
      </c>
      <c r="B240" t="s">
        <v>24</v>
      </c>
      <c r="C240">
        <v>2020</v>
      </c>
      <c r="D240" t="s">
        <v>1003</v>
      </c>
      <c r="E240" t="s">
        <v>865</v>
      </c>
      <c r="F240" t="s">
        <v>92</v>
      </c>
      <c r="G240" t="s">
        <v>76</v>
      </c>
      <c r="H240" t="s">
        <v>70</v>
      </c>
      <c r="I240" t="s">
        <v>8</v>
      </c>
      <c r="J240" t="s">
        <v>139</v>
      </c>
      <c r="K240" t="s">
        <v>294</v>
      </c>
      <c r="L240">
        <v>1700</v>
      </c>
      <c r="M240" t="s">
        <v>13</v>
      </c>
      <c r="O240" t="s">
        <v>16</v>
      </c>
      <c r="P240" t="s">
        <v>233</v>
      </c>
      <c r="Q240" t="s">
        <v>635</v>
      </c>
    </row>
    <row r="241" spans="1:17" x14ac:dyDescent="0.2">
      <c r="A241" s="43" t="s">
        <v>905</v>
      </c>
      <c r="B241" t="s">
        <v>24</v>
      </c>
      <c r="C241">
        <v>2020</v>
      </c>
      <c r="D241" t="s">
        <v>1003</v>
      </c>
      <c r="E241" t="s">
        <v>865</v>
      </c>
      <c r="F241" t="s">
        <v>92</v>
      </c>
      <c r="G241" t="s">
        <v>76</v>
      </c>
      <c r="H241" t="s">
        <v>232</v>
      </c>
      <c r="I241" t="s">
        <v>71</v>
      </c>
      <c r="J241" t="s">
        <v>139</v>
      </c>
      <c r="K241" t="s">
        <v>294</v>
      </c>
      <c r="L241">
        <v>1700</v>
      </c>
      <c r="M241" t="s">
        <v>13</v>
      </c>
      <c r="O241" t="s">
        <v>16</v>
      </c>
      <c r="P241" t="s">
        <v>233</v>
      </c>
      <c r="Q241" t="s">
        <v>635</v>
      </c>
    </row>
    <row r="242" spans="1:17" x14ac:dyDescent="0.2">
      <c r="A242" s="43" t="s">
        <v>906</v>
      </c>
      <c r="B242" t="s">
        <v>24</v>
      </c>
      <c r="C242">
        <v>2020</v>
      </c>
      <c r="D242" t="s">
        <v>1003</v>
      </c>
      <c r="E242" t="s">
        <v>865</v>
      </c>
      <c r="F242" t="s">
        <v>92</v>
      </c>
      <c r="G242" t="s">
        <v>76</v>
      </c>
      <c r="H242" t="s">
        <v>232</v>
      </c>
      <c r="I242" t="s">
        <v>72</v>
      </c>
      <c r="J242" t="s">
        <v>139</v>
      </c>
      <c r="K242" t="s">
        <v>294</v>
      </c>
      <c r="L242">
        <v>1700</v>
      </c>
      <c r="M242" t="s">
        <v>13</v>
      </c>
      <c r="O242" t="s">
        <v>16</v>
      </c>
      <c r="P242" t="s">
        <v>233</v>
      </c>
      <c r="Q242" t="s">
        <v>635</v>
      </c>
    </row>
    <row r="243" spans="1:17" x14ac:dyDescent="0.2">
      <c r="A243" s="43" t="s">
        <v>907</v>
      </c>
      <c r="B243" t="s">
        <v>24</v>
      </c>
      <c r="C243">
        <v>2020</v>
      </c>
      <c r="D243" t="s">
        <v>1003</v>
      </c>
      <c r="E243" t="s">
        <v>865</v>
      </c>
      <c r="F243" t="s">
        <v>92</v>
      </c>
      <c r="G243" t="s">
        <v>76</v>
      </c>
      <c r="H243" t="s">
        <v>70</v>
      </c>
      <c r="I243" t="s">
        <v>8</v>
      </c>
      <c r="J243" t="s">
        <v>139</v>
      </c>
      <c r="K243" t="s">
        <v>68</v>
      </c>
      <c r="L243">
        <v>1700</v>
      </c>
      <c r="M243" t="s">
        <v>13</v>
      </c>
      <c r="O243" t="s">
        <v>17</v>
      </c>
      <c r="P243" t="s">
        <v>233</v>
      </c>
      <c r="Q243" t="s">
        <v>635</v>
      </c>
    </row>
    <row r="244" spans="1:17" x14ac:dyDescent="0.2">
      <c r="A244" s="43" t="s">
        <v>908</v>
      </c>
      <c r="B244" t="s">
        <v>24</v>
      </c>
      <c r="C244">
        <v>2020</v>
      </c>
      <c r="D244" t="s">
        <v>1003</v>
      </c>
      <c r="E244" t="s">
        <v>865</v>
      </c>
      <c r="F244" t="s">
        <v>92</v>
      </c>
      <c r="G244" t="s">
        <v>76</v>
      </c>
      <c r="H244" t="s">
        <v>232</v>
      </c>
      <c r="I244" t="s">
        <v>71</v>
      </c>
      <c r="J244" t="s">
        <v>139</v>
      </c>
      <c r="K244" t="s">
        <v>68</v>
      </c>
      <c r="L244">
        <v>1700</v>
      </c>
      <c r="M244" t="s">
        <v>13</v>
      </c>
      <c r="O244" t="s">
        <v>17</v>
      </c>
      <c r="P244" t="s">
        <v>233</v>
      </c>
      <c r="Q244" t="s">
        <v>635</v>
      </c>
    </row>
    <row r="245" spans="1:17" x14ac:dyDescent="0.2">
      <c r="A245" s="43" t="s">
        <v>909</v>
      </c>
      <c r="B245" t="s">
        <v>24</v>
      </c>
      <c r="C245">
        <v>2020</v>
      </c>
      <c r="D245" t="s">
        <v>1003</v>
      </c>
      <c r="E245" t="s">
        <v>865</v>
      </c>
      <c r="F245" t="s">
        <v>92</v>
      </c>
      <c r="G245" t="s">
        <v>76</v>
      </c>
      <c r="H245" t="s">
        <v>232</v>
      </c>
      <c r="I245" t="s">
        <v>72</v>
      </c>
      <c r="J245" t="s">
        <v>139</v>
      </c>
      <c r="K245" t="s">
        <v>68</v>
      </c>
      <c r="L245">
        <v>1700</v>
      </c>
      <c r="M245" t="s">
        <v>13</v>
      </c>
      <c r="O245" t="s">
        <v>17</v>
      </c>
      <c r="P245" t="s">
        <v>233</v>
      </c>
      <c r="Q245" t="s">
        <v>635</v>
      </c>
    </row>
    <row r="246" spans="1:17" x14ac:dyDescent="0.2">
      <c r="A246" s="43" t="s">
        <v>910</v>
      </c>
      <c r="B246" t="s">
        <v>24</v>
      </c>
      <c r="C246">
        <v>2020</v>
      </c>
      <c r="D246" t="s">
        <v>1003</v>
      </c>
      <c r="E246" t="s">
        <v>865</v>
      </c>
      <c r="F246" t="s">
        <v>92</v>
      </c>
      <c r="G246" t="s">
        <v>76</v>
      </c>
      <c r="H246" t="s">
        <v>70</v>
      </c>
      <c r="I246" t="s">
        <v>8</v>
      </c>
      <c r="J246" t="s">
        <v>139</v>
      </c>
      <c r="K246" t="s">
        <v>294</v>
      </c>
      <c r="L246">
        <v>1700</v>
      </c>
      <c r="M246" t="s">
        <v>13</v>
      </c>
      <c r="O246" t="s">
        <v>17</v>
      </c>
      <c r="P246" t="s">
        <v>233</v>
      </c>
      <c r="Q246" t="s">
        <v>635</v>
      </c>
    </row>
    <row r="247" spans="1:17" x14ac:dyDescent="0.2">
      <c r="A247" s="43" t="s">
        <v>911</v>
      </c>
      <c r="B247" t="s">
        <v>24</v>
      </c>
      <c r="C247">
        <v>2020</v>
      </c>
      <c r="D247" t="s">
        <v>1003</v>
      </c>
      <c r="E247" t="s">
        <v>865</v>
      </c>
      <c r="F247" t="s">
        <v>92</v>
      </c>
      <c r="G247" t="s">
        <v>76</v>
      </c>
      <c r="H247" t="s">
        <v>232</v>
      </c>
      <c r="I247" t="s">
        <v>71</v>
      </c>
      <c r="J247" t="s">
        <v>139</v>
      </c>
      <c r="K247" t="s">
        <v>294</v>
      </c>
      <c r="L247">
        <v>1700</v>
      </c>
      <c r="M247" t="s">
        <v>13</v>
      </c>
      <c r="O247" t="s">
        <v>17</v>
      </c>
      <c r="P247" t="s">
        <v>233</v>
      </c>
      <c r="Q247" t="s">
        <v>635</v>
      </c>
    </row>
    <row r="248" spans="1:17" x14ac:dyDescent="0.2">
      <c r="A248" s="43" t="s">
        <v>912</v>
      </c>
      <c r="B248" t="s">
        <v>24</v>
      </c>
      <c r="C248">
        <v>2020</v>
      </c>
      <c r="D248" t="s">
        <v>1003</v>
      </c>
      <c r="E248" t="s">
        <v>865</v>
      </c>
      <c r="F248" t="s">
        <v>92</v>
      </c>
      <c r="G248" t="s">
        <v>76</v>
      </c>
      <c r="H248" t="s">
        <v>232</v>
      </c>
      <c r="I248" t="s">
        <v>72</v>
      </c>
      <c r="J248" t="s">
        <v>139</v>
      </c>
      <c r="K248" t="s">
        <v>294</v>
      </c>
      <c r="L248">
        <v>1700</v>
      </c>
      <c r="M248" t="s">
        <v>13</v>
      </c>
      <c r="O248" t="s">
        <v>17</v>
      </c>
      <c r="P248" t="s">
        <v>233</v>
      </c>
      <c r="Q248" t="s">
        <v>635</v>
      </c>
    </row>
    <row r="249" spans="1:17" x14ac:dyDescent="0.2">
      <c r="A249" s="43" t="s">
        <v>913</v>
      </c>
      <c r="B249" t="s">
        <v>24</v>
      </c>
      <c r="C249">
        <v>2020</v>
      </c>
      <c r="D249" t="s">
        <v>1003</v>
      </c>
      <c r="E249" t="s">
        <v>865</v>
      </c>
      <c r="F249" t="s">
        <v>92</v>
      </c>
      <c r="G249" t="s">
        <v>76</v>
      </c>
      <c r="H249" t="s">
        <v>70</v>
      </c>
      <c r="I249" t="s">
        <v>8</v>
      </c>
      <c r="J249" t="s">
        <v>139</v>
      </c>
      <c r="K249" t="s">
        <v>68</v>
      </c>
      <c r="L249">
        <v>1700</v>
      </c>
      <c r="M249" t="s">
        <v>13</v>
      </c>
      <c r="O249" t="s">
        <v>18</v>
      </c>
      <c r="P249" t="s">
        <v>233</v>
      </c>
      <c r="Q249" t="s">
        <v>635</v>
      </c>
    </row>
    <row r="250" spans="1:17" x14ac:dyDescent="0.2">
      <c r="A250" s="43" t="s">
        <v>914</v>
      </c>
      <c r="B250" t="s">
        <v>24</v>
      </c>
      <c r="C250">
        <v>2020</v>
      </c>
      <c r="D250" t="s">
        <v>1003</v>
      </c>
      <c r="E250" t="s">
        <v>865</v>
      </c>
      <c r="F250" t="s">
        <v>92</v>
      </c>
      <c r="G250" t="s">
        <v>76</v>
      </c>
      <c r="H250" t="s">
        <v>232</v>
      </c>
      <c r="I250" t="s">
        <v>71</v>
      </c>
      <c r="J250" t="s">
        <v>139</v>
      </c>
      <c r="K250" t="s">
        <v>68</v>
      </c>
      <c r="L250">
        <v>1700</v>
      </c>
      <c r="M250" t="s">
        <v>13</v>
      </c>
      <c r="O250" t="s">
        <v>18</v>
      </c>
      <c r="P250" t="s">
        <v>233</v>
      </c>
      <c r="Q250" t="s">
        <v>635</v>
      </c>
    </row>
    <row r="251" spans="1:17" x14ac:dyDescent="0.2">
      <c r="A251" s="43" t="s">
        <v>915</v>
      </c>
      <c r="B251" t="s">
        <v>24</v>
      </c>
      <c r="C251">
        <v>2020</v>
      </c>
      <c r="D251" t="s">
        <v>1003</v>
      </c>
      <c r="E251" t="s">
        <v>865</v>
      </c>
      <c r="F251" t="s">
        <v>92</v>
      </c>
      <c r="G251" t="s">
        <v>76</v>
      </c>
      <c r="H251" t="s">
        <v>232</v>
      </c>
      <c r="I251" t="s">
        <v>72</v>
      </c>
      <c r="J251" t="s">
        <v>139</v>
      </c>
      <c r="K251" t="s">
        <v>68</v>
      </c>
      <c r="L251">
        <v>1700</v>
      </c>
      <c r="M251" t="s">
        <v>13</v>
      </c>
      <c r="O251" t="s">
        <v>18</v>
      </c>
      <c r="P251" t="s">
        <v>233</v>
      </c>
      <c r="Q251" t="s">
        <v>635</v>
      </c>
    </row>
    <row r="252" spans="1:17" x14ac:dyDescent="0.2">
      <c r="A252" s="43" t="s">
        <v>916</v>
      </c>
      <c r="B252" t="s">
        <v>24</v>
      </c>
      <c r="C252">
        <v>2020</v>
      </c>
      <c r="D252" t="s">
        <v>1003</v>
      </c>
      <c r="E252" t="s">
        <v>865</v>
      </c>
      <c r="F252" t="s">
        <v>92</v>
      </c>
      <c r="G252" t="s">
        <v>76</v>
      </c>
      <c r="H252" t="s">
        <v>70</v>
      </c>
      <c r="I252" t="s">
        <v>8</v>
      </c>
      <c r="J252" t="s">
        <v>139</v>
      </c>
      <c r="K252" t="s">
        <v>294</v>
      </c>
      <c r="L252">
        <v>1700</v>
      </c>
      <c r="M252" t="s">
        <v>13</v>
      </c>
      <c r="O252" t="s">
        <v>18</v>
      </c>
      <c r="P252" t="s">
        <v>233</v>
      </c>
      <c r="Q252" t="s">
        <v>635</v>
      </c>
    </row>
    <row r="253" spans="1:17" x14ac:dyDescent="0.2">
      <c r="A253" s="43" t="s">
        <v>917</v>
      </c>
      <c r="B253" t="s">
        <v>24</v>
      </c>
      <c r="C253">
        <v>2020</v>
      </c>
      <c r="D253" t="s">
        <v>1003</v>
      </c>
      <c r="E253" t="s">
        <v>865</v>
      </c>
      <c r="F253" t="s">
        <v>92</v>
      </c>
      <c r="G253" t="s">
        <v>76</v>
      </c>
      <c r="H253" t="s">
        <v>232</v>
      </c>
      <c r="I253" t="s">
        <v>71</v>
      </c>
      <c r="J253" t="s">
        <v>139</v>
      </c>
      <c r="K253" t="s">
        <v>294</v>
      </c>
      <c r="L253">
        <v>1700</v>
      </c>
      <c r="M253" t="s">
        <v>13</v>
      </c>
      <c r="O253" t="s">
        <v>18</v>
      </c>
      <c r="P253" t="s">
        <v>233</v>
      </c>
      <c r="Q253" t="s">
        <v>635</v>
      </c>
    </row>
    <row r="254" spans="1:17" x14ac:dyDescent="0.2">
      <c r="A254" s="43" t="s">
        <v>918</v>
      </c>
      <c r="B254" t="s">
        <v>24</v>
      </c>
      <c r="C254">
        <v>2020</v>
      </c>
      <c r="D254" t="s">
        <v>1003</v>
      </c>
      <c r="E254" t="s">
        <v>865</v>
      </c>
      <c r="F254" t="s">
        <v>92</v>
      </c>
      <c r="G254" t="s">
        <v>76</v>
      </c>
      <c r="H254" t="s">
        <v>232</v>
      </c>
      <c r="I254" t="s">
        <v>72</v>
      </c>
      <c r="J254" t="s">
        <v>139</v>
      </c>
      <c r="K254" t="s">
        <v>294</v>
      </c>
      <c r="L254">
        <v>1700</v>
      </c>
      <c r="M254" t="s">
        <v>13</v>
      </c>
      <c r="O254" t="s">
        <v>18</v>
      </c>
      <c r="P254" t="s">
        <v>233</v>
      </c>
      <c r="Q254" t="s">
        <v>635</v>
      </c>
    </row>
    <row r="255" spans="1:17" x14ac:dyDescent="0.2">
      <c r="A255" s="43" t="s">
        <v>919</v>
      </c>
      <c r="B255" t="s">
        <v>24</v>
      </c>
      <c r="C255">
        <v>2020</v>
      </c>
      <c r="D255" t="s">
        <v>1003</v>
      </c>
      <c r="E255" t="s">
        <v>865</v>
      </c>
      <c r="F255" t="s">
        <v>92</v>
      </c>
      <c r="G255" t="s">
        <v>76</v>
      </c>
      <c r="H255" t="s">
        <v>70</v>
      </c>
      <c r="I255" t="s">
        <v>8</v>
      </c>
      <c r="J255" t="s">
        <v>139</v>
      </c>
      <c r="K255" t="s">
        <v>68</v>
      </c>
      <c r="L255">
        <v>1000</v>
      </c>
      <c r="M255" t="s">
        <v>13</v>
      </c>
      <c r="O255" t="s">
        <v>16</v>
      </c>
      <c r="P255" t="s">
        <v>233</v>
      </c>
      <c r="Q255" t="s">
        <v>80</v>
      </c>
    </row>
    <row r="256" spans="1:17" x14ac:dyDescent="0.2">
      <c r="A256" s="43" t="s">
        <v>920</v>
      </c>
      <c r="B256" t="s">
        <v>24</v>
      </c>
      <c r="C256">
        <v>2020</v>
      </c>
      <c r="D256" t="s">
        <v>1003</v>
      </c>
      <c r="E256" t="s">
        <v>865</v>
      </c>
      <c r="F256" t="s">
        <v>92</v>
      </c>
      <c r="G256" t="s">
        <v>76</v>
      </c>
      <c r="H256" t="s">
        <v>232</v>
      </c>
      <c r="I256" t="s">
        <v>71</v>
      </c>
      <c r="J256" t="s">
        <v>139</v>
      </c>
      <c r="K256" t="s">
        <v>68</v>
      </c>
      <c r="L256">
        <v>1000</v>
      </c>
      <c r="M256" t="s">
        <v>13</v>
      </c>
      <c r="O256" t="s">
        <v>16</v>
      </c>
      <c r="P256" t="s">
        <v>233</v>
      </c>
      <c r="Q256" t="s">
        <v>80</v>
      </c>
    </row>
    <row r="257" spans="1:17" x14ac:dyDescent="0.2">
      <c r="A257" s="43" t="s">
        <v>921</v>
      </c>
      <c r="B257" t="s">
        <v>24</v>
      </c>
      <c r="C257">
        <v>2020</v>
      </c>
      <c r="D257" t="s">
        <v>1003</v>
      </c>
      <c r="E257" t="s">
        <v>865</v>
      </c>
      <c r="F257" t="s">
        <v>92</v>
      </c>
      <c r="G257" t="s">
        <v>76</v>
      </c>
      <c r="H257" t="s">
        <v>232</v>
      </c>
      <c r="I257" t="s">
        <v>72</v>
      </c>
      <c r="J257" t="s">
        <v>139</v>
      </c>
      <c r="K257" t="s">
        <v>68</v>
      </c>
      <c r="L257">
        <v>1000</v>
      </c>
      <c r="M257" t="s">
        <v>13</v>
      </c>
      <c r="O257" t="s">
        <v>16</v>
      </c>
      <c r="P257" t="s">
        <v>233</v>
      </c>
      <c r="Q257" t="s">
        <v>80</v>
      </c>
    </row>
    <row r="258" spans="1:17" x14ac:dyDescent="0.2">
      <c r="A258" s="43" t="s">
        <v>922</v>
      </c>
      <c r="B258" t="s">
        <v>24</v>
      </c>
      <c r="C258">
        <v>2020</v>
      </c>
      <c r="D258" t="s">
        <v>1003</v>
      </c>
      <c r="E258" t="s">
        <v>865</v>
      </c>
      <c r="F258" t="s">
        <v>92</v>
      </c>
      <c r="G258" t="s">
        <v>76</v>
      </c>
      <c r="H258" t="s">
        <v>70</v>
      </c>
      <c r="I258" t="s">
        <v>8</v>
      </c>
      <c r="J258" t="s">
        <v>139</v>
      </c>
      <c r="K258" t="s">
        <v>294</v>
      </c>
      <c r="L258">
        <v>1000</v>
      </c>
      <c r="M258" t="s">
        <v>13</v>
      </c>
      <c r="O258" t="s">
        <v>16</v>
      </c>
      <c r="P258" t="s">
        <v>233</v>
      </c>
      <c r="Q258" t="s">
        <v>80</v>
      </c>
    </row>
    <row r="259" spans="1:17" x14ac:dyDescent="0.2">
      <c r="A259" s="43" t="s">
        <v>923</v>
      </c>
      <c r="B259" t="s">
        <v>24</v>
      </c>
      <c r="C259">
        <v>2020</v>
      </c>
      <c r="D259" t="s">
        <v>1003</v>
      </c>
      <c r="E259" t="s">
        <v>865</v>
      </c>
      <c r="F259" t="s">
        <v>92</v>
      </c>
      <c r="G259" t="s">
        <v>76</v>
      </c>
      <c r="H259" t="s">
        <v>232</v>
      </c>
      <c r="I259" t="s">
        <v>71</v>
      </c>
      <c r="J259" t="s">
        <v>139</v>
      </c>
      <c r="K259" t="s">
        <v>294</v>
      </c>
      <c r="L259">
        <v>1000</v>
      </c>
      <c r="M259" t="s">
        <v>13</v>
      </c>
      <c r="O259" t="s">
        <v>16</v>
      </c>
      <c r="P259" t="s">
        <v>233</v>
      </c>
      <c r="Q259" t="s">
        <v>80</v>
      </c>
    </row>
    <row r="260" spans="1:17" x14ac:dyDescent="0.2">
      <c r="A260" s="43" t="s">
        <v>924</v>
      </c>
      <c r="B260" t="s">
        <v>24</v>
      </c>
      <c r="C260">
        <v>2020</v>
      </c>
      <c r="D260" t="s">
        <v>1003</v>
      </c>
      <c r="E260" t="s">
        <v>865</v>
      </c>
      <c r="F260" t="s">
        <v>92</v>
      </c>
      <c r="G260" t="s">
        <v>76</v>
      </c>
      <c r="H260" t="s">
        <v>232</v>
      </c>
      <c r="I260" t="s">
        <v>72</v>
      </c>
      <c r="J260" t="s">
        <v>139</v>
      </c>
      <c r="K260" t="s">
        <v>294</v>
      </c>
      <c r="L260">
        <v>1000</v>
      </c>
      <c r="M260" t="s">
        <v>13</v>
      </c>
      <c r="O260" t="s">
        <v>16</v>
      </c>
      <c r="P260" t="s">
        <v>233</v>
      </c>
      <c r="Q260" t="s">
        <v>80</v>
      </c>
    </row>
    <row r="261" spans="1:17" x14ac:dyDescent="0.2">
      <c r="A261" s="43" t="s">
        <v>925</v>
      </c>
      <c r="B261" t="s">
        <v>24</v>
      </c>
      <c r="C261">
        <v>2020</v>
      </c>
      <c r="D261" t="s">
        <v>1003</v>
      </c>
      <c r="E261" t="s">
        <v>865</v>
      </c>
      <c r="F261" t="s">
        <v>92</v>
      </c>
      <c r="G261" t="s">
        <v>76</v>
      </c>
      <c r="H261" t="s">
        <v>70</v>
      </c>
      <c r="I261" t="s">
        <v>8</v>
      </c>
      <c r="J261" t="s">
        <v>139</v>
      </c>
      <c r="K261" t="s">
        <v>68</v>
      </c>
      <c r="L261">
        <v>1000</v>
      </c>
      <c r="M261" t="s">
        <v>13</v>
      </c>
      <c r="O261" t="s">
        <v>17</v>
      </c>
      <c r="P261" t="s">
        <v>233</v>
      </c>
      <c r="Q261" t="s">
        <v>80</v>
      </c>
    </row>
    <row r="262" spans="1:17" x14ac:dyDescent="0.2">
      <c r="A262" s="43" t="s">
        <v>926</v>
      </c>
      <c r="B262" t="s">
        <v>24</v>
      </c>
      <c r="C262">
        <v>2020</v>
      </c>
      <c r="D262" t="s">
        <v>1003</v>
      </c>
      <c r="E262" t="s">
        <v>865</v>
      </c>
      <c r="F262" t="s">
        <v>92</v>
      </c>
      <c r="G262" t="s">
        <v>76</v>
      </c>
      <c r="H262" t="s">
        <v>232</v>
      </c>
      <c r="I262" t="s">
        <v>71</v>
      </c>
      <c r="J262" t="s">
        <v>139</v>
      </c>
      <c r="K262" t="s">
        <v>68</v>
      </c>
      <c r="L262">
        <v>1000</v>
      </c>
      <c r="M262" t="s">
        <v>13</v>
      </c>
      <c r="O262" t="s">
        <v>17</v>
      </c>
      <c r="P262" t="s">
        <v>233</v>
      </c>
      <c r="Q262" t="s">
        <v>80</v>
      </c>
    </row>
    <row r="263" spans="1:17" x14ac:dyDescent="0.2">
      <c r="A263" s="43" t="s">
        <v>927</v>
      </c>
      <c r="B263" t="s">
        <v>24</v>
      </c>
      <c r="C263">
        <v>2020</v>
      </c>
      <c r="D263" t="s">
        <v>1003</v>
      </c>
      <c r="E263" t="s">
        <v>865</v>
      </c>
      <c r="F263" t="s">
        <v>92</v>
      </c>
      <c r="G263" t="s">
        <v>76</v>
      </c>
      <c r="H263" t="s">
        <v>232</v>
      </c>
      <c r="I263" t="s">
        <v>72</v>
      </c>
      <c r="J263" t="s">
        <v>139</v>
      </c>
      <c r="K263" t="s">
        <v>68</v>
      </c>
      <c r="L263">
        <v>1000</v>
      </c>
      <c r="M263" t="s">
        <v>13</v>
      </c>
      <c r="O263" t="s">
        <v>17</v>
      </c>
      <c r="P263" t="s">
        <v>233</v>
      </c>
      <c r="Q263" t="s">
        <v>80</v>
      </c>
    </row>
    <row r="264" spans="1:17" x14ac:dyDescent="0.2">
      <c r="A264" s="43" t="s">
        <v>928</v>
      </c>
      <c r="B264" t="s">
        <v>24</v>
      </c>
      <c r="C264">
        <v>2020</v>
      </c>
      <c r="D264" t="s">
        <v>1003</v>
      </c>
      <c r="E264" t="s">
        <v>865</v>
      </c>
      <c r="F264" t="s">
        <v>92</v>
      </c>
      <c r="G264" t="s">
        <v>76</v>
      </c>
      <c r="H264" t="s">
        <v>70</v>
      </c>
      <c r="I264" t="s">
        <v>8</v>
      </c>
      <c r="J264" t="s">
        <v>139</v>
      </c>
      <c r="K264" t="s">
        <v>294</v>
      </c>
      <c r="L264">
        <v>1000</v>
      </c>
      <c r="M264" t="s">
        <v>13</v>
      </c>
      <c r="O264" t="s">
        <v>17</v>
      </c>
      <c r="P264" t="s">
        <v>233</v>
      </c>
      <c r="Q264" t="s">
        <v>80</v>
      </c>
    </row>
    <row r="265" spans="1:17" x14ac:dyDescent="0.2">
      <c r="A265" s="43" t="s">
        <v>929</v>
      </c>
      <c r="B265" t="s">
        <v>24</v>
      </c>
      <c r="C265">
        <v>2020</v>
      </c>
      <c r="D265" t="s">
        <v>1003</v>
      </c>
      <c r="E265" t="s">
        <v>865</v>
      </c>
      <c r="F265" t="s">
        <v>92</v>
      </c>
      <c r="G265" t="s">
        <v>76</v>
      </c>
      <c r="H265" t="s">
        <v>232</v>
      </c>
      <c r="I265" t="s">
        <v>71</v>
      </c>
      <c r="J265" t="s">
        <v>139</v>
      </c>
      <c r="K265" t="s">
        <v>294</v>
      </c>
      <c r="L265">
        <v>1000</v>
      </c>
      <c r="M265" t="s">
        <v>13</v>
      </c>
      <c r="O265" t="s">
        <v>17</v>
      </c>
      <c r="P265" t="s">
        <v>233</v>
      </c>
      <c r="Q265" t="s">
        <v>80</v>
      </c>
    </row>
    <row r="266" spans="1:17" x14ac:dyDescent="0.2">
      <c r="A266" s="43" t="s">
        <v>930</v>
      </c>
      <c r="B266" t="s">
        <v>24</v>
      </c>
      <c r="C266">
        <v>2020</v>
      </c>
      <c r="D266" t="s">
        <v>1003</v>
      </c>
      <c r="E266" t="s">
        <v>865</v>
      </c>
      <c r="F266" t="s">
        <v>92</v>
      </c>
      <c r="G266" t="s">
        <v>76</v>
      </c>
      <c r="H266" t="s">
        <v>232</v>
      </c>
      <c r="I266" t="s">
        <v>72</v>
      </c>
      <c r="J266" t="s">
        <v>139</v>
      </c>
      <c r="K266" t="s">
        <v>294</v>
      </c>
      <c r="L266">
        <v>1000</v>
      </c>
      <c r="M266" t="s">
        <v>13</v>
      </c>
      <c r="O266" t="s">
        <v>17</v>
      </c>
      <c r="P266" t="s">
        <v>233</v>
      </c>
      <c r="Q266" t="s">
        <v>80</v>
      </c>
    </row>
    <row r="267" spans="1:17" x14ac:dyDescent="0.2">
      <c r="A267" s="43" t="s">
        <v>931</v>
      </c>
      <c r="B267" t="s">
        <v>24</v>
      </c>
      <c r="C267">
        <v>2020</v>
      </c>
      <c r="D267" t="s">
        <v>1003</v>
      </c>
      <c r="E267" t="s">
        <v>865</v>
      </c>
      <c r="F267" t="s">
        <v>92</v>
      </c>
      <c r="G267" t="s">
        <v>76</v>
      </c>
      <c r="H267" t="s">
        <v>70</v>
      </c>
      <c r="I267" t="s">
        <v>8</v>
      </c>
      <c r="J267" t="s">
        <v>139</v>
      </c>
      <c r="K267" t="s">
        <v>68</v>
      </c>
      <c r="L267">
        <v>1000</v>
      </c>
      <c r="M267" t="s">
        <v>13</v>
      </c>
      <c r="O267" t="s">
        <v>18</v>
      </c>
      <c r="P267" t="s">
        <v>233</v>
      </c>
      <c r="Q267" t="s">
        <v>80</v>
      </c>
    </row>
    <row r="268" spans="1:17" x14ac:dyDescent="0.2">
      <c r="A268" s="43" t="s">
        <v>932</v>
      </c>
      <c r="B268" t="s">
        <v>24</v>
      </c>
      <c r="C268">
        <v>2020</v>
      </c>
      <c r="D268" t="s">
        <v>1003</v>
      </c>
      <c r="E268" t="s">
        <v>865</v>
      </c>
      <c r="F268" t="s">
        <v>92</v>
      </c>
      <c r="G268" t="s">
        <v>76</v>
      </c>
      <c r="H268" t="s">
        <v>232</v>
      </c>
      <c r="I268" t="s">
        <v>71</v>
      </c>
      <c r="J268" t="s">
        <v>139</v>
      </c>
      <c r="K268" t="s">
        <v>68</v>
      </c>
      <c r="L268">
        <v>1000</v>
      </c>
      <c r="M268" t="s">
        <v>13</v>
      </c>
      <c r="O268" t="s">
        <v>18</v>
      </c>
      <c r="P268" t="s">
        <v>233</v>
      </c>
      <c r="Q268" t="s">
        <v>80</v>
      </c>
    </row>
    <row r="269" spans="1:17" x14ac:dyDescent="0.2">
      <c r="A269" s="43" t="s">
        <v>933</v>
      </c>
      <c r="B269" t="s">
        <v>24</v>
      </c>
      <c r="C269">
        <v>2020</v>
      </c>
      <c r="D269" t="s">
        <v>1003</v>
      </c>
      <c r="E269" t="s">
        <v>865</v>
      </c>
      <c r="F269" t="s">
        <v>92</v>
      </c>
      <c r="G269" t="s">
        <v>76</v>
      </c>
      <c r="H269" t="s">
        <v>232</v>
      </c>
      <c r="I269" t="s">
        <v>72</v>
      </c>
      <c r="J269" t="s">
        <v>139</v>
      </c>
      <c r="K269" t="s">
        <v>68</v>
      </c>
      <c r="L269">
        <v>1000</v>
      </c>
      <c r="M269" t="s">
        <v>13</v>
      </c>
      <c r="O269" t="s">
        <v>18</v>
      </c>
      <c r="P269" t="s">
        <v>233</v>
      </c>
      <c r="Q269" t="s">
        <v>80</v>
      </c>
    </row>
    <row r="270" spans="1:17" x14ac:dyDescent="0.2">
      <c r="A270" s="43" t="s">
        <v>934</v>
      </c>
      <c r="B270" t="s">
        <v>24</v>
      </c>
      <c r="C270">
        <v>2020</v>
      </c>
      <c r="D270" t="s">
        <v>1003</v>
      </c>
      <c r="E270" t="s">
        <v>865</v>
      </c>
      <c r="F270" t="s">
        <v>92</v>
      </c>
      <c r="G270" t="s">
        <v>76</v>
      </c>
      <c r="H270" t="s">
        <v>70</v>
      </c>
      <c r="I270" t="s">
        <v>8</v>
      </c>
      <c r="J270" t="s">
        <v>139</v>
      </c>
      <c r="K270" t="s">
        <v>294</v>
      </c>
      <c r="L270">
        <v>1000</v>
      </c>
      <c r="M270" t="s">
        <v>13</v>
      </c>
      <c r="O270" t="s">
        <v>18</v>
      </c>
      <c r="P270" t="s">
        <v>233</v>
      </c>
      <c r="Q270" t="s">
        <v>80</v>
      </c>
    </row>
    <row r="271" spans="1:17" x14ac:dyDescent="0.2">
      <c r="A271" s="43" t="s">
        <v>935</v>
      </c>
      <c r="B271" t="s">
        <v>24</v>
      </c>
      <c r="C271">
        <v>2020</v>
      </c>
      <c r="D271" t="s">
        <v>1003</v>
      </c>
      <c r="E271" t="s">
        <v>865</v>
      </c>
      <c r="F271" t="s">
        <v>92</v>
      </c>
      <c r="G271" t="s">
        <v>76</v>
      </c>
      <c r="H271" t="s">
        <v>232</v>
      </c>
      <c r="I271" t="s">
        <v>71</v>
      </c>
      <c r="J271" t="s">
        <v>139</v>
      </c>
      <c r="K271" t="s">
        <v>294</v>
      </c>
      <c r="L271">
        <v>1000</v>
      </c>
      <c r="M271" t="s">
        <v>13</v>
      </c>
      <c r="O271" t="s">
        <v>18</v>
      </c>
      <c r="P271" t="s">
        <v>233</v>
      </c>
      <c r="Q271" t="s">
        <v>80</v>
      </c>
    </row>
    <row r="272" spans="1:17" x14ac:dyDescent="0.2">
      <c r="A272" s="43" t="s">
        <v>936</v>
      </c>
      <c r="B272" t="s">
        <v>24</v>
      </c>
      <c r="C272">
        <v>2020</v>
      </c>
      <c r="D272" t="s">
        <v>1003</v>
      </c>
      <c r="E272" t="s">
        <v>865</v>
      </c>
      <c r="F272" t="s">
        <v>92</v>
      </c>
      <c r="G272" t="s">
        <v>76</v>
      </c>
      <c r="H272" t="s">
        <v>232</v>
      </c>
      <c r="I272" t="s">
        <v>72</v>
      </c>
      <c r="J272" t="s">
        <v>139</v>
      </c>
      <c r="K272" t="s">
        <v>294</v>
      </c>
      <c r="L272">
        <v>1000</v>
      </c>
      <c r="M272" t="s">
        <v>13</v>
      </c>
      <c r="O272" t="s">
        <v>18</v>
      </c>
      <c r="P272" t="s">
        <v>233</v>
      </c>
      <c r="Q272" t="s">
        <v>80</v>
      </c>
    </row>
    <row r="273" spans="1:17" x14ac:dyDescent="0.2">
      <c r="A273" s="43" t="s">
        <v>937</v>
      </c>
      <c r="B273" t="s">
        <v>24</v>
      </c>
      <c r="C273">
        <v>2020</v>
      </c>
      <c r="D273" t="s">
        <v>1003</v>
      </c>
      <c r="E273" t="s">
        <v>865</v>
      </c>
      <c r="F273" t="s">
        <v>92</v>
      </c>
      <c r="G273" t="s">
        <v>76</v>
      </c>
      <c r="H273" t="s">
        <v>70</v>
      </c>
      <c r="I273" t="s">
        <v>8</v>
      </c>
      <c r="J273" t="s">
        <v>139</v>
      </c>
      <c r="K273" t="s">
        <v>68</v>
      </c>
      <c r="L273">
        <v>1300</v>
      </c>
      <c r="M273" t="s">
        <v>13</v>
      </c>
      <c r="O273" t="s">
        <v>16</v>
      </c>
      <c r="P273" t="s">
        <v>233</v>
      </c>
      <c r="Q273" t="s">
        <v>300</v>
      </c>
    </row>
    <row r="274" spans="1:17" x14ac:dyDescent="0.2">
      <c r="A274" s="43" t="s">
        <v>938</v>
      </c>
      <c r="B274" t="s">
        <v>24</v>
      </c>
      <c r="C274">
        <v>2020</v>
      </c>
      <c r="D274" t="s">
        <v>1003</v>
      </c>
      <c r="E274" t="s">
        <v>865</v>
      </c>
      <c r="F274" t="s">
        <v>92</v>
      </c>
      <c r="G274" t="s">
        <v>76</v>
      </c>
      <c r="H274" t="s">
        <v>232</v>
      </c>
      <c r="I274" t="s">
        <v>71</v>
      </c>
      <c r="J274" t="s">
        <v>139</v>
      </c>
      <c r="K274" t="s">
        <v>68</v>
      </c>
      <c r="L274">
        <v>1300</v>
      </c>
      <c r="M274" t="s">
        <v>13</v>
      </c>
      <c r="O274" t="s">
        <v>16</v>
      </c>
      <c r="P274" t="s">
        <v>233</v>
      </c>
      <c r="Q274" t="s">
        <v>300</v>
      </c>
    </row>
    <row r="275" spans="1:17" x14ac:dyDescent="0.2">
      <c r="A275" s="43" t="s">
        <v>939</v>
      </c>
      <c r="B275" t="s">
        <v>24</v>
      </c>
      <c r="C275">
        <v>2020</v>
      </c>
      <c r="D275" t="s">
        <v>1003</v>
      </c>
      <c r="E275" t="s">
        <v>865</v>
      </c>
      <c r="F275" t="s">
        <v>92</v>
      </c>
      <c r="G275" t="s">
        <v>76</v>
      </c>
      <c r="H275" t="s">
        <v>232</v>
      </c>
      <c r="I275" t="s">
        <v>72</v>
      </c>
      <c r="J275" t="s">
        <v>139</v>
      </c>
      <c r="K275" t="s">
        <v>68</v>
      </c>
      <c r="L275">
        <v>1300</v>
      </c>
      <c r="M275" t="s">
        <v>13</v>
      </c>
      <c r="O275" t="s">
        <v>16</v>
      </c>
      <c r="P275" t="s">
        <v>233</v>
      </c>
      <c r="Q275" t="s">
        <v>300</v>
      </c>
    </row>
    <row r="276" spans="1:17" x14ac:dyDescent="0.2">
      <c r="A276" s="43" t="s">
        <v>940</v>
      </c>
      <c r="B276" t="s">
        <v>24</v>
      </c>
      <c r="C276">
        <v>2020</v>
      </c>
      <c r="D276" t="s">
        <v>1003</v>
      </c>
      <c r="E276" t="s">
        <v>865</v>
      </c>
      <c r="F276" t="s">
        <v>92</v>
      </c>
      <c r="G276" t="s">
        <v>76</v>
      </c>
      <c r="H276" t="s">
        <v>70</v>
      </c>
      <c r="I276" t="s">
        <v>8</v>
      </c>
      <c r="J276" t="s">
        <v>139</v>
      </c>
      <c r="K276" t="s">
        <v>294</v>
      </c>
      <c r="L276">
        <v>1300</v>
      </c>
      <c r="M276" t="s">
        <v>13</v>
      </c>
      <c r="O276" t="s">
        <v>16</v>
      </c>
      <c r="P276" t="s">
        <v>233</v>
      </c>
      <c r="Q276" t="s">
        <v>300</v>
      </c>
    </row>
    <row r="277" spans="1:17" x14ac:dyDescent="0.2">
      <c r="A277" s="43" t="s">
        <v>941</v>
      </c>
      <c r="B277" t="s">
        <v>24</v>
      </c>
      <c r="C277">
        <v>2020</v>
      </c>
      <c r="D277" t="s">
        <v>1003</v>
      </c>
      <c r="E277" t="s">
        <v>865</v>
      </c>
      <c r="F277" t="s">
        <v>92</v>
      </c>
      <c r="G277" t="s">
        <v>76</v>
      </c>
      <c r="H277" t="s">
        <v>232</v>
      </c>
      <c r="I277" t="s">
        <v>71</v>
      </c>
      <c r="J277" t="s">
        <v>139</v>
      </c>
      <c r="K277" t="s">
        <v>294</v>
      </c>
      <c r="L277">
        <v>1300</v>
      </c>
      <c r="M277" t="s">
        <v>13</v>
      </c>
      <c r="O277" t="s">
        <v>16</v>
      </c>
      <c r="P277" t="s">
        <v>233</v>
      </c>
      <c r="Q277" t="s">
        <v>300</v>
      </c>
    </row>
    <row r="278" spans="1:17" x14ac:dyDescent="0.2">
      <c r="A278" s="43" t="s">
        <v>942</v>
      </c>
      <c r="B278" t="s">
        <v>24</v>
      </c>
      <c r="C278">
        <v>2020</v>
      </c>
      <c r="D278" t="s">
        <v>1003</v>
      </c>
      <c r="E278" t="s">
        <v>865</v>
      </c>
      <c r="F278" t="s">
        <v>92</v>
      </c>
      <c r="G278" t="s">
        <v>76</v>
      </c>
      <c r="H278" t="s">
        <v>232</v>
      </c>
      <c r="I278" t="s">
        <v>72</v>
      </c>
      <c r="J278" t="s">
        <v>139</v>
      </c>
      <c r="K278" t="s">
        <v>294</v>
      </c>
      <c r="L278">
        <v>1300</v>
      </c>
      <c r="M278" t="s">
        <v>13</v>
      </c>
      <c r="O278" t="s">
        <v>16</v>
      </c>
      <c r="P278" t="s">
        <v>233</v>
      </c>
      <c r="Q278" t="s">
        <v>300</v>
      </c>
    </row>
    <row r="279" spans="1:17" x14ac:dyDescent="0.2">
      <c r="A279" s="43" t="s">
        <v>943</v>
      </c>
      <c r="B279" t="s">
        <v>24</v>
      </c>
      <c r="C279">
        <v>2020</v>
      </c>
      <c r="D279" t="s">
        <v>1003</v>
      </c>
      <c r="E279" t="s">
        <v>865</v>
      </c>
      <c r="F279" t="s">
        <v>92</v>
      </c>
      <c r="G279" t="s">
        <v>76</v>
      </c>
      <c r="H279" t="s">
        <v>70</v>
      </c>
      <c r="I279" t="s">
        <v>8</v>
      </c>
      <c r="J279" t="s">
        <v>139</v>
      </c>
      <c r="K279" t="s">
        <v>68</v>
      </c>
      <c r="L279">
        <v>1300</v>
      </c>
      <c r="M279" t="s">
        <v>13</v>
      </c>
      <c r="O279" t="s">
        <v>17</v>
      </c>
      <c r="P279" t="s">
        <v>233</v>
      </c>
      <c r="Q279" t="s">
        <v>300</v>
      </c>
    </row>
    <row r="280" spans="1:17" x14ac:dyDescent="0.2">
      <c r="A280" s="43" t="s">
        <v>944</v>
      </c>
      <c r="B280" t="s">
        <v>24</v>
      </c>
      <c r="C280">
        <v>2020</v>
      </c>
      <c r="D280" t="s">
        <v>1003</v>
      </c>
      <c r="E280" t="s">
        <v>865</v>
      </c>
      <c r="F280" t="s">
        <v>92</v>
      </c>
      <c r="G280" t="s">
        <v>76</v>
      </c>
      <c r="H280" t="s">
        <v>232</v>
      </c>
      <c r="I280" t="s">
        <v>71</v>
      </c>
      <c r="J280" t="s">
        <v>139</v>
      </c>
      <c r="K280" t="s">
        <v>68</v>
      </c>
      <c r="L280">
        <v>1300</v>
      </c>
      <c r="M280" t="s">
        <v>13</v>
      </c>
      <c r="O280" t="s">
        <v>17</v>
      </c>
      <c r="P280" t="s">
        <v>233</v>
      </c>
      <c r="Q280" t="s">
        <v>300</v>
      </c>
    </row>
    <row r="281" spans="1:17" x14ac:dyDescent="0.2">
      <c r="A281" s="43" t="s">
        <v>945</v>
      </c>
      <c r="B281" t="s">
        <v>24</v>
      </c>
      <c r="C281">
        <v>2020</v>
      </c>
      <c r="D281" t="s">
        <v>1003</v>
      </c>
      <c r="E281" t="s">
        <v>865</v>
      </c>
      <c r="F281" t="s">
        <v>92</v>
      </c>
      <c r="G281" t="s">
        <v>76</v>
      </c>
      <c r="H281" t="s">
        <v>232</v>
      </c>
      <c r="I281" t="s">
        <v>72</v>
      </c>
      <c r="J281" t="s">
        <v>139</v>
      </c>
      <c r="K281" t="s">
        <v>68</v>
      </c>
      <c r="L281">
        <v>1300</v>
      </c>
      <c r="M281" t="s">
        <v>13</v>
      </c>
      <c r="O281" t="s">
        <v>17</v>
      </c>
      <c r="P281" t="s">
        <v>233</v>
      </c>
      <c r="Q281" t="s">
        <v>300</v>
      </c>
    </row>
    <row r="282" spans="1:17" x14ac:dyDescent="0.2">
      <c r="A282" s="43" t="s">
        <v>946</v>
      </c>
      <c r="B282" t="s">
        <v>24</v>
      </c>
      <c r="C282">
        <v>2020</v>
      </c>
      <c r="D282" t="s">
        <v>1003</v>
      </c>
      <c r="E282" t="s">
        <v>865</v>
      </c>
      <c r="F282" t="s">
        <v>92</v>
      </c>
      <c r="G282" t="s">
        <v>76</v>
      </c>
      <c r="H282" t="s">
        <v>70</v>
      </c>
      <c r="I282" t="s">
        <v>8</v>
      </c>
      <c r="J282" t="s">
        <v>139</v>
      </c>
      <c r="K282" t="s">
        <v>294</v>
      </c>
      <c r="L282">
        <v>1300</v>
      </c>
      <c r="M282" t="s">
        <v>13</v>
      </c>
      <c r="O282" t="s">
        <v>17</v>
      </c>
      <c r="P282" t="s">
        <v>233</v>
      </c>
      <c r="Q282" t="s">
        <v>300</v>
      </c>
    </row>
    <row r="283" spans="1:17" x14ac:dyDescent="0.2">
      <c r="A283" s="43" t="s">
        <v>947</v>
      </c>
      <c r="B283" t="s">
        <v>24</v>
      </c>
      <c r="C283">
        <v>2020</v>
      </c>
      <c r="D283" t="s">
        <v>1003</v>
      </c>
      <c r="E283" t="s">
        <v>865</v>
      </c>
      <c r="F283" t="s">
        <v>92</v>
      </c>
      <c r="G283" t="s">
        <v>76</v>
      </c>
      <c r="H283" t="s">
        <v>232</v>
      </c>
      <c r="I283" t="s">
        <v>71</v>
      </c>
      <c r="J283" t="s">
        <v>139</v>
      </c>
      <c r="K283" t="s">
        <v>294</v>
      </c>
      <c r="L283">
        <v>1300</v>
      </c>
      <c r="M283" t="s">
        <v>13</v>
      </c>
      <c r="O283" t="s">
        <v>17</v>
      </c>
      <c r="P283" t="s">
        <v>233</v>
      </c>
      <c r="Q283" t="s">
        <v>300</v>
      </c>
    </row>
    <row r="284" spans="1:17" x14ac:dyDescent="0.2">
      <c r="A284" s="43" t="s">
        <v>948</v>
      </c>
      <c r="B284" t="s">
        <v>24</v>
      </c>
      <c r="C284">
        <v>2020</v>
      </c>
      <c r="D284" t="s">
        <v>1003</v>
      </c>
      <c r="E284" t="s">
        <v>865</v>
      </c>
      <c r="F284" t="s">
        <v>92</v>
      </c>
      <c r="G284" t="s">
        <v>76</v>
      </c>
      <c r="H284" t="s">
        <v>232</v>
      </c>
      <c r="I284" t="s">
        <v>72</v>
      </c>
      <c r="J284" t="s">
        <v>139</v>
      </c>
      <c r="K284" t="s">
        <v>294</v>
      </c>
      <c r="L284">
        <v>1300</v>
      </c>
      <c r="M284" t="s">
        <v>13</v>
      </c>
      <c r="O284" t="s">
        <v>17</v>
      </c>
      <c r="P284" t="s">
        <v>233</v>
      </c>
      <c r="Q284" t="s">
        <v>300</v>
      </c>
    </row>
    <row r="285" spans="1:17" x14ac:dyDescent="0.2">
      <c r="A285" s="43" t="s">
        <v>949</v>
      </c>
      <c r="B285" t="s">
        <v>24</v>
      </c>
      <c r="C285">
        <v>2020</v>
      </c>
      <c r="D285" t="s">
        <v>1003</v>
      </c>
      <c r="E285" t="s">
        <v>865</v>
      </c>
      <c r="F285" t="s">
        <v>92</v>
      </c>
      <c r="G285" t="s">
        <v>76</v>
      </c>
      <c r="H285" t="s">
        <v>70</v>
      </c>
      <c r="I285" t="s">
        <v>8</v>
      </c>
      <c r="J285" t="s">
        <v>139</v>
      </c>
      <c r="K285" t="s">
        <v>68</v>
      </c>
      <c r="L285">
        <v>1300</v>
      </c>
      <c r="M285" t="s">
        <v>13</v>
      </c>
      <c r="O285" t="s">
        <v>18</v>
      </c>
      <c r="P285" t="s">
        <v>233</v>
      </c>
      <c r="Q285" t="s">
        <v>300</v>
      </c>
    </row>
    <row r="286" spans="1:17" x14ac:dyDescent="0.2">
      <c r="A286" s="43" t="s">
        <v>950</v>
      </c>
      <c r="B286" t="s">
        <v>24</v>
      </c>
      <c r="C286">
        <v>2020</v>
      </c>
      <c r="D286" t="s">
        <v>1003</v>
      </c>
      <c r="E286" t="s">
        <v>865</v>
      </c>
      <c r="F286" t="s">
        <v>92</v>
      </c>
      <c r="G286" t="s">
        <v>76</v>
      </c>
      <c r="H286" t="s">
        <v>232</v>
      </c>
      <c r="I286" t="s">
        <v>71</v>
      </c>
      <c r="J286" t="s">
        <v>139</v>
      </c>
      <c r="K286" t="s">
        <v>68</v>
      </c>
      <c r="L286">
        <v>1300</v>
      </c>
      <c r="M286" t="s">
        <v>13</v>
      </c>
      <c r="O286" t="s">
        <v>18</v>
      </c>
      <c r="P286" t="s">
        <v>233</v>
      </c>
      <c r="Q286" t="s">
        <v>300</v>
      </c>
    </row>
    <row r="287" spans="1:17" x14ac:dyDescent="0.2">
      <c r="A287" s="43" t="s">
        <v>951</v>
      </c>
      <c r="B287" t="s">
        <v>24</v>
      </c>
      <c r="C287">
        <v>2020</v>
      </c>
      <c r="D287" t="s">
        <v>1003</v>
      </c>
      <c r="E287" t="s">
        <v>865</v>
      </c>
      <c r="F287" t="s">
        <v>92</v>
      </c>
      <c r="G287" t="s">
        <v>76</v>
      </c>
      <c r="H287" t="s">
        <v>232</v>
      </c>
      <c r="I287" t="s">
        <v>72</v>
      </c>
      <c r="J287" t="s">
        <v>139</v>
      </c>
      <c r="K287" t="s">
        <v>68</v>
      </c>
      <c r="L287">
        <v>1300</v>
      </c>
      <c r="M287" t="s">
        <v>13</v>
      </c>
      <c r="O287" t="s">
        <v>18</v>
      </c>
      <c r="P287" t="s">
        <v>233</v>
      </c>
      <c r="Q287" t="s">
        <v>300</v>
      </c>
    </row>
    <row r="288" spans="1:17" x14ac:dyDescent="0.2">
      <c r="A288" s="43" t="s">
        <v>952</v>
      </c>
      <c r="B288" t="s">
        <v>24</v>
      </c>
      <c r="C288">
        <v>2020</v>
      </c>
      <c r="D288" t="s">
        <v>1003</v>
      </c>
      <c r="E288" t="s">
        <v>865</v>
      </c>
      <c r="F288" t="s">
        <v>92</v>
      </c>
      <c r="G288" t="s">
        <v>76</v>
      </c>
      <c r="H288" t="s">
        <v>70</v>
      </c>
      <c r="I288" t="s">
        <v>8</v>
      </c>
      <c r="J288" t="s">
        <v>139</v>
      </c>
      <c r="K288" t="s">
        <v>294</v>
      </c>
      <c r="L288">
        <v>1300</v>
      </c>
      <c r="M288" t="s">
        <v>13</v>
      </c>
      <c r="O288" t="s">
        <v>18</v>
      </c>
      <c r="P288" t="s">
        <v>233</v>
      </c>
      <c r="Q288" t="s">
        <v>300</v>
      </c>
    </row>
    <row r="289" spans="1:17" x14ac:dyDescent="0.2">
      <c r="A289" s="43" t="s">
        <v>953</v>
      </c>
      <c r="B289" t="s">
        <v>24</v>
      </c>
      <c r="C289">
        <v>2020</v>
      </c>
      <c r="D289" t="s">
        <v>1003</v>
      </c>
      <c r="E289" t="s">
        <v>865</v>
      </c>
      <c r="F289" t="s">
        <v>92</v>
      </c>
      <c r="G289" t="s">
        <v>76</v>
      </c>
      <c r="H289" t="s">
        <v>232</v>
      </c>
      <c r="I289" t="s">
        <v>71</v>
      </c>
      <c r="J289" t="s">
        <v>139</v>
      </c>
      <c r="K289" t="s">
        <v>294</v>
      </c>
      <c r="L289">
        <v>1300</v>
      </c>
      <c r="M289" t="s">
        <v>13</v>
      </c>
      <c r="O289" t="s">
        <v>18</v>
      </c>
      <c r="P289" t="s">
        <v>233</v>
      </c>
      <c r="Q289" t="s">
        <v>300</v>
      </c>
    </row>
    <row r="290" spans="1:17" x14ac:dyDescent="0.2">
      <c r="A290" s="43" t="s">
        <v>954</v>
      </c>
      <c r="B290" t="s">
        <v>24</v>
      </c>
      <c r="C290">
        <v>2020</v>
      </c>
      <c r="D290" t="s">
        <v>1003</v>
      </c>
      <c r="E290" t="s">
        <v>865</v>
      </c>
      <c r="F290" t="s">
        <v>92</v>
      </c>
      <c r="G290" t="s">
        <v>76</v>
      </c>
      <c r="H290" t="s">
        <v>232</v>
      </c>
      <c r="I290" t="s">
        <v>72</v>
      </c>
      <c r="J290" t="s">
        <v>139</v>
      </c>
      <c r="K290" t="s">
        <v>294</v>
      </c>
      <c r="L290">
        <v>1300</v>
      </c>
      <c r="M290" t="s">
        <v>13</v>
      </c>
      <c r="O290" t="s">
        <v>18</v>
      </c>
      <c r="P290" t="s">
        <v>233</v>
      </c>
      <c r="Q290" t="s">
        <v>300</v>
      </c>
    </row>
    <row r="291" spans="1:17" x14ac:dyDescent="0.2">
      <c r="A291" s="43" t="s">
        <v>955</v>
      </c>
      <c r="B291" t="s">
        <v>24</v>
      </c>
      <c r="C291">
        <v>2020</v>
      </c>
      <c r="D291" t="s">
        <v>1003</v>
      </c>
      <c r="E291" t="s">
        <v>865</v>
      </c>
      <c r="F291" t="s">
        <v>92</v>
      </c>
      <c r="G291" t="s">
        <v>76</v>
      </c>
      <c r="H291" t="s">
        <v>70</v>
      </c>
      <c r="I291" t="s">
        <v>8</v>
      </c>
      <c r="J291" t="s">
        <v>139</v>
      </c>
      <c r="K291" t="s">
        <v>68</v>
      </c>
      <c r="L291">
        <v>500</v>
      </c>
      <c r="M291" t="s">
        <v>13</v>
      </c>
      <c r="O291" t="s">
        <v>19</v>
      </c>
      <c r="P291" t="s">
        <v>79</v>
      </c>
      <c r="Q291" t="s">
        <v>24</v>
      </c>
    </row>
    <row r="292" spans="1:17" x14ac:dyDescent="0.2">
      <c r="A292" s="43" t="s">
        <v>956</v>
      </c>
      <c r="B292" t="s">
        <v>24</v>
      </c>
      <c r="C292">
        <v>2020</v>
      </c>
      <c r="D292" t="s">
        <v>1003</v>
      </c>
      <c r="E292" t="s">
        <v>865</v>
      </c>
      <c r="F292" t="s">
        <v>92</v>
      </c>
      <c r="G292" t="s">
        <v>76</v>
      </c>
      <c r="H292" t="s">
        <v>232</v>
      </c>
      <c r="I292" t="s">
        <v>71</v>
      </c>
      <c r="J292" t="s">
        <v>139</v>
      </c>
      <c r="K292" t="s">
        <v>68</v>
      </c>
      <c r="L292">
        <v>500</v>
      </c>
      <c r="M292" t="s">
        <v>13</v>
      </c>
      <c r="O292" t="s">
        <v>19</v>
      </c>
      <c r="P292" t="s">
        <v>79</v>
      </c>
      <c r="Q292" t="s">
        <v>24</v>
      </c>
    </row>
    <row r="293" spans="1:17" x14ac:dyDescent="0.2">
      <c r="A293" s="43" t="s">
        <v>957</v>
      </c>
      <c r="B293" t="s">
        <v>24</v>
      </c>
      <c r="C293">
        <v>2020</v>
      </c>
      <c r="D293" t="s">
        <v>1003</v>
      </c>
      <c r="E293" t="s">
        <v>865</v>
      </c>
      <c r="F293" t="s">
        <v>92</v>
      </c>
      <c r="G293" t="s">
        <v>76</v>
      </c>
      <c r="H293" t="s">
        <v>232</v>
      </c>
      <c r="I293" t="s">
        <v>72</v>
      </c>
      <c r="J293" t="s">
        <v>139</v>
      </c>
      <c r="K293" t="s">
        <v>68</v>
      </c>
      <c r="L293">
        <v>500</v>
      </c>
      <c r="M293" t="s">
        <v>13</v>
      </c>
      <c r="O293" t="s">
        <v>19</v>
      </c>
      <c r="P293" t="s">
        <v>79</v>
      </c>
      <c r="Q293" t="s">
        <v>24</v>
      </c>
    </row>
    <row r="294" spans="1:17" x14ac:dyDescent="0.2">
      <c r="A294" s="43" t="s">
        <v>958</v>
      </c>
      <c r="B294" t="s">
        <v>24</v>
      </c>
      <c r="C294">
        <v>2020</v>
      </c>
      <c r="D294" t="s">
        <v>1003</v>
      </c>
      <c r="E294" t="s">
        <v>865</v>
      </c>
      <c r="F294" t="s">
        <v>92</v>
      </c>
      <c r="G294" t="s">
        <v>76</v>
      </c>
      <c r="H294" t="s">
        <v>70</v>
      </c>
      <c r="I294" t="s">
        <v>8</v>
      </c>
      <c r="J294" t="s">
        <v>139</v>
      </c>
      <c r="K294" t="s">
        <v>69</v>
      </c>
      <c r="L294">
        <v>200</v>
      </c>
      <c r="M294" t="s">
        <v>13</v>
      </c>
      <c r="O294" t="s">
        <v>19</v>
      </c>
      <c r="P294" t="s">
        <v>79</v>
      </c>
      <c r="Q294" t="s">
        <v>24</v>
      </c>
    </row>
    <row r="295" spans="1:17" x14ac:dyDescent="0.2">
      <c r="A295" s="43" t="s">
        <v>959</v>
      </c>
      <c r="B295" t="s">
        <v>24</v>
      </c>
      <c r="C295">
        <v>2020</v>
      </c>
      <c r="D295" t="s">
        <v>1003</v>
      </c>
      <c r="E295" t="s">
        <v>865</v>
      </c>
      <c r="F295" t="s">
        <v>92</v>
      </c>
      <c r="G295" t="s">
        <v>76</v>
      </c>
      <c r="H295" t="s">
        <v>232</v>
      </c>
      <c r="I295" t="s">
        <v>71</v>
      </c>
      <c r="J295" t="s">
        <v>139</v>
      </c>
      <c r="K295" t="s">
        <v>69</v>
      </c>
      <c r="L295">
        <v>200</v>
      </c>
      <c r="M295" t="s">
        <v>13</v>
      </c>
      <c r="O295" t="s">
        <v>19</v>
      </c>
      <c r="P295" t="s">
        <v>79</v>
      </c>
      <c r="Q295" t="s">
        <v>24</v>
      </c>
    </row>
    <row r="296" spans="1:17" x14ac:dyDescent="0.2">
      <c r="A296" s="43" t="s">
        <v>960</v>
      </c>
      <c r="B296" t="s">
        <v>24</v>
      </c>
      <c r="C296">
        <v>2020</v>
      </c>
      <c r="D296" t="s">
        <v>1003</v>
      </c>
      <c r="E296" t="s">
        <v>865</v>
      </c>
      <c r="F296" t="s">
        <v>92</v>
      </c>
      <c r="G296" t="s">
        <v>76</v>
      </c>
      <c r="H296" t="s">
        <v>232</v>
      </c>
      <c r="I296" t="s">
        <v>72</v>
      </c>
      <c r="J296" t="s">
        <v>139</v>
      </c>
      <c r="K296" t="s">
        <v>69</v>
      </c>
      <c r="L296">
        <v>200</v>
      </c>
      <c r="M296" t="s">
        <v>13</v>
      </c>
      <c r="O296" t="s">
        <v>19</v>
      </c>
      <c r="P296" t="s">
        <v>79</v>
      </c>
      <c r="Q296" t="s">
        <v>24</v>
      </c>
    </row>
    <row r="297" spans="1:17" x14ac:dyDescent="0.2">
      <c r="A297" s="43" t="s">
        <v>961</v>
      </c>
      <c r="B297" t="s">
        <v>24</v>
      </c>
      <c r="C297">
        <v>2020</v>
      </c>
      <c r="D297" t="s">
        <v>1003</v>
      </c>
      <c r="E297" t="s">
        <v>865</v>
      </c>
      <c r="F297" t="s">
        <v>92</v>
      </c>
      <c r="G297" t="s">
        <v>76</v>
      </c>
      <c r="H297" t="s">
        <v>70</v>
      </c>
      <c r="I297" t="s">
        <v>8</v>
      </c>
      <c r="J297" t="s">
        <v>139</v>
      </c>
      <c r="K297" t="s">
        <v>68</v>
      </c>
      <c r="L297">
        <v>500</v>
      </c>
      <c r="M297" t="s">
        <v>13</v>
      </c>
      <c r="O297" t="s">
        <v>20</v>
      </c>
      <c r="P297" t="s">
        <v>79</v>
      </c>
      <c r="Q297" t="s">
        <v>24</v>
      </c>
    </row>
    <row r="298" spans="1:17" x14ac:dyDescent="0.2">
      <c r="A298" s="43" t="s">
        <v>962</v>
      </c>
      <c r="B298" t="s">
        <v>24</v>
      </c>
      <c r="C298">
        <v>2020</v>
      </c>
      <c r="D298" t="s">
        <v>1003</v>
      </c>
      <c r="E298" t="s">
        <v>865</v>
      </c>
      <c r="F298" t="s">
        <v>92</v>
      </c>
      <c r="G298" t="s">
        <v>76</v>
      </c>
      <c r="H298" t="s">
        <v>232</v>
      </c>
      <c r="I298" t="s">
        <v>71</v>
      </c>
      <c r="J298" t="s">
        <v>139</v>
      </c>
      <c r="K298" t="s">
        <v>68</v>
      </c>
      <c r="L298">
        <v>500</v>
      </c>
      <c r="M298" t="s">
        <v>13</v>
      </c>
      <c r="O298" t="s">
        <v>20</v>
      </c>
      <c r="P298" t="s">
        <v>79</v>
      </c>
      <c r="Q298" t="s">
        <v>24</v>
      </c>
    </row>
    <row r="299" spans="1:17" x14ac:dyDescent="0.2">
      <c r="A299" s="43" t="s">
        <v>963</v>
      </c>
      <c r="B299" t="s">
        <v>24</v>
      </c>
      <c r="C299">
        <v>2020</v>
      </c>
      <c r="D299" t="s">
        <v>1003</v>
      </c>
      <c r="E299" t="s">
        <v>865</v>
      </c>
      <c r="F299" t="s">
        <v>92</v>
      </c>
      <c r="G299" t="s">
        <v>76</v>
      </c>
      <c r="H299" t="s">
        <v>232</v>
      </c>
      <c r="I299" t="s">
        <v>72</v>
      </c>
      <c r="J299" t="s">
        <v>139</v>
      </c>
      <c r="K299" t="s">
        <v>68</v>
      </c>
      <c r="L299">
        <v>500</v>
      </c>
      <c r="M299" t="s">
        <v>13</v>
      </c>
      <c r="O299" t="s">
        <v>20</v>
      </c>
      <c r="P299" t="s">
        <v>79</v>
      </c>
      <c r="Q299" t="s">
        <v>24</v>
      </c>
    </row>
    <row r="300" spans="1:17" x14ac:dyDescent="0.2">
      <c r="A300" s="43" t="s">
        <v>964</v>
      </c>
      <c r="B300" t="s">
        <v>24</v>
      </c>
      <c r="C300">
        <v>2020</v>
      </c>
      <c r="D300" t="s">
        <v>1003</v>
      </c>
      <c r="E300" t="s">
        <v>865</v>
      </c>
      <c r="F300" t="s">
        <v>92</v>
      </c>
      <c r="G300" t="s">
        <v>76</v>
      </c>
      <c r="H300" t="s">
        <v>70</v>
      </c>
      <c r="I300" t="s">
        <v>8</v>
      </c>
      <c r="J300" t="s">
        <v>139</v>
      </c>
      <c r="K300" t="s">
        <v>69</v>
      </c>
      <c r="L300">
        <v>200</v>
      </c>
      <c r="M300" t="s">
        <v>13</v>
      </c>
      <c r="O300" t="s">
        <v>20</v>
      </c>
      <c r="P300" t="s">
        <v>79</v>
      </c>
      <c r="Q300" t="s">
        <v>24</v>
      </c>
    </row>
    <row r="301" spans="1:17" x14ac:dyDescent="0.2">
      <c r="A301" s="43" t="s">
        <v>965</v>
      </c>
      <c r="B301" t="s">
        <v>24</v>
      </c>
      <c r="C301">
        <v>2020</v>
      </c>
      <c r="D301" t="s">
        <v>1003</v>
      </c>
      <c r="E301" t="s">
        <v>865</v>
      </c>
      <c r="F301" t="s">
        <v>92</v>
      </c>
      <c r="G301" t="s">
        <v>76</v>
      </c>
      <c r="H301" t="s">
        <v>232</v>
      </c>
      <c r="I301" t="s">
        <v>71</v>
      </c>
      <c r="J301" t="s">
        <v>139</v>
      </c>
      <c r="K301" t="s">
        <v>69</v>
      </c>
      <c r="L301">
        <v>200</v>
      </c>
      <c r="M301" t="s">
        <v>13</v>
      </c>
      <c r="O301" t="s">
        <v>20</v>
      </c>
      <c r="P301" t="s">
        <v>79</v>
      </c>
      <c r="Q301" t="s">
        <v>24</v>
      </c>
    </row>
    <row r="302" spans="1:17" x14ac:dyDescent="0.2">
      <c r="A302" s="43" t="s">
        <v>966</v>
      </c>
      <c r="B302" t="s">
        <v>24</v>
      </c>
      <c r="C302">
        <v>2020</v>
      </c>
      <c r="D302" t="s">
        <v>1003</v>
      </c>
      <c r="E302" t="s">
        <v>865</v>
      </c>
      <c r="F302" t="s">
        <v>92</v>
      </c>
      <c r="G302" t="s">
        <v>76</v>
      </c>
      <c r="H302" t="s">
        <v>232</v>
      </c>
      <c r="I302" t="s">
        <v>72</v>
      </c>
      <c r="J302" t="s">
        <v>139</v>
      </c>
      <c r="K302" t="s">
        <v>69</v>
      </c>
      <c r="L302">
        <v>200</v>
      </c>
      <c r="M302" t="s">
        <v>13</v>
      </c>
      <c r="O302" t="s">
        <v>20</v>
      </c>
      <c r="P302" t="s">
        <v>79</v>
      </c>
      <c r="Q302" t="s">
        <v>24</v>
      </c>
    </row>
    <row r="303" spans="1:17" x14ac:dyDescent="0.2">
      <c r="A303" s="43" t="s">
        <v>967</v>
      </c>
      <c r="B303" t="s">
        <v>24</v>
      </c>
      <c r="C303">
        <v>2020</v>
      </c>
      <c r="D303" t="s">
        <v>1003</v>
      </c>
      <c r="E303" t="s">
        <v>865</v>
      </c>
      <c r="F303" t="s">
        <v>92</v>
      </c>
      <c r="G303" t="s">
        <v>76</v>
      </c>
      <c r="H303" t="s">
        <v>70</v>
      </c>
      <c r="I303" t="s">
        <v>8</v>
      </c>
      <c r="J303" t="s">
        <v>139</v>
      </c>
      <c r="K303" t="s">
        <v>68</v>
      </c>
      <c r="L303">
        <v>500</v>
      </c>
      <c r="M303" t="s">
        <v>13</v>
      </c>
      <c r="O303" t="s">
        <v>21</v>
      </c>
      <c r="P303" t="s">
        <v>79</v>
      </c>
      <c r="Q303" t="s">
        <v>24</v>
      </c>
    </row>
    <row r="304" spans="1:17" x14ac:dyDescent="0.2">
      <c r="A304" s="43" t="s">
        <v>968</v>
      </c>
      <c r="B304" t="s">
        <v>24</v>
      </c>
      <c r="C304">
        <v>2020</v>
      </c>
      <c r="D304" t="s">
        <v>1003</v>
      </c>
      <c r="E304" t="s">
        <v>865</v>
      </c>
      <c r="F304" t="s">
        <v>92</v>
      </c>
      <c r="G304" t="s">
        <v>76</v>
      </c>
      <c r="H304" t="s">
        <v>232</v>
      </c>
      <c r="I304" t="s">
        <v>71</v>
      </c>
      <c r="J304" t="s">
        <v>139</v>
      </c>
      <c r="K304" t="s">
        <v>68</v>
      </c>
      <c r="L304">
        <v>500</v>
      </c>
      <c r="M304" t="s">
        <v>13</v>
      </c>
      <c r="O304" t="s">
        <v>21</v>
      </c>
      <c r="P304" t="s">
        <v>79</v>
      </c>
      <c r="Q304" t="s">
        <v>24</v>
      </c>
    </row>
    <row r="305" spans="1:17" x14ac:dyDescent="0.2">
      <c r="A305" s="43" t="s">
        <v>969</v>
      </c>
      <c r="B305" t="s">
        <v>24</v>
      </c>
      <c r="C305">
        <v>2020</v>
      </c>
      <c r="D305" t="s">
        <v>1003</v>
      </c>
      <c r="E305" t="s">
        <v>865</v>
      </c>
      <c r="F305" t="s">
        <v>92</v>
      </c>
      <c r="G305" t="s">
        <v>76</v>
      </c>
      <c r="H305" t="s">
        <v>232</v>
      </c>
      <c r="I305" t="s">
        <v>72</v>
      </c>
      <c r="J305" t="s">
        <v>139</v>
      </c>
      <c r="K305" t="s">
        <v>68</v>
      </c>
      <c r="L305">
        <v>500</v>
      </c>
      <c r="M305" t="s">
        <v>13</v>
      </c>
      <c r="O305" t="s">
        <v>21</v>
      </c>
      <c r="P305" t="s">
        <v>79</v>
      </c>
      <c r="Q305" t="s">
        <v>24</v>
      </c>
    </row>
    <row r="306" spans="1:17" x14ac:dyDescent="0.2">
      <c r="A306" s="43" t="s">
        <v>970</v>
      </c>
      <c r="B306" t="s">
        <v>24</v>
      </c>
      <c r="C306">
        <v>2020</v>
      </c>
      <c r="D306" t="s">
        <v>1003</v>
      </c>
      <c r="E306" t="s">
        <v>865</v>
      </c>
      <c r="F306" t="s">
        <v>92</v>
      </c>
      <c r="G306" t="s">
        <v>76</v>
      </c>
      <c r="H306" t="s">
        <v>70</v>
      </c>
      <c r="I306" t="s">
        <v>8</v>
      </c>
      <c r="J306" t="s">
        <v>139</v>
      </c>
      <c r="K306" t="s">
        <v>69</v>
      </c>
      <c r="L306">
        <v>200</v>
      </c>
      <c r="M306" t="s">
        <v>13</v>
      </c>
      <c r="O306" t="s">
        <v>21</v>
      </c>
      <c r="P306" t="s">
        <v>79</v>
      </c>
      <c r="Q306" t="s">
        <v>24</v>
      </c>
    </row>
    <row r="307" spans="1:17" x14ac:dyDescent="0.2">
      <c r="A307" s="43" t="s">
        <v>971</v>
      </c>
      <c r="B307" t="s">
        <v>24</v>
      </c>
      <c r="C307">
        <v>2020</v>
      </c>
      <c r="D307" t="s">
        <v>1003</v>
      </c>
      <c r="E307" t="s">
        <v>865</v>
      </c>
      <c r="F307" t="s">
        <v>92</v>
      </c>
      <c r="G307" t="s">
        <v>76</v>
      </c>
      <c r="H307" t="s">
        <v>232</v>
      </c>
      <c r="I307" t="s">
        <v>71</v>
      </c>
      <c r="J307" t="s">
        <v>139</v>
      </c>
      <c r="K307" t="s">
        <v>69</v>
      </c>
      <c r="L307">
        <v>200</v>
      </c>
      <c r="M307" t="s">
        <v>13</v>
      </c>
      <c r="O307" t="s">
        <v>21</v>
      </c>
      <c r="P307" t="s">
        <v>79</v>
      </c>
      <c r="Q307" t="s">
        <v>24</v>
      </c>
    </row>
    <row r="308" spans="1:17" x14ac:dyDescent="0.2">
      <c r="A308" s="43" t="s">
        <v>972</v>
      </c>
      <c r="B308" t="s">
        <v>24</v>
      </c>
      <c r="C308">
        <v>2020</v>
      </c>
      <c r="D308" t="s">
        <v>1003</v>
      </c>
      <c r="E308" t="s">
        <v>865</v>
      </c>
      <c r="F308" t="s">
        <v>92</v>
      </c>
      <c r="G308" t="s">
        <v>76</v>
      </c>
      <c r="H308" t="s">
        <v>232</v>
      </c>
      <c r="I308" t="s">
        <v>72</v>
      </c>
      <c r="J308" t="s">
        <v>139</v>
      </c>
      <c r="K308" t="s">
        <v>69</v>
      </c>
      <c r="L308">
        <v>200</v>
      </c>
      <c r="M308" t="s">
        <v>13</v>
      </c>
      <c r="O308" t="s">
        <v>21</v>
      </c>
      <c r="P308" t="s">
        <v>79</v>
      </c>
      <c r="Q308" t="s">
        <v>24</v>
      </c>
    </row>
    <row r="309" spans="1:17" x14ac:dyDescent="0.2">
      <c r="A309" s="43" t="s">
        <v>973</v>
      </c>
      <c r="B309" t="s">
        <v>24</v>
      </c>
      <c r="C309">
        <v>2020</v>
      </c>
      <c r="D309" t="s">
        <v>1003</v>
      </c>
      <c r="E309" t="s">
        <v>865</v>
      </c>
      <c r="F309" t="s">
        <v>92</v>
      </c>
      <c r="G309" t="s">
        <v>76</v>
      </c>
      <c r="H309" t="s">
        <v>70</v>
      </c>
      <c r="I309" t="s">
        <v>8</v>
      </c>
      <c r="J309" t="s">
        <v>139</v>
      </c>
      <c r="K309" t="s">
        <v>68</v>
      </c>
      <c r="L309">
        <v>500</v>
      </c>
      <c r="M309" t="s">
        <v>13</v>
      </c>
      <c r="O309" t="s">
        <v>22</v>
      </c>
      <c r="P309" t="s">
        <v>79</v>
      </c>
      <c r="Q309" t="s">
        <v>24</v>
      </c>
    </row>
    <row r="310" spans="1:17" x14ac:dyDescent="0.2">
      <c r="A310" s="43" t="s">
        <v>974</v>
      </c>
      <c r="B310" t="s">
        <v>24</v>
      </c>
      <c r="C310">
        <v>2020</v>
      </c>
      <c r="D310" t="s">
        <v>1003</v>
      </c>
      <c r="E310" t="s">
        <v>865</v>
      </c>
      <c r="F310" t="s">
        <v>92</v>
      </c>
      <c r="G310" t="s">
        <v>76</v>
      </c>
      <c r="H310" t="s">
        <v>232</v>
      </c>
      <c r="I310" t="s">
        <v>71</v>
      </c>
      <c r="J310" t="s">
        <v>139</v>
      </c>
      <c r="K310" t="s">
        <v>68</v>
      </c>
      <c r="L310">
        <v>500</v>
      </c>
      <c r="M310" t="s">
        <v>13</v>
      </c>
      <c r="O310" t="s">
        <v>22</v>
      </c>
      <c r="P310" t="s">
        <v>79</v>
      </c>
      <c r="Q310" t="s">
        <v>24</v>
      </c>
    </row>
    <row r="311" spans="1:17" x14ac:dyDescent="0.2">
      <c r="A311" s="43" t="s">
        <v>975</v>
      </c>
      <c r="B311" t="s">
        <v>24</v>
      </c>
      <c r="C311">
        <v>2020</v>
      </c>
      <c r="D311" t="s">
        <v>1003</v>
      </c>
      <c r="E311" t="s">
        <v>865</v>
      </c>
      <c r="F311" t="s">
        <v>92</v>
      </c>
      <c r="G311" t="s">
        <v>76</v>
      </c>
      <c r="H311" t="s">
        <v>232</v>
      </c>
      <c r="I311" t="s">
        <v>72</v>
      </c>
      <c r="J311" t="s">
        <v>139</v>
      </c>
      <c r="K311" t="s">
        <v>68</v>
      </c>
      <c r="L311">
        <v>500</v>
      </c>
      <c r="M311" t="s">
        <v>13</v>
      </c>
      <c r="O311" t="s">
        <v>22</v>
      </c>
      <c r="P311" t="s">
        <v>79</v>
      </c>
      <c r="Q311" t="s">
        <v>24</v>
      </c>
    </row>
    <row r="312" spans="1:17" x14ac:dyDescent="0.2">
      <c r="A312" s="43" t="s">
        <v>976</v>
      </c>
      <c r="B312" t="s">
        <v>24</v>
      </c>
      <c r="C312">
        <v>2020</v>
      </c>
      <c r="D312" t="s">
        <v>1003</v>
      </c>
      <c r="E312" t="s">
        <v>865</v>
      </c>
      <c r="F312" t="s">
        <v>92</v>
      </c>
      <c r="G312" t="s">
        <v>76</v>
      </c>
      <c r="H312" t="s">
        <v>70</v>
      </c>
      <c r="I312" t="s">
        <v>8</v>
      </c>
      <c r="J312" t="s">
        <v>139</v>
      </c>
      <c r="K312" t="s">
        <v>69</v>
      </c>
      <c r="L312">
        <v>200</v>
      </c>
      <c r="M312" t="s">
        <v>13</v>
      </c>
      <c r="O312" t="s">
        <v>22</v>
      </c>
      <c r="P312" t="s">
        <v>79</v>
      </c>
      <c r="Q312" t="s">
        <v>24</v>
      </c>
    </row>
    <row r="313" spans="1:17" x14ac:dyDescent="0.2">
      <c r="A313" s="43" t="s">
        <v>977</v>
      </c>
      <c r="B313" t="s">
        <v>24</v>
      </c>
      <c r="C313">
        <v>2020</v>
      </c>
      <c r="D313" t="s">
        <v>1003</v>
      </c>
      <c r="E313" t="s">
        <v>865</v>
      </c>
      <c r="F313" t="s">
        <v>92</v>
      </c>
      <c r="G313" t="s">
        <v>76</v>
      </c>
      <c r="H313" t="s">
        <v>232</v>
      </c>
      <c r="I313" t="s">
        <v>71</v>
      </c>
      <c r="J313" t="s">
        <v>139</v>
      </c>
      <c r="K313" t="s">
        <v>69</v>
      </c>
      <c r="L313">
        <v>200</v>
      </c>
      <c r="M313" t="s">
        <v>13</v>
      </c>
      <c r="O313" t="s">
        <v>22</v>
      </c>
      <c r="P313" t="s">
        <v>79</v>
      </c>
      <c r="Q313" t="s">
        <v>24</v>
      </c>
    </row>
    <row r="314" spans="1:17" x14ac:dyDescent="0.2">
      <c r="A314" s="43" t="s">
        <v>978</v>
      </c>
      <c r="B314" t="s">
        <v>24</v>
      </c>
      <c r="C314">
        <v>2020</v>
      </c>
      <c r="D314" t="s">
        <v>1003</v>
      </c>
      <c r="E314" t="s">
        <v>865</v>
      </c>
      <c r="F314" t="s">
        <v>92</v>
      </c>
      <c r="G314" t="s">
        <v>76</v>
      </c>
      <c r="H314" t="s">
        <v>232</v>
      </c>
      <c r="I314" t="s">
        <v>72</v>
      </c>
      <c r="J314" t="s">
        <v>139</v>
      </c>
      <c r="K314" t="s">
        <v>69</v>
      </c>
      <c r="L314">
        <v>200</v>
      </c>
      <c r="M314" t="s">
        <v>13</v>
      </c>
      <c r="O314" t="s">
        <v>22</v>
      </c>
      <c r="P314" t="s">
        <v>79</v>
      </c>
      <c r="Q314" t="s">
        <v>24</v>
      </c>
    </row>
    <row r="315" spans="1:17" x14ac:dyDescent="0.2">
      <c r="A315" s="43" t="s">
        <v>979</v>
      </c>
      <c r="B315" t="s">
        <v>24</v>
      </c>
      <c r="C315">
        <v>2020</v>
      </c>
      <c r="D315" t="s">
        <v>1003</v>
      </c>
      <c r="E315" t="s">
        <v>865</v>
      </c>
      <c r="F315" t="s">
        <v>92</v>
      </c>
      <c r="G315" t="s">
        <v>76</v>
      </c>
      <c r="H315" t="s">
        <v>70</v>
      </c>
      <c r="I315" t="s">
        <v>8</v>
      </c>
      <c r="J315" t="s">
        <v>139</v>
      </c>
      <c r="K315" t="s">
        <v>68</v>
      </c>
      <c r="L315">
        <v>500</v>
      </c>
      <c r="M315" t="s">
        <v>13</v>
      </c>
      <c r="O315" t="s">
        <v>23</v>
      </c>
      <c r="P315" t="s">
        <v>79</v>
      </c>
      <c r="Q315" t="s">
        <v>24</v>
      </c>
    </row>
    <row r="316" spans="1:17" x14ac:dyDescent="0.2">
      <c r="A316" s="43" t="s">
        <v>980</v>
      </c>
      <c r="B316" t="s">
        <v>24</v>
      </c>
      <c r="C316">
        <v>2020</v>
      </c>
      <c r="D316" t="s">
        <v>1003</v>
      </c>
      <c r="E316" t="s">
        <v>865</v>
      </c>
      <c r="F316" t="s">
        <v>92</v>
      </c>
      <c r="G316" t="s">
        <v>76</v>
      </c>
      <c r="H316" t="s">
        <v>232</v>
      </c>
      <c r="I316" t="s">
        <v>71</v>
      </c>
      <c r="J316" t="s">
        <v>139</v>
      </c>
      <c r="K316" t="s">
        <v>68</v>
      </c>
      <c r="L316">
        <v>500</v>
      </c>
      <c r="M316" t="s">
        <v>13</v>
      </c>
      <c r="O316" t="s">
        <v>23</v>
      </c>
      <c r="P316" t="s">
        <v>79</v>
      </c>
      <c r="Q316" t="s">
        <v>24</v>
      </c>
    </row>
    <row r="317" spans="1:17" x14ac:dyDescent="0.2">
      <c r="A317" s="43" t="s">
        <v>981</v>
      </c>
      <c r="B317" t="s">
        <v>24</v>
      </c>
      <c r="C317">
        <v>2020</v>
      </c>
      <c r="D317" t="s">
        <v>1003</v>
      </c>
      <c r="E317" t="s">
        <v>865</v>
      </c>
      <c r="F317" t="s">
        <v>92</v>
      </c>
      <c r="G317" t="s">
        <v>76</v>
      </c>
      <c r="H317" t="s">
        <v>232</v>
      </c>
      <c r="I317" t="s">
        <v>72</v>
      </c>
      <c r="J317" t="s">
        <v>139</v>
      </c>
      <c r="K317" t="s">
        <v>68</v>
      </c>
      <c r="L317">
        <v>500</v>
      </c>
      <c r="M317" t="s">
        <v>13</v>
      </c>
      <c r="O317" t="s">
        <v>23</v>
      </c>
      <c r="P317" t="s">
        <v>79</v>
      </c>
      <c r="Q317" t="s">
        <v>24</v>
      </c>
    </row>
    <row r="318" spans="1:17" x14ac:dyDescent="0.2">
      <c r="A318" s="43" t="s">
        <v>982</v>
      </c>
      <c r="B318" t="s">
        <v>24</v>
      </c>
      <c r="C318">
        <v>2020</v>
      </c>
      <c r="D318" t="s">
        <v>1003</v>
      </c>
      <c r="E318" t="s">
        <v>865</v>
      </c>
      <c r="F318" t="s">
        <v>92</v>
      </c>
      <c r="G318" t="s">
        <v>76</v>
      </c>
      <c r="H318" t="s">
        <v>70</v>
      </c>
      <c r="I318" t="s">
        <v>8</v>
      </c>
      <c r="J318" t="s">
        <v>139</v>
      </c>
      <c r="K318" t="s">
        <v>69</v>
      </c>
      <c r="L318">
        <v>200</v>
      </c>
      <c r="M318" t="s">
        <v>13</v>
      </c>
      <c r="O318" t="s">
        <v>23</v>
      </c>
      <c r="P318" t="s">
        <v>79</v>
      </c>
      <c r="Q318" t="s">
        <v>24</v>
      </c>
    </row>
    <row r="319" spans="1:17" x14ac:dyDescent="0.2">
      <c r="A319" s="43" t="s">
        <v>983</v>
      </c>
      <c r="B319" t="s">
        <v>24</v>
      </c>
      <c r="C319">
        <v>2020</v>
      </c>
      <c r="D319" t="s">
        <v>1003</v>
      </c>
      <c r="E319" t="s">
        <v>865</v>
      </c>
      <c r="F319" t="s">
        <v>92</v>
      </c>
      <c r="G319" t="s">
        <v>76</v>
      </c>
      <c r="H319" t="s">
        <v>232</v>
      </c>
      <c r="I319" t="s">
        <v>71</v>
      </c>
      <c r="J319" t="s">
        <v>139</v>
      </c>
      <c r="K319" t="s">
        <v>69</v>
      </c>
      <c r="L319">
        <v>200</v>
      </c>
      <c r="M319" t="s">
        <v>13</v>
      </c>
      <c r="O319" t="s">
        <v>23</v>
      </c>
      <c r="P319" t="s">
        <v>79</v>
      </c>
      <c r="Q319" t="s">
        <v>24</v>
      </c>
    </row>
    <row r="320" spans="1:17" x14ac:dyDescent="0.2">
      <c r="A320" s="43" t="s">
        <v>984</v>
      </c>
      <c r="B320" t="s">
        <v>24</v>
      </c>
      <c r="C320">
        <v>2020</v>
      </c>
      <c r="D320" t="s">
        <v>1003</v>
      </c>
      <c r="E320" t="s">
        <v>865</v>
      </c>
      <c r="F320" t="s">
        <v>92</v>
      </c>
      <c r="G320" t="s">
        <v>76</v>
      </c>
      <c r="H320" t="s">
        <v>232</v>
      </c>
      <c r="I320" t="s">
        <v>72</v>
      </c>
      <c r="J320" t="s">
        <v>139</v>
      </c>
      <c r="K320" t="s">
        <v>69</v>
      </c>
      <c r="L320">
        <v>200</v>
      </c>
      <c r="M320" t="s">
        <v>13</v>
      </c>
      <c r="O320" t="s">
        <v>23</v>
      </c>
      <c r="P320" t="s">
        <v>79</v>
      </c>
      <c r="Q320" t="s">
        <v>24</v>
      </c>
    </row>
    <row r="321" spans="1:18" x14ac:dyDescent="0.2">
      <c r="A321" s="43" t="s">
        <v>985</v>
      </c>
      <c r="B321" t="s">
        <v>24</v>
      </c>
      <c r="C321">
        <v>2020</v>
      </c>
      <c r="D321" t="s">
        <v>1003</v>
      </c>
      <c r="E321" t="s">
        <v>865</v>
      </c>
      <c r="F321" t="s">
        <v>92</v>
      </c>
      <c r="G321" t="s">
        <v>76</v>
      </c>
      <c r="H321" t="s">
        <v>70</v>
      </c>
      <c r="I321" t="s">
        <v>8</v>
      </c>
      <c r="J321" t="s">
        <v>139</v>
      </c>
      <c r="K321" t="s">
        <v>68</v>
      </c>
      <c r="L321">
        <v>500</v>
      </c>
      <c r="M321" t="s">
        <v>13</v>
      </c>
      <c r="O321" t="s">
        <v>19</v>
      </c>
      <c r="P321" t="s">
        <v>79</v>
      </c>
      <c r="Q321" t="s">
        <v>33</v>
      </c>
    </row>
    <row r="322" spans="1:18" x14ac:dyDescent="0.2">
      <c r="A322" s="43" t="s">
        <v>986</v>
      </c>
      <c r="B322" t="s">
        <v>24</v>
      </c>
      <c r="C322">
        <v>2020</v>
      </c>
      <c r="D322" t="s">
        <v>1003</v>
      </c>
      <c r="E322" t="s">
        <v>865</v>
      </c>
      <c r="F322" t="s">
        <v>92</v>
      </c>
      <c r="G322" t="s">
        <v>76</v>
      </c>
      <c r="H322" t="s">
        <v>232</v>
      </c>
      <c r="I322" t="s">
        <v>71</v>
      </c>
      <c r="J322" t="s">
        <v>139</v>
      </c>
      <c r="K322" t="s">
        <v>68</v>
      </c>
      <c r="L322">
        <v>500</v>
      </c>
      <c r="M322" t="s">
        <v>13</v>
      </c>
      <c r="O322" t="s">
        <v>19</v>
      </c>
      <c r="P322" t="s">
        <v>79</v>
      </c>
      <c r="Q322" t="s">
        <v>33</v>
      </c>
    </row>
    <row r="323" spans="1:18" x14ac:dyDescent="0.2">
      <c r="A323" s="43" t="s">
        <v>987</v>
      </c>
      <c r="B323" t="s">
        <v>24</v>
      </c>
      <c r="C323">
        <v>2020</v>
      </c>
      <c r="D323" t="s">
        <v>1003</v>
      </c>
      <c r="E323" t="s">
        <v>865</v>
      </c>
      <c r="F323" t="s">
        <v>92</v>
      </c>
      <c r="G323" t="s">
        <v>76</v>
      </c>
      <c r="H323" t="s">
        <v>232</v>
      </c>
      <c r="I323" t="s">
        <v>72</v>
      </c>
      <c r="J323" t="s">
        <v>139</v>
      </c>
      <c r="K323" t="s">
        <v>68</v>
      </c>
      <c r="L323">
        <v>500</v>
      </c>
      <c r="M323" t="s">
        <v>13</v>
      </c>
      <c r="O323" t="s">
        <v>19</v>
      </c>
      <c r="P323" t="s">
        <v>79</v>
      </c>
      <c r="Q323" t="s">
        <v>33</v>
      </c>
    </row>
    <row r="324" spans="1:18" x14ac:dyDescent="0.2">
      <c r="A324" s="43" t="s">
        <v>988</v>
      </c>
      <c r="B324" t="s">
        <v>24</v>
      </c>
      <c r="C324">
        <v>2020</v>
      </c>
      <c r="D324" t="s">
        <v>1003</v>
      </c>
      <c r="E324" t="s">
        <v>865</v>
      </c>
      <c r="F324" t="s">
        <v>92</v>
      </c>
      <c r="G324" t="s">
        <v>76</v>
      </c>
      <c r="H324" t="s">
        <v>70</v>
      </c>
      <c r="I324" t="s">
        <v>8</v>
      </c>
      <c r="J324" t="s">
        <v>139</v>
      </c>
      <c r="K324" t="s">
        <v>69</v>
      </c>
      <c r="L324">
        <v>200</v>
      </c>
      <c r="M324" t="s">
        <v>13</v>
      </c>
      <c r="O324" t="s">
        <v>19</v>
      </c>
      <c r="P324" t="s">
        <v>79</v>
      </c>
      <c r="Q324" t="s">
        <v>33</v>
      </c>
    </row>
    <row r="325" spans="1:18" x14ac:dyDescent="0.2">
      <c r="A325" s="43" t="s">
        <v>989</v>
      </c>
      <c r="B325" t="s">
        <v>24</v>
      </c>
      <c r="C325">
        <v>2020</v>
      </c>
      <c r="D325" t="s">
        <v>1003</v>
      </c>
      <c r="E325" t="s">
        <v>865</v>
      </c>
      <c r="F325" t="s">
        <v>92</v>
      </c>
      <c r="G325" t="s">
        <v>76</v>
      </c>
      <c r="H325" t="s">
        <v>232</v>
      </c>
      <c r="I325" t="s">
        <v>71</v>
      </c>
      <c r="J325" t="s">
        <v>139</v>
      </c>
      <c r="K325" t="s">
        <v>69</v>
      </c>
      <c r="L325">
        <v>200</v>
      </c>
      <c r="M325" t="s">
        <v>13</v>
      </c>
      <c r="O325" t="s">
        <v>19</v>
      </c>
      <c r="P325" t="s">
        <v>79</v>
      </c>
      <c r="Q325" t="s">
        <v>33</v>
      </c>
    </row>
    <row r="326" spans="1:18" x14ac:dyDescent="0.2">
      <c r="A326" s="43" t="s">
        <v>990</v>
      </c>
      <c r="B326" t="s">
        <v>24</v>
      </c>
      <c r="C326">
        <v>2020</v>
      </c>
      <c r="D326" t="s">
        <v>1003</v>
      </c>
      <c r="E326" t="s">
        <v>865</v>
      </c>
      <c r="F326" t="s">
        <v>92</v>
      </c>
      <c r="G326" t="s">
        <v>76</v>
      </c>
      <c r="H326" t="s">
        <v>232</v>
      </c>
      <c r="I326" t="s">
        <v>72</v>
      </c>
      <c r="J326" t="s">
        <v>139</v>
      </c>
      <c r="K326" t="s">
        <v>69</v>
      </c>
      <c r="L326">
        <v>200</v>
      </c>
      <c r="M326" t="s">
        <v>13</v>
      </c>
      <c r="O326" t="s">
        <v>19</v>
      </c>
      <c r="P326" t="s">
        <v>79</v>
      </c>
      <c r="Q326" t="s">
        <v>33</v>
      </c>
    </row>
    <row r="327" spans="1:18" x14ac:dyDescent="0.2">
      <c r="A327" s="43" t="s">
        <v>991</v>
      </c>
      <c r="B327" t="s">
        <v>24</v>
      </c>
      <c r="C327">
        <v>2020</v>
      </c>
      <c r="D327" t="s">
        <v>1003</v>
      </c>
      <c r="E327" t="s">
        <v>865</v>
      </c>
      <c r="F327" t="s">
        <v>92</v>
      </c>
      <c r="G327" t="s">
        <v>76</v>
      </c>
      <c r="H327" t="s">
        <v>70</v>
      </c>
      <c r="I327" t="s">
        <v>8</v>
      </c>
      <c r="J327" t="s">
        <v>139</v>
      </c>
      <c r="K327" t="s">
        <v>68</v>
      </c>
      <c r="L327">
        <v>500</v>
      </c>
      <c r="M327" t="s">
        <v>13</v>
      </c>
      <c r="O327" t="s">
        <v>21</v>
      </c>
      <c r="P327" t="s">
        <v>79</v>
      </c>
      <c r="Q327" t="s">
        <v>33</v>
      </c>
    </row>
    <row r="328" spans="1:18" x14ac:dyDescent="0.2">
      <c r="A328" s="43" t="s">
        <v>992</v>
      </c>
      <c r="B328" t="s">
        <v>24</v>
      </c>
      <c r="C328">
        <v>2020</v>
      </c>
      <c r="D328" t="s">
        <v>1003</v>
      </c>
      <c r="E328" t="s">
        <v>865</v>
      </c>
      <c r="F328" t="s">
        <v>92</v>
      </c>
      <c r="G328" t="s">
        <v>76</v>
      </c>
      <c r="H328" t="s">
        <v>232</v>
      </c>
      <c r="I328" t="s">
        <v>71</v>
      </c>
      <c r="J328" t="s">
        <v>139</v>
      </c>
      <c r="K328" t="s">
        <v>68</v>
      </c>
      <c r="L328">
        <v>500</v>
      </c>
      <c r="M328" t="s">
        <v>13</v>
      </c>
      <c r="O328" t="s">
        <v>21</v>
      </c>
      <c r="P328" t="s">
        <v>79</v>
      </c>
      <c r="Q328" t="s">
        <v>33</v>
      </c>
    </row>
    <row r="329" spans="1:18" x14ac:dyDescent="0.2">
      <c r="A329" s="43" t="s">
        <v>993</v>
      </c>
      <c r="B329" t="s">
        <v>24</v>
      </c>
      <c r="C329">
        <v>2020</v>
      </c>
      <c r="D329" t="s">
        <v>1003</v>
      </c>
      <c r="E329" t="s">
        <v>865</v>
      </c>
      <c r="F329" t="s">
        <v>92</v>
      </c>
      <c r="G329" t="s">
        <v>76</v>
      </c>
      <c r="H329" t="s">
        <v>232</v>
      </c>
      <c r="I329" t="s">
        <v>72</v>
      </c>
      <c r="J329" t="s">
        <v>139</v>
      </c>
      <c r="K329" t="s">
        <v>68</v>
      </c>
      <c r="L329">
        <v>500</v>
      </c>
      <c r="M329" t="s">
        <v>13</v>
      </c>
      <c r="O329" t="s">
        <v>21</v>
      </c>
      <c r="P329" t="s">
        <v>79</v>
      </c>
      <c r="Q329" t="s">
        <v>33</v>
      </c>
    </row>
    <row r="330" spans="1:18" x14ac:dyDescent="0.2">
      <c r="A330" s="43" t="s">
        <v>994</v>
      </c>
      <c r="B330" t="s">
        <v>24</v>
      </c>
      <c r="C330">
        <v>2020</v>
      </c>
      <c r="D330" t="s">
        <v>1003</v>
      </c>
      <c r="E330" t="s">
        <v>865</v>
      </c>
      <c r="F330" t="s">
        <v>92</v>
      </c>
      <c r="G330" t="s">
        <v>76</v>
      </c>
      <c r="H330" t="s">
        <v>70</v>
      </c>
      <c r="I330" t="s">
        <v>8</v>
      </c>
      <c r="J330" t="s">
        <v>139</v>
      </c>
      <c r="K330" t="s">
        <v>69</v>
      </c>
      <c r="L330">
        <v>200</v>
      </c>
      <c r="M330" t="s">
        <v>13</v>
      </c>
      <c r="O330" t="s">
        <v>21</v>
      </c>
      <c r="P330" t="s">
        <v>79</v>
      </c>
      <c r="Q330" t="s">
        <v>33</v>
      </c>
    </row>
    <row r="331" spans="1:18" x14ac:dyDescent="0.2">
      <c r="A331" s="43" t="s">
        <v>995</v>
      </c>
      <c r="B331" t="s">
        <v>24</v>
      </c>
      <c r="C331">
        <v>2020</v>
      </c>
      <c r="D331" t="s">
        <v>1003</v>
      </c>
      <c r="E331" t="s">
        <v>865</v>
      </c>
      <c r="F331" t="s">
        <v>92</v>
      </c>
      <c r="G331" t="s">
        <v>76</v>
      </c>
      <c r="H331" t="s">
        <v>232</v>
      </c>
      <c r="I331" t="s">
        <v>71</v>
      </c>
      <c r="J331" t="s">
        <v>139</v>
      </c>
      <c r="K331" t="s">
        <v>69</v>
      </c>
      <c r="L331">
        <v>200</v>
      </c>
      <c r="M331" t="s">
        <v>13</v>
      </c>
      <c r="O331" t="s">
        <v>21</v>
      </c>
      <c r="P331" t="s">
        <v>79</v>
      </c>
      <c r="Q331" t="s">
        <v>33</v>
      </c>
    </row>
    <row r="332" spans="1:18" x14ac:dyDescent="0.2">
      <c r="A332" s="43" t="s">
        <v>996</v>
      </c>
      <c r="B332" t="s">
        <v>24</v>
      </c>
      <c r="C332">
        <v>2020</v>
      </c>
      <c r="D332" t="s">
        <v>1003</v>
      </c>
      <c r="E332" t="s">
        <v>865</v>
      </c>
      <c r="F332" t="s">
        <v>92</v>
      </c>
      <c r="G332" t="s">
        <v>76</v>
      </c>
      <c r="H332" t="s">
        <v>232</v>
      </c>
      <c r="I332" t="s">
        <v>72</v>
      </c>
      <c r="J332" t="s">
        <v>139</v>
      </c>
      <c r="K332" t="s">
        <v>69</v>
      </c>
      <c r="L332">
        <v>200</v>
      </c>
      <c r="M332" t="s">
        <v>13</v>
      </c>
      <c r="O332" t="s">
        <v>21</v>
      </c>
      <c r="P332" t="s">
        <v>79</v>
      </c>
      <c r="Q332" t="s">
        <v>33</v>
      </c>
    </row>
    <row r="333" spans="1:18" x14ac:dyDescent="0.2">
      <c r="A333" s="43" t="s">
        <v>997</v>
      </c>
      <c r="B333" t="s">
        <v>24</v>
      </c>
      <c r="C333">
        <v>2020</v>
      </c>
      <c r="D333" t="s">
        <v>1003</v>
      </c>
      <c r="E333" t="s">
        <v>865</v>
      </c>
      <c r="F333" t="s">
        <v>92</v>
      </c>
      <c r="G333" t="s">
        <v>77</v>
      </c>
      <c r="H333" t="s">
        <v>70</v>
      </c>
      <c r="I333" t="s">
        <v>8</v>
      </c>
      <c r="J333" t="s">
        <v>139</v>
      </c>
      <c r="K333" t="s">
        <v>69</v>
      </c>
      <c r="L333">
        <v>200</v>
      </c>
      <c r="M333" t="s">
        <v>28</v>
      </c>
      <c r="N333" t="s">
        <v>1160</v>
      </c>
      <c r="O333" t="s">
        <v>17</v>
      </c>
      <c r="P333" t="s">
        <v>233</v>
      </c>
      <c r="Q333" t="s">
        <v>234</v>
      </c>
      <c r="R333" t="s">
        <v>30</v>
      </c>
    </row>
    <row r="334" spans="1:18" x14ac:dyDescent="0.2">
      <c r="A334" s="43" t="s">
        <v>998</v>
      </c>
      <c r="B334" t="s">
        <v>24</v>
      </c>
      <c r="C334">
        <v>2020</v>
      </c>
      <c r="D334" t="s">
        <v>1003</v>
      </c>
      <c r="E334" t="s">
        <v>865</v>
      </c>
      <c r="F334" t="s">
        <v>92</v>
      </c>
      <c r="G334" t="s">
        <v>77</v>
      </c>
      <c r="H334" t="s">
        <v>70</v>
      </c>
      <c r="I334" t="s">
        <v>8</v>
      </c>
      <c r="J334" t="s">
        <v>139</v>
      </c>
      <c r="K334" t="s">
        <v>69</v>
      </c>
      <c r="L334">
        <v>200</v>
      </c>
      <c r="M334" t="s">
        <v>28</v>
      </c>
      <c r="N334" t="s">
        <v>1160</v>
      </c>
      <c r="O334" t="s">
        <v>17</v>
      </c>
      <c r="P334" t="s">
        <v>233</v>
      </c>
      <c r="Q334" t="s">
        <v>234</v>
      </c>
      <c r="R334" t="s">
        <v>31</v>
      </c>
    </row>
    <row r="335" spans="1:18" x14ac:dyDescent="0.2">
      <c r="A335" s="43" t="s">
        <v>999</v>
      </c>
      <c r="B335" t="s">
        <v>24</v>
      </c>
      <c r="C335">
        <v>2020</v>
      </c>
      <c r="D335" t="s">
        <v>1003</v>
      </c>
      <c r="E335" t="s">
        <v>865</v>
      </c>
      <c r="F335" t="s">
        <v>92</v>
      </c>
      <c r="G335" t="s">
        <v>77</v>
      </c>
      <c r="H335" t="s">
        <v>70</v>
      </c>
      <c r="I335" t="s">
        <v>8</v>
      </c>
      <c r="J335" t="s">
        <v>139</v>
      </c>
      <c r="K335" t="s">
        <v>69</v>
      </c>
      <c r="L335">
        <v>200</v>
      </c>
      <c r="M335" t="s">
        <v>28</v>
      </c>
      <c r="N335" t="s">
        <v>1160</v>
      </c>
      <c r="O335" t="s">
        <v>17</v>
      </c>
      <c r="P335" t="s">
        <v>233</v>
      </c>
      <c r="Q335" t="s">
        <v>234</v>
      </c>
      <c r="R335" t="s">
        <v>32</v>
      </c>
    </row>
    <row r="336" spans="1:18" x14ac:dyDescent="0.2">
      <c r="A336" s="43" t="s">
        <v>1000</v>
      </c>
      <c r="B336" t="s">
        <v>24</v>
      </c>
      <c r="C336">
        <v>2020</v>
      </c>
      <c r="D336" t="s">
        <v>1003</v>
      </c>
      <c r="E336" t="s">
        <v>865</v>
      </c>
      <c r="F336" t="s">
        <v>92</v>
      </c>
      <c r="G336" t="s">
        <v>77</v>
      </c>
      <c r="H336" t="s">
        <v>232</v>
      </c>
      <c r="I336" t="s">
        <v>73</v>
      </c>
      <c r="J336" t="s">
        <v>139</v>
      </c>
      <c r="K336" t="s">
        <v>69</v>
      </c>
      <c r="L336">
        <v>200</v>
      </c>
      <c r="M336" t="s">
        <v>28</v>
      </c>
      <c r="N336" t="s">
        <v>1160</v>
      </c>
      <c r="O336" t="s">
        <v>17</v>
      </c>
      <c r="P336" t="s">
        <v>233</v>
      </c>
      <c r="Q336" t="s">
        <v>234</v>
      </c>
      <c r="R336" t="s">
        <v>30</v>
      </c>
    </row>
    <row r="337" spans="1:18" x14ac:dyDescent="0.2">
      <c r="A337" s="43" t="s">
        <v>1001</v>
      </c>
      <c r="B337" t="s">
        <v>24</v>
      </c>
      <c r="C337">
        <v>2020</v>
      </c>
      <c r="D337" t="s">
        <v>1003</v>
      </c>
      <c r="E337" t="s">
        <v>865</v>
      </c>
      <c r="F337" t="s">
        <v>92</v>
      </c>
      <c r="G337" t="s">
        <v>77</v>
      </c>
      <c r="H337" t="s">
        <v>232</v>
      </c>
      <c r="I337" t="s">
        <v>73</v>
      </c>
      <c r="J337" t="s">
        <v>139</v>
      </c>
      <c r="K337" t="s">
        <v>69</v>
      </c>
      <c r="L337">
        <v>200</v>
      </c>
      <c r="M337" t="s">
        <v>28</v>
      </c>
      <c r="N337" t="s">
        <v>1160</v>
      </c>
      <c r="O337" t="s">
        <v>17</v>
      </c>
      <c r="P337" t="s">
        <v>233</v>
      </c>
      <c r="Q337" t="s">
        <v>234</v>
      </c>
      <c r="R337" t="s">
        <v>31</v>
      </c>
    </row>
    <row r="338" spans="1:18" x14ac:dyDescent="0.2">
      <c r="A338" s="43" t="s">
        <v>1002</v>
      </c>
      <c r="B338" t="s">
        <v>24</v>
      </c>
      <c r="C338">
        <v>2020</v>
      </c>
      <c r="D338" t="s">
        <v>1003</v>
      </c>
      <c r="E338" t="s">
        <v>865</v>
      </c>
      <c r="F338" t="s">
        <v>92</v>
      </c>
      <c r="G338" t="s">
        <v>77</v>
      </c>
      <c r="H338" t="s">
        <v>232</v>
      </c>
      <c r="I338" t="s">
        <v>73</v>
      </c>
      <c r="J338" t="s">
        <v>139</v>
      </c>
      <c r="K338" t="s">
        <v>69</v>
      </c>
      <c r="L338">
        <v>200</v>
      </c>
      <c r="M338" t="s">
        <v>28</v>
      </c>
      <c r="N338" t="s">
        <v>1160</v>
      </c>
      <c r="O338" t="s">
        <v>17</v>
      </c>
      <c r="P338" t="s">
        <v>233</v>
      </c>
      <c r="Q338" t="s">
        <v>234</v>
      </c>
      <c r="R338" t="s">
        <v>32</v>
      </c>
    </row>
  </sheetData>
  <autoFilter ref="A3:S338" xr:uid="{C8DC9AF4-0D80-154A-8588-E04704CB5E1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72A00-3524-1347-94AD-33CAB616701C}">
  <dimension ref="A1:V1456"/>
  <sheetViews>
    <sheetView topLeftCell="A357" workbookViewId="0">
      <selection activeCell="C15" sqref="C15"/>
    </sheetView>
  </sheetViews>
  <sheetFormatPr baseColWidth="10" defaultRowHeight="16" x14ac:dyDescent="0.2"/>
  <cols>
    <col min="1" max="1" width="88.6640625" customWidth="1"/>
    <col min="2" max="2" width="12.1640625" bestFit="1" customWidth="1"/>
    <col min="5" max="5" width="12.1640625" bestFit="1" customWidth="1"/>
    <col min="6" max="6" width="13.6640625" bestFit="1" customWidth="1"/>
    <col min="9" max="9" width="72.1640625" customWidth="1"/>
    <col min="10" max="10" width="28" customWidth="1"/>
    <col min="11" max="11" width="39.5" customWidth="1"/>
  </cols>
  <sheetData>
    <row r="1" spans="1:2" x14ac:dyDescent="0.2">
      <c r="A1" t="s">
        <v>49</v>
      </c>
      <c r="B1" s="45" t="s">
        <v>661</v>
      </c>
    </row>
    <row r="3" spans="1:2" x14ac:dyDescent="0.2">
      <c r="A3" s="2" t="s">
        <v>50</v>
      </c>
      <c r="B3" s="44" t="str">
        <f>"hydrogen supply, transported by "&amp;B14&amp;", produced by "&amp;B18&amp;" using "&amp;B19&amp;" from "&amp;B20</f>
        <v>hydrogen supply, transported by pipeline, produced by Electrolysis, Alkaline using water and electricity from grid</v>
      </c>
    </row>
    <row r="4" spans="1:2" x14ac:dyDescent="0.2">
      <c r="A4" t="s">
        <v>51</v>
      </c>
      <c r="B4" s="45" t="str">
        <f>"This dataset represents the supply of 1 kilogram of hydrogen. The hydrogen is transported by "&amp;B14&amp;" over "&amp;B15&amp;" km from regional storage. "&amp;" The "&amp;B13&amp;" is produced by  "&amp;B18&amp;", with "&amp;B19&amp;" from "&amp;B20&amp;" as feedstock. "&amp;A22&amp;": "&amp;(B22*100)&amp;"%. "&amp;A23&amp;": "&amp;(B23*100)&amp;".  For more information, refer to: "&amp;B5</f>
        <v>This dataset represents the supply of 1 kilogram of hydrogen. The hydrogen is transported by pipeline over 500 km from regional storage.  The hydrogen is produced by  Electrolysis, Alkaline,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5" spans="1:2" x14ac:dyDescent="0.2">
      <c r="A5" t="s">
        <v>63</v>
      </c>
      <c r="B5" s="45" t="s">
        <v>1223</v>
      </c>
    </row>
    <row r="6" spans="1:2" x14ac:dyDescent="0.2">
      <c r="A6" t="s">
        <v>52</v>
      </c>
      <c r="B6" s="45" t="s">
        <v>64</v>
      </c>
    </row>
    <row r="7" spans="1:2" x14ac:dyDescent="0.2">
      <c r="A7" t="s">
        <v>48</v>
      </c>
      <c r="B7" s="45">
        <v>1</v>
      </c>
    </row>
    <row r="8" spans="1:2" x14ac:dyDescent="0.2">
      <c r="A8" t="s">
        <v>54</v>
      </c>
      <c r="B8" s="45" t="s">
        <v>1129</v>
      </c>
    </row>
    <row r="9" spans="1:2" x14ac:dyDescent="0.2">
      <c r="A9" t="s">
        <v>55</v>
      </c>
      <c r="B9" s="45" t="s">
        <v>56</v>
      </c>
    </row>
    <row r="10" spans="1:2" x14ac:dyDescent="0.2">
      <c r="A10" t="s">
        <v>0</v>
      </c>
      <c r="B10" s="45" t="str">
        <f>INDEX(overview!$B$4:$R$338,MATCH('hydrogen - supply'!B7,overview!$A$4:$A$338,0),MATCH('hydrogen - supply'!A10,overview!$B$3:$R$3,0))</f>
        <v>Switzerland</v>
      </c>
    </row>
    <row r="11" spans="1:2" x14ac:dyDescent="0.2">
      <c r="A11" t="s">
        <v>1</v>
      </c>
      <c r="B11" s="45">
        <f>INDEX(overview!$B$4:$R$338,MATCH('hydrogen - supply'!B7,overview!$A$4:$A$338,0),MATCH('hydrogen - supply'!A11,overview!$B$3:$R$3,0))</f>
        <v>2020</v>
      </c>
    </row>
    <row r="12" spans="1:2" x14ac:dyDescent="0.2">
      <c r="A12" t="s">
        <v>2</v>
      </c>
      <c r="B12" s="45" t="s">
        <v>1130</v>
      </c>
    </row>
    <row r="13" spans="1:2" x14ac:dyDescent="0.2">
      <c r="A13" t="s">
        <v>5</v>
      </c>
      <c r="B13" s="45" t="str">
        <f>INDEX(overview!$B$4:$R$338,MATCH('hydrogen - supply'!B7,overview!$A$4:$A$338,0),MATCH('hydrogen - supply'!A13,overview!$B$3:$R$3,0))</f>
        <v>hydrogen</v>
      </c>
    </row>
    <row r="14" spans="1:2" x14ac:dyDescent="0.2">
      <c r="A14" t="s">
        <v>4</v>
      </c>
      <c r="B14" s="45" t="str">
        <f>INDEX(overview!$B$4:$R$338,MATCH('hydrogen - supply'!B7,overview!$A$4:$A$338,0),MATCH('hydrogen - supply'!A14,overview!$B$3:$R$3,0))</f>
        <v>pipeline</v>
      </c>
    </row>
    <row r="15" spans="1:2" x14ac:dyDescent="0.2">
      <c r="A15" t="s">
        <v>38</v>
      </c>
      <c r="B15" s="45">
        <f>INDEX(overview!$B$4:$R$338,MATCH('hydrogen - supply'!B7,overview!$A$4:$A$338,0),MATCH('hydrogen - supply'!A15,overview!$B$3:$R$3,0))</f>
        <v>500</v>
      </c>
    </row>
    <row r="16" spans="1:2" x14ac:dyDescent="0.2">
      <c r="A16" t="s">
        <v>12</v>
      </c>
      <c r="B16" s="45" t="str">
        <f>INDEX(overview!$B$4:$R$338,MATCH('hydrogen - supply'!B7,overview!$A$4:$A$338,0),MATCH('hydrogen - supply'!A16,overview!$B$3:$R$3,0))</f>
        <v>Pressure vessel for stationary storage</v>
      </c>
    </row>
    <row r="17" spans="1:22" x14ac:dyDescent="0.2">
      <c r="A17" t="s">
        <v>34</v>
      </c>
      <c r="B17" s="45">
        <f>INDEX(overview!$B$4:$R$338,MATCH('hydrogen - supply'!B7,overview!$A$4:$A$338,0),MATCH('hydrogen - supply'!A17,overview!$B$3:$R$3,0))</f>
        <v>0</v>
      </c>
      <c r="F17" s="59"/>
    </row>
    <row r="18" spans="1:22" x14ac:dyDescent="0.2">
      <c r="A18" t="s">
        <v>15</v>
      </c>
      <c r="B18" s="45" t="str">
        <f>INDEX(overview!$B$4:$R$338,MATCH('hydrogen - supply'!B7,overview!$A$4:$A$338,0),MATCH('hydrogen - supply'!A18,overview!$B$3:$R$3,0))</f>
        <v>Electrolysis, Alkaline</v>
      </c>
    </row>
    <row r="19" spans="1:22" x14ac:dyDescent="0.2">
      <c r="A19" t="s">
        <v>14</v>
      </c>
      <c r="B19" s="45" t="str">
        <f>INDEX(overview!$B$4:$R$338,MATCH('hydrogen - supply'!B7,overview!$A$4:$A$338,0),MATCH('hydrogen - supply'!A19,overview!$B$3:$R$3,0))</f>
        <v>water and electricity</v>
      </c>
    </row>
    <row r="20" spans="1:22" x14ac:dyDescent="0.2">
      <c r="A20" t="s">
        <v>26</v>
      </c>
      <c r="B20" s="45" t="str">
        <f>INDEX(overview!$B$4:$R$338,MATCH('hydrogen - supply'!B7,overview!$A$4:$A$338,0),MATCH('hydrogen - supply'!A20,overview!$B$3:$R$3,0))</f>
        <v>grid</v>
      </c>
    </row>
    <row r="21" spans="1:22" x14ac:dyDescent="0.2">
      <c r="A21" t="s">
        <v>29</v>
      </c>
      <c r="B21" s="45">
        <f>INDEX(overview!$B$4:$R$338,MATCH('hydrogen - supply'!B7,overview!$A$4:$A$338,0),MATCH('hydrogen - supply'!A21,overview!$B$3:$R$3,0))</f>
        <v>0</v>
      </c>
    </row>
    <row r="22" spans="1:22" x14ac:dyDescent="0.2">
      <c r="A22" t="s">
        <v>45</v>
      </c>
      <c r="B22" s="66">
        <f>VLOOKUP(B14,parameters!$A$94:$C$96,2,0)</f>
        <v>0.01</v>
      </c>
    </row>
    <row r="23" spans="1:22" x14ac:dyDescent="0.2">
      <c r="A23" t="s">
        <v>1133</v>
      </c>
      <c r="B23" s="49">
        <f>VLOOKUP(B14,parameters!$A$94:$D$96,3,0)</f>
        <v>2.3E-2</v>
      </c>
    </row>
    <row r="24" spans="1:22" x14ac:dyDescent="0.2">
      <c r="B24" s="45"/>
    </row>
    <row r="25" spans="1:22" x14ac:dyDescent="0.2">
      <c r="A25" s="3" t="s">
        <v>57</v>
      </c>
      <c r="B25" s="45"/>
    </row>
    <row r="26" spans="1:22" x14ac:dyDescent="0.2">
      <c r="A26" s="2" t="s">
        <v>58</v>
      </c>
      <c r="B26" s="44" t="s">
        <v>59</v>
      </c>
      <c r="C26" s="2" t="s">
        <v>55</v>
      </c>
      <c r="D26" s="2" t="s">
        <v>60</v>
      </c>
      <c r="E26" s="2" t="s">
        <v>52</v>
      </c>
      <c r="F26" s="2" t="s">
        <v>61</v>
      </c>
      <c r="G26" s="2" t="s">
        <v>54</v>
      </c>
      <c r="H26" s="2" t="s">
        <v>87</v>
      </c>
      <c r="I26" s="2" t="s">
        <v>51</v>
      </c>
      <c r="J26" s="2" t="s">
        <v>138</v>
      </c>
      <c r="K26" s="2" t="s">
        <v>136</v>
      </c>
      <c r="L26" s="2" t="s">
        <v>221</v>
      </c>
      <c r="M26" s="2" t="s">
        <v>379</v>
      </c>
      <c r="N26" s="2" t="s">
        <v>1059</v>
      </c>
      <c r="O26" s="2" t="s">
        <v>1060</v>
      </c>
      <c r="P26" s="2" t="s">
        <v>1061</v>
      </c>
      <c r="Q26" s="2" t="s">
        <v>1062</v>
      </c>
      <c r="R26" s="2" t="s">
        <v>1063</v>
      </c>
      <c r="S26" s="2" t="s">
        <v>1064</v>
      </c>
      <c r="T26" s="2" t="s">
        <v>1065</v>
      </c>
      <c r="U26" s="2" t="s">
        <v>380</v>
      </c>
      <c r="V26" s="2" t="s">
        <v>1128</v>
      </c>
    </row>
    <row r="27" spans="1:22" x14ac:dyDescent="0.2">
      <c r="A27" t="str">
        <f>B3</f>
        <v>hydrogen supply, transported by pipeline, produced by Electrolysis, Alkaline using water and electricity from grid</v>
      </c>
      <c r="B27" s="45">
        <v>1</v>
      </c>
      <c r="C27" t="str">
        <f>B9</f>
        <v>kilogram</v>
      </c>
      <c r="E27" t="str">
        <f>B6</f>
        <v>CH</v>
      </c>
      <c r="F27" t="s">
        <v>62</v>
      </c>
      <c r="G27" t="str">
        <f>B8</f>
        <v>hydrogen, gaseous, from pipeline</v>
      </c>
      <c r="K27" t="str">
        <f>B3</f>
        <v>hydrogen supply, transported by pipeline, produced by Electrolysis, Alkaline using water and electricity from grid</v>
      </c>
    </row>
    <row r="28" spans="1:22" x14ac:dyDescent="0.2">
      <c r="A28" t="str">
        <f>VLOOKUP(J28,'dataset mapping'!$A$4:$E$69,2,0)</f>
        <v>hydrogen production, gaseous, 30 bar, from AEC electrolysis, from grid electricity</v>
      </c>
      <c r="B28" s="53">
        <v>1</v>
      </c>
      <c r="C28" t="str">
        <f>VLOOKUP(J28,'dataset mapping'!$A$4:$E$69,5,0)</f>
        <v>kilogram</v>
      </c>
      <c r="E28" t="str">
        <f>VLOOKUP(J28,'dataset mapping'!$A$4:$E$69,4,0)</f>
        <v>CH</v>
      </c>
      <c r="F28" t="s">
        <v>86</v>
      </c>
      <c r="G28" t="str">
        <f>VLOOKUP(J28,'dataset mapping'!$A$4:$E$69,3,0)</f>
        <v>hydrogen, gaseous, 30 bar</v>
      </c>
      <c r="H28" t="s">
        <v>76</v>
      </c>
      <c r="I28" t="s">
        <v>1054</v>
      </c>
      <c r="J28" t="s">
        <v>231</v>
      </c>
      <c r="K28" t="str">
        <f>B3</f>
        <v>hydrogen supply, transported by pipeline, produced by Electrolysis, Alkaline using water and electricity from grid</v>
      </c>
      <c r="L28">
        <f t="shared" ref="L28:L35" si="0">IF(OR(B28&lt;0,B28=0),1,2)</f>
        <v>2</v>
      </c>
      <c r="M28">
        <f t="shared" ref="M28:M35" si="1">IF(L28=2,LN(B28),"")</f>
        <v>0</v>
      </c>
      <c r="N28">
        <v>1.5</v>
      </c>
      <c r="O28" s="15">
        <v>1.2</v>
      </c>
      <c r="P28">
        <v>1.5</v>
      </c>
      <c r="Q28">
        <v>1.1000000000000001</v>
      </c>
      <c r="R28">
        <v>2</v>
      </c>
      <c r="S28">
        <v>1.2</v>
      </c>
      <c r="T28">
        <v>1.05</v>
      </c>
      <c r="U28">
        <f t="shared" ref="U28:U35" si="2">LN(SQRT(EXP(
SQRT(
+POWER(LN(N28),2)
+POWER(LN(O28),2)
+POWER(LN(P28),2)
+POWER(LN(Q28),2)
+POWER(LN(R28),2)
+POWER(LN(S28),2)
+POWER(LN(T28),2)
)
)))</f>
        <v>0.47095746419981693</v>
      </c>
    </row>
    <row r="29" spans="1:22" x14ac:dyDescent="0.2">
      <c r="A29" t="str">
        <f>VLOOKUP(J29,'dataset mapping'!$A$4:$E$69,2,0)</f>
        <v>hydrogen production, gaseous, 30 bar, from AEC electrolysis, from grid electricity</v>
      </c>
      <c r="B29" s="53">
        <f>(B28*B22)+(B23*B28)</f>
        <v>3.3000000000000002E-2</v>
      </c>
      <c r="C29" t="str">
        <f>VLOOKUP(J29,'dataset mapping'!$A$4:$E$69,5,0)</f>
        <v>kilogram</v>
      </c>
      <c r="E29" t="str">
        <f>VLOOKUP(J29,'dataset mapping'!$A$4:$E$69,4,0)</f>
        <v>CH</v>
      </c>
      <c r="F29" t="s">
        <v>86</v>
      </c>
      <c r="G29" t="str">
        <f>VLOOKUP(J29,'dataset mapping'!$A$4:$E$69,3,0)</f>
        <v>hydrogen, gaseous, 30 bar</v>
      </c>
      <c r="H29" t="s">
        <v>76</v>
      </c>
      <c r="I29" t="s">
        <v>1054</v>
      </c>
      <c r="J29" t="s">
        <v>231</v>
      </c>
      <c r="K29" t="str">
        <f>B4</f>
        <v>This dataset represents the supply of 1 kilogram of hydrogen. The hydrogen is transported by pipeline over 500 km from regional storage.  The hydrogen is produced by  Electrolysis, Alkaline,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29">
        <f t="shared" si="0"/>
        <v>2</v>
      </c>
      <c r="M29">
        <f t="shared" si="1"/>
        <v>-3.4112477175156566</v>
      </c>
      <c r="N29">
        <v>1.5</v>
      </c>
      <c r="O29" s="15">
        <v>1.2</v>
      </c>
      <c r="P29">
        <v>1.5</v>
      </c>
      <c r="Q29">
        <v>1.1000000000000001</v>
      </c>
      <c r="R29">
        <v>2</v>
      </c>
      <c r="S29">
        <v>1.2</v>
      </c>
      <c r="T29">
        <v>1.05</v>
      </c>
      <c r="U29">
        <f t="shared" si="2"/>
        <v>0.47095746419981693</v>
      </c>
    </row>
    <row r="30" spans="1:22" x14ac:dyDescent="0.2">
      <c r="A30" t="str">
        <f>VLOOKUP(J30,'dataset mapping'!$A$4:$E$69,2,0)</f>
        <v>distribution pipeline for hydrogen, dedicated hydrogen pipeline</v>
      </c>
      <c r="B30" s="45">
        <f>0.000000000265*SUM(B28:B29)*B15*0.86</f>
        <v>1.1771035E-7</v>
      </c>
      <c r="C30" t="str">
        <f>VLOOKUP(J30,'dataset mapping'!$A$4:$E$69,5,0)</f>
        <v>kilometer</v>
      </c>
      <c r="E30" t="str">
        <f>VLOOKUP(J30,'dataset mapping'!$A$4:$E$69,4,0)</f>
        <v>CH</v>
      </c>
      <c r="F30" t="s">
        <v>86</v>
      </c>
      <c r="G30" t="str">
        <f>VLOOKUP(J30,'dataset mapping'!$A$4:$E$69,3,0)</f>
        <v>pipeline, for hydrogen distribution</v>
      </c>
      <c r="H30" t="s">
        <v>88</v>
      </c>
      <c r="I30" t="s">
        <v>1158</v>
      </c>
      <c r="J30" t="s">
        <v>218</v>
      </c>
      <c r="K30" t="str">
        <f>B3</f>
        <v>hydrogen supply, transported by pipeline, produced by Electrolysis, Alkaline using water and electricity from grid</v>
      </c>
      <c r="L30">
        <f t="shared" si="0"/>
        <v>2</v>
      </c>
      <c r="M30">
        <f t="shared" si="1"/>
        <v>-15.955038891117216</v>
      </c>
      <c r="N30">
        <v>1.5</v>
      </c>
      <c r="O30" s="15">
        <v>1.2</v>
      </c>
      <c r="P30">
        <v>1.5</v>
      </c>
      <c r="Q30">
        <v>1.1000000000000001</v>
      </c>
      <c r="R30">
        <v>2</v>
      </c>
      <c r="S30">
        <v>1.2</v>
      </c>
      <c r="T30">
        <v>3</v>
      </c>
      <c r="U30">
        <f t="shared" si="2"/>
        <v>0.72314801614797197</v>
      </c>
    </row>
    <row r="31" spans="1:22" x14ac:dyDescent="0.2">
      <c r="A31" t="str">
        <f>VLOOKUP(J31,'dataset mapping'!$A$4:$E$69,2,0)</f>
        <v>transmission pipeline for hydrogen, dedicated hydrogen pipeline</v>
      </c>
      <c r="B31" s="45">
        <f>0.000000000265*SUM(B28:B29)*B15*0.14</f>
        <v>1.9162150000000001E-8</v>
      </c>
      <c r="C31" t="str">
        <f>VLOOKUP(J31,'dataset mapping'!$A$4:$E$69,5,0)</f>
        <v>kilometer</v>
      </c>
      <c r="E31" t="str">
        <f>VLOOKUP(J31,'dataset mapping'!$A$4:$E$69,4,0)</f>
        <v>CH</v>
      </c>
      <c r="F31" t="s">
        <v>86</v>
      </c>
      <c r="G31" t="str">
        <f>VLOOKUP(J31,'dataset mapping'!$A$4:$E$69,3,0)</f>
        <v>pipeline, for hydrogen transmission</v>
      </c>
      <c r="H31" t="s">
        <v>88</v>
      </c>
      <c r="I31" t="s">
        <v>1052</v>
      </c>
      <c r="J31" t="s">
        <v>219</v>
      </c>
      <c r="K31" t="str">
        <f>B3</f>
        <v>hydrogen supply, transported by pipeline, produced by Electrolysis, Alkaline using water and electricity from grid</v>
      </c>
      <c r="L31">
        <f t="shared" si="0"/>
        <v>2</v>
      </c>
      <c r="M31">
        <f t="shared" si="1"/>
        <v>-17.770328857755466</v>
      </c>
      <c r="N31">
        <v>1.5</v>
      </c>
      <c r="O31" s="15">
        <v>1.2</v>
      </c>
      <c r="P31">
        <v>1.5</v>
      </c>
      <c r="Q31">
        <v>1.1000000000000001</v>
      </c>
      <c r="R31">
        <v>2</v>
      </c>
      <c r="S31">
        <v>1.2</v>
      </c>
      <c r="T31">
        <v>3</v>
      </c>
      <c r="U31">
        <f t="shared" si="2"/>
        <v>0.72314801614797197</v>
      </c>
    </row>
    <row r="32" spans="1:22" x14ac:dyDescent="0.2">
      <c r="A32" t="s">
        <v>1038</v>
      </c>
      <c r="B32" s="53">
        <f>SUM(B28:B29)</f>
        <v>1.0329999999999999</v>
      </c>
      <c r="C32" t="str">
        <f>VLOOKUP(J32,'dataset mapping'!$A$4:$E$69,5,0)</f>
        <v>kilogram</v>
      </c>
      <c r="E32" t="s">
        <v>64</v>
      </c>
      <c r="F32" t="s">
        <v>86</v>
      </c>
      <c r="G32" t="s">
        <v>1039</v>
      </c>
      <c r="H32" t="s">
        <v>88</v>
      </c>
      <c r="I32" t="s">
        <v>1040</v>
      </c>
      <c r="J32" t="s">
        <v>229</v>
      </c>
      <c r="K32" t="str">
        <f>B3</f>
        <v>hydrogen supply, transported by pipeline, produced by Electrolysis, Alkaline using water and electricity from grid</v>
      </c>
      <c r="L32">
        <f t="shared" si="0"/>
        <v>2</v>
      </c>
      <c r="M32">
        <f t="shared" si="1"/>
        <v>3.2467190137501413E-2</v>
      </c>
      <c r="N32">
        <v>1.5</v>
      </c>
      <c r="O32" s="15">
        <v>1.2</v>
      </c>
      <c r="P32">
        <v>1.5</v>
      </c>
      <c r="Q32">
        <v>1.1000000000000001</v>
      </c>
      <c r="R32">
        <v>2</v>
      </c>
      <c r="S32">
        <v>1.2</v>
      </c>
      <c r="T32">
        <v>3</v>
      </c>
      <c r="U32">
        <f t="shared" si="2"/>
        <v>0.72314801614797197</v>
      </c>
    </row>
    <row r="33" spans="1:21" x14ac:dyDescent="0.2">
      <c r="A33" t="s">
        <v>130</v>
      </c>
      <c r="B33" s="52">
        <f>(VLOOKUP(B18,parameters!$A$71:$B$78,2,0)+VLOOKUP(B14,parameters!$A$82:$B$84,2,0)+VLOOKUP(B14,parameters!$A$87:$B$89,2,0))*SUM(B28:B29)</f>
        <v>1.8697299999999999</v>
      </c>
      <c r="C33" t="s">
        <v>92</v>
      </c>
      <c r="E33" t="s">
        <v>64</v>
      </c>
      <c r="F33" t="s">
        <v>86</v>
      </c>
      <c r="G33" t="s">
        <v>93</v>
      </c>
      <c r="H33" t="s">
        <v>78</v>
      </c>
      <c r="I33" t="s">
        <v>1215</v>
      </c>
      <c r="J33" t="s">
        <v>67</v>
      </c>
      <c r="K33" t="str">
        <f>B3</f>
        <v>hydrogen supply, transported by pipeline, produced by Electrolysis, Alkaline using water and electricity from grid</v>
      </c>
      <c r="L33">
        <f t="shared" si="0"/>
        <v>2</v>
      </c>
      <c r="M33">
        <f t="shared" si="1"/>
        <v>0.62579403541523582</v>
      </c>
      <c r="N33">
        <v>1.5</v>
      </c>
      <c r="O33" s="15">
        <v>1.2</v>
      </c>
      <c r="P33">
        <v>1.5</v>
      </c>
      <c r="Q33">
        <v>1.1000000000000001</v>
      </c>
      <c r="R33">
        <v>2</v>
      </c>
      <c r="S33">
        <v>1.2</v>
      </c>
      <c r="T33">
        <v>1.05</v>
      </c>
      <c r="U33">
        <f t="shared" si="2"/>
        <v>0.47095746419981693</v>
      </c>
    </row>
    <row r="34" spans="1:21" x14ac:dyDescent="0.2">
      <c r="A34" t="s">
        <v>130</v>
      </c>
      <c r="B34" s="52">
        <f>0.6*SUM(B28:B29)*(B15/250)</f>
        <v>1.2395999999999998</v>
      </c>
      <c r="C34" t="s">
        <v>92</v>
      </c>
      <c r="E34" t="s">
        <v>64</v>
      </c>
      <c r="F34" t="s">
        <v>86</v>
      </c>
      <c r="G34" t="s">
        <v>93</v>
      </c>
      <c r="H34" t="s">
        <v>78</v>
      </c>
      <c r="I34" t="s">
        <v>1135</v>
      </c>
      <c r="J34" t="s">
        <v>67</v>
      </c>
      <c r="K34" t="str">
        <f>B4</f>
        <v>This dataset represents the supply of 1 kilogram of hydrogen. The hydrogen is transported by pipeline over 500 km from regional storage.  The hydrogen is produced by  Electrolysis, Alkaline,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34">
        <f t="shared" si="0"/>
        <v>2</v>
      </c>
      <c r="M34">
        <f t="shared" si="1"/>
        <v>0.21478874693145597</v>
      </c>
      <c r="N34">
        <v>1.5</v>
      </c>
      <c r="O34" s="15">
        <v>1.2</v>
      </c>
      <c r="P34">
        <v>1.5</v>
      </c>
      <c r="Q34">
        <v>1.1000000000000001</v>
      </c>
      <c r="R34">
        <v>2</v>
      </c>
      <c r="S34">
        <v>1.2</v>
      </c>
      <c r="T34">
        <v>1.05</v>
      </c>
      <c r="U34">
        <f t="shared" si="2"/>
        <v>0.47095746419981693</v>
      </c>
    </row>
    <row r="35" spans="1:21" x14ac:dyDescent="0.2">
      <c r="A35" t="s">
        <v>7</v>
      </c>
      <c r="B35" s="53">
        <f>B29</f>
        <v>3.3000000000000002E-2</v>
      </c>
      <c r="C35" t="s">
        <v>56</v>
      </c>
      <c r="D35" t="s">
        <v>100</v>
      </c>
      <c r="F35" t="s">
        <v>99</v>
      </c>
      <c r="H35" t="s">
        <v>131</v>
      </c>
      <c r="I35" t="s">
        <v>160</v>
      </c>
      <c r="K35" t="str">
        <f>B3</f>
        <v>hydrogen supply, transported by pipeline, produced by Electrolysis, Alkaline using water and electricity from grid</v>
      </c>
      <c r="L35">
        <f t="shared" si="0"/>
        <v>2</v>
      </c>
      <c r="M35">
        <f t="shared" si="1"/>
        <v>-3.4112477175156566</v>
      </c>
      <c r="N35">
        <v>1.5</v>
      </c>
      <c r="O35" s="15">
        <v>1.2</v>
      </c>
      <c r="P35">
        <v>1.5</v>
      </c>
      <c r="Q35">
        <v>1.1000000000000001</v>
      </c>
      <c r="R35">
        <v>2</v>
      </c>
      <c r="S35">
        <v>1.2</v>
      </c>
      <c r="T35">
        <v>1.05</v>
      </c>
      <c r="U35">
        <f t="shared" si="2"/>
        <v>0.47095746419981693</v>
      </c>
    </row>
    <row r="36" spans="1:21" x14ac:dyDescent="0.2">
      <c r="B36" s="45"/>
    </row>
    <row r="37" spans="1:21" x14ac:dyDescent="0.2">
      <c r="A37" s="2" t="s">
        <v>50</v>
      </c>
      <c r="B37" s="44" t="str">
        <f>"hydrogen supply, transported by "&amp;B48&amp;", produced by "&amp;B52&amp;" using "&amp;B53&amp;" from "&amp;B54</f>
        <v>hydrogen supply, transported by truck, produced by Electrolysis, Alkaline using water and electricity from grid</v>
      </c>
    </row>
    <row r="38" spans="1:21" x14ac:dyDescent="0.2">
      <c r="A38" t="s">
        <v>51</v>
      </c>
      <c r="B38" s="45" t="str">
        <f>"This dataset represents the supply of 1 kilogram of hydrogen. The hydrogen is transported by "&amp;B48&amp;" over "&amp;B49&amp;" km from regional storage. "&amp;" The "&amp;B47&amp;" is produced by  "&amp;B52&amp;", with "&amp;B53&amp;" from "&amp;B54&amp;" as feedstock. "&amp;A56&amp;": "&amp;(B56*100)&amp;"%. "&amp;A57&amp;": "&amp;(B57*100)&amp;".  For more information, refer to: "&amp;B39</f>
        <v>This dataset represents the supply of 1 kilogram of hydrogen. The hydrogen is transported by truck over 200 km from regional storage.  The hydrogen is produced by  Electrolysis, Alkaline,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39" spans="1:21" x14ac:dyDescent="0.2">
      <c r="A39" t="s">
        <v>63</v>
      </c>
      <c r="B39" s="45" t="s">
        <v>1223</v>
      </c>
    </row>
    <row r="40" spans="1:21" x14ac:dyDescent="0.2">
      <c r="A40" t="s">
        <v>52</v>
      </c>
      <c r="B40" s="45" t="s">
        <v>64</v>
      </c>
    </row>
    <row r="41" spans="1:21" x14ac:dyDescent="0.2">
      <c r="A41" t="s">
        <v>48</v>
      </c>
      <c r="B41" s="45">
        <v>5</v>
      </c>
    </row>
    <row r="42" spans="1:21" x14ac:dyDescent="0.2">
      <c r="A42" t="s">
        <v>54</v>
      </c>
      <c r="B42" s="45" t="s">
        <v>1137</v>
      </c>
    </row>
    <row r="43" spans="1:21" x14ac:dyDescent="0.2">
      <c r="A43" t="s">
        <v>55</v>
      </c>
      <c r="B43" s="45" t="s">
        <v>56</v>
      </c>
    </row>
    <row r="44" spans="1:21" x14ac:dyDescent="0.2">
      <c r="A44" t="s">
        <v>0</v>
      </c>
      <c r="B44" s="45" t="str">
        <f>INDEX(overview!$B$4:$R$338,MATCH('hydrogen - supply'!B41,overview!$A$4:$A$338,0),MATCH('hydrogen - supply'!A44,overview!$B$3:$R$3,0))</f>
        <v>Switzerland</v>
      </c>
    </row>
    <row r="45" spans="1:21" x14ac:dyDescent="0.2">
      <c r="A45" t="s">
        <v>1</v>
      </c>
      <c r="B45" s="45">
        <f>INDEX(overview!$B$4:$R$338,MATCH('hydrogen - supply'!B41,overview!$A$4:$A$338,0),MATCH('hydrogen - supply'!A45,overview!$B$3:$R$3,0))</f>
        <v>2020</v>
      </c>
    </row>
    <row r="46" spans="1:21" x14ac:dyDescent="0.2">
      <c r="A46" t="s">
        <v>2</v>
      </c>
      <c r="B46" s="45" t="s">
        <v>1130</v>
      </c>
    </row>
    <row r="47" spans="1:21" x14ac:dyDescent="0.2">
      <c r="A47" t="s">
        <v>5</v>
      </c>
      <c r="B47" s="45" t="str">
        <f>INDEX(overview!$B$4:$R$338,MATCH('hydrogen - supply'!B41,overview!$A$4:$A$338,0),MATCH('hydrogen - supply'!A47,overview!$B$3:$R$3,0))</f>
        <v>hydrogen</v>
      </c>
    </row>
    <row r="48" spans="1:21" x14ac:dyDescent="0.2">
      <c r="A48" t="s">
        <v>4</v>
      </c>
      <c r="B48" s="45" t="s">
        <v>69</v>
      </c>
    </row>
    <row r="49" spans="1:22" x14ac:dyDescent="0.2">
      <c r="A49" t="s">
        <v>38</v>
      </c>
      <c r="B49" s="45">
        <f>INDEX(overview!$B$4:$R$338,MATCH('hydrogen - supply'!B41,overview!$A$4:$A$338,0),MATCH('hydrogen - supply'!A49,overview!$B$3:$R$3,0))</f>
        <v>200</v>
      </c>
    </row>
    <row r="50" spans="1:22" x14ac:dyDescent="0.2">
      <c r="A50" t="s">
        <v>12</v>
      </c>
      <c r="B50" s="45" t="str">
        <f>INDEX(overview!$B$4:$R$338,MATCH('hydrogen - supply'!B41,overview!$A$4:$A$338,0),MATCH('hydrogen - supply'!A50,overview!$B$3:$R$3,0))</f>
        <v>Pressure vessel for stationary storage</v>
      </c>
    </row>
    <row r="51" spans="1:22" x14ac:dyDescent="0.2">
      <c r="A51" t="s">
        <v>34</v>
      </c>
      <c r="B51" s="45">
        <f>INDEX(overview!$B$4:$R$338,MATCH('hydrogen - supply'!B41,overview!$A$4:$A$338,0),MATCH('hydrogen - supply'!A51,overview!$B$3:$R$3,0))</f>
        <v>0</v>
      </c>
    </row>
    <row r="52" spans="1:22" x14ac:dyDescent="0.2">
      <c r="A52" t="s">
        <v>15</v>
      </c>
      <c r="B52" s="45" t="str">
        <f>INDEX(overview!$B$4:$R$338,MATCH('hydrogen - supply'!B41,overview!$A$4:$A$338,0),MATCH('hydrogen - supply'!A52,overview!$B$3:$R$3,0))</f>
        <v>Electrolysis, Alkaline</v>
      </c>
    </row>
    <row r="53" spans="1:22" x14ac:dyDescent="0.2">
      <c r="A53" t="s">
        <v>14</v>
      </c>
      <c r="B53" s="45" t="str">
        <f>INDEX(overview!$B$4:$R$338,MATCH('hydrogen - supply'!B41,overview!$A$4:$A$338,0),MATCH('hydrogen - supply'!A53,overview!$B$3:$R$3,0))</f>
        <v>water and electricity</v>
      </c>
    </row>
    <row r="54" spans="1:22" x14ac:dyDescent="0.2">
      <c r="A54" t="s">
        <v>26</v>
      </c>
      <c r="B54" s="45" t="str">
        <f>INDEX(overview!$B$4:$R$338,MATCH('hydrogen - supply'!B41,overview!$A$4:$A$338,0),MATCH('hydrogen - supply'!A54,overview!$B$3:$R$3,0))</f>
        <v>grid</v>
      </c>
    </row>
    <row r="55" spans="1:22" x14ac:dyDescent="0.2">
      <c r="A55" t="s">
        <v>29</v>
      </c>
      <c r="B55" s="45">
        <f>INDEX(overview!$B$4:$R$338,MATCH('hydrogen - supply'!B41,overview!$A$4:$A$338,0),MATCH('hydrogen - supply'!A55,overview!$B$3:$R$3,0))</f>
        <v>0</v>
      </c>
    </row>
    <row r="56" spans="1:22" x14ac:dyDescent="0.2">
      <c r="A56" t="s">
        <v>45</v>
      </c>
      <c r="B56" s="66">
        <f>VLOOKUP(B48,parameters!$A$94:$C$96,2,0)</f>
        <v>5.0000000000000001E-3</v>
      </c>
    </row>
    <row r="57" spans="1:22" x14ac:dyDescent="0.2">
      <c r="A57" t="s">
        <v>1133</v>
      </c>
      <c r="B57" s="49">
        <f>VLOOKUP(B48,parameters!$A$94:$D$96,3,0)</f>
        <v>2.3E-2</v>
      </c>
    </row>
    <row r="58" spans="1:22" x14ac:dyDescent="0.2">
      <c r="B58" s="45"/>
    </row>
    <row r="59" spans="1:22" x14ac:dyDescent="0.2">
      <c r="A59" s="3" t="s">
        <v>57</v>
      </c>
      <c r="B59" s="45"/>
    </row>
    <row r="60" spans="1:22" x14ac:dyDescent="0.2">
      <c r="A60" s="2" t="s">
        <v>58</v>
      </c>
      <c r="B60" s="44" t="s">
        <v>59</v>
      </c>
      <c r="C60" s="2" t="s">
        <v>55</v>
      </c>
      <c r="D60" s="2" t="s">
        <v>60</v>
      </c>
      <c r="E60" s="2" t="s">
        <v>52</v>
      </c>
      <c r="F60" s="2" t="s">
        <v>61</v>
      </c>
      <c r="G60" s="2" t="s">
        <v>54</v>
      </c>
      <c r="H60" s="2" t="s">
        <v>87</v>
      </c>
      <c r="I60" s="2" t="s">
        <v>51</v>
      </c>
      <c r="J60" s="2" t="s">
        <v>138</v>
      </c>
      <c r="K60" s="2" t="s">
        <v>136</v>
      </c>
      <c r="L60" s="2" t="s">
        <v>221</v>
      </c>
      <c r="M60" s="2" t="s">
        <v>379</v>
      </c>
      <c r="N60" s="2" t="s">
        <v>1059</v>
      </c>
      <c r="O60" s="2" t="s">
        <v>1060</v>
      </c>
      <c r="P60" s="2" t="s">
        <v>1061</v>
      </c>
      <c r="Q60" s="2" t="s">
        <v>1062</v>
      </c>
      <c r="R60" s="2" t="s">
        <v>1063</v>
      </c>
      <c r="S60" s="2" t="s">
        <v>1064</v>
      </c>
      <c r="T60" s="2" t="s">
        <v>1065</v>
      </c>
      <c r="U60" s="2" t="s">
        <v>380</v>
      </c>
      <c r="V60" s="2" t="s">
        <v>1128</v>
      </c>
    </row>
    <row r="61" spans="1:22" x14ac:dyDescent="0.2">
      <c r="A61" t="str">
        <f>'hydrogen - supply'!B37</f>
        <v>hydrogen supply, transported by truck, produced by Electrolysis, Alkaline using water and electricity from grid</v>
      </c>
      <c r="B61" s="45">
        <v>1</v>
      </c>
      <c r="C61" t="str">
        <f>'hydrogen - supply'!B43</f>
        <v>kilogram</v>
      </c>
      <c r="E61" t="str">
        <f>'hydrogen - supply'!B40</f>
        <v>CH</v>
      </c>
      <c r="F61" t="s">
        <v>62</v>
      </c>
      <c r="G61" t="str">
        <f>'hydrogen - supply'!B42</f>
        <v>hydrogen, gaseous, from truck</v>
      </c>
      <c r="K61" t="str">
        <f>'hydrogen - supply'!B37</f>
        <v>hydrogen supply, transported by truck, produced by Electrolysis, Alkaline using water and electricity from grid</v>
      </c>
    </row>
    <row r="62" spans="1:22" x14ac:dyDescent="0.2">
      <c r="A62" t="str">
        <f>VLOOKUP(J62,'dataset mapping'!$A$4:$E$69,2,0)</f>
        <v>hydrogen production, gaseous, 30 bar, from AEC electrolysis, from grid electricity</v>
      </c>
      <c r="B62" s="53">
        <v>1</v>
      </c>
      <c r="C62" t="str">
        <f>VLOOKUP(J62,'dataset mapping'!$A$4:$E$69,5,0)</f>
        <v>kilogram</v>
      </c>
      <c r="E62" t="str">
        <f>VLOOKUP(J62,'dataset mapping'!$A$4:$E$69,4,0)</f>
        <v>CH</v>
      </c>
      <c r="F62" t="s">
        <v>86</v>
      </c>
      <c r="G62" t="str">
        <f>VLOOKUP(J62,'dataset mapping'!$A$4:$E$69,3,0)</f>
        <v>hydrogen, gaseous, 30 bar</v>
      </c>
      <c r="H62" t="s">
        <v>76</v>
      </c>
      <c r="I62" t="s">
        <v>1054</v>
      </c>
      <c r="J62" t="s">
        <v>231</v>
      </c>
      <c r="K62" t="str">
        <f>'hydrogen - supply'!B37</f>
        <v>hydrogen supply, transported by truck, produced by Electrolysis, Alkaline using water and electricity from grid</v>
      </c>
      <c r="L62">
        <f t="shared" ref="L62:L67" si="3">IF(OR(B62&lt;0,B62=0),1,2)</f>
        <v>2</v>
      </c>
      <c r="M62">
        <f t="shared" ref="M62:M67" si="4">IF(L62=2,LN(B62),"")</f>
        <v>0</v>
      </c>
      <c r="N62">
        <v>1.5</v>
      </c>
      <c r="O62" s="15">
        <v>1.2</v>
      </c>
      <c r="P62">
        <v>1.5</v>
      </c>
      <c r="Q62">
        <v>1.1000000000000001</v>
      </c>
      <c r="R62">
        <v>2</v>
      </c>
      <c r="S62">
        <v>1.2</v>
      </c>
      <c r="T62">
        <v>1.05</v>
      </c>
      <c r="U62">
        <f t="shared" ref="U62:U67" si="5">LN(SQRT(EXP(
SQRT(
+POWER(LN(N62),2)
+POWER(LN(O62),2)
+POWER(LN(P62),2)
+POWER(LN(Q62),2)
+POWER(LN(R62),2)
+POWER(LN(S62),2)
+POWER(LN(T62),2)
)
)))</f>
        <v>0.47095746419981693</v>
      </c>
    </row>
    <row r="63" spans="1:22" x14ac:dyDescent="0.2">
      <c r="A63" t="str">
        <f>VLOOKUP(J63,'dataset mapping'!$A$4:$E$69,2,0)</f>
        <v>hydrogen production, gaseous, 30 bar, from AEC electrolysis, from grid electricity</v>
      </c>
      <c r="B63" s="53">
        <f>(B62*B56)+(B57*B62)</f>
        <v>2.8000000000000001E-2</v>
      </c>
      <c r="C63" t="str">
        <f>VLOOKUP(J63,'dataset mapping'!$A$4:$E$69,5,0)</f>
        <v>kilogram</v>
      </c>
      <c r="E63" t="str">
        <f>VLOOKUP(J63,'dataset mapping'!$A$4:$E$69,4,0)</f>
        <v>CH</v>
      </c>
      <c r="F63" t="s">
        <v>86</v>
      </c>
      <c r="G63" t="str">
        <f>VLOOKUP(J63,'dataset mapping'!$A$4:$E$69,3,0)</f>
        <v>hydrogen, gaseous, 30 bar</v>
      </c>
      <c r="H63" t="s">
        <v>76</v>
      </c>
      <c r="I63" t="s">
        <v>1054</v>
      </c>
      <c r="J63" t="s">
        <v>231</v>
      </c>
      <c r="K63" t="str">
        <f>'hydrogen - supply'!B38</f>
        <v>This dataset represents the supply of 1 kilogram of hydrogen. The hydrogen is transported by truck over 200 km from regional storage.  The hydrogen is produced by  Electrolysis, Alkaline,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63">
        <f t="shared" si="3"/>
        <v>2</v>
      </c>
      <c r="M63">
        <f t="shared" si="4"/>
        <v>-3.575550768806933</v>
      </c>
      <c r="N63">
        <v>1.5</v>
      </c>
      <c r="O63" s="15">
        <v>1.2</v>
      </c>
      <c r="P63">
        <v>1.5</v>
      </c>
      <c r="Q63">
        <v>1.1000000000000001</v>
      </c>
      <c r="R63">
        <v>2</v>
      </c>
      <c r="S63">
        <v>1.2</v>
      </c>
      <c r="T63">
        <v>1.05</v>
      </c>
      <c r="U63">
        <f t="shared" si="5"/>
        <v>0.47095746419981693</v>
      </c>
    </row>
    <row r="64" spans="1:22" x14ac:dyDescent="0.2">
      <c r="A64" t="str">
        <f>VLOOKUP(J64,'dataset mapping'!$A$4:$E$69,2,0)</f>
        <v>market for transport, freight, lorry, unspecified</v>
      </c>
      <c r="B64" s="45">
        <f>SUM(B62:B63)/1000*B49</f>
        <v>0.2056</v>
      </c>
      <c r="C64" t="str">
        <f>VLOOKUP(J64,'dataset mapping'!$A$4:$E$69,5,0)</f>
        <v>ton kilometer</v>
      </c>
      <c r="E64" t="str">
        <f>VLOOKUP(J64,'dataset mapping'!$A$4:$E$69,4,0)</f>
        <v>RER</v>
      </c>
      <c r="F64" t="s">
        <v>86</v>
      </c>
      <c r="G64" t="str">
        <f>VLOOKUP(J64,'dataset mapping'!$A$4:$E$69,3,0)</f>
        <v>transport, freight, lorry, unspecified</v>
      </c>
      <c r="H64" t="s">
        <v>88</v>
      </c>
      <c r="I64" t="s">
        <v>1052</v>
      </c>
      <c r="J64" t="s">
        <v>278</v>
      </c>
      <c r="K64" t="str">
        <f>B37</f>
        <v>hydrogen supply, transported by truck, produced by Electrolysis, Alkaline using water and electricity from grid</v>
      </c>
      <c r="L64">
        <f t="shared" si="3"/>
        <v>2</v>
      </c>
      <c r="M64">
        <f t="shared" si="4"/>
        <v>-1.5818227454011269</v>
      </c>
      <c r="N64">
        <v>1.5</v>
      </c>
      <c r="O64" s="15">
        <v>1.2</v>
      </c>
      <c r="P64">
        <v>1.5</v>
      </c>
      <c r="Q64">
        <v>1.1000000000000001</v>
      </c>
      <c r="R64">
        <v>2</v>
      </c>
      <c r="S64">
        <v>1.2</v>
      </c>
      <c r="T64">
        <v>2</v>
      </c>
      <c r="U64">
        <f t="shared" si="5"/>
        <v>0.58422518478336083</v>
      </c>
    </row>
    <row r="65" spans="1:21" x14ac:dyDescent="0.2">
      <c r="A65" t="s">
        <v>1038</v>
      </c>
      <c r="B65" s="53">
        <f>SUM(B62:B63)</f>
        <v>1.028</v>
      </c>
      <c r="C65" t="str">
        <f>VLOOKUP(J65,'dataset mapping'!$A$4:$E$69,5,0)</f>
        <v>kilogram</v>
      </c>
      <c r="E65" t="s">
        <v>64</v>
      </c>
      <c r="F65" t="s">
        <v>86</v>
      </c>
      <c r="G65" t="s">
        <v>1039</v>
      </c>
      <c r="H65" t="s">
        <v>88</v>
      </c>
      <c r="I65" t="s">
        <v>1040</v>
      </c>
      <c r="J65" t="s">
        <v>229</v>
      </c>
      <c r="K65" t="str">
        <f>'hydrogen - supply'!B37</f>
        <v>hydrogen supply, transported by truck, produced by Electrolysis, Alkaline using water and electricity from grid</v>
      </c>
      <c r="L65">
        <f t="shared" si="3"/>
        <v>2</v>
      </c>
      <c r="M65">
        <f t="shared" si="4"/>
        <v>2.7615167032973391E-2</v>
      </c>
      <c r="N65">
        <v>1.5</v>
      </c>
      <c r="O65" s="15">
        <v>1.2</v>
      </c>
      <c r="P65">
        <v>1.5</v>
      </c>
      <c r="Q65">
        <v>1.1000000000000001</v>
      </c>
      <c r="R65">
        <v>2</v>
      </c>
      <c r="S65">
        <v>1.2</v>
      </c>
      <c r="T65">
        <v>3</v>
      </c>
      <c r="U65">
        <f t="shared" si="5"/>
        <v>0.72314801614797197</v>
      </c>
    </row>
    <row r="66" spans="1:21" x14ac:dyDescent="0.2">
      <c r="A66" t="s">
        <v>130</v>
      </c>
      <c r="B66" s="52">
        <f>(VLOOKUP(B52,parameters!$A$71:$B$78,2,0)+VLOOKUP(B48,parameters!$A$82:$B$84,2,0)+VLOOKUP(B48,parameters!$A$87:$B$89,2,0))*SUM(B62:B63)</f>
        <v>3.4232400000000003</v>
      </c>
      <c r="C66" t="s">
        <v>92</v>
      </c>
      <c r="E66" t="s">
        <v>64</v>
      </c>
      <c r="F66" t="s">
        <v>86</v>
      </c>
      <c r="G66" t="s">
        <v>93</v>
      </c>
      <c r="H66" t="s">
        <v>78</v>
      </c>
      <c r="I66" t="s">
        <v>1053</v>
      </c>
      <c r="J66" t="s">
        <v>67</v>
      </c>
      <c r="K66" t="str">
        <f>'hydrogen - supply'!B37</f>
        <v>hydrogen supply, transported by truck, produced by Electrolysis, Alkaline using water and electricity from grid</v>
      </c>
      <c r="L66">
        <f t="shared" si="3"/>
        <v>2</v>
      </c>
      <c r="M66">
        <f t="shared" si="4"/>
        <v>1.230587471025326</v>
      </c>
      <c r="N66">
        <v>1.5</v>
      </c>
      <c r="O66" s="15">
        <v>1.2</v>
      </c>
      <c r="P66">
        <v>1.5</v>
      </c>
      <c r="Q66">
        <v>1.1000000000000001</v>
      </c>
      <c r="R66">
        <v>2</v>
      </c>
      <c r="S66">
        <v>1.2</v>
      </c>
      <c r="T66">
        <v>1.05</v>
      </c>
      <c r="U66">
        <f t="shared" si="5"/>
        <v>0.47095746419981693</v>
      </c>
    </row>
    <row r="67" spans="1:21" x14ac:dyDescent="0.2">
      <c r="A67" t="s">
        <v>7</v>
      </c>
      <c r="B67" s="53">
        <f>B63</f>
        <v>2.8000000000000001E-2</v>
      </c>
      <c r="C67" t="s">
        <v>56</v>
      </c>
      <c r="D67" t="s">
        <v>100</v>
      </c>
      <c r="F67" t="s">
        <v>99</v>
      </c>
      <c r="H67" t="s">
        <v>131</v>
      </c>
      <c r="I67" t="s">
        <v>160</v>
      </c>
      <c r="K67" t="str">
        <f>'hydrogen - supply'!B37</f>
        <v>hydrogen supply, transported by truck, produced by Electrolysis, Alkaline using water and electricity from grid</v>
      </c>
      <c r="L67">
        <f t="shared" si="3"/>
        <v>2</v>
      </c>
      <c r="M67">
        <f t="shared" si="4"/>
        <v>-3.575550768806933</v>
      </c>
      <c r="N67">
        <v>1.5</v>
      </c>
      <c r="O67" s="15">
        <v>1.2</v>
      </c>
      <c r="P67">
        <v>1.5</v>
      </c>
      <c r="Q67">
        <v>1.1000000000000001</v>
      </c>
      <c r="R67">
        <v>2</v>
      </c>
      <c r="S67">
        <v>1.2</v>
      </c>
      <c r="T67">
        <v>1.05</v>
      </c>
      <c r="U67">
        <f t="shared" si="5"/>
        <v>0.47095746419981693</v>
      </c>
    </row>
    <row r="68" spans="1:21" x14ac:dyDescent="0.2">
      <c r="B68" s="45"/>
    </row>
    <row r="69" spans="1:21" x14ac:dyDescent="0.2">
      <c r="A69" s="2" t="s">
        <v>50</v>
      </c>
      <c r="B69" s="44" t="str">
        <f>"hydrogen supply, transported by "&amp;B80&amp;", produced by "&amp;B84&amp;" using "&amp;B85&amp;" from "&amp;B86</f>
        <v>hydrogen supply, transported by pipeline, produced by Electrolysis, PEM using water and electricity from grid</v>
      </c>
    </row>
    <row r="70" spans="1:21" x14ac:dyDescent="0.2">
      <c r="A70" t="s">
        <v>51</v>
      </c>
      <c r="B70" s="45" t="str">
        <f>"This dataset represents the supply of 1 kilogram of hydrogen. The hydrogen is transported by "&amp;B80&amp;" over "&amp;B81&amp;" km from regional storage. "&amp;" The "&amp;B79&amp;" is produced by  "&amp;B84&amp;", with "&amp;B85&amp;" from "&amp;B86&amp;" as feedstock. "&amp;A88&amp;": "&amp;(B88*100)&amp;"%. "&amp;A89&amp;": "&amp;(B89*100)&amp;".  For more information, refer to: "&amp;B71</f>
        <v>This dataset represents the supply of 1 kilogram of hydrogen. The hydrogen is transported by pipeline over 500 km from regional storage.  The hydrogen is produced by  Electrolysis, PEM,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71" spans="1:21" x14ac:dyDescent="0.2">
      <c r="A71" t="s">
        <v>63</v>
      </c>
      <c r="B71" s="45" t="s">
        <v>1223</v>
      </c>
    </row>
    <row r="72" spans="1:21" x14ac:dyDescent="0.2">
      <c r="A72" t="s">
        <v>52</v>
      </c>
      <c r="B72" s="45" t="s">
        <v>64</v>
      </c>
    </row>
    <row r="73" spans="1:21" x14ac:dyDescent="0.2">
      <c r="A73" t="s">
        <v>48</v>
      </c>
      <c r="B73" s="45">
        <v>9</v>
      </c>
    </row>
    <row r="74" spans="1:21" x14ac:dyDescent="0.2">
      <c r="A74" t="s">
        <v>54</v>
      </c>
      <c r="B74" s="45" t="s">
        <v>1129</v>
      </c>
    </row>
    <row r="75" spans="1:21" x14ac:dyDescent="0.2">
      <c r="A75" t="s">
        <v>55</v>
      </c>
      <c r="B75" s="45" t="s">
        <v>56</v>
      </c>
    </row>
    <row r="76" spans="1:21" x14ac:dyDescent="0.2">
      <c r="A76" t="s">
        <v>0</v>
      </c>
      <c r="B76" s="45" t="str">
        <f>INDEX(overview!$B$4:$R$338,MATCH('hydrogen - supply'!B73,overview!$A$4:$A$338,0),MATCH('hydrogen - supply'!A76,overview!$B$3:$R$3,0))</f>
        <v>Switzerland</v>
      </c>
    </row>
    <row r="77" spans="1:21" x14ac:dyDescent="0.2">
      <c r="A77" t="s">
        <v>1</v>
      </c>
      <c r="B77" s="45">
        <f>INDEX(overview!$B$4:$R$338,MATCH('hydrogen - supply'!B73,overview!$A$4:$A$338,0),MATCH('hydrogen - supply'!A77,overview!$B$3:$R$3,0))</f>
        <v>2020</v>
      </c>
    </row>
    <row r="78" spans="1:21" x14ac:dyDescent="0.2">
      <c r="A78" t="s">
        <v>2</v>
      </c>
      <c r="B78" s="45" t="s">
        <v>1130</v>
      </c>
    </row>
    <row r="79" spans="1:21" x14ac:dyDescent="0.2">
      <c r="A79" t="s">
        <v>5</v>
      </c>
      <c r="B79" s="45" t="str">
        <f>INDEX(overview!$B$4:$R$338,MATCH('hydrogen - supply'!B73,overview!$A$4:$A$338,0),MATCH('hydrogen - supply'!A79,overview!$B$3:$R$3,0))</f>
        <v>hydrogen</v>
      </c>
    </row>
    <row r="80" spans="1:21" x14ac:dyDescent="0.2">
      <c r="A80" t="s">
        <v>4</v>
      </c>
      <c r="B80" s="45" t="str">
        <f>INDEX(overview!$B$4:$R$338,MATCH('hydrogen - supply'!B73,overview!$A$4:$A$338,0),MATCH('hydrogen - supply'!A80,overview!$B$3:$R$3,0))</f>
        <v>pipeline</v>
      </c>
    </row>
    <row r="81" spans="1:22" x14ac:dyDescent="0.2">
      <c r="A81" t="s">
        <v>38</v>
      </c>
      <c r="B81" s="45">
        <f>INDEX(overview!$B$4:$R$338,MATCH('hydrogen - supply'!B73,overview!$A$4:$A$338,0),MATCH('hydrogen - supply'!A81,overview!$B$3:$R$3,0))</f>
        <v>500</v>
      </c>
    </row>
    <row r="82" spans="1:22" x14ac:dyDescent="0.2">
      <c r="A82" t="s">
        <v>12</v>
      </c>
      <c r="B82" s="45" t="str">
        <f>INDEX(overview!$B$4:$R$338,MATCH('hydrogen - supply'!B73,overview!$A$4:$A$338,0),MATCH('hydrogen - supply'!A82,overview!$B$3:$R$3,0))</f>
        <v>Pressure vessel for stationary storage</v>
      </c>
    </row>
    <row r="83" spans="1:22" x14ac:dyDescent="0.2">
      <c r="A83" t="s">
        <v>34</v>
      </c>
      <c r="B83" s="45">
        <f>INDEX(overview!$B$4:$R$338,MATCH('hydrogen - supply'!B73,overview!$A$4:$A$338,0),MATCH('hydrogen - supply'!A83,overview!$B$3:$R$3,0))</f>
        <v>0</v>
      </c>
    </row>
    <row r="84" spans="1:22" x14ac:dyDescent="0.2">
      <c r="A84" t="s">
        <v>15</v>
      </c>
      <c r="B84" s="45" t="str">
        <f>INDEX(overview!$B$4:$R$338,MATCH('hydrogen - supply'!B73,overview!$A$4:$A$338,0),MATCH('hydrogen - supply'!A84,overview!$B$3:$R$3,0))</f>
        <v>Electrolysis, PEM</v>
      </c>
    </row>
    <row r="85" spans="1:22" x14ac:dyDescent="0.2">
      <c r="A85" t="s">
        <v>14</v>
      </c>
      <c r="B85" s="45" t="str">
        <f>INDEX(overview!$B$4:$R$338,MATCH('hydrogen - supply'!B73,overview!$A$4:$A$338,0),MATCH('hydrogen - supply'!A85,overview!$B$3:$R$3,0))</f>
        <v>water and electricity</v>
      </c>
    </row>
    <row r="86" spans="1:22" x14ac:dyDescent="0.2">
      <c r="A86" t="s">
        <v>26</v>
      </c>
      <c r="B86" s="45" t="str">
        <f>INDEX(overview!$B$4:$R$338,MATCH('hydrogen - supply'!B73,overview!$A$4:$A$338,0),MATCH('hydrogen - supply'!A86,overview!$B$3:$R$3,0))</f>
        <v>grid</v>
      </c>
    </row>
    <row r="87" spans="1:22" x14ac:dyDescent="0.2">
      <c r="A87" t="s">
        <v>29</v>
      </c>
      <c r="B87" s="45">
        <f>INDEX(overview!$B$4:$R$338,MATCH('hydrogen - supply'!B73,overview!$A$4:$A$338,0),MATCH('hydrogen - supply'!A87,overview!$B$3:$R$3,0))</f>
        <v>0</v>
      </c>
    </row>
    <row r="88" spans="1:22" x14ac:dyDescent="0.2">
      <c r="A88" t="s">
        <v>45</v>
      </c>
      <c r="B88" s="66">
        <f>VLOOKUP(B80,parameters!$A$94:$C$96,2,0)</f>
        <v>0.01</v>
      </c>
    </row>
    <row r="89" spans="1:22" x14ac:dyDescent="0.2">
      <c r="A89" t="s">
        <v>1133</v>
      </c>
      <c r="B89" s="49">
        <f>VLOOKUP(B80,parameters!$A$94:$D$96,3,0)</f>
        <v>2.3E-2</v>
      </c>
    </row>
    <row r="90" spans="1:22" x14ac:dyDescent="0.2">
      <c r="B90" s="45"/>
    </row>
    <row r="91" spans="1:22" x14ac:dyDescent="0.2">
      <c r="A91" s="3" t="s">
        <v>57</v>
      </c>
      <c r="B91" s="45"/>
    </row>
    <row r="92" spans="1:22" x14ac:dyDescent="0.2">
      <c r="A92" s="2" t="s">
        <v>58</v>
      </c>
      <c r="B92" s="44" t="s">
        <v>59</v>
      </c>
      <c r="C92" s="2" t="s">
        <v>55</v>
      </c>
      <c r="D92" s="2" t="s">
        <v>60</v>
      </c>
      <c r="E92" s="2" t="s">
        <v>52</v>
      </c>
      <c r="F92" s="2" t="s">
        <v>61</v>
      </c>
      <c r="G92" s="2" t="s">
        <v>54</v>
      </c>
      <c r="H92" s="2" t="s">
        <v>87</v>
      </c>
      <c r="I92" s="2" t="s">
        <v>51</v>
      </c>
      <c r="J92" s="2" t="s">
        <v>138</v>
      </c>
      <c r="K92" s="2" t="s">
        <v>136</v>
      </c>
      <c r="L92" s="2" t="s">
        <v>221</v>
      </c>
      <c r="M92" s="2" t="s">
        <v>379</v>
      </c>
      <c r="N92" s="2" t="s">
        <v>1059</v>
      </c>
      <c r="O92" s="2" t="s">
        <v>1060</v>
      </c>
      <c r="P92" s="2" t="s">
        <v>1061</v>
      </c>
      <c r="Q92" s="2" t="s">
        <v>1062</v>
      </c>
      <c r="R92" s="2" t="s">
        <v>1063</v>
      </c>
      <c r="S92" s="2" t="s">
        <v>1064</v>
      </c>
      <c r="T92" s="2" t="s">
        <v>1065</v>
      </c>
      <c r="U92" s="2" t="s">
        <v>380</v>
      </c>
      <c r="V92" s="2" t="s">
        <v>1128</v>
      </c>
    </row>
    <row r="93" spans="1:22" x14ac:dyDescent="0.2">
      <c r="A93" t="str">
        <f>B69</f>
        <v>hydrogen supply, transported by pipeline, produced by Electrolysis, PEM using water and electricity from grid</v>
      </c>
      <c r="B93" s="45">
        <v>1</v>
      </c>
      <c r="C93" t="str">
        <f>B75</f>
        <v>kilogram</v>
      </c>
      <c r="E93" t="str">
        <f>B72</f>
        <v>CH</v>
      </c>
      <c r="F93" t="s">
        <v>62</v>
      </c>
      <c r="G93" t="str">
        <f>B74</f>
        <v>hydrogen, gaseous, from pipeline</v>
      </c>
      <c r="K93" t="str">
        <f>B69</f>
        <v>hydrogen supply, transported by pipeline, produced by Electrolysis, PEM using water and electricity from grid</v>
      </c>
    </row>
    <row r="94" spans="1:22" x14ac:dyDescent="0.2">
      <c r="A94" t="s">
        <v>813</v>
      </c>
      <c r="B94" s="53">
        <v>1</v>
      </c>
      <c r="C94" t="str">
        <f>VLOOKUP(J94,'dataset mapping'!$A$4:$E$69,5,0)</f>
        <v>kilogram</v>
      </c>
      <c r="E94" t="str">
        <f>VLOOKUP(J94,'dataset mapping'!$A$4:$E$69,4,0)</f>
        <v>CH</v>
      </c>
      <c r="F94" t="s">
        <v>86</v>
      </c>
      <c r="G94" t="str">
        <f>VLOOKUP(J94,'dataset mapping'!$A$4:$E$69,3,0)</f>
        <v>hydrogen, gaseous, 200 bar</v>
      </c>
      <c r="H94" t="s">
        <v>281</v>
      </c>
      <c r="I94" t="s">
        <v>1054</v>
      </c>
      <c r="J94" t="s">
        <v>281</v>
      </c>
      <c r="K94" t="str">
        <f>B69</f>
        <v>hydrogen supply, transported by pipeline, produced by Electrolysis, PEM using water and electricity from grid</v>
      </c>
      <c r="L94">
        <f t="shared" ref="L94:L101" si="6">IF(OR(B94&lt;0,B94=0),1,2)</f>
        <v>2</v>
      </c>
      <c r="M94">
        <f t="shared" ref="M94:M101" si="7">IF(L94=2,LN(B94),"")</f>
        <v>0</v>
      </c>
      <c r="N94">
        <v>1.5</v>
      </c>
      <c r="O94" s="15">
        <v>1.2</v>
      </c>
      <c r="P94">
        <v>1.5</v>
      </c>
      <c r="Q94">
        <v>1.1000000000000001</v>
      </c>
      <c r="R94">
        <v>2</v>
      </c>
      <c r="S94">
        <v>1.2</v>
      </c>
      <c r="T94">
        <v>1.05</v>
      </c>
      <c r="U94">
        <f t="shared" ref="U94:U101" si="8">LN(SQRT(EXP(
SQRT(
+POWER(LN(N94),2)
+POWER(LN(O94),2)
+POWER(LN(P94),2)
+POWER(LN(Q94),2)
+POWER(LN(R94),2)
+POWER(LN(S94),2)
+POWER(LN(T94),2)
)
)))</f>
        <v>0.47095746419981693</v>
      </c>
    </row>
    <row r="95" spans="1:22" x14ac:dyDescent="0.2">
      <c r="A95" t="s">
        <v>813</v>
      </c>
      <c r="B95" s="53">
        <f>(B94*B88)+(B89*B94)</f>
        <v>3.3000000000000002E-2</v>
      </c>
      <c r="C95" t="str">
        <f>VLOOKUP(J95,'dataset mapping'!$A$4:$E$69,5,0)</f>
        <v>kilogram</v>
      </c>
      <c r="E95" t="str">
        <f>VLOOKUP(J95,'dataset mapping'!$A$4:$E$69,4,0)</f>
        <v>CH</v>
      </c>
      <c r="F95" t="s">
        <v>86</v>
      </c>
      <c r="G95" t="str">
        <f>VLOOKUP(J95,'dataset mapping'!$A$4:$E$69,3,0)</f>
        <v>hydrogen, gaseous, 200 bar</v>
      </c>
      <c r="H95" t="s">
        <v>76</v>
      </c>
      <c r="I95" t="s">
        <v>1054</v>
      </c>
      <c r="J95" t="s">
        <v>281</v>
      </c>
      <c r="K95" t="str">
        <f>B70</f>
        <v>This dataset represents the supply of 1 kilogram of hydrogen. The hydrogen is transported by pipeline over 500 km from regional storage.  The hydrogen is produced by  Electrolysis, PEM,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95">
        <f t="shared" si="6"/>
        <v>2</v>
      </c>
      <c r="M95">
        <f t="shared" si="7"/>
        <v>-3.4112477175156566</v>
      </c>
      <c r="N95">
        <v>1.5</v>
      </c>
      <c r="O95" s="15">
        <v>1.2</v>
      </c>
      <c r="P95">
        <v>1.5</v>
      </c>
      <c r="Q95">
        <v>1.1000000000000001</v>
      </c>
      <c r="R95">
        <v>2</v>
      </c>
      <c r="S95">
        <v>1.2</v>
      </c>
      <c r="T95">
        <v>1.05</v>
      </c>
      <c r="U95">
        <f t="shared" si="8"/>
        <v>0.47095746419981693</v>
      </c>
    </row>
    <row r="96" spans="1:22" x14ac:dyDescent="0.2">
      <c r="A96" t="str">
        <f>VLOOKUP(J96,'dataset mapping'!$A$4:$E$69,2,0)</f>
        <v>distribution pipeline for hydrogen, dedicated hydrogen pipeline</v>
      </c>
      <c r="B96" s="45">
        <f>0.000000000265*SUM(B94:B95)*B81*0.86</f>
        <v>1.1771035E-7</v>
      </c>
      <c r="C96" t="str">
        <f>VLOOKUP(J96,'dataset mapping'!$A$4:$E$69,5,0)</f>
        <v>kilometer</v>
      </c>
      <c r="E96" t="str">
        <f>VLOOKUP(J96,'dataset mapping'!$A$4:$E$69,4,0)</f>
        <v>CH</v>
      </c>
      <c r="F96" t="s">
        <v>86</v>
      </c>
      <c r="G96" t="str">
        <f>VLOOKUP(J96,'dataset mapping'!$A$4:$E$69,3,0)</f>
        <v>pipeline, for hydrogen distribution</v>
      </c>
      <c r="H96" t="s">
        <v>88</v>
      </c>
      <c r="I96" t="s">
        <v>1052</v>
      </c>
      <c r="J96" t="s">
        <v>218</v>
      </c>
      <c r="K96" t="str">
        <f>B69</f>
        <v>hydrogen supply, transported by pipeline, produced by Electrolysis, PEM using water and electricity from grid</v>
      </c>
      <c r="L96">
        <f t="shared" si="6"/>
        <v>2</v>
      </c>
      <c r="M96">
        <f t="shared" si="7"/>
        <v>-15.955038891117216</v>
      </c>
      <c r="N96">
        <v>1.5</v>
      </c>
      <c r="O96" s="15">
        <v>1.2</v>
      </c>
      <c r="P96">
        <v>1.5</v>
      </c>
      <c r="Q96">
        <v>1.1000000000000001</v>
      </c>
      <c r="R96">
        <v>2</v>
      </c>
      <c r="S96">
        <v>1.2</v>
      </c>
      <c r="T96">
        <v>3</v>
      </c>
      <c r="U96">
        <f t="shared" si="8"/>
        <v>0.72314801614797197</v>
      </c>
    </row>
    <row r="97" spans="1:21" x14ac:dyDescent="0.2">
      <c r="A97" t="str">
        <f>VLOOKUP(J97,'dataset mapping'!$A$4:$E$69,2,0)</f>
        <v>transmission pipeline for hydrogen, dedicated hydrogen pipeline</v>
      </c>
      <c r="B97" s="45">
        <f>0.000000000265*SUM(B94:B95)*B81*0.14</f>
        <v>1.9162150000000001E-8</v>
      </c>
      <c r="C97" t="str">
        <f>VLOOKUP(J97,'dataset mapping'!$A$4:$E$69,5,0)</f>
        <v>kilometer</v>
      </c>
      <c r="E97" t="str">
        <f>VLOOKUP(J97,'dataset mapping'!$A$4:$E$69,4,0)</f>
        <v>CH</v>
      </c>
      <c r="F97" t="s">
        <v>86</v>
      </c>
      <c r="G97" t="str">
        <f>VLOOKUP(J97,'dataset mapping'!$A$4:$E$69,3,0)</f>
        <v>pipeline, for hydrogen transmission</v>
      </c>
      <c r="H97" t="s">
        <v>88</v>
      </c>
      <c r="I97" t="s">
        <v>1052</v>
      </c>
      <c r="J97" t="s">
        <v>219</v>
      </c>
      <c r="K97" t="str">
        <f>B69</f>
        <v>hydrogen supply, transported by pipeline, produced by Electrolysis, PEM using water and electricity from grid</v>
      </c>
      <c r="L97">
        <f t="shared" si="6"/>
        <v>2</v>
      </c>
      <c r="M97">
        <f t="shared" si="7"/>
        <v>-17.770328857755466</v>
      </c>
      <c r="N97">
        <v>1.5</v>
      </c>
      <c r="O97" s="15">
        <v>1.2</v>
      </c>
      <c r="P97">
        <v>1.5</v>
      </c>
      <c r="Q97">
        <v>1.1000000000000001</v>
      </c>
      <c r="R97">
        <v>2</v>
      </c>
      <c r="S97">
        <v>1.2</v>
      </c>
      <c r="T97">
        <v>3</v>
      </c>
      <c r="U97">
        <f t="shared" si="8"/>
        <v>0.72314801614797197</v>
      </c>
    </row>
    <row r="98" spans="1:21" x14ac:dyDescent="0.2">
      <c r="A98" t="s">
        <v>1038</v>
      </c>
      <c r="B98" s="53">
        <f>SUM(B94:B95)</f>
        <v>1.0329999999999999</v>
      </c>
      <c r="C98" t="str">
        <f>VLOOKUP(J98,'dataset mapping'!$A$4:$E$69,5,0)</f>
        <v>kilogram</v>
      </c>
      <c r="E98" t="s">
        <v>64</v>
      </c>
      <c r="F98" t="s">
        <v>86</v>
      </c>
      <c r="G98" t="s">
        <v>1039</v>
      </c>
      <c r="H98" t="s">
        <v>88</v>
      </c>
      <c r="I98" t="s">
        <v>1040</v>
      </c>
      <c r="J98" t="s">
        <v>229</v>
      </c>
      <c r="K98" t="str">
        <f>B69</f>
        <v>hydrogen supply, transported by pipeline, produced by Electrolysis, PEM using water and electricity from grid</v>
      </c>
      <c r="L98">
        <f t="shared" si="6"/>
        <v>2</v>
      </c>
      <c r="M98">
        <f t="shared" si="7"/>
        <v>3.2467190137501413E-2</v>
      </c>
      <c r="N98">
        <v>1.5</v>
      </c>
      <c r="O98" s="15">
        <v>1.2</v>
      </c>
      <c r="P98">
        <v>1.5</v>
      </c>
      <c r="Q98">
        <v>1.1000000000000001</v>
      </c>
      <c r="R98">
        <v>2</v>
      </c>
      <c r="S98">
        <v>1.2</v>
      </c>
      <c r="T98">
        <v>3</v>
      </c>
      <c r="U98">
        <f t="shared" si="8"/>
        <v>0.72314801614797197</v>
      </c>
    </row>
    <row r="99" spans="1:21" x14ac:dyDescent="0.2">
      <c r="A99" t="s">
        <v>130</v>
      </c>
      <c r="B99" s="52">
        <f>(VLOOKUP(B84,parameters!$A$71:$B$78,2,0)+VLOOKUP(B80,parameters!$A$82:$B$84,2,0)+VLOOKUP(B80,parameters!$A$87:$B$89,2,0))*SUM(B94:B95)</f>
        <v>0.51649999999999996</v>
      </c>
      <c r="C99" t="s">
        <v>92</v>
      </c>
      <c r="E99" t="s">
        <v>64</v>
      </c>
      <c r="F99" t="s">
        <v>86</v>
      </c>
      <c r="G99" t="s">
        <v>93</v>
      </c>
      <c r="H99" t="s">
        <v>78</v>
      </c>
      <c r="I99" t="s">
        <v>1053</v>
      </c>
      <c r="J99" t="s">
        <v>67</v>
      </c>
      <c r="K99" t="str">
        <f>B69</f>
        <v>hydrogen supply, transported by pipeline, produced by Electrolysis, PEM using water and electricity from grid</v>
      </c>
      <c r="L99">
        <f t="shared" si="6"/>
        <v>2</v>
      </c>
      <c r="M99">
        <f t="shared" si="7"/>
        <v>-0.66067999042244385</v>
      </c>
      <c r="N99">
        <v>1.5</v>
      </c>
      <c r="O99" s="15">
        <v>1.2</v>
      </c>
      <c r="P99">
        <v>1.5</v>
      </c>
      <c r="Q99">
        <v>1.1000000000000001</v>
      </c>
      <c r="R99">
        <v>2</v>
      </c>
      <c r="S99">
        <v>1.2</v>
      </c>
      <c r="T99">
        <v>1.05</v>
      </c>
      <c r="U99">
        <f t="shared" si="8"/>
        <v>0.47095746419981693</v>
      </c>
    </row>
    <row r="100" spans="1:21" x14ac:dyDescent="0.2">
      <c r="A100" t="s">
        <v>130</v>
      </c>
      <c r="B100" s="52">
        <f>0.6*SUM(B94:B95)*(B81/250)</f>
        <v>1.2395999999999998</v>
      </c>
      <c r="C100" t="s">
        <v>92</v>
      </c>
      <c r="E100" t="s">
        <v>64</v>
      </c>
      <c r="F100" t="s">
        <v>86</v>
      </c>
      <c r="G100" t="s">
        <v>93</v>
      </c>
      <c r="H100" t="s">
        <v>78</v>
      </c>
      <c r="I100" t="s">
        <v>1135</v>
      </c>
      <c r="J100" t="s">
        <v>67</v>
      </c>
      <c r="K100" t="str">
        <f>B70</f>
        <v>This dataset represents the supply of 1 kilogram of hydrogen. The hydrogen is transported by pipeline over 500 km from regional storage.  The hydrogen is produced by  Electrolysis, PEM,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00">
        <f t="shared" si="6"/>
        <v>2</v>
      </c>
      <c r="M100">
        <f t="shared" si="7"/>
        <v>0.21478874693145597</v>
      </c>
      <c r="N100">
        <v>1.5</v>
      </c>
      <c r="O100" s="15">
        <v>1.2</v>
      </c>
      <c r="P100">
        <v>1.5</v>
      </c>
      <c r="Q100">
        <v>1.1000000000000001</v>
      </c>
      <c r="R100">
        <v>2</v>
      </c>
      <c r="S100">
        <v>1.2</v>
      </c>
      <c r="T100">
        <v>1.05</v>
      </c>
      <c r="U100">
        <f t="shared" si="8"/>
        <v>0.47095746419981693</v>
      </c>
    </row>
    <row r="101" spans="1:21" x14ac:dyDescent="0.2">
      <c r="A101" t="s">
        <v>7</v>
      </c>
      <c r="B101" s="53">
        <f>B95</f>
        <v>3.3000000000000002E-2</v>
      </c>
      <c r="C101" t="s">
        <v>56</v>
      </c>
      <c r="D101" t="s">
        <v>100</v>
      </c>
      <c r="F101" t="s">
        <v>99</v>
      </c>
      <c r="H101" t="s">
        <v>131</v>
      </c>
      <c r="I101" t="s">
        <v>160</v>
      </c>
      <c r="K101" t="str">
        <f>B69</f>
        <v>hydrogen supply, transported by pipeline, produced by Electrolysis, PEM using water and electricity from grid</v>
      </c>
      <c r="L101">
        <f t="shared" si="6"/>
        <v>2</v>
      </c>
      <c r="M101">
        <f t="shared" si="7"/>
        <v>-3.4112477175156566</v>
      </c>
      <c r="N101">
        <v>1.5</v>
      </c>
      <c r="O101" s="15">
        <v>1.2</v>
      </c>
      <c r="P101">
        <v>1.5</v>
      </c>
      <c r="Q101">
        <v>1.1000000000000001</v>
      </c>
      <c r="R101">
        <v>2</v>
      </c>
      <c r="S101">
        <v>1.2</v>
      </c>
      <c r="T101">
        <v>1.05</v>
      </c>
      <c r="U101">
        <f t="shared" si="8"/>
        <v>0.47095746419981693</v>
      </c>
    </row>
    <row r="102" spans="1:21" x14ac:dyDescent="0.2">
      <c r="B102" s="45"/>
    </row>
    <row r="103" spans="1:21" x14ac:dyDescent="0.2">
      <c r="A103" s="2" t="s">
        <v>50</v>
      </c>
      <c r="B103" s="44" t="str">
        <f>"hydrogen supply, transported by "&amp;B114&amp;", produced by "&amp;B118&amp;" using "&amp;B119&amp;" from "&amp;B120</f>
        <v>hydrogen supply, transported by truck, produced by Electrolysis, PEM using water and electricity from grid</v>
      </c>
    </row>
    <row r="104" spans="1:21" x14ac:dyDescent="0.2">
      <c r="A104" t="s">
        <v>51</v>
      </c>
      <c r="B104" s="45" t="str">
        <f>"This dataset represents the supply of 1 kilogram of hydrogen. The hydrogen is transported by "&amp;B114&amp;" over "&amp;B115&amp;" km from regional storage. "&amp;" The "&amp;B113&amp;" is produced by  "&amp;B118&amp;", with "&amp;B119&amp;" from "&amp;B120&amp;" as feedstock. "&amp;A122&amp;": "&amp;(B122*100)&amp;"%. "&amp;A123&amp;": "&amp;(B123*100)&amp;".  For more information, refer to: "&amp;B105</f>
        <v>This dataset represents the supply of 1 kilogram of hydrogen. The hydrogen is transported by truck over 200 km from regional storage.  The hydrogen is produced by  Electrolysis, PEM,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05" spans="1:21" x14ac:dyDescent="0.2">
      <c r="A105" t="s">
        <v>63</v>
      </c>
      <c r="B105" s="45" t="s">
        <v>1223</v>
      </c>
    </row>
    <row r="106" spans="1:21" x14ac:dyDescent="0.2">
      <c r="A106" t="s">
        <v>52</v>
      </c>
      <c r="B106" s="45" t="s">
        <v>64</v>
      </c>
    </row>
    <row r="107" spans="1:21" x14ac:dyDescent="0.2">
      <c r="A107" t="s">
        <v>48</v>
      </c>
      <c r="B107" s="45">
        <v>13</v>
      </c>
    </row>
    <row r="108" spans="1:21" x14ac:dyDescent="0.2">
      <c r="A108" t="s">
        <v>54</v>
      </c>
      <c r="B108" s="45" t="s">
        <v>1137</v>
      </c>
    </row>
    <row r="109" spans="1:21" x14ac:dyDescent="0.2">
      <c r="A109" t="s">
        <v>55</v>
      </c>
      <c r="B109" s="45" t="s">
        <v>56</v>
      </c>
    </row>
    <row r="110" spans="1:21" x14ac:dyDescent="0.2">
      <c r="A110" t="s">
        <v>0</v>
      </c>
      <c r="B110" s="45" t="str">
        <f>INDEX(overview!$B$4:$R$338,MATCH('hydrogen - supply'!B107,overview!$A$4:$A$338,0),MATCH('hydrogen - supply'!A110,overview!$B$3:$R$3,0))</f>
        <v>Switzerland</v>
      </c>
    </row>
    <row r="111" spans="1:21" x14ac:dyDescent="0.2">
      <c r="A111" t="s">
        <v>1</v>
      </c>
      <c r="B111" s="45">
        <f>INDEX(overview!$B$4:$R$338,MATCH('hydrogen - supply'!B107,overview!$A$4:$A$338,0),MATCH('hydrogen - supply'!A111,overview!$B$3:$R$3,0))</f>
        <v>2020</v>
      </c>
    </row>
    <row r="112" spans="1:21" x14ac:dyDescent="0.2">
      <c r="A112" t="s">
        <v>2</v>
      </c>
      <c r="B112" s="45" t="s">
        <v>1130</v>
      </c>
    </row>
    <row r="113" spans="1:22" x14ac:dyDescent="0.2">
      <c r="A113" t="s">
        <v>5</v>
      </c>
      <c r="B113" s="45" t="str">
        <f>INDEX(overview!$B$4:$R$338,MATCH('hydrogen - supply'!B107,overview!$A$4:$A$338,0),MATCH('hydrogen - supply'!A113,overview!$B$3:$R$3,0))</f>
        <v>hydrogen</v>
      </c>
    </row>
    <row r="114" spans="1:22" x14ac:dyDescent="0.2">
      <c r="A114" t="s">
        <v>4</v>
      </c>
      <c r="B114" s="45" t="s">
        <v>69</v>
      </c>
    </row>
    <row r="115" spans="1:22" x14ac:dyDescent="0.2">
      <c r="A115" t="s">
        <v>38</v>
      </c>
      <c r="B115" s="45">
        <f>INDEX(overview!$B$4:$R$338,MATCH('hydrogen - supply'!B107,overview!$A$4:$A$338,0),MATCH('hydrogen - supply'!A115,overview!$B$3:$R$3,0))</f>
        <v>200</v>
      </c>
    </row>
    <row r="116" spans="1:22" x14ac:dyDescent="0.2">
      <c r="A116" t="s">
        <v>12</v>
      </c>
      <c r="B116" s="45" t="str">
        <f>INDEX(overview!$B$4:$R$338,MATCH('hydrogen - supply'!B107,overview!$A$4:$A$338,0),MATCH('hydrogen - supply'!A116,overview!$B$3:$R$3,0))</f>
        <v>Pressure vessel for stationary storage</v>
      </c>
    </row>
    <row r="117" spans="1:22" x14ac:dyDescent="0.2">
      <c r="A117" t="s">
        <v>34</v>
      </c>
      <c r="B117" s="45">
        <f>INDEX(overview!$B$4:$R$338,MATCH('hydrogen - supply'!B107,overview!$A$4:$A$338,0),MATCH('hydrogen - supply'!A117,overview!$B$3:$R$3,0))</f>
        <v>0</v>
      </c>
    </row>
    <row r="118" spans="1:22" x14ac:dyDescent="0.2">
      <c r="A118" t="s">
        <v>15</v>
      </c>
      <c r="B118" s="45" t="str">
        <f>INDEX(overview!$B$4:$R$338,MATCH('hydrogen - supply'!B107,overview!$A$4:$A$338,0),MATCH('hydrogen - supply'!A118,overview!$B$3:$R$3,0))</f>
        <v>Electrolysis, PEM</v>
      </c>
    </row>
    <row r="119" spans="1:22" x14ac:dyDescent="0.2">
      <c r="A119" t="s">
        <v>14</v>
      </c>
      <c r="B119" s="45" t="str">
        <f>INDEX(overview!$B$4:$R$338,MATCH('hydrogen - supply'!B107,overview!$A$4:$A$338,0),MATCH('hydrogen - supply'!A119,overview!$B$3:$R$3,0))</f>
        <v>water and electricity</v>
      </c>
    </row>
    <row r="120" spans="1:22" x14ac:dyDescent="0.2">
      <c r="A120" t="s">
        <v>26</v>
      </c>
      <c r="B120" s="45" t="str">
        <f>INDEX(overview!$B$4:$R$338,MATCH('hydrogen - supply'!B107,overview!$A$4:$A$338,0),MATCH('hydrogen - supply'!A120,overview!$B$3:$R$3,0))</f>
        <v>grid</v>
      </c>
    </row>
    <row r="121" spans="1:22" x14ac:dyDescent="0.2">
      <c r="A121" t="s">
        <v>29</v>
      </c>
      <c r="B121" s="45">
        <f>INDEX(overview!$B$4:$R$338,MATCH('hydrogen - supply'!B107,overview!$A$4:$A$338,0),MATCH('hydrogen - supply'!A121,overview!$B$3:$R$3,0))</f>
        <v>0</v>
      </c>
    </row>
    <row r="122" spans="1:22" x14ac:dyDescent="0.2">
      <c r="A122" t="s">
        <v>45</v>
      </c>
      <c r="B122" s="66">
        <f>VLOOKUP(B114,parameters!$A$94:$C$96,2,0)</f>
        <v>5.0000000000000001E-3</v>
      </c>
    </row>
    <row r="123" spans="1:22" x14ac:dyDescent="0.2">
      <c r="A123" t="s">
        <v>1133</v>
      </c>
      <c r="B123" s="49">
        <f>VLOOKUP(B114,parameters!$A$94:$D$96,3,0)</f>
        <v>2.3E-2</v>
      </c>
    </row>
    <row r="124" spans="1:22" x14ac:dyDescent="0.2">
      <c r="B124" s="45"/>
    </row>
    <row r="125" spans="1:22" x14ac:dyDescent="0.2">
      <c r="A125" s="3" t="s">
        <v>57</v>
      </c>
      <c r="B125" s="45"/>
    </row>
    <row r="126" spans="1:22" x14ac:dyDescent="0.2">
      <c r="A126" s="2" t="s">
        <v>58</v>
      </c>
      <c r="B126" s="44" t="s">
        <v>59</v>
      </c>
      <c r="C126" s="2" t="s">
        <v>55</v>
      </c>
      <c r="D126" s="2" t="s">
        <v>60</v>
      </c>
      <c r="E126" s="2" t="s">
        <v>52</v>
      </c>
      <c r="F126" s="2" t="s">
        <v>61</v>
      </c>
      <c r="G126" s="2" t="s">
        <v>54</v>
      </c>
      <c r="H126" s="2" t="s">
        <v>87</v>
      </c>
      <c r="I126" s="2" t="s">
        <v>51</v>
      </c>
      <c r="J126" s="2" t="s">
        <v>138</v>
      </c>
      <c r="K126" s="2" t="s">
        <v>136</v>
      </c>
      <c r="L126" s="2" t="s">
        <v>221</v>
      </c>
      <c r="M126" s="2" t="s">
        <v>379</v>
      </c>
      <c r="N126" s="2" t="s">
        <v>1059</v>
      </c>
      <c r="O126" s="2" t="s">
        <v>1060</v>
      </c>
      <c r="P126" s="2" t="s">
        <v>1061</v>
      </c>
      <c r="Q126" s="2" t="s">
        <v>1062</v>
      </c>
      <c r="R126" s="2" t="s">
        <v>1063</v>
      </c>
      <c r="S126" s="2" t="s">
        <v>1064</v>
      </c>
      <c r="T126" s="2" t="s">
        <v>1065</v>
      </c>
      <c r="U126" s="2" t="s">
        <v>380</v>
      </c>
      <c r="V126" s="2" t="s">
        <v>1128</v>
      </c>
    </row>
    <row r="127" spans="1:22" x14ac:dyDescent="0.2">
      <c r="A127" t="str">
        <f>B103</f>
        <v>hydrogen supply, transported by truck, produced by Electrolysis, PEM using water and electricity from grid</v>
      </c>
      <c r="B127" s="45">
        <v>1</v>
      </c>
      <c r="C127" t="str">
        <f>B109</f>
        <v>kilogram</v>
      </c>
      <c r="E127" t="str">
        <f>B106</f>
        <v>CH</v>
      </c>
      <c r="F127" t="s">
        <v>62</v>
      </c>
      <c r="G127" t="str">
        <f>B108</f>
        <v>hydrogen, gaseous, from truck</v>
      </c>
      <c r="K127" t="str">
        <f>B103</f>
        <v>hydrogen supply, transported by truck, produced by Electrolysis, PEM using water and electricity from grid</v>
      </c>
    </row>
    <row r="128" spans="1:22" x14ac:dyDescent="0.2">
      <c r="A128" t="s">
        <v>813</v>
      </c>
      <c r="B128" s="53">
        <v>1</v>
      </c>
      <c r="C128" t="str">
        <f>VLOOKUP(J128,'dataset mapping'!$A$4:$E$69,5,0)</f>
        <v>kilogram</v>
      </c>
      <c r="E128" t="str">
        <f>VLOOKUP(J128,'dataset mapping'!$A$4:$E$69,4,0)</f>
        <v>CH</v>
      </c>
      <c r="F128" t="s">
        <v>86</v>
      </c>
      <c r="G128" t="str">
        <f>VLOOKUP(J128,'dataset mapping'!$A$4:$E$69,3,0)</f>
        <v>hydrogen, gaseous, 200 bar</v>
      </c>
      <c r="H128" t="s">
        <v>76</v>
      </c>
      <c r="I128" t="s">
        <v>1054</v>
      </c>
      <c r="J128" t="s">
        <v>281</v>
      </c>
      <c r="K128" t="str">
        <f>B103</f>
        <v>hydrogen supply, transported by truck, produced by Electrolysis, PEM using water and electricity from grid</v>
      </c>
      <c r="L128">
        <f t="shared" ref="L128:L133" si="9">IF(OR(B128&lt;0,B128=0),1,2)</f>
        <v>2</v>
      </c>
      <c r="M128">
        <f t="shared" ref="M128:M133" si="10">IF(L128=2,LN(B128),"")</f>
        <v>0</v>
      </c>
      <c r="N128">
        <v>1.5</v>
      </c>
      <c r="O128" s="15">
        <v>1.2</v>
      </c>
      <c r="P128">
        <v>1.5</v>
      </c>
      <c r="Q128">
        <v>1.1000000000000001</v>
      </c>
      <c r="R128">
        <v>2</v>
      </c>
      <c r="S128">
        <v>1.2</v>
      </c>
      <c r="T128">
        <v>1.05</v>
      </c>
      <c r="U128">
        <f t="shared" ref="U128:U133" si="11">LN(SQRT(EXP(
SQRT(
+POWER(LN(N128),2)
+POWER(LN(O128),2)
+POWER(LN(P128),2)
+POWER(LN(Q128),2)
+POWER(LN(R128),2)
+POWER(LN(S128),2)
+POWER(LN(T128),2)
)
)))</f>
        <v>0.47095746419981693</v>
      </c>
    </row>
    <row r="129" spans="1:21" x14ac:dyDescent="0.2">
      <c r="A129" t="s">
        <v>813</v>
      </c>
      <c r="B129" s="53">
        <f>(B128*B122)+(B123*B128)</f>
        <v>2.8000000000000001E-2</v>
      </c>
      <c r="C129" t="str">
        <f>VLOOKUP(J129,'dataset mapping'!$A$4:$E$69,5,0)</f>
        <v>kilogram</v>
      </c>
      <c r="E129" t="str">
        <f>VLOOKUP(J129,'dataset mapping'!$A$4:$E$69,4,0)</f>
        <v>CH</v>
      </c>
      <c r="F129" t="s">
        <v>86</v>
      </c>
      <c r="G129" t="str">
        <f>VLOOKUP(J129,'dataset mapping'!$A$4:$E$69,3,0)</f>
        <v>hydrogen, gaseous, 200 bar</v>
      </c>
      <c r="H129" t="s">
        <v>76</v>
      </c>
      <c r="I129" t="s">
        <v>1054</v>
      </c>
      <c r="J129" t="s">
        <v>281</v>
      </c>
      <c r="K129" t="str">
        <f>B104</f>
        <v>This dataset represents the supply of 1 kilogram of hydrogen. The hydrogen is transported by truck over 200 km from regional storage.  The hydrogen is produced by  Electrolysis, PEM,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29">
        <f t="shared" si="9"/>
        <v>2</v>
      </c>
      <c r="M129">
        <f t="shared" si="10"/>
        <v>-3.575550768806933</v>
      </c>
      <c r="N129">
        <v>1.5</v>
      </c>
      <c r="O129" s="15">
        <v>1.2</v>
      </c>
      <c r="P129">
        <v>1.5</v>
      </c>
      <c r="Q129">
        <v>1.1000000000000001</v>
      </c>
      <c r="R129">
        <v>2</v>
      </c>
      <c r="S129">
        <v>1.2</v>
      </c>
      <c r="T129">
        <v>1.05</v>
      </c>
      <c r="U129">
        <f t="shared" si="11"/>
        <v>0.47095746419981693</v>
      </c>
    </row>
    <row r="130" spans="1:21" x14ac:dyDescent="0.2">
      <c r="A130" t="str">
        <f>VLOOKUP(J130,'dataset mapping'!$A$4:$E$69,2,0)</f>
        <v>market for transport, freight, lorry, unspecified</v>
      </c>
      <c r="B130" s="45">
        <f>SUM(B128:B129)/1000*B115</f>
        <v>0.2056</v>
      </c>
      <c r="C130" t="str">
        <f>VLOOKUP(J130,'dataset mapping'!$A$4:$E$69,5,0)</f>
        <v>ton kilometer</v>
      </c>
      <c r="E130" t="str">
        <f>VLOOKUP(J130,'dataset mapping'!$A$4:$E$69,4,0)</f>
        <v>RER</v>
      </c>
      <c r="F130" t="s">
        <v>86</v>
      </c>
      <c r="G130" t="str">
        <f>VLOOKUP(J130,'dataset mapping'!$A$4:$E$69,3,0)</f>
        <v>transport, freight, lorry, unspecified</v>
      </c>
      <c r="H130" t="s">
        <v>88</v>
      </c>
      <c r="I130" t="s">
        <v>1052</v>
      </c>
      <c r="J130" t="s">
        <v>278</v>
      </c>
      <c r="K130" t="str">
        <f>B103</f>
        <v>hydrogen supply, transported by truck, produced by Electrolysis, PEM using water and electricity from grid</v>
      </c>
      <c r="L130">
        <f t="shared" si="9"/>
        <v>2</v>
      </c>
      <c r="M130">
        <f t="shared" si="10"/>
        <v>-1.5818227454011269</v>
      </c>
      <c r="N130">
        <v>1.5</v>
      </c>
      <c r="O130" s="15">
        <v>1.2</v>
      </c>
      <c r="P130">
        <v>1.5</v>
      </c>
      <c r="Q130">
        <v>1.1000000000000001</v>
      </c>
      <c r="R130">
        <v>2</v>
      </c>
      <c r="S130">
        <v>1.2</v>
      </c>
      <c r="T130">
        <v>2</v>
      </c>
      <c r="U130">
        <f t="shared" si="11"/>
        <v>0.58422518478336083</v>
      </c>
    </row>
    <row r="131" spans="1:21" x14ac:dyDescent="0.2">
      <c r="A131" t="s">
        <v>1038</v>
      </c>
      <c r="B131" s="53">
        <f>SUM(B128:B129)</f>
        <v>1.028</v>
      </c>
      <c r="C131" t="str">
        <f>VLOOKUP(J131,'dataset mapping'!$A$4:$E$69,5,0)</f>
        <v>kilogram</v>
      </c>
      <c r="E131" t="s">
        <v>64</v>
      </c>
      <c r="F131" t="s">
        <v>86</v>
      </c>
      <c r="G131" t="s">
        <v>1039</v>
      </c>
      <c r="H131" t="s">
        <v>88</v>
      </c>
      <c r="I131" t="s">
        <v>1040</v>
      </c>
      <c r="J131" t="s">
        <v>229</v>
      </c>
      <c r="K131" t="str">
        <f>B103</f>
        <v>hydrogen supply, transported by truck, produced by Electrolysis, PEM using water and electricity from grid</v>
      </c>
      <c r="L131">
        <f t="shared" si="9"/>
        <v>2</v>
      </c>
      <c r="M131">
        <f t="shared" si="10"/>
        <v>2.7615167032973391E-2</v>
      </c>
      <c r="N131">
        <v>1.5</v>
      </c>
      <c r="O131" s="15">
        <v>1.2</v>
      </c>
      <c r="P131">
        <v>1.5</v>
      </c>
      <c r="Q131">
        <v>1.1000000000000001</v>
      </c>
      <c r="R131">
        <v>2</v>
      </c>
      <c r="S131">
        <v>1.2</v>
      </c>
      <c r="T131">
        <v>3</v>
      </c>
      <c r="U131">
        <f t="shared" si="11"/>
        <v>0.72314801614797197</v>
      </c>
    </row>
    <row r="132" spans="1:21" x14ac:dyDescent="0.2">
      <c r="A132" t="s">
        <v>130</v>
      </c>
      <c r="B132" s="52">
        <f>(VLOOKUP(B118,parameters!$A$71:$B$78,2,0)+VLOOKUP(B114,parameters!$A$82:$B$84,2,0)+VLOOKUP(B114,parameters!$A$87:$B$89,2,0))*SUM(B128:B129)</f>
        <v>2.0765600000000002</v>
      </c>
      <c r="C132" t="s">
        <v>92</v>
      </c>
      <c r="E132" t="s">
        <v>64</v>
      </c>
      <c r="F132" t="s">
        <v>86</v>
      </c>
      <c r="G132" t="s">
        <v>93</v>
      </c>
      <c r="H132" t="s">
        <v>78</v>
      </c>
      <c r="I132" t="s">
        <v>1053</v>
      </c>
      <c r="J132" t="s">
        <v>67</v>
      </c>
      <c r="K132" t="str">
        <f>B103</f>
        <v>hydrogen supply, transported by truck, produced by Electrolysis, PEM using water and electricity from grid</v>
      </c>
      <c r="L132">
        <f t="shared" si="9"/>
        <v>2</v>
      </c>
      <c r="M132">
        <f t="shared" si="10"/>
        <v>0.73071267844608689</v>
      </c>
      <c r="N132">
        <v>1.5</v>
      </c>
      <c r="O132" s="15">
        <v>1.2</v>
      </c>
      <c r="P132">
        <v>1.5</v>
      </c>
      <c r="Q132">
        <v>1.1000000000000001</v>
      </c>
      <c r="R132">
        <v>2</v>
      </c>
      <c r="S132">
        <v>1.2</v>
      </c>
      <c r="T132">
        <v>1.05</v>
      </c>
      <c r="U132">
        <f t="shared" si="11"/>
        <v>0.47095746419981693</v>
      </c>
    </row>
    <row r="133" spans="1:21" x14ac:dyDescent="0.2">
      <c r="A133" t="s">
        <v>7</v>
      </c>
      <c r="B133" s="53">
        <f>B129</f>
        <v>2.8000000000000001E-2</v>
      </c>
      <c r="C133" t="s">
        <v>56</v>
      </c>
      <c r="D133" t="s">
        <v>100</v>
      </c>
      <c r="F133" t="s">
        <v>99</v>
      </c>
      <c r="H133" t="s">
        <v>131</v>
      </c>
      <c r="I133" t="s">
        <v>160</v>
      </c>
      <c r="K133" t="str">
        <f>B103</f>
        <v>hydrogen supply, transported by truck, produced by Electrolysis, PEM using water and electricity from grid</v>
      </c>
      <c r="L133">
        <f t="shared" si="9"/>
        <v>2</v>
      </c>
      <c r="M133">
        <f t="shared" si="10"/>
        <v>-3.575550768806933</v>
      </c>
      <c r="N133">
        <v>1.5</v>
      </c>
      <c r="O133" s="15">
        <v>1.2</v>
      </c>
      <c r="P133">
        <v>1.5</v>
      </c>
      <c r="Q133">
        <v>1.1000000000000001</v>
      </c>
      <c r="R133">
        <v>2</v>
      </c>
      <c r="S133">
        <v>1.2</v>
      </c>
      <c r="T133">
        <v>1.05</v>
      </c>
      <c r="U133">
        <f t="shared" si="11"/>
        <v>0.47095746419981693</v>
      </c>
    </row>
    <row r="134" spans="1:21" x14ac:dyDescent="0.2">
      <c r="B134" s="45"/>
    </row>
    <row r="136" spans="1:21" x14ac:dyDescent="0.2">
      <c r="A136" s="2" t="s">
        <v>50</v>
      </c>
      <c r="B136" s="44" t="str">
        <f>"hydrogen supply, transported by "&amp;B147&amp;", produced by "&amp;B151&amp;" using "&amp;B152&amp;" from "&amp;B153</f>
        <v>hydrogen supply, transported by pipeline, produced by Electrolysis, SOEC using water and electricity from grid</v>
      </c>
    </row>
    <row r="137" spans="1:21" x14ac:dyDescent="0.2">
      <c r="A137" t="s">
        <v>51</v>
      </c>
      <c r="B137" s="45" t="str">
        <f>"This dataset represents the supply of 1 kilogram of hydrogen. The hydrogen is transported by "&amp;B147&amp;" over "&amp;B148&amp;" km from regional storage. "&amp;" The "&amp;B146&amp;" is produced by  "&amp;B151&amp;", with "&amp;B152&amp;" from "&amp;B153&amp;" as feedstock. "&amp;A155&amp;": "&amp;(B155*100)&amp;"%. "&amp;A156&amp;": "&amp;(B156*100)&amp;".  For more information, refer to: "&amp;B138</f>
        <v>This dataset represents the supply of 1 kilogram of hydrogen. The hydrogen is transported by pipeline over 500 km from regional storage.  The hydrogen is produced by  Electrolysis, SOEC,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38" spans="1:21" x14ac:dyDescent="0.2">
      <c r="A138" t="s">
        <v>63</v>
      </c>
      <c r="B138" s="45" t="s">
        <v>1223</v>
      </c>
    </row>
    <row r="139" spans="1:21" x14ac:dyDescent="0.2">
      <c r="A139" t="s">
        <v>52</v>
      </c>
      <c r="B139" s="45" t="s">
        <v>64</v>
      </c>
    </row>
    <row r="140" spans="1:21" x14ac:dyDescent="0.2">
      <c r="A140" t="s">
        <v>48</v>
      </c>
      <c r="B140" s="45">
        <v>17</v>
      </c>
    </row>
    <row r="141" spans="1:21" x14ac:dyDescent="0.2">
      <c r="A141" t="s">
        <v>54</v>
      </c>
      <c r="B141" s="45" t="s">
        <v>1129</v>
      </c>
    </row>
    <row r="142" spans="1:21" x14ac:dyDescent="0.2">
      <c r="A142" t="s">
        <v>55</v>
      </c>
      <c r="B142" s="45" t="s">
        <v>56</v>
      </c>
    </row>
    <row r="143" spans="1:21" x14ac:dyDescent="0.2">
      <c r="A143" t="s">
        <v>0</v>
      </c>
      <c r="B143" s="45" t="str">
        <f>INDEX(overview!$B$4:$R$338,MATCH('hydrogen - supply'!B140,overview!$A$4:$A$338,0),MATCH('hydrogen - supply'!A143,overview!$B$3:$R$3,0))</f>
        <v>Switzerland</v>
      </c>
    </row>
    <row r="144" spans="1:21" x14ac:dyDescent="0.2">
      <c r="A144" t="s">
        <v>1</v>
      </c>
      <c r="B144" s="45">
        <f>INDEX(overview!$B$4:$R$338,MATCH('hydrogen - supply'!B140,overview!$A$4:$A$338,0),MATCH('hydrogen - supply'!A144,overview!$B$3:$R$3,0))</f>
        <v>2020</v>
      </c>
    </row>
    <row r="145" spans="1:22" x14ac:dyDescent="0.2">
      <c r="A145" t="s">
        <v>2</v>
      </c>
      <c r="B145" s="45" t="s">
        <v>1130</v>
      </c>
    </row>
    <row r="146" spans="1:22" x14ac:dyDescent="0.2">
      <c r="A146" t="s">
        <v>5</v>
      </c>
      <c r="B146" s="45" t="str">
        <f>INDEX(overview!$B$4:$R$338,MATCH('hydrogen - supply'!B140,overview!$A$4:$A$338,0),MATCH('hydrogen - supply'!A146,overview!$B$3:$R$3,0))</f>
        <v>hydrogen</v>
      </c>
    </row>
    <row r="147" spans="1:22" x14ac:dyDescent="0.2">
      <c r="A147" t="s">
        <v>4</v>
      </c>
      <c r="B147" s="45" t="str">
        <f>INDEX(overview!$B$4:$R$338,MATCH('hydrogen - supply'!B140,overview!$A$4:$A$338,0),MATCH('hydrogen - supply'!A147,overview!$B$3:$R$3,0))</f>
        <v>pipeline</v>
      </c>
    </row>
    <row r="148" spans="1:22" x14ac:dyDescent="0.2">
      <c r="A148" t="s">
        <v>38</v>
      </c>
      <c r="B148" s="45">
        <f>INDEX(overview!$B$4:$R$338,MATCH('hydrogen - supply'!B140,overview!$A$4:$A$338,0),MATCH('hydrogen - supply'!A148,overview!$B$3:$R$3,0))</f>
        <v>500</v>
      </c>
    </row>
    <row r="149" spans="1:22" x14ac:dyDescent="0.2">
      <c r="A149" t="s">
        <v>12</v>
      </c>
      <c r="B149" s="45" t="str">
        <f>INDEX(overview!$B$4:$R$338,MATCH('hydrogen - supply'!B140,overview!$A$4:$A$338,0),MATCH('hydrogen - supply'!A149,overview!$B$3:$R$3,0))</f>
        <v>Pressure vessel for stationary storage</v>
      </c>
    </row>
    <row r="150" spans="1:22" x14ac:dyDescent="0.2">
      <c r="A150" t="s">
        <v>34</v>
      </c>
      <c r="B150" s="45">
        <f>INDEX(overview!$B$4:$R$338,MATCH('hydrogen - supply'!B140,overview!$A$4:$A$338,0),MATCH('hydrogen - supply'!A150,overview!$B$3:$R$3,0))</f>
        <v>0</v>
      </c>
    </row>
    <row r="151" spans="1:22" x14ac:dyDescent="0.2">
      <c r="A151" t="s">
        <v>15</v>
      </c>
      <c r="B151" s="45" t="str">
        <f>INDEX(overview!$B$4:$R$338,MATCH('hydrogen - supply'!B140,overview!$A$4:$A$338,0),MATCH('hydrogen - supply'!A151,overview!$B$3:$R$3,0))</f>
        <v>Electrolysis, SOEC</v>
      </c>
    </row>
    <row r="152" spans="1:22" x14ac:dyDescent="0.2">
      <c r="A152" t="s">
        <v>14</v>
      </c>
      <c r="B152" s="45" t="str">
        <f>INDEX(overview!$B$4:$R$338,MATCH('hydrogen - supply'!B140,overview!$A$4:$A$338,0),MATCH('hydrogen - supply'!A152,overview!$B$3:$R$3,0))</f>
        <v>water and electricity</v>
      </c>
    </row>
    <row r="153" spans="1:22" x14ac:dyDescent="0.2">
      <c r="A153" t="s">
        <v>26</v>
      </c>
      <c r="B153" s="45" t="str">
        <f>INDEX(overview!$B$4:$R$338,MATCH('hydrogen - supply'!B140,overview!$A$4:$A$338,0),MATCH('hydrogen - supply'!A153,overview!$B$3:$R$3,0))</f>
        <v>grid</v>
      </c>
    </row>
    <row r="154" spans="1:22" x14ac:dyDescent="0.2">
      <c r="A154" t="s">
        <v>29</v>
      </c>
      <c r="B154" s="45">
        <f>INDEX(overview!$B$4:$R$338,MATCH('hydrogen - supply'!B140,overview!$A$4:$A$338,0),MATCH('hydrogen - supply'!A154,overview!$B$3:$R$3,0))</f>
        <v>0</v>
      </c>
    </row>
    <row r="155" spans="1:22" x14ac:dyDescent="0.2">
      <c r="A155" t="s">
        <v>45</v>
      </c>
      <c r="B155" s="66">
        <f>VLOOKUP(B147,parameters!$A$94:$C$96,2,0)</f>
        <v>0.01</v>
      </c>
    </row>
    <row r="156" spans="1:22" x14ac:dyDescent="0.2">
      <c r="A156" t="s">
        <v>1133</v>
      </c>
      <c r="B156" s="49">
        <f>VLOOKUP(B147,parameters!$A$94:$D$96,3,0)</f>
        <v>2.3E-2</v>
      </c>
    </row>
    <row r="157" spans="1:22" x14ac:dyDescent="0.2">
      <c r="B157" s="45"/>
    </row>
    <row r="158" spans="1:22" x14ac:dyDescent="0.2">
      <c r="A158" s="3" t="s">
        <v>57</v>
      </c>
      <c r="B158" s="45"/>
    </row>
    <row r="159" spans="1:22" x14ac:dyDescent="0.2">
      <c r="A159" s="2" t="s">
        <v>58</v>
      </c>
      <c r="B159" s="44" t="s">
        <v>59</v>
      </c>
      <c r="C159" s="2" t="s">
        <v>55</v>
      </c>
      <c r="D159" s="2" t="s">
        <v>60</v>
      </c>
      <c r="E159" s="2" t="s">
        <v>52</v>
      </c>
      <c r="F159" s="2" t="s">
        <v>61</v>
      </c>
      <c r="G159" s="2" t="s">
        <v>54</v>
      </c>
      <c r="H159" s="2" t="s">
        <v>87</v>
      </c>
      <c r="I159" s="2" t="s">
        <v>51</v>
      </c>
      <c r="J159" s="2" t="s">
        <v>138</v>
      </c>
      <c r="K159" s="2" t="s">
        <v>136</v>
      </c>
      <c r="L159" s="2" t="s">
        <v>221</v>
      </c>
      <c r="M159" s="2" t="s">
        <v>379</v>
      </c>
      <c r="N159" s="2" t="s">
        <v>1059</v>
      </c>
      <c r="O159" s="2" t="s">
        <v>1060</v>
      </c>
      <c r="P159" s="2" t="s">
        <v>1061</v>
      </c>
      <c r="Q159" s="2" t="s">
        <v>1062</v>
      </c>
      <c r="R159" s="2" t="s">
        <v>1063</v>
      </c>
      <c r="S159" s="2" t="s">
        <v>1064</v>
      </c>
      <c r="T159" s="2" t="s">
        <v>1065</v>
      </c>
      <c r="U159" s="2" t="s">
        <v>380</v>
      </c>
      <c r="V159" s="2" t="s">
        <v>1128</v>
      </c>
    </row>
    <row r="160" spans="1:22" x14ac:dyDescent="0.2">
      <c r="A160" t="str">
        <f>B136</f>
        <v>hydrogen supply, transported by pipeline, produced by Electrolysis, SOEC using water and electricity from grid</v>
      </c>
      <c r="B160" s="45">
        <v>1</v>
      </c>
      <c r="C160" t="str">
        <f>B142</f>
        <v>kilogram</v>
      </c>
      <c r="E160" t="str">
        <f>B139</f>
        <v>CH</v>
      </c>
      <c r="F160" t="s">
        <v>62</v>
      </c>
      <c r="G160" t="str">
        <f>B141</f>
        <v>hydrogen, gaseous, from pipeline</v>
      </c>
      <c r="K160" t="str">
        <f>B136</f>
        <v>hydrogen supply, transported by pipeline, produced by Electrolysis, SOEC using water and electricity from grid</v>
      </c>
    </row>
    <row r="161" spans="1:21" x14ac:dyDescent="0.2">
      <c r="A161" t="str">
        <f>VLOOKUP(J161,'dataset mapping'!$A$4:$E$69,2,0)</f>
        <v>hydrogen production, gaseous, 25 bar, from SOEC electrolysis, from grid electricity</v>
      </c>
      <c r="B161" s="53">
        <v>1</v>
      </c>
      <c r="C161" t="str">
        <f>VLOOKUP(J161,'dataset mapping'!$A$4:$E$69,5,0)</f>
        <v>kilogram</v>
      </c>
      <c r="E161" t="str">
        <f>VLOOKUP(J161,'dataset mapping'!$A$4:$E$69,4,0)</f>
        <v>CH</v>
      </c>
      <c r="F161" t="s">
        <v>86</v>
      </c>
      <c r="G161" t="str">
        <f>VLOOKUP(J161,'dataset mapping'!$A$4:$E$69,3,0)</f>
        <v>hydrogen, gaseous, 25 bar</v>
      </c>
      <c r="H161" t="s">
        <v>281</v>
      </c>
      <c r="I161" t="s">
        <v>1054</v>
      </c>
      <c r="J161" t="s">
        <v>282</v>
      </c>
      <c r="K161" t="str">
        <f>B136</f>
        <v>hydrogen supply, transported by pipeline, produced by Electrolysis, SOEC using water and electricity from grid</v>
      </c>
      <c r="L161">
        <f t="shared" ref="L161:L168" si="12">IF(OR(B161&lt;0,B161=0),1,2)</f>
        <v>2</v>
      </c>
      <c r="M161">
        <f t="shared" ref="M161:M168" si="13">IF(L161=2,LN(B161),"")</f>
        <v>0</v>
      </c>
      <c r="N161">
        <v>1.5</v>
      </c>
      <c r="O161" s="15">
        <v>1.2</v>
      </c>
      <c r="P161">
        <v>1.5</v>
      </c>
      <c r="Q161">
        <v>1.1000000000000001</v>
      </c>
      <c r="R161">
        <v>2</v>
      </c>
      <c r="S161">
        <v>1.2</v>
      </c>
      <c r="T161">
        <v>1.05</v>
      </c>
      <c r="U161">
        <f t="shared" ref="U161:U168" si="14">LN(SQRT(EXP(
SQRT(
+POWER(LN(N161),2)
+POWER(LN(O161),2)
+POWER(LN(P161),2)
+POWER(LN(Q161),2)
+POWER(LN(R161),2)
+POWER(LN(S161),2)
+POWER(LN(T161),2)
)
)))</f>
        <v>0.47095746419981693</v>
      </c>
    </row>
    <row r="162" spans="1:21" x14ac:dyDescent="0.2">
      <c r="A162" t="str">
        <f>VLOOKUP(J162,'dataset mapping'!$A$4:$E$69,2,0)</f>
        <v>hydrogen production, gaseous, 25 bar, from SOEC electrolysis, from grid electricity</v>
      </c>
      <c r="B162" s="53">
        <f>(B161*B155)+(B156*B161)</f>
        <v>3.3000000000000002E-2</v>
      </c>
      <c r="C162" t="str">
        <f>VLOOKUP(J162,'dataset mapping'!$A$4:$E$69,5,0)</f>
        <v>kilogram</v>
      </c>
      <c r="E162" t="str">
        <f>VLOOKUP(J162,'dataset mapping'!$A$4:$E$69,4,0)</f>
        <v>CH</v>
      </c>
      <c r="F162" t="s">
        <v>86</v>
      </c>
      <c r="G162" t="str">
        <f>VLOOKUP(J162,'dataset mapping'!$A$4:$E$69,3,0)</f>
        <v>hydrogen, gaseous, 25 bar</v>
      </c>
      <c r="H162" t="s">
        <v>76</v>
      </c>
      <c r="I162" t="s">
        <v>1054</v>
      </c>
      <c r="J162" t="s">
        <v>282</v>
      </c>
      <c r="K162" t="str">
        <f>B137</f>
        <v>This dataset represents the supply of 1 kilogram of hydrogen. The hydrogen is transported by pipeline over 500 km from regional storage.  The hydrogen is produced by  Electrolysis, SOEC,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62">
        <f t="shared" si="12"/>
        <v>2</v>
      </c>
      <c r="M162">
        <f t="shared" si="13"/>
        <v>-3.4112477175156566</v>
      </c>
      <c r="N162">
        <v>1.5</v>
      </c>
      <c r="O162" s="15">
        <v>1.2</v>
      </c>
      <c r="P162">
        <v>1.5</v>
      </c>
      <c r="Q162">
        <v>1.1000000000000001</v>
      </c>
      <c r="R162">
        <v>2</v>
      </c>
      <c r="S162">
        <v>1.2</v>
      </c>
      <c r="T162">
        <v>1.05</v>
      </c>
      <c r="U162">
        <f t="shared" si="14"/>
        <v>0.47095746419981693</v>
      </c>
    </row>
    <row r="163" spans="1:21" x14ac:dyDescent="0.2">
      <c r="A163" t="str">
        <f>VLOOKUP(J163,'dataset mapping'!$A$4:$E$69,2,0)</f>
        <v>distribution pipeline for hydrogen, dedicated hydrogen pipeline</v>
      </c>
      <c r="B163" s="45">
        <f>0.000000000265*SUM(B161:B162)*B148*0.86</f>
        <v>1.1771035E-7</v>
      </c>
      <c r="C163" t="str">
        <f>VLOOKUP(J163,'dataset mapping'!$A$4:$E$69,5,0)</f>
        <v>kilometer</v>
      </c>
      <c r="E163" t="str">
        <f>VLOOKUP(J163,'dataset mapping'!$A$4:$E$69,4,0)</f>
        <v>CH</v>
      </c>
      <c r="F163" t="s">
        <v>86</v>
      </c>
      <c r="G163" t="str">
        <f>VLOOKUP(J163,'dataset mapping'!$A$4:$E$69,3,0)</f>
        <v>pipeline, for hydrogen distribution</v>
      </c>
      <c r="H163" t="s">
        <v>88</v>
      </c>
      <c r="I163" t="s">
        <v>1052</v>
      </c>
      <c r="J163" t="s">
        <v>218</v>
      </c>
      <c r="K163" t="str">
        <f>B136</f>
        <v>hydrogen supply, transported by pipeline, produced by Electrolysis, SOEC using water and electricity from grid</v>
      </c>
      <c r="L163">
        <f t="shared" si="12"/>
        <v>2</v>
      </c>
      <c r="M163">
        <f t="shared" si="13"/>
        <v>-15.955038891117216</v>
      </c>
      <c r="N163">
        <v>1.5</v>
      </c>
      <c r="O163" s="15">
        <v>1.2</v>
      </c>
      <c r="P163">
        <v>1.5</v>
      </c>
      <c r="Q163">
        <v>1.1000000000000001</v>
      </c>
      <c r="R163">
        <v>2</v>
      </c>
      <c r="S163">
        <v>1.2</v>
      </c>
      <c r="T163">
        <v>3</v>
      </c>
      <c r="U163">
        <f t="shared" si="14"/>
        <v>0.72314801614797197</v>
      </c>
    </row>
    <row r="164" spans="1:21" x14ac:dyDescent="0.2">
      <c r="A164" t="str">
        <f>VLOOKUP(J164,'dataset mapping'!$A$4:$E$69,2,0)</f>
        <v>transmission pipeline for hydrogen, dedicated hydrogen pipeline</v>
      </c>
      <c r="B164" s="45">
        <f>0.000000000265*SUM(B161:B162)*B148*0.14</f>
        <v>1.9162150000000001E-8</v>
      </c>
      <c r="C164" t="str">
        <f>VLOOKUP(J164,'dataset mapping'!$A$4:$E$69,5,0)</f>
        <v>kilometer</v>
      </c>
      <c r="E164" t="str">
        <f>VLOOKUP(J164,'dataset mapping'!$A$4:$E$69,4,0)</f>
        <v>CH</v>
      </c>
      <c r="F164" t="s">
        <v>86</v>
      </c>
      <c r="G164" t="str">
        <f>VLOOKUP(J164,'dataset mapping'!$A$4:$E$69,3,0)</f>
        <v>pipeline, for hydrogen transmission</v>
      </c>
      <c r="H164" t="s">
        <v>88</v>
      </c>
      <c r="I164" t="s">
        <v>1052</v>
      </c>
      <c r="J164" t="s">
        <v>219</v>
      </c>
      <c r="K164" t="str">
        <f>B136</f>
        <v>hydrogen supply, transported by pipeline, produced by Electrolysis, SOEC using water and electricity from grid</v>
      </c>
      <c r="L164">
        <f t="shared" si="12"/>
        <v>2</v>
      </c>
      <c r="M164">
        <f t="shared" si="13"/>
        <v>-17.770328857755466</v>
      </c>
      <c r="N164">
        <v>1.5</v>
      </c>
      <c r="O164" s="15">
        <v>1.2</v>
      </c>
      <c r="P164">
        <v>1.5</v>
      </c>
      <c r="Q164">
        <v>1.1000000000000001</v>
      </c>
      <c r="R164">
        <v>2</v>
      </c>
      <c r="S164">
        <v>1.2</v>
      </c>
      <c r="T164">
        <v>3</v>
      </c>
      <c r="U164">
        <f t="shared" si="14"/>
        <v>0.72314801614797197</v>
      </c>
    </row>
    <row r="165" spans="1:21" x14ac:dyDescent="0.2">
      <c r="A165" t="s">
        <v>1038</v>
      </c>
      <c r="B165" s="53">
        <f>SUM(B161:B162)</f>
        <v>1.0329999999999999</v>
      </c>
      <c r="C165" t="str">
        <f>VLOOKUP(J165,'dataset mapping'!$A$4:$E$69,5,0)</f>
        <v>kilogram</v>
      </c>
      <c r="E165" t="s">
        <v>64</v>
      </c>
      <c r="F165" t="s">
        <v>86</v>
      </c>
      <c r="G165" t="s">
        <v>1039</v>
      </c>
      <c r="H165" t="s">
        <v>88</v>
      </c>
      <c r="I165" t="s">
        <v>1040</v>
      </c>
      <c r="J165" t="s">
        <v>229</v>
      </c>
      <c r="K165" t="str">
        <f>B136</f>
        <v>hydrogen supply, transported by pipeline, produced by Electrolysis, SOEC using water and electricity from grid</v>
      </c>
      <c r="L165">
        <f t="shared" si="12"/>
        <v>2</v>
      </c>
      <c r="M165">
        <f t="shared" si="13"/>
        <v>3.2467190137501413E-2</v>
      </c>
      <c r="N165">
        <v>1.5</v>
      </c>
      <c r="O165" s="15">
        <v>1.2</v>
      </c>
      <c r="P165">
        <v>1.5</v>
      </c>
      <c r="Q165">
        <v>1.1000000000000001</v>
      </c>
      <c r="R165">
        <v>2</v>
      </c>
      <c r="S165">
        <v>1.2</v>
      </c>
      <c r="T165">
        <v>3</v>
      </c>
      <c r="U165">
        <f t="shared" si="14"/>
        <v>0.72314801614797197</v>
      </c>
    </row>
    <row r="166" spans="1:21" x14ac:dyDescent="0.2">
      <c r="A166" t="s">
        <v>130</v>
      </c>
      <c r="B166" s="52">
        <f>(VLOOKUP(B151,parameters!$A$71:$B$78,2,0)+VLOOKUP(B147,parameters!$A$82:$B$84,2,0)+VLOOKUP(B147,parameters!$A$87:$B$89,2,0))*SUM(B161:B162)</f>
        <v>2.0246799999999996</v>
      </c>
      <c r="C166" t="s">
        <v>92</v>
      </c>
      <c r="E166" t="s">
        <v>64</v>
      </c>
      <c r="F166" t="s">
        <v>86</v>
      </c>
      <c r="G166" t="s">
        <v>93</v>
      </c>
      <c r="H166" t="s">
        <v>78</v>
      </c>
      <c r="I166" t="s">
        <v>1053</v>
      </c>
      <c r="J166" t="s">
        <v>67</v>
      </c>
      <c r="K166" t="str">
        <f>B136</f>
        <v>hydrogen supply, transported by pipeline, produced by Electrolysis, SOEC using water and electricity from grid</v>
      </c>
      <c r="L166">
        <f t="shared" si="12"/>
        <v>2</v>
      </c>
      <c r="M166">
        <f t="shared" si="13"/>
        <v>0.70541166337992711</v>
      </c>
      <c r="N166">
        <v>1.5</v>
      </c>
      <c r="O166" s="15">
        <v>1.2</v>
      </c>
      <c r="P166">
        <v>1.5</v>
      </c>
      <c r="Q166">
        <v>1.1000000000000001</v>
      </c>
      <c r="R166">
        <v>2</v>
      </c>
      <c r="S166">
        <v>1.2</v>
      </c>
      <c r="T166">
        <v>1.05</v>
      </c>
      <c r="U166">
        <f t="shared" si="14"/>
        <v>0.47095746419981693</v>
      </c>
    </row>
    <row r="167" spans="1:21" x14ac:dyDescent="0.2">
      <c r="A167" t="s">
        <v>130</v>
      </c>
      <c r="B167" s="52">
        <f>0.6*SUM(B161:B162)*(B148/250)</f>
        <v>1.2395999999999998</v>
      </c>
      <c r="C167" t="s">
        <v>92</v>
      </c>
      <c r="E167" t="s">
        <v>64</v>
      </c>
      <c r="F167" t="s">
        <v>86</v>
      </c>
      <c r="G167" t="s">
        <v>93</v>
      </c>
      <c r="H167" t="s">
        <v>78</v>
      </c>
      <c r="I167" t="s">
        <v>1135</v>
      </c>
      <c r="J167" t="s">
        <v>67</v>
      </c>
      <c r="K167" t="str">
        <f>B137</f>
        <v>This dataset represents the supply of 1 kilogram of hydrogen. The hydrogen is transported by pipeline over 500 km from regional storage.  The hydrogen is produced by  Electrolysis, SOEC, with water and electricity from grid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67">
        <f t="shared" si="12"/>
        <v>2</v>
      </c>
      <c r="M167">
        <f t="shared" si="13"/>
        <v>0.21478874693145597</v>
      </c>
      <c r="N167">
        <v>1.5</v>
      </c>
      <c r="O167" s="15">
        <v>1.2</v>
      </c>
      <c r="P167">
        <v>1.5</v>
      </c>
      <c r="Q167">
        <v>1.1000000000000001</v>
      </c>
      <c r="R167">
        <v>2</v>
      </c>
      <c r="S167">
        <v>1.2</v>
      </c>
      <c r="T167">
        <v>1.05</v>
      </c>
      <c r="U167">
        <f t="shared" si="14"/>
        <v>0.47095746419981693</v>
      </c>
    </row>
    <row r="168" spans="1:21" x14ac:dyDescent="0.2">
      <c r="A168" t="s">
        <v>7</v>
      </c>
      <c r="B168" s="53">
        <f>B162</f>
        <v>3.3000000000000002E-2</v>
      </c>
      <c r="C168" t="s">
        <v>56</v>
      </c>
      <c r="D168" t="s">
        <v>100</v>
      </c>
      <c r="F168" t="s">
        <v>99</v>
      </c>
      <c r="H168" t="s">
        <v>131</v>
      </c>
      <c r="I168" t="s">
        <v>160</v>
      </c>
      <c r="K168" t="str">
        <f>B136</f>
        <v>hydrogen supply, transported by pipeline, produced by Electrolysis, SOEC using water and electricity from grid</v>
      </c>
      <c r="L168">
        <f t="shared" si="12"/>
        <v>2</v>
      </c>
      <c r="M168">
        <f t="shared" si="13"/>
        <v>-3.4112477175156566</v>
      </c>
      <c r="N168">
        <v>1.5</v>
      </c>
      <c r="O168" s="15">
        <v>1.2</v>
      </c>
      <c r="P168">
        <v>1.5</v>
      </c>
      <c r="Q168">
        <v>1.1000000000000001</v>
      </c>
      <c r="R168">
        <v>2</v>
      </c>
      <c r="S168">
        <v>1.2</v>
      </c>
      <c r="T168">
        <v>1.05</v>
      </c>
      <c r="U168">
        <f t="shared" si="14"/>
        <v>0.47095746419981693</v>
      </c>
    </row>
    <row r="169" spans="1:21" x14ac:dyDescent="0.2">
      <c r="B169" s="45"/>
    </row>
    <row r="170" spans="1:21" x14ac:dyDescent="0.2">
      <c r="A170" s="2" t="s">
        <v>50</v>
      </c>
      <c r="B170" s="44" t="str">
        <f>"hydrogen supply, transported by "&amp;B181&amp;", produced by "&amp;B185&amp;" using "&amp;B186&amp;" from "&amp;B187</f>
        <v>hydrogen supply, transported by truck, produced by Electrolysis, SOEC using water and electricity from grid</v>
      </c>
    </row>
    <row r="171" spans="1:21" x14ac:dyDescent="0.2">
      <c r="A171" t="s">
        <v>51</v>
      </c>
      <c r="B171" s="45" t="str">
        <f>"This dataset represents the supply of 1 kilogram of hydrogen. The hydrogen is transported by "&amp;B181&amp;" over "&amp;B182&amp;" km from regional storage. "&amp;" The "&amp;B180&amp;" is produced by  "&amp;B185&amp;", with "&amp;B186&amp;" from "&amp;B187&amp;" as feedstock. "&amp;A189&amp;": "&amp;(B189*100)&amp;"%. "&amp;A190&amp;": "&amp;(B190*100)&amp;".  For more information, refer to: "&amp;B172</f>
        <v>This dataset represents the supply of 1 kilogram of hydrogen. The hydrogen is transported by truck over 200 km from regional storage.  The hydrogen is produced by  Electrolysis, SOEC,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72" spans="1:21" x14ac:dyDescent="0.2">
      <c r="A172" t="s">
        <v>63</v>
      </c>
      <c r="B172" s="45" t="s">
        <v>1223</v>
      </c>
    </row>
    <row r="173" spans="1:21" x14ac:dyDescent="0.2">
      <c r="A173" t="s">
        <v>52</v>
      </c>
      <c r="B173" s="45" t="s">
        <v>64</v>
      </c>
    </row>
    <row r="174" spans="1:21" x14ac:dyDescent="0.2">
      <c r="A174" t="s">
        <v>48</v>
      </c>
      <c r="B174" s="45">
        <v>21</v>
      </c>
    </row>
    <row r="175" spans="1:21" x14ac:dyDescent="0.2">
      <c r="A175" t="s">
        <v>54</v>
      </c>
      <c r="B175" s="45" t="s">
        <v>1137</v>
      </c>
    </row>
    <row r="176" spans="1:21" x14ac:dyDescent="0.2">
      <c r="A176" t="s">
        <v>55</v>
      </c>
      <c r="B176" s="45" t="s">
        <v>56</v>
      </c>
    </row>
    <row r="177" spans="1:2" x14ac:dyDescent="0.2">
      <c r="A177" t="s">
        <v>0</v>
      </c>
      <c r="B177" s="45" t="str">
        <f>INDEX(overview!$B$4:$R$338,MATCH('hydrogen - supply'!B174,overview!$A$4:$A$338,0),MATCH('hydrogen - supply'!A177,overview!$B$3:$R$3,0))</f>
        <v>Switzerland</v>
      </c>
    </row>
    <row r="178" spans="1:2" x14ac:dyDescent="0.2">
      <c r="A178" t="s">
        <v>1</v>
      </c>
      <c r="B178" s="45">
        <f>INDEX(overview!$B$4:$R$338,MATCH('hydrogen - supply'!B174,overview!$A$4:$A$338,0),MATCH('hydrogen - supply'!A178,overview!$B$3:$R$3,0))</f>
        <v>2020</v>
      </c>
    </row>
    <row r="179" spans="1:2" x14ac:dyDescent="0.2">
      <c r="A179" t="s">
        <v>2</v>
      </c>
      <c r="B179" s="45" t="s">
        <v>1130</v>
      </c>
    </row>
    <row r="180" spans="1:2" x14ac:dyDescent="0.2">
      <c r="A180" t="s">
        <v>5</v>
      </c>
      <c r="B180" s="45" t="str">
        <f>INDEX(overview!$B$4:$R$338,MATCH('hydrogen - supply'!B174,overview!$A$4:$A$338,0),MATCH('hydrogen - supply'!A180,overview!$B$3:$R$3,0))</f>
        <v>hydrogen</v>
      </c>
    </row>
    <row r="181" spans="1:2" x14ac:dyDescent="0.2">
      <c r="A181" t="s">
        <v>4</v>
      </c>
      <c r="B181" s="45" t="s">
        <v>69</v>
      </c>
    </row>
    <row r="182" spans="1:2" x14ac:dyDescent="0.2">
      <c r="A182" t="s">
        <v>38</v>
      </c>
      <c r="B182" s="45">
        <f>INDEX(overview!$B$4:$R$338,MATCH('hydrogen - supply'!B174,overview!$A$4:$A$338,0),MATCH('hydrogen - supply'!A182,overview!$B$3:$R$3,0))</f>
        <v>200</v>
      </c>
    </row>
    <row r="183" spans="1:2" x14ac:dyDescent="0.2">
      <c r="A183" t="s">
        <v>12</v>
      </c>
      <c r="B183" s="45" t="str">
        <f>INDEX(overview!$B$4:$R$338,MATCH('hydrogen - supply'!B174,overview!$A$4:$A$338,0),MATCH('hydrogen - supply'!A183,overview!$B$3:$R$3,0))</f>
        <v>Pressure vessel for stationary storage</v>
      </c>
    </row>
    <row r="184" spans="1:2" x14ac:dyDescent="0.2">
      <c r="A184" t="s">
        <v>34</v>
      </c>
      <c r="B184" s="45">
        <f>INDEX(overview!$B$4:$R$338,MATCH('hydrogen - supply'!B174,overview!$A$4:$A$338,0),MATCH('hydrogen - supply'!A184,overview!$B$3:$R$3,0))</f>
        <v>0</v>
      </c>
    </row>
    <row r="185" spans="1:2" x14ac:dyDescent="0.2">
      <c r="A185" t="s">
        <v>15</v>
      </c>
      <c r="B185" s="45" t="str">
        <f>INDEX(overview!$B$4:$R$338,MATCH('hydrogen - supply'!B174,overview!$A$4:$A$338,0),MATCH('hydrogen - supply'!A185,overview!$B$3:$R$3,0))</f>
        <v>Electrolysis, SOEC</v>
      </c>
    </row>
    <row r="186" spans="1:2" x14ac:dyDescent="0.2">
      <c r="A186" t="s">
        <v>14</v>
      </c>
      <c r="B186" s="45" t="str">
        <f>INDEX(overview!$B$4:$R$338,MATCH('hydrogen - supply'!B174,overview!$A$4:$A$338,0),MATCH('hydrogen - supply'!A186,overview!$B$3:$R$3,0))</f>
        <v>water and electricity</v>
      </c>
    </row>
    <row r="187" spans="1:2" x14ac:dyDescent="0.2">
      <c r="A187" t="s">
        <v>26</v>
      </c>
      <c r="B187" s="45" t="str">
        <f>INDEX(overview!$B$4:$R$338,MATCH('hydrogen - supply'!B174,overview!$A$4:$A$338,0),MATCH('hydrogen - supply'!A187,overview!$B$3:$R$3,0))</f>
        <v>grid</v>
      </c>
    </row>
    <row r="188" spans="1:2" x14ac:dyDescent="0.2">
      <c r="A188" t="s">
        <v>29</v>
      </c>
      <c r="B188" s="45">
        <f>INDEX(overview!$B$4:$R$338,MATCH('hydrogen - supply'!B174,overview!$A$4:$A$338,0),MATCH('hydrogen - supply'!A188,overview!$B$3:$R$3,0))</f>
        <v>0</v>
      </c>
    </row>
    <row r="189" spans="1:2" x14ac:dyDescent="0.2">
      <c r="A189" t="s">
        <v>45</v>
      </c>
      <c r="B189" s="66">
        <f>VLOOKUP(B181,parameters!$A$94:$C$96,2,0)</f>
        <v>5.0000000000000001E-3</v>
      </c>
    </row>
    <row r="190" spans="1:2" x14ac:dyDescent="0.2">
      <c r="A190" t="s">
        <v>1133</v>
      </c>
      <c r="B190" s="49">
        <f>VLOOKUP(B181,parameters!$A$94:$D$96,3,0)</f>
        <v>2.3E-2</v>
      </c>
    </row>
    <row r="191" spans="1:2" x14ac:dyDescent="0.2">
      <c r="B191" s="45"/>
    </row>
    <row r="192" spans="1:2" x14ac:dyDescent="0.2">
      <c r="A192" s="3" t="s">
        <v>57</v>
      </c>
      <c r="B192" s="45"/>
    </row>
    <row r="193" spans="1:22" x14ac:dyDescent="0.2">
      <c r="A193" s="2" t="s">
        <v>58</v>
      </c>
      <c r="B193" s="44" t="s">
        <v>59</v>
      </c>
      <c r="C193" s="2" t="s">
        <v>55</v>
      </c>
      <c r="D193" s="2" t="s">
        <v>60</v>
      </c>
      <c r="E193" s="2" t="s">
        <v>52</v>
      </c>
      <c r="F193" s="2" t="s">
        <v>61</v>
      </c>
      <c r="G193" s="2" t="s">
        <v>54</v>
      </c>
      <c r="H193" s="2" t="s">
        <v>87</v>
      </c>
      <c r="I193" s="2" t="s">
        <v>51</v>
      </c>
      <c r="J193" s="2" t="s">
        <v>138</v>
      </c>
      <c r="K193" s="2" t="s">
        <v>136</v>
      </c>
      <c r="L193" s="2" t="s">
        <v>221</v>
      </c>
      <c r="M193" s="2" t="s">
        <v>379</v>
      </c>
      <c r="N193" s="2" t="s">
        <v>1059</v>
      </c>
      <c r="O193" s="2" t="s">
        <v>1060</v>
      </c>
      <c r="P193" s="2" t="s">
        <v>1061</v>
      </c>
      <c r="Q193" s="2" t="s">
        <v>1062</v>
      </c>
      <c r="R193" s="2" t="s">
        <v>1063</v>
      </c>
      <c r="S193" s="2" t="s">
        <v>1064</v>
      </c>
      <c r="T193" s="2" t="s">
        <v>1065</v>
      </c>
      <c r="U193" s="2" t="s">
        <v>380</v>
      </c>
      <c r="V193" s="2" t="s">
        <v>1128</v>
      </c>
    </row>
    <row r="194" spans="1:22" x14ac:dyDescent="0.2">
      <c r="A194" t="str">
        <f>B170</f>
        <v>hydrogen supply, transported by truck, produced by Electrolysis, SOEC using water and electricity from grid</v>
      </c>
      <c r="B194" s="45">
        <v>1</v>
      </c>
      <c r="C194" t="str">
        <f>B176</f>
        <v>kilogram</v>
      </c>
      <c r="E194" t="str">
        <f>B173</f>
        <v>CH</v>
      </c>
      <c r="F194" t="s">
        <v>62</v>
      </c>
      <c r="G194" t="str">
        <f>B175</f>
        <v>hydrogen, gaseous, from truck</v>
      </c>
      <c r="K194" t="str">
        <f>B170</f>
        <v>hydrogen supply, transported by truck, produced by Electrolysis, SOEC using water and electricity from grid</v>
      </c>
    </row>
    <row r="195" spans="1:22" x14ac:dyDescent="0.2">
      <c r="A195" t="str">
        <f>VLOOKUP(J195,'dataset mapping'!$A$4:$E$69,2,0)</f>
        <v>hydrogen production, gaseous, 25 bar, from SOEC electrolysis, from grid electricity</v>
      </c>
      <c r="B195" s="53">
        <v>1</v>
      </c>
      <c r="C195" t="str">
        <f>VLOOKUP(J195,'dataset mapping'!$A$4:$E$69,5,0)</f>
        <v>kilogram</v>
      </c>
      <c r="E195" t="str">
        <f>VLOOKUP(J195,'dataset mapping'!$A$4:$E$69,4,0)</f>
        <v>CH</v>
      </c>
      <c r="F195" t="s">
        <v>86</v>
      </c>
      <c r="G195" t="str">
        <f>VLOOKUP(J195,'dataset mapping'!$A$4:$E$69,3,0)</f>
        <v>hydrogen, gaseous, 25 bar</v>
      </c>
      <c r="H195" t="s">
        <v>281</v>
      </c>
      <c r="I195" t="s">
        <v>1054</v>
      </c>
      <c r="J195" t="s">
        <v>282</v>
      </c>
      <c r="K195" t="str">
        <f>B170</f>
        <v>hydrogen supply, transported by truck, produced by Electrolysis, SOEC using water and electricity from grid</v>
      </c>
      <c r="L195">
        <f t="shared" ref="L195:L200" si="15">IF(OR(B195&lt;0,B195=0),1,2)</f>
        <v>2</v>
      </c>
      <c r="M195">
        <f t="shared" ref="M195:M200" si="16">IF(L195=2,LN(B195),"")</f>
        <v>0</v>
      </c>
      <c r="N195">
        <v>1.5</v>
      </c>
      <c r="O195" s="15">
        <v>1.2</v>
      </c>
      <c r="P195">
        <v>1.5</v>
      </c>
      <c r="Q195">
        <v>1.1000000000000001</v>
      </c>
      <c r="R195">
        <v>2</v>
      </c>
      <c r="S195">
        <v>1.2</v>
      </c>
      <c r="T195">
        <v>1.05</v>
      </c>
      <c r="U195">
        <f t="shared" ref="U195:U200" si="17">LN(SQRT(EXP(
SQRT(
+POWER(LN(N195),2)
+POWER(LN(O195),2)
+POWER(LN(P195),2)
+POWER(LN(Q195),2)
+POWER(LN(R195),2)
+POWER(LN(S195),2)
+POWER(LN(T195),2)
)
)))</f>
        <v>0.47095746419981693</v>
      </c>
    </row>
    <row r="196" spans="1:22" x14ac:dyDescent="0.2">
      <c r="A196" t="str">
        <f>VLOOKUP(J196,'dataset mapping'!$A$4:$E$69,2,0)</f>
        <v>hydrogen production, gaseous, 25 bar, from SOEC electrolysis, from grid electricity</v>
      </c>
      <c r="B196" s="53">
        <f>(B195*B189)+(B190*B195)</f>
        <v>2.8000000000000001E-2</v>
      </c>
      <c r="C196" t="str">
        <f>VLOOKUP(J196,'dataset mapping'!$A$4:$E$69,5,0)</f>
        <v>kilogram</v>
      </c>
      <c r="E196" t="str">
        <f>VLOOKUP(J196,'dataset mapping'!$A$4:$E$69,4,0)</f>
        <v>CH</v>
      </c>
      <c r="F196" t="s">
        <v>86</v>
      </c>
      <c r="G196" t="str">
        <f>VLOOKUP(J196,'dataset mapping'!$A$4:$E$69,3,0)</f>
        <v>hydrogen, gaseous, 25 bar</v>
      </c>
      <c r="H196" t="s">
        <v>76</v>
      </c>
      <c r="I196" t="s">
        <v>1054</v>
      </c>
      <c r="J196" t="s">
        <v>282</v>
      </c>
      <c r="K196" t="str">
        <f>B171</f>
        <v>This dataset represents the supply of 1 kilogram of hydrogen. The hydrogen is transported by truck over 200 km from regional storage.  The hydrogen is produced by  Electrolysis, SOEC, with water and electricity from grid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96">
        <f t="shared" si="15"/>
        <v>2</v>
      </c>
      <c r="M196">
        <f t="shared" si="16"/>
        <v>-3.575550768806933</v>
      </c>
      <c r="N196">
        <v>1.5</v>
      </c>
      <c r="O196" s="15">
        <v>1.2</v>
      </c>
      <c r="P196">
        <v>1.5</v>
      </c>
      <c r="Q196">
        <v>1.1000000000000001</v>
      </c>
      <c r="R196">
        <v>2</v>
      </c>
      <c r="S196">
        <v>1.2</v>
      </c>
      <c r="T196">
        <v>1.05</v>
      </c>
      <c r="U196">
        <f t="shared" si="17"/>
        <v>0.47095746419981693</v>
      </c>
    </row>
    <row r="197" spans="1:22" x14ac:dyDescent="0.2">
      <c r="A197" t="str">
        <f>VLOOKUP(J197,'dataset mapping'!$A$4:$E$69,2,0)</f>
        <v>market for transport, freight, lorry, unspecified</v>
      </c>
      <c r="B197" s="45">
        <f>SUM(B195:B196)/1000*B182</f>
        <v>0.2056</v>
      </c>
      <c r="C197" t="str">
        <f>VLOOKUP(J197,'dataset mapping'!$A$4:$E$69,5,0)</f>
        <v>ton kilometer</v>
      </c>
      <c r="E197" t="str">
        <f>VLOOKUP(J197,'dataset mapping'!$A$4:$E$69,4,0)</f>
        <v>RER</v>
      </c>
      <c r="F197" t="s">
        <v>86</v>
      </c>
      <c r="G197" t="str">
        <f>VLOOKUP(J197,'dataset mapping'!$A$4:$E$69,3,0)</f>
        <v>transport, freight, lorry, unspecified</v>
      </c>
      <c r="H197" t="s">
        <v>88</v>
      </c>
      <c r="I197" t="s">
        <v>1052</v>
      </c>
      <c r="J197" t="s">
        <v>278</v>
      </c>
      <c r="K197" t="str">
        <f>B170</f>
        <v>hydrogen supply, transported by truck, produced by Electrolysis, SOEC using water and electricity from grid</v>
      </c>
      <c r="L197">
        <f t="shared" si="15"/>
        <v>2</v>
      </c>
      <c r="M197">
        <f t="shared" si="16"/>
        <v>-1.5818227454011269</v>
      </c>
      <c r="N197">
        <v>1.5</v>
      </c>
      <c r="O197" s="15">
        <v>1.2</v>
      </c>
      <c r="P197">
        <v>1.5</v>
      </c>
      <c r="Q197">
        <v>1.1000000000000001</v>
      </c>
      <c r="R197">
        <v>2</v>
      </c>
      <c r="S197">
        <v>1.2</v>
      </c>
      <c r="T197">
        <v>2</v>
      </c>
      <c r="U197">
        <f t="shared" si="17"/>
        <v>0.58422518478336083</v>
      </c>
    </row>
    <row r="198" spans="1:22" x14ac:dyDescent="0.2">
      <c r="A198" t="s">
        <v>1038</v>
      </c>
      <c r="B198" s="53">
        <f>SUM(B195:B196)</f>
        <v>1.028</v>
      </c>
      <c r="C198" t="str">
        <f>VLOOKUP(J198,'dataset mapping'!$A$4:$E$69,5,0)</f>
        <v>kilogram</v>
      </c>
      <c r="E198" t="s">
        <v>64</v>
      </c>
      <c r="F198" t="s">
        <v>86</v>
      </c>
      <c r="G198" t="s">
        <v>1039</v>
      </c>
      <c r="H198" t="s">
        <v>88</v>
      </c>
      <c r="I198" t="s">
        <v>1040</v>
      </c>
      <c r="J198" t="s">
        <v>229</v>
      </c>
      <c r="K198" t="str">
        <f>B170</f>
        <v>hydrogen supply, transported by truck, produced by Electrolysis, SOEC using water and electricity from grid</v>
      </c>
      <c r="L198">
        <f t="shared" si="15"/>
        <v>2</v>
      </c>
      <c r="M198">
        <f t="shared" si="16"/>
        <v>2.7615167032973391E-2</v>
      </c>
      <c r="N198">
        <v>1.5</v>
      </c>
      <c r="O198" s="15">
        <v>1.2</v>
      </c>
      <c r="P198">
        <v>1.5</v>
      </c>
      <c r="Q198">
        <v>1.1000000000000001</v>
      </c>
      <c r="R198">
        <v>2</v>
      </c>
      <c r="S198">
        <v>1.2</v>
      </c>
      <c r="T198">
        <v>3</v>
      </c>
      <c r="U198">
        <f t="shared" si="17"/>
        <v>0.72314801614797197</v>
      </c>
    </row>
    <row r="199" spans="1:22" x14ac:dyDescent="0.2">
      <c r="A199" t="s">
        <v>130</v>
      </c>
      <c r="B199" s="52">
        <f>(VLOOKUP(B185,parameters!$A$71:$B$78,2,0)+VLOOKUP(B181,parameters!$A$82:$B$84,2,0)+VLOOKUP(B181,parameters!$A$87:$B$89,2,0))*SUM(B195:B196)</f>
        <v>3.5774400000000006</v>
      </c>
      <c r="C199" t="s">
        <v>92</v>
      </c>
      <c r="E199" t="s">
        <v>64</v>
      </c>
      <c r="F199" t="s">
        <v>86</v>
      </c>
      <c r="G199" t="s">
        <v>93</v>
      </c>
      <c r="H199" t="s">
        <v>78</v>
      </c>
      <c r="I199" t="s">
        <v>1053</v>
      </c>
      <c r="J199" t="s">
        <v>67</v>
      </c>
      <c r="K199" t="str">
        <f>B170</f>
        <v>hydrogen supply, transported by truck, produced by Electrolysis, SOEC using water and electricity from grid</v>
      </c>
      <c r="L199">
        <f t="shared" si="15"/>
        <v>2</v>
      </c>
      <c r="M199">
        <f t="shared" si="16"/>
        <v>1.2746474608193565</v>
      </c>
      <c r="N199">
        <v>1.5</v>
      </c>
      <c r="O199" s="15">
        <v>1.2</v>
      </c>
      <c r="P199">
        <v>1.5</v>
      </c>
      <c r="Q199">
        <v>1.1000000000000001</v>
      </c>
      <c r="R199">
        <v>2</v>
      </c>
      <c r="S199">
        <v>1.2</v>
      </c>
      <c r="T199">
        <v>1.05</v>
      </c>
      <c r="U199">
        <f t="shared" si="17"/>
        <v>0.47095746419981693</v>
      </c>
    </row>
    <row r="200" spans="1:22" x14ac:dyDescent="0.2">
      <c r="A200" t="s">
        <v>7</v>
      </c>
      <c r="B200" s="53">
        <f>B196</f>
        <v>2.8000000000000001E-2</v>
      </c>
      <c r="C200" t="s">
        <v>56</v>
      </c>
      <c r="D200" t="s">
        <v>100</v>
      </c>
      <c r="F200" t="s">
        <v>99</v>
      </c>
      <c r="H200" t="s">
        <v>131</v>
      </c>
      <c r="I200" t="s">
        <v>160</v>
      </c>
      <c r="K200" t="str">
        <f>B170</f>
        <v>hydrogen supply, transported by truck, produced by Electrolysis, SOEC using water and electricity from grid</v>
      </c>
      <c r="L200">
        <f t="shared" si="15"/>
        <v>2</v>
      </c>
      <c r="M200">
        <f t="shared" si="16"/>
        <v>-3.575550768806933</v>
      </c>
      <c r="N200">
        <v>1.5</v>
      </c>
      <c r="O200" s="15">
        <v>1.2</v>
      </c>
      <c r="P200">
        <v>1.5</v>
      </c>
      <c r="Q200">
        <v>1.1000000000000001</v>
      </c>
      <c r="R200">
        <v>2</v>
      </c>
      <c r="S200">
        <v>1.2</v>
      </c>
      <c r="T200">
        <v>1.05</v>
      </c>
      <c r="U200">
        <f t="shared" si="17"/>
        <v>0.47095746419981693</v>
      </c>
    </row>
    <row r="201" spans="1:22" x14ac:dyDescent="0.2">
      <c r="B201" s="45"/>
    </row>
    <row r="202" spans="1:22" x14ac:dyDescent="0.2">
      <c r="A202" s="2" t="s">
        <v>50</v>
      </c>
      <c r="B202" s="44" t="str">
        <f>"hydrogen supply, transported by "&amp;B213&amp;", produced by "&amp;B217&amp;" using "&amp;B218&amp;" from "&amp;B219</f>
        <v>hydrogen supply, transported by pipeline, produced by Electrolysis, Alkaline using water and electricity from Solar PV (CH)</v>
      </c>
    </row>
    <row r="203" spans="1:22" x14ac:dyDescent="0.2">
      <c r="A203" t="s">
        <v>51</v>
      </c>
      <c r="B203" s="45" t="str">
        <f>"This dataset represents the supply of 1 kilogram of hydrogen. The hydrogen is transported by "&amp;B213&amp;" over "&amp;B214&amp;" km from regional storage. "&amp;" The "&amp;B212&amp;" is produced by  "&amp;B217&amp;", with "&amp;B218&amp;" from "&amp;B219&amp;" as feedstock. "&amp;A221&amp;": "&amp;(B221*100)&amp;"%. "&amp;A222&amp;": "&amp;(B222*100)&amp;".  For more information, refer to: "&amp;B204</f>
        <v>This dataset represents the supply of 1 kilogram of hydrogen. The hydrogen is transported by pipeline over 500 km from regional storage.  The hydrogen is produced by  Electrolysis, Alkaline,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204" spans="1:22" x14ac:dyDescent="0.2">
      <c r="A204" t="s">
        <v>63</v>
      </c>
      <c r="B204" s="45" t="s">
        <v>1223</v>
      </c>
    </row>
    <row r="205" spans="1:22" x14ac:dyDescent="0.2">
      <c r="A205" t="s">
        <v>52</v>
      </c>
      <c r="B205" s="45" t="s">
        <v>64</v>
      </c>
    </row>
    <row r="206" spans="1:22" x14ac:dyDescent="0.2">
      <c r="A206" t="s">
        <v>48</v>
      </c>
      <c r="B206" s="45">
        <v>25</v>
      </c>
    </row>
    <row r="207" spans="1:22" x14ac:dyDescent="0.2">
      <c r="A207" t="s">
        <v>54</v>
      </c>
      <c r="B207" s="45" t="s">
        <v>1129</v>
      </c>
    </row>
    <row r="208" spans="1:22" x14ac:dyDescent="0.2">
      <c r="A208" t="s">
        <v>55</v>
      </c>
      <c r="B208" s="45" t="s">
        <v>56</v>
      </c>
    </row>
    <row r="209" spans="1:2" x14ac:dyDescent="0.2">
      <c r="A209" t="s">
        <v>0</v>
      </c>
      <c r="B209" s="45" t="str">
        <f>INDEX(overview!$B$4:$R$338,MATCH('hydrogen - supply'!B206,overview!$A$4:$A$338,0),MATCH('hydrogen - supply'!A209,overview!$B$3:$R$3,0))</f>
        <v>Switzerland</v>
      </c>
    </row>
    <row r="210" spans="1:2" x14ac:dyDescent="0.2">
      <c r="A210" t="s">
        <v>1</v>
      </c>
      <c r="B210" s="45">
        <f>INDEX(overview!$B$4:$R$338,MATCH('hydrogen - supply'!B206,overview!$A$4:$A$338,0),MATCH('hydrogen - supply'!A210,overview!$B$3:$R$3,0))</f>
        <v>2020</v>
      </c>
    </row>
    <row r="211" spans="1:2" x14ac:dyDescent="0.2">
      <c r="A211" t="s">
        <v>2</v>
      </c>
      <c r="B211" s="45" t="s">
        <v>1130</v>
      </c>
    </row>
    <row r="212" spans="1:2" x14ac:dyDescent="0.2">
      <c r="A212" t="s">
        <v>5</v>
      </c>
      <c r="B212" s="45" t="str">
        <f>INDEX(overview!$B$4:$R$338,MATCH('hydrogen - supply'!B206,overview!$A$4:$A$338,0),MATCH('hydrogen - supply'!A212,overview!$B$3:$R$3,0))</f>
        <v>hydrogen</v>
      </c>
    </row>
    <row r="213" spans="1:2" x14ac:dyDescent="0.2">
      <c r="A213" t="s">
        <v>4</v>
      </c>
      <c r="B213" s="45" t="str">
        <f>INDEX(overview!$B$4:$R$338,MATCH('hydrogen - supply'!B206,overview!$A$4:$A$338,0),MATCH('hydrogen - supply'!A213,overview!$B$3:$R$3,0))</f>
        <v>pipeline</v>
      </c>
    </row>
    <row r="214" spans="1:2" x14ac:dyDescent="0.2">
      <c r="A214" t="s">
        <v>38</v>
      </c>
      <c r="B214" s="45">
        <f>INDEX(overview!$B$4:$R$338,MATCH('hydrogen - supply'!B206,overview!$A$4:$A$338,0),MATCH('hydrogen - supply'!A214,overview!$B$3:$R$3,0))</f>
        <v>500</v>
      </c>
    </row>
    <row r="215" spans="1:2" x14ac:dyDescent="0.2">
      <c r="A215" t="s">
        <v>12</v>
      </c>
      <c r="B215" s="45" t="str">
        <f>INDEX(overview!$B$4:$R$338,MATCH('hydrogen - supply'!B206,overview!$A$4:$A$338,0),MATCH('hydrogen - supply'!A215,overview!$B$3:$R$3,0))</f>
        <v>Pressure vessel for stationary storage</v>
      </c>
    </row>
    <row r="216" spans="1:2" x14ac:dyDescent="0.2">
      <c r="A216" t="s">
        <v>34</v>
      </c>
      <c r="B216" s="45">
        <f>INDEX(overview!$B$4:$R$338,MATCH('hydrogen - supply'!B206,overview!$A$4:$A$338,0),MATCH('hydrogen - supply'!A216,overview!$B$3:$R$3,0))</f>
        <v>0</v>
      </c>
    </row>
    <row r="217" spans="1:2" x14ac:dyDescent="0.2">
      <c r="A217" t="s">
        <v>15</v>
      </c>
      <c r="B217" s="45" t="str">
        <f>INDEX(overview!$B$4:$R$338,MATCH('hydrogen - supply'!B206,overview!$A$4:$A$338,0),MATCH('hydrogen - supply'!A217,overview!$B$3:$R$3,0))</f>
        <v>Electrolysis, Alkaline</v>
      </c>
    </row>
    <row r="218" spans="1:2" x14ac:dyDescent="0.2">
      <c r="A218" t="s">
        <v>14</v>
      </c>
      <c r="B218" s="45" t="str">
        <f>INDEX(overview!$B$4:$R$338,MATCH('hydrogen - supply'!B206,overview!$A$4:$A$338,0),MATCH('hydrogen - supply'!A218,overview!$B$3:$R$3,0))</f>
        <v>water and electricity</v>
      </c>
    </row>
    <row r="219" spans="1:2" x14ac:dyDescent="0.2">
      <c r="A219" t="s">
        <v>26</v>
      </c>
      <c r="B219" s="45" t="str">
        <f>INDEX(overview!$B$4:$R$338,MATCH('hydrogen - supply'!B206,overview!$A$4:$A$338,0),MATCH('hydrogen - supply'!A219,overview!$B$3:$R$3,0))</f>
        <v>Solar PV (CH)</v>
      </c>
    </row>
    <row r="220" spans="1:2" x14ac:dyDescent="0.2">
      <c r="A220" t="s">
        <v>29</v>
      </c>
      <c r="B220" s="45">
        <f>INDEX(overview!$B$4:$R$338,MATCH('hydrogen - supply'!B206,overview!$A$4:$A$338,0),MATCH('hydrogen - supply'!A220,overview!$B$3:$R$3,0))</f>
        <v>0</v>
      </c>
    </row>
    <row r="221" spans="1:2" x14ac:dyDescent="0.2">
      <c r="A221" t="s">
        <v>45</v>
      </c>
      <c r="B221" s="66">
        <f>VLOOKUP(B213,parameters!$A$94:$C$96,2,0)</f>
        <v>0.01</v>
      </c>
    </row>
    <row r="222" spans="1:2" x14ac:dyDescent="0.2">
      <c r="A222" t="s">
        <v>1133</v>
      </c>
      <c r="B222" s="49">
        <f>VLOOKUP(B213,parameters!$A$94:$D$96,3,0)</f>
        <v>2.3E-2</v>
      </c>
    </row>
    <row r="223" spans="1:2" x14ac:dyDescent="0.2">
      <c r="B223" s="45"/>
    </row>
    <row r="224" spans="1:2" x14ac:dyDescent="0.2">
      <c r="A224" s="3" t="s">
        <v>57</v>
      </c>
      <c r="B224" s="45"/>
    </row>
    <row r="225" spans="1:22" x14ac:dyDescent="0.2">
      <c r="A225" s="2" t="s">
        <v>58</v>
      </c>
      <c r="B225" s="44" t="s">
        <v>59</v>
      </c>
      <c r="C225" s="2" t="s">
        <v>55</v>
      </c>
      <c r="D225" s="2" t="s">
        <v>60</v>
      </c>
      <c r="E225" s="2" t="s">
        <v>52</v>
      </c>
      <c r="F225" s="2" t="s">
        <v>61</v>
      </c>
      <c r="G225" s="2" t="s">
        <v>54</v>
      </c>
      <c r="H225" s="2" t="s">
        <v>87</v>
      </c>
      <c r="I225" s="2" t="s">
        <v>51</v>
      </c>
      <c r="J225" s="2" t="s">
        <v>138</v>
      </c>
      <c r="K225" s="2" t="s">
        <v>136</v>
      </c>
      <c r="L225" s="2" t="s">
        <v>221</v>
      </c>
      <c r="M225" s="2" t="s">
        <v>379</v>
      </c>
      <c r="N225" s="2" t="s">
        <v>1059</v>
      </c>
      <c r="O225" s="2" t="s">
        <v>1060</v>
      </c>
      <c r="P225" s="2" t="s">
        <v>1061</v>
      </c>
      <c r="Q225" s="2" t="s">
        <v>1062</v>
      </c>
      <c r="R225" s="2" t="s">
        <v>1063</v>
      </c>
      <c r="S225" s="2" t="s">
        <v>1064</v>
      </c>
      <c r="T225" s="2" t="s">
        <v>1065</v>
      </c>
      <c r="U225" s="2" t="s">
        <v>380</v>
      </c>
      <c r="V225" s="2" t="s">
        <v>1128</v>
      </c>
    </row>
    <row r="226" spans="1:22" x14ac:dyDescent="0.2">
      <c r="A226" t="str">
        <f>B202</f>
        <v>hydrogen supply, transported by pipeline, produced by Electrolysis, Alkaline using water and electricity from Solar PV (CH)</v>
      </c>
      <c r="B226" s="45">
        <v>1</v>
      </c>
      <c r="C226" t="str">
        <f>B208</f>
        <v>kilogram</v>
      </c>
      <c r="E226" t="str">
        <f>B205</f>
        <v>CH</v>
      </c>
      <c r="F226" t="s">
        <v>62</v>
      </c>
      <c r="G226" t="str">
        <f>B207</f>
        <v>hydrogen, gaseous, from pipeline</v>
      </c>
      <c r="K226" t="str">
        <f>B202</f>
        <v>hydrogen supply, transported by pipeline, produced by Electrolysis, Alkaline using water and electricity from Solar PV (CH)</v>
      </c>
    </row>
    <row r="227" spans="1:22" x14ac:dyDescent="0.2">
      <c r="A227" t="str">
        <f>VLOOKUP(J227,'dataset mapping'!$A$4:$E$69,2,0)</f>
        <v>hydrogen production, gaseous, 30 bar, from AEC electrolysis, from Swiss solar PV</v>
      </c>
      <c r="B227" s="53">
        <v>1</v>
      </c>
      <c r="C227" t="str">
        <f>VLOOKUP(J227,'dataset mapping'!$A$4:$E$69,5,0)</f>
        <v>kilogram</v>
      </c>
      <c r="E227" t="str">
        <f>VLOOKUP(J227,'dataset mapping'!$A$4:$E$69,4,0)</f>
        <v>CH</v>
      </c>
      <c r="F227" t="s">
        <v>86</v>
      </c>
      <c r="G227" t="str">
        <f>VLOOKUP(J227,'dataset mapping'!$A$4:$E$69,3,0)</f>
        <v>hydrogen, gaseous, 30 bar</v>
      </c>
      <c r="H227" t="s">
        <v>281</v>
      </c>
      <c r="I227" t="s">
        <v>1054</v>
      </c>
      <c r="J227" t="s">
        <v>291</v>
      </c>
      <c r="K227" t="str">
        <f>B202</f>
        <v>hydrogen supply, transported by pipeline, produced by Electrolysis, Alkaline using water and electricity from Solar PV (CH)</v>
      </c>
      <c r="L227">
        <f t="shared" ref="L227:L234" si="18">IF(OR(B227&lt;0,B227=0),1,2)</f>
        <v>2</v>
      </c>
      <c r="M227">
        <f t="shared" ref="M227:M234" si="19">IF(L227=2,LN(B227),"")</f>
        <v>0</v>
      </c>
      <c r="N227">
        <v>1.5</v>
      </c>
      <c r="O227" s="15">
        <v>1.2</v>
      </c>
      <c r="P227">
        <v>1.5</v>
      </c>
      <c r="Q227">
        <v>1.1000000000000001</v>
      </c>
      <c r="R227">
        <v>2</v>
      </c>
      <c r="S227">
        <v>1.2</v>
      </c>
      <c r="T227">
        <v>1.05</v>
      </c>
      <c r="U227">
        <f t="shared" ref="U227:U234" si="20">LN(SQRT(EXP(
SQRT(
+POWER(LN(N227),2)
+POWER(LN(O227),2)
+POWER(LN(P227),2)
+POWER(LN(Q227),2)
+POWER(LN(R227),2)
+POWER(LN(S227),2)
+POWER(LN(T227),2)
)
)))</f>
        <v>0.47095746419981693</v>
      </c>
    </row>
    <row r="228" spans="1:22" x14ac:dyDescent="0.2">
      <c r="A228" t="str">
        <f>VLOOKUP(J228,'dataset mapping'!$A$4:$E$69,2,0)</f>
        <v>hydrogen production, gaseous, 30 bar, from AEC electrolysis, from Swiss solar PV</v>
      </c>
      <c r="B228" s="53">
        <f>(B227*B221)+(B222*B227)</f>
        <v>3.3000000000000002E-2</v>
      </c>
      <c r="C228" t="str">
        <f>VLOOKUP(J228,'dataset mapping'!$A$4:$E$69,5,0)</f>
        <v>kilogram</v>
      </c>
      <c r="E228" t="str">
        <f>VLOOKUP(J228,'dataset mapping'!$A$4:$E$69,4,0)</f>
        <v>CH</v>
      </c>
      <c r="F228" t="s">
        <v>86</v>
      </c>
      <c r="G228" t="str">
        <f>VLOOKUP(J228,'dataset mapping'!$A$4:$E$69,3,0)</f>
        <v>hydrogen, gaseous, 30 bar</v>
      </c>
      <c r="H228" t="s">
        <v>76</v>
      </c>
      <c r="I228" t="s">
        <v>1054</v>
      </c>
      <c r="J228" t="s">
        <v>291</v>
      </c>
      <c r="K228" t="str">
        <f>B203</f>
        <v>This dataset represents the supply of 1 kilogram of hydrogen. The hydrogen is transported by pipeline over 500 km from regional storage.  The hydrogen is produced by  Electrolysis, Alkaline,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228">
        <f t="shared" si="18"/>
        <v>2</v>
      </c>
      <c r="M228">
        <f t="shared" si="19"/>
        <v>-3.4112477175156566</v>
      </c>
      <c r="N228">
        <v>1.5</v>
      </c>
      <c r="O228" s="15">
        <v>1.2</v>
      </c>
      <c r="P228">
        <v>1.5</v>
      </c>
      <c r="Q228">
        <v>1.1000000000000001</v>
      </c>
      <c r="R228">
        <v>2</v>
      </c>
      <c r="S228">
        <v>1.2</v>
      </c>
      <c r="T228">
        <v>1.05</v>
      </c>
      <c r="U228">
        <f t="shared" si="20"/>
        <v>0.47095746419981693</v>
      </c>
    </row>
    <row r="229" spans="1:22" x14ac:dyDescent="0.2">
      <c r="A229" t="str">
        <f>VLOOKUP(J229,'dataset mapping'!$A$4:$E$69,2,0)</f>
        <v>distribution pipeline for hydrogen, dedicated hydrogen pipeline</v>
      </c>
      <c r="B229" s="45">
        <f>0.000000000265*SUM(B227:B228)*B214*0.86</f>
        <v>1.1771035E-7</v>
      </c>
      <c r="C229" t="str">
        <f>VLOOKUP(J229,'dataset mapping'!$A$4:$E$69,5,0)</f>
        <v>kilometer</v>
      </c>
      <c r="E229" t="str">
        <f>VLOOKUP(J229,'dataset mapping'!$A$4:$E$69,4,0)</f>
        <v>CH</v>
      </c>
      <c r="F229" t="s">
        <v>86</v>
      </c>
      <c r="G229" t="str">
        <f>VLOOKUP(J229,'dataset mapping'!$A$4:$E$69,3,0)</f>
        <v>pipeline, for hydrogen distribution</v>
      </c>
      <c r="H229" t="s">
        <v>88</v>
      </c>
      <c r="I229" t="s">
        <v>1052</v>
      </c>
      <c r="J229" t="s">
        <v>218</v>
      </c>
      <c r="K229" t="str">
        <f>B202</f>
        <v>hydrogen supply, transported by pipeline, produced by Electrolysis, Alkaline using water and electricity from Solar PV (CH)</v>
      </c>
      <c r="L229">
        <f t="shared" si="18"/>
        <v>2</v>
      </c>
      <c r="M229">
        <f t="shared" si="19"/>
        <v>-15.955038891117216</v>
      </c>
      <c r="N229">
        <v>1.5</v>
      </c>
      <c r="O229" s="15">
        <v>1.2</v>
      </c>
      <c r="P229">
        <v>1.5</v>
      </c>
      <c r="Q229">
        <v>1.1000000000000001</v>
      </c>
      <c r="R229">
        <v>2</v>
      </c>
      <c r="S229">
        <v>1.2</v>
      </c>
      <c r="T229">
        <v>3</v>
      </c>
      <c r="U229">
        <f t="shared" si="20"/>
        <v>0.72314801614797197</v>
      </c>
    </row>
    <row r="230" spans="1:22" x14ac:dyDescent="0.2">
      <c r="A230" t="str">
        <f>VLOOKUP(J230,'dataset mapping'!$A$4:$E$69,2,0)</f>
        <v>transmission pipeline for hydrogen, dedicated hydrogen pipeline</v>
      </c>
      <c r="B230" s="45">
        <f>0.000000000265*SUM(B227:B228)*B214*0.14</f>
        <v>1.9162150000000001E-8</v>
      </c>
      <c r="C230" t="str">
        <f>VLOOKUP(J230,'dataset mapping'!$A$4:$E$69,5,0)</f>
        <v>kilometer</v>
      </c>
      <c r="E230" t="str">
        <f>VLOOKUP(J230,'dataset mapping'!$A$4:$E$69,4,0)</f>
        <v>CH</v>
      </c>
      <c r="F230" t="s">
        <v>86</v>
      </c>
      <c r="G230" t="str">
        <f>VLOOKUP(J230,'dataset mapping'!$A$4:$E$69,3,0)</f>
        <v>pipeline, for hydrogen transmission</v>
      </c>
      <c r="H230" t="s">
        <v>88</v>
      </c>
      <c r="I230" t="s">
        <v>1052</v>
      </c>
      <c r="J230" t="s">
        <v>219</v>
      </c>
      <c r="K230" t="str">
        <f>B202</f>
        <v>hydrogen supply, transported by pipeline, produced by Electrolysis, Alkaline using water and electricity from Solar PV (CH)</v>
      </c>
      <c r="L230">
        <f t="shared" si="18"/>
        <v>2</v>
      </c>
      <c r="M230">
        <f t="shared" si="19"/>
        <v>-17.770328857755466</v>
      </c>
      <c r="N230">
        <v>1.5</v>
      </c>
      <c r="O230" s="15">
        <v>1.2</v>
      </c>
      <c r="P230">
        <v>1.5</v>
      </c>
      <c r="Q230">
        <v>1.1000000000000001</v>
      </c>
      <c r="R230">
        <v>2</v>
      </c>
      <c r="S230">
        <v>1.2</v>
      </c>
      <c r="T230">
        <v>3</v>
      </c>
      <c r="U230">
        <f t="shared" si="20"/>
        <v>0.72314801614797197</v>
      </c>
    </row>
    <row r="231" spans="1:22" x14ac:dyDescent="0.2">
      <c r="A231" t="s">
        <v>1038</v>
      </c>
      <c r="B231" s="53">
        <f>SUM(B227:B228)</f>
        <v>1.0329999999999999</v>
      </c>
      <c r="C231" t="str">
        <f>VLOOKUP(J231,'dataset mapping'!$A$4:$E$69,5,0)</f>
        <v>kilogram</v>
      </c>
      <c r="E231" t="s">
        <v>64</v>
      </c>
      <c r="F231" t="s">
        <v>86</v>
      </c>
      <c r="G231" t="s">
        <v>1039</v>
      </c>
      <c r="H231" t="s">
        <v>88</v>
      </c>
      <c r="I231" t="s">
        <v>1040</v>
      </c>
      <c r="J231" t="s">
        <v>229</v>
      </c>
      <c r="K231" t="str">
        <f>B202</f>
        <v>hydrogen supply, transported by pipeline, produced by Electrolysis, Alkaline using water and electricity from Solar PV (CH)</v>
      </c>
      <c r="L231">
        <f t="shared" si="18"/>
        <v>2</v>
      </c>
      <c r="M231">
        <f t="shared" si="19"/>
        <v>3.2467190137501413E-2</v>
      </c>
      <c r="N231">
        <v>1.5</v>
      </c>
      <c r="O231" s="15">
        <v>1.2</v>
      </c>
      <c r="P231">
        <v>1.5</v>
      </c>
      <c r="Q231">
        <v>1.1000000000000001</v>
      </c>
      <c r="R231">
        <v>2</v>
      </c>
      <c r="S231">
        <v>1.2</v>
      </c>
      <c r="T231">
        <v>3</v>
      </c>
      <c r="U231">
        <f t="shared" si="20"/>
        <v>0.72314801614797197</v>
      </c>
    </row>
    <row r="232" spans="1:22" x14ac:dyDescent="0.2">
      <c r="A232" t="s">
        <v>130</v>
      </c>
      <c r="B232" s="52">
        <f>(VLOOKUP(B217,parameters!$A$71:$B$78,2,0)+VLOOKUP(B213,parameters!$A$82:$B$84,2,0)+VLOOKUP(B213,parameters!$A$87:$B$89,2,0))*SUM(B227:B228)</f>
        <v>1.8697299999999999</v>
      </c>
      <c r="C232" t="s">
        <v>92</v>
      </c>
      <c r="E232" t="s">
        <v>64</v>
      </c>
      <c r="F232" t="s">
        <v>86</v>
      </c>
      <c r="G232" t="s">
        <v>93</v>
      </c>
      <c r="H232" t="s">
        <v>78</v>
      </c>
      <c r="I232" t="s">
        <v>1053</v>
      </c>
      <c r="J232" t="s">
        <v>67</v>
      </c>
      <c r="K232" t="str">
        <f>B202</f>
        <v>hydrogen supply, transported by pipeline, produced by Electrolysis, Alkaline using water and electricity from Solar PV (CH)</v>
      </c>
      <c r="L232">
        <f t="shared" si="18"/>
        <v>2</v>
      </c>
      <c r="M232">
        <f t="shared" si="19"/>
        <v>0.62579403541523582</v>
      </c>
      <c r="N232">
        <v>1.5</v>
      </c>
      <c r="O232" s="15">
        <v>1.2</v>
      </c>
      <c r="P232">
        <v>1.5</v>
      </c>
      <c r="Q232">
        <v>1.1000000000000001</v>
      </c>
      <c r="R232">
        <v>2</v>
      </c>
      <c r="S232">
        <v>1.2</v>
      </c>
      <c r="T232">
        <v>1.05</v>
      </c>
      <c r="U232">
        <f t="shared" si="20"/>
        <v>0.47095746419981693</v>
      </c>
    </row>
    <row r="233" spans="1:22" x14ac:dyDescent="0.2">
      <c r="A233" t="s">
        <v>130</v>
      </c>
      <c r="B233" s="52">
        <f>0.6*SUM(B227:B228)*(B214/250)</f>
        <v>1.2395999999999998</v>
      </c>
      <c r="C233" t="s">
        <v>92</v>
      </c>
      <c r="E233" t="s">
        <v>64</v>
      </c>
      <c r="F233" t="s">
        <v>86</v>
      </c>
      <c r="G233" t="s">
        <v>93</v>
      </c>
      <c r="H233" t="s">
        <v>78</v>
      </c>
      <c r="I233" t="s">
        <v>1135</v>
      </c>
      <c r="J233" t="s">
        <v>67</v>
      </c>
      <c r="K233" t="str">
        <f>B203</f>
        <v>This dataset represents the supply of 1 kilogram of hydrogen. The hydrogen is transported by pipeline over 500 km from regional storage.  The hydrogen is produced by  Electrolysis, Alkaline,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233">
        <f t="shared" si="18"/>
        <v>2</v>
      </c>
      <c r="M233">
        <f t="shared" si="19"/>
        <v>0.21478874693145597</v>
      </c>
      <c r="N233">
        <v>1.5</v>
      </c>
      <c r="O233" s="15">
        <v>1.2</v>
      </c>
      <c r="P233">
        <v>1.5</v>
      </c>
      <c r="Q233">
        <v>1.1000000000000001</v>
      </c>
      <c r="R233">
        <v>2</v>
      </c>
      <c r="S233">
        <v>1.2</v>
      </c>
      <c r="T233">
        <v>1.05</v>
      </c>
      <c r="U233">
        <f t="shared" si="20"/>
        <v>0.47095746419981693</v>
      </c>
    </row>
    <row r="234" spans="1:22" x14ac:dyDescent="0.2">
      <c r="A234" t="s">
        <v>7</v>
      </c>
      <c r="B234" s="53">
        <f>B228</f>
        <v>3.3000000000000002E-2</v>
      </c>
      <c r="C234" t="s">
        <v>56</v>
      </c>
      <c r="D234" t="s">
        <v>100</v>
      </c>
      <c r="F234" t="s">
        <v>99</v>
      </c>
      <c r="H234" t="s">
        <v>131</v>
      </c>
      <c r="I234" t="s">
        <v>160</v>
      </c>
      <c r="K234" t="str">
        <f>B202</f>
        <v>hydrogen supply, transported by pipeline, produced by Electrolysis, Alkaline using water and electricity from Solar PV (CH)</v>
      </c>
      <c r="L234">
        <f t="shared" si="18"/>
        <v>2</v>
      </c>
      <c r="M234">
        <f t="shared" si="19"/>
        <v>-3.4112477175156566</v>
      </c>
      <c r="N234">
        <v>1.5</v>
      </c>
      <c r="O234" s="15">
        <v>1.2</v>
      </c>
      <c r="P234">
        <v>1.5</v>
      </c>
      <c r="Q234">
        <v>1.1000000000000001</v>
      </c>
      <c r="R234">
        <v>2</v>
      </c>
      <c r="S234">
        <v>1.2</v>
      </c>
      <c r="T234">
        <v>1.05</v>
      </c>
      <c r="U234">
        <f t="shared" si="20"/>
        <v>0.47095746419981693</v>
      </c>
    </row>
    <row r="235" spans="1:22" x14ac:dyDescent="0.2">
      <c r="B235" s="45"/>
    </row>
    <row r="236" spans="1:22" x14ac:dyDescent="0.2">
      <c r="A236" s="2" t="s">
        <v>50</v>
      </c>
      <c r="B236" s="44" t="str">
        <f>"hydrogen supply, transported by "&amp;B247&amp;", produced by "&amp;B251&amp;" using "&amp;B252&amp;" from "&amp;B253</f>
        <v>hydrogen supply, transported by truck, produced by Electrolysis, Alkaline using water and electricity from Solar PV (CH)</v>
      </c>
    </row>
    <row r="237" spans="1:22" x14ac:dyDescent="0.2">
      <c r="A237" t="s">
        <v>51</v>
      </c>
      <c r="B237" s="45" t="str">
        <f>"This dataset represents the supply of 1 kilogram of hydrogen. The hydrogen is transported by "&amp;B247&amp;" over "&amp;B248&amp;" km from regional storage. "&amp;" The "&amp;B246&amp;" is produced by  "&amp;B251&amp;", with "&amp;B252&amp;" from "&amp;B253&amp;" as feedstock. "&amp;A255&amp;": "&amp;(B255*100)&amp;"%. "&amp;A256&amp;": "&amp;(B256*100)&amp;".  For more information, refer to: "&amp;B238</f>
        <v>This dataset represents the supply of 1 kilogram of hydrogen. The hydrogen is transported by truck over 200 km from regional storage.  The hydrogen is produced by  Electrolysis, Alkaline,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238" spans="1:22" x14ac:dyDescent="0.2">
      <c r="A238" t="s">
        <v>63</v>
      </c>
      <c r="B238" s="45" t="s">
        <v>1223</v>
      </c>
    </row>
    <row r="239" spans="1:22" x14ac:dyDescent="0.2">
      <c r="A239" t="s">
        <v>52</v>
      </c>
      <c r="B239" s="45" t="s">
        <v>64</v>
      </c>
    </row>
    <row r="240" spans="1:22" x14ac:dyDescent="0.2">
      <c r="A240" t="s">
        <v>48</v>
      </c>
      <c r="B240" s="45">
        <v>29</v>
      </c>
    </row>
    <row r="241" spans="1:2" x14ac:dyDescent="0.2">
      <c r="A241" t="s">
        <v>54</v>
      </c>
      <c r="B241" s="45" t="s">
        <v>1137</v>
      </c>
    </row>
    <row r="242" spans="1:2" x14ac:dyDescent="0.2">
      <c r="A242" t="s">
        <v>55</v>
      </c>
      <c r="B242" s="45" t="s">
        <v>56</v>
      </c>
    </row>
    <row r="243" spans="1:2" x14ac:dyDescent="0.2">
      <c r="A243" t="s">
        <v>0</v>
      </c>
      <c r="B243" s="45" t="str">
        <f>INDEX(overview!$B$4:$R$338,MATCH('hydrogen - supply'!B240,overview!$A$4:$A$338,0),MATCH('hydrogen - supply'!A243,overview!$B$3:$R$3,0))</f>
        <v>Switzerland</v>
      </c>
    </row>
    <row r="244" spans="1:2" x14ac:dyDescent="0.2">
      <c r="A244" t="s">
        <v>1</v>
      </c>
      <c r="B244" s="45">
        <f>INDEX(overview!$B$4:$R$338,MATCH('hydrogen - supply'!B240,overview!$A$4:$A$338,0),MATCH('hydrogen - supply'!A244,overview!$B$3:$R$3,0))</f>
        <v>2020</v>
      </c>
    </row>
    <row r="245" spans="1:2" x14ac:dyDescent="0.2">
      <c r="A245" t="s">
        <v>2</v>
      </c>
      <c r="B245" s="45" t="s">
        <v>1130</v>
      </c>
    </row>
    <row r="246" spans="1:2" x14ac:dyDescent="0.2">
      <c r="A246" t="s">
        <v>5</v>
      </c>
      <c r="B246" s="45" t="str">
        <f>INDEX(overview!$B$4:$R$338,MATCH('hydrogen - supply'!B240,overview!$A$4:$A$338,0),MATCH('hydrogen - supply'!A246,overview!$B$3:$R$3,0))</f>
        <v>hydrogen</v>
      </c>
    </row>
    <row r="247" spans="1:2" x14ac:dyDescent="0.2">
      <c r="A247" t="s">
        <v>4</v>
      </c>
      <c r="B247" s="45" t="s">
        <v>69</v>
      </c>
    </row>
    <row r="248" spans="1:2" x14ac:dyDescent="0.2">
      <c r="A248" t="s">
        <v>38</v>
      </c>
      <c r="B248" s="45">
        <f>INDEX(overview!$B$4:$R$338,MATCH('hydrogen - supply'!B240,overview!$A$4:$A$338,0),MATCH('hydrogen - supply'!A248,overview!$B$3:$R$3,0))</f>
        <v>200</v>
      </c>
    </row>
    <row r="249" spans="1:2" x14ac:dyDescent="0.2">
      <c r="A249" t="s">
        <v>12</v>
      </c>
      <c r="B249" s="45" t="str">
        <f>INDEX(overview!$B$4:$R$338,MATCH('hydrogen - supply'!B240,overview!$A$4:$A$338,0),MATCH('hydrogen - supply'!A249,overview!$B$3:$R$3,0))</f>
        <v>Pressure vessel for stationary storage</v>
      </c>
    </row>
    <row r="250" spans="1:2" x14ac:dyDescent="0.2">
      <c r="A250" t="s">
        <v>34</v>
      </c>
      <c r="B250" s="45">
        <f>INDEX(overview!$B$4:$R$338,MATCH('hydrogen - supply'!B240,overview!$A$4:$A$338,0),MATCH('hydrogen - supply'!A250,overview!$B$3:$R$3,0))</f>
        <v>0</v>
      </c>
    </row>
    <row r="251" spans="1:2" x14ac:dyDescent="0.2">
      <c r="A251" t="s">
        <v>15</v>
      </c>
      <c r="B251" s="45" t="str">
        <f>INDEX(overview!$B$4:$R$338,MATCH('hydrogen - supply'!B240,overview!$A$4:$A$338,0),MATCH('hydrogen - supply'!A251,overview!$B$3:$R$3,0))</f>
        <v>Electrolysis, Alkaline</v>
      </c>
    </row>
    <row r="252" spans="1:2" x14ac:dyDescent="0.2">
      <c r="A252" t="s">
        <v>14</v>
      </c>
      <c r="B252" s="45" t="str">
        <f>INDEX(overview!$B$4:$R$338,MATCH('hydrogen - supply'!B240,overview!$A$4:$A$338,0),MATCH('hydrogen - supply'!A252,overview!$B$3:$R$3,0))</f>
        <v>water and electricity</v>
      </c>
    </row>
    <row r="253" spans="1:2" x14ac:dyDescent="0.2">
      <c r="A253" t="s">
        <v>26</v>
      </c>
      <c r="B253" s="45" t="str">
        <f>INDEX(overview!$B$4:$R$338,MATCH('hydrogen - supply'!B240,overview!$A$4:$A$338,0),MATCH('hydrogen - supply'!A253,overview!$B$3:$R$3,0))</f>
        <v>Solar PV (CH)</v>
      </c>
    </row>
    <row r="254" spans="1:2" x14ac:dyDescent="0.2">
      <c r="A254" t="s">
        <v>29</v>
      </c>
      <c r="B254" s="45">
        <f>INDEX(overview!$B$4:$R$338,MATCH('hydrogen - supply'!B240,overview!$A$4:$A$338,0),MATCH('hydrogen - supply'!A254,overview!$B$3:$R$3,0))</f>
        <v>0</v>
      </c>
    </row>
    <row r="255" spans="1:2" x14ac:dyDescent="0.2">
      <c r="A255" t="s">
        <v>45</v>
      </c>
      <c r="B255" s="66">
        <f>VLOOKUP(B247,parameters!$A$94:$C$96,2,0)</f>
        <v>5.0000000000000001E-3</v>
      </c>
    </row>
    <row r="256" spans="1:2" x14ac:dyDescent="0.2">
      <c r="A256" t="s">
        <v>1133</v>
      </c>
      <c r="B256" s="49">
        <f>VLOOKUP(B247,parameters!$A$94:$D$96,3,0)</f>
        <v>2.3E-2</v>
      </c>
    </row>
    <row r="257" spans="1:22" x14ac:dyDescent="0.2">
      <c r="B257" s="45"/>
    </row>
    <row r="258" spans="1:22" x14ac:dyDescent="0.2">
      <c r="A258" s="3" t="s">
        <v>57</v>
      </c>
      <c r="B258" s="45"/>
    </row>
    <row r="259" spans="1:22" x14ac:dyDescent="0.2">
      <c r="A259" s="2" t="s">
        <v>58</v>
      </c>
      <c r="B259" s="44" t="s">
        <v>59</v>
      </c>
      <c r="C259" s="2" t="s">
        <v>55</v>
      </c>
      <c r="D259" s="2" t="s">
        <v>60</v>
      </c>
      <c r="E259" s="2" t="s">
        <v>52</v>
      </c>
      <c r="F259" s="2" t="s">
        <v>61</v>
      </c>
      <c r="G259" s="2" t="s">
        <v>54</v>
      </c>
      <c r="H259" s="2" t="s">
        <v>87</v>
      </c>
      <c r="I259" s="2" t="s">
        <v>51</v>
      </c>
      <c r="J259" s="2" t="s">
        <v>138</v>
      </c>
      <c r="K259" s="2" t="s">
        <v>136</v>
      </c>
      <c r="L259" s="2" t="s">
        <v>221</v>
      </c>
      <c r="M259" s="2" t="s">
        <v>379</v>
      </c>
      <c r="N259" s="2" t="s">
        <v>1059</v>
      </c>
      <c r="O259" s="2" t="s">
        <v>1060</v>
      </c>
      <c r="P259" s="2" t="s">
        <v>1061</v>
      </c>
      <c r="Q259" s="2" t="s">
        <v>1062</v>
      </c>
      <c r="R259" s="2" t="s">
        <v>1063</v>
      </c>
      <c r="S259" s="2" t="s">
        <v>1064</v>
      </c>
      <c r="T259" s="2" t="s">
        <v>1065</v>
      </c>
      <c r="U259" s="2" t="s">
        <v>380</v>
      </c>
      <c r="V259" s="2" t="s">
        <v>1128</v>
      </c>
    </row>
    <row r="260" spans="1:22" x14ac:dyDescent="0.2">
      <c r="A260" t="str">
        <f>B236</f>
        <v>hydrogen supply, transported by truck, produced by Electrolysis, Alkaline using water and electricity from Solar PV (CH)</v>
      </c>
      <c r="B260" s="45">
        <v>1</v>
      </c>
      <c r="C260" t="str">
        <f>B242</f>
        <v>kilogram</v>
      </c>
      <c r="E260" t="str">
        <f>B239</f>
        <v>CH</v>
      </c>
      <c r="F260" t="s">
        <v>62</v>
      </c>
      <c r="G260" t="str">
        <f>B241</f>
        <v>hydrogen, gaseous, from truck</v>
      </c>
      <c r="K260" t="str">
        <f>B236</f>
        <v>hydrogen supply, transported by truck, produced by Electrolysis, Alkaline using water and electricity from Solar PV (CH)</v>
      </c>
    </row>
    <row r="261" spans="1:22" x14ac:dyDescent="0.2">
      <c r="A261" t="str">
        <f>VLOOKUP(J261,'dataset mapping'!$A$4:$E$69,2,0)</f>
        <v>hydrogen production, gaseous, 30 bar, from AEC electrolysis, from Swiss solar PV</v>
      </c>
      <c r="B261" s="53">
        <v>1</v>
      </c>
      <c r="C261" t="str">
        <f>VLOOKUP(J261,'dataset mapping'!$A$4:$E$69,5,0)</f>
        <v>kilogram</v>
      </c>
      <c r="E261" t="str">
        <f>VLOOKUP(J261,'dataset mapping'!$A$4:$E$69,4,0)</f>
        <v>CH</v>
      </c>
      <c r="F261" t="s">
        <v>86</v>
      </c>
      <c r="G261" t="str">
        <f>VLOOKUP(J261,'dataset mapping'!$A$4:$E$69,3,0)</f>
        <v>hydrogen, gaseous, 30 bar</v>
      </c>
      <c r="H261" t="s">
        <v>281</v>
      </c>
      <c r="I261" t="s">
        <v>1054</v>
      </c>
      <c r="J261" t="s">
        <v>291</v>
      </c>
      <c r="K261" t="str">
        <f>B236</f>
        <v>hydrogen supply, transported by truck, produced by Electrolysis, Alkaline using water and electricity from Solar PV (CH)</v>
      </c>
      <c r="L261">
        <f t="shared" ref="L261:L266" si="21">IF(OR(B261&lt;0,B261=0),1,2)</f>
        <v>2</v>
      </c>
      <c r="M261">
        <f t="shared" ref="M261:M266" si="22">IF(L261=2,LN(B261),"")</f>
        <v>0</v>
      </c>
      <c r="N261">
        <v>1.5</v>
      </c>
      <c r="O261" s="15">
        <v>1.2</v>
      </c>
      <c r="P261">
        <v>1.5</v>
      </c>
      <c r="Q261">
        <v>1.1000000000000001</v>
      </c>
      <c r="R261">
        <v>2</v>
      </c>
      <c r="S261">
        <v>1.2</v>
      </c>
      <c r="T261">
        <v>1.05</v>
      </c>
      <c r="U261">
        <f t="shared" ref="U261:U266" si="23">LN(SQRT(EXP(
SQRT(
+POWER(LN(N261),2)
+POWER(LN(O261),2)
+POWER(LN(P261),2)
+POWER(LN(Q261),2)
+POWER(LN(R261),2)
+POWER(LN(S261),2)
+POWER(LN(T261),2)
)
)))</f>
        <v>0.47095746419981693</v>
      </c>
    </row>
    <row r="262" spans="1:22" x14ac:dyDescent="0.2">
      <c r="A262" t="str">
        <f>VLOOKUP(J262,'dataset mapping'!$A$4:$E$69,2,0)</f>
        <v>hydrogen production, gaseous, 30 bar, from AEC electrolysis, from Swiss solar PV</v>
      </c>
      <c r="B262" s="53">
        <f>(B261*B255)+(B256*B261)</f>
        <v>2.8000000000000001E-2</v>
      </c>
      <c r="C262" t="str">
        <f>VLOOKUP(J262,'dataset mapping'!$A$4:$E$69,5,0)</f>
        <v>kilogram</v>
      </c>
      <c r="E262" t="str">
        <f>VLOOKUP(J262,'dataset mapping'!$A$4:$E$69,4,0)</f>
        <v>CH</v>
      </c>
      <c r="F262" t="s">
        <v>86</v>
      </c>
      <c r="G262" t="str">
        <f>VLOOKUP(J262,'dataset mapping'!$A$4:$E$69,3,0)</f>
        <v>hydrogen, gaseous, 30 bar</v>
      </c>
      <c r="H262" t="s">
        <v>76</v>
      </c>
      <c r="I262" t="s">
        <v>1054</v>
      </c>
      <c r="J262" t="s">
        <v>291</v>
      </c>
      <c r="K262" t="str">
        <f>B237</f>
        <v>This dataset represents the supply of 1 kilogram of hydrogen. The hydrogen is transported by truck over 200 km from regional storage.  The hydrogen is produced by  Electrolysis, Alkaline,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262">
        <f t="shared" si="21"/>
        <v>2</v>
      </c>
      <c r="M262">
        <f t="shared" si="22"/>
        <v>-3.575550768806933</v>
      </c>
      <c r="N262">
        <v>1.5</v>
      </c>
      <c r="O262" s="15">
        <v>1.2</v>
      </c>
      <c r="P262">
        <v>1.5</v>
      </c>
      <c r="Q262">
        <v>1.1000000000000001</v>
      </c>
      <c r="R262">
        <v>2</v>
      </c>
      <c r="S262">
        <v>1.2</v>
      </c>
      <c r="T262">
        <v>1.05</v>
      </c>
      <c r="U262">
        <f t="shared" si="23"/>
        <v>0.47095746419981693</v>
      </c>
    </row>
    <row r="263" spans="1:22" x14ac:dyDescent="0.2">
      <c r="A263" t="str">
        <f>VLOOKUP(J263,'dataset mapping'!$A$4:$E$69,2,0)</f>
        <v>market for transport, freight, lorry, unspecified</v>
      </c>
      <c r="B263" s="45">
        <f>SUM(B261:B262)/1000*B248</f>
        <v>0.2056</v>
      </c>
      <c r="C263" t="str">
        <f>VLOOKUP(J263,'dataset mapping'!$A$4:$E$69,5,0)</f>
        <v>ton kilometer</v>
      </c>
      <c r="E263" t="str">
        <f>VLOOKUP(J263,'dataset mapping'!$A$4:$E$69,4,0)</f>
        <v>RER</v>
      </c>
      <c r="F263" t="s">
        <v>86</v>
      </c>
      <c r="G263" t="str">
        <f>VLOOKUP(J263,'dataset mapping'!$A$4:$E$69,3,0)</f>
        <v>transport, freight, lorry, unspecified</v>
      </c>
      <c r="H263" t="s">
        <v>88</v>
      </c>
      <c r="I263" t="s">
        <v>1052</v>
      </c>
      <c r="J263" t="s">
        <v>278</v>
      </c>
      <c r="K263" t="str">
        <f>B236</f>
        <v>hydrogen supply, transported by truck, produced by Electrolysis, Alkaline using water and electricity from Solar PV (CH)</v>
      </c>
      <c r="L263">
        <f t="shared" si="21"/>
        <v>2</v>
      </c>
      <c r="M263">
        <f t="shared" si="22"/>
        <v>-1.5818227454011269</v>
      </c>
      <c r="N263">
        <v>1.5</v>
      </c>
      <c r="O263" s="15">
        <v>1.2</v>
      </c>
      <c r="P263">
        <v>1.5</v>
      </c>
      <c r="Q263">
        <v>1.1000000000000001</v>
      </c>
      <c r="R263">
        <v>2</v>
      </c>
      <c r="S263">
        <v>1.2</v>
      </c>
      <c r="T263">
        <v>2</v>
      </c>
      <c r="U263">
        <f t="shared" si="23"/>
        <v>0.58422518478336083</v>
      </c>
    </row>
    <row r="264" spans="1:22" x14ac:dyDescent="0.2">
      <c r="A264" t="s">
        <v>1038</v>
      </c>
      <c r="B264" s="53">
        <f>SUM(B261:B262)</f>
        <v>1.028</v>
      </c>
      <c r="C264" t="str">
        <f>VLOOKUP(J264,'dataset mapping'!$A$4:$E$69,5,0)</f>
        <v>kilogram</v>
      </c>
      <c r="E264" t="s">
        <v>64</v>
      </c>
      <c r="F264" t="s">
        <v>86</v>
      </c>
      <c r="G264" t="s">
        <v>1039</v>
      </c>
      <c r="H264" t="s">
        <v>88</v>
      </c>
      <c r="I264" t="s">
        <v>1040</v>
      </c>
      <c r="J264" t="s">
        <v>229</v>
      </c>
      <c r="K264" t="str">
        <f>B236</f>
        <v>hydrogen supply, transported by truck, produced by Electrolysis, Alkaline using water and electricity from Solar PV (CH)</v>
      </c>
      <c r="L264">
        <f t="shared" si="21"/>
        <v>2</v>
      </c>
      <c r="M264">
        <f t="shared" si="22"/>
        <v>2.7615167032973391E-2</v>
      </c>
      <c r="N264">
        <v>1.5</v>
      </c>
      <c r="O264" s="15">
        <v>1.2</v>
      </c>
      <c r="P264">
        <v>1.5</v>
      </c>
      <c r="Q264">
        <v>1.1000000000000001</v>
      </c>
      <c r="R264">
        <v>2</v>
      </c>
      <c r="S264">
        <v>1.2</v>
      </c>
      <c r="T264">
        <v>3</v>
      </c>
      <c r="U264">
        <f t="shared" si="23"/>
        <v>0.72314801614797197</v>
      </c>
    </row>
    <row r="265" spans="1:22" x14ac:dyDescent="0.2">
      <c r="A265" t="s">
        <v>130</v>
      </c>
      <c r="B265" s="52">
        <f>(VLOOKUP(B251,parameters!$A$71:$B$78,2,0)+VLOOKUP(B247,parameters!$A$82:$B$84,2,0)+VLOOKUP(B247,parameters!$A$87:$B$89,2,0))*SUM(B261:B262)</f>
        <v>3.4232400000000003</v>
      </c>
      <c r="C265" t="s">
        <v>92</v>
      </c>
      <c r="E265" t="s">
        <v>64</v>
      </c>
      <c r="F265" t="s">
        <v>86</v>
      </c>
      <c r="G265" t="s">
        <v>93</v>
      </c>
      <c r="H265" t="s">
        <v>78</v>
      </c>
      <c r="I265" t="s">
        <v>1053</v>
      </c>
      <c r="J265" t="s">
        <v>67</v>
      </c>
      <c r="K265" t="str">
        <f>B236</f>
        <v>hydrogen supply, transported by truck, produced by Electrolysis, Alkaline using water and electricity from Solar PV (CH)</v>
      </c>
      <c r="L265">
        <f t="shared" si="21"/>
        <v>2</v>
      </c>
      <c r="M265">
        <f t="shared" si="22"/>
        <v>1.230587471025326</v>
      </c>
      <c r="N265">
        <v>1.5</v>
      </c>
      <c r="O265" s="15">
        <v>1.2</v>
      </c>
      <c r="P265">
        <v>1.5</v>
      </c>
      <c r="Q265">
        <v>1.1000000000000001</v>
      </c>
      <c r="R265">
        <v>2</v>
      </c>
      <c r="S265">
        <v>1.2</v>
      </c>
      <c r="T265">
        <v>1.05</v>
      </c>
      <c r="U265">
        <f t="shared" si="23"/>
        <v>0.47095746419981693</v>
      </c>
    </row>
    <row r="266" spans="1:22" x14ac:dyDescent="0.2">
      <c r="A266" t="s">
        <v>7</v>
      </c>
      <c r="B266" s="53">
        <f>B262</f>
        <v>2.8000000000000001E-2</v>
      </c>
      <c r="C266" t="s">
        <v>56</v>
      </c>
      <c r="D266" t="s">
        <v>100</v>
      </c>
      <c r="F266" t="s">
        <v>99</v>
      </c>
      <c r="H266" t="s">
        <v>131</v>
      </c>
      <c r="I266" t="s">
        <v>160</v>
      </c>
      <c r="K266" t="str">
        <f>B236</f>
        <v>hydrogen supply, transported by truck, produced by Electrolysis, Alkaline using water and electricity from Solar PV (CH)</v>
      </c>
      <c r="L266">
        <f t="shared" si="21"/>
        <v>2</v>
      </c>
      <c r="M266">
        <f t="shared" si="22"/>
        <v>-3.575550768806933</v>
      </c>
      <c r="N266">
        <v>1.5</v>
      </c>
      <c r="O266" s="15">
        <v>1.2</v>
      </c>
      <c r="P266">
        <v>1.5</v>
      </c>
      <c r="Q266">
        <v>1.1000000000000001</v>
      </c>
      <c r="R266">
        <v>2</v>
      </c>
      <c r="S266">
        <v>1.2</v>
      </c>
      <c r="T266">
        <v>1.05</v>
      </c>
      <c r="U266">
        <f t="shared" si="23"/>
        <v>0.47095746419981693</v>
      </c>
    </row>
    <row r="267" spans="1:22" x14ac:dyDescent="0.2">
      <c r="B267" s="45"/>
    </row>
    <row r="268" spans="1:22" x14ac:dyDescent="0.2">
      <c r="A268" s="2" t="s">
        <v>50</v>
      </c>
      <c r="B268" s="44" t="str">
        <f>"hydrogen supply, transported by "&amp;B279&amp;", produced by "&amp;B283&amp;" using "&amp;B284&amp;" from "&amp;B285</f>
        <v>hydrogen supply, transported by pipeline, produced by Electrolysis, PEM using water and electricity from Solar PV (CH)</v>
      </c>
    </row>
    <row r="269" spans="1:22" x14ac:dyDescent="0.2">
      <c r="A269" t="s">
        <v>51</v>
      </c>
      <c r="B269" s="45" t="str">
        <f>"This dataset represents the supply of 1 kilogram of hydrogen. The hydrogen is transported by "&amp;B279&amp;" over "&amp;B280&amp;" km from regional storage. "&amp;" The "&amp;B278&amp;" is produced by  "&amp;B283&amp;", with "&amp;B284&amp;" from "&amp;B285&amp;" as feedstock. "&amp;A287&amp;": "&amp;(B287*100)&amp;"%. "&amp;A288&amp;": "&amp;(B288*100)&amp;".  For more information, refer to: "&amp;B270</f>
        <v>This dataset represents the supply of 1 kilogram of hydrogen. The hydrogen is transported by pipeline over 500 km from regional storage.  The hydrogen is produced by  Electrolysis, PEM,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270" spans="1:22" x14ac:dyDescent="0.2">
      <c r="A270" t="s">
        <v>63</v>
      </c>
      <c r="B270" s="45" t="s">
        <v>1223</v>
      </c>
    </row>
    <row r="271" spans="1:22" x14ac:dyDescent="0.2">
      <c r="A271" t="s">
        <v>52</v>
      </c>
      <c r="B271" s="45" t="s">
        <v>64</v>
      </c>
    </row>
    <row r="272" spans="1:22" x14ac:dyDescent="0.2">
      <c r="A272" t="s">
        <v>48</v>
      </c>
      <c r="B272" s="45">
        <v>33</v>
      </c>
    </row>
    <row r="273" spans="1:2" x14ac:dyDescent="0.2">
      <c r="A273" t="s">
        <v>54</v>
      </c>
      <c r="B273" s="45" t="s">
        <v>1129</v>
      </c>
    </row>
    <row r="274" spans="1:2" x14ac:dyDescent="0.2">
      <c r="A274" t="s">
        <v>55</v>
      </c>
      <c r="B274" s="45" t="s">
        <v>56</v>
      </c>
    </row>
    <row r="275" spans="1:2" x14ac:dyDescent="0.2">
      <c r="A275" t="s">
        <v>0</v>
      </c>
      <c r="B275" s="45" t="str">
        <f>INDEX(overview!$B$4:$R$338,MATCH('hydrogen - supply'!B272,overview!$A$4:$A$338,0),MATCH('hydrogen - supply'!A275,overview!$B$3:$R$3,0))</f>
        <v>Switzerland</v>
      </c>
    </row>
    <row r="276" spans="1:2" x14ac:dyDescent="0.2">
      <c r="A276" t="s">
        <v>1</v>
      </c>
      <c r="B276" s="45">
        <f>INDEX(overview!$B$4:$R$338,MATCH('hydrogen - supply'!B272,overview!$A$4:$A$338,0),MATCH('hydrogen - supply'!A276,overview!$B$3:$R$3,0))</f>
        <v>2020</v>
      </c>
    </row>
    <row r="277" spans="1:2" x14ac:dyDescent="0.2">
      <c r="A277" t="s">
        <v>2</v>
      </c>
      <c r="B277" s="45" t="s">
        <v>1130</v>
      </c>
    </row>
    <row r="278" spans="1:2" x14ac:dyDescent="0.2">
      <c r="A278" t="s">
        <v>5</v>
      </c>
      <c r="B278" s="45" t="str">
        <f>INDEX(overview!$B$4:$R$338,MATCH('hydrogen - supply'!B272,overview!$A$4:$A$338,0),MATCH('hydrogen - supply'!A278,overview!$B$3:$R$3,0))</f>
        <v>hydrogen</v>
      </c>
    </row>
    <row r="279" spans="1:2" x14ac:dyDescent="0.2">
      <c r="A279" t="s">
        <v>4</v>
      </c>
      <c r="B279" s="45" t="str">
        <f>INDEX(overview!$B$4:$R$338,MATCH('hydrogen - supply'!B272,overview!$A$4:$A$338,0),MATCH('hydrogen - supply'!A279,overview!$B$3:$R$3,0))</f>
        <v>pipeline</v>
      </c>
    </row>
    <row r="280" spans="1:2" x14ac:dyDescent="0.2">
      <c r="A280" t="s">
        <v>38</v>
      </c>
      <c r="B280" s="45">
        <f>INDEX(overview!$B$4:$R$338,MATCH('hydrogen - supply'!B272,overview!$A$4:$A$338,0),MATCH('hydrogen - supply'!A280,overview!$B$3:$R$3,0))</f>
        <v>500</v>
      </c>
    </row>
    <row r="281" spans="1:2" x14ac:dyDescent="0.2">
      <c r="A281" t="s">
        <v>12</v>
      </c>
      <c r="B281" s="45" t="str">
        <f>INDEX(overview!$B$4:$R$338,MATCH('hydrogen - supply'!B272,overview!$A$4:$A$338,0),MATCH('hydrogen - supply'!A281,overview!$B$3:$R$3,0))</f>
        <v>Pressure vessel for stationary storage</v>
      </c>
    </row>
    <row r="282" spans="1:2" x14ac:dyDescent="0.2">
      <c r="A282" t="s">
        <v>34</v>
      </c>
      <c r="B282" s="45">
        <f>INDEX(overview!$B$4:$R$338,MATCH('hydrogen - supply'!B272,overview!$A$4:$A$338,0),MATCH('hydrogen - supply'!A282,overview!$B$3:$R$3,0))</f>
        <v>0</v>
      </c>
    </row>
    <row r="283" spans="1:2" x14ac:dyDescent="0.2">
      <c r="A283" t="s">
        <v>15</v>
      </c>
      <c r="B283" s="45" t="str">
        <f>INDEX(overview!$B$4:$R$338,MATCH('hydrogen - supply'!B272,overview!$A$4:$A$338,0),MATCH('hydrogen - supply'!A283,overview!$B$3:$R$3,0))</f>
        <v>Electrolysis, PEM</v>
      </c>
    </row>
    <row r="284" spans="1:2" x14ac:dyDescent="0.2">
      <c r="A284" t="s">
        <v>14</v>
      </c>
      <c r="B284" s="45" t="str">
        <f>INDEX(overview!$B$4:$R$338,MATCH('hydrogen - supply'!B272,overview!$A$4:$A$338,0),MATCH('hydrogen - supply'!A284,overview!$B$3:$R$3,0))</f>
        <v>water and electricity</v>
      </c>
    </row>
    <row r="285" spans="1:2" x14ac:dyDescent="0.2">
      <c r="A285" t="s">
        <v>26</v>
      </c>
      <c r="B285" s="45" t="str">
        <f>INDEX(overview!$B$4:$R$338,MATCH('hydrogen - supply'!B272,overview!$A$4:$A$338,0),MATCH('hydrogen - supply'!A285,overview!$B$3:$R$3,0))</f>
        <v>Solar PV (CH)</v>
      </c>
    </row>
    <row r="286" spans="1:2" x14ac:dyDescent="0.2">
      <c r="A286" t="s">
        <v>29</v>
      </c>
      <c r="B286" s="45">
        <f>INDEX(overview!$B$4:$R$338,MATCH('hydrogen - supply'!B272,overview!$A$4:$A$338,0),MATCH('hydrogen - supply'!A286,overview!$B$3:$R$3,0))</f>
        <v>0</v>
      </c>
    </row>
    <row r="287" spans="1:2" x14ac:dyDescent="0.2">
      <c r="A287" t="s">
        <v>45</v>
      </c>
      <c r="B287" s="66">
        <f>VLOOKUP(B279,parameters!$A$94:$C$96,2,0)</f>
        <v>0.01</v>
      </c>
    </row>
    <row r="288" spans="1:2" x14ac:dyDescent="0.2">
      <c r="A288" t="s">
        <v>1133</v>
      </c>
      <c r="B288" s="49">
        <f>VLOOKUP(B279,parameters!$A$94:$D$96,3,0)</f>
        <v>2.3E-2</v>
      </c>
    </row>
    <row r="289" spans="1:22" x14ac:dyDescent="0.2">
      <c r="B289" s="45"/>
    </row>
    <row r="290" spans="1:22" x14ac:dyDescent="0.2">
      <c r="A290" s="3" t="s">
        <v>57</v>
      </c>
      <c r="B290" s="45"/>
    </row>
    <row r="291" spans="1:22" x14ac:dyDescent="0.2">
      <c r="A291" s="2" t="s">
        <v>58</v>
      </c>
      <c r="B291" s="44" t="s">
        <v>59</v>
      </c>
      <c r="C291" s="2" t="s">
        <v>55</v>
      </c>
      <c r="D291" s="2" t="s">
        <v>60</v>
      </c>
      <c r="E291" s="2" t="s">
        <v>52</v>
      </c>
      <c r="F291" s="2" t="s">
        <v>61</v>
      </c>
      <c r="G291" s="2" t="s">
        <v>54</v>
      </c>
      <c r="H291" s="2" t="s">
        <v>87</v>
      </c>
      <c r="I291" s="2" t="s">
        <v>51</v>
      </c>
      <c r="J291" s="2" t="s">
        <v>138</v>
      </c>
      <c r="K291" s="2" t="s">
        <v>136</v>
      </c>
      <c r="L291" s="2" t="s">
        <v>221</v>
      </c>
      <c r="M291" s="2" t="s">
        <v>379</v>
      </c>
      <c r="N291" s="2" t="s">
        <v>1059</v>
      </c>
      <c r="O291" s="2" t="s">
        <v>1060</v>
      </c>
      <c r="P291" s="2" t="s">
        <v>1061</v>
      </c>
      <c r="Q291" s="2" t="s">
        <v>1062</v>
      </c>
      <c r="R291" s="2" t="s">
        <v>1063</v>
      </c>
      <c r="S291" s="2" t="s">
        <v>1064</v>
      </c>
      <c r="T291" s="2" t="s">
        <v>1065</v>
      </c>
      <c r="U291" s="2" t="s">
        <v>380</v>
      </c>
      <c r="V291" s="2" t="s">
        <v>1128</v>
      </c>
    </row>
    <row r="292" spans="1:22" x14ac:dyDescent="0.2">
      <c r="A292" t="str">
        <f>B268</f>
        <v>hydrogen supply, transported by pipeline, produced by Electrolysis, PEM using water and electricity from Solar PV (CH)</v>
      </c>
      <c r="B292" s="45">
        <v>1</v>
      </c>
      <c r="C292" t="str">
        <f>B274</f>
        <v>kilogram</v>
      </c>
      <c r="E292" t="str">
        <f>B271</f>
        <v>CH</v>
      </c>
      <c r="F292" t="s">
        <v>62</v>
      </c>
      <c r="G292" t="str">
        <f>B273</f>
        <v>hydrogen, gaseous, from pipeline</v>
      </c>
      <c r="K292" t="str">
        <f>B268</f>
        <v>hydrogen supply, transported by pipeline, produced by Electrolysis, PEM using water and electricity from Solar PV (CH)</v>
      </c>
    </row>
    <row r="293" spans="1:22" x14ac:dyDescent="0.2">
      <c r="A293" t="str">
        <f>VLOOKUP(J293,'dataset mapping'!$A$4:$E$69,2,0)</f>
        <v>hydrogen production, gaseous, 200 bar, from PEM electrolysis, from Swiss solar PV</v>
      </c>
      <c r="B293" s="53">
        <v>1</v>
      </c>
      <c r="C293" t="str">
        <f>VLOOKUP(J293,'dataset mapping'!$A$4:$E$69,5,0)</f>
        <v>kilogram</v>
      </c>
      <c r="E293" t="str">
        <f>VLOOKUP(J293,'dataset mapping'!$A$4:$E$69,4,0)</f>
        <v>CH</v>
      </c>
      <c r="F293" t="s">
        <v>86</v>
      </c>
      <c r="G293" t="str">
        <f>VLOOKUP(J293,'dataset mapping'!$A$4:$E$69,3,0)</f>
        <v>hydrogen, gaseous, 200 bar</v>
      </c>
      <c r="H293" t="s">
        <v>281</v>
      </c>
      <c r="I293" t="s">
        <v>1054</v>
      </c>
      <c r="J293" t="s">
        <v>292</v>
      </c>
      <c r="K293" t="str">
        <f>B268</f>
        <v>hydrogen supply, transported by pipeline, produced by Electrolysis, PEM using water and electricity from Solar PV (CH)</v>
      </c>
      <c r="L293">
        <f t="shared" ref="L293:L300" si="24">IF(OR(B293&lt;0,B293=0),1,2)</f>
        <v>2</v>
      </c>
      <c r="M293">
        <f t="shared" ref="M293:M300" si="25">IF(L293=2,LN(B293),"")</f>
        <v>0</v>
      </c>
      <c r="N293">
        <v>1.5</v>
      </c>
      <c r="O293" s="15">
        <v>1.2</v>
      </c>
      <c r="P293">
        <v>1.5</v>
      </c>
      <c r="Q293">
        <v>1.1000000000000001</v>
      </c>
      <c r="R293">
        <v>2</v>
      </c>
      <c r="S293">
        <v>1.2</v>
      </c>
      <c r="T293">
        <v>1.05</v>
      </c>
      <c r="U293">
        <f t="shared" ref="U293:U300" si="26">LN(SQRT(EXP(
SQRT(
+POWER(LN(N293),2)
+POWER(LN(O293),2)
+POWER(LN(P293),2)
+POWER(LN(Q293),2)
+POWER(LN(R293),2)
+POWER(LN(S293),2)
+POWER(LN(T293),2)
)
)))</f>
        <v>0.47095746419981693</v>
      </c>
    </row>
    <row r="294" spans="1:22" x14ac:dyDescent="0.2">
      <c r="A294" t="str">
        <f>VLOOKUP(J294,'dataset mapping'!$A$4:$E$69,2,0)</f>
        <v>hydrogen production, gaseous, 200 bar, from PEM electrolysis, from Swiss solar PV</v>
      </c>
      <c r="B294" s="53">
        <f>(B293*B287)+(B288*B293)</f>
        <v>3.3000000000000002E-2</v>
      </c>
      <c r="C294" t="str">
        <f>VLOOKUP(J294,'dataset mapping'!$A$4:$E$69,5,0)</f>
        <v>kilogram</v>
      </c>
      <c r="E294" t="str">
        <f>VLOOKUP(J294,'dataset mapping'!$A$4:$E$69,4,0)</f>
        <v>CH</v>
      </c>
      <c r="F294" t="s">
        <v>86</v>
      </c>
      <c r="G294" t="str">
        <f>VLOOKUP(J294,'dataset mapping'!$A$4:$E$69,3,0)</f>
        <v>hydrogen, gaseous, 200 bar</v>
      </c>
      <c r="H294" t="s">
        <v>76</v>
      </c>
      <c r="I294" t="s">
        <v>1054</v>
      </c>
      <c r="J294" t="s">
        <v>292</v>
      </c>
      <c r="K294" t="str">
        <f>B269</f>
        <v>This dataset represents the supply of 1 kilogram of hydrogen. The hydrogen is transported by pipeline over 500 km from regional storage.  The hydrogen is produced by  Electrolysis, PEM,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294">
        <f t="shared" si="24"/>
        <v>2</v>
      </c>
      <c r="M294">
        <f t="shared" si="25"/>
        <v>-3.4112477175156566</v>
      </c>
      <c r="N294">
        <v>1.5</v>
      </c>
      <c r="O294" s="15">
        <v>1.2</v>
      </c>
      <c r="P294">
        <v>1.5</v>
      </c>
      <c r="Q294">
        <v>1.1000000000000001</v>
      </c>
      <c r="R294">
        <v>2</v>
      </c>
      <c r="S294">
        <v>1.2</v>
      </c>
      <c r="T294">
        <v>1.05</v>
      </c>
      <c r="U294">
        <f t="shared" si="26"/>
        <v>0.47095746419981693</v>
      </c>
    </row>
    <row r="295" spans="1:22" x14ac:dyDescent="0.2">
      <c r="A295" t="str">
        <f>VLOOKUP(J295,'dataset mapping'!$A$4:$E$69,2,0)</f>
        <v>distribution pipeline for hydrogen, dedicated hydrogen pipeline</v>
      </c>
      <c r="B295" s="45">
        <f>0.000000000265*SUM(B293:B294)*B280*0.86</f>
        <v>1.1771035E-7</v>
      </c>
      <c r="C295" t="str">
        <f>VLOOKUP(J295,'dataset mapping'!$A$4:$E$69,5,0)</f>
        <v>kilometer</v>
      </c>
      <c r="E295" t="str">
        <f>VLOOKUP(J295,'dataset mapping'!$A$4:$E$69,4,0)</f>
        <v>CH</v>
      </c>
      <c r="F295" t="s">
        <v>86</v>
      </c>
      <c r="G295" t="str">
        <f>VLOOKUP(J295,'dataset mapping'!$A$4:$E$69,3,0)</f>
        <v>pipeline, for hydrogen distribution</v>
      </c>
      <c r="H295" t="s">
        <v>88</v>
      </c>
      <c r="I295" t="s">
        <v>1052</v>
      </c>
      <c r="J295" t="s">
        <v>218</v>
      </c>
      <c r="K295" t="str">
        <f>B268</f>
        <v>hydrogen supply, transported by pipeline, produced by Electrolysis, PEM using water and electricity from Solar PV (CH)</v>
      </c>
      <c r="L295">
        <f t="shared" si="24"/>
        <v>2</v>
      </c>
      <c r="M295">
        <f t="shared" si="25"/>
        <v>-15.955038891117216</v>
      </c>
      <c r="N295">
        <v>1.5</v>
      </c>
      <c r="O295" s="15">
        <v>1.2</v>
      </c>
      <c r="P295">
        <v>1.5</v>
      </c>
      <c r="Q295">
        <v>1.1000000000000001</v>
      </c>
      <c r="R295">
        <v>2</v>
      </c>
      <c r="S295">
        <v>1.2</v>
      </c>
      <c r="T295">
        <v>3</v>
      </c>
      <c r="U295">
        <f t="shared" si="26"/>
        <v>0.72314801614797197</v>
      </c>
    </row>
    <row r="296" spans="1:22" x14ac:dyDescent="0.2">
      <c r="A296" t="str">
        <f>VLOOKUP(J296,'dataset mapping'!$A$4:$E$69,2,0)</f>
        <v>transmission pipeline for hydrogen, dedicated hydrogen pipeline</v>
      </c>
      <c r="B296" s="45">
        <f>0.000000000265*SUM(B293:B294)*B280*0.14</f>
        <v>1.9162150000000001E-8</v>
      </c>
      <c r="C296" t="str">
        <f>VLOOKUP(J296,'dataset mapping'!$A$4:$E$69,5,0)</f>
        <v>kilometer</v>
      </c>
      <c r="E296" t="str">
        <f>VLOOKUP(J296,'dataset mapping'!$A$4:$E$69,4,0)</f>
        <v>CH</v>
      </c>
      <c r="F296" t="s">
        <v>86</v>
      </c>
      <c r="G296" t="str">
        <f>VLOOKUP(J296,'dataset mapping'!$A$4:$E$69,3,0)</f>
        <v>pipeline, for hydrogen transmission</v>
      </c>
      <c r="H296" t="s">
        <v>88</v>
      </c>
      <c r="I296" t="s">
        <v>1052</v>
      </c>
      <c r="J296" t="s">
        <v>219</v>
      </c>
      <c r="K296" t="str">
        <f>B268</f>
        <v>hydrogen supply, transported by pipeline, produced by Electrolysis, PEM using water and electricity from Solar PV (CH)</v>
      </c>
      <c r="L296">
        <f t="shared" si="24"/>
        <v>2</v>
      </c>
      <c r="M296">
        <f t="shared" si="25"/>
        <v>-17.770328857755466</v>
      </c>
      <c r="N296">
        <v>1.5</v>
      </c>
      <c r="O296" s="15">
        <v>1.2</v>
      </c>
      <c r="P296">
        <v>1.5</v>
      </c>
      <c r="Q296">
        <v>1.1000000000000001</v>
      </c>
      <c r="R296">
        <v>2</v>
      </c>
      <c r="S296">
        <v>1.2</v>
      </c>
      <c r="T296">
        <v>3</v>
      </c>
      <c r="U296">
        <f t="shared" si="26"/>
        <v>0.72314801614797197</v>
      </c>
    </row>
    <row r="297" spans="1:22" x14ac:dyDescent="0.2">
      <c r="A297" t="s">
        <v>1038</v>
      </c>
      <c r="B297" s="53">
        <f>SUM(B293:B294)</f>
        <v>1.0329999999999999</v>
      </c>
      <c r="C297" t="str">
        <f>VLOOKUP(J297,'dataset mapping'!$A$4:$E$69,5,0)</f>
        <v>kilogram</v>
      </c>
      <c r="E297" t="s">
        <v>64</v>
      </c>
      <c r="F297" t="s">
        <v>86</v>
      </c>
      <c r="G297" t="s">
        <v>1039</v>
      </c>
      <c r="H297" t="s">
        <v>88</v>
      </c>
      <c r="I297" t="s">
        <v>1040</v>
      </c>
      <c r="J297" t="s">
        <v>229</v>
      </c>
      <c r="K297" t="str">
        <f>B268</f>
        <v>hydrogen supply, transported by pipeline, produced by Electrolysis, PEM using water and electricity from Solar PV (CH)</v>
      </c>
      <c r="L297">
        <f t="shared" si="24"/>
        <v>2</v>
      </c>
      <c r="M297">
        <f t="shared" si="25"/>
        <v>3.2467190137501413E-2</v>
      </c>
      <c r="N297">
        <v>1.5</v>
      </c>
      <c r="O297" s="15">
        <v>1.2</v>
      </c>
      <c r="P297">
        <v>1.5</v>
      </c>
      <c r="Q297">
        <v>1.1000000000000001</v>
      </c>
      <c r="R297">
        <v>2</v>
      </c>
      <c r="S297">
        <v>1.2</v>
      </c>
      <c r="T297">
        <v>3</v>
      </c>
      <c r="U297">
        <f t="shared" si="26"/>
        <v>0.72314801614797197</v>
      </c>
    </row>
    <row r="298" spans="1:22" x14ac:dyDescent="0.2">
      <c r="A298" t="s">
        <v>130</v>
      </c>
      <c r="B298" s="52">
        <f>(VLOOKUP(B283,parameters!$A$71:$B$78,2,0)+VLOOKUP(B279,parameters!$A$82:$B$84,2,0)+VLOOKUP(B279,parameters!$A$87:$B$89,2,0))*SUM(B293:B294)</f>
        <v>0.51649999999999996</v>
      </c>
      <c r="C298" t="s">
        <v>92</v>
      </c>
      <c r="E298" t="s">
        <v>64</v>
      </c>
      <c r="F298" t="s">
        <v>86</v>
      </c>
      <c r="G298" t="s">
        <v>93</v>
      </c>
      <c r="H298" t="s">
        <v>78</v>
      </c>
      <c r="I298" t="s">
        <v>1053</v>
      </c>
      <c r="J298" t="s">
        <v>67</v>
      </c>
      <c r="K298" t="str">
        <f>B268</f>
        <v>hydrogen supply, transported by pipeline, produced by Electrolysis, PEM using water and electricity from Solar PV (CH)</v>
      </c>
      <c r="L298">
        <f t="shared" si="24"/>
        <v>2</v>
      </c>
      <c r="M298">
        <f t="shared" si="25"/>
        <v>-0.66067999042244385</v>
      </c>
      <c r="N298">
        <v>1.5</v>
      </c>
      <c r="O298" s="15">
        <v>1.2</v>
      </c>
      <c r="P298">
        <v>1.5</v>
      </c>
      <c r="Q298">
        <v>1.1000000000000001</v>
      </c>
      <c r="R298">
        <v>2</v>
      </c>
      <c r="S298">
        <v>1.2</v>
      </c>
      <c r="T298">
        <v>1.05</v>
      </c>
      <c r="U298">
        <f t="shared" si="26"/>
        <v>0.47095746419981693</v>
      </c>
    </row>
    <row r="299" spans="1:22" x14ac:dyDescent="0.2">
      <c r="A299" t="s">
        <v>130</v>
      </c>
      <c r="B299" s="52">
        <f>0.6*SUM(B293:B294)*(B280/250)</f>
        <v>1.2395999999999998</v>
      </c>
      <c r="C299" t="s">
        <v>92</v>
      </c>
      <c r="E299" t="s">
        <v>64</v>
      </c>
      <c r="F299" t="s">
        <v>86</v>
      </c>
      <c r="G299" t="s">
        <v>93</v>
      </c>
      <c r="H299" t="s">
        <v>78</v>
      </c>
      <c r="I299" t="s">
        <v>1135</v>
      </c>
      <c r="J299" t="s">
        <v>67</v>
      </c>
      <c r="K299" t="str">
        <f>B269</f>
        <v>This dataset represents the supply of 1 kilogram of hydrogen. The hydrogen is transported by pipeline over 500 km from regional storage.  The hydrogen is produced by  Electrolysis, PEM,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299">
        <f t="shared" si="24"/>
        <v>2</v>
      </c>
      <c r="M299">
        <f t="shared" si="25"/>
        <v>0.21478874693145597</v>
      </c>
      <c r="N299">
        <v>1.5</v>
      </c>
      <c r="O299" s="15">
        <v>1.2</v>
      </c>
      <c r="P299">
        <v>1.5</v>
      </c>
      <c r="Q299">
        <v>1.1000000000000001</v>
      </c>
      <c r="R299">
        <v>2</v>
      </c>
      <c r="S299">
        <v>1.2</v>
      </c>
      <c r="T299">
        <v>1.05</v>
      </c>
      <c r="U299">
        <f t="shared" si="26"/>
        <v>0.47095746419981693</v>
      </c>
    </row>
    <row r="300" spans="1:22" x14ac:dyDescent="0.2">
      <c r="A300" t="s">
        <v>7</v>
      </c>
      <c r="B300" s="53">
        <f>B294</f>
        <v>3.3000000000000002E-2</v>
      </c>
      <c r="C300" t="s">
        <v>56</v>
      </c>
      <c r="D300" t="s">
        <v>100</v>
      </c>
      <c r="F300" t="s">
        <v>99</v>
      </c>
      <c r="H300" t="s">
        <v>131</v>
      </c>
      <c r="I300" t="s">
        <v>160</v>
      </c>
      <c r="K300" t="str">
        <f>B268</f>
        <v>hydrogen supply, transported by pipeline, produced by Electrolysis, PEM using water and electricity from Solar PV (CH)</v>
      </c>
      <c r="L300">
        <f t="shared" si="24"/>
        <v>2</v>
      </c>
      <c r="M300">
        <f t="shared" si="25"/>
        <v>-3.4112477175156566</v>
      </c>
      <c r="N300">
        <v>1.5</v>
      </c>
      <c r="O300" s="15">
        <v>1.2</v>
      </c>
      <c r="P300">
        <v>1.5</v>
      </c>
      <c r="Q300">
        <v>1.1000000000000001</v>
      </c>
      <c r="R300">
        <v>2</v>
      </c>
      <c r="S300">
        <v>1.2</v>
      </c>
      <c r="T300">
        <v>1.05</v>
      </c>
      <c r="U300">
        <f t="shared" si="26"/>
        <v>0.47095746419981693</v>
      </c>
    </row>
    <row r="301" spans="1:22" x14ac:dyDescent="0.2">
      <c r="B301" s="45"/>
    </row>
    <row r="302" spans="1:22" x14ac:dyDescent="0.2">
      <c r="A302" s="2" t="s">
        <v>50</v>
      </c>
      <c r="B302" s="44" t="str">
        <f>"hydrogen supply, transported by "&amp;B313&amp;", produced by "&amp;B317&amp;" using "&amp;B318&amp;" from "&amp;B319</f>
        <v>hydrogen supply, transported by truck, produced by Electrolysis, PEM using water and electricity from Solar PV (CH)</v>
      </c>
    </row>
    <row r="303" spans="1:22" x14ac:dyDescent="0.2">
      <c r="A303" t="s">
        <v>51</v>
      </c>
      <c r="B303" s="45" t="str">
        <f>"This dataset represents the supply of 1 kilogram of hydrogen. The hydrogen is transported by "&amp;B313&amp;" over "&amp;B314&amp;" km from regional storage. "&amp;" The "&amp;B312&amp;" is produced by  "&amp;B317&amp;", with "&amp;B318&amp;" from "&amp;B319&amp;" as feedstock. "&amp;A321&amp;": "&amp;(B321*100)&amp;"%. "&amp;A322&amp;": "&amp;(B322*100)&amp;".  For more information, refer to: "&amp;B304</f>
        <v>This dataset represents the supply of 1 kilogram of hydrogen. The hydrogen is transported by truck over 200 km from regional storage.  The hydrogen is produced by  Electrolysis, PEM,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304" spans="1:22" x14ac:dyDescent="0.2">
      <c r="A304" t="s">
        <v>63</v>
      </c>
      <c r="B304" s="45" t="s">
        <v>1223</v>
      </c>
    </row>
    <row r="305" spans="1:2" x14ac:dyDescent="0.2">
      <c r="A305" t="s">
        <v>52</v>
      </c>
      <c r="B305" s="45" t="s">
        <v>64</v>
      </c>
    </row>
    <row r="306" spans="1:2" x14ac:dyDescent="0.2">
      <c r="A306" t="s">
        <v>48</v>
      </c>
      <c r="B306" s="45">
        <v>37</v>
      </c>
    </row>
    <row r="307" spans="1:2" x14ac:dyDescent="0.2">
      <c r="A307" t="s">
        <v>54</v>
      </c>
      <c r="B307" s="45" t="s">
        <v>1137</v>
      </c>
    </row>
    <row r="308" spans="1:2" x14ac:dyDescent="0.2">
      <c r="A308" t="s">
        <v>55</v>
      </c>
      <c r="B308" s="45" t="s">
        <v>56</v>
      </c>
    </row>
    <row r="309" spans="1:2" x14ac:dyDescent="0.2">
      <c r="A309" t="s">
        <v>0</v>
      </c>
      <c r="B309" s="45" t="str">
        <f>INDEX(overview!$B$4:$R$338,MATCH('hydrogen - supply'!B306,overview!$A$4:$A$338,0),MATCH('hydrogen - supply'!A309,overview!$B$3:$R$3,0))</f>
        <v>Switzerland</v>
      </c>
    </row>
    <row r="310" spans="1:2" x14ac:dyDescent="0.2">
      <c r="A310" t="s">
        <v>1</v>
      </c>
      <c r="B310" s="45">
        <f>INDEX(overview!$B$4:$R$338,MATCH('hydrogen - supply'!B306,overview!$A$4:$A$338,0),MATCH('hydrogen - supply'!A310,overview!$B$3:$R$3,0))</f>
        <v>2020</v>
      </c>
    </row>
    <row r="311" spans="1:2" x14ac:dyDescent="0.2">
      <c r="A311" t="s">
        <v>2</v>
      </c>
      <c r="B311" s="45" t="s">
        <v>1130</v>
      </c>
    </row>
    <row r="312" spans="1:2" x14ac:dyDescent="0.2">
      <c r="A312" t="s">
        <v>5</v>
      </c>
      <c r="B312" s="45" t="str">
        <f>INDEX(overview!$B$4:$R$338,MATCH('hydrogen - supply'!B306,overview!$A$4:$A$338,0),MATCH('hydrogen - supply'!A312,overview!$B$3:$R$3,0))</f>
        <v>hydrogen</v>
      </c>
    </row>
    <row r="313" spans="1:2" x14ac:dyDescent="0.2">
      <c r="A313" t="s">
        <v>4</v>
      </c>
      <c r="B313" s="45" t="s">
        <v>69</v>
      </c>
    </row>
    <row r="314" spans="1:2" x14ac:dyDescent="0.2">
      <c r="A314" t="s">
        <v>38</v>
      </c>
      <c r="B314" s="45">
        <f>INDEX(overview!$B$4:$R$338,MATCH('hydrogen - supply'!B306,overview!$A$4:$A$338,0),MATCH('hydrogen - supply'!A314,overview!$B$3:$R$3,0))</f>
        <v>200</v>
      </c>
    </row>
    <row r="315" spans="1:2" x14ac:dyDescent="0.2">
      <c r="A315" t="s">
        <v>12</v>
      </c>
      <c r="B315" s="45" t="str">
        <f>INDEX(overview!$B$4:$R$338,MATCH('hydrogen - supply'!B306,overview!$A$4:$A$338,0),MATCH('hydrogen - supply'!A315,overview!$B$3:$R$3,0))</f>
        <v>Pressure vessel for stationary storage</v>
      </c>
    </row>
    <row r="316" spans="1:2" x14ac:dyDescent="0.2">
      <c r="A316" t="s">
        <v>34</v>
      </c>
      <c r="B316" s="45">
        <f>INDEX(overview!$B$4:$R$338,MATCH('hydrogen - supply'!B306,overview!$A$4:$A$338,0),MATCH('hydrogen - supply'!A316,overview!$B$3:$R$3,0))</f>
        <v>0</v>
      </c>
    </row>
    <row r="317" spans="1:2" x14ac:dyDescent="0.2">
      <c r="A317" t="s">
        <v>15</v>
      </c>
      <c r="B317" s="45" t="str">
        <f>INDEX(overview!$B$4:$R$338,MATCH('hydrogen - supply'!B306,overview!$A$4:$A$338,0),MATCH('hydrogen - supply'!A317,overview!$B$3:$R$3,0))</f>
        <v>Electrolysis, PEM</v>
      </c>
    </row>
    <row r="318" spans="1:2" x14ac:dyDescent="0.2">
      <c r="A318" t="s">
        <v>14</v>
      </c>
      <c r="B318" s="45" t="str">
        <f>INDEX(overview!$B$4:$R$338,MATCH('hydrogen - supply'!B306,overview!$A$4:$A$338,0),MATCH('hydrogen - supply'!A318,overview!$B$3:$R$3,0))</f>
        <v>water and electricity</v>
      </c>
    </row>
    <row r="319" spans="1:2" x14ac:dyDescent="0.2">
      <c r="A319" t="s">
        <v>26</v>
      </c>
      <c r="B319" s="45" t="str">
        <f>INDEX(overview!$B$4:$R$338,MATCH('hydrogen - supply'!B306,overview!$A$4:$A$338,0),MATCH('hydrogen - supply'!A319,overview!$B$3:$R$3,0))</f>
        <v>Solar PV (CH)</v>
      </c>
    </row>
    <row r="320" spans="1:2" x14ac:dyDescent="0.2">
      <c r="A320" t="s">
        <v>29</v>
      </c>
      <c r="B320" s="45">
        <f>INDEX(overview!$B$4:$R$338,MATCH('hydrogen - supply'!B306,overview!$A$4:$A$338,0),MATCH('hydrogen - supply'!A320,overview!$B$3:$R$3,0))</f>
        <v>0</v>
      </c>
    </row>
    <row r="321" spans="1:22" x14ac:dyDescent="0.2">
      <c r="A321" t="s">
        <v>45</v>
      </c>
      <c r="B321" s="66">
        <f>VLOOKUP(B313,parameters!$A$94:$C$96,2,0)</f>
        <v>5.0000000000000001E-3</v>
      </c>
    </row>
    <row r="322" spans="1:22" x14ac:dyDescent="0.2">
      <c r="A322" t="s">
        <v>1133</v>
      </c>
      <c r="B322" s="49">
        <f>VLOOKUP(B313,parameters!$A$94:$D$96,3,0)</f>
        <v>2.3E-2</v>
      </c>
    </row>
    <row r="323" spans="1:22" x14ac:dyDescent="0.2">
      <c r="B323" s="45"/>
    </row>
    <row r="324" spans="1:22" x14ac:dyDescent="0.2">
      <c r="A324" s="3" t="s">
        <v>57</v>
      </c>
      <c r="B324" s="45"/>
    </row>
    <row r="325" spans="1:22" x14ac:dyDescent="0.2">
      <c r="A325" s="2" t="s">
        <v>58</v>
      </c>
      <c r="B325" s="44" t="s">
        <v>59</v>
      </c>
      <c r="C325" s="2" t="s">
        <v>55</v>
      </c>
      <c r="D325" s="2" t="s">
        <v>60</v>
      </c>
      <c r="E325" s="2" t="s">
        <v>52</v>
      </c>
      <c r="F325" s="2" t="s">
        <v>61</v>
      </c>
      <c r="G325" s="2" t="s">
        <v>54</v>
      </c>
      <c r="H325" s="2" t="s">
        <v>87</v>
      </c>
      <c r="I325" s="2" t="s">
        <v>51</v>
      </c>
      <c r="J325" s="2" t="s">
        <v>138</v>
      </c>
      <c r="K325" s="2" t="s">
        <v>136</v>
      </c>
      <c r="L325" s="2" t="s">
        <v>221</v>
      </c>
      <c r="M325" s="2" t="s">
        <v>379</v>
      </c>
      <c r="N325" s="2" t="s">
        <v>1059</v>
      </c>
      <c r="O325" s="2" t="s">
        <v>1060</v>
      </c>
      <c r="P325" s="2" t="s">
        <v>1061</v>
      </c>
      <c r="Q325" s="2" t="s">
        <v>1062</v>
      </c>
      <c r="R325" s="2" t="s">
        <v>1063</v>
      </c>
      <c r="S325" s="2" t="s">
        <v>1064</v>
      </c>
      <c r="T325" s="2" t="s">
        <v>1065</v>
      </c>
      <c r="U325" s="2" t="s">
        <v>380</v>
      </c>
      <c r="V325" s="2" t="s">
        <v>1128</v>
      </c>
    </row>
    <row r="326" spans="1:22" x14ac:dyDescent="0.2">
      <c r="A326" t="str">
        <f>B302</f>
        <v>hydrogen supply, transported by truck, produced by Electrolysis, PEM using water and electricity from Solar PV (CH)</v>
      </c>
      <c r="B326" s="45">
        <v>1</v>
      </c>
      <c r="C326" t="str">
        <f>B308</f>
        <v>kilogram</v>
      </c>
      <c r="E326" t="str">
        <f>B305</f>
        <v>CH</v>
      </c>
      <c r="F326" t="s">
        <v>62</v>
      </c>
      <c r="G326" t="str">
        <f>B307</f>
        <v>hydrogen, gaseous, from truck</v>
      </c>
      <c r="K326" t="str">
        <f>B302</f>
        <v>hydrogen supply, transported by truck, produced by Electrolysis, PEM using water and electricity from Solar PV (CH)</v>
      </c>
    </row>
    <row r="327" spans="1:22" x14ac:dyDescent="0.2">
      <c r="A327" t="str">
        <f>VLOOKUP(J327,'dataset mapping'!$A$4:$E$69,2,0)</f>
        <v>hydrogen production, gaseous, 200 bar, from PEM electrolysis, from Swiss solar PV</v>
      </c>
      <c r="B327" s="53">
        <v>1</v>
      </c>
      <c r="C327" t="str">
        <f>VLOOKUP(J327,'dataset mapping'!$A$4:$E$69,5,0)</f>
        <v>kilogram</v>
      </c>
      <c r="E327" t="str">
        <f>VLOOKUP(J327,'dataset mapping'!$A$4:$E$69,4,0)</f>
        <v>CH</v>
      </c>
      <c r="F327" t="s">
        <v>86</v>
      </c>
      <c r="G327" t="str">
        <f>VLOOKUP(J327,'dataset mapping'!$A$4:$E$69,3,0)</f>
        <v>hydrogen, gaseous, 200 bar</v>
      </c>
      <c r="H327" t="s">
        <v>281</v>
      </c>
      <c r="I327" t="s">
        <v>1054</v>
      </c>
      <c r="J327" t="s">
        <v>292</v>
      </c>
      <c r="K327" t="str">
        <f>B302</f>
        <v>hydrogen supply, transported by truck, produced by Electrolysis, PEM using water and electricity from Solar PV (CH)</v>
      </c>
      <c r="L327">
        <f t="shared" ref="L327:L332" si="27">IF(OR(B327&lt;0,B327=0),1,2)</f>
        <v>2</v>
      </c>
      <c r="M327">
        <f t="shared" ref="M327:M332" si="28">IF(L327=2,LN(B327),"")</f>
        <v>0</v>
      </c>
      <c r="N327">
        <v>1.5</v>
      </c>
      <c r="O327" s="15">
        <v>1.2</v>
      </c>
      <c r="P327">
        <v>1.5</v>
      </c>
      <c r="Q327">
        <v>1.1000000000000001</v>
      </c>
      <c r="R327">
        <v>2</v>
      </c>
      <c r="S327">
        <v>1.2</v>
      </c>
      <c r="T327">
        <v>1.05</v>
      </c>
      <c r="U327">
        <f t="shared" ref="U327:U332" si="29">LN(SQRT(EXP(
SQRT(
+POWER(LN(N327),2)
+POWER(LN(O327),2)
+POWER(LN(P327),2)
+POWER(LN(Q327),2)
+POWER(LN(R327),2)
+POWER(LN(S327),2)
+POWER(LN(T327),2)
)
)))</f>
        <v>0.47095746419981693</v>
      </c>
    </row>
    <row r="328" spans="1:22" x14ac:dyDescent="0.2">
      <c r="A328" t="str">
        <f>VLOOKUP(J328,'dataset mapping'!$A$4:$E$69,2,0)</f>
        <v>hydrogen production, gaseous, 200 bar, from PEM electrolysis, from Swiss solar PV</v>
      </c>
      <c r="B328" s="53">
        <f>(B327*B321)+(B322*B327)</f>
        <v>2.8000000000000001E-2</v>
      </c>
      <c r="C328" t="str">
        <f>VLOOKUP(J328,'dataset mapping'!$A$4:$E$69,5,0)</f>
        <v>kilogram</v>
      </c>
      <c r="E328" t="str">
        <f>VLOOKUP(J328,'dataset mapping'!$A$4:$E$69,4,0)</f>
        <v>CH</v>
      </c>
      <c r="F328" t="s">
        <v>86</v>
      </c>
      <c r="G328" t="str">
        <f>VLOOKUP(J328,'dataset mapping'!$A$4:$E$69,3,0)</f>
        <v>hydrogen, gaseous, 200 bar</v>
      </c>
      <c r="H328" t="s">
        <v>76</v>
      </c>
      <c r="I328" t="s">
        <v>1054</v>
      </c>
      <c r="J328" t="s">
        <v>292</v>
      </c>
      <c r="K328" t="str">
        <f>B303</f>
        <v>This dataset represents the supply of 1 kilogram of hydrogen. The hydrogen is transported by truck over 200 km from regional storage.  The hydrogen is produced by  Electrolysis, PEM,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328">
        <f t="shared" si="27"/>
        <v>2</v>
      </c>
      <c r="M328">
        <f t="shared" si="28"/>
        <v>-3.575550768806933</v>
      </c>
      <c r="N328">
        <v>1.5</v>
      </c>
      <c r="O328" s="15">
        <v>1.2</v>
      </c>
      <c r="P328">
        <v>1.5</v>
      </c>
      <c r="Q328">
        <v>1.1000000000000001</v>
      </c>
      <c r="R328">
        <v>2</v>
      </c>
      <c r="S328">
        <v>1.2</v>
      </c>
      <c r="T328">
        <v>1.05</v>
      </c>
      <c r="U328">
        <f t="shared" si="29"/>
        <v>0.47095746419981693</v>
      </c>
    </row>
    <row r="329" spans="1:22" x14ac:dyDescent="0.2">
      <c r="A329" t="str">
        <f>VLOOKUP(J329,'dataset mapping'!$A$4:$E$69,2,0)</f>
        <v>market for transport, freight, lorry, unspecified</v>
      </c>
      <c r="B329" s="45">
        <f>SUM(B327:B328)/1000*B314</f>
        <v>0.2056</v>
      </c>
      <c r="C329" t="str">
        <f>VLOOKUP(J329,'dataset mapping'!$A$4:$E$69,5,0)</f>
        <v>ton kilometer</v>
      </c>
      <c r="E329" t="str">
        <f>VLOOKUP(J329,'dataset mapping'!$A$4:$E$69,4,0)</f>
        <v>RER</v>
      </c>
      <c r="F329" t="s">
        <v>86</v>
      </c>
      <c r="G329" t="str">
        <f>VLOOKUP(J329,'dataset mapping'!$A$4:$E$69,3,0)</f>
        <v>transport, freight, lorry, unspecified</v>
      </c>
      <c r="H329" t="s">
        <v>88</v>
      </c>
      <c r="I329" t="s">
        <v>1052</v>
      </c>
      <c r="J329" t="s">
        <v>278</v>
      </c>
      <c r="K329" t="str">
        <f>B302</f>
        <v>hydrogen supply, transported by truck, produced by Electrolysis, PEM using water and electricity from Solar PV (CH)</v>
      </c>
      <c r="L329">
        <f t="shared" si="27"/>
        <v>2</v>
      </c>
      <c r="M329">
        <f t="shared" si="28"/>
        <v>-1.5818227454011269</v>
      </c>
      <c r="N329">
        <v>1.5</v>
      </c>
      <c r="O329" s="15">
        <v>1.2</v>
      </c>
      <c r="P329">
        <v>1.5</v>
      </c>
      <c r="Q329">
        <v>1.1000000000000001</v>
      </c>
      <c r="R329">
        <v>2</v>
      </c>
      <c r="S329">
        <v>1.2</v>
      </c>
      <c r="T329">
        <v>2</v>
      </c>
      <c r="U329">
        <f t="shared" si="29"/>
        <v>0.58422518478336083</v>
      </c>
    </row>
    <row r="330" spans="1:22" x14ac:dyDescent="0.2">
      <c r="A330" t="s">
        <v>1038</v>
      </c>
      <c r="B330" s="53">
        <f>SUM(B327:B328)</f>
        <v>1.028</v>
      </c>
      <c r="C330" t="str">
        <f>VLOOKUP(J330,'dataset mapping'!$A$4:$E$69,5,0)</f>
        <v>kilogram</v>
      </c>
      <c r="E330" t="s">
        <v>64</v>
      </c>
      <c r="F330" t="s">
        <v>86</v>
      </c>
      <c r="G330" t="s">
        <v>1039</v>
      </c>
      <c r="H330" t="s">
        <v>88</v>
      </c>
      <c r="I330" t="s">
        <v>1040</v>
      </c>
      <c r="J330" t="s">
        <v>229</v>
      </c>
      <c r="K330" t="str">
        <f>B302</f>
        <v>hydrogen supply, transported by truck, produced by Electrolysis, PEM using water and electricity from Solar PV (CH)</v>
      </c>
      <c r="L330">
        <f t="shared" si="27"/>
        <v>2</v>
      </c>
      <c r="M330">
        <f t="shared" si="28"/>
        <v>2.7615167032973391E-2</v>
      </c>
      <c r="N330">
        <v>1.5</v>
      </c>
      <c r="O330" s="15">
        <v>1.2</v>
      </c>
      <c r="P330">
        <v>1.5</v>
      </c>
      <c r="Q330">
        <v>1.1000000000000001</v>
      </c>
      <c r="R330">
        <v>2</v>
      </c>
      <c r="S330">
        <v>1.2</v>
      </c>
      <c r="T330">
        <v>3</v>
      </c>
      <c r="U330">
        <f t="shared" si="29"/>
        <v>0.72314801614797197</v>
      </c>
    </row>
    <row r="331" spans="1:22" x14ac:dyDescent="0.2">
      <c r="A331" t="s">
        <v>130</v>
      </c>
      <c r="B331" s="52">
        <f>(VLOOKUP(B317,parameters!$A$71:$B$78,2,0)+VLOOKUP(B313,parameters!$A$82:$B$84,2,0)+VLOOKUP(B313,parameters!$A$87:$B$89,2,0))*SUM(B327:B328)</f>
        <v>2.0765600000000002</v>
      </c>
      <c r="C331" t="s">
        <v>92</v>
      </c>
      <c r="E331" t="s">
        <v>64</v>
      </c>
      <c r="F331" t="s">
        <v>86</v>
      </c>
      <c r="G331" t="s">
        <v>93</v>
      </c>
      <c r="H331" t="s">
        <v>78</v>
      </c>
      <c r="I331" t="s">
        <v>1053</v>
      </c>
      <c r="J331" t="s">
        <v>67</v>
      </c>
      <c r="K331" t="str">
        <f>B302</f>
        <v>hydrogen supply, transported by truck, produced by Electrolysis, PEM using water and electricity from Solar PV (CH)</v>
      </c>
      <c r="L331">
        <f t="shared" si="27"/>
        <v>2</v>
      </c>
      <c r="M331">
        <f t="shared" si="28"/>
        <v>0.73071267844608689</v>
      </c>
      <c r="N331">
        <v>1.5</v>
      </c>
      <c r="O331" s="15">
        <v>1.2</v>
      </c>
      <c r="P331">
        <v>1.5</v>
      </c>
      <c r="Q331">
        <v>1.1000000000000001</v>
      </c>
      <c r="R331">
        <v>2</v>
      </c>
      <c r="S331">
        <v>1.2</v>
      </c>
      <c r="T331">
        <v>1.05</v>
      </c>
      <c r="U331">
        <f t="shared" si="29"/>
        <v>0.47095746419981693</v>
      </c>
    </row>
    <row r="332" spans="1:22" x14ac:dyDescent="0.2">
      <c r="A332" t="s">
        <v>7</v>
      </c>
      <c r="B332" s="53">
        <f>B328</f>
        <v>2.8000000000000001E-2</v>
      </c>
      <c r="C332" t="s">
        <v>56</v>
      </c>
      <c r="D332" t="s">
        <v>100</v>
      </c>
      <c r="F332" t="s">
        <v>99</v>
      </c>
      <c r="H332" t="s">
        <v>131</v>
      </c>
      <c r="I332" t="s">
        <v>160</v>
      </c>
      <c r="K332" t="str">
        <f>B302</f>
        <v>hydrogen supply, transported by truck, produced by Electrolysis, PEM using water and electricity from Solar PV (CH)</v>
      </c>
      <c r="L332">
        <f t="shared" si="27"/>
        <v>2</v>
      </c>
      <c r="M332">
        <f t="shared" si="28"/>
        <v>-3.575550768806933</v>
      </c>
      <c r="N332">
        <v>1.5</v>
      </c>
      <c r="O332" s="15">
        <v>1.2</v>
      </c>
      <c r="P332">
        <v>1.5</v>
      </c>
      <c r="Q332">
        <v>1.1000000000000001</v>
      </c>
      <c r="R332">
        <v>2</v>
      </c>
      <c r="S332">
        <v>1.2</v>
      </c>
      <c r="T332">
        <v>1.05</v>
      </c>
      <c r="U332">
        <f t="shared" si="29"/>
        <v>0.47095746419981693</v>
      </c>
    </row>
    <row r="333" spans="1:22" x14ac:dyDescent="0.2">
      <c r="B333" s="45"/>
    </row>
    <row r="334" spans="1:22" x14ac:dyDescent="0.2">
      <c r="A334" s="2" t="s">
        <v>50</v>
      </c>
      <c r="B334" s="44" t="str">
        <f>"hydrogen supply, transported by "&amp;B345&amp;", produced by "&amp;B349&amp;" using "&amp;B350&amp;" from "&amp;B351</f>
        <v>hydrogen supply, transported by pipeline, produced by Electrolysis, SOEC using water and electricity from Solar PV (CH)</v>
      </c>
    </row>
    <row r="335" spans="1:22" x14ac:dyDescent="0.2">
      <c r="A335" t="s">
        <v>51</v>
      </c>
      <c r="B335" s="45" t="str">
        <f>"This dataset represents the supply of 1 kilogram of hydrogen. The hydrogen is transported by "&amp;B345&amp;" over "&amp;B346&amp;" km from regional storage. "&amp;" The "&amp;B344&amp;" is produced by  "&amp;B349&amp;", with "&amp;B350&amp;" from "&amp;B351&amp;" as feedstock. "&amp;A353&amp;": "&amp;(B353*100)&amp;"%. "&amp;A354&amp;": "&amp;(B354*100)&amp;".  For more information, refer to: "&amp;B336</f>
        <v>This dataset represents the supply of 1 kilogram of hydrogen. The hydrogen is transported by pipeline over 500 km from regional storage.  The hydrogen is produced by  Electrolysis, SOEC,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336" spans="1:22" x14ac:dyDescent="0.2">
      <c r="A336" t="s">
        <v>63</v>
      </c>
      <c r="B336" s="45" t="s">
        <v>1223</v>
      </c>
    </row>
    <row r="337" spans="1:2" x14ac:dyDescent="0.2">
      <c r="A337" t="s">
        <v>52</v>
      </c>
      <c r="B337" s="45" t="s">
        <v>64</v>
      </c>
    </row>
    <row r="338" spans="1:2" x14ac:dyDescent="0.2">
      <c r="A338" t="s">
        <v>48</v>
      </c>
      <c r="B338" s="45">
        <v>41</v>
      </c>
    </row>
    <row r="339" spans="1:2" x14ac:dyDescent="0.2">
      <c r="A339" t="s">
        <v>54</v>
      </c>
      <c r="B339" s="45" t="s">
        <v>1129</v>
      </c>
    </row>
    <row r="340" spans="1:2" x14ac:dyDescent="0.2">
      <c r="A340" t="s">
        <v>55</v>
      </c>
      <c r="B340" s="45" t="s">
        <v>56</v>
      </c>
    </row>
    <row r="341" spans="1:2" x14ac:dyDescent="0.2">
      <c r="A341" t="s">
        <v>0</v>
      </c>
      <c r="B341" s="45" t="str">
        <f>INDEX(overview!$B$4:$R$338,MATCH('hydrogen - supply'!B338,overview!$A$4:$A$338,0),MATCH('hydrogen - supply'!A341,overview!$B$3:$R$3,0))</f>
        <v>Switzerland</v>
      </c>
    </row>
    <row r="342" spans="1:2" x14ac:dyDescent="0.2">
      <c r="A342" t="s">
        <v>1</v>
      </c>
      <c r="B342" s="45">
        <f>INDEX(overview!$B$4:$R$338,MATCH('hydrogen - supply'!B338,overview!$A$4:$A$338,0),MATCH('hydrogen - supply'!A342,overview!$B$3:$R$3,0))</f>
        <v>2020</v>
      </c>
    </row>
    <row r="343" spans="1:2" x14ac:dyDescent="0.2">
      <c r="A343" t="s">
        <v>2</v>
      </c>
      <c r="B343" s="45" t="s">
        <v>1130</v>
      </c>
    </row>
    <row r="344" spans="1:2" x14ac:dyDescent="0.2">
      <c r="A344" t="s">
        <v>5</v>
      </c>
      <c r="B344" s="45" t="str">
        <f>INDEX(overview!$B$4:$R$338,MATCH('hydrogen - supply'!B338,overview!$A$4:$A$338,0),MATCH('hydrogen - supply'!A344,overview!$B$3:$R$3,0))</f>
        <v>hydrogen</v>
      </c>
    </row>
    <row r="345" spans="1:2" x14ac:dyDescent="0.2">
      <c r="A345" t="s">
        <v>4</v>
      </c>
      <c r="B345" s="45" t="str">
        <f>INDEX(overview!$B$4:$R$338,MATCH('hydrogen - supply'!B338,overview!$A$4:$A$338,0),MATCH('hydrogen - supply'!A345,overview!$B$3:$R$3,0))</f>
        <v>pipeline</v>
      </c>
    </row>
    <row r="346" spans="1:2" x14ac:dyDescent="0.2">
      <c r="A346" t="s">
        <v>38</v>
      </c>
      <c r="B346" s="45">
        <f>INDEX(overview!$B$4:$R$338,MATCH('hydrogen - supply'!B338,overview!$A$4:$A$338,0),MATCH('hydrogen - supply'!A346,overview!$B$3:$R$3,0))</f>
        <v>500</v>
      </c>
    </row>
    <row r="347" spans="1:2" x14ac:dyDescent="0.2">
      <c r="A347" t="s">
        <v>12</v>
      </c>
      <c r="B347" s="45" t="str">
        <f>INDEX(overview!$B$4:$R$338,MATCH('hydrogen - supply'!B338,overview!$A$4:$A$338,0),MATCH('hydrogen - supply'!A347,overview!$B$3:$R$3,0))</f>
        <v>Pressure vessel for stationary storage</v>
      </c>
    </row>
    <row r="348" spans="1:2" x14ac:dyDescent="0.2">
      <c r="A348" t="s">
        <v>34</v>
      </c>
      <c r="B348" s="45">
        <f>INDEX(overview!$B$4:$R$338,MATCH('hydrogen - supply'!B338,overview!$A$4:$A$338,0),MATCH('hydrogen - supply'!A348,overview!$B$3:$R$3,0))</f>
        <v>0</v>
      </c>
    </row>
    <row r="349" spans="1:2" x14ac:dyDescent="0.2">
      <c r="A349" t="s">
        <v>15</v>
      </c>
      <c r="B349" s="45" t="str">
        <f>INDEX(overview!$B$4:$R$338,MATCH('hydrogen - supply'!B338,overview!$A$4:$A$338,0),MATCH('hydrogen - supply'!A349,overview!$B$3:$R$3,0))</f>
        <v>Electrolysis, SOEC</v>
      </c>
    </row>
    <row r="350" spans="1:2" x14ac:dyDescent="0.2">
      <c r="A350" t="s">
        <v>14</v>
      </c>
      <c r="B350" s="45" t="str">
        <f>INDEX(overview!$B$4:$R$338,MATCH('hydrogen - supply'!B338,overview!$A$4:$A$338,0),MATCH('hydrogen - supply'!A350,overview!$B$3:$R$3,0))</f>
        <v>water and electricity</v>
      </c>
    </row>
    <row r="351" spans="1:2" x14ac:dyDescent="0.2">
      <c r="A351" t="s">
        <v>26</v>
      </c>
      <c r="B351" s="45" t="str">
        <f>INDEX(overview!$B$4:$R$338,MATCH('hydrogen - supply'!B338,overview!$A$4:$A$338,0),MATCH('hydrogen - supply'!A351,overview!$B$3:$R$3,0))</f>
        <v>Solar PV (CH)</v>
      </c>
    </row>
    <row r="352" spans="1:2" x14ac:dyDescent="0.2">
      <c r="A352" t="s">
        <v>29</v>
      </c>
      <c r="B352" s="45">
        <f>INDEX(overview!$B$4:$R$338,MATCH('hydrogen - supply'!B338,overview!$A$4:$A$338,0),MATCH('hydrogen - supply'!A352,overview!$B$3:$R$3,0))</f>
        <v>0</v>
      </c>
    </row>
    <row r="353" spans="1:22" x14ac:dyDescent="0.2">
      <c r="A353" t="s">
        <v>45</v>
      </c>
      <c r="B353" s="66">
        <f>VLOOKUP(B345,parameters!$A$94:$C$96,2,0)</f>
        <v>0.01</v>
      </c>
    </row>
    <row r="354" spans="1:22" x14ac:dyDescent="0.2">
      <c r="A354" t="s">
        <v>1133</v>
      </c>
      <c r="B354" s="49">
        <f>VLOOKUP(B345,parameters!$A$94:$D$96,3,0)</f>
        <v>2.3E-2</v>
      </c>
    </row>
    <row r="355" spans="1:22" x14ac:dyDescent="0.2">
      <c r="B355" s="45"/>
    </row>
    <row r="356" spans="1:22" x14ac:dyDescent="0.2">
      <c r="A356" s="3" t="s">
        <v>57</v>
      </c>
      <c r="B356" s="45"/>
    </row>
    <row r="357" spans="1:22" x14ac:dyDescent="0.2">
      <c r="A357" s="2" t="s">
        <v>58</v>
      </c>
      <c r="B357" s="44" t="s">
        <v>59</v>
      </c>
      <c r="C357" s="2" t="s">
        <v>55</v>
      </c>
      <c r="D357" s="2" t="s">
        <v>60</v>
      </c>
      <c r="E357" s="2" t="s">
        <v>52</v>
      </c>
      <c r="F357" s="2" t="s">
        <v>61</v>
      </c>
      <c r="G357" s="2" t="s">
        <v>54</v>
      </c>
      <c r="H357" s="2" t="s">
        <v>87</v>
      </c>
      <c r="I357" s="2" t="s">
        <v>51</v>
      </c>
      <c r="J357" s="2" t="s">
        <v>138</v>
      </c>
      <c r="K357" s="2" t="s">
        <v>136</v>
      </c>
      <c r="L357" s="2" t="s">
        <v>221</v>
      </c>
      <c r="M357" s="2" t="s">
        <v>379</v>
      </c>
      <c r="N357" s="2" t="s">
        <v>1059</v>
      </c>
      <c r="O357" s="2" t="s">
        <v>1060</v>
      </c>
      <c r="P357" s="2" t="s">
        <v>1061</v>
      </c>
      <c r="Q357" s="2" t="s">
        <v>1062</v>
      </c>
      <c r="R357" s="2" t="s">
        <v>1063</v>
      </c>
      <c r="S357" s="2" t="s">
        <v>1064</v>
      </c>
      <c r="T357" s="2" t="s">
        <v>1065</v>
      </c>
      <c r="U357" s="2" t="s">
        <v>380</v>
      </c>
      <c r="V357" s="2" t="s">
        <v>1128</v>
      </c>
    </row>
    <row r="358" spans="1:22" x14ac:dyDescent="0.2">
      <c r="A358" t="str">
        <f>B334</f>
        <v>hydrogen supply, transported by pipeline, produced by Electrolysis, SOEC using water and electricity from Solar PV (CH)</v>
      </c>
      <c r="B358" s="45">
        <v>1</v>
      </c>
      <c r="C358" t="str">
        <f>B340</f>
        <v>kilogram</v>
      </c>
      <c r="E358" t="str">
        <f>B337</f>
        <v>CH</v>
      </c>
      <c r="F358" t="s">
        <v>62</v>
      </c>
      <c r="G358" t="str">
        <f>B339</f>
        <v>hydrogen, gaseous, from pipeline</v>
      </c>
      <c r="K358" t="str">
        <f>B334</f>
        <v>hydrogen supply, transported by pipeline, produced by Electrolysis, SOEC using water and electricity from Solar PV (CH)</v>
      </c>
    </row>
    <row r="359" spans="1:22" x14ac:dyDescent="0.2">
      <c r="A359" t="str">
        <f>VLOOKUP(J359,'dataset mapping'!$A$4:$E$69,2,0)</f>
        <v>hydrogen production, gaseous, 25 bar, from SOEC electrolysis, from Swiss solar PV</v>
      </c>
      <c r="B359" s="53">
        <v>1</v>
      </c>
      <c r="C359" t="str">
        <f>VLOOKUP(J359,'dataset mapping'!$A$4:$E$69,5,0)</f>
        <v>kilogram</v>
      </c>
      <c r="E359" t="str">
        <f>VLOOKUP(J359,'dataset mapping'!$A$4:$E$69,4,0)</f>
        <v>CH</v>
      </c>
      <c r="F359" t="s">
        <v>86</v>
      </c>
      <c r="G359" t="str">
        <f>VLOOKUP(J359,'dataset mapping'!$A$4:$E$69,3,0)</f>
        <v>hydrogen, gaseous, 25 bar</v>
      </c>
      <c r="H359" t="s">
        <v>281</v>
      </c>
      <c r="I359" t="s">
        <v>1054</v>
      </c>
      <c r="J359" t="str">
        <f>B349&amp;" - "&amp;B351</f>
        <v>Electrolysis, SOEC - Solar PV (CH)</v>
      </c>
      <c r="K359" t="str">
        <f>B334</f>
        <v>hydrogen supply, transported by pipeline, produced by Electrolysis, SOEC using water and electricity from Solar PV (CH)</v>
      </c>
      <c r="L359">
        <f t="shared" ref="L359:L366" si="30">IF(OR(B359&lt;0,B359=0),1,2)</f>
        <v>2</v>
      </c>
      <c r="M359">
        <f t="shared" ref="M359:M366" si="31">IF(L359=2,LN(B359),"")</f>
        <v>0</v>
      </c>
      <c r="N359">
        <v>1.5</v>
      </c>
      <c r="O359" s="15">
        <v>1.2</v>
      </c>
      <c r="P359">
        <v>1.5</v>
      </c>
      <c r="Q359">
        <v>1.1000000000000001</v>
      </c>
      <c r="R359">
        <v>2</v>
      </c>
      <c r="S359">
        <v>1.2</v>
      </c>
      <c r="T359">
        <v>1.05</v>
      </c>
      <c r="U359">
        <f t="shared" ref="U359:U366" si="32">LN(SQRT(EXP(
SQRT(
+POWER(LN(N359),2)
+POWER(LN(O359),2)
+POWER(LN(P359),2)
+POWER(LN(Q359),2)
+POWER(LN(R359),2)
+POWER(LN(S359),2)
+POWER(LN(T359),2)
)
)))</f>
        <v>0.47095746419981693</v>
      </c>
    </row>
    <row r="360" spans="1:22" x14ac:dyDescent="0.2">
      <c r="A360" t="str">
        <f>VLOOKUP(J360,'dataset mapping'!$A$4:$E$69,2,0)</f>
        <v>hydrogen production, gaseous, 25 bar, from SOEC electrolysis, from Swiss solar PV</v>
      </c>
      <c r="B360" s="53">
        <f>(B359*B353)+(B354*B359)</f>
        <v>3.3000000000000002E-2</v>
      </c>
      <c r="C360" t="str">
        <f>VLOOKUP(J360,'dataset mapping'!$A$4:$E$69,5,0)</f>
        <v>kilogram</v>
      </c>
      <c r="E360" t="str">
        <f>VLOOKUP(J360,'dataset mapping'!$A$4:$E$69,4,0)</f>
        <v>CH</v>
      </c>
      <c r="F360" t="s">
        <v>86</v>
      </c>
      <c r="G360" t="str">
        <f>VLOOKUP(J360,'dataset mapping'!$A$4:$E$69,3,0)</f>
        <v>hydrogen, gaseous, 25 bar</v>
      </c>
      <c r="H360" t="s">
        <v>76</v>
      </c>
      <c r="I360" t="s">
        <v>1054</v>
      </c>
      <c r="J360" t="str">
        <f>B349&amp;" - "&amp;B351</f>
        <v>Electrolysis, SOEC - Solar PV (CH)</v>
      </c>
      <c r="K360" t="str">
        <f>B335</f>
        <v>This dataset represents the supply of 1 kilogram of hydrogen. The hydrogen is transported by pipeline over 500 km from regional storage.  The hydrogen is produced by  Electrolysis, SOEC,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360">
        <f t="shared" si="30"/>
        <v>2</v>
      </c>
      <c r="M360">
        <f t="shared" si="31"/>
        <v>-3.4112477175156566</v>
      </c>
      <c r="N360">
        <v>1.5</v>
      </c>
      <c r="O360" s="15">
        <v>1.2</v>
      </c>
      <c r="P360">
        <v>1.5</v>
      </c>
      <c r="Q360">
        <v>1.1000000000000001</v>
      </c>
      <c r="R360">
        <v>2</v>
      </c>
      <c r="S360">
        <v>1.2</v>
      </c>
      <c r="T360">
        <v>1.05</v>
      </c>
      <c r="U360">
        <f t="shared" si="32"/>
        <v>0.47095746419981693</v>
      </c>
    </row>
    <row r="361" spans="1:22" x14ac:dyDescent="0.2">
      <c r="A361" t="str">
        <f>VLOOKUP(J361,'dataset mapping'!$A$4:$E$69,2,0)</f>
        <v>distribution pipeline for hydrogen, dedicated hydrogen pipeline</v>
      </c>
      <c r="B361" s="45">
        <f>0.000000000265*SUM(B359:B360)*B346*0.86</f>
        <v>1.1771035E-7</v>
      </c>
      <c r="C361" t="str">
        <f>VLOOKUP(J361,'dataset mapping'!$A$4:$E$69,5,0)</f>
        <v>kilometer</v>
      </c>
      <c r="E361" t="str">
        <f>VLOOKUP(J361,'dataset mapping'!$A$4:$E$69,4,0)</f>
        <v>CH</v>
      </c>
      <c r="F361" t="s">
        <v>86</v>
      </c>
      <c r="G361" t="str">
        <f>VLOOKUP(J361,'dataset mapping'!$A$4:$E$69,3,0)</f>
        <v>pipeline, for hydrogen distribution</v>
      </c>
      <c r="H361" t="s">
        <v>88</v>
      </c>
      <c r="I361" t="s">
        <v>1052</v>
      </c>
      <c r="J361" t="s">
        <v>218</v>
      </c>
      <c r="K361" t="str">
        <f>B334</f>
        <v>hydrogen supply, transported by pipeline, produced by Electrolysis, SOEC using water and electricity from Solar PV (CH)</v>
      </c>
      <c r="L361">
        <f t="shared" si="30"/>
        <v>2</v>
      </c>
      <c r="M361">
        <f t="shared" si="31"/>
        <v>-15.955038891117216</v>
      </c>
      <c r="N361">
        <v>1.5</v>
      </c>
      <c r="O361" s="15">
        <v>1.2</v>
      </c>
      <c r="P361">
        <v>1.5</v>
      </c>
      <c r="Q361">
        <v>1.1000000000000001</v>
      </c>
      <c r="R361">
        <v>2</v>
      </c>
      <c r="S361">
        <v>1.2</v>
      </c>
      <c r="T361">
        <v>3</v>
      </c>
      <c r="U361">
        <f t="shared" si="32"/>
        <v>0.72314801614797197</v>
      </c>
    </row>
    <row r="362" spans="1:22" x14ac:dyDescent="0.2">
      <c r="A362" t="str">
        <f>VLOOKUP(J362,'dataset mapping'!$A$4:$E$69,2,0)</f>
        <v>transmission pipeline for hydrogen, dedicated hydrogen pipeline</v>
      </c>
      <c r="B362" s="45">
        <f>0.000000000265*SUM(B359:B360)*B346*0.14</f>
        <v>1.9162150000000001E-8</v>
      </c>
      <c r="C362" t="str">
        <f>VLOOKUP(J362,'dataset mapping'!$A$4:$E$69,5,0)</f>
        <v>kilometer</v>
      </c>
      <c r="E362" t="str">
        <f>VLOOKUP(J362,'dataset mapping'!$A$4:$E$69,4,0)</f>
        <v>CH</v>
      </c>
      <c r="F362" t="s">
        <v>86</v>
      </c>
      <c r="G362" t="str">
        <f>VLOOKUP(J362,'dataset mapping'!$A$4:$E$69,3,0)</f>
        <v>pipeline, for hydrogen transmission</v>
      </c>
      <c r="H362" t="s">
        <v>88</v>
      </c>
      <c r="I362" t="s">
        <v>1052</v>
      </c>
      <c r="J362" t="s">
        <v>219</v>
      </c>
      <c r="K362" t="str">
        <f>B334</f>
        <v>hydrogen supply, transported by pipeline, produced by Electrolysis, SOEC using water and electricity from Solar PV (CH)</v>
      </c>
      <c r="L362">
        <f t="shared" si="30"/>
        <v>2</v>
      </c>
      <c r="M362">
        <f t="shared" si="31"/>
        <v>-17.770328857755466</v>
      </c>
      <c r="N362">
        <v>1.5</v>
      </c>
      <c r="O362" s="15">
        <v>1.2</v>
      </c>
      <c r="P362">
        <v>1.5</v>
      </c>
      <c r="Q362">
        <v>1.1000000000000001</v>
      </c>
      <c r="R362">
        <v>2</v>
      </c>
      <c r="S362">
        <v>1.2</v>
      </c>
      <c r="T362">
        <v>3</v>
      </c>
      <c r="U362">
        <f t="shared" si="32"/>
        <v>0.72314801614797197</v>
      </c>
    </row>
    <row r="363" spans="1:22" x14ac:dyDescent="0.2">
      <c r="A363" t="s">
        <v>1038</v>
      </c>
      <c r="B363" s="53">
        <f>SUM(B359:B360)</f>
        <v>1.0329999999999999</v>
      </c>
      <c r="C363" t="str">
        <f>VLOOKUP(J363,'dataset mapping'!$A$4:$E$69,5,0)</f>
        <v>kilogram</v>
      </c>
      <c r="E363" t="s">
        <v>64</v>
      </c>
      <c r="F363" t="s">
        <v>86</v>
      </c>
      <c r="G363" t="s">
        <v>1039</v>
      </c>
      <c r="H363" t="s">
        <v>88</v>
      </c>
      <c r="I363" t="s">
        <v>1040</v>
      </c>
      <c r="J363" t="s">
        <v>229</v>
      </c>
      <c r="K363" t="str">
        <f>B334</f>
        <v>hydrogen supply, transported by pipeline, produced by Electrolysis, SOEC using water and electricity from Solar PV (CH)</v>
      </c>
      <c r="L363">
        <f t="shared" si="30"/>
        <v>2</v>
      </c>
      <c r="M363">
        <f t="shared" si="31"/>
        <v>3.2467190137501413E-2</v>
      </c>
      <c r="N363">
        <v>1.5</v>
      </c>
      <c r="O363" s="15">
        <v>1.2</v>
      </c>
      <c r="P363">
        <v>1.5</v>
      </c>
      <c r="Q363">
        <v>1.1000000000000001</v>
      </c>
      <c r="R363">
        <v>2</v>
      </c>
      <c r="S363">
        <v>1.2</v>
      </c>
      <c r="T363">
        <v>3</v>
      </c>
      <c r="U363">
        <f t="shared" si="32"/>
        <v>0.72314801614797197</v>
      </c>
    </row>
    <row r="364" spans="1:22" x14ac:dyDescent="0.2">
      <c r="A364" t="s">
        <v>130</v>
      </c>
      <c r="B364" s="52">
        <f>(VLOOKUP(B349,parameters!$A$71:$B$78,2,0)+VLOOKUP(B345,parameters!$A$82:$B$84,2,0)+VLOOKUP(B345,parameters!$A$87:$B$89,2,0))*SUM(B359:B360)</f>
        <v>2.0246799999999996</v>
      </c>
      <c r="C364" t="s">
        <v>92</v>
      </c>
      <c r="E364" t="s">
        <v>64</v>
      </c>
      <c r="F364" t="s">
        <v>86</v>
      </c>
      <c r="G364" t="s">
        <v>93</v>
      </c>
      <c r="H364" t="s">
        <v>78</v>
      </c>
      <c r="I364" t="s">
        <v>1053</v>
      </c>
      <c r="J364" t="s">
        <v>67</v>
      </c>
      <c r="K364" t="str">
        <f>B334</f>
        <v>hydrogen supply, transported by pipeline, produced by Electrolysis, SOEC using water and electricity from Solar PV (CH)</v>
      </c>
      <c r="L364">
        <f t="shared" si="30"/>
        <v>2</v>
      </c>
      <c r="M364">
        <f t="shared" si="31"/>
        <v>0.70541166337992711</v>
      </c>
      <c r="N364">
        <v>1.5</v>
      </c>
      <c r="O364" s="15">
        <v>1.2</v>
      </c>
      <c r="P364">
        <v>1.5</v>
      </c>
      <c r="Q364">
        <v>1.1000000000000001</v>
      </c>
      <c r="R364">
        <v>2</v>
      </c>
      <c r="S364">
        <v>1.2</v>
      </c>
      <c r="T364">
        <v>1.05</v>
      </c>
      <c r="U364">
        <f t="shared" si="32"/>
        <v>0.47095746419981693</v>
      </c>
    </row>
    <row r="365" spans="1:22" x14ac:dyDescent="0.2">
      <c r="A365" t="s">
        <v>130</v>
      </c>
      <c r="B365" s="52">
        <f>0.6*SUM(B359:B360)*(B346/250)</f>
        <v>1.2395999999999998</v>
      </c>
      <c r="C365" t="s">
        <v>92</v>
      </c>
      <c r="E365" t="s">
        <v>64</v>
      </c>
      <c r="F365" t="s">
        <v>86</v>
      </c>
      <c r="G365" t="s">
        <v>93</v>
      </c>
      <c r="H365" t="s">
        <v>78</v>
      </c>
      <c r="I365" t="s">
        <v>1135</v>
      </c>
      <c r="J365" t="s">
        <v>67</v>
      </c>
      <c r="K365" t="str">
        <f>B335</f>
        <v>This dataset represents the supply of 1 kilogram of hydrogen. The hydrogen is transported by pipeline over 500 km from regional storage.  The hydrogen is produced by  Electrolysis, SOEC, with water and electricity from Solar PV (CH)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365">
        <f t="shared" si="30"/>
        <v>2</v>
      </c>
      <c r="M365">
        <f t="shared" si="31"/>
        <v>0.21478874693145597</v>
      </c>
      <c r="N365">
        <v>1.5</v>
      </c>
      <c r="O365" s="15">
        <v>1.2</v>
      </c>
      <c r="P365">
        <v>1.5</v>
      </c>
      <c r="Q365">
        <v>1.1000000000000001</v>
      </c>
      <c r="R365">
        <v>2</v>
      </c>
      <c r="S365">
        <v>1.2</v>
      </c>
      <c r="T365">
        <v>1.05</v>
      </c>
      <c r="U365">
        <f t="shared" si="32"/>
        <v>0.47095746419981693</v>
      </c>
    </row>
    <row r="366" spans="1:22" x14ac:dyDescent="0.2">
      <c r="A366" t="s">
        <v>7</v>
      </c>
      <c r="B366" s="53">
        <f>B360</f>
        <v>3.3000000000000002E-2</v>
      </c>
      <c r="C366" t="s">
        <v>56</v>
      </c>
      <c r="D366" t="s">
        <v>100</v>
      </c>
      <c r="F366" t="s">
        <v>99</v>
      </c>
      <c r="H366" t="s">
        <v>131</v>
      </c>
      <c r="I366" t="s">
        <v>160</v>
      </c>
      <c r="K366" t="str">
        <f>B334</f>
        <v>hydrogen supply, transported by pipeline, produced by Electrolysis, SOEC using water and electricity from Solar PV (CH)</v>
      </c>
      <c r="L366">
        <f t="shared" si="30"/>
        <v>2</v>
      </c>
      <c r="M366">
        <f t="shared" si="31"/>
        <v>-3.4112477175156566</v>
      </c>
      <c r="N366">
        <v>1.5</v>
      </c>
      <c r="O366" s="15">
        <v>1.2</v>
      </c>
      <c r="P366">
        <v>1.5</v>
      </c>
      <c r="Q366">
        <v>1.1000000000000001</v>
      </c>
      <c r="R366">
        <v>2</v>
      </c>
      <c r="S366">
        <v>1.2</v>
      </c>
      <c r="T366">
        <v>1.05</v>
      </c>
      <c r="U366">
        <f t="shared" si="32"/>
        <v>0.47095746419981693</v>
      </c>
    </row>
    <row r="367" spans="1:22" x14ac:dyDescent="0.2">
      <c r="B367" s="45"/>
    </row>
    <row r="368" spans="1:22" x14ac:dyDescent="0.2">
      <c r="A368" s="2" t="s">
        <v>50</v>
      </c>
      <c r="B368" s="44" t="str">
        <f>"hydrogen supply, transported by "&amp;B379&amp;", produced by "&amp;B383&amp;" using "&amp;B384&amp;" from "&amp;B385</f>
        <v>hydrogen supply, transported by truck, produced by Electrolysis, SOEC using water and electricity from Solar PV (CH)</v>
      </c>
    </row>
    <row r="369" spans="1:2" x14ac:dyDescent="0.2">
      <c r="A369" t="s">
        <v>51</v>
      </c>
      <c r="B369" s="45" t="str">
        <f>"This dataset represents the supply of 1 kilogram of hydrogen. The hydrogen is transported by "&amp;B379&amp;" over "&amp;B380&amp;" km from regional storage. "&amp;" The "&amp;B378&amp;" is produced by  "&amp;B383&amp;", with "&amp;B384&amp;" from "&amp;B385&amp;" as feedstock. "&amp;A387&amp;": "&amp;(B387*100)&amp;"%. "&amp;A388&amp;": "&amp;(B388*100)&amp;".  For more information, refer to: "&amp;B370</f>
        <v>This dataset represents the supply of 1 kilogram of hydrogen. The hydrogen is transported by truck over 200 km from regional storage.  The hydrogen is produced by  Electrolysis, SOEC,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370" spans="1:2" x14ac:dyDescent="0.2">
      <c r="A370" t="s">
        <v>63</v>
      </c>
      <c r="B370" s="45" t="s">
        <v>1223</v>
      </c>
    </row>
    <row r="371" spans="1:2" x14ac:dyDescent="0.2">
      <c r="A371" t="s">
        <v>52</v>
      </c>
      <c r="B371" s="45" t="s">
        <v>64</v>
      </c>
    </row>
    <row r="372" spans="1:2" x14ac:dyDescent="0.2">
      <c r="A372" t="s">
        <v>48</v>
      </c>
      <c r="B372" s="45">
        <v>45</v>
      </c>
    </row>
    <row r="373" spans="1:2" x14ac:dyDescent="0.2">
      <c r="A373" t="s">
        <v>54</v>
      </c>
      <c r="B373" s="45" t="s">
        <v>1137</v>
      </c>
    </row>
    <row r="374" spans="1:2" x14ac:dyDescent="0.2">
      <c r="A374" t="s">
        <v>55</v>
      </c>
      <c r="B374" s="45" t="s">
        <v>56</v>
      </c>
    </row>
    <row r="375" spans="1:2" x14ac:dyDescent="0.2">
      <c r="A375" t="s">
        <v>0</v>
      </c>
      <c r="B375" s="45" t="str">
        <f>INDEX(overview!$B$4:$R$338,MATCH('hydrogen - supply'!B372,overview!$A$4:$A$338,0),MATCH('hydrogen - supply'!A375,overview!$B$3:$R$3,0))</f>
        <v>Switzerland</v>
      </c>
    </row>
    <row r="376" spans="1:2" x14ac:dyDescent="0.2">
      <c r="A376" t="s">
        <v>1</v>
      </c>
      <c r="B376" s="45">
        <f>INDEX(overview!$B$4:$R$338,MATCH('hydrogen - supply'!B372,overview!$A$4:$A$338,0),MATCH('hydrogen - supply'!A376,overview!$B$3:$R$3,0))</f>
        <v>2020</v>
      </c>
    </row>
    <row r="377" spans="1:2" x14ac:dyDescent="0.2">
      <c r="A377" t="s">
        <v>2</v>
      </c>
      <c r="B377" s="45" t="s">
        <v>1130</v>
      </c>
    </row>
    <row r="378" spans="1:2" x14ac:dyDescent="0.2">
      <c r="A378" t="s">
        <v>5</v>
      </c>
      <c r="B378" s="45" t="str">
        <f>INDEX(overview!$B$4:$R$338,MATCH('hydrogen - supply'!B372,overview!$A$4:$A$338,0),MATCH('hydrogen - supply'!A378,overview!$B$3:$R$3,0))</f>
        <v>hydrogen</v>
      </c>
    </row>
    <row r="379" spans="1:2" x14ac:dyDescent="0.2">
      <c r="A379" t="s">
        <v>4</v>
      </c>
      <c r="B379" s="45" t="s">
        <v>69</v>
      </c>
    </row>
    <row r="380" spans="1:2" x14ac:dyDescent="0.2">
      <c r="A380" t="s">
        <v>38</v>
      </c>
      <c r="B380" s="45">
        <f>INDEX(overview!$B$4:$R$338,MATCH('hydrogen - supply'!B372,overview!$A$4:$A$338,0),MATCH('hydrogen - supply'!A380,overview!$B$3:$R$3,0))</f>
        <v>200</v>
      </c>
    </row>
    <row r="381" spans="1:2" x14ac:dyDescent="0.2">
      <c r="A381" t="s">
        <v>12</v>
      </c>
      <c r="B381" s="45" t="str">
        <f>INDEX(overview!$B$4:$R$338,MATCH('hydrogen - supply'!B372,overview!$A$4:$A$338,0),MATCH('hydrogen - supply'!A381,overview!$B$3:$R$3,0))</f>
        <v>Pressure vessel for stationary storage</v>
      </c>
    </row>
    <row r="382" spans="1:2" x14ac:dyDescent="0.2">
      <c r="A382" t="s">
        <v>34</v>
      </c>
      <c r="B382" s="45">
        <f>INDEX(overview!$B$4:$R$338,MATCH('hydrogen - supply'!B372,overview!$A$4:$A$338,0),MATCH('hydrogen - supply'!A382,overview!$B$3:$R$3,0))</f>
        <v>0</v>
      </c>
    </row>
    <row r="383" spans="1:2" x14ac:dyDescent="0.2">
      <c r="A383" t="s">
        <v>15</v>
      </c>
      <c r="B383" s="45" t="str">
        <f>INDEX(overview!$B$4:$R$338,MATCH('hydrogen - supply'!B372,overview!$A$4:$A$338,0),MATCH('hydrogen - supply'!A383,overview!$B$3:$R$3,0))</f>
        <v>Electrolysis, SOEC</v>
      </c>
    </row>
    <row r="384" spans="1:2" x14ac:dyDescent="0.2">
      <c r="A384" t="s">
        <v>14</v>
      </c>
      <c r="B384" s="45" t="str">
        <f>INDEX(overview!$B$4:$R$338,MATCH('hydrogen - supply'!B372,overview!$A$4:$A$338,0),MATCH('hydrogen - supply'!A384,overview!$B$3:$R$3,0))</f>
        <v>water and electricity</v>
      </c>
    </row>
    <row r="385" spans="1:22" x14ac:dyDescent="0.2">
      <c r="A385" t="s">
        <v>26</v>
      </c>
      <c r="B385" s="45" t="str">
        <f>INDEX(overview!$B$4:$R$338,MATCH('hydrogen - supply'!B372,overview!$A$4:$A$338,0),MATCH('hydrogen - supply'!A385,overview!$B$3:$R$3,0))</f>
        <v>Solar PV (CH)</v>
      </c>
    </row>
    <row r="386" spans="1:22" x14ac:dyDescent="0.2">
      <c r="A386" t="s">
        <v>29</v>
      </c>
      <c r="B386" s="45">
        <f>INDEX(overview!$B$4:$R$338,MATCH('hydrogen - supply'!B372,overview!$A$4:$A$338,0),MATCH('hydrogen - supply'!A386,overview!$B$3:$R$3,0))</f>
        <v>0</v>
      </c>
    </row>
    <row r="387" spans="1:22" x14ac:dyDescent="0.2">
      <c r="A387" t="s">
        <v>45</v>
      </c>
      <c r="B387" s="66">
        <f>VLOOKUP(B379,parameters!$A$94:$C$96,2,0)</f>
        <v>5.0000000000000001E-3</v>
      </c>
    </row>
    <row r="388" spans="1:22" x14ac:dyDescent="0.2">
      <c r="A388" t="s">
        <v>1133</v>
      </c>
      <c r="B388" s="49">
        <f>VLOOKUP(B379,parameters!$A$94:$D$96,3,0)</f>
        <v>2.3E-2</v>
      </c>
    </row>
    <row r="389" spans="1:22" x14ac:dyDescent="0.2">
      <c r="B389" s="45"/>
    </row>
    <row r="390" spans="1:22" x14ac:dyDescent="0.2">
      <c r="A390" s="3" t="s">
        <v>57</v>
      </c>
      <c r="B390" s="45"/>
    </row>
    <row r="391" spans="1:22" x14ac:dyDescent="0.2">
      <c r="A391" s="2" t="s">
        <v>58</v>
      </c>
      <c r="B391" s="44" t="s">
        <v>59</v>
      </c>
      <c r="C391" s="2" t="s">
        <v>55</v>
      </c>
      <c r="D391" s="2" t="s">
        <v>60</v>
      </c>
      <c r="E391" s="2" t="s">
        <v>52</v>
      </c>
      <c r="F391" s="2" t="s">
        <v>61</v>
      </c>
      <c r="G391" s="2" t="s">
        <v>54</v>
      </c>
      <c r="H391" s="2" t="s">
        <v>87</v>
      </c>
      <c r="I391" s="2" t="s">
        <v>51</v>
      </c>
      <c r="J391" s="2" t="s">
        <v>138</v>
      </c>
      <c r="K391" s="2" t="s">
        <v>136</v>
      </c>
      <c r="L391" s="2" t="s">
        <v>221</v>
      </c>
      <c r="M391" s="2" t="s">
        <v>379</v>
      </c>
      <c r="N391" s="2" t="s">
        <v>1059</v>
      </c>
      <c r="O391" s="2" t="s">
        <v>1060</v>
      </c>
      <c r="P391" s="2" t="s">
        <v>1061</v>
      </c>
      <c r="Q391" s="2" t="s">
        <v>1062</v>
      </c>
      <c r="R391" s="2" t="s">
        <v>1063</v>
      </c>
      <c r="S391" s="2" t="s">
        <v>1064</v>
      </c>
      <c r="T391" s="2" t="s">
        <v>1065</v>
      </c>
      <c r="U391" s="2" t="s">
        <v>380</v>
      </c>
      <c r="V391" s="2" t="s">
        <v>1128</v>
      </c>
    </row>
    <row r="392" spans="1:22" x14ac:dyDescent="0.2">
      <c r="A392" t="str">
        <f>B368</f>
        <v>hydrogen supply, transported by truck, produced by Electrolysis, SOEC using water and electricity from Solar PV (CH)</v>
      </c>
      <c r="B392" s="45">
        <v>1</v>
      </c>
      <c r="C392" t="str">
        <f>B374</f>
        <v>kilogram</v>
      </c>
      <c r="E392" t="str">
        <f>B371</f>
        <v>CH</v>
      </c>
      <c r="F392" t="s">
        <v>62</v>
      </c>
      <c r="G392" t="str">
        <f>B373</f>
        <v>hydrogen, gaseous, from truck</v>
      </c>
      <c r="K392" t="str">
        <f>B368</f>
        <v>hydrogen supply, transported by truck, produced by Electrolysis, SOEC using water and electricity from Solar PV (CH)</v>
      </c>
    </row>
    <row r="393" spans="1:22" x14ac:dyDescent="0.2">
      <c r="A393" t="str">
        <f>VLOOKUP(J393,'dataset mapping'!$A$4:$E$69,2,0)</f>
        <v>hydrogen production, gaseous, 25 bar, from SOEC electrolysis, from Swiss solar PV</v>
      </c>
      <c r="B393" s="53">
        <v>1</v>
      </c>
      <c r="C393" t="str">
        <f>VLOOKUP(J393,'dataset mapping'!$A$4:$E$69,5,0)</f>
        <v>kilogram</v>
      </c>
      <c r="E393" t="str">
        <f>VLOOKUP(J393,'dataset mapping'!$A$4:$E$69,4,0)</f>
        <v>CH</v>
      </c>
      <c r="F393" t="s">
        <v>86</v>
      </c>
      <c r="G393" t="str">
        <f>VLOOKUP(J393,'dataset mapping'!$A$4:$E$69,3,0)</f>
        <v>hydrogen, gaseous, 25 bar</v>
      </c>
      <c r="H393" t="s">
        <v>281</v>
      </c>
      <c r="I393" t="s">
        <v>1054</v>
      </c>
      <c r="J393" t="str">
        <f>B349&amp;" - "&amp;B351</f>
        <v>Electrolysis, SOEC - Solar PV (CH)</v>
      </c>
      <c r="K393" t="str">
        <f>B368</f>
        <v>hydrogen supply, transported by truck, produced by Electrolysis, SOEC using water and electricity from Solar PV (CH)</v>
      </c>
      <c r="L393">
        <f t="shared" ref="L393:L398" si="33">IF(OR(B393&lt;0,B393=0),1,2)</f>
        <v>2</v>
      </c>
      <c r="M393">
        <f t="shared" ref="M393:M398" si="34">IF(L393=2,LN(B393),"")</f>
        <v>0</v>
      </c>
      <c r="N393">
        <v>1.5</v>
      </c>
      <c r="O393" s="15">
        <v>1.2</v>
      </c>
      <c r="P393">
        <v>1.5</v>
      </c>
      <c r="Q393">
        <v>1.1000000000000001</v>
      </c>
      <c r="R393">
        <v>2</v>
      </c>
      <c r="S393">
        <v>1.2</v>
      </c>
      <c r="T393">
        <v>1.05</v>
      </c>
      <c r="U393">
        <f t="shared" ref="U393:U398" si="35">LN(SQRT(EXP(
SQRT(
+POWER(LN(N393),2)
+POWER(LN(O393),2)
+POWER(LN(P393),2)
+POWER(LN(Q393),2)
+POWER(LN(R393),2)
+POWER(LN(S393),2)
+POWER(LN(T393),2)
)
)))</f>
        <v>0.47095746419981693</v>
      </c>
    </row>
    <row r="394" spans="1:22" x14ac:dyDescent="0.2">
      <c r="A394" t="str">
        <f>VLOOKUP(J394,'dataset mapping'!$A$4:$E$69,2,0)</f>
        <v>hydrogen production, gaseous, 25 bar, from SOEC electrolysis, from Swiss solar PV</v>
      </c>
      <c r="B394" s="53">
        <f>(B393*B387)+(B388*B393)</f>
        <v>2.8000000000000001E-2</v>
      </c>
      <c r="C394" t="str">
        <f>VLOOKUP(J394,'dataset mapping'!$A$4:$E$69,5,0)</f>
        <v>kilogram</v>
      </c>
      <c r="E394" t="str">
        <f>VLOOKUP(J394,'dataset mapping'!$A$4:$E$69,4,0)</f>
        <v>CH</v>
      </c>
      <c r="F394" t="s">
        <v>86</v>
      </c>
      <c r="G394" t="str">
        <f>VLOOKUP(J394,'dataset mapping'!$A$4:$E$69,3,0)</f>
        <v>hydrogen, gaseous, 25 bar</v>
      </c>
      <c r="H394" t="s">
        <v>76</v>
      </c>
      <c r="I394" t="s">
        <v>1054</v>
      </c>
      <c r="J394" t="str">
        <f>B349&amp;" - "&amp;B351</f>
        <v>Electrolysis, SOEC - Solar PV (CH)</v>
      </c>
      <c r="K394" t="str">
        <f>B369</f>
        <v>This dataset represents the supply of 1 kilogram of hydrogen. The hydrogen is transported by truck over 200 km from regional storage.  The hydrogen is produced by  Electrolysis, SOEC, with water and electricity from Solar PV (CH)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394">
        <f t="shared" si="33"/>
        <v>2</v>
      </c>
      <c r="M394">
        <f t="shared" si="34"/>
        <v>-3.575550768806933</v>
      </c>
      <c r="N394">
        <v>1.5</v>
      </c>
      <c r="O394" s="15">
        <v>1.2</v>
      </c>
      <c r="P394">
        <v>1.5</v>
      </c>
      <c r="Q394">
        <v>1.1000000000000001</v>
      </c>
      <c r="R394">
        <v>2</v>
      </c>
      <c r="S394">
        <v>1.2</v>
      </c>
      <c r="T394">
        <v>1.05</v>
      </c>
      <c r="U394">
        <f t="shared" si="35"/>
        <v>0.47095746419981693</v>
      </c>
    </row>
    <row r="395" spans="1:22" x14ac:dyDescent="0.2">
      <c r="A395" t="str">
        <f>VLOOKUP(J395,'dataset mapping'!$A$4:$E$69,2,0)</f>
        <v>market for transport, freight, lorry, unspecified</v>
      </c>
      <c r="B395" s="45">
        <f>SUM(B393:B394)/1000*B380</f>
        <v>0.2056</v>
      </c>
      <c r="C395" t="str">
        <f>VLOOKUP(J395,'dataset mapping'!$A$4:$E$69,5,0)</f>
        <v>ton kilometer</v>
      </c>
      <c r="E395" t="str">
        <f>VLOOKUP(J395,'dataset mapping'!$A$4:$E$69,4,0)</f>
        <v>RER</v>
      </c>
      <c r="F395" t="s">
        <v>86</v>
      </c>
      <c r="G395" t="str">
        <f>VLOOKUP(J395,'dataset mapping'!$A$4:$E$69,3,0)</f>
        <v>transport, freight, lorry, unspecified</v>
      </c>
      <c r="H395" t="s">
        <v>88</v>
      </c>
      <c r="I395" t="s">
        <v>1052</v>
      </c>
      <c r="J395" t="s">
        <v>278</v>
      </c>
      <c r="K395" t="str">
        <f>B368</f>
        <v>hydrogen supply, transported by truck, produced by Electrolysis, SOEC using water and electricity from Solar PV (CH)</v>
      </c>
      <c r="L395">
        <f t="shared" si="33"/>
        <v>2</v>
      </c>
      <c r="M395">
        <f t="shared" si="34"/>
        <v>-1.5818227454011269</v>
      </c>
      <c r="N395">
        <v>1.5</v>
      </c>
      <c r="O395" s="15">
        <v>1.2</v>
      </c>
      <c r="P395">
        <v>1.5</v>
      </c>
      <c r="Q395">
        <v>1.1000000000000001</v>
      </c>
      <c r="R395">
        <v>2</v>
      </c>
      <c r="S395">
        <v>1.2</v>
      </c>
      <c r="T395">
        <v>2</v>
      </c>
      <c r="U395">
        <f t="shared" si="35"/>
        <v>0.58422518478336083</v>
      </c>
    </row>
    <row r="396" spans="1:22" x14ac:dyDescent="0.2">
      <c r="A396" t="s">
        <v>1038</v>
      </c>
      <c r="B396" s="53">
        <f>SUM(B393:B394)</f>
        <v>1.028</v>
      </c>
      <c r="C396" t="str">
        <f>VLOOKUP(J396,'dataset mapping'!$A$4:$E$69,5,0)</f>
        <v>kilogram</v>
      </c>
      <c r="E396" t="s">
        <v>64</v>
      </c>
      <c r="F396" t="s">
        <v>86</v>
      </c>
      <c r="G396" t="s">
        <v>1039</v>
      </c>
      <c r="H396" t="s">
        <v>88</v>
      </c>
      <c r="I396" t="s">
        <v>1040</v>
      </c>
      <c r="J396" t="s">
        <v>229</v>
      </c>
      <c r="K396" t="str">
        <f>B368</f>
        <v>hydrogen supply, transported by truck, produced by Electrolysis, SOEC using water and electricity from Solar PV (CH)</v>
      </c>
      <c r="L396">
        <f t="shared" si="33"/>
        <v>2</v>
      </c>
      <c r="M396">
        <f t="shared" si="34"/>
        <v>2.7615167032973391E-2</v>
      </c>
      <c r="N396">
        <v>1.5</v>
      </c>
      <c r="O396" s="15">
        <v>1.2</v>
      </c>
      <c r="P396">
        <v>1.5</v>
      </c>
      <c r="Q396">
        <v>1.1000000000000001</v>
      </c>
      <c r="R396">
        <v>2</v>
      </c>
      <c r="S396">
        <v>1.2</v>
      </c>
      <c r="T396">
        <v>3</v>
      </c>
      <c r="U396">
        <f t="shared" si="35"/>
        <v>0.72314801614797197</v>
      </c>
    </row>
    <row r="397" spans="1:22" x14ac:dyDescent="0.2">
      <c r="A397" t="s">
        <v>130</v>
      </c>
      <c r="B397" s="52">
        <f>(VLOOKUP(B383,parameters!$A$71:$B$78,2,0)+VLOOKUP(B379,parameters!$A$82:$B$84,2,0)+VLOOKUP(B379,parameters!$A$87:$B$89,2,0))*SUM(B393:B394)</f>
        <v>3.5774400000000006</v>
      </c>
      <c r="C397" t="s">
        <v>92</v>
      </c>
      <c r="E397" t="s">
        <v>64</v>
      </c>
      <c r="F397" t="s">
        <v>86</v>
      </c>
      <c r="G397" t="s">
        <v>93</v>
      </c>
      <c r="H397" t="s">
        <v>78</v>
      </c>
      <c r="I397" t="s">
        <v>1053</v>
      </c>
      <c r="J397" t="s">
        <v>67</v>
      </c>
      <c r="K397" t="str">
        <f>B368</f>
        <v>hydrogen supply, transported by truck, produced by Electrolysis, SOEC using water and electricity from Solar PV (CH)</v>
      </c>
      <c r="L397">
        <f t="shared" si="33"/>
        <v>2</v>
      </c>
      <c r="M397">
        <f t="shared" si="34"/>
        <v>1.2746474608193565</v>
      </c>
      <c r="N397">
        <v>1.5</v>
      </c>
      <c r="O397" s="15">
        <v>1.2</v>
      </c>
      <c r="P397">
        <v>1.5</v>
      </c>
      <c r="Q397">
        <v>1.1000000000000001</v>
      </c>
      <c r="R397">
        <v>2</v>
      </c>
      <c r="S397">
        <v>1.2</v>
      </c>
      <c r="T397">
        <v>1.05</v>
      </c>
      <c r="U397">
        <f t="shared" si="35"/>
        <v>0.47095746419981693</v>
      </c>
    </row>
    <row r="398" spans="1:22" x14ac:dyDescent="0.2">
      <c r="A398" t="s">
        <v>7</v>
      </c>
      <c r="B398" s="53">
        <f>B394</f>
        <v>2.8000000000000001E-2</v>
      </c>
      <c r="C398" t="s">
        <v>56</v>
      </c>
      <c r="D398" t="s">
        <v>100</v>
      </c>
      <c r="F398" t="s">
        <v>99</v>
      </c>
      <c r="H398" t="s">
        <v>131</v>
      </c>
      <c r="I398" t="s">
        <v>160</v>
      </c>
      <c r="K398" t="str">
        <f>B368</f>
        <v>hydrogen supply, transported by truck, produced by Electrolysis, SOEC using water and electricity from Solar PV (CH)</v>
      </c>
      <c r="L398">
        <f t="shared" si="33"/>
        <v>2</v>
      </c>
      <c r="M398">
        <f t="shared" si="34"/>
        <v>-3.575550768806933</v>
      </c>
      <c r="N398">
        <v>1.5</v>
      </c>
      <c r="O398" s="15">
        <v>1.2</v>
      </c>
      <c r="P398">
        <v>1.5</v>
      </c>
      <c r="Q398">
        <v>1.1000000000000001</v>
      </c>
      <c r="R398">
        <v>2</v>
      </c>
      <c r="S398">
        <v>1.2</v>
      </c>
      <c r="T398">
        <v>1.05</v>
      </c>
      <c r="U398">
        <f t="shared" si="35"/>
        <v>0.47095746419981693</v>
      </c>
    </row>
    <row r="399" spans="1:22" x14ac:dyDescent="0.2">
      <c r="B399" s="45"/>
    </row>
    <row r="400" spans="1:22" x14ac:dyDescent="0.2">
      <c r="A400" s="2" t="s">
        <v>50</v>
      </c>
      <c r="B400" s="44" t="str">
        <f>"hydrogen supply, transported by "&amp;B411&amp;", produced by "&amp;B415&amp;" using "&amp;B416&amp;" from "&amp;B417</f>
        <v>hydrogen supply, transported by pipeline, produced by Electrolysis, Alkaline using water and electricity from Solar PV (IT)</v>
      </c>
    </row>
    <row r="401" spans="1:2" x14ac:dyDescent="0.2">
      <c r="A401" t="s">
        <v>51</v>
      </c>
      <c r="B401" s="45" t="str">
        <f>"This dataset represents the supply of 1 kilogram of hydrogen. The hydrogen is transported by "&amp;B411&amp;" over "&amp;B412&amp;" km from regional storage. "&amp;" The "&amp;B410&amp;" is produced by  "&amp;B415&amp;", with "&amp;B416&amp;" from "&amp;B417&amp;" as feedstock. "&amp;A419&amp;": "&amp;(B419*100)&amp;"%. "&amp;A420&amp;": "&amp;(B420*100)&amp;".  For more information, refer to: "&amp;B402</f>
        <v>This dataset represents the supply of 1 kilogram of hydrogen. The hydrogen is transported by pipeline over 1700 km from regional storage.  The hydrogen is produced by  Electrolysis, Alkaline,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402" spans="1:2" x14ac:dyDescent="0.2">
      <c r="A402" t="s">
        <v>63</v>
      </c>
      <c r="B402" s="45" t="s">
        <v>1223</v>
      </c>
    </row>
    <row r="403" spans="1:2" x14ac:dyDescent="0.2">
      <c r="A403" t="s">
        <v>52</v>
      </c>
      <c r="B403" s="45" t="s">
        <v>64</v>
      </c>
    </row>
    <row r="404" spans="1:2" x14ac:dyDescent="0.2">
      <c r="A404" t="s">
        <v>48</v>
      </c>
      <c r="B404" s="45">
        <v>49</v>
      </c>
    </row>
    <row r="405" spans="1:2" x14ac:dyDescent="0.2">
      <c r="A405" t="s">
        <v>54</v>
      </c>
      <c r="B405" s="45" t="s">
        <v>1129</v>
      </c>
    </row>
    <row r="406" spans="1:2" x14ac:dyDescent="0.2">
      <c r="A406" t="s">
        <v>55</v>
      </c>
      <c r="B406" s="45" t="s">
        <v>56</v>
      </c>
    </row>
    <row r="407" spans="1:2" x14ac:dyDescent="0.2">
      <c r="A407" t="s">
        <v>0</v>
      </c>
      <c r="B407" s="45" t="str">
        <f>INDEX(overview!$B$4:$R$338,MATCH('hydrogen - supply'!B404,overview!$A$4:$A$338,0),MATCH('hydrogen - supply'!A407,overview!$B$3:$R$3,0))</f>
        <v>Switzerland</v>
      </c>
    </row>
    <row r="408" spans="1:2" x14ac:dyDescent="0.2">
      <c r="A408" t="s">
        <v>1</v>
      </c>
      <c r="B408" s="45">
        <f>INDEX(overview!$B$4:$R$338,MATCH('hydrogen - supply'!B404,overview!$A$4:$A$338,0),MATCH('hydrogen - supply'!A408,overview!$B$3:$R$3,0))</f>
        <v>2020</v>
      </c>
    </row>
    <row r="409" spans="1:2" x14ac:dyDescent="0.2">
      <c r="A409" t="s">
        <v>2</v>
      </c>
      <c r="B409" s="45" t="s">
        <v>1130</v>
      </c>
    </row>
    <row r="410" spans="1:2" x14ac:dyDescent="0.2">
      <c r="A410" t="s">
        <v>5</v>
      </c>
      <c r="B410" s="45" t="str">
        <f>INDEX(overview!$B$4:$R$338,MATCH('hydrogen - supply'!B404,overview!$A$4:$A$338,0),MATCH('hydrogen - supply'!A410,overview!$B$3:$R$3,0))</f>
        <v>hydrogen</v>
      </c>
    </row>
    <row r="411" spans="1:2" x14ac:dyDescent="0.2">
      <c r="A411" t="s">
        <v>4</v>
      </c>
      <c r="B411" s="45" t="str">
        <f>INDEX(overview!$B$4:$R$338,MATCH('hydrogen - supply'!B404,overview!$A$4:$A$338,0),MATCH('hydrogen - supply'!A411,overview!$B$3:$R$3,0))</f>
        <v>pipeline</v>
      </c>
    </row>
    <row r="412" spans="1:2" x14ac:dyDescent="0.2">
      <c r="A412" t="s">
        <v>38</v>
      </c>
      <c r="B412" s="45">
        <f>INDEX(overview!$B$4:$R$338,MATCH('hydrogen - supply'!B404,overview!$A$4:$A$338,0),MATCH('hydrogen - supply'!A412,overview!$B$3:$R$3,0))</f>
        <v>1700</v>
      </c>
    </row>
    <row r="413" spans="1:2" x14ac:dyDescent="0.2">
      <c r="A413" t="s">
        <v>12</v>
      </c>
      <c r="B413" s="45" t="str">
        <f>INDEX(overview!$B$4:$R$338,MATCH('hydrogen - supply'!B404,overview!$A$4:$A$338,0),MATCH('hydrogen - supply'!A413,overview!$B$3:$R$3,0))</f>
        <v>Pressure vessel for stationary storage</v>
      </c>
    </row>
    <row r="414" spans="1:2" x14ac:dyDescent="0.2">
      <c r="A414" t="s">
        <v>34</v>
      </c>
      <c r="B414" s="45">
        <f>INDEX(overview!$B$4:$R$338,MATCH('hydrogen - supply'!B404,overview!$A$4:$A$338,0),MATCH('hydrogen - supply'!A414,overview!$B$3:$R$3,0))</f>
        <v>0</v>
      </c>
    </row>
    <row r="415" spans="1:2" x14ac:dyDescent="0.2">
      <c r="A415" t="s">
        <v>15</v>
      </c>
      <c r="B415" s="45" t="str">
        <f>INDEX(overview!$B$4:$R$338,MATCH('hydrogen - supply'!B404,overview!$A$4:$A$338,0),MATCH('hydrogen - supply'!A415,overview!$B$3:$R$3,0))</f>
        <v>Electrolysis, Alkaline</v>
      </c>
    </row>
    <row r="416" spans="1:2" x14ac:dyDescent="0.2">
      <c r="A416" t="s">
        <v>14</v>
      </c>
      <c r="B416" s="45" t="str">
        <f>INDEX(overview!$B$4:$R$338,MATCH('hydrogen - supply'!B404,overview!$A$4:$A$338,0),MATCH('hydrogen - supply'!A416,overview!$B$3:$R$3,0))</f>
        <v>water and electricity</v>
      </c>
    </row>
    <row r="417" spans="1:22" x14ac:dyDescent="0.2">
      <c r="A417" t="s">
        <v>26</v>
      </c>
      <c r="B417" s="45" t="str">
        <f>INDEX(overview!$B$4:$R$338,MATCH('hydrogen - supply'!B404,overview!$A$4:$A$338,0),MATCH('hydrogen - supply'!A417,overview!$B$3:$R$3,0))</f>
        <v>Solar PV (IT)</v>
      </c>
    </row>
    <row r="418" spans="1:22" x14ac:dyDescent="0.2">
      <c r="A418" t="s">
        <v>29</v>
      </c>
      <c r="B418" s="45">
        <f>INDEX(overview!$B$4:$R$338,MATCH('hydrogen - supply'!B404,overview!$A$4:$A$338,0),MATCH('hydrogen - supply'!A418,overview!$B$3:$R$3,0))</f>
        <v>0</v>
      </c>
    </row>
    <row r="419" spans="1:22" x14ac:dyDescent="0.2">
      <c r="A419" t="s">
        <v>45</v>
      </c>
      <c r="B419" s="66">
        <f>VLOOKUP(B411,parameters!$A$94:$C$96,2,0)</f>
        <v>0.01</v>
      </c>
    </row>
    <row r="420" spans="1:22" x14ac:dyDescent="0.2">
      <c r="A420" t="s">
        <v>1133</v>
      </c>
      <c r="B420" s="49">
        <f>VLOOKUP(B411,parameters!$A$94:$D$96,3,0)</f>
        <v>2.3E-2</v>
      </c>
    </row>
    <row r="421" spans="1:22" x14ac:dyDescent="0.2">
      <c r="B421" s="45"/>
    </row>
    <row r="422" spans="1:22" x14ac:dyDescent="0.2">
      <c r="A422" s="3" t="s">
        <v>57</v>
      </c>
      <c r="B422" s="45"/>
    </row>
    <row r="423" spans="1:22" x14ac:dyDescent="0.2">
      <c r="A423" s="2" t="s">
        <v>58</v>
      </c>
      <c r="B423" s="44" t="s">
        <v>59</v>
      </c>
      <c r="C423" s="2" t="s">
        <v>55</v>
      </c>
      <c r="D423" s="2" t="s">
        <v>60</v>
      </c>
      <c r="E423" s="2" t="s">
        <v>52</v>
      </c>
      <c r="F423" s="2" t="s">
        <v>61</v>
      </c>
      <c r="G423" s="2" t="s">
        <v>54</v>
      </c>
      <c r="H423" s="2" t="s">
        <v>87</v>
      </c>
      <c r="I423" s="2" t="s">
        <v>51</v>
      </c>
      <c r="J423" s="2" t="s">
        <v>138</v>
      </c>
      <c r="K423" s="2" t="s">
        <v>136</v>
      </c>
      <c r="L423" s="2" t="s">
        <v>221</v>
      </c>
      <c r="M423" s="2" t="s">
        <v>379</v>
      </c>
      <c r="N423" s="2" t="s">
        <v>1059</v>
      </c>
      <c r="O423" s="2" t="s">
        <v>1060</v>
      </c>
      <c r="P423" s="2" t="s">
        <v>1061</v>
      </c>
      <c r="Q423" s="2" t="s">
        <v>1062</v>
      </c>
      <c r="R423" s="2" t="s">
        <v>1063</v>
      </c>
      <c r="S423" s="2" t="s">
        <v>1064</v>
      </c>
      <c r="T423" s="2" t="s">
        <v>1065</v>
      </c>
      <c r="U423" s="2" t="s">
        <v>380</v>
      </c>
      <c r="V423" s="2" t="s">
        <v>1128</v>
      </c>
    </row>
    <row r="424" spans="1:22" x14ac:dyDescent="0.2">
      <c r="A424" t="str">
        <f>B400</f>
        <v>hydrogen supply, transported by pipeline, produced by Electrolysis, Alkaline using water and electricity from Solar PV (IT)</v>
      </c>
      <c r="B424" s="45">
        <v>1</v>
      </c>
      <c r="C424" t="str">
        <f>B406</f>
        <v>kilogram</v>
      </c>
      <c r="E424" t="str">
        <f>B403</f>
        <v>CH</v>
      </c>
      <c r="F424" t="s">
        <v>62</v>
      </c>
      <c r="G424" t="str">
        <f>B405</f>
        <v>hydrogen, gaseous, from pipeline</v>
      </c>
      <c r="K424" t="str">
        <f>B400</f>
        <v>hydrogen supply, transported by pipeline, produced by Electrolysis, Alkaline using water and electricity from Solar PV (IT)</v>
      </c>
    </row>
    <row r="425" spans="1:22" x14ac:dyDescent="0.2">
      <c r="A425" t="str">
        <f>VLOOKUP(J425,'dataset mapping'!$A$4:$E$69,2,0)</f>
        <v>hydrogen production, gaseous, 30 bar, from AEC electrolysis, from Italian solar PV</v>
      </c>
      <c r="B425" s="53">
        <v>1</v>
      </c>
      <c r="C425" t="str">
        <f>VLOOKUP(J425,'dataset mapping'!$A$4:$E$69,5,0)</f>
        <v>kilogram</v>
      </c>
      <c r="E425" t="str">
        <f>VLOOKUP(J425,'dataset mapping'!$A$4:$E$69,4,0)</f>
        <v>IT</v>
      </c>
      <c r="F425" t="s">
        <v>86</v>
      </c>
      <c r="G425" t="str">
        <f>VLOOKUP(J425,'dataset mapping'!$A$4:$E$69,3,0)</f>
        <v>hydrogen, gaseous, 30 bar</v>
      </c>
      <c r="H425" t="s">
        <v>281</v>
      </c>
      <c r="I425" t="s">
        <v>1054</v>
      </c>
      <c r="J425" t="str">
        <f>B415&amp;" - "&amp;B417</f>
        <v>Electrolysis, Alkaline - Solar PV (IT)</v>
      </c>
      <c r="K425" t="str">
        <f>B400</f>
        <v>hydrogen supply, transported by pipeline, produced by Electrolysis, Alkaline using water and electricity from Solar PV (IT)</v>
      </c>
      <c r="L425">
        <f t="shared" ref="L425:L432" si="36">IF(OR(B425&lt;0,B425=0),1,2)</f>
        <v>2</v>
      </c>
      <c r="M425">
        <f t="shared" ref="M425:M432" si="37">IF(L425=2,LN(B425),"")</f>
        <v>0</v>
      </c>
      <c r="N425">
        <v>1.5</v>
      </c>
      <c r="O425" s="15">
        <v>1.2</v>
      </c>
      <c r="P425">
        <v>1.5</v>
      </c>
      <c r="Q425">
        <v>1.1000000000000001</v>
      </c>
      <c r="R425">
        <v>2</v>
      </c>
      <c r="S425">
        <v>1.2</v>
      </c>
      <c r="T425">
        <v>1.05</v>
      </c>
      <c r="U425">
        <f t="shared" ref="U425:U432" si="38">LN(SQRT(EXP(
SQRT(
+POWER(LN(N425),2)
+POWER(LN(O425),2)
+POWER(LN(P425),2)
+POWER(LN(Q425),2)
+POWER(LN(R425),2)
+POWER(LN(S425),2)
+POWER(LN(T425),2)
)
)))</f>
        <v>0.47095746419981693</v>
      </c>
    </row>
    <row r="426" spans="1:22" x14ac:dyDescent="0.2">
      <c r="A426" t="str">
        <f>VLOOKUP(J426,'dataset mapping'!$A$4:$E$69,2,0)</f>
        <v>hydrogen production, gaseous, 30 bar, from AEC electrolysis, from Italian solar PV</v>
      </c>
      <c r="B426" s="53">
        <f>(B425*B419)+(B420*B425)</f>
        <v>3.3000000000000002E-2</v>
      </c>
      <c r="C426" t="str">
        <f>VLOOKUP(J426,'dataset mapping'!$A$4:$E$69,5,0)</f>
        <v>kilogram</v>
      </c>
      <c r="E426" t="str">
        <f>VLOOKUP(J426,'dataset mapping'!$A$4:$E$69,4,0)</f>
        <v>IT</v>
      </c>
      <c r="F426" t="s">
        <v>86</v>
      </c>
      <c r="G426" t="str">
        <f>VLOOKUP(J426,'dataset mapping'!$A$4:$E$69,3,0)</f>
        <v>hydrogen, gaseous, 30 bar</v>
      </c>
      <c r="H426" t="s">
        <v>76</v>
      </c>
      <c r="I426" t="s">
        <v>1054</v>
      </c>
      <c r="J426" t="str">
        <f>B415&amp;" - "&amp;B417</f>
        <v>Electrolysis, Alkaline - Solar PV (IT)</v>
      </c>
      <c r="K426" t="str">
        <f>B401</f>
        <v>This dataset represents the supply of 1 kilogram of hydrogen. The hydrogen is transported by pipeline over 1700 km from regional storage.  The hydrogen is produced by  Electrolysis, Alkaline,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426">
        <f t="shared" si="36"/>
        <v>2</v>
      </c>
      <c r="M426">
        <f t="shared" si="37"/>
        <v>-3.4112477175156566</v>
      </c>
      <c r="N426">
        <v>1.5</v>
      </c>
      <c r="O426" s="15">
        <v>1.2</v>
      </c>
      <c r="P426">
        <v>1.5</v>
      </c>
      <c r="Q426">
        <v>1.1000000000000001</v>
      </c>
      <c r="R426">
        <v>2</v>
      </c>
      <c r="S426">
        <v>1.2</v>
      </c>
      <c r="T426">
        <v>1.05</v>
      </c>
      <c r="U426">
        <f t="shared" si="38"/>
        <v>0.47095746419981693</v>
      </c>
    </row>
    <row r="427" spans="1:22" x14ac:dyDescent="0.2">
      <c r="A427" t="str">
        <f>VLOOKUP(J427,'dataset mapping'!$A$4:$E$69,2,0)</f>
        <v>distribution pipeline for hydrogen, dedicated hydrogen pipeline</v>
      </c>
      <c r="B427" s="45">
        <f>0.000000000265*SUM(B425:B426)*B412*0.86</f>
        <v>4.0021519000000004E-7</v>
      </c>
      <c r="C427" t="str">
        <f>VLOOKUP(J427,'dataset mapping'!$A$4:$E$69,5,0)</f>
        <v>kilometer</v>
      </c>
      <c r="E427" t="str">
        <f>VLOOKUP(J427,'dataset mapping'!$A$4:$E$69,4,0)</f>
        <v>CH</v>
      </c>
      <c r="F427" t="s">
        <v>86</v>
      </c>
      <c r="G427" t="str">
        <f>VLOOKUP(J427,'dataset mapping'!$A$4:$E$69,3,0)</f>
        <v>pipeline, for hydrogen distribution</v>
      </c>
      <c r="H427" t="s">
        <v>88</v>
      </c>
      <c r="I427" t="s">
        <v>1052</v>
      </c>
      <c r="J427" t="s">
        <v>218</v>
      </c>
      <c r="K427" t="str">
        <f>B400</f>
        <v>hydrogen supply, transported by pipeline, produced by Electrolysis, Alkaline using water and electricity from Solar PV (IT)</v>
      </c>
      <c r="L427">
        <f t="shared" si="36"/>
        <v>2</v>
      </c>
      <c r="M427">
        <f t="shared" si="37"/>
        <v>-14.7312634594951</v>
      </c>
      <c r="N427">
        <v>1.5</v>
      </c>
      <c r="O427" s="15">
        <v>1.2</v>
      </c>
      <c r="P427">
        <v>1.5</v>
      </c>
      <c r="Q427">
        <v>1.1000000000000001</v>
      </c>
      <c r="R427">
        <v>2</v>
      </c>
      <c r="S427">
        <v>1.2</v>
      </c>
      <c r="T427">
        <v>3</v>
      </c>
      <c r="U427">
        <f t="shared" si="38"/>
        <v>0.72314801614797197</v>
      </c>
    </row>
    <row r="428" spans="1:22" x14ac:dyDescent="0.2">
      <c r="A428" t="str">
        <f>VLOOKUP(J428,'dataset mapping'!$A$4:$E$69,2,0)</f>
        <v>transmission pipeline for hydrogen, dedicated hydrogen pipeline</v>
      </c>
      <c r="B428" s="45">
        <f>0.000000000265*SUM(B425:B426)*B412*0.14</f>
        <v>6.5151310000000012E-8</v>
      </c>
      <c r="C428" t="str">
        <f>VLOOKUP(J428,'dataset mapping'!$A$4:$E$69,5,0)</f>
        <v>kilometer</v>
      </c>
      <c r="E428" t="str">
        <f>VLOOKUP(J428,'dataset mapping'!$A$4:$E$69,4,0)</f>
        <v>CH</v>
      </c>
      <c r="F428" t="s">
        <v>86</v>
      </c>
      <c r="G428" t="str">
        <f>VLOOKUP(J428,'dataset mapping'!$A$4:$E$69,3,0)</f>
        <v>pipeline, for hydrogen transmission</v>
      </c>
      <c r="H428" t="s">
        <v>88</v>
      </c>
      <c r="I428" t="s">
        <v>1052</v>
      </c>
      <c r="J428" t="s">
        <v>219</v>
      </c>
      <c r="K428" t="str">
        <f>B400</f>
        <v>hydrogen supply, transported by pipeline, produced by Electrolysis, Alkaline using water and electricity from Solar PV (IT)</v>
      </c>
      <c r="L428">
        <f t="shared" si="36"/>
        <v>2</v>
      </c>
      <c r="M428">
        <f t="shared" si="37"/>
        <v>-16.54655342613335</v>
      </c>
      <c r="N428">
        <v>1.5</v>
      </c>
      <c r="O428" s="15">
        <v>1.2</v>
      </c>
      <c r="P428">
        <v>1.5</v>
      </c>
      <c r="Q428">
        <v>1.1000000000000001</v>
      </c>
      <c r="R428">
        <v>2</v>
      </c>
      <c r="S428">
        <v>1.2</v>
      </c>
      <c r="T428">
        <v>3</v>
      </c>
      <c r="U428">
        <f t="shared" si="38"/>
        <v>0.72314801614797197</v>
      </c>
    </row>
    <row r="429" spans="1:22" x14ac:dyDescent="0.2">
      <c r="A429" t="s">
        <v>1038</v>
      </c>
      <c r="B429" s="53">
        <f>SUM(B425:B426)</f>
        <v>1.0329999999999999</v>
      </c>
      <c r="C429" t="str">
        <f>VLOOKUP(J429,'dataset mapping'!$A$4:$E$69,5,0)</f>
        <v>kilogram</v>
      </c>
      <c r="E429" t="s">
        <v>64</v>
      </c>
      <c r="F429" t="s">
        <v>86</v>
      </c>
      <c r="G429" t="s">
        <v>1039</v>
      </c>
      <c r="H429" t="s">
        <v>88</v>
      </c>
      <c r="I429" t="s">
        <v>1040</v>
      </c>
      <c r="J429" t="s">
        <v>229</v>
      </c>
      <c r="K429" t="str">
        <f>B400</f>
        <v>hydrogen supply, transported by pipeline, produced by Electrolysis, Alkaline using water and electricity from Solar PV (IT)</v>
      </c>
      <c r="L429">
        <f t="shared" si="36"/>
        <v>2</v>
      </c>
      <c r="M429">
        <f t="shared" si="37"/>
        <v>3.2467190137501413E-2</v>
      </c>
      <c r="N429">
        <v>1.5</v>
      </c>
      <c r="O429" s="15">
        <v>1.2</v>
      </c>
      <c r="P429">
        <v>1.5</v>
      </c>
      <c r="Q429">
        <v>1.1000000000000001</v>
      </c>
      <c r="R429">
        <v>2</v>
      </c>
      <c r="S429">
        <v>1.2</v>
      </c>
      <c r="T429">
        <v>3</v>
      </c>
      <c r="U429">
        <f t="shared" si="38"/>
        <v>0.72314801614797197</v>
      </c>
    </row>
    <row r="430" spans="1:22" x14ac:dyDescent="0.2">
      <c r="A430" t="s">
        <v>130</v>
      </c>
      <c r="B430" s="52">
        <f>(VLOOKUP(B415,parameters!$A$71:$B$78,2,0)+VLOOKUP(B411,parameters!$A$82:$B$84,2,0)+VLOOKUP(B411,parameters!$A$87:$B$89,2,0))*SUM(B425:B426)</f>
        <v>1.8697299999999999</v>
      </c>
      <c r="C430" t="s">
        <v>92</v>
      </c>
      <c r="E430" t="s">
        <v>64</v>
      </c>
      <c r="F430" t="s">
        <v>86</v>
      </c>
      <c r="G430" t="s">
        <v>93</v>
      </c>
      <c r="H430" t="s">
        <v>78</v>
      </c>
      <c r="I430" t="s">
        <v>1053</v>
      </c>
      <c r="J430" t="s">
        <v>67</v>
      </c>
      <c r="K430" t="str">
        <f>B400</f>
        <v>hydrogen supply, transported by pipeline, produced by Electrolysis, Alkaline using water and electricity from Solar PV (IT)</v>
      </c>
      <c r="L430">
        <f t="shared" si="36"/>
        <v>2</v>
      </c>
      <c r="M430">
        <f t="shared" si="37"/>
        <v>0.62579403541523582</v>
      </c>
      <c r="N430">
        <v>1.5</v>
      </c>
      <c r="O430" s="15">
        <v>1.2</v>
      </c>
      <c r="P430">
        <v>1.5</v>
      </c>
      <c r="Q430">
        <v>1.1000000000000001</v>
      </c>
      <c r="R430">
        <v>2</v>
      </c>
      <c r="S430">
        <v>1.2</v>
      </c>
      <c r="T430">
        <v>1.05</v>
      </c>
      <c r="U430">
        <f t="shared" si="38"/>
        <v>0.47095746419981693</v>
      </c>
    </row>
    <row r="431" spans="1:22" x14ac:dyDescent="0.2">
      <c r="A431" t="s">
        <v>130</v>
      </c>
      <c r="B431" s="52">
        <f>0.6*SUM(B425:B426)*(B412/250)</f>
        <v>4.2146399999999993</v>
      </c>
      <c r="C431" t="s">
        <v>92</v>
      </c>
      <c r="E431" t="s">
        <v>64</v>
      </c>
      <c r="F431" t="s">
        <v>86</v>
      </c>
      <c r="G431" t="s">
        <v>93</v>
      </c>
      <c r="H431" t="s">
        <v>78</v>
      </c>
      <c r="I431" t="s">
        <v>1135</v>
      </c>
      <c r="J431" t="s">
        <v>67</v>
      </c>
      <c r="K431" t="str">
        <f>B401</f>
        <v>This dataset represents the supply of 1 kilogram of hydrogen. The hydrogen is transported by pipeline over 1700 km from regional storage.  The hydrogen is produced by  Electrolysis, Alkaline,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431">
        <f t="shared" si="36"/>
        <v>2</v>
      </c>
      <c r="M431">
        <f t="shared" si="37"/>
        <v>1.4385641785535717</v>
      </c>
      <c r="N431">
        <v>1.5</v>
      </c>
      <c r="O431" s="15">
        <v>1.2</v>
      </c>
      <c r="P431">
        <v>1.5</v>
      </c>
      <c r="Q431">
        <v>1.1000000000000001</v>
      </c>
      <c r="R431">
        <v>2</v>
      </c>
      <c r="S431">
        <v>1.2</v>
      </c>
      <c r="T431">
        <v>1.05</v>
      </c>
      <c r="U431">
        <f t="shared" si="38"/>
        <v>0.47095746419981693</v>
      </c>
    </row>
    <row r="432" spans="1:22" x14ac:dyDescent="0.2">
      <c r="A432" t="s">
        <v>7</v>
      </c>
      <c r="B432" s="53">
        <f>B426</f>
        <v>3.3000000000000002E-2</v>
      </c>
      <c r="C432" t="s">
        <v>56</v>
      </c>
      <c r="D432" t="s">
        <v>100</v>
      </c>
      <c r="F432" t="s">
        <v>99</v>
      </c>
      <c r="H432" t="s">
        <v>131</v>
      </c>
      <c r="I432" t="s">
        <v>160</v>
      </c>
      <c r="K432" t="str">
        <f>B400</f>
        <v>hydrogen supply, transported by pipeline, produced by Electrolysis, Alkaline using water and electricity from Solar PV (IT)</v>
      </c>
      <c r="L432">
        <f t="shared" si="36"/>
        <v>2</v>
      </c>
      <c r="M432">
        <f t="shared" si="37"/>
        <v>-3.4112477175156566</v>
      </c>
      <c r="N432">
        <v>1.5</v>
      </c>
      <c r="O432" s="15">
        <v>1.2</v>
      </c>
      <c r="P432">
        <v>1.5</v>
      </c>
      <c r="Q432">
        <v>1.1000000000000001</v>
      </c>
      <c r="R432">
        <v>2</v>
      </c>
      <c r="S432">
        <v>1.2</v>
      </c>
      <c r="T432">
        <v>1.05</v>
      </c>
      <c r="U432">
        <f t="shared" si="38"/>
        <v>0.47095746419981693</v>
      </c>
    </row>
    <row r="433" spans="1:2" x14ac:dyDescent="0.2">
      <c r="B433" s="45"/>
    </row>
    <row r="434" spans="1:2" x14ac:dyDescent="0.2">
      <c r="A434" s="2" t="s">
        <v>50</v>
      </c>
      <c r="B434" s="44" t="str">
        <f>"hydrogen supply, transported by "&amp;B445&amp;", produced by "&amp;B449&amp;" using "&amp;B450&amp;" from "&amp;B451</f>
        <v>hydrogen supply, transported by train, produced by Electrolysis, Alkaline using water and electricity from Solar PV (IT)</v>
      </c>
    </row>
    <row r="435" spans="1:2" x14ac:dyDescent="0.2">
      <c r="A435" t="s">
        <v>51</v>
      </c>
      <c r="B435" s="45" t="str">
        <f>"This dataset represents the supply of 1 kilogram of hydrogen. The hydrogen is transported by "&amp;B445&amp;" over "&amp;B446&amp;" km from regional storage. "&amp;" The "&amp;B444&amp;" is produced by  "&amp;B449&amp;", with "&amp;B450&amp;" from "&amp;B451&amp;" as feedstock. "&amp;A453&amp;": "&amp;(B453*100)&amp;"%. "&amp;A454&amp;": "&amp;(B454*100)&amp;".  For more information, refer to: "&amp;B436</f>
        <v>This dataset represents the supply of 1 kilogram of hydrogen. The hydrogen is transported by train over 1700 km from regional storage.  The hydrogen is produced by  Electrolysis, Alkaline,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436" spans="1:2" x14ac:dyDescent="0.2">
      <c r="A436" t="s">
        <v>63</v>
      </c>
      <c r="B436" s="45" t="s">
        <v>1223</v>
      </c>
    </row>
    <row r="437" spans="1:2" x14ac:dyDescent="0.2">
      <c r="A437" t="s">
        <v>52</v>
      </c>
      <c r="B437" s="45" t="s">
        <v>64</v>
      </c>
    </row>
    <row r="438" spans="1:2" x14ac:dyDescent="0.2">
      <c r="A438" t="s">
        <v>48</v>
      </c>
      <c r="B438" s="45">
        <v>53</v>
      </c>
    </row>
    <row r="439" spans="1:2" x14ac:dyDescent="0.2">
      <c r="A439" t="s">
        <v>54</v>
      </c>
      <c r="B439" s="45" t="s">
        <v>1137</v>
      </c>
    </row>
    <row r="440" spans="1:2" x14ac:dyDescent="0.2">
      <c r="A440" t="s">
        <v>55</v>
      </c>
      <c r="B440" s="45" t="s">
        <v>56</v>
      </c>
    </row>
    <row r="441" spans="1:2" x14ac:dyDescent="0.2">
      <c r="A441" t="s">
        <v>0</v>
      </c>
      <c r="B441" s="45" t="str">
        <f>INDEX(overview!$B$4:$R$338,MATCH('hydrogen - supply'!B438,overview!$A$4:$A$338,0),MATCH('hydrogen - supply'!A441,overview!$B$3:$R$3,0))</f>
        <v>Switzerland</v>
      </c>
    </row>
    <row r="442" spans="1:2" x14ac:dyDescent="0.2">
      <c r="A442" t="s">
        <v>1</v>
      </c>
      <c r="B442" s="45">
        <f>INDEX(overview!$B$4:$R$338,MATCH('hydrogen - supply'!B438,overview!$A$4:$A$338,0),MATCH('hydrogen - supply'!A442,overview!$B$3:$R$3,0))</f>
        <v>2020</v>
      </c>
    </row>
    <row r="443" spans="1:2" x14ac:dyDescent="0.2">
      <c r="A443" t="s">
        <v>2</v>
      </c>
      <c r="B443" s="45" t="s">
        <v>1130</v>
      </c>
    </row>
    <row r="444" spans="1:2" x14ac:dyDescent="0.2">
      <c r="A444" t="s">
        <v>5</v>
      </c>
      <c r="B444" s="45" t="str">
        <f>INDEX(overview!$B$4:$R$338,MATCH('hydrogen - supply'!B438,overview!$A$4:$A$338,0),MATCH('hydrogen - supply'!A444,overview!$B$3:$R$3,0))</f>
        <v>hydrogen</v>
      </c>
    </row>
    <row r="445" spans="1:2" x14ac:dyDescent="0.2">
      <c r="A445" t="s">
        <v>4</v>
      </c>
      <c r="B445" s="45" t="str">
        <f>INDEX(overview!$B$4:$R$338,MATCH('hydrogen - supply'!B438,overview!$A$4:$A$338,0),MATCH('hydrogen - supply'!A445,overview!$B$3:$R$3,0))</f>
        <v>train</v>
      </c>
    </row>
    <row r="446" spans="1:2" x14ac:dyDescent="0.2">
      <c r="A446" t="s">
        <v>38</v>
      </c>
      <c r="B446" s="45">
        <f>INDEX(overview!$B$4:$R$338,MATCH('hydrogen - supply'!B438,overview!$A$4:$A$338,0),MATCH('hydrogen - supply'!A446,overview!$B$3:$R$3,0))</f>
        <v>1700</v>
      </c>
    </row>
    <row r="447" spans="1:2" x14ac:dyDescent="0.2">
      <c r="A447" t="s">
        <v>12</v>
      </c>
      <c r="B447" s="45" t="str">
        <f>INDEX(overview!$B$4:$R$338,MATCH('hydrogen - supply'!B438,overview!$A$4:$A$338,0),MATCH('hydrogen - supply'!A447,overview!$B$3:$R$3,0))</f>
        <v>Pressure vessel for stationary storage</v>
      </c>
    </row>
    <row r="448" spans="1:2" x14ac:dyDescent="0.2">
      <c r="A448" t="s">
        <v>34</v>
      </c>
      <c r="B448" s="45">
        <f>INDEX(overview!$B$4:$R$338,MATCH('hydrogen - supply'!B438,overview!$A$4:$A$338,0),MATCH('hydrogen - supply'!A448,overview!$B$3:$R$3,0))</f>
        <v>0</v>
      </c>
    </row>
    <row r="449" spans="1:22" x14ac:dyDescent="0.2">
      <c r="A449" t="s">
        <v>15</v>
      </c>
      <c r="B449" s="45" t="str">
        <f>INDEX(overview!$B$4:$R$338,MATCH('hydrogen - supply'!B438,overview!$A$4:$A$338,0),MATCH('hydrogen - supply'!A449,overview!$B$3:$R$3,0))</f>
        <v>Electrolysis, Alkaline</v>
      </c>
    </row>
    <row r="450" spans="1:22" x14ac:dyDescent="0.2">
      <c r="A450" t="s">
        <v>14</v>
      </c>
      <c r="B450" s="45" t="str">
        <f>INDEX(overview!$B$4:$R$338,MATCH('hydrogen - supply'!B438,overview!$A$4:$A$338,0),MATCH('hydrogen - supply'!A450,overview!$B$3:$R$3,0))</f>
        <v>water and electricity</v>
      </c>
    </row>
    <row r="451" spans="1:22" x14ac:dyDescent="0.2">
      <c r="A451" t="s">
        <v>26</v>
      </c>
      <c r="B451" s="45" t="str">
        <f>INDEX(overview!$B$4:$R$338,MATCH('hydrogen - supply'!B438,overview!$A$4:$A$338,0),MATCH('hydrogen - supply'!A451,overview!$B$3:$R$3,0))</f>
        <v>Solar PV (IT)</v>
      </c>
    </row>
    <row r="452" spans="1:22" x14ac:dyDescent="0.2">
      <c r="A452" t="s">
        <v>29</v>
      </c>
      <c r="B452" s="45">
        <f>INDEX(overview!$B$4:$R$338,MATCH('hydrogen - supply'!B438,overview!$A$4:$A$338,0),MATCH('hydrogen - supply'!A452,overview!$B$3:$R$3,0))</f>
        <v>0</v>
      </c>
    </row>
    <row r="453" spans="1:22" x14ac:dyDescent="0.2">
      <c r="A453" t="s">
        <v>45</v>
      </c>
      <c r="B453" s="66">
        <f>VLOOKUP(B445,parameters!$A$94:$C$96,2,0)</f>
        <v>5.0000000000000001E-3</v>
      </c>
    </row>
    <row r="454" spans="1:22" x14ac:dyDescent="0.2">
      <c r="A454" t="s">
        <v>1133</v>
      </c>
      <c r="B454" s="49">
        <f>VLOOKUP(B445,parameters!$A$94:$D$96,3,0)</f>
        <v>2.3E-2</v>
      </c>
    </row>
    <row r="455" spans="1:22" x14ac:dyDescent="0.2">
      <c r="B455" s="45"/>
    </row>
    <row r="456" spans="1:22" x14ac:dyDescent="0.2">
      <c r="A456" s="3" t="s">
        <v>57</v>
      </c>
      <c r="B456" s="45"/>
    </row>
    <row r="457" spans="1:22" x14ac:dyDescent="0.2">
      <c r="A457" s="2" t="s">
        <v>58</v>
      </c>
      <c r="B457" s="44" t="s">
        <v>59</v>
      </c>
      <c r="C457" s="2" t="s">
        <v>55</v>
      </c>
      <c r="D457" s="2" t="s">
        <v>60</v>
      </c>
      <c r="E457" s="2" t="s">
        <v>52</v>
      </c>
      <c r="F457" s="2" t="s">
        <v>61</v>
      </c>
      <c r="G457" s="2" t="s">
        <v>54</v>
      </c>
      <c r="H457" s="2" t="s">
        <v>87</v>
      </c>
      <c r="I457" s="2" t="s">
        <v>51</v>
      </c>
      <c r="J457" s="2" t="s">
        <v>138</v>
      </c>
      <c r="K457" s="2" t="s">
        <v>136</v>
      </c>
      <c r="L457" s="2" t="s">
        <v>221</v>
      </c>
      <c r="M457" s="2" t="s">
        <v>379</v>
      </c>
      <c r="N457" s="2" t="s">
        <v>1059</v>
      </c>
      <c r="O457" s="2" t="s">
        <v>1060</v>
      </c>
      <c r="P457" s="2" t="s">
        <v>1061</v>
      </c>
      <c r="Q457" s="2" t="s">
        <v>1062</v>
      </c>
      <c r="R457" s="2" t="s">
        <v>1063</v>
      </c>
      <c r="S457" s="2" t="s">
        <v>1064</v>
      </c>
      <c r="T457" s="2" t="s">
        <v>1065</v>
      </c>
      <c r="U457" s="2" t="s">
        <v>380</v>
      </c>
      <c r="V457" s="2" t="s">
        <v>1128</v>
      </c>
    </row>
    <row r="458" spans="1:22" x14ac:dyDescent="0.2">
      <c r="A458" t="str">
        <f>B434</f>
        <v>hydrogen supply, transported by train, produced by Electrolysis, Alkaline using water and electricity from Solar PV (IT)</v>
      </c>
      <c r="B458" s="45">
        <v>1</v>
      </c>
      <c r="C458" t="str">
        <f>B440</f>
        <v>kilogram</v>
      </c>
      <c r="E458" t="str">
        <f>B437</f>
        <v>CH</v>
      </c>
      <c r="F458" t="s">
        <v>62</v>
      </c>
      <c r="G458" t="str">
        <f>B439</f>
        <v>hydrogen, gaseous, from truck</v>
      </c>
      <c r="K458" t="str">
        <f>B434</f>
        <v>hydrogen supply, transported by train, produced by Electrolysis, Alkaline using water and electricity from Solar PV (IT)</v>
      </c>
    </row>
    <row r="459" spans="1:22" x14ac:dyDescent="0.2">
      <c r="A459" t="str">
        <f>VLOOKUP(J459,'dataset mapping'!$A$4:$E$69,2,0)</f>
        <v>hydrogen production, gaseous, 30 bar, from AEC electrolysis, from Italian solar PV</v>
      </c>
      <c r="B459" s="53">
        <v>1</v>
      </c>
      <c r="C459" t="str">
        <f>VLOOKUP(J459,'dataset mapping'!$A$4:$E$69,5,0)</f>
        <v>kilogram</v>
      </c>
      <c r="E459" t="str">
        <f>VLOOKUP(J459,'dataset mapping'!$A$4:$E$69,4,0)</f>
        <v>IT</v>
      </c>
      <c r="F459" t="s">
        <v>86</v>
      </c>
      <c r="G459" t="str">
        <f>VLOOKUP(J459,'dataset mapping'!$A$4:$E$69,3,0)</f>
        <v>hydrogen, gaseous, 30 bar</v>
      </c>
      <c r="H459" t="s">
        <v>281</v>
      </c>
      <c r="I459" t="s">
        <v>1054</v>
      </c>
      <c r="J459" t="str">
        <f>B415&amp;" - "&amp;B417</f>
        <v>Electrolysis, Alkaline - Solar PV (IT)</v>
      </c>
      <c r="K459" t="str">
        <f>B434</f>
        <v>hydrogen supply, transported by train, produced by Electrolysis, Alkaline using water and electricity from Solar PV (IT)</v>
      </c>
      <c r="L459">
        <f>IF(OR(B459&lt;0,B459=0),1,2)</f>
        <v>2</v>
      </c>
      <c r="M459">
        <f>IF(L459=2,LN(B459),"")</f>
        <v>0</v>
      </c>
      <c r="N459">
        <v>1.5</v>
      </c>
      <c r="O459" s="15">
        <v>1.2</v>
      </c>
      <c r="P459">
        <v>1.5</v>
      </c>
      <c r="Q459">
        <v>1.1000000000000001</v>
      </c>
      <c r="R459">
        <v>2</v>
      </c>
      <c r="S459">
        <v>1.2</v>
      </c>
      <c r="T459">
        <v>1.05</v>
      </c>
      <c r="U459">
        <f>LN(SQRT(EXP(
SQRT(
+POWER(LN(N459),2)
+POWER(LN(O459),2)
+POWER(LN(P459),2)
+POWER(LN(Q459),2)
+POWER(LN(R459),2)
+POWER(LN(S459),2)
+POWER(LN(T459),2)
)
)))</f>
        <v>0.47095746419981693</v>
      </c>
    </row>
    <row r="460" spans="1:22" x14ac:dyDescent="0.2">
      <c r="A460" t="str">
        <f>VLOOKUP(J460,'dataset mapping'!$A$4:$E$69,2,0)</f>
        <v>hydrogen production, gaseous, 30 bar, from AEC electrolysis, from Italian solar PV</v>
      </c>
      <c r="B460" s="53">
        <f>(B459*B453)+(B454*B459)</f>
        <v>2.8000000000000001E-2</v>
      </c>
      <c r="C460" t="str">
        <f>VLOOKUP(J460,'dataset mapping'!$A$4:$E$69,5,0)</f>
        <v>kilogram</v>
      </c>
      <c r="E460" t="str">
        <f>VLOOKUP(J460,'dataset mapping'!$A$4:$E$69,4,0)</f>
        <v>IT</v>
      </c>
      <c r="F460" t="s">
        <v>86</v>
      </c>
      <c r="G460" t="str">
        <f>VLOOKUP(J460,'dataset mapping'!$A$4:$E$69,3,0)</f>
        <v>hydrogen, gaseous, 30 bar</v>
      </c>
      <c r="H460" t="s">
        <v>76</v>
      </c>
      <c r="I460" t="s">
        <v>1054</v>
      </c>
      <c r="J460" t="str">
        <f>B415&amp;" - "&amp;B417</f>
        <v>Electrolysis, Alkaline - Solar PV (IT)</v>
      </c>
      <c r="K460" t="str">
        <f>B435</f>
        <v>This dataset represents the supply of 1 kilogram of hydrogen. The hydrogen is transported by train over 1700 km from regional storage.  The hydrogen is produced by  Electrolysis, Alkaline,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460">
        <f>IF(OR(B460&lt;0,B460=0),1,2)</f>
        <v>2</v>
      </c>
      <c r="M460">
        <f>IF(L460=2,LN(B460),"")</f>
        <v>-3.575550768806933</v>
      </c>
      <c r="N460">
        <v>1.5</v>
      </c>
      <c r="O460" s="15">
        <v>1.2</v>
      </c>
      <c r="P460">
        <v>1.5</v>
      </c>
      <c r="Q460">
        <v>1.1000000000000001</v>
      </c>
      <c r="R460">
        <v>2</v>
      </c>
      <c r="S460">
        <v>1.2</v>
      </c>
      <c r="T460">
        <v>1.05</v>
      </c>
      <c r="U460">
        <f>LN(SQRT(EXP(
SQRT(
+POWER(LN(N460),2)
+POWER(LN(O460),2)
+POWER(LN(P460),2)
+POWER(LN(Q460),2)
+POWER(LN(R460),2)
+POWER(LN(S460),2)
+POWER(LN(T460),2)
)
)))</f>
        <v>0.47095746419981693</v>
      </c>
    </row>
    <row r="461" spans="1:22" x14ac:dyDescent="0.2">
      <c r="A461" t="str">
        <f>VLOOKUP(J461,'dataset mapping'!$A$4:$E$69,2,0)</f>
        <v>market for transport, freight train</v>
      </c>
      <c r="B461" s="45">
        <f>SUM(B459:B460)/1000*B446</f>
        <v>1.7476</v>
      </c>
      <c r="C461" t="str">
        <f>VLOOKUP(J461,'dataset mapping'!$A$4:$E$69,5,0)</f>
        <v>ton kilometer</v>
      </c>
      <c r="E461" t="str">
        <f>VLOOKUP(J461,'dataset mapping'!$A$4:$E$69,4,0)</f>
        <v>CH</v>
      </c>
      <c r="F461" t="s">
        <v>86</v>
      </c>
      <c r="G461" t="str">
        <f>VLOOKUP(J461,'dataset mapping'!$A$4:$E$69,3,0)</f>
        <v>transport, freight train</v>
      </c>
      <c r="H461" t="s">
        <v>88</v>
      </c>
      <c r="I461" t="s">
        <v>1052</v>
      </c>
      <c r="J461" t="s">
        <v>295</v>
      </c>
      <c r="K461" t="str">
        <f>B417</f>
        <v>Solar PV (IT)</v>
      </c>
      <c r="L461">
        <f t="shared" ref="L461" si="39">IF(OR(B461&lt;0,B461=0),1,2)</f>
        <v>2</v>
      </c>
      <c r="M461">
        <f t="shared" ref="M461" si="40">IF(L461=2,LN(B461),"")</f>
        <v>0.55824341809514377</v>
      </c>
      <c r="N461">
        <v>1.5</v>
      </c>
      <c r="O461" s="15">
        <v>1.2</v>
      </c>
      <c r="P461">
        <v>1.5</v>
      </c>
      <c r="Q461">
        <v>1.1000000000000001</v>
      </c>
      <c r="R461">
        <v>2</v>
      </c>
      <c r="S461">
        <v>1.2</v>
      </c>
      <c r="T461">
        <v>2</v>
      </c>
      <c r="U461">
        <f t="shared" ref="U461" si="41">LN(SQRT(EXP(
SQRT(
+POWER(LN(N461),2)
+POWER(LN(O461),2)
+POWER(LN(P461),2)
+POWER(LN(Q461),2)
+POWER(LN(R461),2)
+POWER(LN(S461),2)
+POWER(LN(T461),2)
)
)))</f>
        <v>0.58422518478336083</v>
      </c>
    </row>
    <row r="462" spans="1:22" x14ac:dyDescent="0.2">
      <c r="A462" t="s">
        <v>1038</v>
      </c>
      <c r="B462" s="53">
        <f>SUM(B459:B460)</f>
        <v>1.028</v>
      </c>
      <c r="C462" t="str">
        <f>VLOOKUP(J462,'dataset mapping'!$A$4:$E$69,5,0)</f>
        <v>kilogram</v>
      </c>
      <c r="E462" t="s">
        <v>64</v>
      </c>
      <c r="F462" t="s">
        <v>86</v>
      </c>
      <c r="G462" t="s">
        <v>1039</v>
      </c>
      <c r="H462" t="s">
        <v>88</v>
      </c>
      <c r="I462" t="s">
        <v>1040</v>
      </c>
      <c r="J462" t="s">
        <v>229</v>
      </c>
      <c r="K462" t="str">
        <f>B434</f>
        <v>hydrogen supply, transported by train, produced by Electrolysis, Alkaline using water and electricity from Solar PV (IT)</v>
      </c>
      <c r="L462">
        <f>IF(OR(B462&lt;0,B462=0),1,2)</f>
        <v>2</v>
      </c>
      <c r="M462">
        <f>IF(L462=2,LN(B462),"")</f>
        <v>2.7615167032973391E-2</v>
      </c>
      <c r="N462">
        <v>1.5</v>
      </c>
      <c r="O462" s="15">
        <v>1.2</v>
      </c>
      <c r="P462">
        <v>1.5</v>
      </c>
      <c r="Q462">
        <v>1.1000000000000001</v>
      </c>
      <c r="R462">
        <v>2</v>
      </c>
      <c r="S462">
        <v>1.2</v>
      </c>
      <c r="T462">
        <v>3</v>
      </c>
      <c r="U462">
        <f>LN(SQRT(EXP(
SQRT(
+POWER(LN(N462),2)
+POWER(LN(O462),2)
+POWER(LN(P462),2)
+POWER(LN(Q462),2)
+POWER(LN(R462),2)
+POWER(LN(S462),2)
+POWER(LN(T462),2)
)
)))</f>
        <v>0.72314801614797197</v>
      </c>
    </row>
    <row r="463" spans="1:22" x14ac:dyDescent="0.2">
      <c r="A463" t="s">
        <v>130</v>
      </c>
      <c r="B463" s="52">
        <f>(VLOOKUP(B449,parameters!$A$71:$B$78,2,0)+VLOOKUP(B445,parameters!$A$82:$B$84,2,0)+VLOOKUP(B445,parameters!$A$87:$B$89,2,0))*SUM(B459:B460)</f>
        <v>3.4232400000000003</v>
      </c>
      <c r="C463" t="s">
        <v>92</v>
      </c>
      <c r="E463" t="s">
        <v>64</v>
      </c>
      <c r="F463" t="s">
        <v>86</v>
      </c>
      <c r="G463" t="s">
        <v>93</v>
      </c>
      <c r="H463" t="s">
        <v>78</v>
      </c>
      <c r="I463" t="s">
        <v>1053</v>
      </c>
      <c r="J463" t="s">
        <v>67</v>
      </c>
      <c r="K463" t="str">
        <f>B434</f>
        <v>hydrogen supply, transported by train, produced by Electrolysis, Alkaline using water and electricity from Solar PV (IT)</v>
      </c>
      <c r="L463">
        <f>IF(OR(B463&lt;0,B463=0),1,2)</f>
        <v>2</v>
      </c>
      <c r="M463">
        <f>IF(L463=2,LN(B463),"")</f>
        <v>1.230587471025326</v>
      </c>
      <c r="N463">
        <v>1.5</v>
      </c>
      <c r="O463" s="15">
        <v>1.2</v>
      </c>
      <c r="P463">
        <v>1.5</v>
      </c>
      <c r="Q463">
        <v>1.1000000000000001</v>
      </c>
      <c r="R463">
        <v>2</v>
      </c>
      <c r="S463">
        <v>1.2</v>
      </c>
      <c r="T463">
        <v>1.05</v>
      </c>
      <c r="U463">
        <f>LN(SQRT(EXP(
SQRT(
+POWER(LN(N463),2)
+POWER(LN(O463),2)
+POWER(LN(P463),2)
+POWER(LN(Q463),2)
+POWER(LN(R463),2)
+POWER(LN(S463),2)
+POWER(LN(T463),2)
)
)))</f>
        <v>0.47095746419981693</v>
      </c>
    </row>
    <row r="464" spans="1:22" x14ac:dyDescent="0.2">
      <c r="A464" t="s">
        <v>7</v>
      </c>
      <c r="B464" s="53">
        <f>B460</f>
        <v>2.8000000000000001E-2</v>
      </c>
      <c r="C464" t="s">
        <v>56</v>
      </c>
      <c r="D464" t="s">
        <v>100</v>
      </c>
      <c r="F464" t="s">
        <v>99</v>
      </c>
      <c r="H464" t="s">
        <v>131</v>
      </c>
      <c r="I464" t="s">
        <v>160</v>
      </c>
      <c r="K464" t="str">
        <f>B434</f>
        <v>hydrogen supply, transported by train, produced by Electrolysis, Alkaline using water and electricity from Solar PV (IT)</v>
      </c>
      <c r="L464">
        <f>IF(OR(B464&lt;0,B464=0),1,2)</f>
        <v>2</v>
      </c>
      <c r="M464">
        <f>IF(L464=2,LN(B464),"")</f>
        <v>-3.575550768806933</v>
      </c>
      <c r="N464">
        <v>1.5</v>
      </c>
      <c r="O464" s="15">
        <v>1.2</v>
      </c>
      <c r="P464">
        <v>1.5</v>
      </c>
      <c r="Q464">
        <v>1.1000000000000001</v>
      </c>
      <c r="R464">
        <v>2</v>
      </c>
      <c r="S464">
        <v>1.2</v>
      </c>
      <c r="T464">
        <v>1.05</v>
      </c>
      <c r="U464">
        <f>LN(SQRT(EXP(
SQRT(
+POWER(LN(N464),2)
+POWER(LN(O464),2)
+POWER(LN(P464),2)
+POWER(LN(Q464),2)
+POWER(LN(R464),2)
+POWER(LN(S464),2)
+POWER(LN(T464),2)
)
)))</f>
        <v>0.47095746419981693</v>
      </c>
    </row>
    <row r="465" spans="1:2" x14ac:dyDescent="0.2">
      <c r="B465" s="45"/>
    </row>
    <row r="467" spans="1:2" x14ac:dyDescent="0.2">
      <c r="A467" s="2" t="s">
        <v>50</v>
      </c>
      <c r="B467" s="44" t="str">
        <f>"hydrogen supply, transported by "&amp;B478&amp;", produced by "&amp;B482&amp;" using "&amp;B483&amp;" from "&amp;B484</f>
        <v>hydrogen supply, transported by pipeline, produced by Electrolysis, PEM using water and electricity from Solar PV (IT)</v>
      </c>
    </row>
    <row r="468" spans="1:2" x14ac:dyDescent="0.2">
      <c r="A468" t="s">
        <v>51</v>
      </c>
      <c r="B468" s="45" t="str">
        <f>"This dataset represents the supply of 1 kilogram of hydrogen. The hydrogen is transported by "&amp;B478&amp;" over "&amp;B479&amp;" km from regional storage. "&amp;" The "&amp;B477&amp;" is produced by  "&amp;B482&amp;", with "&amp;B483&amp;" from "&amp;B484&amp;" as feedstock. "&amp;A486&amp;": "&amp;(B486*100)&amp;"%. "&amp;A487&amp;": "&amp;(B487*100)&amp;".  For more information, refer to: "&amp;B469</f>
        <v>This dataset represents the supply of 1 kilogram of hydrogen. The hydrogen is transported by pipeline over 1700 km from regional storage.  The hydrogen is produced by  Electrolysis, PEM,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469" spans="1:2" x14ac:dyDescent="0.2">
      <c r="A469" t="s">
        <v>63</v>
      </c>
      <c r="B469" s="45" t="s">
        <v>1223</v>
      </c>
    </row>
    <row r="470" spans="1:2" x14ac:dyDescent="0.2">
      <c r="A470" t="s">
        <v>52</v>
      </c>
      <c r="B470" s="45" t="s">
        <v>64</v>
      </c>
    </row>
    <row r="471" spans="1:2" x14ac:dyDescent="0.2">
      <c r="A471" t="s">
        <v>48</v>
      </c>
      <c r="B471" s="45">
        <v>57</v>
      </c>
    </row>
    <row r="472" spans="1:2" x14ac:dyDescent="0.2">
      <c r="A472" t="s">
        <v>54</v>
      </c>
      <c r="B472" s="45" t="s">
        <v>1129</v>
      </c>
    </row>
    <row r="473" spans="1:2" x14ac:dyDescent="0.2">
      <c r="A473" t="s">
        <v>55</v>
      </c>
      <c r="B473" s="45" t="s">
        <v>56</v>
      </c>
    </row>
    <row r="474" spans="1:2" x14ac:dyDescent="0.2">
      <c r="A474" t="s">
        <v>0</v>
      </c>
      <c r="B474" s="45" t="str">
        <f>INDEX(overview!$B$4:$R$338,MATCH('hydrogen - supply'!B471,overview!$A$4:$A$338,0),MATCH('hydrogen - supply'!A474,overview!$B$3:$R$3,0))</f>
        <v>Switzerland</v>
      </c>
    </row>
    <row r="475" spans="1:2" x14ac:dyDescent="0.2">
      <c r="A475" t="s">
        <v>1</v>
      </c>
      <c r="B475" s="45">
        <f>INDEX(overview!$B$4:$R$338,MATCH('hydrogen - supply'!B471,overview!$A$4:$A$338,0),MATCH('hydrogen - supply'!A475,overview!$B$3:$R$3,0))</f>
        <v>2020</v>
      </c>
    </row>
    <row r="476" spans="1:2" x14ac:dyDescent="0.2">
      <c r="A476" t="s">
        <v>2</v>
      </c>
      <c r="B476" s="45" t="s">
        <v>1130</v>
      </c>
    </row>
    <row r="477" spans="1:2" x14ac:dyDescent="0.2">
      <c r="A477" t="s">
        <v>5</v>
      </c>
      <c r="B477" s="45" t="str">
        <f>INDEX(overview!$B$4:$R$338,MATCH('hydrogen - supply'!B471,overview!$A$4:$A$338,0),MATCH('hydrogen - supply'!A477,overview!$B$3:$R$3,0))</f>
        <v>hydrogen</v>
      </c>
    </row>
    <row r="478" spans="1:2" x14ac:dyDescent="0.2">
      <c r="A478" t="s">
        <v>4</v>
      </c>
      <c r="B478" s="45" t="str">
        <f>INDEX(overview!$B$4:$R$338,MATCH('hydrogen - supply'!B471,overview!$A$4:$A$338,0),MATCH('hydrogen - supply'!A478,overview!$B$3:$R$3,0))</f>
        <v>pipeline</v>
      </c>
    </row>
    <row r="479" spans="1:2" x14ac:dyDescent="0.2">
      <c r="A479" t="s">
        <v>38</v>
      </c>
      <c r="B479" s="45">
        <f>INDEX(overview!$B$4:$R$338,MATCH('hydrogen - supply'!B471,overview!$A$4:$A$338,0),MATCH('hydrogen - supply'!A479,overview!$B$3:$R$3,0))</f>
        <v>1700</v>
      </c>
    </row>
    <row r="480" spans="1:2" x14ac:dyDescent="0.2">
      <c r="A480" t="s">
        <v>12</v>
      </c>
      <c r="B480" s="45" t="str">
        <f>INDEX(overview!$B$4:$R$338,MATCH('hydrogen - supply'!B471,overview!$A$4:$A$338,0),MATCH('hydrogen - supply'!A480,overview!$B$3:$R$3,0))</f>
        <v>Pressure vessel for stationary storage</v>
      </c>
    </row>
    <row r="481" spans="1:22" x14ac:dyDescent="0.2">
      <c r="A481" t="s">
        <v>34</v>
      </c>
      <c r="B481" s="45">
        <f>INDEX(overview!$B$4:$R$338,MATCH('hydrogen - supply'!B471,overview!$A$4:$A$338,0),MATCH('hydrogen - supply'!A481,overview!$B$3:$R$3,0))</f>
        <v>0</v>
      </c>
    </row>
    <row r="482" spans="1:22" x14ac:dyDescent="0.2">
      <c r="A482" t="s">
        <v>15</v>
      </c>
      <c r="B482" s="45" t="str">
        <f>INDEX(overview!$B$4:$R$338,MATCH('hydrogen - supply'!B471,overview!$A$4:$A$338,0),MATCH('hydrogen - supply'!A482,overview!$B$3:$R$3,0))</f>
        <v>Electrolysis, PEM</v>
      </c>
    </row>
    <row r="483" spans="1:22" x14ac:dyDescent="0.2">
      <c r="A483" t="s">
        <v>14</v>
      </c>
      <c r="B483" s="45" t="str">
        <f>INDEX(overview!$B$4:$R$338,MATCH('hydrogen - supply'!B471,overview!$A$4:$A$338,0),MATCH('hydrogen - supply'!A483,overview!$B$3:$R$3,0))</f>
        <v>water and electricity</v>
      </c>
    </row>
    <row r="484" spans="1:22" x14ac:dyDescent="0.2">
      <c r="A484" t="s">
        <v>26</v>
      </c>
      <c r="B484" s="45" t="str">
        <f>INDEX(overview!$B$4:$R$338,MATCH('hydrogen - supply'!B471,overview!$A$4:$A$338,0),MATCH('hydrogen - supply'!A484,overview!$B$3:$R$3,0))</f>
        <v>Solar PV (IT)</v>
      </c>
    </row>
    <row r="485" spans="1:22" x14ac:dyDescent="0.2">
      <c r="A485" t="s">
        <v>29</v>
      </c>
      <c r="B485" s="45">
        <f>INDEX(overview!$B$4:$R$338,MATCH('hydrogen - supply'!B471,overview!$A$4:$A$338,0),MATCH('hydrogen - supply'!A485,overview!$B$3:$R$3,0))</f>
        <v>0</v>
      </c>
    </row>
    <row r="486" spans="1:22" x14ac:dyDescent="0.2">
      <c r="A486" t="s">
        <v>45</v>
      </c>
      <c r="B486" s="66">
        <f>VLOOKUP(B478,parameters!$A$94:$C$96,2,0)</f>
        <v>0.01</v>
      </c>
    </row>
    <row r="487" spans="1:22" x14ac:dyDescent="0.2">
      <c r="A487" t="s">
        <v>1133</v>
      </c>
      <c r="B487" s="49">
        <f>VLOOKUP(B478,parameters!$A$94:$D$96,3,0)</f>
        <v>2.3E-2</v>
      </c>
    </row>
    <row r="488" spans="1:22" x14ac:dyDescent="0.2">
      <c r="B488" s="45"/>
    </row>
    <row r="489" spans="1:22" x14ac:dyDescent="0.2">
      <c r="A489" s="3" t="s">
        <v>57</v>
      </c>
      <c r="B489" s="45"/>
    </row>
    <row r="490" spans="1:22" x14ac:dyDescent="0.2">
      <c r="A490" s="2" t="s">
        <v>58</v>
      </c>
      <c r="B490" s="44" t="s">
        <v>59</v>
      </c>
      <c r="C490" s="2" t="s">
        <v>55</v>
      </c>
      <c r="D490" s="2" t="s">
        <v>60</v>
      </c>
      <c r="E490" s="2" t="s">
        <v>52</v>
      </c>
      <c r="F490" s="2" t="s">
        <v>61</v>
      </c>
      <c r="G490" s="2" t="s">
        <v>54</v>
      </c>
      <c r="H490" s="2" t="s">
        <v>87</v>
      </c>
      <c r="I490" s="2" t="s">
        <v>51</v>
      </c>
      <c r="J490" s="2" t="s">
        <v>138</v>
      </c>
      <c r="K490" s="2" t="s">
        <v>136</v>
      </c>
      <c r="L490" s="2" t="s">
        <v>221</v>
      </c>
      <c r="M490" s="2" t="s">
        <v>379</v>
      </c>
      <c r="N490" s="2" t="s">
        <v>1059</v>
      </c>
      <c r="O490" s="2" t="s">
        <v>1060</v>
      </c>
      <c r="P490" s="2" t="s">
        <v>1061</v>
      </c>
      <c r="Q490" s="2" t="s">
        <v>1062</v>
      </c>
      <c r="R490" s="2" t="s">
        <v>1063</v>
      </c>
      <c r="S490" s="2" t="s">
        <v>1064</v>
      </c>
      <c r="T490" s="2" t="s">
        <v>1065</v>
      </c>
      <c r="U490" s="2" t="s">
        <v>380</v>
      </c>
      <c r="V490" s="2" t="s">
        <v>1128</v>
      </c>
    </row>
    <row r="491" spans="1:22" x14ac:dyDescent="0.2">
      <c r="A491" t="str">
        <f>B467</f>
        <v>hydrogen supply, transported by pipeline, produced by Electrolysis, PEM using water and electricity from Solar PV (IT)</v>
      </c>
      <c r="B491" s="45">
        <v>1</v>
      </c>
      <c r="C491" t="str">
        <f>B473</f>
        <v>kilogram</v>
      </c>
      <c r="E491" t="str">
        <f>B470</f>
        <v>CH</v>
      </c>
      <c r="F491" t="s">
        <v>62</v>
      </c>
      <c r="G491" t="str">
        <f>B472</f>
        <v>hydrogen, gaseous, from pipeline</v>
      </c>
      <c r="K491" t="str">
        <f>B467</f>
        <v>hydrogen supply, transported by pipeline, produced by Electrolysis, PEM using water and electricity from Solar PV (IT)</v>
      </c>
    </row>
    <row r="492" spans="1:22" x14ac:dyDescent="0.2">
      <c r="A492" t="str">
        <f>VLOOKUP(J492,'dataset mapping'!$A$4:$E$69,2,0)</f>
        <v>hydrogen production, gaseous, 200 bar, from PEM electrolysis, from Italian solar PV</v>
      </c>
      <c r="B492" s="53">
        <v>1</v>
      </c>
      <c r="C492" t="str">
        <f>VLOOKUP(J492,'dataset mapping'!$A$4:$E$69,5,0)</f>
        <v>kilogram</v>
      </c>
      <c r="E492" t="str">
        <f>VLOOKUP(J492,'dataset mapping'!$A$4:$E$69,4,0)</f>
        <v>IT</v>
      </c>
      <c r="F492" t="s">
        <v>86</v>
      </c>
      <c r="G492" t="str">
        <f>VLOOKUP(J492,'dataset mapping'!$A$4:$E$69,3,0)</f>
        <v>hydrogen, gaseous, 200 bar</v>
      </c>
      <c r="H492" t="s">
        <v>281</v>
      </c>
      <c r="I492" t="s">
        <v>1054</v>
      </c>
      <c r="J492" t="str">
        <f>B482&amp;" - "&amp;B484</f>
        <v>Electrolysis, PEM - Solar PV (IT)</v>
      </c>
      <c r="K492" t="str">
        <f>B467</f>
        <v>hydrogen supply, transported by pipeline, produced by Electrolysis, PEM using water and electricity from Solar PV (IT)</v>
      </c>
      <c r="L492">
        <f t="shared" ref="L492:L499" si="42">IF(OR(B492&lt;0,B492=0),1,2)</f>
        <v>2</v>
      </c>
      <c r="M492">
        <f t="shared" ref="M492:M499" si="43">IF(L492=2,LN(B492),"")</f>
        <v>0</v>
      </c>
      <c r="N492">
        <v>1.5</v>
      </c>
      <c r="O492" s="15">
        <v>1.2</v>
      </c>
      <c r="P492">
        <v>1.5</v>
      </c>
      <c r="Q492">
        <v>1.1000000000000001</v>
      </c>
      <c r="R492">
        <v>2</v>
      </c>
      <c r="S492">
        <v>1.2</v>
      </c>
      <c r="T492">
        <v>1.05</v>
      </c>
      <c r="U492">
        <f t="shared" ref="U492:U499" si="44">LN(SQRT(EXP(
SQRT(
+POWER(LN(N492),2)
+POWER(LN(O492),2)
+POWER(LN(P492),2)
+POWER(LN(Q492),2)
+POWER(LN(R492),2)
+POWER(LN(S492),2)
+POWER(LN(T492),2)
)
)))</f>
        <v>0.47095746419981693</v>
      </c>
    </row>
    <row r="493" spans="1:22" x14ac:dyDescent="0.2">
      <c r="A493" t="str">
        <f>VLOOKUP(J493,'dataset mapping'!$A$4:$E$69,2,0)</f>
        <v>hydrogen production, gaseous, 200 bar, from PEM electrolysis, from Italian solar PV</v>
      </c>
      <c r="B493" s="53">
        <f>(B492*B486)+(B487*B492)</f>
        <v>3.3000000000000002E-2</v>
      </c>
      <c r="C493" t="str">
        <f>VLOOKUP(J493,'dataset mapping'!$A$4:$E$69,5,0)</f>
        <v>kilogram</v>
      </c>
      <c r="E493" t="str">
        <f>VLOOKUP(J493,'dataset mapping'!$A$4:$E$69,4,0)</f>
        <v>IT</v>
      </c>
      <c r="F493" t="s">
        <v>86</v>
      </c>
      <c r="G493" t="str">
        <f>VLOOKUP(J493,'dataset mapping'!$A$4:$E$69,3,0)</f>
        <v>hydrogen, gaseous, 200 bar</v>
      </c>
      <c r="H493" t="s">
        <v>76</v>
      </c>
      <c r="I493" t="s">
        <v>1054</v>
      </c>
      <c r="J493" t="str">
        <f>B482&amp;" - "&amp;B484</f>
        <v>Electrolysis, PEM - Solar PV (IT)</v>
      </c>
      <c r="K493" t="str">
        <f>B468</f>
        <v>This dataset represents the supply of 1 kilogram of hydrogen. The hydrogen is transported by pipeline over 1700 km from regional storage.  The hydrogen is produced by  Electrolysis, PEM,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493">
        <f t="shared" si="42"/>
        <v>2</v>
      </c>
      <c r="M493">
        <f t="shared" si="43"/>
        <v>-3.4112477175156566</v>
      </c>
      <c r="N493">
        <v>1.5</v>
      </c>
      <c r="O493" s="15">
        <v>1.2</v>
      </c>
      <c r="P493">
        <v>1.5</v>
      </c>
      <c r="Q493">
        <v>1.1000000000000001</v>
      </c>
      <c r="R493">
        <v>2</v>
      </c>
      <c r="S493">
        <v>1.2</v>
      </c>
      <c r="T493">
        <v>1.05</v>
      </c>
      <c r="U493">
        <f t="shared" si="44"/>
        <v>0.47095746419981693</v>
      </c>
    </row>
    <row r="494" spans="1:22" x14ac:dyDescent="0.2">
      <c r="A494" t="str">
        <f>VLOOKUP(J494,'dataset mapping'!$A$4:$E$69,2,0)</f>
        <v>distribution pipeline for hydrogen, dedicated hydrogen pipeline</v>
      </c>
      <c r="B494" s="45">
        <f>0.000000000265*SUM(B492:B493)*B479*0.86</f>
        <v>4.0021519000000004E-7</v>
      </c>
      <c r="C494" t="str">
        <f>VLOOKUP(J494,'dataset mapping'!$A$4:$E$69,5,0)</f>
        <v>kilometer</v>
      </c>
      <c r="E494" t="str">
        <f>VLOOKUP(J494,'dataset mapping'!$A$4:$E$69,4,0)</f>
        <v>CH</v>
      </c>
      <c r="F494" t="s">
        <v>86</v>
      </c>
      <c r="G494" t="str">
        <f>VLOOKUP(J494,'dataset mapping'!$A$4:$E$69,3,0)</f>
        <v>pipeline, for hydrogen distribution</v>
      </c>
      <c r="H494" t="s">
        <v>88</v>
      </c>
      <c r="I494" t="s">
        <v>1052</v>
      </c>
      <c r="J494" t="s">
        <v>218</v>
      </c>
      <c r="K494" t="str">
        <f>B467</f>
        <v>hydrogen supply, transported by pipeline, produced by Electrolysis, PEM using water and electricity from Solar PV (IT)</v>
      </c>
      <c r="L494">
        <f t="shared" si="42"/>
        <v>2</v>
      </c>
      <c r="M494">
        <f t="shared" si="43"/>
        <v>-14.7312634594951</v>
      </c>
      <c r="N494">
        <v>1.5</v>
      </c>
      <c r="O494" s="15">
        <v>1.2</v>
      </c>
      <c r="P494">
        <v>1.5</v>
      </c>
      <c r="Q494">
        <v>1.1000000000000001</v>
      </c>
      <c r="R494">
        <v>2</v>
      </c>
      <c r="S494">
        <v>1.2</v>
      </c>
      <c r="T494">
        <v>3</v>
      </c>
      <c r="U494">
        <f t="shared" si="44"/>
        <v>0.72314801614797197</v>
      </c>
    </row>
    <row r="495" spans="1:22" x14ac:dyDescent="0.2">
      <c r="A495" t="str">
        <f>VLOOKUP(J495,'dataset mapping'!$A$4:$E$69,2,0)</f>
        <v>transmission pipeline for hydrogen, dedicated hydrogen pipeline</v>
      </c>
      <c r="B495" s="45">
        <f>0.000000000265*SUM(B492:B493)*B479*0.14</f>
        <v>6.5151310000000012E-8</v>
      </c>
      <c r="C495" t="str">
        <f>VLOOKUP(J495,'dataset mapping'!$A$4:$E$69,5,0)</f>
        <v>kilometer</v>
      </c>
      <c r="E495" t="str">
        <f>VLOOKUP(J495,'dataset mapping'!$A$4:$E$69,4,0)</f>
        <v>CH</v>
      </c>
      <c r="F495" t="s">
        <v>86</v>
      </c>
      <c r="G495" t="str">
        <f>VLOOKUP(J495,'dataset mapping'!$A$4:$E$69,3,0)</f>
        <v>pipeline, for hydrogen transmission</v>
      </c>
      <c r="H495" t="s">
        <v>88</v>
      </c>
      <c r="I495" t="s">
        <v>1052</v>
      </c>
      <c r="J495" t="s">
        <v>219</v>
      </c>
      <c r="K495" t="str">
        <f>B467</f>
        <v>hydrogen supply, transported by pipeline, produced by Electrolysis, PEM using water and electricity from Solar PV (IT)</v>
      </c>
      <c r="L495">
        <f t="shared" si="42"/>
        <v>2</v>
      </c>
      <c r="M495">
        <f t="shared" si="43"/>
        <v>-16.54655342613335</v>
      </c>
      <c r="N495">
        <v>1.5</v>
      </c>
      <c r="O495" s="15">
        <v>1.2</v>
      </c>
      <c r="P495">
        <v>1.5</v>
      </c>
      <c r="Q495">
        <v>1.1000000000000001</v>
      </c>
      <c r="R495">
        <v>2</v>
      </c>
      <c r="S495">
        <v>1.2</v>
      </c>
      <c r="T495">
        <v>3</v>
      </c>
      <c r="U495">
        <f t="shared" si="44"/>
        <v>0.72314801614797197</v>
      </c>
    </row>
    <row r="496" spans="1:22" x14ac:dyDescent="0.2">
      <c r="A496" t="s">
        <v>1038</v>
      </c>
      <c r="B496" s="53">
        <f>SUM(B492:B493)</f>
        <v>1.0329999999999999</v>
      </c>
      <c r="C496" t="str">
        <f>VLOOKUP(J496,'dataset mapping'!$A$4:$E$69,5,0)</f>
        <v>kilogram</v>
      </c>
      <c r="E496" t="s">
        <v>64</v>
      </c>
      <c r="F496" t="s">
        <v>86</v>
      </c>
      <c r="G496" t="s">
        <v>1039</v>
      </c>
      <c r="H496" t="s">
        <v>88</v>
      </c>
      <c r="I496" t="s">
        <v>1040</v>
      </c>
      <c r="J496" t="s">
        <v>229</v>
      </c>
      <c r="K496" t="str">
        <f>B467</f>
        <v>hydrogen supply, transported by pipeline, produced by Electrolysis, PEM using water and electricity from Solar PV (IT)</v>
      </c>
      <c r="L496">
        <f t="shared" si="42"/>
        <v>2</v>
      </c>
      <c r="M496">
        <f t="shared" si="43"/>
        <v>3.2467190137501413E-2</v>
      </c>
      <c r="N496">
        <v>1.5</v>
      </c>
      <c r="O496" s="15">
        <v>1.2</v>
      </c>
      <c r="P496">
        <v>1.5</v>
      </c>
      <c r="Q496">
        <v>1.1000000000000001</v>
      </c>
      <c r="R496">
        <v>2</v>
      </c>
      <c r="S496">
        <v>1.2</v>
      </c>
      <c r="T496">
        <v>3</v>
      </c>
      <c r="U496">
        <f t="shared" si="44"/>
        <v>0.72314801614797197</v>
      </c>
    </row>
    <row r="497" spans="1:21" x14ac:dyDescent="0.2">
      <c r="A497" t="s">
        <v>130</v>
      </c>
      <c r="B497" s="52">
        <f>(VLOOKUP(B482,parameters!$A$71:$B$78,2,0)+VLOOKUP(B478,parameters!$A$82:$B$84,2,0)+VLOOKUP(B478,parameters!$A$87:$B$89,2,0))*SUM(B492:B493)</f>
        <v>0.51649999999999996</v>
      </c>
      <c r="C497" t="s">
        <v>92</v>
      </c>
      <c r="E497" t="s">
        <v>64</v>
      </c>
      <c r="F497" t="s">
        <v>86</v>
      </c>
      <c r="G497" t="s">
        <v>93</v>
      </c>
      <c r="H497" t="s">
        <v>78</v>
      </c>
      <c r="I497" t="s">
        <v>1053</v>
      </c>
      <c r="J497" t="s">
        <v>67</v>
      </c>
      <c r="K497" t="str">
        <f>B467</f>
        <v>hydrogen supply, transported by pipeline, produced by Electrolysis, PEM using water and electricity from Solar PV (IT)</v>
      </c>
      <c r="L497">
        <f t="shared" si="42"/>
        <v>2</v>
      </c>
      <c r="M497">
        <f t="shared" si="43"/>
        <v>-0.66067999042244385</v>
      </c>
      <c r="N497">
        <v>1.5</v>
      </c>
      <c r="O497" s="15">
        <v>1.2</v>
      </c>
      <c r="P497">
        <v>1.5</v>
      </c>
      <c r="Q497">
        <v>1.1000000000000001</v>
      </c>
      <c r="R497">
        <v>2</v>
      </c>
      <c r="S497">
        <v>1.2</v>
      </c>
      <c r="T497">
        <v>1.05</v>
      </c>
      <c r="U497">
        <f t="shared" si="44"/>
        <v>0.47095746419981693</v>
      </c>
    </row>
    <row r="498" spans="1:21" x14ac:dyDescent="0.2">
      <c r="A498" t="s">
        <v>130</v>
      </c>
      <c r="B498" s="52">
        <f>0.6*SUM(B492:B493)*(B479/250)</f>
        <v>4.2146399999999993</v>
      </c>
      <c r="C498" t="s">
        <v>92</v>
      </c>
      <c r="E498" t="s">
        <v>64</v>
      </c>
      <c r="F498" t="s">
        <v>86</v>
      </c>
      <c r="G498" t="s">
        <v>93</v>
      </c>
      <c r="H498" t="s">
        <v>78</v>
      </c>
      <c r="I498" t="s">
        <v>1135</v>
      </c>
      <c r="J498" t="s">
        <v>67</v>
      </c>
      <c r="K498" t="str">
        <f>B468</f>
        <v>This dataset represents the supply of 1 kilogram of hydrogen. The hydrogen is transported by pipeline over 1700 km from regional storage.  The hydrogen is produced by  Electrolysis, PEM,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498">
        <f t="shared" si="42"/>
        <v>2</v>
      </c>
      <c r="M498">
        <f t="shared" si="43"/>
        <v>1.4385641785535717</v>
      </c>
      <c r="N498">
        <v>1.5</v>
      </c>
      <c r="O498" s="15">
        <v>1.2</v>
      </c>
      <c r="P498">
        <v>1.5</v>
      </c>
      <c r="Q498">
        <v>1.1000000000000001</v>
      </c>
      <c r="R498">
        <v>2</v>
      </c>
      <c r="S498">
        <v>1.2</v>
      </c>
      <c r="T498">
        <v>1.05</v>
      </c>
      <c r="U498">
        <f t="shared" si="44"/>
        <v>0.47095746419981693</v>
      </c>
    </row>
    <row r="499" spans="1:21" x14ac:dyDescent="0.2">
      <c r="A499" t="s">
        <v>7</v>
      </c>
      <c r="B499" s="53">
        <f>B493</f>
        <v>3.3000000000000002E-2</v>
      </c>
      <c r="C499" t="s">
        <v>56</v>
      </c>
      <c r="D499" t="s">
        <v>100</v>
      </c>
      <c r="F499" t="s">
        <v>99</v>
      </c>
      <c r="H499" t="s">
        <v>131</v>
      </c>
      <c r="I499" t="s">
        <v>160</v>
      </c>
      <c r="K499" t="str">
        <f>B467</f>
        <v>hydrogen supply, transported by pipeline, produced by Electrolysis, PEM using water and electricity from Solar PV (IT)</v>
      </c>
      <c r="L499">
        <f t="shared" si="42"/>
        <v>2</v>
      </c>
      <c r="M499">
        <f t="shared" si="43"/>
        <v>-3.4112477175156566</v>
      </c>
      <c r="N499">
        <v>1.5</v>
      </c>
      <c r="O499" s="15">
        <v>1.2</v>
      </c>
      <c r="P499">
        <v>1.5</v>
      </c>
      <c r="Q499">
        <v>1.1000000000000001</v>
      </c>
      <c r="R499">
        <v>2</v>
      </c>
      <c r="S499">
        <v>1.2</v>
      </c>
      <c r="T499">
        <v>1.05</v>
      </c>
      <c r="U499">
        <f t="shared" si="44"/>
        <v>0.47095746419981693</v>
      </c>
    </row>
    <row r="500" spans="1:21" x14ac:dyDescent="0.2">
      <c r="B500" s="45"/>
    </row>
    <row r="501" spans="1:21" x14ac:dyDescent="0.2">
      <c r="A501" s="2" t="s">
        <v>50</v>
      </c>
      <c r="B501" s="44" t="str">
        <f>"hydrogen supply, transported by "&amp;B512&amp;", produced by "&amp;B516&amp;" using "&amp;B517&amp;" from "&amp;B518</f>
        <v>hydrogen supply, transported by train, produced by Electrolysis, PEM using water and electricity from Solar PV (IT)</v>
      </c>
    </row>
    <row r="502" spans="1:21" x14ac:dyDescent="0.2">
      <c r="A502" t="s">
        <v>51</v>
      </c>
      <c r="B502" s="45" t="str">
        <f>"This dataset represents the supply of 1 kilogram of hydrogen. The hydrogen is transported by "&amp;B512&amp;" over "&amp;B513&amp;" km from regional storage. "&amp;" The "&amp;B511&amp;" is produced by  "&amp;B516&amp;", with "&amp;B517&amp;" from "&amp;B518&amp;" as feedstock. "&amp;A520&amp;": "&amp;(B520*100)&amp;"%. "&amp;A521&amp;": "&amp;(B521*100)&amp;".  For more information, refer to: "&amp;B503</f>
        <v>This dataset represents the supply of 1 kilogram of hydrogen. The hydrogen is transported by train over 1700 km from regional storage.  The hydrogen is produced by  Electrolysis, PEM,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503" spans="1:21" x14ac:dyDescent="0.2">
      <c r="A503" t="s">
        <v>63</v>
      </c>
      <c r="B503" s="45" t="s">
        <v>1223</v>
      </c>
    </row>
    <row r="504" spans="1:21" x14ac:dyDescent="0.2">
      <c r="A504" t="s">
        <v>52</v>
      </c>
      <c r="B504" s="45" t="s">
        <v>64</v>
      </c>
    </row>
    <row r="505" spans="1:21" x14ac:dyDescent="0.2">
      <c r="A505" t="s">
        <v>48</v>
      </c>
      <c r="B505" s="45">
        <v>61</v>
      </c>
    </row>
    <row r="506" spans="1:21" x14ac:dyDescent="0.2">
      <c r="A506" t="s">
        <v>54</v>
      </c>
      <c r="B506" s="45" t="s">
        <v>1137</v>
      </c>
    </row>
    <row r="507" spans="1:21" x14ac:dyDescent="0.2">
      <c r="A507" t="s">
        <v>55</v>
      </c>
      <c r="B507" s="45" t="s">
        <v>56</v>
      </c>
    </row>
    <row r="508" spans="1:21" x14ac:dyDescent="0.2">
      <c r="A508" t="s">
        <v>0</v>
      </c>
      <c r="B508" s="45" t="str">
        <f>INDEX(overview!$B$4:$R$338,MATCH('hydrogen - supply'!B505,overview!$A$4:$A$338,0),MATCH('hydrogen - supply'!A508,overview!$B$3:$R$3,0))</f>
        <v>Switzerland</v>
      </c>
    </row>
    <row r="509" spans="1:21" x14ac:dyDescent="0.2">
      <c r="A509" t="s">
        <v>1</v>
      </c>
      <c r="B509" s="45">
        <f>INDEX(overview!$B$4:$R$338,MATCH('hydrogen - supply'!B505,overview!$A$4:$A$338,0),MATCH('hydrogen - supply'!A509,overview!$B$3:$R$3,0))</f>
        <v>2020</v>
      </c>
    </row>
    <row r="510" spans="1:21" x14ac:dyDescent="0.2">
      <c r="A510" t="s">
        <v>2</v>
      </c>
      <c r="B510" s="45" t="s">
        <v>1130</v>
      </c>
    </row>
    <row r="511" spans="1:21" x14ac:dyDescent="0.2">
      <c r="A511" t="s">
        <v>5</v>
      </c>
      <c r="B511" s="45" t="str">
        <f>INDEX(overview!$B$4:$R$338,MATCH('hydrogen - supply'!B505,overview!$A$4:$A$338,0),MATCH('hydrogen - supply'!A511,overview!$B$3:$R$3,0))</f>
        <v>hydrogen</v>
      </c>
    </row>
    <row r="512" spans="1:21" x14ac:dyDescent="0.2">
      <c r="A512" t="s">
        <v>4</v>
      </c>
      <c r="B512" s="45" t="str">
        <f>INDEX(overview!$B$4:$R$338,MATCH('hydrogen - supply'!B505,overview!$A$4:$A$338,0),MATCH('hydrogen - supply'!A512,overview!$B$3:$R$3,0))</f>
        <v>train</v>
      </c>
    </row>
    <row r="513" spans="1:22" x14ac:dyDescent="0.2">
      <c r="A513" t="s">
        <v>38</v>
      </c>
      <c r="B513" s="45">
        <f>INDEX(overview!$B$4:$R$338,MATCH('hydrogen - supply'!B505,overview!$A$4:$A$338,0),MATCH('hydrogen - supply'!A513,overview!$B$3:$R$3,0))</f>
        <v>1700</v>
      </c>
    </row>
    <row r="514" spans="1:22" x14ac:dyDescent="0.2">
      <c r="A514" t="s">
        <v>12</v>
      </c>
      <c r="B514" s="45" t="str">
        <f>INDEX(overview!$B$4:$R$338,MATCH('hydrogen - supply'!B505,overview!$A$4:$A$338,0),MATCH('hydrogen - supply'!A514,overview!$B$3:$R$3,0))</f>
        <v>Pressure vessel for stationary storage</v>
      </c>
    </row>
    <row r="515" spans="1:22" x14ac:dyDescent="0.2">
      <c r="A515" t="s">
        <v>34</v>
      </c>
      <c r="B515" s="45">
        <f>INDEX(overview!$B$4:$R$338,MATCH('hydrogen - supply'!B505,overview!$A$4:$A$338,0),MATCH('hydrogen - supply'!A515,overview!$B$3:$R$3,0))</f>
        <v>0</v>
      </c>
    </row>
    <row r="516" spans="1:22" x14ac:dyDescent="0.2">
      <c r="A516" t="s">
        <v>15</v>
      </c>
      <c r="B516" s="45" t="str">
        <f>INDEX(overview!$B$4:$R$338,MATCH('hydrogen - supply'!B505,overview!$A$4:$A$338,0),MATCH('hydrogen - supply'!A516,overview!$B$3:$R$3,0))</f>
        <v>Electrolysis, PEM</v>
      </c>
    </row>
    <row r="517" spans="1:22" x14ac:dyDescent="0.2">
      <c r="A517" t="s">
        <v>14</v>
      </c>
      <c r="B517" s="45" t="str">
        <f>INDEX(overview!$B$4:$R$338,MATCH('hydrogen - supply'!B505,overview!$A$4:$A$338,0),MATCH('hydrogen - supply'!A517,overview!$B$3:$R$3,0))</f>
        <v>water and electricity</v>
      </c>
    </row>
    <row r="518" spans="1:22" x14ac:dyDescent="0.2">
      <c r="A518" t="s">
        <v>26</v>
      </c>
      <c r="B518" s="45" t="str">
        <f>INDEX(overview!$B$4:$R$338,MATCH('hydrogen - supply'!B505,overview!$A$4:$A$338,0),MATCH('hydrogen - supply'!A518,overview!$B$3:$R$3,0))</f>
        <v>Solar PV (IT)</v>
      </c>
    </row>
    <row r="519" spans="1:22" x14ac:dyDescent="0.2">
      <c r="A519" t="s">
        <v>29</v>
      </c>
      <c r="B519" s="45">
        <f>INDEX(overview!$B$4:$R$338,MATCH('hydrogen - supply'!B505,overview!$A$4:$A$338,0),MATCH('hydrogen - supply'!A519,overview!$B$3:$R$3,0))</f>
        <v>0</v>
      </c>
    </row>
    <row r="520" spans="1:22" x14ac:dyDescent="0.2">
      <c r="A520" t="s">
        <v>45</v>
      </c>
      <c r="B520" s="66">
        <f>VLOOKUP(B512,parameters!$A$94:$C$96,2,0)</f>
        <v>5.0000000000000001E-3</v>
      </c>
    </row>
    <row r="521" spans="1:22" x14ac:dyDescent="0.2">
      <c r="A521" t="s">
        <v>1133</v>
      </c>
      <c r="B521" s="49">
        <f>VLOOKUP(B512,parameters!$A$94:$D$96,3,0)</f>
        <v>2.3E-2</v>
      </c>
    </row>
    <row r="522" spans="1:22" x14ac:dyDescent="0.2">
      <c r="B522" s="45"/>
    </row>
    <row r="523" spans="1:22" x14ac:dyDescent="0.2">
      <c r="A523" s="3" t="s">
        <v>57</v>
      </c>
      <c r="B523" s="45"/>
    </row>
    <row r="524" spans="1:22" x14ac:dyDescent="0.2">
      <c r="A524" s="2" t="s">
        <v>58</v>
      </c>
      <c r="B524" s="44" t="s">
        <v>59</v>
      </c>
      <c r="C524" s="2" t="s">
        <v>55</v>
      </c>
      <c r="D524" s="2" t="s">
        <v>60</v>
      </c>
      <c r="E524" s="2" t="s">
        <v>52</v>
      </c>
      <c r="F524" s="2" t="s">
        <v>61</v>
      </c>
      <c r="G524" s="2" t="s">
        <v>54</v>
      </c>
      <c r="H524" s="2" t="s">
        <v>87</v>
      </c>
      <c r="I524" s="2" t="s">
        <v>51</v>
      </c>
      <c r="J524" s="2" t="s">
        <v>138</v>
      </c>
      <c r="K524" s="2" t="s">
        <v>136</v>
      </c>
      <c r="L524" s="2" t="s">
        <v>221</v>
      </c>
      <c r="M524" s="2" t="s">
        <v>379</v>
      </c>
      <c r="N524" s="2" t="s">
        <v>1059</v>
      </c>
      <c r="O524" s="2" t="s">
        <v>1060</v>
      </c>
      <c r="P524" s="2" t="s">
        <v>1061</v>
      </c>
      <c r="Q524" s="2" t="s">
        <v>1062</v>
      </c>
      <c r="R524" s="2" t="s">
        <v>1063</v>
      </c>
      <c r="S524" s="2" t="s">
        <v>1064</v>
      </c>
      <c r="T524" s="2" t="s">
        <v>1065</v>
      </c>
      <c r="U524" s="2" t="s">
        <v>380</v>
      </c>
      <c r="V524" s="2" t="s">
        <v>1128</v>
      </c>
    </row>
    <row r="525" spans="1:22" x14ac:dyDescent="0.2">
      <c r="A525" t="str">
        <f>B501</f>
        <v>hydrogen supply, transported by train, produced by Electrolysis, PEM using water and electricity from Solar PV (IT)</v>
      </c>
      <c r="B525" s="45">
        <v>1</v>
      </c>
      <c r="C525" t="str">
        <f>B507</f>
        <v>kilogram</v>
      </c>
      <c r="E525" t="str">
        <f>B504</f>
        <v>CH</v>
      </c>
      <c r="F525" t="s">
        <v>62</v>
      </c>
      <c r="G525" t="str">
        <f>B506</f>
        <v>hydrogen, gaseous, from truck</v>
      </c>
      <c r="K525" t="str">
        <f>B501</f>
        <v>hydrogen supply, transported by train, produced by Electrolysis, PEM using water and electricity from Solar PV (IT)</v>
      </c>
    </row>
    <row r="526" spans="1:22" x14ac:dyDescent="0.2">
      <c r="A526" t="str">
        <f>VLOOKUP(J526,'dataset mapping'!$A$4:$E$69,2,0)</f>
        <v>hydrogen production, gaseous, 200 bar, from PEM electrolysis, from Italian solar PV</v>
      </c>
      <c r="B526" s="53">
        <v>1</v>
      </c>
      <c r="C526" t="str">
        <f>VLOOKUP(J526,'dataset mapping'!$A$4:$E$69,5,0)</f>
        <v>kilogram</v>
      </c>
      <c r="E526" t="str">
        <f>VLOOKUP(J526,'dataset mapping'!$A$4:$E$69,4,0)</f>
        <v>IT</v>
      </c>
      <c r="F526" t="s">
        <v>86</v>
      </c>
      <c r="G526" t="str">
        <f>VLOOKUP(J526,'dataset mapping'!$A$4:$E$69,3,0)</f>
        <v>hydrogen, gaseous, 200 bar</v>
      </c>
      <c r="H526" t="s">
        <v>281</v>
      </c>
      <c r="I526" t="s">
        <v>1054</v>
      </c>
      <c r="J526" t="str">
        <f>B482&amp;" - "&amp;B484</f>
        <v>Electrolysis, PEM - Solar PV (IT)</v>
      </c>
      <c r="K526" t="str">
        <f>B501</f>
        <v>hydrogen supply, transported by train, produced by Electrolysis, PEM using water and electricity from Solar PV (IT)</v>
      </c>
      <c r="L526">
        <f>IF(OR(B526&lt;0,B526=0),1,2)</f>
        <v>2</v>
      </c>
      <c r="M526">
        <f>IF(L526=2,LN(B526),"")</f>
        <v>0</v>
      </c>
      <c r="N526">
        <v>1.5</v>
      </c>
      <c r="O526" s="15">
        <v>1.2</v>
      </c>
      <c r="P526">
        <v>1.5</v>
      </c>
      <c r="Q526">
        <v>1.1000000000000001</v>
      </c>
      <c r="R526">
        <v>2</v>
      </c>
      <c r="S526">
        <v>1.2</v>
      </c>
      <c r="T526">
        <v>1.05</v>
      </c>
      <c r="U526">
        <f>LN(SQRT(EXP(
SQRT(
+POWER(LN(N526),2)
+POWER(LN(O526),2)
+POWER(LN(P526),2)
+POWER(LN(Q526),2)
+POWER(LN(R526),2)
+POWER(LN(S526),2)
+POWER(LN(T526),2)
)
)))</f>
        <v>0.47095746419981693</v>
      </c>
    </row>
    <row r="527" spans="1:22" x14ac:dyDescent="0.2">
      <c r="A527" t="str">
        <f>VLOOKUP(J527,'dataset mapping'!$A$4:$E$69,2,0)</f>
        <v>hydrogen production, gaseous, 200 bar, from PEM electrolysis, from Italian solar PV</v>
      </c>
      <c r="B527" s="53">
        <f>(B526*B520)+(B521*B526)</f>
        <v>2.8000000000000001E-2</v>
      </c>
      <c r="C527" t="str">
        <f>VLOOKUP(J527,'dataset mapping'!$A$4:$E$69,5,0)</f>
        <v>kilogram</v>
      </c>
      <c r="E527" t="str">
        <f>VLOOKUP(J527,'dataset mapping'!$A$4:$E$69,4,0)</f>
        <v>IT</v>
      </c>
      <c r="F527" t="s">
        <v>86</v>
      </c>
      <c r="G527" t="str">
        <f>VLOOKUP(J527,'dataset mapping'!$A$4:$E$69,3,0)</f>
        <v>hydrogen, gaseous, 200 bar</v>
      </c>
      <c r="H527" t="s">
        <v>76</v>
      </c>
      <c r="I527" t="s">
        <v>1054</v>
      </c>
      <c r="J527" t="str">
        <f>B482&amp;" - "&amp;B484</f>
        <v>Electrolysis, PEM - Solar PV (IT)</v>
      </c>
      <c r="K527" t="str">
        <f>B502</f>
        <v>This dataset represents the supply of 1 kilogram of hydrogen. The hydrogen is transported by train over 1700 km from regional storage.  The hydrogen is produced by  Electrolysis, PEM,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527">
        <f>IF(OR(B527&lt;0,B527=0),1,2)</f>
        <v>2</v>
      </c>
      <c r="M527">
        <f>IF(L527=2,LN(B527),"")</f>
        <v>-3.575550768806933</v>
      </c>
      <c r="N527">
        <v>1.5</v>
      </c>
      <c r="O527" s="15">
        <v>1.2</v>
      </c>
      <c r="P527">
        <v>1.5</v>
      </c>
      <c r="Q527">
        <v>1.1000000000000001</v>
      </c>
      <c r="R527">
        <v>2</v>
      </c>
      <c r="S527">
        <v>1.2</v>
      </c>
      <c r="T527">
        <v>1.05</v>
      </c>
      <c r="U527">
        <f>LN(SQRT(EXP(
SQRT(
+POWER(LN(N527),2)
+POWER(LN(O527),2)
+POWER(LN(P527),2)
+POWER(LN(Q527),2)
+POWER(LN(R527),2)
+POWER(LN(S527),2)
+POWER(LN(T527),2)
)
)))</f>
        <v>0.47095746419981693</v>
      </c>
    </row>
    <row r="528" spans="1:22" x14ac:dyDescent="0.2">
      <c r="A528" t="str">
        <f>VLOOKUP(J528,'dataset mapping'!$A$4:$E$69,2,0)</f>
        <v>market for transport, freight train</v>
      </c>
      <c r="B528" s="45">
        <f>SUM(B526:B527)/1000*B513</f>
        <v>1.7476</v>
      </c>
      <c r="C528" t="str">
        <f>VLOOKUP(J528,'dataset mapping'!$A$4:$E$69,5,0)</f>
        <v>ton kilometer</v>
      </c>
      <c r="E528" t="str">
        <f>VLOOKUP(J528,'dataset mapping'!$A$4:$E$69,4,0)</f>
        <v>CH</v>
      </c>
      <c r="F528" t="s">
        <v>86</v>
      </c>
      <c r="G528" t="str">
        <f>VLOOKUP(J528,'dataset mapping'!$A$4:$E$69,3,0)</f>
        <v>transport, freight train</v>
      </c>
      <c r="H528" t="s">
        <v>88</v>
      </c>
      <c r="I528" t="s">
        <v>1052</v>
      </c>
      <c r="J528" t="s">
        <v>295</v>
      </c>
      <c r="K528" t="str">
        <f>B484</f>
        <v>Solar PV (IT)</v>
      </c>
      <c r="L528">
        <f t="shared" ref="L528" si="45">IF(OR(B528&lt;0,B528=0),1,2)</f>
        <v>2</v>
      </c>
      <c r="M528">
        <f t="shared" ref="M528" si="46">IF(L528=2,LN(B528),"")</f>
        <v>0.55824341809514377</v>
      </c>
      <c r="N528">
        <v>1.5</v>
      </c>
      <c r="O528" s="15">
        <v>1.2</v>
      </c>
      <c r="P528">
        <v>1.5</v>
      </c>
      <c r="Q528">
        <v>1.1000000000000001</v>
      </c>
      <c r="R528">
        <v>2</v>
      </c>
      <c r="S528">
        <v>1.2</v>
      </c>
      <c r="T528">
        <v>2</v>
      </c>
      <c r="U528">
        <f t="shared" ref="U528" si="47">LN(SQRT(EXP(
SQRT(
+POWER(LN(N528),2)
+POWER(LN(O528),2)
+POWER(LN(P528),2)
+POWER(LN(Q528),2)
+POWER(LN(R528),2)
+POWER(LN(S528),2)
+POWER(LN(T528),2)
)
)))</f>
        <v>0.58422518478336083</v>
      </c>
    </row>
    <row r="529" spans="1:21" x14ac:dyDescent="0.2">
      <c r="A529" t="s">
        <v>1038</v>
      </c>
      <c r="B529" s="53">
        <f>SUM(B526:B527)</f>
        <v>1.028</v>
      </c>
      <c r="C529" t="str">
        <f>VLOOKUP(J529,'dataset mapping'!$A$4:$E$69,5,0)</f>
        <v>kilogram</v>
      </c>
      <c r="E529" t="s">
        <v>64</v>
      </c>
      <c r="F529" t="s">
        <v>86</v>
      </c>
      <c r="G529" t="s">
        <v>1039</v>
      </c>
      <c r="H529" t="s">
        <v>88</v>
      </c>
      <c r="I529" t="s">
        <v>1040</v>
      </c>
      <c r="J529" t="s">
        <v>229</v>
      </c>
      <c r="K529" t="str">
        <f>B501</f>
        <v>hydrogen supply, transported by train, produced by Electrolysis, PEM using water and electricity from Solar PV (IT)</v>
      </c>
      <c r="L529">
        <f>IF(OR(B529&lt;0,B529=0),1,2)</f>
        <v>2</v>
      </c>
      <c r="M529">
        <f>IF(L529=2,LN(B529),"")</f>
        <v>2.7615167032973391E-2</v>
      </c>
      <c r="N529">
        <v>1.5</v>
      </c>
      <c r="O529" s="15">
        <v>1.2</v>
      </c>
      <c r="P529">
        <v>1.5</v>
      </c>
      <c r="Q529">
        <v>1.1000000000000001</v>
      </c>
      <c r="R529">
        <v>2</v>
      </c>
      <c r="S529">
        <v>1.2</v>
      </c>
      <c r="T529">
        <v>3</v>
      </c>
      <c r="U529">
        <f>LN(SQRT(EXP(
SQRT(
+POWER(LN(N529),2)
+POWER(LN(O529),2)
+POWER(LN(P529),2)
+POWER(LN(Q529),2)
+POWER(LN(R529),2)
+POWER(LN(S529),2)
+POWER(LN(T529),2)
)
)))</f>
        <v>0.72314801614797197</v>
      </c>
    </row>
    <row r="530" spans="1:21" x14ac:dyDescent="0.2">
      <c r="A530" t="s">
        <v>130</v>
      </c>
      <c r="B530" s="52">
        <f>(VLOOKUP(B516,parameters!$A$71:$B$78,2,0)+VLOOKUP(B512,parameters!$A$82:$B$84,2,0)+VLOOKUP(B512,parameters!$A$87:$B$89,2,0))*SUM(B526:B527)</f>
        <v>2.0765600000000002</v>
      </c>
      <c r="C530" t="s">
        <v>92</v>
      </c>
      <c r="E530" t="s">
        <v>64</v>
      </c>
      <c r="F530" t="s">
        <v>86</v>
      </c>
      <c r="G530" t="s">
        <v>93</v>
      </c>
      <c r="H530" t="s">
        <v>78</v>
      </c>
      <c r="I530" t="s">
        <v>1053</v>
      </c>
      <c r="J530" t="s">
        <v>67</v>
      </c>
      <c r="K530" t="str">
        <f>B501</f>
        <v>hydrogen supply, transported by train, produced by Electrolysis, PEM using water and electricity from Solar PV (IT)</v>
      </c>
      <c r="L530">
        <f>IF(OR(B530&lt;0,B530=0),1,2)</f>
        <v>2</v>
      </c>
      <c r="M530">
        <f>IF(L530=2,LN(B530),"")</f>
        <v>0.73071267844608689</v>
      </c>
      <c r="N530">
        <v>1.5</v>
      </c>
      <c r="O530" s="15">
        <v>1.2</v>
      </c>
      <c r="P530">
        <v>1.5</v>
      </c>
      <c r="Q530">
        <v>1.1000000000000001</v>
      </c>
      <c r="R530">
        <v>2</v>
      </c>
      <c r="S530">
        <v>1.2</v>
      </c>
      <c r="T530">
        <v>1.05</v>
      </c>
      <c r="U530">
        <f>LN(SQRT(EXP(
SQRT(
+POWER(LN(N530),2)
+POWER(LN(O530),2)
+POWER(LN(P530),2)
+POWER(LN(Q530),2)
+POWER(LN(R530),2)
+POWER(LN(S530),2)
+POWER(LN(T530),2)
)
)))</f>
        <v>0.47095746419981693</v>
      </c>
    </row>
    <row r="531" spans="1:21" x14ac:dyDescent="0.2">
      <c r="A531" t="s">
        <v>7</v>
      </c>
      <c r="B531" s="53">
        <f>B527</f>
        <v>2.8000000000000001E-2</v>
      </c>
      <c r="C531" t="s">
        <v>56</v>
      </c>
      <c r="D531" t="s">
        <v>100</v>
      </c>
      <c r="F531" t="s">
        <v>99</v>
      </c>
      <c r="H531" t="s">
        <v>131</v>
      </c>
      <c r="I531" t="s">
        <v>160</v>
      </c>
      <c r="K531" t="str">
        <f>B501</f>
        <v>hydrogen supply, transported by train, produced by Electrolysis, PEM using water and electricity from Solar PV (IT)</v>
      </c>
      <c r="L531">
        <f>IF(OR(B531&lt;0,B531=0),1,2)</f>
        <v>2</v>
      </c>
      <c r="M531">
        <f>IF(L531=2,LN(B531),"")</f>
        <v>-3.575550768806933</v>
      </c>
      <c r="N531">
        <v>1.5</v>
      </c>
      <c r="O531" s="15">
        <v>1.2</v>
      </c>
      <c r="P531">
        <v>1.5</v>
      </c>
      <c r="Q531">
        <v>1.1000000000000001</v>
      </c>
      <c r="R531">
        <v>2</v>
      </c>
      <c r="S531">
        <v>1.2</v>
      </c>
      <c r="T531">
        <v>1.05</v>
      </c>
      <c r="U531">
        <f>LN(SQRT(EXP(
SQRT(
+POWER(LN(N531),2)
+POWER(LN(O531),2)
+POWER(LN(P531),2)
+POWER(LN(Q531),2)
+POWER(LN(R531),2)
+POWER(LN(S531),2)
+POWER(LN(T531),2)
)
)))</f>
        <v>0.47095746419981693</v>
      </c>
    </row>
    <row r="532" spans="1:21" x14ac:dyDescent="0.2">
      <c r="B532" s="45"/>
    </row>
    <row r="533" spans="1:21" x14ac:dyDescent="0.2">
      <c r="A533" s="2" t="s">
        <v>50</v>
      </c>
      <c r="B533" s="44" t="str">
        <f>"hydrogen supply, transported by "&amp;B544&amp;", produced by "&amp;B548&amp;" using "&amp;B549&amp;" from "&amp;B550</f>
        <v>hydrogen supply, transported by pipeline, produced by Electrolysis, SOEC using water and electricity from Solar PV (IT)</v>
      </c>
    </row>
    <row r="534" spans="1:21" x14ac:dyDescent="0.2">
      <c r="A534" t="s">
        <v>51</v>
      </c>
      <c r="B534" s="45" t="str">
        <f>"This dataset represents the supply of 1 kilogram of hydrogen. The hydrogen is transported by "&amp;B544&amp;" over "&amp;B545&amp;" km from regional storage. "&amp;" The "&amp;B543&amp;" is produced by  "&amp;B548&amp;", with "&amp;B549&amp;" from "&amp;B550&amp;" as feedstock. "&amp;A552&amp;": "&amp;(B552*100)&amp;"%. "&amp;A553&amp;": "&amp;(B553*100)&amp;".  For more information, refer to: "&amp;B535</f>
        <v>This dataset represents the supply of 1 kilogram of hydrogen. The hydrogen is transported by pipeline over 1700 km from regional storage.  The hydrogen is produced by  Electrolysis, SOEC,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535" spans="1:21" x14ac:dyDescent="0.2">
      <c r="A535" t="s">
        <v>63</v>
      </c>
      <c r="B535" s="45" t="s">
        <v>1223</v>
      </c>
    </row>
    <row r="536" spans="1:21" x14ac:dyDescent="0.2">
      <c r="A536" t="s">
        <v>52</v>
      </c>
      <c r="B536" s="45" t="s">
        <v>64</v>
      </c>
    </row>
    <row r="537" spans="1:21" x14ac:dyDescent="0.2">
      <c r="A537" t="s">
        <v>48</v>
      </c>
      <c r="B537" s="45">
        <v>65</v>
      </c>
    </row>
    <row r="538" spans="1:21" x14ac:dyDescent="0.2">
      <c r="A538" t="s">
        <v>54</v>
      </c>
      <c r="B538" s="45" t="s">
        <v>1129</v>
      </c>
    </row>
    <row r="539" spans="1:21" x14ac:dyDescent="0.2">
      <c r="A539" t="s">
        <v>55</v>
      </c>
      <c r="B539" s="45" t="s">
        <v>56</v>
      </c>
    </row>
    <row r="540" spans="1:21" x14ac:dyDescent="0.2">
      <c r="A540" t="s">
        <v>0</v>
      </c>
      <c r="B540" s="45" t="str">
        <f>INDEX(overview!$B$4:$R$338,MATCH('hydrogen - supply'!B537,overview!$A$4:$A$338,0),MATCH('hydrogen - supply'!A540,overview!$B$3:$R$3,0))</f>
        <v>Switzerland</v>
      </c>
    </row>
    <row r="541" spans="1:21" x14ac:dyDescent="0.2">
      <c r="A541" t="s">
        <v>1</v>
      </c>
      <c r="B541" s="45">
        <f>INDEX(overview!$B$4:$R$338,MATCH('hydrogen - supply'!B537,overview!$A$4:$A$338,0),MATCH('hydrogen - supply'!A541,overview!$B$3:$R$3,0))</f>
        <v>2020</v>
      </c>
    </row>
    <row r="542" spans="1:21" x14ac:dyDescent="0.2">
      <c r="A542" t="s">
        <v>2</v>
      </c>
      <c r="B542" s="45" t="s">
        <v>1130</v>
      </c>
    </row>
    <row r="543" spans="1:21" x14ac:dyDescent="0.2">
      <c r="A543" t="s">
        <v>5</v>
      </c>
      <c r="B543" s="45" t="str">
        <f>INDEX(overview!$B$4:$R$338,MATCH('hydrogen - supply'!B537,overview!$A$4:$A$338,0),MATCH('hydrogen - supply'!A543,overview!$B$3:$R$3,0))</f>
        <v>hydrogen</v>
      </c>
    </row>
    <row r="544" spans="1:21" x14ac:dyDescent="0.2">
      <c r="A544" t="s">
        <v>4</v>
      </c>
      <c r="B544" s="45" t="str">
        <f>INDEX(overview!$B$4:$R$338,MATCH('hydrogen - supply'!B537,overview!$A$4:$A$338,0),MATCH('hydrogen - supply'!A544,overview!$B$3:$R$3,0))</f>
        <v>pipeline</v>
      </c>
    </row>
    <row r="545" spans="1:22" x14ac:dyDescent="0.2">
      <c r="A545" t="s">
        <v>38</v>
      </c>
      <c r="B545" s="45">
        <f>INDEX(overview!$B$4:$R$338,MATCH('hydrogen - supply'!B537,overview!$A$4:$A$338,0),MATCH('hydrogen - supply'!A545,overview!$B$3:$R$3,0))</f>
        <v>1700</v>
      </c>
    </row>
    <row r="546" spans="1:22" x14ac:dyDescent="0.2">
      <c r="A546" t="s">
        <v>12</v>
      </c>
      <c r="B546" s="45" t="str">
        <f>INDEX(overview!$B$4:$R$338,MATCH('hydrogen - supply'!B537,overview!$A$4:$A$338,0),MATCH('hydrogen - supply'!A546,overview!$B$3:$R$3,0))</f>
        <v>Pressure vessel for stationary storage</v>
      </c>
    </row>
    <row r="547" spans="1:22" x14ac:dyDescent="0.2">
      <c r="A547" t="s">
        <v>34</v>
      </c>
      <c r="B547" s="45">
        <f>INDEX(overview!$B$4:$R$338,MATCH('hydrogen - supply'!B537,overview!$A$4:$A$338,0),MATCH('hydrogen - supply'!A547,overview!$B$3:$R$3,0))</f>
        <v>0</v>
      </c>
    </row>
    <row r="548" spans="1:22" x14ac:dyDescent="0.2">
      <c r="A548" t="s">
        <v>15</v>
      </c>
      <c r="B548" s="45" t="str">
        <f>INDEX(overview!$B$4:$R$338,MATCH('hydrogen - supply'!B537,overview!$A$4:$A$338,0),MATCH('hydrogen - supply'!A548,overview!$B$3:$R$3,0))</f>
        <v>Electrolysis, SOEC</v>
      </c>
    </row>
    <row r="549" spans="1:22" x14ac:dyDescent="0.2">
      <c r="A549" t="s">
        <v>14</v>
      </c>
      <c r="B549" s="45" t="str">
        <f>INDEX(overview!$B$4:$R$338,MATCH('hydrogen - supply'!B537,overview!$A$4:$A$338,0),MATCH('hydrogen - supply'!A549,overview!$B$3:$R$3,0))</f>
        <v>water and electricity</v>
      </c>
    </row>
    <row r="550" spans="1:22" x14ac:dyDescent="0.2">
      <c r="A550" t="s">
        <v>26</v>
      </c>
      <c r="B550" s="45" t="str">
        <f>INDEX(overview!$B$4:$R$338,MATCH('hydrogen - supply'!B537,overview!$A$4:$A$338,0),MATCH('hydrogen - supply'!A550,overview!$B$3:$R$3,0))</f>
        <v>Solar PV (IT)</v>
      </c>
    </row>
    <row r="551" spans="1:22" x14ac:dyDescent="0.2">
      <c r="A551" t="s">
        <v>29</v>
      </c>
      <c r="B551" s="45">
        <f>INDEX(overview!$B$4:$R$338,MATCH('hydrogen - supply'!B537,overview!$A$4:$A$338,0),MATCH('hydrogen - supply'!A551,overview!$B$3:$R$3,0))</f>
        <v>0</v>
      </c>
    </row>
    <row r="552" spans="1:22" x14ac:dyDescent="0.2">
      <c r="A552" t="s">
        <v>45</v>
      </c>
      <c r="B552" s="66">
        <f>VLOOKUP(B544,parameters!$A$94:$C$96,2,0)</f>
        <v>0.01</v>
      </c>
    </row>
    <row r="553" spans="1:22" x14ac:dyDescent="0.2">
      <c r="A553" t="s">
        <v>1133</v>
      </c>
      <c r="B553" s="49">
        <f>VLOOKUP(B544,parameters!$A$94:$D$96,3,0)</f>
        <v>2.3E-2</v>
      </c>
    </row>
    <row r="554" spans="1:22" x14ac:dyDescent="0.2">
      <c r="B554" s="45"/>
    </row>
    <row r="555" spans="1:22" x14ac:dyDescent="0.2">
      <c r="A555" s="3" t="s">
        <v>57</v>
      </c>
      <c r="B555" s="45"/>
    </row>
    <row r="556" spans="1:22" x14ac:dyDescent="0.2">
      <c r="A556" s="2" t="s">
        <v>58</v>
      </c>
      <c r="B556" s="44" t="s">
        <v>59</v>
      </c>
      <c r="C556" s="2" t="s">
        <v>55</v>
      </c>
      <c r="D556" s="2" t="s">
        <v>60</v>
      </c>
      <c r="E556" s="2" t="s">
        <v>52</v>
      </c>
      <c r="F556" s="2" t="s">
        <v>61</v>
      </c>
      <c r="G556" s="2" t="s">
        <v>54</v>
      </c>
      <c r="H556" s="2" t="s">
        <v>87</v>
      </c>
      <c r="I556" s="2" t="s">
        <v>51</v>
      </c>
      <c r="J556" s="2" t="s">
        <v>138</v>
      </c>
      <c r="K556" s="2" t="s">
        <v>136</v>
      </c>
      <c r="L556" s="2" t="s">
        <v>221</v>
      </c>
      <c r="M556" s="2" t="s">
        <v>379</v>
      </c>
      <c r="N556" s="2" t="s">
        <v>1059</v>
      </c>
      <c r="O556" s="2" t="s">
        <v>1060</v>
      </c>
      <c r="P556" s="2" t="s">
        <v>1061</v>
      </c>
      <c r="Q556" s="2" t="s">
        <v>1062</v>
      </c>
      <c r="R556" s="2" t="s">
        <v>1063</v>
      </c>
      <c r="S556" s="2" t="s">
        <v>1064</v>
      </c>
      <c r="T556" s="2" t="s">
        <v>1065</v>
      </c>
      <c r="U556" s="2" t="s">
        <v>380</v>
      </c>
      <c r="V556" s="2" t="s">
        <v>1128</v>
      </c>
    </row>
    <row r="557" spans="1:22" x14ac:dyDescent="0.2">
      <c r="A557" t="str">
        <f>B533</f>
        <v>hydrogen supply, transported by pipeline, produced by Electrolysis, SOEC using water and electricity from Solar PV (IT)</v>
      </c>
      <c r="B557" s="45">
        <v>1</v>
      </c>
      <c r="C557" t="str">
        <f>B539</f>
        <v>kilogram</v>
      </c>
      <c r="E557" t="str">
        <f>B536</f>
        <v>CH</v>
      </c>
      <c r="F557" t="s">
        <v>62</v>
      </c>
      <c r="G557" t="str">
        <f>B538</f>
        <v>hydrogen, gaseous, from pipeline</v>
      </c>
      <c r="K557" t="str">
        <f>B533</f>
        <v>hydrogen supply, transported by pipeline, produced by Electrolysis, SOEC using water and electricity from Solar PV (IT)</v>
      </c>
    </row>
    <row r="558" spans="1:22" x14ac:dyDescent="0.2">
      <c r="A558" t="str">
        <f>VLOOKUP(J558,'dataset mapping'!$A$4:$E$69,2,0)</f>
        <v>hydrogen production, gaseous, 25 bar, from SOEC electrolysis, from Italian solar PV</v>
      </c>
      <c r="B558" s="53">
        <v>1</v>
      </c>
      <c r="C558" t="str">
        <f>VLOOKUP(J558,'dataset mapping'!$A$4:$E$69,5,0)</f>
        <v>kilogram</v>
      </c>
      <c r="E558" t="str">
        <f>VLOOKUP(J558,'dataset mapping'!$A$4:$E$69,4,0)</f>
        <v>IT</v>
      </c>
      <c r="F558" t="s">
        <v>86</v>
      </c>
      <c r="G558" t="str">
        <f>VLOOKUP(J558,'dataset mapping'!$A$4:$E$69,3,0)</f>
        <v>hydrogen, gaseous, 25 bar</v>
      </c>
      <c r="H558" t="s">
        <v>281</v>
      </c>
      <c r="I558" t="s">
        <v>1054</v>
      </c>
      <c r="J558" t="str">
        <f>B548&amp;" - "&amp;B550</f>
        <v>Electrolysis, SOEC - Solar PV (IT)</v>
      </c>
      <c r="K558" t="str">
        <f>B533</f>
        <v>hydrogen supply, transported by pipeline, produced by Electrolysis, SOEC using water and electricity from Solar PV (IT)</v>
      </c>
      <c r="L558">
        <f t="shared" ref="L558:L565" si="48">IF(OR(B558&lt;0,B558=0),1,2)</f>
        <v>2</v>
      </c>
      <c r="M558">
        <f t="shared" ref="M558:M565" si="49">IF(L558=2,LN(B558),"")</f>
        <v>0</v>
      </c>
      <c r="N558">
        <v>1.5</v>
      </c>
      <c r="O558" s="15">
        <v>1.2</v>
      </c>
      <c r="P558">
        <v>1.5</v>
      </c>
      <c r="Q558">
        <v>1.1000000000000001</v>
      </c>
      <c r="R558">
        <v>2</v>
      </c>
      <c r="S558">
        <v>1.2</v>
      </c>
      <c r="T558">
        <v>1.05</v>
      </c>
      <c r="U558">
        <f t="shared" ref="U558:U565" si="50">LN(SQRT(EXP(
SQRT(
+POWER(LN(N558),2)
+POWER(LN(O558),2)
+POWER(LN(P558),2)
+POWER(LN(Q558),2)
+POWER(LN(R558),2)
+POWER(LN(S558),2)
+POWER(LN(T558),2)
)
)))</f>
        <v>0.47095746419981693</v>
      </c>
    </row>
    <row r="559" spans="1:22" x14ac:dyDescent="0.2">
      <c r="A559" t="str">
        <f>VLOOKUP(J559,'dataset mapping'!$A$4:$E$69,2,0)</f>
        <v>hydrogen production, gaseous, 25 bar, from SOEC electrolysis, from Italian solar PV</v>
      </c>
      <c r="B559" s="53">
        <f>(B558*B552)+(B553*B558)</f>
        <v>3.3000000000000002E-2</v>
      </c>
      <c r="C559" t="str">
        <f>VLOOKUP(J559,'dataset mapping'!$A$4:$E$69,5,0)</f>
        <v>kilogram</v>
      </c>
      <c r="E559" t="str">
        <f>VLOOKUP(J559,'dataset mapping'!$A$4:$E$69,4,0)</f>
        <v>IT</v>
      </c>
      <c r="F559" t="s">
        <v>86</v>
      </c>
      <c r="G559" t="str">
        <f>VLOOKUP(J559,'dataset mapping'!$A$4:$E$69,3,0)</f>
        <v>hydrogen, gaseous, 25 bar</v>
      </c>
      <c r="H559" t="s">
        <v>76</v>
      </c>
      <c r="I559" t="s">
        <v>1054</v>
      </c>
      <c r="J559" t="str">
        <f>B548&amp;" - "&amp;B550</f>
        <v>Electrolysis, SOEC - Solar PV (IT)</v>
      </c>
      <c r="K559" t="str">
        <f>B534</f>
        <v>This dataset represents the supply of 1 kilogram of hydrogen. The hydrogen is transported by pipeline over 1700 km from regional storage.  The hydrogen is produced by  Electrolysis, SOEC,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559">
        <f t="shared" si="48"/>
        <v>2</v>
      </c>
      <c r="M559">
        <f t="shared" si="49"/>
        <v>-3.4112477175156566</v>
      </c>
      <c r="N559">
        <v>1.5</v>
      </c>
      <c r="O559" s="15">
        <v>1.2</v>
      </c>
      <c r="P559">
        <v>1.5</v>
      </c>
      <c r="Q559">
        <v>1.1000000000000001</v>
      </c>
      <c r="R559">
        <v>2</v>
      </c>
      <c r="S559">
        <v>1.2</v>
      </c>
      <c r="T559">
        <v>1.05</v>
      </c>
      <c r="U559">
        <f t="shared" si="50"/>
        <v>0.47095746419981693</v>
      </c>
    </row>
    <row r="560" spans="1:22" x14ac:dyDescent="0.2">
      <c r="A560" t="str">
        <f>VLOOKUP(J560,'dataset mapping'!$A$4:$E$69,2,0)</f>
        <v>distribution pipeline for hydrogen, dedicated hydrogen pipeline</v>
      </c>
      <c r="B560" s="45">
        <f>0.000000000265*SUM(B558:B559)*B545*0.86</f>
        <v>4.0021519000000004E-7</v>
      </c>
      <c r="C560" t="str">
        <f>VLOOKUP(J560,'dataset mapping'!$A$4:$E$69,5,0)</f>
        <v>kilometer</v>
      </c>
      <c r="E560" t="str">
        <f>VLOOKUP(J560,'dataset mapping'!$A$4:$E$69,4,0)</f>
        <v>CH</v>
      </c>
      <c r="F560" t="s">
        <v>86</v>
      </c>
      <c r="G560" t="str">
        <f>VLOOKUP(J560,'dataset mapping'!$A$4:$E$69,3,0)</f>
        <v>pipeline, for hydrogen distribution</v>
      </c>
      <c r="H560" t="s">
        <v>88</v>
      </c>
      <c r="I560" t="s">
        <v>1052</v>
      </c>
      <c r="J560" t="s">
        <v>218</v>
      </c>
      <c r="K560" t="str">
        <f>B533</f>
        <v>hydrogen supply, transported by pipeline, produced by Electrolysis, SOEC using water and electricity from Solar PV (IT)</v>
      </c>
      <c r="L560">
        <f t="shared" si="48"/>
        <v>2</v>
      </c>
      <c r="M560">
        <f t="shared" si="49"/>
        <v>-14.7312634594951</v>
      </c>
      <c r="N560">
        <v>1.5</v>
      </c>
      <c r="O560" s="15">
        <v>1.2</v>
      </c>
      <c r="P560">
        <v>1.5</v>
      </c>
      <c r="Q560">
        <v>1.1000000000000001</v>
      </c>
      <c r="R560">
        <v>2</v>
      </c>
      <c r="S560">
        <v>1.2</v>
      </c>
      <c r="T560">
        <v>3</v>
      </c>
      <c r="U560">
        <f t="shared" si="50"/>
        <v>0.72314801614797197</v>
      </c>
    </row>
    <row r="561" spans="1:21" x14ac:dyDescent="0.2">
      <c r="A561" t="str">
        <f>VLOOKUP(J561,'dataset mapping'!$A$4:$E$69,2,0)</f>
        <v>transmission pipeline for hydrogen, dedicated hydrogen pipeline</v>
      </c>
      <c r="B561" s="45">
        <f>0.000000000265*SUM(B558:B559)*B545*0.14</f>
        <v>6.5151310000000012E-8</v>
      </c>
      <c r="C561" t="str">
        <f>VLOOKUP(J561,'dataset mapping'!$A$4:$E$69,5,0)</f>
        <v>kilometer</v>
      </c>
      <c r="E561" t="str">
        <f>VLOOKUP(J561,'dataset mapping'!$A$4:$E$69,4,0)</f>
        <v>CH</v>
      </c>
      <c r="F561" t="s">
        <v>86</v>
      </c>
      <c r="G561" t="str">
        <f>VLOOKUP(J561,'dataset mapping'!$A$4:$E$69,3,0)</f>
        <v>pipeline, for hydrogen transmission</v>
      </c>
      <c r="H561" t="s">
        <v>88</v>
      </c>
      <c r="I561" t="s">
        <v>1052</v>
      </c>
      <c r="J561" t="s">
        <v>219</v>
      </c>
      <c r="K561" t="str">
        <f>B533</f>
        <v>hydrogen supply, transported by pipeline, produced by Electrolysis, SOEC using water and electricity from Solar PV (IT)</v>
      </c>
      <c r="L561">
        <f t="shared" si="48"/>
        <v>2</v>
      </c>
      <c r="M561">
        <f t="shared" si="49"/>
        <v>-16.54655342613335</v>
      </c>
      <c r="N561">
        <v>1.5</v>
      </c>
      <c r="O561" s="15">
        <v>1.2</v>
      </c>
      <c r="P561">
        <v>1.5</v>
      </c>
      <c r="Q561">
        <v>1.1000000000000001</v>
      </c>
      <c r="R561">
        <v>2</v>
      </c>
      <c r="S561">
        <v>1.2</v>
      </c>
      <c r="T561">
        <v>3</v>
      </c>
      <c r="U561">
        <f t="shared" si="50"/>
        <v>0.72314801614797197</v>
      </c>
    </row>
    <row r="562" spans="1:21" x14ac:dyDescent="0.2">
      <c r="A562" t="s">
        <v>1038</v>
      </c>
      <c r="B562" s="53">
        <f>SUM(B558:B559)</f>
        <v>1.0329999999999999</v>
      </c>
      <c r="C562" t="str">
        <f>VLOOKUP(J562,'dataset mapping'!$A$4:$E$69,5,0)</f>
        <v>kilogram</v>
      </c>
      <c r="E562" t="s">
        <v>64</v>
      </c>
      <c r="F562" t="s">
        <v>86</v>
      </c>
      <c r="G562" t="s">
        <v>1039</v>
      </c>
      <c r="H562" t="s">
        <v>88</v>
      </c>
      <c r="I562" t="s">
        <v>1040</v>
      </c>
      <c r="J562" t="s">
        <v>229</v>
      </c>
      <c r="K562" t="str">
        <f>B533</f>
        <v>hydrogen supply, transported by pipeline, produced by Electrolysis, SOEC using water and electricity from Solar PV (IT)</v>
      </c>
      <c r="L562">
        <f t="shared" si="48"/>
        <v>2</v>
      </c>
      <c r="M562">
        <f t="shared" si="49"/>
        <v>3.2467190137501413E-2</v>
      </c>
      <c r="N562">
        <v>1.5</v>
      </c>
      <c r="O562" s="15">
        <v>1.2</v>
      </c>
      <c r="P562">
        <v>1.5</v>
      </c>
      <c r="Q562">
        <v>1.1000000000000001</v>
      </c>
      <c r="R562">
        <v>2</v>
      </c>
      <c r="S562">
        <v>1.2</v>
      </c>
      <c r="T562">
        <v>3</v>
      </c>
      <c r="U562">
        <f t="shared" si="50"/>
        <v>0.72314801614797197</v>
      </c>
    </row>
    <row r="563" spans="1:21" x14ac:dyDescent="0.2">
      <c r="A563" t="s">
        <v>130</v>
      </c>
      <c r="B563" s="52">
        <f>(VLOOKUP(B548,parameters!$A$71:$B$78,2,0)+VLOOKUP(B544,parameters!$A$82:$B$84,2,0)+VLOOKUP(B544,parameters!$A$87:$B$89,2,0))*SUM(B558:B559)</f>
        <v>2.0246799999999996</v>
      </c>
      <c r="C563" t="s">
        <v>92</v>
      </c>
      <c r="E563" t="s">
        <v>64</v>
      </c>
      <c r="F563" t="s">
        <v>86</v>
      </c>
      <c r="G563" t="s">
        <v>93</v>
      </c>
      <c r="H563" t="s">
        <v>78</v>
      </c>
      <c r="I563" t="s">
        <v>1053</v>
      </c>
      <c r="J563" t="s">
        <v>67</v>
      </c>
      <c r="K563" t="str">
        <f>B533</f>
        <v>hydrogen supply, transported by pipeline, produced by Electrolysis, SOEC using water and electricity from Solar PV (IT)</v>
      </c>
      <c r="L563">
        <f t="shared" si="48"/>
        <v>2</v>
      </c>
      <c r="M563">
        <f t="shared" si="49"/>
        <v>0.70541166337992711</v>
      </c>
      <c r="N563">
        <v>1.5</v>
      </c>
      <c r="O563" s="15">
        <v>1.2</v>
      </c>
      <c r="P563">
        <v>1.5</v>
      </c>
      <c r="Q563">
        <v>1.1000000000000001</v>
      </c>
      <c r="R563">
        <v>2</v>
      </c>
      <c r="S563">
        <v>1.2</v>
      </c>
      <c r="T563">
        <v>1.05</v>
      </c>
      <c r="U563">
        <f t="shared" si="50"/>
        <v>0.47095746419981693</v>
      </c>
    </row>
    <row r="564" spans="1:21" x14ac:dyDescent="0.2">
      <c r="A564" t="s">
        <v>130</v>
      </c>
      <c r="B564" s="52">
        <f>0.6*SUM(B558:B559)*(B545/250)</f>
        <v>4.2146399999999993</v>
      </c>
      <c r="C564" t="s">
        <v>92</v>
      </c>
      <c r="E564" t="s">
        <v>64</v>
      </c>
      <c r="F564" t="s">
        <v>86</v>
      </c>
      <c r="G564" t="s">
        <v>93</v>
      </c>
      <c r="H564" t="s">
        <v>78</v>
      </c>
      <c r="I564" t="s">
        <v>1135</v>
      </c>
      <c r="J564" t="s">
        <v>67</v>
      </c>
      <c r="K564" t="str">
        <f>B534</f>
        <v>This dataset represents the supply of 1 kilogram of hydrogen. The hydrogen is transported by pipeline over 1700 km from regional storage.  The hydrogen is produced by  Electrolysis, SOEC, with water and electricity from Solar PV (IT)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564">
        <f t="shared" si="48"/>
        <v>2</v>
      </c>
      <c r="M564">
        <f t="shared" si="49"/>
        <v>1.4385641785535717</v>
      </c>
      <c r="N564">
        <v>1.5</v>
      </c>
      <c r="O564" s="15">
        <v>1.2</v>
      </c>
      <c r="P564">
        <v>1.5</v>
      </c>
      <c r="Q564">
        <v>1.1000000000000001</v>
      </c>
      <c r="R564">
        <v>2</v>
      </c>
      <c r="S564">
        <v>1.2</v>
      </c>
      <c r="T564">
        <v>1.05</v>
      </c>
      <c r="U564">
        <f t="shared" si="50"/>
        <v>0.47095746419981693</v>
      </c>
    </row>
    <row r="565" spans="1:21" x14ac:dyDescent="0.2">
      <c r="A565" t="s">
        <v>7</v>
      </c>
      <c r="B565" s="53">
        <f>B559</f>
        <v>3.3000000000000002E-2</v>
      </c>
      <c r="C565" t="s">
        <v>56</v>
      </c>
      <c r="D565" t="s">
        <v>100</v>
      </c>
      <c r="F565" t="s">
        <v>99</v>
      </c>
      <c r="H565" t="s">
        <v>131</v>
      </c>
      <c r="I565" t="s">
        <v>160</v>
      </c>
      <c r="K565" t="str">
        <f>B533</f>
        <v>hydrogen supply, transported by pipeline, produced by Electrolysis, SOEC using water and electricity from Solar PV (IT)</v>
      </c>
      <c r="L565">
        <f t="shared" si="48"/>
        <v>2</v>
      </c>
      <c r="M565">
        <f t="shared" si="49"/>
        <v>-3.4112477175156566</v>
      </c>
      <c r="N565">
        <v>1.5</v>
      </c>
      <c r="O565" s="15">
        <v>1.2</v>
      </c>
      <c r="P565">
        <v>1.5</v>
      </c>
      <c r="Q565">
        <v>1.1000000000000001</v>
      </c>
      <c r="R565">
        <v>2</v>
      </c>
      <c r="S565">
        <v>1.2</v>
      </c>
      <c r="T565">
        <v>1.05</v>
      </c>
      <c r="U565">
        <f t="shared" si="50"/>
        <v>0.47095746419981693</v>
      </c>
    </row>
    <row r="566" spans="1:21" x14ac:dyDescent="0.2">
      <c r="B566" s="45"/>
    </row>
    <row r="567" spans="1:21" x14ac:dyDescent="0.2">
      <c r="A567" s="2" t="s">
        <v>50</v>
      </c>
      <c r="B567" s="44" t="str">
        <f>"hydrogen supply, transported by "&amp;B578&amp;", produced by "&amp;B582&amp;" using "&amp;B583&amp;" from "&amp;B584</f>
        <v>hydrogen supply, transported by train, produced by Electrolysis, SOEC using water and electricity from Solar PV (IT)</v>
      </c>
    </row>
    <row r="568" spans="1:21" x14ac:dyDescent="0.2">
      <c r="A568" t="s">
        <v>51</v>
      </c>
      <c r="B568" s="45" t="str">
        <f>"This dataset represents the supply of 1 kilogram of hydrogen. The hydrogen is transported by "&amp;B578&amp;" over "&amp;B579&amp;" km from regional storage. "&amp;" The "&amp;B577&amp;" is produced by  "&amp;B582&amp;", with "&amp;B583&amp;" from "&amp;B584&amp;" as feedstock. "&amp;A586&amp;": "&amp;(B586*100)&amp;"%. "&amp;A587&amp;": "&amp;(B587*100)&amp;".  For more information, refer to: "&amp;B569</f>
        <v>This dataset represents the supply of 1 kilogram of hydrogen. The hydrogen is transported by train over 1700 km from regional storage.  The hydrogen is produced by  Electrolysis, SOEC,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569" spans="1:21" x14ac:dyDescent="0.2">
      <c r="A569" t="s">
        <v>63</v>
      </c>
      <c r="B569" s="45" t="s">
        <v>1223</v>
      </c>
    </row>
    <row r="570" spans="1:21" x14ac:dyDescent="0.2">
      <c r="A570" t="s">
        <v>52</v>
      </c>
      <c r="B570" s="45" t="s">
        <v>64</v>
      </c>
    </row>
    <row r="571" spans="1:21" x14ac:dyDescent="0.2">
      <c r="A571" t="s">
        <v>48</v>
      </c>
      <c r="B571" s="45">
        <v>69</v>
      </c>
    </row>
    <row r="572" spans="1:21" x14ac:dyDescent="0.2">
      <c r="A572" t="s">
        <v>54</v>
      </c>
      <c r="B572" s="45" t="s">
        <v>1137</v>
      </c>
    </row>
    <row r="573" spans="1:21" x14ac:dyDescent="0.2">
      <c r="A573" t="s">
        <v>55</v>
      </c>
      <c r="B573" s="45" t="s">
        <v>56</v>
      </c>
    </row>
    <row r="574" spans="1:21" x14ac:dyDescent="0.2">
      <c r="A574" t="s">
        <v>0</v>
      </c>
      <c r="B574" s="45" t="str">
        <f>INDEX(overview!$B$4:$R$338,MATCH('hydrogen - supply'!B571,overview!$A$4:$A$338,0),MATCH('hydrogen - supply'!A574,overview!$B$3:$R$3,0))</f>
        <v>Switzerland</v>
      </c>
    </row>
    <row r="575" spans="1:21" x14ac:dyDescent="0.2">
      <c r="A575" t="s">
        <v>1</v>
      </c>
      <c r="B575" s="45">
        <f>INDEX(overview!$B$4:$R$338,MATCH('hydrogen - supply'!B571,overview!$A$4:$A$338,0),MATCH('hydrogen - supply'!A575,overview!$B$3:$R$3,0))</f>
        <v>2020</v>
      </c>
    </row>
    <row r="576" spans="1:21" x14ac:dyDescent="0.2">
      <c r="A576" t="s">
        <v>2</v>
      </c>
      <c r="B576" s="45" t="s">
        <v>1130</v>
      </c>
    </row>
    <row r="577" spans="1:22" x14ac:dyDescent="0.2">
      <c r="A577" t="s">
        <v>5</v>
      </c>
      <c r="B577" s="45" t="str">
        <f>INDEX(overview!$B$4:$R$338,MATCH('hydrogen - supply'!B571,overview!$A$4:$A$338,0),MATCH('hydrogen - supply'!A577,overview!$B$3:$R$3,0))</f>
        <v>hydrogen</v>
      </c>
    </row>
    <row r="578" spans="1:22" x14ac:dyDescent="0.2">
      <c r="A578" t="s">
        <v>4</v>
      </c>
      <c r="B578" s="45" t="str">
        <f>INDEX(overview!$B$4:$R$338,MATCH('hydrogen - supply'!B571,overview!$A$4:$A$338,0),MATCH('hydrogen - supply'!A578,overview!$B$3:$R$3,0))</f>
        <v>train</v>
      </c>
    </row>
    <row r="579" spans="1:22" x14ac:dyDescent="0.2">
      <c r="A579" t="s">
        <v>38</v>
      </c>
      <c r="B579" s="45">
        <f>INDEX(overview!$B$4:$R$338,MATCH('hydrogen - supply'!B571,overview!$A$4:$A$338,0),MATCH('hydrogen - supply'!A579,overview!$B$3:$R$3,0))</f>
        <v>1700</v>
      </c>
    </row>
    <row r="580" spans="1:22" x14ac:dyDescent="0.2">
      <c r="A580" t="s">
        <v>12</v>
      </c>
      <c r="B580" s="45" t="str">
        <f>INDEX(overview!$B$4:$R$338,MATCH('hydrogen - supply'!B571,overview!$A$4:$A$338,0),MATCH('hydrogen - supply'!A580,overview!$B$3:$R$3,0))</f>
        <v>Pressure vessel for stationary storage</v>
      </c>
    </row>
    <row r="581" spans="1:22" x14ac:dyDescent="0.2">
      <c r="A581" t="s">
        <v>34</v>
      </c>
      <c r="B581" s="45">
        <f>INDEX(overview!$B$4:$R$338,MATCH('hydrogen - supply'!B571,overview!$A$4:$A$338,0),MATCH('hydrogen - supply'!A581,overview!$B$3:$R$3,0))</f>
        <v>0</v>
      </c>
    </row>
    <row r="582" spans="1:22" x14ac:dyDescent="0.2">
      <c r="A582" t="s">
        <v>15</v>
      </c>
      <c r="B582" s="45" t="str">
        <f>INDEX(overview!$B$4:$R$338,MATCH('hydrogen - supply'!B571,overview!$A$4:$A$338,0),MATCH('hydrogen - supply'!A582,overview!$B$3:$R$3,0))</f>
        <v>Electrolysis, SOEC</v>
      </c>
    </row>
    <row r="583" spans="1:22" x14ac:dyDescent="0.2">
      <c r="A583" t="s">
        <v>14</v>
      </c>
      <c r="B583" s="45" t="str">
        <f>INDEX(overview!$B$4:$R$338,MATCH('hydrogen - supply'!B571,overview!$A$4:$A$338,0),MATCH('hydrogen - supply'!A583,overview!$B$3:$R$3,0))</f>
        <v>water and electricity</v>
      </c>
    </row>
    <row r="584" spans="1:22" x14ac:dyDescent="0.2">
      <c r="A584" t="s">
        <v>26</v>
      </c>
      <c r="B584" s="45" t="str">
        <f>INDEX(overview!$B$4:$R$338,MATCH('hydrogen - supply'!B571,overview!$A$4:$A$338,0),MATCH('hydrogen - supply'!A584,overview!$B$3:$R$3,0))</f>
        <v>Solar PV (IT)</v>
      </c>
    </row>
    <row r="585" spans="1:22" x14ac:dyDescent="0.2">
      <c r="A585" t="s">
        <v>29</v>
      </c>
      <c r="B585" s="45">
        <f>INDEX(overview!$B$4:$R$338,MATCH('hydrogen - supply'!B571,overview!$A$4:$A$338,0),MATCH('hydrogen - supply'!A585,overview!$B$3:$R$3,0))</f>
        <v>0</v>
      </c>
    </row>
    <row r="586" spans="1:22" x14ac:dyDescent="0.2">
      <c r="A586" t="s">
        <v>45</v>
      </c>
      <c r="B586" s="66">
        <f>VLOOKUP(B578,parameters!$A$94:$C$96,2,0)</f>
        <v>5.0000000000000001E-3</v>
      </c>
    </row>
    <row r="587" spans="1:22" x14ac:dyDescent="0.2">
      <c r="A587" t="s">
        <v>1133</v>
      </c>
      <c r="B587" s="49">
        <f>VLOOKUP(B578,parameters!$A$94:$D$96,3,0)</f>
        <v>2.3E-2</v>
      </c>
    </row>
    <row r="588" spans="1:22" x14ac:dyDescent="0.2">
      <c r="B588" s="45"/>
    </row>
    <row r="589" spans="1:22" x14ac:dyDescent="0.2">
      <c r="A589" s="3" t="s">
        <v>57</v>
      </c>
      <c r="B589" s="45"/>
    </row>
    <row r="590" spans="1:22" x14ac:dyDescent="0.2">
      <c r="A590" s="2" t="s">
        <v>58</v>
      </c>
      <c r="B590" s="44" t="s">
        <v>59</v>
      </c>
      <c r="C590" s="2" t="s">
        <v>55</v>
      </c>
      <c r="D590" s="2" t="s">
        <v>60</v>
      </c>
      <c r="E590" s="2" t="s">
        <v>52</v>
      </c>
      <c r="F590" s="2" t="s">
        <v>61</v>
      </c>
      <c r="G590" s="2" t="s">
        <v>54</v>
      </c>
      <c r="H590" s="2" t="s">
        <v>87</v>
      </c>
      <c r="I590" s="2" t="s">
        <v>51</v>
      </c>
      <c r="J590" s="2" t="s">
        <v>138</v>
      </c>
      <c r="K590" s="2" t="s">
        <v>136</v>
      </c>
      <c r="L590" s="2" t="s">
        <v>221</v>
      </c>
      <c r="M590" s="2" t="s">
        <v>379</v>
      </c>
      <c r="N590" s="2" t="s">
        <v>1059</v>
      </c>
      <c r="O590" s="2" t="s">
        <v>1060</v>
      </c>
      <c r="P590" s="2" t="s">
        <v>1061</v>
      </c>
      <c r="Q590" s="2" t="s">
        <v>1062</v>
      </c>
      <c r="R590" s="2" t="s">
        <v>1063</v>
      </c>
      <c r="S590" s="2" t="s">
        <v>1064</v>
      </c>
      <c r="T590" s="2" t="s">
        <v>1065</v>
      </c>
      <c r="U590" s="2" t="s">
        <v>380</v>
      </c>
      <c r="V590" s="2" t="s">
        <v>1128</v>
      </c>
    </row>
    <row r="591" spans="1:22" x14ac:dyDescent="0.2">
      <c r="A591" t="str">
        <f>B567</f>
        <v>hydrogen supply, transported by train, produced by Electrolysis, SOEC using water and electricity from Solar PV (IT)</v>
      </c>
      <c r="B591" s="45">
        <v>1</v>
      </c>
      <c r="C591" t="str">
        <f>B573</f>
        <v>kilogram</v>
      </c>
      <c r="E591" t="str">
        <f>B570</f>
        <v>CH</v>
      </c>
      <c r="F591" t="s">
        <v>62</v>
      </c>
      <c r="G591" t="str">
        <f>B572</f>
        <v>hydrogen, gaseous, from truck</v>
      </c>
      <c r="K591" t="str">
        <f>B567</f>
        <v>hydrogen supply, transported by train, produced by Electrolysis, SOEC using water and electricity from Solar PV (IT)</v>
      </c>
    </row>
    <row r="592" spans="1:22" x14ac:dyDescent="0.2">
      <c r="A592" t="str">
        <f>VLOOKUP(J592,'dataset mapping'!$A$4:$E$69,2,0)</f>
        <v>hydrogen production, gaseous, 25 bar, from SOEC electrolysis, from Italian solar PV</v>
      </c>
      <c r="B592" s="53">
        <v>1</v>
      </c>
      <c r="C592" t="str">
        <f>VLOOKUP(J592,'dataset mapping'!$A$4:$E$69,5,0)</f>
        <v>kilogram</v>
      </c>
      <c r="E592" t="str">
        <f>VLOOKUP(J592,'dataset mapping'!$A$4:$E$69,4,0)</f>
        <v>IT</v>
      </c>
      <c r="F592" t="s">
        <v>86</v>
      </c>
      <c r="G592" t="str">
        <f>VLOOKUP(J592,'dataset mapping'!$A$4:$E$69,3,0)</f>
        <v>hydrogen, gaseous, 25 bar</v>
      </c>
      <c r="H592" t="s">
        <v>281</v>
      </c>
      <c r="I592" t="s">
        <v>1054</v>
      </c>
      <c r="J592" t="str">
        <f>B548&amp;" - "&amp;B550</f>
        <v>Electrolysis, SOEC - Solar PV (IT)</v>
      </c>
      <c r="K592" t="str">
        <f>B567</f>
        <v>hydrogen supply, transported by train, produced by Electrolysis, SOEC using water and electricity from Solar PV (IT)</v>
      </c>
      <c r="L592">
        <f>IF(OR(B592&lt;0,B592=0),1,2)</f>
        <v>2</v>
      </c>
      <c r="M592">
        <f>IF(L592=2,LN(B592),"")</f>
        <v>0</v>
      </c>
      <c r="N592">
        <v>1.5</v>
      </c>
      <c r="O592" s="15">
        <v>1.2</v>
      </c>
      <c r="P592">
        <v>1.5</v>
      </c>
      <c r="Q592">
        <v>1.1000000000000001</v>
      </c>
      <c r="R592">
        <v>2</v>
      </c>
      <c r="S592">
        <v>1.2</v>
      </c>
      <c r="T592">
        <v>1.05</v>
      </c>
      <c r="U592">
        <f>LN(SQRT(EXP(
SQRT(
+POWER(LN(N592),2)
+POWER(LN(O592),2)
+POWER(LN(P592),2)
+POWER(LN(Q592),2)
+POWER(LN(R592),2)
+POWER(LN(S592),2)
+POWER(LN(T592),2)
)
)))</f>
        <v>0.47095746419981693</v>
      </c>
    </row>
    <row r="593" spans="1:21" x14ac:dyDescent="0.2">
      <c r="A593" t="str">
        <f>VLOOKUP(J593,'dataset mapping'!$A$4:$E$69,2,0)</f>
        <v>hydrogen production, gaseous, 25 bar, from SOEC electrolysis, from Italian solar PV</v>
      </c>
      <c r="B593" s="53">
        <f>(B592*B586)+(B587*B592)</f>
        <v>2.8000000000000001E-2</v>
      </c>
      <c r="C593" t="str">
        <f>VLOOKUP(J593,'dataset mapping'!$A$4:$E$69,5,0)</f>
        <v>kilogram</v>
      </c>
      <c r="E593" t="str">
        <f>VLOOKUP(J593,'dataset mapping'!$A$4:$E$69,4,0)</f>
        <v>IT</v>
      </c>
      <c r="F593" t="s">
        <v>86</v>
      </c>
      <c r="G593" t="str">
        <f>VLOOKUP(J593,'dataset mapping'!$A$4:$E$69,3,0)</f>
        <v>hydrogen, gaseous, 25 bar</v>
      </c>
      <c r="H593" t="s">
        <v>76</v>
      </c>
      <c r="I593" t="s">
        <v>1054</v>
      </c>
      <c r="J593" t="str">
        <f>B548&amp;" - "&amp;B550</f>
        <v>Electrolysis, SOEC - Solar PV (IT)</v>
      </c>
      <c r="K593" t="str">
        <f>B568</f>
        <v>This dataset represents the supply of 1 kilogram of hydrogen. The hydrogen is transported by train over 1700 km from regional storage.  The hydrogen is produced by  Electrolysis, SOEC, with water and electricity from Solar PV (IT)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593">
        <f>IF(OR(B593&lt;0,B593=0),1,2)</f>
        <v>2</v>
      </c>
      <c r="M593">
        <f>IF(L593=2,LN(B593),"")</f>
        <v>-3.575550768806933</v>
      </c>
      <c r="N593">
        <v>1.5</v>
      </c>
      <c r="O593" s="15">
        <v>1.2</v>
      </c>
      <c r="P593">
        <v>1.5</v>
      </c>
      <c r="Q593">
        <v>1.1000000000000001</v>
      </c>
      <c r="R593">
        <v>2</v>
      </c>
      <c r="S593">
        <v>1.2</v>
      </c>
      <c r="T593">
        <v>1.05</v>
      </c>
      <c r="U593">
        <f>LN(SQRT(EXP(
SQRT(
+POWER(LN(N593),2)
+POWER(LN(O593),2)
+POWER(LN(P593),2)
+POWER(LN(Q593),2)
+POWER(LN(R593),2)
+POWER(LN(S593),2)
+POWER(LN(T593),2)
)
)))</f>
        <v>0.47095746419981693</v>
      </c>
    </row>
    <row r="594" spans="1:21" x14ac:dyDescent="0.2">
      <c r="A594" t="str">
        <f>VLOOKUP(J594,'dataset mapping'!$A$4:$E$69,2,0)</f>
        <v>market for transport, freight train</v>
      </c>
      <c r="B594" s="45">
        <f>SUM(B592:B593)/1000*B579</f>
        <v>1.7476</v>
      </c>
      <c r="C594" t="str">
        <f>VLOOKUP(J594,'dataset mapping'!$A$4:$E$69,5,0)</f>
        <v>ton kilometer</v>
      </c>
      <c r="E594" t="str">
        <f>VLOOKUP(J594,'dataset mapping'!$A$4:$E$69,4,0)</f>
        <v>CH</v>
      </c>
      <c r="F594" t="s">
        <v>86</v>
      </c>
      <c r="G594" t="str">
        <f>VLOOKUP(J594,'dataset mapping'!$A$4:$E$69,3,0)</f>
        <v>transport, freight train</v>
      </c>
      <c r="H594" t="s">
        <v>88</v>
      </c>
      <c r="I594" t="s">
        <v>1052</v>
      </c>
      <c r="J594" t="s">
        <v>295</v>
      </c>
      <c r="K594" t="str">
        <f>B550</f>
        <v>Solar PV (IT)</v>
      </c>
      <c r="L594">
        <f t="shared" ref="L594" si="51">IF(OR(B594&lt;0,B594=0),1,2)</f>
        <v>2</v>
      </c>
      <c r="M594">
        <f t="shared" ref="M594" si="52">IF(L594=2,LN(B594),"")</f>
        <v>0.55824341809514377</v>
      </c>
      <c r="N594">
        <v>1.5</v>
      </c>
      <c r="O594" s="15">
        <v>1.2</v>
      </c>
      <c r="P594">
        <v>1.5</v>
      </c>
      <c r="Q594">
        <v>1.1000000000000001</v>
      </c>
      <c r="R594">
        <v>2</v>
      </c>
      <c r="S594">
        <v>1.2</v>
      </c>
      <c r="T594">
        <v>2</v>
      </c>
      <c r="U594">
        <f t="shared" ref="U594" si="53">LN(SQRT(EXP(
SQRT(
+POWER(LN(N594),2)
+POWER(LN(O594),2)
+POWER(LN(P594),2)
+POWER(LN(Q594),2)
+POWER(LN(R594),2)
+POWER(LN(S594),2)
+POWER(LN(T594),2)
)
)))</f>
        <v>0.58422518478336083</v>
      </c>
    </row>
    <row r="595" spans="1:21" x14ac:dyDescent="0.2">
      <c r="A595" t="s">
        <v>1038</v>
      </c>
      <c r="B595" s="53">
        <f>SUM(B592:B593)</f>
        <v>1.028</v>
      </c>
      <c r="C595" t="str">
        <f>VLOOKUP(J595,'dataset mapping'!$A$4:$E$69,5,0)</f>
        <v>kilogram</v>
      </c>
      <c r="E595" t="s">
        <v>64</v>
      </c>
      <c r="F595" t="s">
        <v>86</v>
      </c>
      <c r="G595" t="s">
        <v>1039</v>
      </c>
      <c r="H595" t="s">
        <v>88</v>
      </c>
      <c r="I595" t="s">
        <v>1040</v>
      </c>
      <c r="J595" t="s">
        <v>229</v>
      </c>
      <c r="K595" t="str">
        <f>B567</f>
        <v>hydrogen supply, transported by train, produced by Electrolysis, SOEC using water and electricity from Solar PV (IT)</v>
      </c>
      <c r="L595">
        <f>IF(OR(B595&lt;0,B595=0),1,2)</f>
        <v>2</v>
      </c>
      <c r="M595">
        <f>IF(L595=2,LN(B595),"")</f>
        <v>2.7615167032973391E-2</v>
      </c>
      <c r="N595">
        <v>1.5</v>
      </c>
      <c r="O595" s="15">
        <v>1.2</v>
      </c>
      <c r="P595">
        <v>1.5</v>
      </c>
      <c r="Q595">
        <v>1.1000000000000001</v>
      </c>
      <c r="R595">
        <v>2</v>
      </c>
      <c r="S595">
        <v>1.2</v>
      </c>
      <c r="T595">
        <v>3</v>
      </c>
      <c r="U595">
        <f>LN(SQRT(EXP(
SQRT(
+POWER(LN(N595),2)
+POWER(LN(O595),2)
+POWER(LN(P595),2)
+POWER(LN(Q595),2)
+POWER(LN(R595),2)
+POWER(LN(S595),2)
+POWER(LN(T595),2)
)
)))</f>
        <v>0.72314801614797197</v>
      </c>
    </row>
    <row r="596" spans="1:21" x14ac:dyDescent="0.2">
      <c r="A596" t="s">
        <v>130</v>
      </c>
      <c r="B596" s="52">
        <f>(VLOOKUP(B582,parameters!$A$71:$B$78,2,0)+VLOOKUP(B578,parameters!$A$82:$B$84,2,0)+VLOOKUP(B578,parameters!$A$87:$B$89,2,0))*SUM(B592:B593)</f>
        <v>3.5774400000000006</v>
      </c>
      <c r="C596" t="s">
        <v>92</v>
      </c>
      <c r="E596" t="s">
        <v>64</v>
      </c>
      <c r="F596" t="s">
        <v>86</v>
      </c>
      <c r="G596" t="s">
        <v>93</v>
      </c>
      <c r="H596" t="s">
        <v>78</v>
      </c>
      <c r="I596" t="s">
        <v>1053</v>
      </c>
      <c r="J596" t="s">
        <v>67</v>
      </c>
      <c r="K596" t="str">
        <f>B567</f>
        <v>hydrogen supply, transported by train, produced by Electrolysis, SOEC using water and electricity from Solar PV (IT)</v>
      </c>
      <c r="L596">
        <f>IF(OR(B596&lt;0,B596=0),1,2)</f>
        <v>2</v>
      </c>
      <c r="M596">
        <f>IF(L596=2,LN(B596),"")</f>
        <v>1.2746474608193565</v>
      </c>
      <c r="N596">
        <v>1.5</v>
      </c>
      <c r="O596" s="15">
        <v>1.2</v>
      </c>
      <c r="P596">
        <v>1.5</v>
      </c>
      <c r="Q596">
        <v>1.1000000000000001</v>
      </c>
      <c r="R596">
        <v>2</v>
      </c>
      <c r="S596">
        <v>1.2</v>
      </c>
      <c r="T596">
        <v>1.05</v>
      </c>
      <c r="U596">
        <f>LN(SQRT(EXP(
SQRT(
+POWER(LN(N596),2)
+POWER(LN(O596),2)
+POWER(LN(P596),2)
+POWER(LN(Q596),2)
+POWER(LN(R596),2)
+POWER(LN(S596),2)
+POWER(LN(T596),2)
)
)))</f>
        <v>0.47095746419981693</v>
      </c>
    </row>
    <row r="597" spans="1:21" x14ac:dyDescent="0.2">
      <c r="A597" t="s">
        <v>7</v>
      </c>
      <c r="B597" s="53">
        <f>B593</f>
        <v>2.8000000000000001E-2</v>
      </c>
      <c r="C597" t="s">
        <v>56</v>
      </c>
      <c r="D597" t="s">
        <v>100</v>
      </c>
      <c r="F597" t="s">
        <v>99</v>
      </c>
      <c r="H597" t="s">
        <v>131</v>
      </c>
      <c r="I597" t="s">
        <v>160</v>
      </c>
      <c r="K597" t="str">
        <f>B567</f>
        <v>hydrogen supply, transported by train, produced by Electrolysis, SOEC using water and electricity from Solar PV (IT)</v>
      </c>
      <c r="L597">
        <f>IF(OR(B597&lt;0,B597=0),1,2)</f>
        <v>2</v>
      </c>
      <c r="M597">
        <f>IF(L597=2,LN(B597),"")</f>
        <v>-3.575550768806933</v>
      </c>
      <c r="N597">
        <v>1.5</v>
      </c>
      <c r="O597" s="15">
        <v>1.2</v>
      </c>
      <c r="P597">
        <v>1.5</v>
      </c>
      <c r="Q597">
        <v>1.1000000000000001</v>
      </c>
      <c r="R597">
        <v>2</v>
      </c>
      <c r="S597">
        <v>1.2</v>
      </c>
      <c r="T597">
        <v>1.05</v>
      </c>
      <c r="U597">
        <f>LN(SQRT(EXP(
SQRT(
+POWER(LN(N597),2)
+POWER(LN(O597),2)
+POWER(LN(P597),2)
+POWER(LN(Q597),2)
+POWER(LN(R597),2)
+POWER(LN(S597),2)
+POWER(LN(T597),2)
)
)))</f>
        <v>0.47095746419981693</v>
      </c>
    </row>
    <row r="599" spans="1:21" x14ac:dyDescent="0.2">
      <c r="A599" s="2" t="s">
        <v>50</v>
      </c>
      <c r="B599" s="44" t="str">
        <f>"hydrogen supply, transported by "&amp;B610&amp;", produced by "&amp;B614&amp;" using "&amp;B615&amp;" from "&amp;B616</f>
        <v>hydrogen supply, transported by pipeline, produced by Electrolysis, Alkaline using water and electricity from Solar PV (DE)</v>
      </c>
    </row>
    <row r="600" spans="1:21" x14ac:dyDescent="0.2">
      <c r="A600" t="s">
        <v>51</v>
      </c>
      <c r="B600" s="45" t="str">
        <f>"This dataset represents the supply of 1 kilogram of hydrogen. The hydrogen is transported by "&amp;B610&amp;" over "&amp;B611&amp;" km from regional storage. "&amp;" The "&amp;B609&amp;" is produced by  "&amp;B614&amp;", with "&amp;B615&amp;" from "&amp;B616&amp;" as feedstock. "&amp;A618&amp;": "&amp;(B618*100)&amp;"%. "&amp;A619&amp;": "&amp;(B619*100)&amp;".  For more information, refer to: "&amp;B601</f>
        <v>This dataset represents the supply of 1 kilogram of hydrogen. The hydrogen is transported by pipeline over 1000 km from regional storage.  The hydrogen is produced by  Electrolysis, Alkaline,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601" spans="1:21" x14ac:dyDescent="0.2">
      <c r="A601" t="s">
        <v>63</v>
      </c>
      <c r="B601" s="45" t="s">
        <v>1223</v>
      </c>
    </row>
    <row r="602" spans="1:21" x14ac:dyDescent="0.2">
      <c r="A602" t="s">
        <v>52</v>
      </c>
      <c r="B602" s="45" t="s">
        <v>64</v>
      </c>
    </row>
    <row r="603" spans="1:21" x14ac:dyDescent="0.2">
      <c r="A603" t="s">
        <v>48</v>
      </c>
      <c r="B603" s="45">
        <v>74</v>
      </c>
    </row>
    <row r="604" spans="1:21" x14ac:dyDescent="0.2">
      <c r="A604" t="s">
        <v>54</v>
      </c>
      <c r="B604" s="45" t="s">
        <v>1129</v>
      </c>
    </row>
    <row r="605" spans="1:21" x14ac:dyDescent="0.2">
      <c r="A605" t="s">
        <v>55</v>
      </c>
      <c r="B605" s="45" t="s">
        <v>56</v>
      </c>
    </row>
    <row r="606" spans="1:21" x14ac:dyDescent="0.2">
      <c r="A606" t="s">
        <v>0</v>
      </c>
      <c r="B606" s="45" t="str">
        <f>INDEX(overview!$B$4:$R$338,MATCH('hydrogen - supply'!B603,overview!$A$4:$A$338,0),MATCH('hydrogen - supply'!A606,overview!$B$3:$R$3,0))</f>
        <v>Switzerland</v>
      </c>
    </row>
    <row r="607" spans="1:21" x14ac:dyDescent="0.2">
      <c r="A607" t="s">
        <v>1</v>
      </c>
      <c r="B607" s="45">
        <f>INDEX(overview!$B$4:$R$338,MATCH('hydrogen - supply'!B603,overview!$A$4:$A$338,0),MATCH('hydrogen - supply'!A607,overview!$B$3:$R$3,0))</f>
        <v>2020</v>
      </c>
    </row>
    <row r="608" spans="1:21" x14ac:dyDescent="0.2">
      <c r="A608" t="s">
        <v>2</v>
      </c>
      <c r="B608" s="45" t="s">
        <v>1130</v>
      </c>
    </row>
    <row r="609" spans="1:22" x14ac:dyDescent="0.2">
      <c r="A609" t="s">
        <v>5</v>
      </c>
      <c r="B609" s="45" t="str">
        <f>INDEX(overview!$B$4:$R$338,MATCH('hydrogen - supply'!B603,overview!$A$4:$A$338,0),MATCH('hydrogen - supply'!A609,overview!$B$3:$R$3,0))</f>
        <v>hydrogen</v>
      </c>
    </row>
    <row r="610" spans="1:22" x14ac:dyDescent="0.2">
      <c r="A610" t="s">
        <v>4</v>
      </c>
      <c r="B610" s="45" t="str">
        <f>INDEX(overview!$B$4:$R$338,MATCH('hydrogen - supply'!B603,overview!$A$4:$A$338,0),MATCH('hydrogen - supply'!A610,overview!$B$3:$R$3,0))</f>
        <v>pipeline</v>
      </c>
    </row>
    <row r="611" spans="1:22" x14ac:dyDescent="0.2">
      <c r="A611" t="s">
        <v>38</v>
      </c>
      <c r="B611" s="45">
        <f>INDEX(overview!$B$4:$R$338,MATCH('hydrogen - supply'!B603,overview!$A$4:$A$338,0),MATCH('hydrogen - supply'!A611,overview!$B$3:$R$3,0))</f>
        <v>1000</v>
      </c>
    </row>
    <row r="612" spans="1:22" x14ac:dyDescent="0.2">
      <c r="A612" t="s">
        <v>12</v>
      </c>
      <c r="B612" s="45" t="str">
        <f>INDEX(overview!$B$4:$R$338,MATCH('hydrogen - supply'!B603,overview!$A$4:$A$338,0),MATCH('hydrogen - supply'!A612,overview!$B$3:$R$3,0))</f>
        <v>Pressure vessel for stationary storage</v>
      </c>
    </row>
    <row r="613" spans="1:22" x14ac:dyDescent="0.2">
      <c r="A613" t="s">
        <v>34</v>
      </c>
      <c r="B613" s="45">
        <f>INDEX(overview!$B$4:$R$338,MATCH('hydrogen - supply'!B603,overview!$A$4:$A$338,0),MATCH('hydrogen - supply'!A613,overview!$B$3:$R$3,0))</f>
        <v>0</v>
      </c>
    </row>
    <row r="614" spans="1:22" x14ac:dyDescent="0.2">
      <c r="A614" t="s">
        <v>15</v>
      </c>
      <c r="B614" s="45" t="str">
        <f>INDEX(overview!$B$4:$R$338,MATCH('hydrogen - supply'!B603,overview!$A$4:$A$338,0),MATCH('hydrogen - supply'!A614,overview!$B$3:$R$3,0))</f>
        <v>Electrolysis, Alkaline</v>
      </c>
    </row>
    <row r="615" spans="1:22" x14ac:dyDescent="0.2">
      <c r="A615" t="s">
        <v>14</v>
      </c>
      <c r="B615" s="45" t="str">
        <f>INDEX(overview!$B$4:$R$338,MATCH('hydrogen - supply'!B603,overview!$A$4:$A$338,0),MATCH('hydrogen - supply'!A615,overview!$B$3:$R$3,0))</f>
        <v>water and electricity</v>
      </c>
    </row>
    <row r="616" spans="1:22" x14ac:dyDescent="0.2">
      <c r="A616" t="s">
        <v>26</v>
      </c>
      <c r="B616" s="45" t="str">
        <f>INDEX(overview!$B$4:$R$338,MATCH('hydrogen - supply'!B603,overview!$A$4:$A$338,0),MATCH('hydrogen - supply'!A616,overview!$B$3:$R$3,0))</f>
        <v>Solar PV (DE)</v>
      </c>
    </row>
    <row r="617" spans="1:22" x14ac:dyDescent="0.2">
      <c r="A617" t="s">
        <v>29</v>
      </c>
      <c r="B617" s="45">
        <f>INDEX(overview!$B$4:$R$338,MATCH('hydrogen - supply'!B603,overview!$A$4:$A$338,0),MATCH('hydrogen - supply'!A617,overview!$B$3:$R$3,0))</f>
        <v>0</v>
      </c>
    </row>
    <row r="618" spans="1:22" x14ac:dyDescent="0.2">
      <c r="A618" t="s">
        <v>45</v>
      </c>
      <c r="B618" s="66">
        <f>VLOOKUP(B610,parameters!$A$94:$C$96,2,0)</f>
        <v>0.01</v>
      </c>
    </row>
    <row r="619" spans="1:22" x14ac:dyDescent="0.2">
      <c r="A619" t="s">
        <v>1133</v>
      </c>
      <c r="B619" s="49">
        <f>VLOOKUP(B610,parameters!$A$94:$D$96,3,0)</f>
        <v>2.3E-2</v>
      </c>
    </row>
    <row r="620" spans="1:22" x14ac:dyDescent="0.2">
      <c r="B620" s="45"/>
    </row>
    <row r="621" spans="1:22" x14ac:dyDescent="0.2">
      <c r="A621" s="3" t="s">
        <v>57</v>
      </c>
      <c r="B621" s="45"/>
    </row>
    <row r="622" spans="1:22" x14ac:dyDescent="0.2">
      <c r="A622" s="2" t="s">
        <v>58</v>
      </c>
      <c r="B622" s="44" t="s">
        <v>59</v>
      </c>
      <c r="C622" s="2" t="s">
        <v>55</v>
      </c>
      <c r="D622" s="2" t="s">
        <v>60</v>
      </c>
      <c r="E622" s="2" t="s">
        <v>52</v>
      </c>
      <c r="F622" s="2" t="s">
        <v>61</v>
      </c>
      <c r="G622" s="2" t="s">
        <v>54</v>
      </c>
      <c r="H622" s="2" t="s">
        <v>87</v>
      </c>
      <c r="I622" s="2" t="s">
        <v>51</v>
      </c>
      <c r="J622" s="2" t="s">
        <v>138</v>
      </c>
      <c r="K622" s="2" t="s">
        <v>136</v>
      </c>
      <c r="L622" s="2" t="s">
        <v>221</v>
      </c>
      <c r="M622" s="2" t="s">
        <v>379</v>
      </c>
      <c r="N622" s="2" t="s">
        <v>1059</v>
      </c>
      <c r="O622" s="2" t="s">
        <v>1060</v>
      </c>
      <c r="P622" s="2" t="s">
        <v>1061</v>
      </c>
      <c r="Q622" s="2" t="s">
        <v>1062</v>
      </c>
      <c r="R622" s="2" t="s">
        <v>1063</v>
      </c>
      <c r="S622" s="2" t="s">
        <v>1064</v>
      </c>
      <c r="T622" s="2" t="s">
        <v>1065</v>
      </c>
      <c r="U622" s="2" t="s">
        <v>380</v>
      </c>
      <c r="V622" s="2" t="s">
        <v>1128</v>
      </c>
    </row>
    <row r="623" spans="1:22" x14ac:dyDescent="0.2">
      <c r="A623" t="str">
        <f>B599</f>
        <v>hydrogen supply, transported by pipeline, produced by Electrolysis, Alkaline using water and electricity from Solar PV (DE)</v>
      </c>
      <c r="B623" s="45">
        <v>1</v>
      </c>
      <c r="C623" t="str">
        <f>B605</f>
        <v>kilogram</v>
      </c>
      <c r="E623" t="str">
        <f>B602</f>
        <v>CH</v>
      </c>
      <c r="F623" t="s">
        <v>62</v>
      </c>
      <c r="G623" t="str">
        <f>B604</f>
        <v>hydrogen, gaseous, from pipeline</v>
      </c>
      <c r="K623" t="str">
        <f>B599</f>
        <v>hydrogen supply, transported by pipeline, produced by Electrolysis, Alkaline using water and electricity from Solar PV (DE)</v>
      </c>
    </row>
    <row r="624" spans="1:22" x14ac:dyDescent="0.2">
      <c r="A624" t="str">
        <f>VLOOKUP(J624,'dataset mapping'!$A$4:$E$69,2,0)</f>
        <v>hydrogen production, gaseous, 30 bar, from AEC electrolysis, from German solar PV</v>
      </c>
      <c r="B624" s="53">
        <v>1</v>
      </c>
      <c r="C624" t="str">
        <f>VLOOKUP(J624,'dataset mapping'!$A$4:$E$69,5,0)</f>
        <v>kilogram</v>
      </c>
      <c r="E624" t="str">
        <f>VLOOKUP(J624,'dataset mapping'!$A$4:$E$69,4,0)</f>
        <v>DE</v>
      </c>
      <c r="F624" t="s">
        <v>86</v>
      </c>
      <c r="G624" t="str">
        <f>VLOOKUP(J624,'dataset mapping'!$A$4:$E$69,3,0)</f>
        <v>hydrogen, gaseous, 30 bar</v>
      </c>
      <c r="H624" t="s">
        <v>281</v>
      </c>
      <c r="I624" t="s">
        <v>1054</v>
      </c>
      <c r="J624" t="str">
        <f>B614&amp;" - "&amp;B616</f>
        <v>Electrolysis, Alkaline - Solar PV (DE)</v>
      </c>
      <c r="K624" t="str">
        <f>B599</f>
        <v>hydrogen supply, transported by pipeline, produced by Electrolysis, Alkaline using water and electricity from Solar PV (DE)</v>
      </c>
      <c r="L624">
        <f t="shared" ref="L624:L631" si="54">IF(OR(B624&lt;0,B624=0),1,2)</f>
        <v>2</v>
      </c>
      <c r="M624">
        <f t="shared" ref="M624:M631" si="55">IF(L624=2,LN(B624),"")</f>
        <v>0</v>
      </c>
      <c r="N624">
        <v>1.5</v>
      </c>
      <c r="O624" s="15">
        <v>1.2</v>
      </c>
      <c r="P624">
        <v>1.5</v>
      </c>
      <c r="Q624">
        <v>1.1000000000000001</v>
      </c>
      <c r="R624">
        <v>2</v>
      </c>
      <c r="S624">
        <v>1.2</v>
      </c>
      <c r="T624">
        <v>1.05</v>
      </c>
      <c r="U624">
        <f t="shared" ref="U624:U631" si="56">LN(SQRT(EXP(
SQRT(
+POWER(LN(N624),2)
+POWER(LN(O624),2)
+POWER(LN(P624),2)
+POWER(LN(Q624),2)
+POWER(LN(R624),2)
+POWER(LN(S624),2)
+POWER(LN(T624),2)
)
)))</f>
        <v>0.47095746419981693</v>
      </c>
    </row>
    <row r="625" spans="1:21" x14ac:dyDescent="0.2">
      <c r="A625" t="str">
        <f>VLOOKUP(J625,'dataset mapping'!$A$4:$E$69,2,0)</f>
        <v>hydrogen production, gaseous, 30 bar, from AEC electrolysis, from German solar PV</v>
      </c>
      <c r="B625" s="53">
        <f>(B624*B618)+(B619*B624)</f>
        <v>3.3000000000000002E-2</v>
      </c>
      <c r="C625" t="str">
        <f>VLOOKUP(J625,'dataset mapping'!$A$4:$E$69,5,0)</f>
        <v>kilogram</v>
      </c>
      <c r="E625" t="str">
        <f>VLOOKUP(J625,'dataset mapping'!$A$4:$E$69,4,0)</f>
        <v>DE</v>
      </c>
      <c r="F625" t="s">
        <v>86</v>
      </c>
      <c r="G625" t="str">
        <f>VLOOKUP(J625,'dataset mapping'!$A$4:$E$69,3,0)</f>
        <v>hydrogen, gaseous, 30 bar</v>
      </c>
      <c r="H625" t="s">
        <v>76</v>
      </c>
      <c r="I625" t="s">
        <v>1054</v>
      </c>
      <c r="J625" t="str">
        <f>B614&amp;" - "&amp;B616</f>
        <v>Electrolysis, Alkaline - Solar PV (DE)</v>
      </c>
      <c r="K625" t="str">
        <f>B600</f>
        <v>This dataset represents the supply of 1 kilogram of hydrogen. The hydrogen is transported by pipeline over 1000 km from regional storage.  The hydrogen is produced by  Electrolysis, Alkaline,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625">
        <f t="shared" si="54"/>
        <v>2</v>
      </c>
      <c r="M625">
        <f t="shared" si="55"/>
        <v>-3.4112477175156566</v>
      </c>
      <c r="N625">
        <v>1.5</v>
      </c>
      <c r="O625" s="15">
        <v>1.2</v>
      </c>
      <c r="P625">
        <v>1.5</v>
      </c>
      <c r="Q625">
        <v>1.1000000000000001</v>
      </c>
      <c r="R625">
        <v>2</v>
      </c>
      <c r="S625">
        <v>1.2</v>
      </c>
      <c r="T625">
        <v>1.05</v>
      </c>
      <c r="U625">
        <f t="shared" si="56"/>
        <v>0.47095746419981693</v>
      </c>
    </row>
    <row r="626" spans="1:21" x14ac:dyDescent="0.2">
      <c r="A626" t="str">
        <f>VLOOKUP(J626,'dataset mapping'!$A$4:$E$69,2,0)</f>
        <v>distribution pipeline for hydrogen, dedicated hydrogen pipeline</v>
      </c>
      <c r="B626" s="45">
        <f>0.000000000265*SUM(B624:B625)*B611*0.86</f>
        <v>2.354207E-7</v>
      </c>
      <c r="C626" t="str">
        <f>VLOOKUP(J626,'dataset mapping'!$A$4:$E$69,5,0)</f>
        <v>kilometer</v>
      </c>
      <c r="E626" t="str">
        <f>VLOOKUP(J626,'dataset mapping'!$A$4:$E$69,4,0)</f>
        <v>CH</v>
      </c>
      <c r="F626" t="s">
        <v>86</v>
      </c>
      <c r="G626" t="str">
        <f>VLOOKUP(J626,'dataset mapping'!$A$4:$E$69,3,0)</f>
        <v>pipeline, for hydrogen distribution</v>
      </c>
      <c r="H626" t="s">
        <v>88</v>
      </c>
      <c r="I626" t="s">
        <v>1052</v>
      </c>
      <c r="J626" t="s">
        <v>218</v>
      </c>
      <c r="K626" t="str">
        <f>B599</f>
        <v>hydrogen supply, transported by pipeline, produced by Electrolysis, Alkaline using water and electricity from Solar PV (DE)</v>
      </c>
      <c r="L626">
        <f t="shared" si="54"/>
        <v>2</v>
      </c>
      <c r="M626">
        <f t="shared" si="55"/>
        <v>-15.26189171055727</v>
      </c>
      <c r="N626">
        <v>1.5</v>
      </c>
      <c r="O626" s="15">
        <v>1.2</v>
      </c>
      <c r="P626">
        <v>1.5</v>
      </c>
      <c r="Q626">
        <v>1.1000000000000001</v>
      </c>
      <c r="R626">
        <v>2</v>
      </c>
      <c r="S626">
        <v>1.2</v>
      </c>
      <c r="T626">
        <v>3</v>
      </c>
      <c r="U626">
        <f t="shared" si="56"/>
        <v>0.72314801614797197</v>
      </c>
    </row>
    <row r="627" spans="1:21" x14ac:dyDescent="0.2">
      <c r="A627" t="str">
        <f>VLOOKUP(J627,'dataset mapping'!$A$4:$E$69,2,0)</f>
        <v>transmission pipeline for hydrogen, dedicated hydrogen pipeline</v>
      </c>
      <c r="B627" s="45">
        <f>0.000000000265*SUM(B624:B625)*B611*0.14</f>
        <v>3.8324300000000003E-8</v>
      </c>
      <c r="C627" t="str">
        <f>VLOOKUP(J627,'dataset mapping'!$A$4:$E$69,5,0)</f>
        <v>kilometer</v>
      </c>
      <c r="E627" t="str">
        <f>VLOOKUP(J627,'dataset mapping'!$A$4:$E$69,4,0)</f>
        <v>CH</v>
      </c>
      <c r="F627" t="s">
        <v>86</v>
      </c>
      <c r="G627" t="str">
        <f>VLOOKUP(J627,'dataset mapping'!$A$4:$E$69,3,0)</f>
        <v>pipeline, for hydrogen transmission</v>
      </c>
      <c r="H627" t="s">
        <v>88</v>
      </c>
      <c r="I627" t="s">
        <v>1052</v>
      </c>
      <c r="J627" t="s">
        <v>219</v>
      </c>
      <c r="K627" t="str">
        <f>B599</f>
        <v>hydrogen supply, transported by pipeline, produced by Electrolysis, Alkaline using water and electricity from Solar PV (DE)</v>
      </c>
      <c r="L627">
        <f t="shared" si="54"/>
        <v>2</v>
      </c>
      <c r="M627">
        <f t="shared" si="55"/>
        <v>-17.077181677195519</v>
      </c>
      <c r="N627">
        <v>1.5</v>
      </c>
      <c r="O627" s="15">
        <v>1.2</v>
      </c>
      <c r="P627">
        <v>1.5</v>
      </c>
      <c r="Q627">
        <v>1.1000000000000001</v>
      </c>
      <c r="R627">
        <v>2</v>
      </c>
      <c r="S627">
        <v>1.2</v>
      </c>
      <c r="T627">
        <v>3</v>
      </c>
      <c r="U627">
        <f t="shared" si="56"/>
        <v>0.72314801614797197</v>
      </c>
    </row>
    <row r="628" spans="1:21" x14ac:dyDescent="0.2">
      <c r="A628" t="s">
        <v>1038</v>
      </c>
      <c r="B628" s="53">
        <f>SUM(B624:B625)</f>
        <v>1.0329999999999999</v>
      </c>
      <c r="C628" t="str">
        <f>VLOOKUP(J628,'dataset mapping'!$A$4:$E$69,5,0)</f>
        <v>kilogram</v>
      </c>
      <c r="E628" t="s">
        <v>64</v>
      </c>
      <c r="F628" t="s">
        <v>86</v>
      </c>
      <c r="G628" t="s">
        <v>1039</v>
      </c>
      <c r="H628" t="s">
        <v>88</v>
      </c>
      <c r="I628" t="s">
        <v>1040</v>
      </c>
      <c r="J628" t="s">
        <v>229</v>
      </c>
      <c r="K628" t="str">
        <f>B599</f>
        <v>hydrogen supply, transported by pipeline, produced by Electrolysis, Alkaline using water and electricity from Solar PV (DE)</v>
      </c>
      <c r="L628">
        <f t="shared" si="54"/>
        <v>2</v>
      </c>
      <c r="M628">
        <f t="shared" si="55"/>
        <v>3.2467190137501413E-2</v>
      </c>
      <c r="N628">
        <v>1.5</v>
      </c>
      <c r="O628" s="15">
        <v>1.2</v>
      </c>
      <c r="P628">
        <v>1.5</v>
      </c>
      <c r="Q628">
        <v>1.1000000000000001</v>
      </c>
      <c r="R628">
        <v>2</v>
      </c>
      <c r="S628">
        <v>1.2</v>
      </c>
      <c r="T628">
        <v>3</v>
      </c>
      <c r="U628">
        <f t="shared" si="56"/>
        <v>0.72314801614797197</v>
      </c>
    </row>
    <row r="629" spans="1:21" x14ac:dyDescent="0.2">
      <c r="A629" t="s">
        <v>130</v>
      </c>
      <c r="B629" s="52">
        <f>(VLOOKUP(B614,parameters!$A$71:$B$78,2,0)+VLOOKUP(B610,parameters!$A$82:$B$84,2,0)+VLOOKUP(B610,parameters!$A$87:$B$89,2,0))*SUM(B624:B625)</f>
        <v>1.8697299999999999</v>
      </c>
      <c r="C629" t="s">
        <v>92</v>
      </c>
      <c r="E629" t="s">
        <v>64</v>
      </c>
      <c r="F629" t="s">
        <v>86</v>
      </c>
      <c r="G629" t="s">
        <v>93</v>
      </c>
      <c r="H629" t="s">
        <v>78</v>
      </c>
      <c r="I629" t="s">
        <v>1053</v>
      </c>
      <c r="J629" t="s">
        <v>67</v>
      </c>
      <c r="K629" t="str">
        <f>B599</f>
        <v>hydrogen supply, transported by pipeline, produced by Electrolysis, Alkaline using water and electricity from Solar PV (DE)</v>
      </c>
      <c r="L629">
        <f t="shared" si="54"/>
        <v>2</v>
      </c>
      <c r="M629">
        <f t="shared" si="55"/>
        <v>0.62579403541523582</v>
      </c>
      <c r="N629">
        <v>1.5</v>
      </c>
      <c r="O629" s="15">
        <v>1.2</v>
      </c>
      <c r="P629">
        <v>1.5</v>
      </c>
      <c r="Q629">
        <v>1.1000000000000001</v>
      </c>
      <c r="R629">
        <v>2</v>
      </c>
      <c r="S629">
        <v>1.2</v>
      </c>
      <c r="T629">
        <v>1.05</v>
      </c>
      <c r="U629">
        <f t="shared" si="56"/>
        <v>0.47095746419981693</v>
      </c>
    </row>
    <row r="630" spans="1:21" x14ac:dyDescent="0.2">
      <c r="A630" t="s">
        <v>130</v>
      </c>
      <c r="B630" s="52">
        <f>0.6*SUM(B624:B625)*(B611/250)</f>
        <v>2.4791999999999996</v>
      </c>
      <c r="C630" t="s">
        <v>92</v>
      </c>
      <c r="E630" t="s">
        <v>64</v>
      </c>
      <c r="F630" t="s">
        <v>86</v>
      </c>
      <c r="G630" t="s">
        <v>93</v>
      </c>
      <c r="H630" t="s">
        <v>78</v>
      </c>
      <c r="I630" t="s">
        <v>1135</v>
      </c>
      <c r="J630" t="s">
        <v>67</v>
      </c>
      <c r="K630" t="str">
        <f>B600</f>
        <v>This dataset represents the supply of 1 kilogram of hydrogen. The hydrogen is transported by pipeline over 1000 km from regional storage.  The hydrogen is produced by  Electrolysis, Alkaline,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630">
        <f t="shared" si="54"/>
        <v>2</v>
      </c>
      <c r="M630">
        <f t="shared" si="55"/>
        <v>0.90793592749140128</v>
      </c>
      <c r="N630">
        <v>1.5</v>
      </c>
      <c r="O630" s="15">
        <v>1.2</v>
      </c>
      <c r="P630">
        <v>1.5</v>
      </c>
      <c r="Q630">
        <v>1.1000000000000001</v>
      </c>
      <c r="R630">
        <v>2</v>
      </c>
      <c r="S630">
        <v>1.2</v>
      </c>
      <c r="T630">
        <v>1.05</v>
      </c>
      <c r="U630">
        <f t="shared" si="56"/>
        <v>0.47095746419981693</v>
      </c>
    </row>
    <row r="631" spans="1:21" x14ac:dyDescent="0.2">
      <c r="A631" t="s">
        <v>7</v>
      </c>
      <c r="B631" s="53">
        <f>B625</f>
        <v>3.3000000000000002E-2</v>
      </c>
      <c r="C631" t="s">
        <v>56</v>
      </c>
      <c r="D631" t="s">
        <v>100</v>
      </c>
      <c r="F631" t="s">
        <v>99</v>
      </c>
      <c r="H631" t="s">
        <v>131</v>
      </c>
      <c r="I631" t="s">
        <v>160</v>
      </c>
      <c r="K631" t="str">
        <f>B599</f>
        <v>hydrogen supply, transported by pipeline, produced by Electrolysis, Alkaline using water and electricity from Solar PV (DE)</v>
      </c>
      <c r="L631">
        <f t="shared" si="54"/>
        <v>2</v>
      </c>
      <c r="M631">
        <f t="shared" si="55"/>
        <v>-3.4112477175156566</v>
      </c>
      <c r="N631">
        <v>1.5</v>
      </c>
      <c r="O631" s="15">
        <v>1.2</v>
      </c>
      <c r="P631">
        <v>1.5</v>
      </c>
      <c r="Q631">
        <v>1.1000000000000001</v>
      </c>
      <c r="R631">
        <v>2</v>
      </c>
      <c r="S631">
        <v>1.2</v>
      </c>
      <c r="T631">
        <v>1.05</v>
      </c>
      <c r="U631">
        <f t="shared" si="56"/>
        <v>0.47095746419981693</v>
      </c>
    </row>
    <row r="632" spans="1:21" x14ac:dyDescent="0.2">
      <c r="B632" s="45"/>
    </row>
    <row r="633" spans="1:21" x14ac:dyDescent="0.2">
      <c r="A633" s="2" t="s">
        <v>50</v>
      </c>
      <c r="B633" s="44" t="str">
        <f>"hydrogen supply, transported by "&amp;B644&amp;", produced by "&amp;B648&amp;" using "&amp;B649&amp;" from "&amp;B650</f>
        <v>hydrogen supply, transported by train, produced by Electrolysis, Alkaline using water and electricity from Solar PV (DE)</v>
      </c>
    </row>
    <row r="634" spans="1:21" x14ac:dyDescent="0.2">
      <c r="A634" t="s">
        <v>51</v>
      </c>
      <c r="B634" s="45" t="str">
        <f>"This dataset represents the supply of 1 kilogram of hydrogen. The hydrogen is transported by "&amp;B644&amp;" over "&amp;B645&amp;" km from regional storage. "&amp;" The "&amp;B643&amp;" is produced by  "&amp;B648&amp;", with "&amp;B649&amp;" from "&amp;B650&amp;" as feedstock. "&amp;A652&amp;": "&amp;(B652*100)&amp;"%. "&amp;A653&amp;": "&amp;(B653*100)&amp;".  For more information, refer to: "&amp;B635</f>
        <v>This dataset represents the supply of 1 kilogram of hydrogen. The hydrogen is transported by train over 1000 km from regional storage.  The hydrogen is produced by  Electrolysis, Alkaline,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635" spans="1:21" x14ac:dyDescent="0.2">
      <c r="A635" t="s">
        <v>63</v>
      </c>
      <c r="B635" s="45" t="s">
        <v>1223</v>
      </c>
    </row>
    <row r="636" spans="1:21" x14ac:dyDescent="0.2">
      <c r="A636" t="s">
        <v>52</v>
      </c>
      <c r="B636" s="45" t="s">
        <v>64</v>
      </c>
    </row>
    <row r="637" spans="1:21" x14ac:dyDescent="0.2">
      <c r="A637" t="s">
        <v>48</v>
      </c>
      <c r="B637" s="45">
        <v>77</v>
      </c>
    </row>
    <row r="638" spans="1:21" x14ac:dyDescent="0.2">
      <c r="A638" t="s">
        <v>54</v>
      </c>
      <c r="B638" s="45" t="s">
        <v>1137</v>
      </c>
    </row>
    <row r="639" spans="1:21" x14ac:dyDescent="0.2">
      <c r="A639" t="s">
        <v>55</v>
      </c>
      <c r="B639" s="45" t="s">
        <v>56</v>
      </c>
    </row>
    <row r="640" spans="1:21" x14ac:dyDescent="0.2">
      <c r="A640" t="s">
        <v>0</v>
      </c>
      <c r="B640" s="45" t="str">
        <f>INDEX(overview!$B$4:$R$338,MATCH('hydrogen - supply'!B637,overview!$A$4:$A$338,0),MATCH('hydrogen - supply'!A640,overview!$B$3:$R$3,0))</f>
        <v>Switzerland</v>
      </c>
    </row>
    <row r="641" spans="1:22" x14ac:dyDescent="0.2">
      <c r="A641" t="s">
        <v>1</v>
      </c>
      <c r="B641" s="45">
        <f>INDEX(overview!$B$4:$R$338,MATCH('hydrogen - supply'!B637,overview!$A$4:$A$338,0),MATCH('hydrogen - supply'!A641,overview!$B$3:$R$3,0))</f>
        <v>2020</v>
      </c>
    </row>
    <row r="642" spans="1:22" x14ac:dyDescent="0.2">
      <c r="A642" t="s">
        <v>2</v>
      </c>
      <c r="B642" s="45" t="s">
        <v>1130</v>
      </c>
    </row>
    <row r="643" spans="1:22" x14ac:dyDescent="0.2">
      <c r="A643" t="s">
        <v>5</v>
      </c>
      <c r="B643" s="45" t="str">
        <f>INDEX(overview!$B$4:$R$338,MATCH('hydrogen - supply'!B637,overview!$A$4:$A$338,0),MATCH('hydrogen - supply'!A643,overview!$B$3:$R$3,0))</f>
        <v>hydrogen</v>
      </c>
    </row>
    <row r="644" spans="1:22" x14ac:dyDescent="0.2">
      <c r="A644" t="s">
        <v>4</v>
      </c>
      <c r="B644" s="45" t="str">
        <f>INDEX(overview!$B$4:$R$338,MATCH('hydrogen - supply'!B637,overview!$A$4:$A$338,0),MATCH('hydrogen - supply'!A644,overview!$B$3:$R$3,0))</f>
        <v>train</v>
      </c>
    </row>
    <row r="645" spans="1:22" x14ac:dyDescent="0.2">
      <c r="A645" t="s">
        <v>38</v>
      </c>
      <c r="B645" s="45">
        <f>INDEX(overview!$B$4:$R$338,MATCH('hydrogen - supply'!B637,overview!$A$4:$A$338,0),MATCH('hydrogen - supply'!A645,overview!$B$3:$R$3,0))</f>
        <v>1000</v>
      </c>
    </row>
    <row r="646" spans="1:22" x14ac:dyDescent="0.2">
      <c r="A646" t="s">
        <v>12</v>
      </c>
      <c r="B646" s="45" t="str">
        <f>INDEX(overview!$B$4:$R$338,MATCH('hydrogen - supply'!B637,overview!$A$4:$A$338,0),MATCH('hydrogen - supply'!A646,overview!$B$3:$R$3,0))</f>
        <v>Pressure vessel for stationary storage</v>
      </c>
    </row>
    <row r="647" spans="1:22" x14ac:dyDescent="0.2">
      <c r="A647" t="s">
        <v>34</v>
      </c>
      <c r="B647" s="45">
        <f>INDEX(overview!$B$4:$R$338,MATCH('hydrogen - supply'!B637,overview!$A$4:$A$338,0),MATCH('hydrogen - supply'!A647,overview!$B$3:$R$3,0))</f>
        <v>0</v>
      </c>
    </row>
    <row r="648" spans="1:22" x14ac:dyDescent="0.2">
      <c r="A648" t="s">
        <v>15</v>
      </c>
      <c r="B648" s="45" t="str">
        <f>INDEX(overview!$B$4:$R$338,MATCH('hydrogen - supply'!B637,overview!$A$4:$A$338,0),MATCH('hydrogen - supply'!A648,overview!$B$3:$R$3,0))</f>
        <v>Electrolysis, Alkaline</v>
      </c>
    </row>
    <row r="649" spans="1:22" x14ac:dyDescent="0.2">
      <c r="A649" t="s">
        <v>14</v>
      </c>
      <c r="B649" s="45" t="str">
        <f>INDEX(overview!$B$4:$R$338,MATCH('hydrogen - supply'!B637,overview!$A$4:$A$338,0),MATCH('hydrogen - supply'!A649,overview!$B$3:$R$3,0))</f>
        <v>water and electricity</v>
      </c>
    </row>
    <row r="650" spans="1:22" x14ac:dyDescent="0.2">
      <c r="A650" t="s">
        <v>26</v>
      </c>
      <c r="B650" s="45" t="str">
        <f>INDEX(overview!$B$4:$R$338,MATCH('hydrogen - supply'!B637,overview!$A$4:$A$338,0),MATCH('hydrogen - supply'!A650,overview!$B$3:$R$3,0))</f>
        <v>Solar PV (DE)</v>
      </c>
    </row>
    <row r="651" spans="1:22" x14ac:dyDescent="0.2">
      <c r="A651" t="s">
        <v>29</v>
      </c>
      <c r="B651" s="45">
        <f>INDEX(overview!$B$4:$R$338,MATCH('hydrogen - supply'!B637,overview!$A$4:$A$338,0),MATCH('hydrogen - supply'!A651,overview!$B$3:$R$3,0))</f>
        <v>0</v>
      </c>
    </row>
    <row r="652" spans="1:22" x14ac:dyDescent="0.2">
      <c r="A652" t="s">
        <v>45</v>
      </c>
      <c r="B652" s="66">
        <f>VLOOKUP(B644,parameters!$A$94:$C$96,2,0)</f>
        <v>5.0000000000000001E-3</v>
      </c>
    </row>
    <row r="653" spans="1:22" x14ac:dyDescent="0.2">
      <c r="A653" t="s">
        <v>1133</v>
      </c>
      <c r="B653" s="49">
        <f>VLOOKUP(B644,parameters!$A$94:$D$96,3,0)</f>
        <v>2.3E-2</v>
      </c>
    </row>
    <row r="654" spans="1:22" x14ac:dyDescent="0.2">
      <c r="B654" s="45"/>
    </row>
    <row r="655" spans="1:22" x14ac:dyDescent="0.2">
      <c r="A655" s="3" t="s">
        <v>57</v>
      </c>
      <c r="B655" s="45"/>
    </row>
    <row r="656" spans="1:22" x14ac:dyDescent="0.2">
      <c r="A656" s="2" t="s">
        <v>58</v>
      </c>
      <c r="B656" s="44" t="s">
        <v>59</v>
      </c>
      <c r="C656" s="2" t="s">
        <v>55</v>
      </c>
      <c r="D656" s="2" t="s">
        <v>60</v>
      </c>
      <c r="E656" s="2" t="s">
        <v>52</v>
      </c>
      <c r="F656" s="2" t="s">
        <v>61</v>
      </c>
      <c r="G656" s="2" t="s">
        <v>54</v>
      </c>
      <c r="H656" s="2" t="s">
        <v>87</v>
      </c>
      <c r="I656" s="2" t="s">
        <v>51</v>
      </c>
      <c r="J656" s="2" t="s">
        <v>138</v>
      </c>
      <c r="K656" s="2" t="s">
        <v>136</v>
      </c>
      <c r="L656" s="2" t="s">
        <v>221</v>
      </c>
      <c r="M656" s="2" t="s">
        <v>379</v>
      </c>
      <c r="N656" s="2" t="s">
        <v>1059</v>
      </c>
      <c r="O656" s="2" t="s">
        <v>1060</v>
      </c>
      <c r="P656" s="2" t="s">
        <v>1061</v>
      </c>
      <c r="Q656" s="2" t="s">
        <v>1062</v>
      </c>
      <c r="R656" s="2" t="s">
        <v>1063</v>
      </c>
      <c r="S656" s="2" t="s">
        <v>1064</v>
      </c>
      <c r="T656" s="2" t="s">
        <v>1065</v>
      </c>
      <c r="U656" s="2" t="s">
        <v>380</v>
      </c>
      <c r="V656" s="2" t="s">
        <v>1128</v>
      </c>
    </row>
    <row r="657" spans="1:21" x14ac:dyDescent="0.2">
      <c r="A657" t="str">
        <f>B633</f>
        <v>hydrogen supply, transported by train, produced by Electrolysis, Alkaline using water and electricity from Solar PV (DE)</v>
      </c>
      <c r="B657" s="45">
        <v>1</v>
      </c>
      <c r="C657" t="str">
        <f>B639</f>
        <v>kilogram</v>
      </c>
      <c r="E657" t="str">
        <f>B636</f>
        <v>CH</v>
      </c>
      <c r="F657" t="s">
        <v>62</v>
      </c>
      <c r="G657" t="str">
        <f>B638</f>
        <v>hydrogen, gaseous, from truck</v>
      </c>
      <c r="K657" t="str">
        <f>B633</f>
        <v>hydrogen supply, transported by train, produced by Electrolysis, Alkaline using water and electricity from Solar PV (DE)</v>
      </c>
    </row>
    <row r="658" spans="1:21" x14ac:dyDescent="0.2">
      <c r="A658" t="str">
        <f>VLOOKUP(J658,'dataset mapping'!$A$4:$E$69,2,0)</f>
        <v>hydrogen production, gaseous, 30 bar, from AEC electrolysis, from German solar PV</v>
      </c>
      <c r="B658" s="53">
        <v>1</v>
      </c>
      <c r="C658" t="str">
        <f>VLOOKUP(J658,'dataset mapping'!$A$4:$E$69,5,0)</f>
        <v>kilogram</v>
      </c>
      <c r="E658" t="str">
        <f>VLOOKUP(J658,'dataset mapping'!$A$4:$E$69,4,0)</f>
        <v>DE</v>
      </c>
      <c r="F658" t="s">
        <v>86</v>
      </c>
      <c r="G658" t="str">
        <f>VLOOKUP(J658,'dataset mapping'!$A$4:$E$69,3,0)</f>
        <v>hydrogen, gaseous, 30 bar</v>
      </c>
      <c r="H658" t="s">
        <v>281</v>
      </c>
      <c r="I658" t="s">
        <v>1054</v>
      </c>
      <c r="J658" t="str">
        <f>B614&amp;" - "&amp;B616</f>
        <v>Electrolysis, Alkaline - Solar PV (DE)</v>
      </c>
      <c r="K658" t="str">
        <f>B633</f>
        <v>hydrogen supply, transported by train, produced by Electrolysis, Alkaline using water and electricity from Solar PV (DE)</v>
      </c>
      <c r="L658">
        <f>IF(OR(B658&lt;0,B658=0),1,2)</f>
        <v>2</v>
      </c>
      <c r="M658">
        <f>IF(L658=2,LN(B658),"")</f>
        <v>0</v>
      </c>
      <c r="N658">
        <v>1.5</v>
      </c>
      <c r="O658" s="15">
        <v>1.2</v>
      </c>
      <c r="P658">
        <v>1.5</v>
      </c>
      <c r="Q658">
        <v>1.1000000000000001</v>
      </c>
      <c r="R658">
        <v>2</v>
      </c>
      <c r="S658">
        <v>1.2</v>
      </c>
      <c r="T658">
        <v>1.05</v>
      </c>
      <c r="U658">
        <f>LN(SQRT(EXP(
SQRT(
+POWER(LN(N658),2)
+POWER(LN(O658),2)
+POWER(LN(P658),2)
+POWER(LN(Q658),2)
+POWER(LN(R658),2)
+POWER(LN(S658),2)
+POWER(LN(T658),2)
)
)))</f>
        <v>0.47095746419981693</v>
      </c>
    </row>
    <row r="659" spans="1:21" x14ac:dyDescent="0.2">
      <c r="A659" t="str">
        <f>VLOOKUP(J659,'dataset mapping'!$A$4:$E$69,2,0)</f>
        <v>hydrogen production, gaseous, 30 bar, from AEC electrolysis, from German solar PV</v>
      </c>
      <c r="B659" s="53">
        <f>(B658*B652)+(B653*B658)</f>
        <v>2.8000000000000001E-2</v>
      </c>
      <c r="C659" t="str">
        <f>VLOOKUP(J659,'dataset mapping'!$A$4:$E$69,5,0)</f>
        <v>kilogram</v>
      </c>
      <c r="E659" t="str">
        <f>VLOOKUP(J659,'dataset mapping'!$A$4:$E$69,4,0)</f>
        <v>DE</v>
      </c>
      <c r="F659" t="s">
        <v>86</v>
      </c>
      <c r="G659" t="str">
        <f>VLOOKUP(J659,'dataset mapping'!$A$4:$E$69,3,0)</f>
        <v>hydrogen, gaseous, 30 bar</v>
      </c>
      <c r="H659" t="s">
        <v>76</v>
      </c>
      <c r="I659" t="s">
        <v>1054</v>
      </c>
      <c r="J659" t="str">
        <f>B614&amp;" - "&amp;B616</f>
        <v>Electrolysis, Alkaline - Solar PV (DE)</v>
      </c>
      <c r="K659" t="str">
        <f>B634</f>
        <v>This dataset represents the supply of 1 kilogram of hydrogen. The hydrogen is transported by train over 1000 km from regional storage.  The hydrogen is produced by  Electrolysis, Alkaline,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659">
        <f>IF(OR(B659&lt;0,B659=0),1,2)</f>
        <v>2</v>
      </c>
      <c r="M659">
        <f>IF(L659=2,LN(B659),"")</f>
        <v>-3.575550768806933</v>
      </c>
      <c r="N659">
        <v>1.5</v>
      </c>
      <c r="O659" s="15">
        <v>1.2</v>
      </c>
      <c r="P659">
        <v>1.5</v>
      </c>
      <c r="Q659">
        <v>1.1000000000000001</v>
      </c>
      <c r="R659">
        <v>2</v>
      </c>
      <c r="S659">
        <v>1.2</v>
      </c>
      <c r="T659">
        <v>1.05</v>
      </c>
      <c r="U659">
        <f>LN(SQRT(EXP(
SQRT(
+POWER(LN(N659),2)
+POWER(LN(O659),2)
+POWER(LN(P659),2)
+POWER(LN(Q659),2)
+POWER(LN(R659),2)
+POWER(LN(S659),2)
+POWER(LN(T659),2)
)
)))</f>
        <v>0.47095746419981693</v>
      </c>
    </row>
    <row r="660" spans="1:21" x14ac:dyDescent="0.2">
      <c r="A660" t="str">
        <f>VLOOKUP(J660,'dataset mapping'!$A$4:$E$69,2,0)</f>
        <v>market for transport, freight train</v>
      </c>
      <c r="B660" s="45">
        <f>SUM(B658:B659)/1000*B645</f>
        <v>1.028</v>
      </c>
      <c r="C660" t="str">
        <f>VLOOKUP(J660,'dataset mapping'!$A$4:$E$69,5,0)</f>
        <v>ton kilometer</v>
      </c>
      <c r="E660" t="str">
        <f>VLOOKUP(J660,'dataset mapping'!$A$4:$E$69,4,0)</f>
        <v>CH</v>
      </c>
      <c r="F660" t="s">
        <v>86</v>
      </c>
      <c r="G660" t="str">
        <f>VLOOKUP(J660,'dataset mapping'!$A$4:$E$69,3,0)</f>
        <v>transport, freight train</v>
      </c>
      <c r="H660" t="s">
        <v>88</v>
      </c>
      <c r="I660" t="s">
        <v>1052</v>
      </c>
      <c r="J660" t="s">
        <v>295</v>
      </c>
      <c r="K660" t="str">
        <f>B616</f>
        <v>Solar PV (DE)</v>
      </c>
      <c r="L660">
        <f t="shared" ref="L660" si="57">IF(OR(B660&lt;0,B660=0),1,2)</f>
        <v>2</v>
      </c>
      <c r="M660">
        <f t="shared" ref="M660" si="58">IF(L660=2,LN(B660),"")</f>
        <v>2.7615167032973391E-2</v>
      </c>
      <c r="N660">
        <v>1.5</v>
      </c>
      <c r="O660" s="15">
        <v>1.2</v>
      </c>
      <c r="P660">
        <v>1.5</v>
      </c>
      <c r="Q660">
        <v>1.1000000000000001</v>
      </c>
      <c r="R660">
        <v>2</v>
      </c>
      <c r="S660">
        <v>1.2</v>
      </c>
      <c r="T660">
        <v>2</v>
      </c>
      <c r="U660">
        <f t="shared" ref="U660" si="59">LN(SQRT(EXP(
SQRT(
+POWER(LN(N660),2)
+POWER(LN(O660),2)
+POWER(LN(P660),2)
+POWER(LN(Q660),2)
+POWER(LN(R660),2)
+POWER(LN(S660),2)
+POWER(LN(T660),2)
)
)))</f>
        <v>0.58422518478336083</v>
      </c>
    </row>
    <row r="661" spans="1:21" x14ac:dyDescent="0.2">
      <c r="A661" t="s">
        <v>1038</v>
      </c>
      <c r="B661" s="53">
        <f>SUM(B658:B659)</f>
        <v>1.028</v>
      </c>
      <c r="C661" t="str">
        <f>VLOOKUP(J661,'dataset mapping'!$A$4:$E$69,5,0)</f>
        <v>kilogram</v>
      </c>
      <c r="E661" t="s">
        <v>64</v>
      </c>
      <c r="F661" t="s">
        <v>86</v>
      </c>
      <c r="G661" t="s">
        <v>1039</v>
      </c>
      <c r="H661" t="s">
        <v>88</v>
      </c>
      <c r="I661" t="s">
        <v>1040</v>
      </c>
      <c r="J661" t="s">
        <v>229</v>
      </c>
      <c r="K661" t="str">
        <f>B633</f>
        <v>hydrogen supply, transported by train, produced by Electrolysis, Alkaline using water and electricity from Solar PV (DE)</v>
      </c>
      <c r="L661">
        <f>IF(OR(B661&lt;0,B661=0),1,2)</f>
        <v>2</v>
      </c>
      <c r="M661">
        <f>IF(L661=2,LN(B661),"")</f>
        <v>2.7615167032973391E-2</v>
      </c>
      <c r="N661">
        <v>1.5</v>
      </c>
      <c r="O661" s="15">
        <v>1.2</v>
      </c>
      <c r="P661">
        <v>1.5</v>
      </c>
      <c r="Q661">
        <v>1.1000000000000001</v>
      </c>
      <c r="R661">
        <v>2</v>
      </c>
      <c r="S661">
        <v>1.2</v>
      </c>
      <c r="T661">
        <v>3</v>
      </c>
      <c r="U661">
        <f>LN(SQRT(EXP(
SQRT(
+POWER(LN(N661),2)
+POWER(LN(O661),2)
+POWER(LN(P661),2)
+POWER(LN(Q661),2)
+POWER(LN(R661),2)
+POWER(LN(S661),2)
+POWER(LN(T661),2)
)
)))</f>
        <v>0.72314801614797197</v>
      </c>
    </row>
    <row r="662" spans="1:21" x14ac:dyDescent="0.2">
      <c r="A662" t="s">
        <v>130</v>
      </c>
      <c r="B662" s="52">
        <f>(VLOOKUP(B648,parameters!$A$71:$B$78,2,0)+VLOOKUP(B644,parameters!$A$82:$B$84,2,0)+VLOOKUP(B644,parameters!$A$87:$B$89,2,0))*SUM(B658:B659)</f>
        <v>3.4232400000000003</v>
      </c>
      <c r="C662" t="s">
        <v>92</v>
      </c>
      <c r="E662" t="s">
        <v>64</v>
      </c>
      <c r="F662" t="s">
        <v>86</v>
      </c>
      <c r="G662" t="s">
        <v>93</v>
      </c>
      <c r="H662" t="s">
        <v>78</v>
      </c>
      <c r="I662" t="s">
        <v>1053</v>
      </c>
      <c r="J662" t="s">
        <v>67</v>
      </c>
      <c r="K662" t="str">
        <f>B633</f>
        <v>hydrogen supply, transported by train, produced by Electrolysis, Alkaline using water and electricity from Solar PV (DE)</v>
      </c>
      <c r="L662">
        <f>IF(OR(B662&lt;0,B662=0),1,2)</f>
        <v>2</v>
      </c>
      <c r="M662">
        <f>IF(L662=2,LN(B662),"")</f>
        <v>1.230587471025326</v>
      </c>
      <c r="N662">
        <v>1.5</v>
      </c>
      <c r="O662" s="15">
        <v>1.2</v>
      </c>
      <c r="P662">
        <v>1.5</v>
      </c>
      <c r="Q662">
        <v>1.1000000000000001</v>
      </c>
      <c r="R662">
        <v>2</v>
      </c>
      <c r="S662">
        <v>1.2</v>
      </c>
      <c r="T662">
        <v>1.05</v>
      </c>
      <c r="U662">
        <f>LN(SQRT(EXP(
SQRT(
+POWER(LN(N662),2)
+POWER(LN(O662),2)
+POWER(LN(P662),2)
+POWER(LN(Q662),2)
+POWER(LN(R662),2)
+POWER(LN(S662),2)
+POWER(LN(T662),2)
)
)))</f>
        <v>0.47095746419981693</v>
      </c>
    </row>
    <row r="663" spans="1:21" x14ac:dyDescent="0.2">
      <c r="A663" t="s">
        <v>7</v>
      </c>
      <c r="B663" s="53">
        <f>B659</f>
        <v>2.8000000000000001E-2</v>
      </c>
      <c r="C663" t="s">
        <v>56</v>
      </c>
      <c r="D663" t="s">
        <v>100</v>
      </c>
      <c r="F663" t="s">
        <v>99</v>
      </c>
      <c r="H663" t="s">
        <v>131</v>
      </c>
      <c r="I663" t="s">
        <v>160</v>
      </c>
      <c r="K663" t="str">
        <f>B633</f>
        <v>hydrogen supply, transported by train, produced by Electrolysis, Alkaline using water and electricity from Solar PV (DE)</v>
      </c>
      <c r="L663">
        <f>IF(OR(B663&lt;0,B663=0),1,2)</f>
        <v>2</v>
      </c>
      <c r="M663">
        <f>IF(L663=2,LN(B663),"")</f>
        <v>-3.575550768806933</v>
      </c>
      <c r="N663">
        <v>1.5</v>
      </c>
      <c r="O663" s="15">
        <v>1.2</v>
      </c>
      <c r="P663">
        <v>1.5</v>
      </c>
      <c r="Q663">
        <v>1.1000000000000001</v>
      </c>
      <c r="R663">
        <v>2</v>
      </c>
      <c r="S663">
        <v>1.2</v>
      </c>
      <c r="T663">
        <v>1.05</v>
      </c>
      <c r="U663">
        <f>LN(SQRT(EXP(
SQRT(
+POWER(LN(N663),2)
+POWER(LN(O663),2)
+POWER(LN(P663),2)
+POWER(LN(Q663),2)
+POWER(LN(R663),2)
+POWER(LN(S663),2)
+POWER(LN(T663),2)
)
)))</f>
        <v>0.47095746419981693</v>
      </c>
    </row>
    <row r="665" spans="1:21" x14ac:dyDescent="0.2">
      <c r="A665" s="2" t="s">
        <v>50</v>
      </c>
      <c r="B665" s="44" t="str">
        <f>"hydrogen supply, transported by "&amp;B676&amp;", produced by "&amp;B680&amp;" using "&amp;B681&amp;" from "&amp;B682</f>
        <v>hydrogen supply, transported by pipeline, produced by Electrolysis, PEM using water and electricity from Solar PV (DE)</v>
      </c>
    </row>
    <row r="666" spans="1:21" x14ac:dyDescent="0.2">
      <c r="A666" t="s">
        <v>51</v>
      </c>
      <c r="B666" s="45" t="str">
        <f>"This dataset represents the supply of 1 kilogram of hydrogen. The hydrogen is transported by "&amp;B676&amp;" over "&amp;B677&amp;" km from regional storage. "&amp;" The "&amp;B675&amp;" is produced by  "&amp;B680&amp;", with "&amp;B681&amp;" from "&amp;B682&amp;" as feedstock. "&amp;A684&amp;": "&amp;(B684*100)&amp;"%. "&amp;A685&amp;": "&amp;(B685*100)&amp;".  For more information, refer to: "&amp;B667</f>
        <v>This dataset represents the supply of 1 kilogram of hydrogen. The hydrogen is transported by pipeline over 1000 km from regional storage.  The hydrogen is produced by  Electrolysis, PEM,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667" spans="1:21" x14ac:dyDescent="0.2">
      <c r="A667" t="s">
        <v>63</v>
      </c>
      <c r="B667" s="45" t="s">
        <v>1223</v>
      </c>
    </row>
    <row r="668" spans="1:21" x14ac:dyDescent="0.2">
      <c r="A668" t="s">
        <v>52</v>
      </c>
      <c r="B668" s="45" t="s">
        <v>64</v>
      </c>
    </row>
    <row r="669" spans="1:21" x14ac:dyDescent="0.2">
      <c r="A669" t="s">
        <v>48</v>
      </c>
      <c r="B669" s="45">
        <v>81</v>
      </c>
    </row>
    <row r="670" spans="1:21" x14ac:dyDescent="0.2">
      <c r="A670" t="s">
        <v>54</v>
      </c>
      <c r="B670" s="45" t="s">
        <v>1129</v>
      </c>
    </row>
    <row r="671" spans="1:21" x14ac:dyDescent="0.2">
      <c r="A671" t="s">
        <v>55</v>
      </c>
      <c r="B671" s="45" t="s">
        <v>56</v>
      </c>
    </row>
    <row r="672" spans="1:21" x14ac:dyDescent="0.2">
      <c r="A672" t="s">
        <v>0</v>
      </c>
      <c r="B672" s="45" t="str">
        <f>INDEX(overview!$B$4:$R$338,MATCH('hydrogen - supply'!B669,overview!$A$4:$A$338,0),MATCH('hydrogen - supply'!A672,overview!$B$3:$R$3,0))</f>
        <v>Switzerland</v>
      </c>
    </row>
    <row r="673" spans="1:22" x14ac:dyDescent="0.2">
      <c r="A673" t="s">
        <v>1</v>
      </c>
      <c r="B673" s="45">
        <f>INDEX(overview!$B$4:$R$338,MATCH('hydrogen - supply'!B669,overview!$A$4:$A$338,0),MATCH('hydrogen - supply'!A673,overview!$B$3:$R$3,0))</f>
        <v>2020</v>
      </c>
    </row>
    <row r="674" spans="1:22" x14ac:dyDescent="0.2">
      <c r="A674" t="s">
        <v>2</v>
      </c>
      <c r="B674" s="45" t="s">
        <v>1130</v>
      </c>
    </row>
    <row r="675" spans="1:22" x14ac:dyDescent="0.2">
      <c r="A675" t="s">
        <v>5</v>
      </c>
      <c r="B675" s="45" t="str">
        <f>INDEX(overview!$B$4:$R$338,MATCH('hydrogen - supply'!B669,overview!$A$4:$A$338,0),MATCH('hydrogen - supply'!A675,overview!$B$3:$R$3,0))</f>
        <v>hydrogen</v>
      </c>
    </row>
    <row r="676" spans="1:22" x14ac:dyDescent="0.2">
      <c r="A676" t="s">
        <v>4</v>
      </c>
      <c r="B676" s="45" t="str">
        <f>INDEX(overview!$B$4:$R$338,MATCH('hydrogen - supply'!B669,overview!$A$4:$A$338,0),MATCH('hydrogen - supply'!A676,overview!$B$3:$R$3,0))</f>
        <v>pipeline</v>
      </c>
    </row>
    <row r="677" spans="1:22" x14ac:dyDescent="0.2">
      <c r="A677" t="s">
        <v>38</v>
      </c>
      <c r="B677" s="45">
        <f>INDEX(overview!$B$4:$R$338,MATCH('hydrogen - supply'!B669,overview!$A$4:$A$338,0),MATCH('hydrogen - supply'!A677,overview!$B$3:$R$3,0))</f>
        <v>1000</v>
      </c>
    </row>
    <row r="678" spans="1:22" x14ac:dyDescent="0.2">
      <c r="A678" t="s">
        <v>12</v>
      </c>
      <c r="B678" s="45" t="str">
        <f>INDEX(overview!$B$4:$R$338,MATCH('hydrogen - supply'!B669,overview!$A$4:$A$338,0),MATCH('hydrogen - supply'!A678,overview!$B$3:$R$3,0))</f>
        <v>Pressure vessel for stationary storage</v>
      </c>
    </row>
    <row r="679" spans="1:22" x14ac:dyDescent="0.2">
      <c r="A679" t="s">
        <v>34</v>
      </c>
      <c r="B679" s="45">
        <f>INDEX(overview!$B$4:$R$338,MATCH('hydrogen - supply'!B669,overview!$A$4:$A$338,0),MATCH('hydrogen - supply'!A679,overview!$B$3:$R$3,0))</f>
        <v>0</v>
      </c>
    </row>
    <row r="680" spans="1:22" x14ac:dyDescent="0.2">
      <c r="A680" t="s">
        <v>15</v>
      </c>
      <c r="B680" s="45" t="str">
        <f>INDEX(overview!$B$4:$R$338,MATCH('hydrogen - supply'!B669,overview!$A$4:$A$338,0),MATCH('hydrogen - supply'!A680,overview!$B$3:$R$3,0))</f>
        <v>Electrolysis, PEM</v>
      </c>
    </row>
    <row r="681" spans="1:22" x14ac:dyDescent="0.2">
      <c r="A681" t="s">
        <v>14</v>
      </c>
      <c r="B681" s="45" t="str">
        <f>INDEX(overview!$B$4:$R$338,MATCH('hydrogen - supply'!B669,overview!$A$4:$A$338,0),MATCH('hydrogen - supply'!A681,overview!$B$3:$R$3,0))</f>
        <v>water and electricity</v>
      </c>
    </row>
    <row r="682" spans="1:22" x14ac:dyDescent="0.2">
      <c r="A682" t="s">
        <v>26</v>
      </c>
      <c r="B682" s="45" t="str">
        <f>INDEX(overview!$B$4:$R$338,MATCH('hydrogen - supply'!B669,overview!$A$4:$A$338,0),MATCH('hydrogen - supply'!A682,overview!$B$3:$R$3,0))</f>
        <v>Solar PV (DE)</v>
      </c>
    </row>
    <row r="683" spans="1:22" x14ac:dyDescent="0.2">
      <c r="A683" t="s">
        <v>29</v>
      </c>
      <c r="B683" s="45">
        <f>INDEX(overview!$B$4:$R$338,MATCH('hydrogen - supply'!B669,overview!$A$4:$A$338,0),MATCH('hydrogen - supply'!A683,overview!$B$3:$R$3,0))</f>
        <v>0</v>
      </c>
    </row>
    <row r="684" spans="1:22" x14ac:dyDescent="0.2">
      <c r="A684" t="s">
        <v>45</v>
      </c>
      <c r="B684" s="66">
        <f>VLOOKUP(B676,parameters!$A$94:$C$96,2,0)</f>
        <v>0.01</v>
      </c>
    </row>
    <row r="685" spans="1:22" x14ac:dyDescent="0.2">
      <c r="A685" t="s">
        <v>1133</v>
      </c>
      <c r="B685" s="49">
        <f>VLOOKUP(B676,parameters!$A$94:$D$96,3,0)</f>
        <v>2.3E-2</v>
      </c>
    </row>
    <row r="686" spans="1:22" x14ac:dyDescent="0.2">
      <c r="B686" s="45"/>
    </row>
    <row r="687" spans="1:22" x14ac:dyDescent="0.2">
      <c r="A687" s="3" t="s">
        <v>57</v>
      </c>
      <c r="B687" s="45"/>
    </row>
    <row r="688" spans="1:22" x14ac:dyDescent="0.2">
      <c r="A688" s="2" t="s">
        <v>58</v>
      </c>
      <c r="B688" s="44" t="s">
        <v>59</v>
      </c>
      <c r="C688" s="2" t="s">
        <v>55</v>
      </c>
      <c r="D688" s="2" t="s">
        <v>60</v>
      </c>
      <c r="E688" s="2" t="s">
        <v>52</v>
      </c>
      <c r="F688" s="2" t="s">
        <v>61</v>
      </c>
      <c r="G688" s="2" t="s">
        <v>54</v>
      </c>
      <c r="H688" s="2" t="s">
        <v>87</v>
      </c>
      <c r="I688" s="2" t="s">
        <v>51</v>
      </c>
      <c r="J688" s="2" t="s">
        <v>138</v>
      </c>
      <c r="K688" s="2" t="s">
        <v>136</v>
      </c>
      <c r="L688" s="2" t="s">
        <v>221</v>
      </c>
      <c r="M688" s="2" t="s">
        <v>379</v>
      </c>
      <c r="N688" s="2" t="s">
        <v>1059</v>
      </c>
      <c r="O688" s="2" t="s">
        <v>1060</v>
      </c>
      <c r="P688" s="2" t="s">
        <v>1061</v>
      </c>
      <c r="Q688" s="2" t="s">
        <v>1062</v>
      </c>
      <c r="R688" s="2" t="s">
        <v>1063</v>
      </c>
      <c r="S688" s="2" t="s">
        <v>1064</v>
      </c>
      <c r="T688" s="2" t="s">
        <v>1065</v>
      </c>
      <c r="U688" s="2" t="s">
        <v>380</v>
      </c>
      <c r="V688" s="2" t="s">
        <v>1128</v>
      </c>
    </row>
    <row r="689" spans="1:21" x14ac:dyDescent="0.2">
      <c r="A689" t="str">
        <f>B665</f>
        <v>hydrogen supply, transported by pipeline, produced by Electrolysis, PEM using water and electricity from Solar PV (DE)</v>
      </c>
      <c r="B689" s="45">
        <v>1</v>
      </c>
      <c r="C689" t="str">
        <f>B671</f>
        <v>kilogram</v>
      </c>
      <c r="E689" t="str">
        <f>B668</f>
        <v>CH</v>
      </c>
      <c r="F689" t="s">
        <v>62</v>
      </c>
      <c r="G689" t="str">
        <f>B670</f>
        <v>hydrogen, gaseous, from pipeline</v>
      </c>
      <c r="K689" t="str">
        <f>B665</f>
        <v>hydrogen supply, transported by pipeline, produced by Electrolysis, PEM using water and electricity from Solar PV (DE)</v>
      </c>
    </row>
    <row r="690" spans="1:21" x14ac:dyDescent="0.2">
      <c r="A690" t="str">
        <f>VLOOKUP(J690,'dataset mapping'!$A$4:$E$69,2,0)</f>
        <v>hydrogen production, gaseous, 200 bar, from PEM electrolysis, from German solar PV</v>
      </c>
      <c r="B690" s="53">
        <v>1</v>
      </c>
      <c r="C690" t="str">
        <f>VLOOKUP(J690,'dataset mapping'!$A$4:$E$69,5,0)</f>
        <v>kilogram</v>
      </c>
      <c r="E690" t="str">
        <f>VLOOKUP(J690,'dataset mapping'!$A$4:$E$69,4,0)</f>
        <v>DE</v>
      </c>
      <c r="F690" t="s">
        <v>86</v>
      </c>
      <c r="G690" t="str">
        <f>VLOOKUP(J690,'dataset mapping'!$A$4:$E$69,3,0)</f>
        <v>hydrogen, gaseous, 200 bar</v>
      </c>
      <c r="H690" t="s">
        <v>281</v>
      </c>
      <c r="I690" t="s">
        <v>1054</v>
      </c>
      <c r="J690" t="str">
        <f>B680&amp;" - "&amp;B682</f>
        <v>Electrolysis, PEM - Solar PV (DE)</v>
      </c>
      <c r="K690" t="str">
        <f>B665</f>
        <v>hydrogen supply, transported by pipeline, produced by Electrolysis, PEM using water and electricity from Solar PV (DE)</v>
      </c>
      <c r="L690">
        <f t="shared" ref="L690:L697" si="60">IF(OR(B690&lt;0,B690=0),1,2)</f>
        <v>2</v>
      </c>
      <c r="M690">
        <f t="shared" ref="M690:M697" si="61">IF(L690=2,LN(B690),"")</f>
        <v>0</v>
      </c>
      <c r="N690">
        <v>1.5</v>
      </c>
      <c r="O690" s="15">
        <v>1.2</v>
      </c>
      <c r="P690">
        <v>1.5</v>
      </c>
      <c r="Q690">
        <v>1.1000000000000001</v>
      </c>
      <c r="R690">
        <v>2</v>
      </c>
      <c r="S690">
        <v>1.2</v>
      </c>
      <c r="T690">
        <v>1.05</v>
      </c>
      <c r="U690">
        <f t="shared" ref="U690:U697" si="62">LN(SQRT(EXP(
SQRT(
+POWER(LN(N690),2)
+POWER(LN(O690),2)
+POWER(LN(P690),2)
+POWER(LN(Q690),2)
+POWER(LN(R690),2)
+POWER(LN(S690),2)
+POWER(LN(T690),2)
)
)))</f>
        <v>0.47095746419981693</v>
      </c>
    </row>
    <row r="691" spans="1:21" x14ac:dyDescent="0.2">
      <c r="A691" t="str">
        <f>VLOOKUP(J691,'dataset mapping'!$A$4:$E$69,2,0)</f>
        <v>hydrogen production, gaseous, 200 bar, from PEM electrolysis, from German solar PV</v>
      </c>
      <c r="B691" s="53">
        <f>(B690*B684)+(B685*B690)</f>
        <v>3.3000000000000002E-2</v>
      </c>
      <c r="C691" t="str">
        <f>VLOOKUP(J691,'dataset mapping'!$A$4:$E$69,5,0)</f>
        <v>kilogram</v>
      </c>
      <c r="E691" t="str">
        <f>VLOOKUP(J691,'dataset mapping'!$A$4:$E$69,4,0)</f>
        <v>DE</v>
      </c>
      <c r="F691" t="s">
        <v>86</v>
      </c>
      <c r="G691" t="str">
        <f>VLOOKUP(J691,'dataset mapping'!$A$4:$E$69,3,0)</f>
        <v>hydrogen, gaseous, 200 bar</v>
      </c>
      <c r="H691" t="s">
        <v>76</v>
      </c>
      <c r="I691" t="s">
        <v>1054</v>
      </c>
      <c r="J691" t="str">
        <f>B680&amp;" - "&amp;B682</f>
        <v>Electrolysis, PEM - Solar PV (DE)</v>
      </c>
      <c r="K691" t="str">
        <f>B666</f>
        <v>This dataset represents the supply of 1 kilogram of hydrogen. The hydrogen is transported by pipeline over 1000 km from regional storage.  The hydrogen is produced by  Electrolysis, PEM,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691">
        <f t="shared" si="60"/>
        <v>2</v>
      </c>
      <c r="M691">
        <f t="shared" si="61"/>
        <v>-3.4112477175156566</v>
      </c>
      <c r="N691">
        <v>1.5</v>
      </c>
      <c r="O691" s="15">
        <v>1.2</v>
      </c>
      <c r="P691">
        <v>1.5</v>
      </c>
      <c r="Q691">
        <v>1.1000000000000001</v>
      </c>
      <c r="R691">
        <v>2</v>
      </c>
      <c r="S691">
        <v>1.2</v>
      </c>
      <c r="T691">
        <v>1.05</v>
      </c>
      <c r="U691">
        <f t="shared" si="62"/>
        <v>0.47095746419981693</v>
      </c>
    </row>
    <row r="692" spans="1:21" x14ac:dyDescent="0.2">
      <c r="A692" t="str">
        <f>VLOOKUP(J692,'dataset mapping'!$A$4:$E$69,2,0)</f>
        <v>distribution pipeline for hydrogen, dedicated hydrogen pipeline</v>
      </c>
      <c r="B692" s="45">
        <f>0.000000000265*SUM(B690:B691)*B677*0.86</f>
        <v>2.354207E-7</v>
      </c>
      <c r="C692" t="str">
        <f>VLOOKUP(J692,'dataset mapping'!$A$4:$E$69,5,0)</f>
        <v>kilometer</v>
      </c>
      <c r="E692" t="str">
        <f>VLOOKUP(J692,'dataset mapping'!$A$4:$E$69,4,0)</f>
        <v>CH</v>
      </c>
      <c r="F692" t="s">
        <v>86</v>
      </c>
      <c r="G692" t="str">
        <f>VLOOKUP(J692,'dataset mapping'!$A$4:$E$69,3,0)</f>
        <v>pipeline, for hydrogen distribution</v>
      </c>
      <c r="H692" t="s">
        <v>88</v>
      </c>
      <c r="I692" t="s">
        <v>1052</v>
      </c>
      <c r="J692" t="s">
        <v>218</v>
      </c>
      <c r="K692" t="str">
        <f>B665</f>
        <v>hydrogen supply, transported by pipeline, produced by Electrolysis, PEM using water and electricity from Solar PV (DE)</v>
      </c>
      <c r="L692">
        <f t="shared" si="60"/>
        <v>2</v>
      </c>
      <c r="M692">
        <f t="shared" si="61"/>
        <v>-15.26189171055727</v>
      </c>
      <c r="N692">
        <v>1.5</v>
      </c>
      <c r="O692" s="15">
        <v>1.2</v>
      </c>
      <c r="P692">
        <v>1.5</v>
      </c>
      <c r="Q692">
        <v>1.1000000000000001</v>
      </c>
      <c r="R692">
        <v>2</v>
      </c>
      <c r="S692">
        <v>1.2</v>
      </c>
      <c r="T692">
        <v>3</v>
      </c>
      <c r="U692">
        <f t="shared" si="62"/>
        <v>0.72314801614797197</v>
      </c>
    </row>
    <row r="693" spans="1:21" x14ac:dyDescent="0.2">
      <c r="A693" t="str">
        <f>VLOOKUP(J693,'dataset mapping'!$A$4:$E$69,2,0)</f>
        <v>transmission pipeline for hydrogen, dedicated hydrogen pipeline</v>
      </c>
      <c r="B693" s="45">
        <f>0.000000000265*SUM(B690:B691)*B677*0.14</f>
        <v>3.8324300000000003E-8</v>
      </c>
      <c r="C693" t="str">
        <f>VLOOKUP(J693,'dataset mapping'!$A$4:$E$69,5,0)</f>
        <v>kilometer</v>
      </c>
      <c r="E693" t="str">
        <f>VLOOKUP(J693,'dataset mapping'!$A$4:$E$69,4,0)</f>
        <v>CH</v>
      </c>
      <c r="F693" t="s">
        <v>86</v>
      </c>
      <c r="G693" t="str">
        <f>VLOOKUP(J693,'dataset mapping'!$A$4:$E$69,3,0)</f>
        <v>pipeline, for hydrogen transmission</v>
      </c>
      <c r="H693" t="s">
        <v>88</v>
      </c>
      <c r="I693" t="s">
        <v>1052</v>
      </c>
      <c r="J693" t="s">
        <v>219</v>
      </c>
      <c r="K693" t="str">
        <f>B665</f>
        <v>hydrogen supply, transported by pipeline, produced by Electrolysis, PEM using water and electricity from Solar PV (DE)</v>
      </c>
      <c r="L693">
        <f t="shared" si="60"/>
        <v>2</v>
      </c>
      <c r="M693">
        <f t="shared" si="61"/>
        <v>-17.077181677195519</v>
      </c>
      <c r="N693">
        <v>1.5</v>
      </c>
      <c r="O693" s="15">
        <v>1.2</v>
      </c>
      <c r="P693">
        <v>1.5</v>
      </c>
      <c r="Q693">
        <v>1.1000000000000001</v>
      </c>
      <c r="R693">
        <v>2</v>
      </c>
      <c r="S693">
        <v>1.2</v>
      </c>
      <c r="T693">
        <v>3</v>
      </c>
      <c r="U693">
        <f t="shared" si="62"/>
        <v>0.72314801614797197</v>
      </c>
    </row>
    <row r="694" spans="1:21" x14ac:dyDescent="0.2">
      <c r="A694" t="s">
        <v>1038</v>
      </c>
      <c r="B694" s="53">
        <f>SUM(B690:B691)</f>
        <v>1.0329999999999999</v>
      </c>
      <c r="C694" t="str">
        <f>VLOOKUP(J694,'dataset mapping'!$A$4:$E$69,5,0)</f>
        <v>kilogram</v>
      </c>
      <c r="E694" t="s">
        <v>64</v>
      </c>
      <c r="F694" t="s">
        <v>86</v>
      </c>
      <c r="G694" t="s">
        <v>1039</v>
      </c>
      <c r="H694" t="s">
        <v>88</v>
      </c>
      <c r="I694" t="s">
        <v>1040</v>
      </c>
      <c r="J694" t="s">
        <v>229</v>
      </c>
      <c r="K694" t="str">
        <f>B665</f>
        <v>hydrogen supply, transported by pipeline, produced by Electrolysis, PEM using water and electricity from Solar PV (DE)</v>
      </c>
      <c r="L694">
        <f t="shared" si="60"/>
        <v>2</v>
      </c>
      <c r="M694">
        <f t="shared" si="61"/>
        <v>3.2467190137501413E-2</v>
      </c>
      <c r="N694">
        <v>1.5</v>
      </c>
      <c r="O694" s="15">
        <v>1.2</v>
      </c>
      <c r="P694">
        <v>1.5</v>
      </c>
      <c r="Q694">
        <v>1.1000000000000001</v>
      </c>
      <c r="R694">
        <v>2</v>
      </c>
      <c r="S694">
        <v>1.2</v>
      </c>
      <c r="T694">
        <v>3</v>
      </c>
      <c r="U694">
        <f t="shared" si="62"/>
        <v>0.72314801614797197</v>
      </c>
    </row>
    <row r="695" spans="1:21" x14ac:dyDescent="0.2">
      <c r="A695" t="s">
        <v>130</v>
      </c>
      <c r="B695" s="52">
        <f>(VLOOKUP(B680,parameters!$A$71:$B$78,2,0)+VLOOKUP(B676,parameters!$A$82:$B$84,2,0)+VLOOKUP(B676,parameters!$A$87:$B$89,2,0))*SUM(B690:B691)</f>
        <v>0.51649999999999996</v>
      </c>
      <c r="C695" t="s">
        <v>92</v>
      </c>
      <c r="E695" t="s">
        <v>64</v>
      </c>
      <c r="F695" t="s">
        <v>86</v>
      </c>
      <c r="G695" t="s">
        <v>93</v>
      </c>
      <c r="H695" t="s">
        <v>78</v>
      </c>
      <c r="I695" t="s">
        <v>1053</v>
      </c>
      <c r="J695" t="s">
        <v>67</v>
      </c>
      <c r="K695" t="str">
        <f>B665</f>
        <v>hydrogen supply, transported by pipeline, produced by Electrolysis, PEM using water and electricity from Solar PV (DE)</v>
      </c>
      <c r="L695">
        <f t="shared" si="60"/>
        <v>2</v>
      </c>
      <c r="M695">
        <f t="shared" si="61"/>
        <v>-0.66067999042244385</v>
      </c>
      <c r="N695">
        <v>1.5</v>
      </c>
      <c r="O695" s="15">
        <v>1.2</v>
      </c>
      <c r="P695">
        <v>1.5</v>
      </c>
      <c r="Q695">
        <v>1.1000000000000001</v>
      </c>
      <c r="R695">
        <v>2</v>
      </c>
      <c r="S695">
        <v>1.2</v>
      </c>
      <c r="T695">
        <v>1.05</v>
      </c>
      <c r="U695">
        <f t="shared" si="62"/>
        <v>0.47095746419981693</v>
      </c>
    </row>
    <row r="696" spans="1:21" x14ac:dyDescent="0.2">
      <c r="A696" t="s">
        <v>130</v>
      </c>
      <c r="B696" s="52">
        <f>0.6*SUM(B690:B691)*(B677/250)</f>
        <v>2.4791999999999996</v>
      </c>
      <c r="C696" t="s">
        <v>92</v>
      </c>
      <c r="E696" t="s">
        <v>64</v>
      </c>
      <c r="F696" t="s">
        <v>86</v>
      </c>
      <c r="G696" t="s">
        <v>93</v>
      </c>
      <c r="H696" t="s">
        <v>78</v>
      </c>
      <c r="I696" t="s">
        <v>1135</v>
      </c>
      <c r="J696" t="s">
        <v>67</v>
      </c>
      <c r="K696" t="str">
        <f>B666</f>
        <v>This dataset represents the supply of 1 kilogram of hydrogen. The hydrogen is transported by pipeline over 1000 km from regional storage.  The hydrogen is produced by  Electrolysis, PEM,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696">
        <f t="shared" si="60"/>
        <v>2</v>
      </c>
      <c r="M696">
        <f t="shared" si="61"/>
        <v>0.90793592749140128</v>
      </c>
      <c r="N696">
        <v>1.5</v>
      </c>
      <c r="O696" s="15">
        <v>1.2</v>
      </c>
      <c r="P696">
        <v>1.5</v>
      </c>
      <c r="Q696">
        <v>1.1000000000000001</v>
      </c>
      <c r="R696">
        <v>2</v>
      </c>
      <c r="S696">
        <v>1.2</v>
      </c>
      <c r="T696">
        <v>1.05</v>
      </c>
      <c r="U696">
        <f t="shared" si="62"/>
        <v>0.47095746419981693</v>
      </c>
    </row>
    <row r="697" spans="1:21" x14ac:dyDescent="0.2">
      <c r="A697" t="s">
        <v>7</v>
      </c>
      <c r="B697" s="53">
        <f>B691</f>
        <v>3.3000000000000002E-2</v>
      </c>
      <c r="C697" t="s">
        <v>56</v>
      </c>
      <c r="D697" t="s">
        <v>100</v>
      </c>
      <c r="F697" t="s">
        <v>99</v>
      </c>
      <c r="H697" t="s">
        <v>131</v>
      </c>
      <c r="I697" t="s">
        <v>160</v>
      </c>
      <c r="K697" t="str">
        <f>B665</f>
        <v>hydrogen supply, transported by pipeline, produced by Electrolysis, PEM using water and electricity from Solar PV (DE)</v>
      </c>
      <c r="L697">
        <f t="shared" si="60"/>
        <v>2</v>
      </c>
      <c r="M697">
        <f t="shared" si="61"/>
        <v>-3.4112477175156566</v>
      </c>
      <c r="N697">
        <v>1.5</v>
      </c>
      <c r="O697" s="15">
        <v>1.2</v>
      </c>
      <c r="P697">
        <v>1.5</v>
      </c>
      <c r="Q697">
        <v>1.1000000000000001</v>
      </c>
      <c r="R697">
        <v>2</v>
      </c>
      <c r="S697">
        <v>1.2</v>
      </c>
      <c r="T697">
        <v>1.05</v>
      </c>
      <c r="U697">
        <f t="shared" si="62"/>
        <v>0.47095746419981693</v>
      </c>
    </row>
    <row r="698" spans="1:21" x14ac:dyDescent="0.2">
      <c r="B698" s="45"/>
    </row>
    <row r="699" spans="1:21" x14ac:dyDescent="0.2">
      <c r="A699" s="2" t="s">
        <v>50</v>
      </c>
      <c r="B699" s="44" t="str">
        <f>"hydrogen supply, transported by "&amp;B710&amp;", produced by "&amp;B714&amp;" using "&amp;B715&amp;" from "&amp;B716</f>
        <v>hydrogen supply, transported by train, produced by Electrolysis, PEM using water and electricity from Solar PV (DE)</v>
      </c>
    </row>
    <row r="700" spans="1:21" x14ac:dyDescent="0.2">
      <c r="A700" t="s">
        <v>51</v>
      </c>
      <c r="B700" s="45" t="str">
        <f>"This dataset represents the supply of 1 kilogram of hydrogen. The hydrogen is transported by "&amp;B710&amp;" over "&amp;B711&amp;" km from regional storage. "&amp;" The "&amp;B709&amp;" is produced by  "&amp;B714&amp;", with "&amp;B715&amp;" from "&amp;B716&amp;" as feedstock. "&amp;A718&amp;": "&amp;(B718*100)&amp;"%. "&amp;A719&amp;": "&amp;(B719*100)&amp;".  For more information, refer to: "&amp;B701</f>
        <v>This dataset represents the supply of 1 kilogram of hydrogen. The hydrogen is transported by train over 1000 km from regional storage.  The hydrogen is produced by  Electrolysis, PEM,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701" spans="1:21" x14ac:dyDescent="0.2">
      <c r="A701" t="s">
        <v>63</v>
      </c>
      <c r="B701" s="45" t="s">
        <v>1223</v>
      </c>
    </row>
    <row r="702" spans="1:21" x14ac:dyDescent="0.2">
      <c r="A702" t="s">
        <v>52</v>
      </c>
      <c r="B702" s="45" t="s">
        <v>64</v>
      </c>
    </row>
    <row r="703" spans="1:21" x14ac:dyDescent="0.2">
      <c r="A703" t="s">
        <v>48</v>
      </c>
      <c r="B703" s="45">
        <v>85</v>
      </c>
    </row>
    <row r="704" spans="1:21" x14ac:dyDescent="0.2">
      <c r="A704" t="s">
        <v>54</v>
      </c>
      <c r="B704" s="45" t="s">
        <v>1137</v>
      </c>
    </row>
    <row r="705" spans="1:2" x14ac:dyDescent="0.2">
      <c r="A705" t="s">
        <v>55</v>
      </c>
      <c r="B705" s="45" t="s">
        <v>56</v>
      </c>
    </row>
    <row r="706" spans="1:2" x14ac:dyDescent="0.2">
      <c r="A706" t="s">
        <v>0</v>
      </c>
      <c r="B706" s="45" t="str">
        <f>INDEX(overview!$B$4:$R$338,MATCH('hydrogen - supply'!B703,overview!$A$4:$A$338,0),MATCH('hydrogen - supply'!A706,overview!$B$3:$R$3,0))</f>
        <v>Switzerland</v>
      </c>
    </row>
    <row r="707" spans="1:2" x14ac:dyDescent="0.2">
      <c r="A707" t="s">
        <v>1</v>
      </c>
      <c r="B707" s="45">
        <f>INDEX(overview!$B$4:$R$338,MATCH('hydrogen - supply'!B703,overview!$A$4:$A$338,0),MATCH('hydrogen - supply'!A707,overview!$B$3:$R$3,0))</f>
        <v>2020</v>
      </c>
    </row>
    <row r="708" spans="1:2" x14ac:dyDescent="0.2">
      <c r="A708" t="s">
        <v>2</v>
      </c>
      <c r="B708" s="45" t="s">
        <v>1130</v>
      </c>
    </row>
    <row r="709" spans="1:2" x14ac:dyDescent="0.2">
      <c r="A709" t="s">
        <v>5</v>
      </c>
      <c r="B709" s="45" t="str">
        <f>INDEX(overview!$B$4:$R$338,MATCH('hydrogen - supply'!B703,overview!$A$4:$A$338,0),MATCH('hydrogen - supply'!A709,overview!$B$3:$R$3,0))</f>
        <v>hydrogen</v>
      </c>
    </row>
    <row r="710" spans="1:2" x14ac:dyDescent="0.2">
      <c r="A710" t="s">
        <v>4</v>
      </c>
      <c r="B710" s="45" t="str">
        <f>INDEX(overview!$B$4:$R$338,MATCH('hydrogen - supply'!B703,overview!$A$4:$A$338,0),MATCH('hydrogen - supply'!A710,overview!$B$3:$R$3,0))</f>
        <v>train</v>
      </c>
    </row>
    <row r="711" spans="1:2" x14ac:dyDescent="0.2">
      <c r="A711" t="s">
        <v>38</v>
      </c>
      <c r="B711" s="45">
        <f>INDEX(overview!$B$4:$R$338,MATCH('hydrogen - supply'!B703,overview!$A$4:$A$338,0),MATCH('hydrogen - supply'!A711,overview!$B$3:$R$3,0))</f>
        <v>1000</v>
      </c>
    </row>
    <row r="712" spans="1:2" x14ac:dyDescent="0.2">
      <c r="A712" t="s">
        <v>12</v>
      </c>
      <c r="B712" s="45" t="str">
        <f>INDEX(overview!$B$4:$R$338,MATCH('hydrogen - supply'!B703,overview!$A$4:$A$338,0),MATCH('hydrogen - supply'!A712,overview!$B$3:$R$3,0))</f>
        <v>Pressure vessel for stationary storage</v>
      </c>
    </row>
    <row r="713" spans="1:2" x14ac:dyDescent="0.2">
      <c r="A713" t="s">
        <v>34</v>
      </c>
      <c r="B713" s="45">
        <f>INDEX(overview!$B$4:$R$338,MATCH('hydrogen - supply'!B703,overview!$A$4:$A$338,0),MATCH('hydrogen - supply'!A713,overview!$B$3:$R$3,0))</f>
        <v>0</v>
      </c>
    </row>
    <row r="714" spans="1:2" x14ac:dyDescent="0.2">
      <c r="A714" t="s">
        <v>15</v>
      </c>
      <c r="B714" s="45" t="str">
        <f>INDEX(overview!$B$4:$R$338,MATCH('hydrogen - supply'!B703,overview!$A$4:$A$338,0),MATCH('hydrogen - supply'!A714,overview!$B$3:$R$3,0))</f>
        <v>Electrolysis, PEM</v>
      </c>
    </row>
    <row r="715" spans="1:2" x14ac:dyDescent="0.2">
      <c r="A715" t="s">
        <v>14</v>
      </c>
      <c r="B715" s="45" t="str">
        <f>INDEX(overview!$B$4:$R$338,MATCH('hydrogen - supply'!B703,overview!$A$4:$A$338,0),MATCH('hydrogen - supply'!A715,overview!$B$3:$R$3,0))</f>
        <v>water and electricity</v>
      </c>
    </row>
    <row r="716" spans="1:2" x14ac:dyDescent="0.2">
      <c r="A716" t="s">
        <v>26</v>
      </c>
      <c r="B716" s="45" t="str">
        <f>INDEX(overview!$B$4:$R$338,MATCH('hydrogen - supply'!B703,overview!$A$4:$A$338,0),MATCH('hydrogen - supply'!A716,overview!$B$3:$R$3,0))</f>
        <v>Solar PV (DE)</v>
      </c>
    </row>
    <row r="717" spans="1:2" x14ac:dyDescent="0.2">
      <c r="A717" t="s">
        <v>29</v>
      </c>
      <c r="B717" s="45">
        <f>INDEX(overview!$B$4:$R$338,MATCH('hydrogen - supply'!B703,overview!$A$4:$A$338,0),MATCH('hydrogen - supply'!A717,overview!$B$3:$R$3,0))</f>
        <v>0</v>
      </c>
    </row>
    <row r="718" spans="1:2" x14ac:dyDescent="0.2">
      <c r="A718" t="s">
        <v>45</v>
      </c>
      <c r="B718" s="66">
        <f>VLOOKUP(B710,parameters!$A$94:$C$96,2,0)</f>
        <v>5.0000000000000001E-3</v>
      </c>
    </row>
    <row r="719" spans="1:2" x14ac:dyDescent="0.2">
      <c r="A719" t="s">
        <v>1133</v>
      </c>
      <c r="B719" s="49">
        <f>VLOOKUP(B710,parameters!$A$94:$D$96,3,0)</f>
        <v>2.3E-2</v>
      </c>
    </row>
    <row r="720" spans="1:2" x14ac:dyDescent="0.2">
      <c r="B720" s="45"/>
    </row>
    <row r="721" spans="1:22" x14ac:dyDescent="0.2">
      <c r="A721" s="3" t="s">
        <v>57</v>
      </c>
      <c r="B721" s="45"/>
    </row>
    <row r="722" spans="1:22" x14ac:dyDescent="0.2">
      <c r="A722" s="2" t="s">
        <v>58</v>
      </c>
      <c r="B722" s="44" t="s">
        <v>59</v>
      </c>
      <c r="C722" s="2" t="s">
        <v>55</v>
      </c>
      <c r="D722" s="2" t="s">
        <v>60</v>
      </c>
      <c r="E722" s="2" t="s">
        <v>52</v>
      </c>
      <c r="F722" s="2" t="s">
        <v>61</v>
      </c>
      <c r="G722" s="2" t="s">
        <v>54</v>
      </c>
      <c r="H722" s="2" t="s">
        <v>87</v>
      </c>
      <c r="I722" s="2" t="s">
        <v>51</v>
      </c>
      <c r="J722" s="2" t="s">
        <v>138</v>
      </c>
      <c r="K722" s="2" t="s">
        <v>136</v>
      </c>
      <c r="L722" s="2" t="s">
        <v>221</v>
      </c>
      <c r="M722" s="2" t="s">
        <v>379</v>
      </c>
      <c r="N722" s="2" t="s">
        <v>1059</v>
      </c>
      <c r="O722" s="2" t="s">
        <v>1060</v>
      </c>
      <c r="P722" s="2" t="s">
        <v>1061</v>
      </c>
      <c r="Q722" s="2" t="s">
        <v>1062</v>
      </c>
      <c r="R722" s="2" t="s">
        <v>1063</v>
      </c>
      <c r="S722" s="2" t="s">
        <v>1064</v>
      </c>
      <c r="T722" s="2" t="s">
        <v>1065</v>
      </c>
      <c r="U722" s="2" t="s">
        <v>380</v>
      </c>
      <c r="V722" s="2" t="s">
        <v>1128</v>
      </c>
    </row>
    <row r="723" spans="1:22" x14ac:dyDescent="0.2">
      <c r="A723" t="str">
        <f>B699</f>
        <v>hydrogen supply, transported by train, produced by Electrolysis, PEM using water and electricity from Solar PV (DE)</v>
      </c>
      <c r="B723" s="45">
        <v>1</v>
      </c>
      <c r="C723" t="str">
        <f>B705</f>
        <v>kilogram</v>
      </c>
      <c r="E723" t="str">
        <f>B702</f>
        <v>CH</v>
      </c>
      <c r="F723" t="s">
        <v>62</v>
      </c>
      <c r="G723" t="str">
        <f>B704</f>
        <v>hydrogen, gaseous, from truck</v>
      </c>
      <c r="K723" t="str">
        <f>B699</f>
        <v>hydrogen supply, transported by train, produced by Electrolysis, PEM using water and electricity from Solar PV (DE)</v>
      </c>
    </row>
    <row r="724" spans="1:22" x14ac:dyDescent="0.2">
      <c r="A724" t="str">
        <f>VLOOKUP(J724,'dataset mapping'!$A$4:$E$69,2,0)</f>
        <v>hydrogen production, gaseous, 200 bar, from PEM electrolysis, from German solar PV</v>
      </c>
      <c r="B724" s="53">
        <v>1</v>
      </c>
      <c r="C724" t="str">
        <f>VLOOKUP(J724,'dataset mapping'!$A$4:$E$69,5,0)</f>
        <v>kilogram</v>
      </c>
      <c r="E724" t="str">
        <f>VLOOKUP(J724,'dataset mapping'!$A$4:$E$69,4,0)</f>
        <v>DE</v>
      </c>
      <c r="F724" t="s">
        <v>86</v>
      </c>
      <c r="G724" t="str">
        <f>VLOOKUP(J724,'dataset mapping'!$A$4:$E$69,3,0)</f>
        <v>hydrogen, gaseous, 200 bar</v>
      </c>
      <c r="H724" t="s">
        <v>281</v>
      </c>
      <c r="I724" t="s">
        <v>1054</v>
      </c>
      <c r="J724" t="str">
        <f>B680&amp;" - "&amp;B682</f>
        <v>Electrolysis, PEM - Solar PV (DE)</v>
      </c>
      <c r="K724" t="str">
        <f>B699</f>
        <v>hydrogen supply, transported by train, produced by Electrolysis, PEM using water and electricity from Solar PV (DE)</v>
      </c>
      <c r="L724">
        <f>IF(OR(B724&lt;0,B724=0),1,2)</f>
        <v>2</v>
      </c>
      <c r="M724">
        <f>IF(L724=2,LN(B724),"")</f>
        <v>0</v>
      </c>
      <c r="N724">
        <v>1.5</v>
      </c>
      <c r="O724" s="15">
        <v>1.2</v>
      </c>
      <c r="P724">
        <v>1.5</v>
      </c>
      <c r="Q724">
        <v>1.1000000000000001</v>
      </c>
      <c r="R724">
        <v>2</v>
      </c>
      <c r="S724">
        <v>1.2</v>
      </c>
      <c r="T724">
        <v>1.05</v>
      </c>
      <c r="U724">
        <f>LN(SQRT(EXP(
SQRT(
+POWER(LN(N724),2)
+POWER(LN(O724),2)
+POWER(LN(P724),2)
+POWER(LN(Q724),2)
+POWER(LN(R724),2)
+POWER(LN(S724),2)
+POWER(LN(T724),2)
)
)))</f>
        <v>0.47095746419981693</v>
      </c>
    </row>
    <row r="725" spans="1:22" x14ac:dyDescent="0.2">
      <c r="A725" t="str">
        <f>VLOOKUP(J725,'dataset mapping'!$A$4:$E$69,2,0)</f>
        <v>hydrogen production, gaseous, 200 bar, from PEM electrolysis, from German solar PV</v>
      </c>
      <c r="B725" s="53">
        <f>(B724*B718)+(B719*B724)</f>
        <v>2.8000000000000001E-2</v>
      </c>
      <c r="C725" t="str">
        <f>VLOOKUP(J725,'dataset mapping'!$A$4:$E$69,5,0)</f>
        <v>kilogram</v>
      </c>
      <c r="E725" t="str">
        <f>VLOOKUP(J725,'dataset mapping'!$A$4:$E$69,4,0)</f>
        <v>DE</v>
      </c>
      <c r="F725" t="s">
        <v>86</v>
      </c>
      <c r="G725" t="str">
        <f>VLOOKUP(J725,'dataset mapping'!$A$4:$E$69,3,0)</f>
        <v>hydrogen, gaseous, 200 bar</v>
      </c>
      <c r="H725" t="s">
        <v>76</v>
      </c>
      <c r="I725" t="s">
        <v>1054</v>
      </c>
      <c r="J725" t="str">
        <f>B680&amp;" - "&amp;B682</f>
        <v>Electrolysis, PEM - Solar PV (DE)</v>
      </c>
      <c r="K725" t="str">
        <f>B700</f>
        <v>This dataset represents the supply of 1 kilogram of hydrogen. The hydrogen is transported by train over 1000 km from regional storage.  The hydrogen is produced by  Electrolysis, PEM,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725">
        <f>IF(OR(B725&lt;0,B725=0),1,2)</f>
        <v>2</v>
      </c>
      <c r="M725">
        <f>IF(L725=2,LN(B725),"")</f>
        <v>-3.575550768806933</v>
      </c>
      <c r="N725">
        <v>1.5</v>
      </c>
      <c r="O725" s="15">
        <v>1.2</v>
      </c>
      <c r="P725">
        <v>1.5</v>
      </c>
      <c r="Q725">
        <v>1.1000000000000001</v>
      </c>
      <c r="R725">
        <v>2</v>
      </c>
      <c r="S725">
        <v>1.2</v>
      </c>
      <c r="T725">
        <v>1.05</v>
      </c>
      <c r="U725">
        <f>LN(SQRT(EXP(
SQRT(
+POWER(LN(N725),2)
+POWER(LN(O725),2)
+POWER(LN(P725),2)
+POWER(LN(Q725),2)
+POWER(LN(R725),2)
+POWER(LN(S725),2)
+POWER(LN(T725),2)
)
)))</f>
        <v>0.47095746419981693</v>
      </c>
    </row>
    <row r="726" spans="1:22" x14ac:dyDescent="0.2">
      <c r="A726" t="str">
        <f>VLOOKUP(J726,'dataset mapping'!$A$4:$E$69,2,0)</f>
        <v>market for transport, freight train</v>
      </c>
      <c r="B726" s="45">
        <f>SUM(B724:B725)/1000*B711</f>
        <v>1.028</v>
      </c>
      <c r="C726" t="str">
        <f>VLOOKUP(J726,'dataset mapping'!$A$4:$E$69,5,0)</f>
        <v>ton kilometer</v>
      </c>
      <c r="E726" t="str">
        <f>VLOOKUP(J726,'dataset mapping'!$A$4:$E$69,4,0)</f>
        <v>CH</v>
      </c>
      <c r="F726" t="s">
        <v>86</v>
      </c>
      <c r="G726" t="str">
        <f>VLOOKUP(J726,'dataset mapping'!$A$4:$E$69,3,0)</f>
        <v>transport, freight train</v>
      </c>
      <c r="H726" t="s">
        <v>88</v>
      </c>
      <c r="I726" t="s">
        <v>1052</v>
      </c>
      <c r="J726" t="s">
        <v>295</v>
      </c>
      <c r="K726" t="str">
        <f>B682</f>
        <v>Solar PV (DE)</v>
      </c>
      <c r="L726">
        <f t="shared" ref="L726" si="63">IF(OR(B726&lt;0,B726=0),1,2)</f>
        <v>2</v>
      </c>
      <c r="M726">
        <f t="shared" ref="M726" si="64">IF(L726=2,LN(B726),"")</f>
        <v>2.7615167032973391E-2</v>
      </c>
      <c r="N726">
        <v>1.5</v>
      </c>
      <c r="O726" s="15">
        <v>1.2</v>
      </c>
      <c r="P726">
        <v>1.5</v>
      </c>
      <c r="Q726">
        <v>1.1000000000000001</v>
      </c>
      <c r="R726">
        <v>2</v>
      </c>
      <c r="S726">
        <v>1.2</v>
      </c>
      <c r="T726">
        <v>2</v>
      </c>
      <c r="U726">
        <f t="shared" ref="U726" si="65">LN(SQRT(EXP(
SQRT(
+POWER(LN(N726),2)
+POWER(LN(O726),2)
+POWER(LN(P726),2)
+POWER(LN(Q726),2)
+POWER(LN(R726),2)
+POWER(LN(S726),2)
+POWER(LN(T726),2)
)
)))</f>
        <v>0.58422518478336083</v>
      </c>
    </row>
    <row r="727" spans="1:22" x14ac:dyDescent="0.2">
      <c r="A727" t="s">
        <v>1038</v>
      </c>
      <c r="B727" s="53">
        <f>SUM(B724:B725)</f>
        <v>1.028</v>
      </c>
      <c r="C727" t="str">
        <f>VLOOKUP(J727,'dataset mapping'!$A$4:$E$69,5,0)</f>
        <v>kilogram</v>
      </c>
      <c r="E727" t="s">
        <v>64</v>
      </c>
      <c r="F727" t="s">
        <v>86</v>
      </c>
      <c r="G727" t="s">
        <v>1039</v>
      </c>
      <c r="H727" t="s">
        <v>88</v>
      </c>
      <c r="I727" t="s">
        <v>1040</v>
      </c>
      <c r="J727" t="s">
        <v>229</v>
      </c>
      <c r="K727" t="str">
        <f>B699</f>
        <v>hydrogen supply, transported by train, produced by Electrolysis, PEM using water and electricity from Solar PV (DE)</v>
      </c>
      <c r="L727">
        <f>IF(OR(B727&lt;0,B727=0),1,2)</f>
        <v>2</v>
      </c>
      <c r="M727">
        <f>IF(L727=2,LN(B727),"")</f>
        <v>2.7615167032973391E-2</v>
      </c>
      <c r="N727">
        <v>1.5</v>
      </c>
      <c r="O727" s="15">
        <v>1.2</v>
      </c>
      <c r="P727">
        <v>1.5</v>
      </c>
      <c r="Q727">
        <v>1.1000000000000001</v>
      </c>
      <c r="R727">
        <v>2</v>
      </c>
      <c r="S727">
        <v>1.2</v>
      </c>
      <c r="T727">
        <v>3</v>
      </c>
      <c r="U727">
        <f>LN(SQRT(EXP(
SQRT(
+POWER(LN(N727),2)
+POWER(LN(O727),2)
+POWER(LN(P727),2)
+POWER(LN(Q727),2)
+POWER(LN(R727),2)
+POWER(LN(S727),2)
+POWER(LN(T727),2)
)
)))</f>
        <v>0.72314801614797197</v>
      </c>
    </row>
    <row r="728" spans="1:22" x14ac:dyDescent="0.2">
      <c r="A728" t="s">
        <v>130</v>
      </c>
      <c r="B728" s="52">
        <f>(VLOOKUP(B714,parameters!$A$71:$B$78,2,0)+VLOOKUP(B710,parameters!$A$82:$B$84,2,0)+VLOOKUP(B710,parameters!$A$87:$B$89,2,0))*SUM(B724:B725)</f>
        <v>2.0765600000000002</v>
      </c>
      <c r="C728" t="s">
        <v>92</v>
      </c>
      <c r="E728" t="s">
        <v>64</v>
      </c>
      <c r="F728" t="s">
        <v>86</v>
      </c>
      <c r="G728" t="s">
        <v>93</v>
      </c>
      <c r="H728" t="s">
        <v>78</v>
      </c>
      <c r="I728" t="s">
        <v>1053</v>
      </c>
      <c r="J728" t="s">
        <v>67</v>
      </c>
      <c r="K728" t="str">
        <f>B699</f>
        <v>hydrogen supply, transported by train, produced by Electrolysis, PEM using water and electricity from Solar PV (DE)</v>
      </c>
      <c r="L728">
        <f>IF(OR(B728&lt;0,B728=0),1,2)</f>
        <v>2</v>
      </c>
      <c r="M728">
        <f>IF(L728=2,LN(B728),"")</f>
        <v>0.73071267844608689</v>
      </c>
      <c r="N728">
        <v>1.5</v>
      </c>
      <c r="O728" s="15">
        <v>1.2</v>
      </c>
      <c r="P728">
        <v>1.5</v>
      </c>
      <c r="Q728">
        <v>1.1000000000000001</v>
      </c>
      <c r="R728">
        <v>2</v>
      </c>
      <c r="S728">
        <v>1.2</v>
      </c>
      <c r="T728">
        <v>1.05</v>
      </c>
      <c r="U728">
        <f>LN(SQRT(EXP(
SQRT(
+POWER(LN(N728),2)
+POWER(LN(O728),2)
+POWER(LN(P728),2)
+POWER(LN(Q728),2)
+POWER(LN(R728),2)
+POWER(LN(S728),2)
+POWER(LN(T728),2)
)
)))</f>
        <v>0.47095746419981693</v>
      </c>
    </row>
    <row r="729" spans="1:22" x14ac:dyDescent="0.2">
      <c r="A729" t="s">
        <v>7</v>
      </c>
      <c r="B729" s="53">
        <f>B725</f>
        <v>2.8000000000000001E-2</v>
      </c>
      <c r="C729" t="s">
        <v>56</v>
      </c>
      <c r="D729" t="s">
        <v>100</v>
      </c>
      <c r="F729" t="s">
        <v>99</v>
      </c>
      <c r="H729" t="s">
        <v>131</v>
      </c>
      <c r="I729" t="s">
        <v>160</v>
      </c>
      <c r="K729" t="str">
        <f>B699</f>
        <v>hydrogen supply, transported by train, produced by Electrolysis, PEM using water and electricity from Solar PV (DE)</v>
      </c>
      <c r="L729">
        <f>IF(OR(B729&lt;0,B729=0),1,2)</f>
        <v>2</v>
      </c>
      <c r="M729">
        <f>IF(L729=2,LN(B729),"")</f>
        <v>-3.575550768806933</v>
      </c>
      <c r="N729">
        <v>1.5</v>
      </c>
      <c r="O729" s="15">
        <v>1.2</v>
      </c>
      <c r="P729">
        <v>1.5</v>
      </c>
      <c r="Q729">
        <v>1.1000000000000001</v>
      </c>
      <c r="R729">
        <v>2</v>
      </c>
      <c r="S729">
        <v>1.2</v>
      </c>
      <c r="T729">
        <v>1.05</v>
      </c>
      <c r="U729">
        <f>LN(SQRT(EXP(
SQRT(
+POWER(LN(N729),2)
+POWER(LN(O729),2)
+POWER(LN(P729),2)
+POWER(LN(Q729),2)
+POWER(LN(R729),2)
+POWER(LN(S729),2)
+POWER(LN(T729),2)
)
)))</f>
        <v>0.47095746419981693</v>
      </c>
    </row>
    <row r="732" spans="1:22" x14ac:dyDescent="0.2">
      <c r="A732" s="2" t="s">
        <v>50</v>
      </c>
      <c r="B732" s="44" t="str">
        <f>"hydrogen supply, transported by "&amp;B743&amp;", produced by "&amp;B747&amp;" using "&amp;B748&amp;" from "&amp;B749</f>
        <v>hydrogen supply, transported by pipeline, produced by Electrolysis, SOEC using water and electricity from Solar PV (DE)</v>
      </c>
    </row>
    <row r="733" spans="1:22" x14ac:dyDescent="0.2">
      <c r="A733" t="s">
        <v>51</v>
      </c>
      <c r="B733" s="45" t="str">
        <f>"This dataset represents the supply of 1 kilogram of hydrogen. The hydrogen is transported by "&amp;B743&amp;" over "&amp;B744&amp;" km from regional storage. "&amp;" The "&amp;B742&amp;" is produced by  "&amp;B747&amp;", with "&amp;B748&amp;" from "&amp;B749&amp;" as feedstock. "&amp;A751&amp;": "&amp;(B751*100)&amp;"%. "&amp;A752&amp;": "&amp;(B752*100)&amp;".  For more information, refer to: "&amp;B734</f>
        <v>This dataset represents the supply of 1 kilogram of hydrogen. The hydrogen is transported by pipeline over 1000 km from regional storage.  The hydrogen is produced by  Electrolysis, SOEC,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734" spans="1:22" x14ac:dyDescent="0.2">
      <c r="A734" t="s">
        <v>63</v>
      </c>
      <c r="B734" s="45" t="s">
        <v>1223</v>
      </c>
    </row>
    <row r="735" spans="1:22" x14ac:dyDescent="0.2">
      <c r="A735" t="s">
        <v>52</v>
      </c>
      <c r="B735" s="45" t="s">
        <v>64</v>
      </c>
    </row>
    <row r="736" spans="1:22" x14ac:dyDescent="0.2">
      <c r="A736" t="s">
        <v>48</v>
      </c>
      <c r="B736" s="45">
        <v>89</v>
      </c>
    </row>
    <row r="737" spans="1:2" x14ac:dyDescent="0.2">
      <c r="A737" t="s">
        <v>54</v>
      </c>
      <c r="B737" s="45" t="s">
        <v>1129</v>
      </c>
    </row>
    <row r="738" spans="1:2" x14ac:dyDescent="0.2">
      <c r="A738" t="s">
        <v>55</v>
      </c>
      <c r="B738" s="45" t="s">
        <v>56</v>
      </c>
    </row>
    <row r="739" spans="1:2" x14ac:dyDescent="0.2">
      <c r="A739" t="s">
        <v>0</v>
      </c>
      <c r="B739" s="45" t="str">
        <f>INDEX(overview!$B$4:$R$338,MATCH('hydrogen - supply'!B736,overview!$A$4:$A$338,0),MATCH('hydrogen - supply'!A739,overview!$B$3:$R$3,0))</f>
        <v>Switzerland</v>
      </c>
    </row>
    <row r="740" spans="1:2" x14ac:dyDescent="0.2">
      <c r="A740" t="s">
        <v>1</v>
      </c>
      <c r="B740" s="45">
        <f>INDEX(overview!$B$4:$R$338,MATCH('hydrogen - supply'!B736,overview!$A$4:$A$338,0),MATCH('hydrogen - supply'!A740,overview!$B$3:$R$3,0))</f>
        <v>2020</v>
      </c>
    </row>
    <row r="741" spans="1:2" x14ac:dyDescent="0.2">
      <c r="A741" t="s">
        <v>2</v>
      </c>
      <c r="B741" s="45" t="s">
        <v>1130</v>
      </c>
    </row>
    <row r="742" spans="1:2" x14ac:dyDescent="0.2">
      <c r="A742" t="s">
        <v>5</v>
      </c>
      <c r="B742" s="45" t="str">
        <f>INDEX(overview!$B$4:$R$338,MATCH('hydrogen - supply'!B736,overview!$A$4:$A$338,0),MATCH('hydrogen - supply'!A742,overview!$B$3:$R$3,0))</f>
        <v>hydrogen</v>
      </c>
    </row>
    <row r="743" spans="1:2" x14ac:dyDescent="0.2">
      <c r="A743" t="s">
        <v>4</v>
      </c>
      <c r="B743" s="45" t="str">
        <f>INDEX(overview!$B$4:$R$338,MATCH('hydrogen - supply'!B736,overview!$A$4:$A$338,0),MATCH('hydrogen - supply'!A743,overview!$B$3:$R$3,0))</f>
        <v>pipeline</v>
      </c>
    </row>
    <row r="744" spans="1:2" x14ac:dyDescent="0.2">
      <c r="A744" t="s">
        <v>38</v>
      </c>
      <c r="B744" s="45">
        <f>INDEX(overview!$B$4:$R$338,MATCH('hydrogen - supply'!B736,overview!$A$4:$A$338,0),MATCH('hydrogen - supply'!A744,overview!$B$3:$R$3,0))</f>
        <v>1000</v>
      </c>
    </row>
    <row r="745" spans="1:2" x14ac:dyDescent="0.2">
      <c r="A745" t="s">
        <v>12</v>
      </c>
      <c r="B745" s="45" t="str">
        <f>INDEX(overview!$B$4:$R$338,MATCH('hydrogen - supply'!B736,overview!$A$4:$A$338,0),MATCH('hydrogen - supply'!A745,overview!$B$3:$R$3,0))</f>
        <v>Pressure vessel for stationary storage</v>
      </c>
    </row>
    <row r="746" spans="1:2" x14ac:dyDescent="0.2">
      <c r="A746" t="s">
        <v>34</v>
      </c>
      <c r="B746" s="45">
        <f>INDEX(overview!$B$4:$R$338,MATCH('hydrogen - supply'!B736,overview!$A$4:$A$338,0),MATCH('hydrogen - supply'!A746,overview!$B$3:$R$3,0))</f>
        <v>0</v>
      </c>
    </row>
    <row r="747" spans="1:2" x14ac:dyDescent="0.2">
      <c r="A747" t="s">
        <v>15</v>
      </c>
      <c r="B747" s="45" t="str">
        <f>INDEX(overview!$B$4:$R$338,MATCH('hydrogen - supply'!B736,overview!$A$4:$A$338,0),MATCH('hydrogen - supply'!A747,overview!$B$3:$R$3,0))</f>
        <v>Electrolysis, SOEC</v>
      </c>
    </row>
    <row r="748" spans="1:2" x14ac:dyDescent="0.2">
      <c r="A748" t="s">
        <v>14</v>
      </c>
      <c r="B748" s="45" t="str">
        <f>INDEX(overview!$B$4:$R$338,MATCH('hydrogen - supply'!B736,overview!$A$4:$A$338,0),MATCH('hydrogen - supply'!A748,overview!$B$3:$R$3,0))</f>
        <v>water and electricity</v>
      </c>
    </row>
    <row r="749" spans="1:2" x14ac:dyDescent="0.2">
      <c r="A749" t="s">
        <v>26</v>
      </c>
      <c r="B749" s="45" t="str">
        <f>INDEX(overview!$B$4:$R$338,MATCH('hydrogen - supply'!B736,overview!$A$4:$A$338,0),MATCH('hydrogen - supply'!A749,overview!$B$3:$R$3,0))</f>
        <v>Solar PV (DE)</v>
      </c>
    </row>
    <row r="750" spans="1:2" x14ac:dyDescent="0.2">
      <c r="A750" t="s">
        <v>29</v>
      </c>
      <c r="B750" s="45">
        <f>INDEX(overview!$B$4:$R$338,MATCH('hydrogen - supply'!B736,overview!$A$4:$A$338,0),MATCH('hydrogen - supply'!A750,overview!$B$3:$R$3,0))</f>
        <v>0</v>
      </c>
    </row>
    <row r="751" spans="1:2" x14ac:dyDescent="0.2">
      <c r="A751" t="s">
        <v>45</v>
      </c>
      <c r="B751" s="66">
        <f>VLOOKUP(B743,parameters!$A$94:$C$96,2,0)</f>
        <v>0.01</v>
      </c>
    </row>
    <row r="752" spans="1:2" x14ac:dyDescent="0.2">
      <c r="A752" t="s">
        <v>1133</v>
      </c>
      <c r="B752" s="49">
        <f>VLOOKUP(B743,parameters!$A$94:$D$96,3,0)</f>
        <v>2.3E-2</v>
      </c>
    </row>
    <row r="753" spans="1:22" x14ac:dyDescent="0.2">
      <c r="B753" s="45"/>
    </row>
    <row r="754" spans="1:22" x14ac:dyDescent="0.2">
      <c r="A754" s="3" t="s">
        <v>57</v>
      </c>
      <c r="B754" s="45"/>
    </row>
    <row r="755" spans="1:22" x14ac:dyDescent="0.2">
      <c r="A755" s="2" t="s">
        <v>58</v>
      </c>
      <c r="B755" s="44" t="s">
        <v>59</v>
      </c>
      <c r="C755" s="2" t="s">
        <v>55</v>
      </c>
      <c r="D755" s="2" t="s">
        <v>60</v>
      </c>
      <c r="E755" s="2" t="s">
        <v>52</v>
      </c>
      <c r="F755" s="2" t="s">
        <v>61</v>
      </c>
      <c r="G755" s="2" t="s">
        <v>54</v>
      </c>
      <c r="H755" s="2" t="s">
        <v>87</v>
      </c>
      <c r="I755" s="2" t="s">
        <v>51</v>
      </c>
      <c r="J755" s="2" t="s">
        <v>138</v>
      </c>
      <c r="K755" s="2" t="s">
        <v>136</v>
      </c>
      <c r="L755" s="2" t="s">
        <v>221</v>
      </c>
      <c r="M755" s="2" t="s">
        <v>379</v>
      </c>
      <c r="N755" s="2" t="s">
        <v>1059</v>
      </c>
      <c r="O755" s="2" t="s">
        <v>1060</v>
      </c>
      <c r="P755" s="2" t="s">
        <v>1061</v>
      </c>
      <c r="Q755" s="2" t="s">
        <v>1062</v>
      </c>
      <c r="R755" s="2" t="s">
        <v>1063</v>
      </c>
      <c r="S755" s="2" t="s">
        <v>1064</v>
      </c>
      <c r="T755" s="2" t="s">
        <v>1065</v>
      </c>
      <c r="U755" s="2" t="s">
        <v>380</v>
      </c>
      <c r="V755" s="2" t="s">
        <v>1128</v>
      </c>
    </row>
    <row r="756" spans="1:22" x14ac:dyDescent="0.2">
      <c r="A756" t="str">
        <f>B732</f>
        <v>hydrogen supply, transported by pipeline, produced by Electrolysis, SOEC using water and electricity from Solar PV (DE)</v>
      </c>
      <c r="B756" s="45">
        <v>1</v>
      </c>
      <c r="C756" t="str">
        <f>B738</f>
        <v>kilogram</v>
      </c>
      <c r="E756" t="str">
        <f>B735</f>
        <v>CH</v>
      </c>
      <c r="F756" t="s">
        <v>62</v>
      </c>
      <c r="G756" t="str">
        <f>B737</f>
        <v>hydrogen, gaseous, from pipeline</v>
      </c>
      <c r="K756" t="str">
        <f>B732</f>
        <v>hydrogen supply, transported by pipeline, produced by Electrolysis, SOEC using water and electricity from Solar PV (DE)</v>
      </c>
    </row>
    <row r="757" spans="1:22" x14ac:dyDescent="0.2">
      <c r="A757" t="str">
        <f>VLOOKUP(J757,'dataset mapping'!$A$4:$E$69,2,0)</f>
        <v>hydrogen production, gaseous, 25 bar, from SOEC electrolysis, from German solar PV</v>
      </c>
      <c r="B757" s="53">
        <v>1</v>
      </c>
      <c r="C757" t="str">
        <f>VLOOKUP(J757,'dataset mapping'!$A$4:$E$69,5,0)</f>
        <v>kilogram</v>
      </c>
      <c r="E757" t="str">
        <f>VLOOKUP(J757,'dataset mapping'!$A$4:$E$69,4,0)</f>
        <v>DE</v>
      </c>
      <c r="F757" t="s">
        <v>86</v>
      </c>
      <c r="G757" t="str">
        <f>VLOOKUP(J757,'dataset mapping'!$A$4:$E$69,3,0)</f>
        <v>hydrogen, gaseous, 25 bar</v>
      </c>
      <c r="H757" t="s">
        <v>281</v>
      </c>
      <c r="I757" t="s">
        <v>1054</v>
      </c>
      <c r="J757" t="str">
        <f>B747&amp;" - "&amp;B749</f>
        <v>Electrolysis, SOEC - Solar PV (DE)</v>
      </c>
      <c r="K757" t="str">
        <f>B732</f>
        <v>hydrogen supply, transported by pipeline, produced by Electrolysis, SOEC using water and electricity from Solar PV (DE)</v>
      </c>
      <c r="L757">
        <f t="shared" ref="L757:L764" si="66">IF(OR(B757&lt;0,B757=0),1,2)</f>
        <v>2</v>
      </c>
      <c r="M757">
        <f t="shared" ref="M757:M764" si="67">IF(L757=2,LN(B757),"")</f>
        <v>0</v>
      </c>
      <c r="N757">
        <v>1.5</v>
      </c>
      <c r="O757" s="15">
        <v>1.2</v>
      </c>
      <c r="P757">
        <v>1.5</v>
      </c>
      <c r="Q757">
        <v>1.1000000000000001</v>
      </c>
      <c r="R757">
        <v>2</v>
      </c>
      <c r="S757">
        <v>1.2</v>
      </c>
      <c r="T757">
        <v>1.05</v>
      </c>
      <c r="U757">
        <f t="shared" ref="U757:U764" si="68">LN(SQRT(EXP(
SQRT(
+POWER(LN(N757),2)
+POWER(LN(O757),2)
+POWER(LN(P757),2)
+POWER(LN(Q757),2)
+POWER(LN(R757),2)
+POWER(LN(S757),2)
+POWER(LN(T757),2)
)
)))</f>
        <v>0.47095746419981693</v>
      </c>
    </row>
    <row r="758" spans="1:22" x14ac:dyDescent="0.2">
      <c r="A758" t="str">
        <f>VLOOKUP(J758,'dataset mapping'!$A$4:$E$69,2,0)</f>
        <v>hydrogen production, gaseous, 25 bar, from SOEC electrolysis, from German solar PV</v>
      </c>
      <c r="B758" s="53">
        <f>(B757*B751)+(B752*B757)</f>
        <v>3.3000000000000002E-2</v>
      </c>
      <c r="C758" t="str">
        <f>VLOOKUP(J758,'dataset mapping'!$A$4:$E$69,5,0)</f>
        <v>kilogram</v>
      </c>
      <c r="E758" t="str">
        <f>VLOOKUP(J758,'dataset mapping'!$A$4:$E$69,4,0)</f>
        <v>DE</v>
      </c>
      <c r="F758" t="s">
        <v>86</v>
      </c>
      <c r="G758" t="str">
        <f>VLOOKUP(J758,'dataset mapping'!$A$4:$E$69,3,0)</f>
        <v>hydrogen, gaseous, 25 bar</v>
      </c>
      <c r="H758" t="s">
        <v>76</v>
      </c>
      <c r="I758" t="s">
        <v>1054</v>
      </c>
      <c r="J758" t="str">
        <f>B747&amp;" - "&amp;B749</f>
        <v>Electrolysis, SOEC - Solar PV (DE)</v>
      </c>
      <c r="K758" t="str">
        <f>B733</f>
        <v>This dataset represents the supply of 1 kilogram of hydrogen. The hydrogen is transported by pipeline over 1000 km from regional storage.  The hydrogen is produced by  Electrolysis, SOEC,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758">
        <f t="shared" si="66"/>
        <v>2</v>
      </c>
      <c r="M758">
        <f t="shared" si="67"/>
        <v>-3.4112477175156566</v>
      </c>
      <c r="N758">
        <v>1.5</v>
      </c>
      <c r="O758" s="15">
        <v>1.2</v>
      </c>
      <c r="P758">
        <v>1.5</v>
      </c>
      <c r="Q758">
        <v>1.1000000000000001</v>
      </c>
      <c r="R758">
        <v>2</v>
      </c>
      <c r="S758">
        <v>1.2</v>
      </c>
      <c r="T758">
        <v>1.05</v>
      </c>
      <c r="U758">
        <f t="shared" si="68"/>
        <v>0.47095746419981693</v>
      </c>
    </row>
    <row r="759" spans="1:22" x14ac:dyDescent="0.2">
      <c r="A759" t="str">
        <f>VLOOKUP(J759,'dataset mapping'!$A$4:$E$69,2,0)</f>
        <v>distribution pipeline for hydrogen, dedicated hydrogen pipeline</v>
      </c>
      <c r="B759" s="45">
        <f>0.000000000265*SUM(B757:B758)*B744*0.86</f>
        <v>2.354207E-7</v>
      </c>
      <c r="C759" t="str">
        <f>VLOOKUP(J759,'dataset mapping'!$A$4:$E$69,5,0)</f>
        <v>kilometer</v>
      </c>
      <c r="E759" t="str">
        <f>VLOOKUP(J759,'dataset mapping'!$A$4:$E$69,4,0)</f>
        <v>CH</v>
      </c>
      <c r="F759" t="s">
        <v>86</v>
      </c>
      <c r="G759" t="str">
        <f>VLOOKUP(J759,'dataset mapping'!$A$4:$E$69,3,0)</f>
        <v>pipeline, for hydrogen distribution</v>
      </c>
      <c r="H759" t="s">
        <v>88</v>
      </c>
      <c r="I759" t="s">
        <v>1052</v>
      </c>
      <c r="J759" t="s">
        <v>218</v>
      </c>
      <c r="K759" t="str">
        <f>B732</f>
        <v>hydrogen supply, transported by pipeline, produced by Electrolysis, SOEC using water and electricity from Solar PV (DE)</v>
      </c>
      <c r="L759">
        <f t="shared" si="66"/>
        <v>2</v>
      </c>
      <c r="M759">
        <f t="shared" si="67"/>
        <v>-15.26189171055727</v>
      </c>
      <c r="N759">
        <v>1.5</v>
      </c>
      <c r="O759" s="15">
        <v>1.2</v>
      </c>
      <c r="P759">
        <v>1.5</v>
      </c>
      <c r="Q759">
        <v>1.1000000000000001</v>
      </c>
      <c r="R759">
        <v>2</v>
      </c>
      <c r="S759">
        <v>1.2</v>
      </c>
      <c r="T759">
        <v>3</v>
      </c>
      <c r="U759">
        <f t="shared" si="68"/>
        <v>0.72314801614797197</v>
      </c>
    </row>
    <row r="760" spans="1:22" x14ac:dyDescent="0.2">
      <c r="A760" t="str">
        <f>VLOOKUP(J760,'dataset mapping'!$A$4:$E$69,2,0)</f>
        <v>transmission pipeline for hydrogen, dedicated hydrogen pipeline</v>
      </c>
      <c r="B760" s="45">
        <f>0.000000000265*SUM(B757:B758)*B744*0.14</f>
        <v>3.8324300000000003E-8</v>
      </c>
      <c r="C760" t="str">
        <f>VLOOKUP(J760,'dataset mapping'!$A$4:$E$69,5,0)</f>
        <v>kilometer</v>
      </c>
      <c r="E760" t="str">
        <f>VLOOKUP(J760,'dataset mapping'!$A$4:$E$69,4,0)</f>
        <v>CH</v>
      </c>
      <c r="F760" t="s">
        <v>86</v>
      </c>
      <c r="G760" t="str">
        <f>VLOOKUP(J760,'dataset mapping'!$A$4:$E$69,3,0)</f>
        <v>pipeline, for hydrogen transmission</v>
      </c>
      <c r="H760" t="s">
        <v>88</v>
      </c>
      <c r="I760" t="s">
        <v>1052</v>
      </c>
      <c r="J760" t="s">
        <v>219</v>
      </c>
      <c r="K760" t="str">
        <f>B732</f>
        <v>hydrogen supply, transported by pipeline, produced by Electrolysis, SOEC using water and electricity from Solar PV (DE)</v>
      </c>
      <c r="L760">
        <f t="shared" si="66"/>
        <v>2</v>
      </c>
      <c r="M760">
        <f t="shared" si="67"/>
        <v>-17.077181677195519</v>
      </c>
      <c r="N760">
        <v>1.5</v>
      </c>
      <c r="O760" s="15">
        <v>1.2</v>
      </c>
      <c r="P760">
        <v>1.5</v>
      </c>
      <c r="Q760">
        <v>1.1000000000000001</v>
      </c>
      <c r="R760">
        <v>2</v>
      </c>
      <c r="S760">
        <v>1.2</v>
      </c>
      <c r="T760">
        <v>3</v>
      </c>
      <c r="U760">
        <f t="shared" si="68"/>
        <v>0.72314801614797197</v>
      </c>
    </row>
    <row r="761" spans="1:22" x14ac:dyDescent="0.2">
      <c r="A761" t="s">
        <v>1038</v>
      </c>
      <c r="B761" s="53">
        <f>SUM(B757:B758)</f>
        <v>1.0329999999999999</v>
      </c>
      <c r="C761" t="str">
        <f>VLOOKUP(J761,'dataset mapping'!$A$4:$E$69,5,0)</f>
        <v>kilogram</v>
      </c>
      <c r="E761" t="s">
        <v>64</v>
      </c>
      <c r="F761" t="s">
        <v>86</v>
      </c>
      <c r="G761" t="s">
        <v>1039</v>
      </c>
      <c r="H761" t="s">
        <v>88</v>
      </c>
      <c r="I761" t="s">
        <v>1040</v>
      </c>
      <c r="J761" t="s">
        <v>229</v>
      </c>
      <c r="K761" t="str">
        <f>B732</f>
        <v>hydrogen supply, transported by pipeline, produced by Electrolysis, SOEC using water and electricity from Solar PV (DE)</v>
      </c>
      <c r="L761">
        <f t="shared" si="66"/>
        <v>2</v>
      </c>
      <c r="M761">
        <f t="shared" si="67"/>
        <v>3.2467190137501413E-2</v>
      </c>
      <c r="N761">
        <v>1.5</v>
      </c>
      <c r="O761" s="15">
        <v>1.2</v>
      </c>
      <c r="P761">
        <v>1.5</v>
      </c>
      <c r="Q761">
        <v>1.1000000000000001</v>
      </c>
      <c r="R761">
        <v>2</v>
      </c>
      <c r="S761">
        <v>1.2</v>
      </c>
      <c r="T761">
        <v>3</v>
      </c>
      <c r="U761">
        <f t="shared" si="68"/>
        <v>0.72314801614797197</v>
      </c>
    </row>
    <row r="762" spans="1:22" x14ac:dyDescent="0.2">
      <c r="A762" t="s">
        <v>130</v>
      </c>
      <c r="B762" s="52">
        <f>(VLOOKUP(B747,parameters!$A$71:$B$78,2,0)+VLOOKUP(B743,parameters!$A$82:$B$84,2,0)+VLOOKUP(B743,parameters!$A$87:$B$89,2,0))*SUM(B757:B758)</f>
        <v>2.0246799999999996</v>
      </c>
      <c r="C762" t="s">
        <v>92</v>
      </c>
      <c r="E762" t="s">
        <v>64</v>
      </c>
      <c r="F762" t="s">
        <v>86</v>
      </c>
      <c r="G762" t="s">
        <v>93</v>
      </c>
      <c r="H762" t="s">
        <v>78</v>
      </c>
      <c r="I762" t="s">
        <v>1053</v>
      </c>
      <c r="J762" t="s">
        <v>67</v>
      </c>
      <c r="K762" t="str">
        <f>B732</f>
        <v>hydrogen supply, transported by pipeline, produced by Electrolysis, SOEC using water and electricity from Solar PV (DE)</v>
      </c>
      <c r="L762">
        <f t="shared" si="66"/>
        <v>2</v>
      </c>
      <c r="M762">
        <f t="shared" si="67"/>
        <v>0.70541166337992711</v>
      </c>
      <c r="N762">
        <v>1.5</v>
      </c>
      <c r="O762" s="15">
        <v>1.2</v>
      </c>
      <c r="P762">
        <v>1.5</v>
      </c>
      <c r="Q762">
        <v>1.1000000000000001</v>
      </c>
      <c r="R762">
        <v>2</v>
      </c>
      <c r="S762">
        <v>1.2</v>
      </c>
      <c r="T762">
        <v>1.05</v>
      </c>
      <c r="U762">
        <f t="shared" si="68"/>
        <v>0.47095746419981693</v>
      </c>
    </row>
    <row r="763" spans="1:22" x14ac:dyDescent="0.2">
      <c r="A763" t="s">
        <v>130</v>
      </c>
      <c r="B763" s="52">
        <f>0.6*SUM(B757:B758)*(B744/250)</f>
        <v>2.4791999999999996</v>
      </c>
      <c r="C763" t="s">
        <v>92</v>
      </c>
      <c r="E763" t="s">
        <v>64</v>
      </c>
      <c r="F763" t="s">
        <v>86</v>
      </c>
      <c r="G763" t="s">
        <v>93</v>
      </c>
      <c r="H763" t="s">
        <v>78</v>
      </c>
      <c r="I763" t="s">
        <v>1135</v>
      </c>
      <c r="J763" t="s">
        <v>67</v>
      </c>
      <c r="K763" t="str">
        <f>B733</f>
        <v>This dataset represents the supply of 1 kilogram of hydrogen. The hydrogen is transported by pipeline over 1000 km from regional storage.  The hydrogen is produced by  Electrolysis, SOEC, with water and electricity from Solar PV (DE)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763">
        <f t="shared" si="66"/>
        <v>2</v>
      </c>
      <c r="M763">
        <f t="shared" si="67"/>
        <v>0.90793592749140128</v>
      </c>
      <c r="N763">
        <v>1.5</v>
      </c>
      <c r="O763" s="15">
        <v>1.2</v>
      </c>
      <c r="P763">
        <v>1.5</v>
      </c>
      <c r="Q763">
        <v>1.1000000000000001</v>
      </c>
      <c r="R763">
        <v>2</v>
      </c>
      <c r="S763">
        <v>1.2</v>
      </c>
      <c r="T763">
        <v>1.05</v>
      </c>
      <c r="U763">
        <f t="shared" si="68"/>
        <v>0.47095746419981693</v>
      </c>
    </row>
    <row r="764" spans="1:22" x14ac:dyDescent="0.2">
      <c r="A764" t="s">
        <v>7</v>
      </c>
      <c r="B764" s="53">
        <f>B758</f>
        <v>3.3000000000000002E-2</v>
      </c>
      <c r="C764" t="s">
        <v>56</v>
      </c>
      <c r="D764" t="s">
        <v>100</v>
      </c>
      <c r="F764" t="s">
        <v>99</v>
      </c>
      <c r="H764" t="s">
        <v>131</v>
      </c>
      <c r="I764" t="s">
        <v>160</v>
      </c>
      <c r="K764" t="str">
        <f>B732</f>
        <v>hydrogen supply, transported by pipeline, produced by Electrolysis, SOEC using water and electricity from Solar PV (DE)</v>
      </c>
      <c r="L764">
        <f t="shared" si="66"/>
        <v>2</v>
      </c>
      <c r="M764">
        <f t="shared" si="67"/>
        <v>-3.4112477175156566</v>
      </c>
      <c r="N764">
        <v>1.5</v>
      </c>
      <c r="O764" s="15">
        <v>1.2</v>
      </c>
      <c r="P764">
        <v>1.5</v>
      </c>
      <c r="Q764">
        <v>1.1000000000000001</v>
      </c>
      <c r="R764">
        <v>2</v>
      </c>
      <c r="S764">
        <v>1.2</v>
      </c>
      <c r="T764">
        <v>1.05</v>
      </c>
      <c r="U764">
        <f t="shared" si="68"/>
        <v>0.47095746419981693</v>
      </c>
    </row>
    <row r="765" spans="1:22" x14ac:dyDescent="0.2">
      <c r="B765" s="45"/>
    </row>
    <row r="766" spans="1:22" x14ac:dyDescent="0.2">
      <c r="A766" s="2" t="s">
        <v>50</v>
      </c>
      <c r="B766" s="44" t="str">
        <f>"hydrogen supply, transported by "&amp;B777&amp;", produced by "&amp;B781&amp;" using "&amp;B782&amp;" from "&amp;B783</f>
        <v>hydrogen supply, transported by train, produced by Electrolysis, SOEC using water and electricity from Solar PV (DE)</v>
      </c>
    </row>
    <row r="767" spans="1:22" x14ac:dyDescent="0.2">
      <c r="A767" t="s">
        <v>51</v>
      </c>
      <c r="B767" s="45" t="str">
        <f>"This dataset represents the supply of 1 kilogram of hydrogen. The hydrogen is transported by "&amp;B777&amp;" over "&amp;B778&amp;" km from regional storage. "&amp;" The "&amp;B776&amp;" is produced by  "&amp;B781&amp;", with "&amp;B782&amp;" from "&amp;B783&amp;" as feedstock. "&amp;A785&amp;": "&amp;(B785*100)&amp;"%. "&amp;A786&amp;": "&amp;(B786*100)&amp;".  For more information, refer to: "&amp;B768</f>
        <v>This dataset represents the supply of 1 kilogram of hydrogen. The hydrogen is transported by train over 1000 km from regional storage.  The hydrogen is produced by  Electrolysis, SOEC,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768" spans="1:22" x14ac:dyDescent="0.2">
      <c r="A768" t="s">
        <v>63</v>
      </c>
      <c r="B768" s="45" t="s">
        <v>1223</v>
      </c>
    </row>
    <row r="769" spans="1:2" x14ac:dyDescent="0.2">
      <c r="A769" t="s">
        <v>52</v>
      </c>
      <c r="B769" s="45" t="s">
        <v>64</v>
      </c>
    </row>
    <row r="770" spans="1:2" x14ac:dyDescent="0.2">
      <c r="A770" t="s">
        <v>48</v>
      </c>
      <c r="B770" s="45">
        <v>93</v>
      </c>
    </row>
    <row r="771" spans="1:2" x14ac:dyDescent="0.2">
      <c r="A771" t="s">
        <v>54</v>
      </c>
      <c r="B771" s="45" t="s">
        <v>1137</v>
      </c>
    </row>
    <row r="772" spans="1:2" x14ac:dyDescent="0.2">
      <c r="A772" t="s">
        <v>55</v>
      </c>
      <c r="B772" s="45" t="s">
        <v>56</v>
      </c>
    </row>
    <row r="773" spans="1:2" x14ac:dyDescent="0.2">
      <c r="A773" t="s">
        <v>0</v>
      </c>
      <c r="B773" s="45" t="str">
        <f>INDEX(overview!$B$4:$R$338,MATCH('hydrogen - supply'!B770,overview!$A$4:$A$338,0),MATCH('hydrogen - supply'!A773,overview!$B$3:$R$3,0))</f>
        <v>Switzerland</v>
      </c>
    </row>
    <row r="774" spans="1:2" x14ac:dyDescent="0.2">
      <c r="A774" t="s">
        <v>1</v>
      </c>
      <c r="B774" s="45">
        <f>INDEX(overview!$B$4:$R$338,MATCH('hydrogen - supply'!B770,overview!$A$4:$A$338,0),MATCH('hydrogen - supply'!A774,overview!$B$3:$R$3,0))</f>
        <v>2020</v>
      </c>
    </row>
    <row r="775" spans="1:2" x14ac:dyDescent="0.2">
      <c r="A775" t="s">
        <v>2</v>
      </c>
      <c r="B775" s="45" t="s">
        <v>1130</v>
      </c>
    </row>
    <row r="776" spans="1:2" x14ac:dyDescent="0.2">
      <c r="A776" t="s">
        <v>5</v>
      </c>
      <c r="B776" s="45" t="str">
        <f>INDEX(overview!$B$4:$R$338,MATCH('hydrogen - supply'!B770,overview!$A$4:$A$338,0),MATCH('hydrogen - supply'!A776,overview!$B$3:$R$3,0))</f>
        <v>hydrogen</v>
      </c>
    </row>
    <row r="777" spans="1:2" x14ac:dyDescent="0.2">
      <c r="A777" t="s">
        <v>4</v>
      </c>
      <c r="B777" s="45" t="str">
        <f>INDEX(overview!$B$4:$R$338,MATCH('hydrogen - supply'!B770,overview!$A$4:$A$338,0),MATCH('hydrogen - supply'!A777,overview!$B$3:$R$3,0))</f>
        <v>train</v>
      </c>
    </row>
    <row r="778" spans="1:2" x14ac:dyDescent="0.2">
      <c r="A778" t="s">
        <v>38</v>
      </c>
      <c r="B778" s="45">
        <f>INDEX(overview!$B$4:$R$338,MATCH('hydrogen - supply'!B770,overview!$A$4:$A$338,0),MATCH('hydrogen - supply'!A778,overview!$B$3:$R$3,0))</f>
        <v>1000</v>
      </c>
    </row>
    <row r="779" spans="1:2" x14ac:dyDescent="0.2">
      <c r="A779" t="s">
        <v>12</v>
      </c>
      <c r="B779" s="45" t="str">
        <f>INDEX(overview!$B$4:$R$338,MATCH('hydrogen - supply'!B770,overview!$A$4:$A$338,0),MATCH('hydrogen - supply'!A779,overview!$B$3:$R$3,0))</f>
        <v>Pressure vessel for stationary storage</v>
      </c>
    </row>
    <row r="780" spans="1:2" x14ac:dyDescent="0.2">
      <c r="A780" t="s">
        <v>34</v>
      </c>
      <c r="B780" s="45">
        <f>INDEX(overview!$B$4:$R$338,MATCH('hydrogen - supply'!B770,overview!$A$4:$A$338,0),MATCH('hydrogen - supply'!A780,overview!$B$3:$R$3,0))</f>
        <v>0</v>
      </c>
    </row>
    <row r="781" spans="1:2" x14ac:dyDescent="0.2">
      <c r="A781" t="s">
        <v>15</v>
      </c>
      <c r="B781" s="45" t="str">
        <f>INDEX(overview!$B$4:$R$338,MATCH('hydrogen - supply'!B770,overview!$A$4:$A$338,0),MATCH('hydrogen - supply'!A781,overview!$B$3:$R$3,0))</f>
        <v>Electrolysis, SOEC</v>
      </c>
    </row>
    <row r="782" spans="1:2" x14ac:dyDescent="0.2">
      <c r="A782" t="s">
        <v>14</v>
      </c>
      <c r="B782" s="45" t="str">
        <f>INDEX(overview!$B$4:$R$338,MATCH('hydrogen - supply'!B770,overview!$A$4:$A$338,0),MATCH('hydrogen - supply'!A782,overview!$B$3:$R$3,0))</f>
        <v>water and electricity</v>
      </c>
    </row>
    <row r="783" spans="1:2" x14ac:dyDescent="0.2">
      <c r="A783" t="s">
        <v>26</v>
      </c>
      <c r="B783" s="45" t="str">
        <f>INDEX(overview!$B$4:$R$338,MATCH('hydrogen - supply'!B770,overview!$A$4:$A$338,0),MATCH('hydrogen - supply'!A783,overview!$B$3:$R$3,0))</f>
        <v>Solar PV (DE)</v>
      </c>
    </row>
    <row r="784" spans="1:2" x14ac:dyDescent="0.2">
      <c r="A784" t="s">
        <v>29</v>
      </c>
      <c r="B784" s="45">
        <f>INDEX(overview!$B$4:$R$338,MATCH('hydrogen - supply'!B770,overview!$A$4:$A$338,0),MATCH('hydrogen - supply'!A784,overview!$B$3:$R$3,0))</f>
        <v>0</v>
      </c>
    </row>
    <row r="785" spans="1:22" x14ac:dyDescent="0.2">
      <c r="A785" t="s">
        <v>45</v>
      </c>
      <c r="B785" s="66">
        <f>VLOOKUP(B777,parameters!$A$94:$C$96,2,0)</f>
        <v>5.0000000000000001E-3</v>
      </c>
    </row>
    <row r="786" spans="1:22" x14ac:dyDescent="0.2">
      <c r="A786" t="s">
        <v>1133</v>
      </c>
      <c r="B786" s="49">
        <f>VLOOKUP(B777,parameters!$A$94:$D$96,3,0)</f>
        <v>2.3E-2</v>
      </c>
    </row>
    <row r="787" spans="1:22" x14ac:dyDescent="0.2">
      <c r="B787" s="45"/>
    </row>
    <row r="788" spans="1:22" x14ac:dyDescent="0.2">
      <c r="A788" s="3" t="s">
        <v>57</v>
      </c>
      <c r="B788" s="45"/>
    </row>
    <row r="789" spans="1:22" x14ac:dyDescent="0.2">
      <c r="A789" s="2" t="s">
        <v>58</v>
      </c>
      <c r="B789" s="44" t="s">
        <v>59</v>
      </c>
      <c r="C789" s="2" t="s">
        <v>55</v>
      </c>
      <c r="D789" s="2" t="s">
        <v>60</v>
      </c>
      <c r="E789" s="2" t="s">
        <v>52</v>
      </c>
      <c r="F789" s="2" t="s">
        <v>61</v>
      </c>
      <c r="G789" s="2" t="s">
        <v>54</v>
      </c>
      <c r="H789" s="2" t="s">
        <v>87</v>
      </c>
      <c r="I789" s="2" t="s">
        <v>51</v>
      </c>
      <c r="J789" s="2" t="s">
        <v>138</v>
      </c>
      <c r="K789" s="2" t="s">
        <v>136</v>
      </c>
      <c r="L789" s="2" t="s">
        <v>221</v>
      </c>
      <c r="M789" s="2" t="s">
        <v>379</v>
      </c>
      <c r="N789" s="2" t="s">
        <v>1059</v>
      </c>
      <c r="O789" s="2" t="s">
        <v>1060</v>
      </c>
      <c r="P789" s="2" t="s">
        <v>1061</v>
      </c>
      <c r="Q789" s="2" t="s">
        <v>1062</v>
      </c>
      <c r="R789" s="2" t="s">
        <v>1063</v>
      </c>
      <c r="S789" s="2" t="s">
        <v>1064</v>
      </c>
      <c r="T789" s="2" t="s">
        <v>1065</v>
      </c>
      <c r="U789" s="2" t="s">
        <v>380</v>
      </c>
      <c r="V789" s="2" t="s">
        <v>1128</v>
      </c>
    </row>
    <row r="790" spans="1:22" x14ac:dyDescent="0.2">
      <c r="A790" t="str">
        <f>B766</f>
        <v>hydrogen supply, transported by train, produced by Electrolysis, SOEC using water and electricity from Solar PV (DE)</v>
      </c>
      <c r="B790" s="45">
        <v>1</v>
      </c>
      <c r="C790" t="str">
        <f>B772</f>
        <v>kilogram</v>
      </c>
      <c r="E790" t="str">
        <f>B769</f>
        <v>CH</v>
      </c>
      <c r="F790" t="s">
        <v>62</v>
      </c>
      <c r="G790" t="str">
        <f>B771</f>
        <v>hydrogen, gaseous, from truck</v>
      </c>
      <c r="K790" t="str">
        <f>B766</f>
        <v>hydrogen supply, transported by train, produced by Electrolysis, SOEC using water and electricity from Solar PV (DE)</v>
      </c>
    </row>
    <row r="791" spans="1:22" x14ac:dyDescent="0.2">
      <c r="A791" t="str">
        <f>VLOOKUP(J791,'dataset mapping'!$A$4:$E$69,2,0)</f>
        <v>hydrogen production, gaseous, 25 bar, from SOEC electrolysis, from German solar PV</v>
      </c>
      <c r="B791" s="53">
        <v>1</v>
      </c>
      <c r="C791" t="str">
        <f>VLOOKUP(J791,'dataset mapping'!$A$4:$E$69,5,0)</f>
        <v>kilogram</v>
      </c>
      <c r="E791" t="str">
        <f>VLOOKUP(J791,'dataset mapping'!$A$4:$E$69,4,0)</f>
        <v>DE</v>
      </c>
      <c r="F791" t="s">
        <v>86</v>
      </c>
      <c r="G791" t="str">
        <f>VLOOKUP(J791,'dataset mapping'!$A$4:$E$69,3,0)</f>
        <v>hydrogen, gaseous, 25 bar</v>
      </c>
      <c r="H791" t="s">
        <v>281</v>
      </c>
      <c r="I791" t="s">
        <v>1054</v>
      </c>
      <c r="J791" t="str">
        <f>B747&amp;" - "&amp;B749</f>
        <v>Electrolysis, SOEC - Solar PV (DE)</v>
      </c>
      <c r="K791" t="str">
        <f>B766</f>
        <v>hydrogen supply, transported by train, produced by Electrolysis, SOEC using water and electricity from Solar PV (DE)</v>
      </c>
      <c r="L791">
        <f>IF(OR(B791&lt;0,B791=0),1,2)</f>
        <v>2</v>
      </c>
      <c r="M791">
        <f>IF(L791=2,LN(B791),"")</f>
        <v>0</v>
      </c>
      <c r="N791">
        <v>1.5</v>
      </c>
      <c r="O791" s="15">
        <v>1.2</v>
      </c>
      <c r="P791">
        <v>1.5</v>
      </c>
      <c r="Q791">
        <v>1.1000000000000001</v>
      </c>
      <c r="R791">
        <v>2</v>
      </c>
      <c r="S791">
        <v>1.2</v>
      </c>
      <c r="T791">
        <v>1.05</v>
      </c>
      <c r="U791">
        <f>LN(SQRT(EXP(
SQRT(
+POWER(LN(N791),2)
+POWER(LN(O791),2)
+POWER(LN(P791),2)
+POWER(LN(Q791),2)
+POWER(LN(R791),2)
+POWER(LN(S791),2)
+POWER(LN(T791),2)
)
)))</f>
        <v>0.47095746419981693</v>
      </c>
    </row>
    <row r="792" spans="1:22" x14ac:dyDescent="0.2">
      <c r="A792" t="str">
        <f>VLOOKUP(J792,'dataset mapping'!$A$4:$E$69,2,0)</f>
        <v>hydrogen production, gaseous, 25 bar, from SOEC electrolysis, from German solar PV</v>
      </c>
      <c r="B792" s="53">
        <f>(B791*B785)+(B786*B791)</f>
        <v>2.8000000000000001E-2</v>
      </c>
      <c r="C792" t="str">
        <f>VLOOKUP(J792,'dataset mapping'!$A$4:$E$69,5,0)</f>
        <v>kilogram</v>
      </c>
      <c r="E792" t="str">
        <f>VLOOKUP(J792,'dataset mapping'!$A$4:$E$69,4,0)</f>
        <v>DE</v>
      </c>
      <c r="F792" t="s">
        <v>86</v>
      </c>
      <c r="G792" t="str">
        <f>VLOOKUP(J792,'dataset mapping'!$A$4:$E$69,3,0)</f>
        <v>hydrogen, gaseous, 25 bar</v>
      </c>
      <c r="H792" t="s">
        <v>76</v>
      </c>
      <c r="I792" t="s">
        <v>1054</v>
      </c>
      <c r="J792" t="str">
        <f>B747&amp;" - "&amp;B749</f>
        <v>Electrolysis, SOEC - Solar PV (DE)</v>
      </c>
      <c r="K792" t="str">
        <f>B767</f>
        <v>This dataset represents the supply of 1 kilogram of hydrogen. The hydrogen is transported by train over 1000 km from regional storage.  The hydrogen is produced by  Electrolysis, SOEC, with water and electricity from Solar PV (DE)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792">
        <f>IF(OR(B792&lt;0,B792=0),1,2)</f>
        <v>2</v>
      </c>
      <c r="M792">
        <f>IF(L792=2,LN(B792),"")</f>
        <v>-3.575550768806933</v>
      </c>
      <c r="N792">
        <v>1.5</v>
      </c>
      <c r="O792" s="15">
        <v>1.2</v>
      </c>
      <c r="P792">
        <v>1.5</v>
      </c>
      <c r="Q792">
        <v>1.1000000000000001</v>
      </c>
      <c r="R792">
        <v>2</v>
      </c>
      <c r="S792">
        <v>1.2</v>
      </c>
      <c r="T792">
        <v>1.05</v>
      </c>
      <c r="U792">
        <f>LN(SQRT(EXP(
SQRT(
+POWER(LN(N792),2)
+POWER(LN(O792),2)
+POWER(LN(P792),2)
+POWER(LN(Q792),2)
+POWER(LN(R792),2)
+POWER(LN(S792),2)
+POWER(LN(T792),2)
)
)))</f>
        <v>0.47095746419981693</v>
      </c>
    </row>
    <row r="793" spans="1:22" x14ac:dyDescent="0.2">
      <c r="A793" t="str">
        <f>VLOOKUP(J793,'dataset mapping'!$A$4:$E$69,2,0)</f>
        <v>market for transport, freight train</v>
      </c>
      <c r="B793" s="45">
        <f>SUM(B791:B792)/1000*B778</f>
        <v>1.028</v>
      </c>
      <c r="C793" t="str">
        <f>VLOOKUP(J793,'dataset mapping'!$A$4:$E$69,5,0)</f>
        <v>ton kilometer</v>
      </c>
      <c r="E793" t="str">
        <f>VLOOKUP(J793,'dataset mapping'!$A$4:$E$69,4,0)</f>
        <v>CH</v>
      </c>
      <c r="F793" t="s">
        <v>86</v>
      </c>
      <c r="G793" t="str">
        <f>VLOOKUP(J793,'dataset mapping'!$A$4:$E$69,3,0)</f>
        <v>transport, freight train</v>
      </c>
      <c r="H793" t="s">
        <v>88</v>
      </c>
      <c r="I793" t="s">
        <v>1052</v>
      </c>
      <c r="J793" t="s">
        <v>295</v>
      </c>
      <c r="K793" t="str">
        <f>B749</f>
        <v>Solar PV (DE)</v>
      </c>
      <c r="L793">
        <f t="shared" ref="L793" si="69">IF(OR(B793&lt;0,B793=0),1,2)</f>
        <v>2</v>
      </c>
      <c r="M793">
        <f t="shared" ref="M793" si="70">IF(L793=2,LN(B793),"")</f>
        <v>2.7615167032973391E-2</v>
      </c>
      <c r="N793">
        <v>1.5</v>
      </c>
      <c r="O793" s="15">
        <v>1.2</v>
      </c>
      <c r="P793">
        <v>1.5</v>
      </c>
      <c r="Q793">
        <v>1.1000000000000001</v>
      </c>
      <c r="R793">
        <v>2</v>
      </c>
      <c r="S793">
        <v>1.2</v>
      </c>
      <c r="T793">
        <v>2</v>
      </c>
      <c r="U793">
        <f t="shared" ref="U793" si="71">LN(SQRT(EXP(
SQRT(
+POWER(LN(N793),2)
+POWER(LN(O793),2)
+POWER(LN(P793),2)
+POWER(LN(Q793),2)
+POWER(LN(R793),2)
+POWER(LN(S793),2)
+POWER(LN(T793),2)
)
)))</f>
        <v>0.58422518478336083</v>
      </c>
    </row>
    <row r="794" spans="1:22" x14ac:dyDescent="0.2">
      <c r="A794" t="s">
        <v>1038</v>
      </c>
      <c r="B794" s="53">
        <f>SUM(B791:B792)</f>
        <v>1.028</v>
      </c>
      <c r="C794" t="str">
        <f>VLOOKUP(J794,'dataset mapping'!$A$4:$E$69,5,0)</f>
        <v>kilogram</v>
      </c>
      <c r="E794" t="s">
        <v>64</v>
      </c>
      <c r="F794" t="s">
        <v>86</v>
      </c>
      <c r="G794" t="s">
        <v>1039</v>
      </c>
      <c r="H794" t="s">
        <v>88</v>
      </c>
      <c r="I794" t="s">
        <v>1040</v>
      </c>
      <c r="J794" t="s">
        <v>229</v>
      </c>
      <c r="K794" t="str">
        <f>B766</f>
        <v>hydrogen supply, transported by train, produced by Electrolysis, SOEC using water and electricity from Solar PV (DE)</v>
      </c>
      <c r="L794">
        <f>IF(OR(B794&lt;0,B794=0),1,2)</f>
        <v>2</v>
      </c>
      <c r="M794">
        <f>IF(L794=2,LN(B794),"")</f>
        <v>2.7615167032973391E-2</v>
      </c>
      <c r="N794">
        <v>1.5</v>
      </c>
      <c r="O794" s="15">
        <v>1.2</v>
      </c>
      <c r="P794">
        <v>1.5</v>
      </c>
      <c r="Q794">
        <v>1.1000000000000001</v>
      </c>
      <c r="R794">
        <v>2</v>
      </c>
      <c r="S794">
        <v>1.2</v>
      </c>
      <c r="T794">
        <v>3</v>
      </c>
      <c r="U794">
        <f>LN(SQRT(EXP(
SQRT(
+POWER(LN(N794),2)
+POWER(LN(O794),2)
+POWER(LN(P794),2)
+POWER(LN(Q794),2)
+POWER(LN(R794),2)
+POWER(LN(S794),2)
+POWER(LN(T794),2)
)
)))</f>
        <v>0.72314801614797197</v>
      </c>
    </row>
    <row r="795" spans="1:22" x14ac:dyDescent="0.2">
      <c r="A795" t="s">
        <v>130</v>
      </c>
      <c r="B795" s="52">
        <f>(VLOOKUP(B781,parameters!$A$71:$B$78,2,0)+VLOOKUP(B777,parameters!$A$82:$B$84,2,0)+VLOOKUP(B777,parameters!$A$87:$B$89,2,0))*SUM(B791:B792)</f>
        <v>3.5774400000000006</v>
      </c>
      <c r="C795" t="s">
        <v>92</v>
      </c>
      <c r="E795" t="s">
        <v>64</v>
      </c>
      <c r="F795" t="s">
        <v>86</v>
      </c>
      <c r="G795" t="s">
        <v>93</v>
      </c>
      <c r="H795" t="s">
        <v>78</v>
      </c>
      <c r="I795" t="s">
        <v>1053</v>
      </c>
      <c r="J795" t="s">
        <v>67</v>
      </c>
      <c r="K795" t="str">
        <f>B766</f>
        <v>hydrogen supply, transported by train, produced by Electrolysis, SOEC using water and electricity from Solar PV (DE)</v>
      </c>
      <c r="L795">
        <f>IF(OR(B795&lt;0,B795=0),1,2)</f>
        <v>2</v>
      </c>
      <c r="M795">
        <f>IF(L795=2,LN(B795),"")</f>
        <v>1.2746474608193565</v>
      </c>
      <c r="N795">
        <v>1.5</v>
      </c>
      <c r="O795" s="15">
        <v>1.2</v>
      </c>
      <c r="P795">
        <v>1.5</v>
      </c>
      <c r="Q795">
        <v>1.1000000000000001</v>
      </c>
      <c r="R795">
        <v>2</v>
      </c>
      <c r="S795">
        <v>1.2</v>
      </c>
      <c r="T795">
        <v>1.05</v>
      </c>
      <c r="U795">
        <f>LN(SQRT(EXP(
SQRT(
+POWER(LN(N795),2)
+POWER(LN(O795),2)
+POWER(LN(P795),2)
+POWER(LN(Q795),2)
+POWER(LN(R795),2)
+POWER(LN(S795),2)
+POWER(LN(T795),2)
)
)))</f>
        <v>0.47095746419981693</v>
      </c>
    </row>
    <row r="796" spans="1:22" x14ac:dyDescent="0.2">
      <c r="A796" t="s">
        <v>7</v>
      </c>
      <c r="B796" s="53">
        <f>B792</f>
        <v>2.8000000000000001E-2</v>
      </c>
      <c r="C796" t="s">
        <v>56</v>
      </c>
      <c r="D796" t="s">
        <v>100</v>
      </c>
      <c r="F796" t="s">
        <v>99</v>
      </c>
      <c r="H796" t="s">
        <v>131</v>
      </c>
      <c r="I796" t="s">
        <v>160</v>
      </c>
      <c r="K796" t="str">
        <f>B766</f>
        <v>hydrogen supply, transported by train, produced by Electrolysis, SOEC using water and electricity from Solar PV (DE)</v>
      </c>
      <c r="L796">
        <f>IF(OR(B796&lt;0,B796=0),1,2)</f>
        <v>2</v>
      </c>
      <c r="M796">
        <f>IF(L796=2,LN(B796),"")</f>
        <v>-3.575550768806933</v>
      </c>
      <c r="N796">
        <v>1.5</v>
      </c>
      <c r="O796" s="15">
        <v>1.2</v>
      </c>
      <c r="P796">
        <v>1.5</v>
      </c>
      <c r="Q796">
        <v>1.1000000000000001</v>
      </c>
      <c r="R796">
        <v>2</v>
      </c>
      <c r="S796">
        <v>1.2</v>
      </c>
      <c r="T796">
        <v>1.05</v>
      </c>
      <c r="U796">
        <f>LN(SQRT(EXP(
SQRT(
+POWER(LN(N796),2)
+POWER(LN(O796),2)
+POWER(LN(P796),2)
+POWER(LN(Q796),2)
+POWER(LN(R796),2)
+POWER(LN(S796),2)
+POWER(LN(T796),2)
)
)))</f>
        <v>0.47095746419981693</v>
      </c>
    </row>
    <row r="798" spans="1:22" x14ac:dyDescent="0.2">
      <c r="A798" s="2" t="s">
        <v>50</v>
      </c>
      <c r="B798" s="44" t="str">
        <f>"hydrogen supply, transported by "&amp;B809&amp;", produced by "&amp;B813&amp;" using "&amp;B814&amp;" from "&amp;B815</f>
        <v>hydrogen supply, transported by pipeline, produced by Electrolysis, Alkaline using water and electricity from Wind (DK)</v>
      </c>
    </row>
    <row r="799" spans="1:22" x14ac:dyDescent="0.2">
      <c r="A799" t="s">
        <v>51</v>
      </c>
      <c r="B799" s="45" t="str">
        <f>"This dataset represents the supply of 1 kilogram of hydrogen. The hydrogen is transported by "&amp;B809&amp;" over "&amp;B810&amp;" km from regional storage. "&amp;" The "&amp;B808&amp;" is produced by  "&amp;B813&amp;", with "&amp;B814&amp;" from "&amp;B815&amp;" as feedstock. "&amp;A817&amp;": "&amp;(B817*100)&amp;"%. "&amp;A818&amp;": "&amp;(B818*100)&amp;".  For more information, refer to: "&amp;B800</f>
        <v>This dataset represents the supply of 1 kilogram of hydrogen. The hydrogen is transported by pipeline over 1300 km from regional storage.  The hydrogen is produced by  Electrolysis, Alkaline,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800" spans="1:22" x14ac:dyDescent="0.2">
      <c r="A800" t="s">
        <v>63</v>
      </c>
      <c r="B800" s="45" t="s">
        <v>1223</v>
      </c>
    </row>
    <row r="801" spans="1:2" x14ac:dyDescent="0.2">
      <c r="A801" t="s">
        <v>52</v>
      </c>
      <c r="B801" s="45" t="s">
        <v>64</v>
      </c>
    </row>
    <row r="802" spans="1:2" x14ac:dyDescent="0.2">
      <c r="A802" t="s">
        <v>48</v>
      </c>
      <c r="B802" s="45">
        <v>97</v>
      </c>
    </row>
    <row r="803" spans="1:2" x14ac:dyDescent="0.2">
      <c r="A803" t="s">
        <v>54</v>
      </c>
      <c r="B803" s="45" t="s">
        <v>1129</v>
      </c>
    </row>
    <row r="804" spans="1:2" x14ac:dyDescent="0.2">
      <c r="A804" t="s">
        <v>55</v>
      </c>
      <c r="B804" s="45" t="s">
        <v>56</v>
      </c>
    </row>
    <row r="805" spans="1:2" x14ac:dyDescent="0.2">
      <c r="A805" t="s">
        <v>0</v>
      </c>
      <c r="B805" s="45" t="str">
        <f>INDEX(overview!$B$4:$R$338,MATCH('hydrogen - supply'!B802,overview!$A$4:$A$338,0),MATCH('hydrogen - supply'!A805,overview!$B$3:$R$3,0))</f>
        <v>Switzerland</v>
      </c>
    </row>
    <row r="806" spans="1:2" x14ac:dyDescent="0.2">
      <c r="A806" t="s">
        <v>1</v>
      </c>
      <c r="B806" s="45">
        <f>INDEX(overview!$B$4:$R$338,MATCH('hydrogen - supply'!B802,overview!$A$4:$A$338,0),MATCH('hydrogen - supply'!A806,overview!$B$3:$R$3,0))</f>
        <v>2020</v>
      </c>
    </row>
    <row r="807" spans="1:2" x14ac:dyDescent="0.2">
      <c r="A807" t="s">
        <v>2</v>
      </c>
      <c r="B807" s="45" t="s">
        <v>1130</v>
      </c>
    </row>
    <row r="808" spans="1:2" x14ac:dyDescent="0.2">
      <c r="A808" t="s">
        <v>5</v>
      </c>
      <c r="B808" s="45" t="str">
        <f>INDEX(overview!$B$4:$R$338,MATCH('hydrogen - supply'!B802,overview!$A$4:$A$338,0),MATCH('hydrogen - supply'!A808,overview!$B$3:$R$3,0))</f>
        <v>hydrogen</v>
      </c>
    </row>
    <row r="809" spans="1:2" x14ac:dyDescent="0.2">
      <c r="A809" t="s">
        <v>4</v>
      </c>
      <c r="B809" s="45" t="str">
        <f>INDEX(overview!$B$4:$R$338,MATCH('hydrogen - supply'!B802,overview!$A$4:$A$338,0),MATCH('hydrogen - supply'!A809,overview!$B$3:$R$3,0))</f>
        <v>pipeline</v>
      </c>
    </row>
    <row r="810" spans="1:2" x14ac:dyDescent="0.2">
      <c r="A810" t="s">
        <v>38</v>
      </c>
      <c r="B810" s="45">
        <f>INDEX(overview!$B$4:$R$338,MATCH('hydrogen - supply'!B802,overview!$A$4:$A$338,0),MATCH('hydrogen - supply'!A810,overview!$B$3:$R$3,0))</f>
        <v>1300</v>
      </c>
    </row>
    <row r="811" spans="1:2" x14ac:dyDescent="0.2">
      <c r="A811" t="s">
        <v>12</v>
      </c>
      <c r="B811" s="45" t="str">
        <f>INDEX(overview!$B$4:$R$338,MATCH('hydrogen - supply'!B802,overview!$A$4:$A$338,0),MATCH('hydrogen - supply'!A811,overview!$B$3:$R$3,0))</f>
        <v>Pressure vessel for stationary storage</v>
      </c>
    </row>
    <row r="812" spans="1:2" x14ac:dyDescent="0.2">
      <c r="A812" t="s">
        <v>34</v>
      </c>
      <c r="B812" s="45">
        <f>INDEX(overview!$B$4:$R$338,MATCH('hydrogen - supply'!B802,overview!$A$4:$A$338,0),MATCH('hydrogen - supply'!A812,overview!$B$3:$R$3,0))</f>
        <v>0</v>
      </c>
    </row>
    <row r="813" spans="1:2" x14ac:dyDescent="0.2">
      <c r="A813" t="s">
        <v>15</v>
      </c>
      <c r="B813" s="45" t="str">
        <f>INDEX(overview!$B$4:$R$338,MATCH('hydrogen - supply'!B802,overview!$A$4:$A$338,0),MATCH('hydrogen - supply'!A813,overview!$B$3:$R$3,0))</f>
        <v>Electrolysis, Alkaline</v>
      </c>
    </row>
    <row r="814" spans="1:2" x14ac:dyDescent="0.2">
      <c r="A814" t="s">
        <v>14</v>
      </c>
      <c r="B814" s="45" t="str">
        <f>INDEX(overview!$B$4:$R$338,MATCH('hydrogen - supply'!B802,overview!$A$4:$A$338,0),MATCH('hydrogen - supply'!A814,overview!$B$3:$R$3,0))</f>
        <v>water and electricity</v>
      </c>
    </row>
    <row r="815" spans="1:2" x14ac:dyDescent="0.2">
      <c r="A815" t="s">
        <v>26</v>
      </c>
      <c r="B815" s="45" t="str">
        <f>INDEX(overview!$B$4:$R$338,MATCH('hydrogen - supply'!B802,overview!$A$4:$A$338,0),MATCH('hydrogen - supply'!A815,overview!$B$3:$R$3,0))</f>
        <v>Wind (DK)</v>
      </c>
    </row>
    <row r="816" spans="1:2" x14ac:dyDescent="0.2">
      <c r="A816" t="s">
        <v>29</v>
      </c>
      <c r="B816" s="45">
        <f>INDEX(overview!$B$4:$R$338,MATCH('hydrogen - supply'!B802,overview!$A$4:$A$338,0),MATCH('hydrogen - supply'!A816,overview!$B$3:$R$3,0))</f>
        <v>0</v>
      </c>
    </row>
    <row r="817" spans="1:22" x14ac:dyDescent="0.2">
      <c r="A817" t="s">
        <v>45</v>
      </c>
      <c r="B817" s="66">
        <f>VLOOKUP(B809,parameters!$A$94:$C$96,2,0)</f>
        <v>0.01</v>
      </c>
    </row>
    <row r="818" spans="1:22" x14ac:dyDescent="0.2">
      <c r="A818" t="s">
        <v>1133</v>
      </c>
      <c r="B818" s="49">
        <f>VLOOKUP(B809,parameters!$A$94:$D$96,3,0)</f>
        <v>2.3E-2</v>
      </c>
    </row>
    <row r="819" spans="1:22" x14ac:dyDescent="0.2">
      <c r="B819" s="45"/>
    </row>
    <row r="820" spans="1:22" x14ac:dyDescent="0.2">
      <c r="A820" s="3" t="s">
        <v>57</v>
      </c>
      <c r="B820" s="45"/>
    </row>
    <row r="821" spans="1:22" x14ac:dyDescent="0.2">
      <c r="A821" s="2" t="s">
        <v>58</v>
      </c>
      <c r="B821" s="44" t="s">
        <v>59</v>
      </c>
      <c r="C821" s="2" t="s">
        <v>55</v>
      </c>
      <c r="D821" s="2" t="s">
        <v>60</v>
      </c>
      <c r="E821" s="2" t="s">
        <v>52</v>
      </c>
      <c r="F821" s="2" t="s">
        <v>61</v>
      </c>
      <c r="G821" s="2" t="s">
        <v>54</v>
      </c>
      <c r="H821" s="2" t="s">
        <v>87</v>
      </c>
      <c r="I821" s="2" t="s">
        <v>51</v>
      </c>
      <c r="J821" s="2" t="s">
        <v>138</v>
      </c>
      <c r="K821" s="2" t="s">
        <v>136</v>
      </c>
      <c r="L821" s="2" t="s">
        <v>221</v>
      </c>
      <c r="M821" s="2" t="s">
        <v>379</v>
      </c>
      <c r="N821" s="2" t="s">
        <v>1059</v>
      </c>
      <c r="O821" s="2" t="s">
        <v>1060</v>
      </c>
      <c r="P821" s="2" t="s">
        <v>1061</v>
      </c>
      <c r="Q821" s="2" t="s">
        <v>1062</v>
      </c>
      <c r="R821" s="2" t="s">
        <v>1063</v>
      </c>
      <c r="S821" s="2" t="s">
        <v>1064</v>
      </c>
      <c r="T821" s="2" t="s">
        <v>1065</v>
      </c>
      <c r="U821" s="2" t="s">
        <v>380</v>
      </c>
      <c r="V821" s="2" t="s">
        <v>1128</v>
      </c>
    </row>
    <row r="822" spans="1:22" x14ac:dyDescent="0.2">
      <c r="A822" t="str">
        <f>B798</f>
        <v>hydrogen supply, transported by pipeline, produced by Electrolysis, Alkaline using water and electricity from Wind (DK)</v>
      </c>
      <c r="B822" s="45">
        <v>1</v>
      </c>
      <c r="C822" t="str">
        <f>B804</f>
        <v>kilogram</v>
      </c>
      <c r="E822" t="str">
        <f>B801</f>
        <v>CH</v>
      </c>
      <c r="F822" t="s">
        <v>62</v>
      </c>
      <c r="G822" t="str">
        <f>B803</f>
        <v>hydrogen, gaseous, from pipeline</v>
      </c>
      <c r="K822" t="str">
        <f>B798</f>
        <v>hydrogen supply, transported by pipeline, produced by Electrolysis, Alkaline using water and electricity from Wind (DK)</v>
      </c>
    </row>
    <row r="823" spans="1:22" x14ac:dyDescent="0.2">
      <c r="A823" t="str">
        <f>VLOOKUP(J823,'dataset mapping'!$A$4:$E$69,2,0)</f>
        <v>hydrogen production, gaseous, 30 bar, from AEC electrolysis, from Danish wind turbines</v>
      </c>
      <c r="B823" s="53">
        <v>1</v>
      </c>
      <c r="C823" t="str">
        <f>VLOOKUP(J823,'dataset mapping'!$A$4:$E$69,5,0)</f>
        <v>kilogram</v>
      </c>
      <c r="E823" t="str">
        <f>VLOOKUP(J823,'dataset mapping'!$A$4:$E$69,4,0)</f>
        <v>DK</v>
      </c>
      <c r="F823" t="s">
        <v>86</v>
      </c>
      <c r="G823" t="str">
        <f>VLOOKUP(J823,'dataset mapping'!$A$4:$E$69,3,0)</f>
        <v>hydrogen, gaseous, 30 bar</v>
      </c>
      <c r="H823" t="s">
        <v>281</v>
      </c>
      <c r="I823" t="s">
        <v>1054</v>
      </c>
      <c r="J823" t="str">
        <f>B813&amp;" - "&amp;B815</f>
        <v>Electrolysis, Alkaline - Wind (DK)</v>
      </c>
      <c r="K823" t="str">
        <f>B798</f>
        <v>hydrogen supply, transported by pipeline, produced by Electrolysis, Alkaline using water and electricity from Wind (DK)</v>
      </c>
      <c r="L823">
        <f t="shared" ref="L823:L830" si="72">IF(OR(B823&lt;0,B823=0),1,2)</f>
        <v>2</v>
      </c>
      <c r="M823">
        <f t="shared" ref="M823:M830" si="73">IF(L823=2,LN(B823),"")</f>
        <v>0</v>
      </c>
      <c r="N823">
        <v>1.5</v>
      </c>
      <c r="O823" s="15">
        <v>1.2</v>
      </c>
      <c r="P823">
        <v>1.5</v>
      </c>
      <c r="Q823">
        <v>1.1000000000000001</v>
      </c>
      <c r="R823">
        <v>2</v>
      </c>
      <c r="S823">
        <v>1.2</v>
      </c>
      <c r="T823">
        <v>1.05</v>
      </c>
      <c r="U823">
        <f t="shared" ref="U823:U830" si="74">LN(SQRT(EXP(
SQRT(
+POWER(LN(N823),2)
+POWER(LN(O823),2)
+POWER(LN(P823),2)
+POWER(LN(Q823),2)
+POWER(LN(R823),2)
+POWER(LN(S823),2)
+POWER(LN(T823),2)
)
)))</f>
        <v>0.47095746419981693</v>
      </c>
    </row>
    <row r="824" spans="1:22" x14ac:dyDescent="0.2">
      <c r="A824" t="str">
        <f>VLOOKUP(J824,'dataset mapping'!$A$4:$E$69,2,0)</f>
        <v>hydrogen production, gaseous, 30 bar, from AEC electrolysis, from Danish wind turbines</v>
      </c>
      <c r="B824" s="53">
        <f>(B823*B817)+(B818*B823)</f>
        <v>3.3000000000000002E-2</v>
      </c>
      <c r="C824" t="str">
        <f>VLOOKUP(J824,'dataset mapping'!$A$4:$E$69,5,0)</f>
        <v>kilogram</v>
      </c>
      <c r="E824" t="str">
        <f>VLOOKUP(J824,'dataset mapping'!$A$4:$E$69,4,0)</f>
        <v>DK</v>
      </c>
      <c r="F824" t="s">
        <v>86</v>
      </c>
      <c r="G824" t="str">
        <f>VLOOKUP(J824,'dataset mapping'!$A$4:$E$69,3,0)</f>
        <v>hydrogen, gaseous, 30 bar</v>
      </c>
      <c r="H824" t="s">
        <v>76</v>
      </c>
      <c r="I824" t="s">
        <v>1054</v>
      </c>
      <c r="J824" t="str">
        <f>B813&amp;" - "&amp;B815</f>
        <v>Electrolysis, Alkaline - Wind (DK)</v>
      </c>
      <c r="K824" t="str">
        <f>B799</f>
        <v>This dataset represents the supply of 1 kilogram of hydrogen. The hydrogen is transported by pipeline over 1300 km from regional storage.  The hydrogen is produced by  Electrolysis, Alkaline,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824">
        <f t="shared" si="72"/>
        <v>2</v>
      </c>
      <c r="M824">
        <f t="shared" si="73"/>
        <v>-3.4112477175156566</v>
      </c>
      <c r="N824">
        <v>1.5</v>
      </c>
      <c r="O824" s="15">
        <v>1.2</v>
      </c>
      <c r="P824">
        <v>1.5</v>
      </c>
      <c r="Q824">
        <v>1.1000000000000001</v>
      </c>
      <c r="R824">
        <v>2</v>
      </c>
      <c r="S824">
        <v>1.2</v>
      </c>
      <c r="T824">
        <v>1.05</v>
      </c>
      <c r="U824">
        <f t="shared" si="74"/>
        <v>0.47095746419981693</v>
      </c>
    </row>
    <row r="825" spans="1:22" x14ac:dyDescent="0.2">
      <c r="A825" t="str">
        <f>VLOOKUP(J825,'dataset mapping'!$A$4:$E$69,2,0)</f>
        <v>distribution pipeline for hydrogen, dedicated hydrogen pipeline</v>
      </c>
      <c r="B825" s="45">
        <f>0.000000000265*SUM(B823:B824)*B810*0.86</f>
        <v>3.0604691000000003E-7</v>
      </c>
      <c r="C825" t="str">
        <f>VLOOKUP(J825,'dataset mapping'!$A$4:$E$69,5,0)</f>
        <v>kilometer</v>
      </c>
      <c r="E825" t="str">
        <f>VLOOKUP(J825,'dataset mapping'!$A$4:$E$69,4,0)</f>
        <v>CH</v>
      </c>
      <c r="F825" t="s">
        <v>86</v>
      </c>
      <c r="G825" t="str">
        <f>VLOOKUP(J825,'dataset mapping'!$A$4:$E$69,3,0)</f>
        <v>pipeline, for hydrogen distribution</v>
      </c>
      <c r="H825" t="s">
        <v>88</v>
      </c>
      <c r="I825" t="s">
        <v>1052</v>
      </c>
      <c r="J825" t="s">
        <v>218</v>
      </c>
      <c r="K825" t="str">
        <f>B798</f>
        <v>hydrogen supply, transported by pipeline, produced by Electrolysis, Alkaline using water and electricity from Wind (DK)</v>
      </c>
      <c r="L825">
        <f t="shared" si="72"/>
        <v>2</v>
      </c>
      <c r="M825">
        <f t="shared" si="73"/>
        <v>-14.999527446089781</v>
      </c>
      <c r="N825">
        <v>1.5</v>
      </c>
      <c r="O825" s="15">
        <v>1.2</v>
      </c>
      <c r="P825">
        <v>1.5</v>
      </c>
      <c r="Q825">
        <v>1.1000000000000001</v>
      </c>
      <c r="R825">
        <v>2</v>
      </c>
      <c r="S825">
        <v>1.2</v>
      </c>
      <c r="T825">
        <v>3</v>
      </c>
      <c r="U825">
        <f t="shared" si="74"/>
        <v>0.72314801614797197</v>
      </c>
    </row>
    <row r="826" spans="1:22" x14ac:dyDescent="0.2">
      <c r="A826" t="str">
        <f>VLOOKUP(J826,'dataset mapping'!$A$4:$E$69,2,0)</f>
        <v>transmission pipeline for hydrogen, dedicated hydrogen pipeline</v>
      </c>
      <c r="B826" s="45">
        <f>0.000000000265*SUM(B823:B824)*B810*0.14</f>
        <v>4.9821590000000009E-8</v>
      </c>
      <c r="C826" t="str">
        <f>VLOOKUP(J826,'dataset mapping'!$A$4:$E$69,5,0)</f>
        <v>kilometer</v>
      </c>
      <c r="E826" t="str">
        <f>VLOOKUP(J826,'dataset mapping'!$A$4:$E$69,4,0)</f>
        <v>CH</v>
      </c>
      <c r="F826" t="s">
        <v>86</v>
      </c>
      <c r="G826" t="str">
        <f>VLOOKUP(J826,'dataset mapping'!$A$4:$E$69,3,0)</f>
        <v>pipeline, for hydrogen transmission</v>
      </c>
      <c r="H826" t="s">
        <v>88</v>
      </c>
      <c r="I826" t="s">
        <v>1052</v>
      </c>
      <c r="J826" t="s">
        <v>219</v>
      </c>
      <c r="K826" t="str">
        <f>B798</f>
        <v>hydrogen supply, transported by pipeline, produced by Electrolysis, Alkaline using water and electricity from Wind (DK)</v>
      </c>
      <c r="L826">
        <f t="shared" si="72"/>
        <v>2</v>
      </c>
      <c r="M826">
        <f t="shared" si="73"/>
        <v>-16.814817412728029</v>
      </c>
      <c r="N826">
        <v>1.5</v>
      </c>
      <c r="O826" s="15">
        <v>1.2</v>
      </c>
      <c r="P826">
        <v>1.5</v>
      </c>
      <c r="Q826">
        <v>1.1000000000000001</v>
      </c>
      <c r="R826">
        <v>2</v>
      </c>
      <c r="S826">
        <v>1.2</v>
      </c>
      <c r="T826">
        <v>3</v>
      </c>
      <c r="U826">
        <f t="shared" si="74"/>
        <v>0.72314801614797197</v>
      </c>
    </row>
    <row r="827" spans="1:22" x14ac:dyDescent="0.2">
      <c r="A827" t="s">
        <v>1038</v>
      </c>
      <c r="B827" s="53">
        <f>SUM(B823:B824)</f>
        <v>1.0329999999999999</v>
      </c>
      <c r="C827" t="str">
        <f>VLOOKUP(J827,'dataset mapping'!$A$4:$E$69,5,0)</f>
        <v>kilogram</v>
      </c>
      <c r="E827" t="s">
        <v>64</v>
      </c>
      <c r="F827" t="s">
        <v>86</v>
      </c>
      <c r="G827" t="s">
        <v>1039</v>
      </c>
      <c r="H827" t="s">
        <v>88</v>
      </c>
      <c r="I827" t="s">
        <v>1040</v>
      </c>
      <c r="J827" t="s">
        <v>229</v>
      </c>
      <c r="K827" t="str">
        <f>B798</f>
        <v>hydrogen supply, transported by pipeline, produced by Electrolysis, Alkaline using water and electricity from Wind (DK)</v>
      </c>
      <c r="L827">
        <f t="shared" si="72"/>
        <v>2</v>
      </c>
      <c r="M827">
        <f t="shared" si="73"/>
        <v>3.2467190137501413E-2</v>
      </c>
      <c r="N827">
        <v>1.5</v>
      </c>
      <c r="O827" s="15">
        <v>1.2</v>
      </c>
      <c r="P827">
        <v>1.5</v>
      </c>
      <c r="Q827">
        <v>1.1000000000000001</v>
      </c>
      <c r="R827">
        <v>2</v>
      </c>
      <c r="S827">
        <v>1.2</v>
      </c>
      <c r="T827">
        <v>3</v>
      </c>
      <c r="U827">
        <f t="shared" si="74"/>
        <v>0.72314801614797197</v>
      </c>
    </row>
    <row r="828" spans="1:22" x14ac:dyDescent="0.2">
      <c r="A828" t="s">
        <v>130</v>
      </c>
      <c r="B828" s="52">
        <f>(VLOOKUP(B813,parameters!$A$71:$B$78,2,0)+VLOOKUP(B809,parameters!$A$82:$B$84,2,0)+VLOOKUP(B809,parameters!$A$87:$B$89,2,0))*SUM(B823:B824)</f>
        <v>1.8697299999999999</v>
      </c>
      <c r="C828" t="s">
        <v>92</v>
      </c>
      <c r="E828" t="s">
        <v>64</v>
      </c>
      <c r="F828" t="s">
        <v>86</v>
      </c>
      <c r="G828" t="s">
        <v>93</v>
      </c>
      <c r="H828" t="s">
        <v>78</v>
      </c>
      <c r="I828" t="s">
        <v>1053</v>
      </c>
      <c r="J828" t="s">
        <v>67</v>
      </c>
      <c r="K828" t="str">
        <f>B798</f>
        <v>hydrogen supply, transported by pipeline, produced by Electrolysis, Alkaline using water and electricity from Wind (DK)</v>
      </c>
      <c r="L828">
        <f t="shared" si="72"/>
        <v>2</v>
      </c>
      <c r="M828">
        <f t="shared" si="73"/>
        <v>0.62579403541523582</v>
      </c>
      <c r="N828">
        <v>1.5</v>
      </c>
      <c r="O828" s="15">
        <v>1.2</v>
      </c>
      <c r="P828">
        <v>1.5</v>
      </c>
      <c r="Q828">
        <v>1.1000000000000001</v>
      </c>
      <c r="R828">
        <v>2</v>
      </c>
      <c r="S828">
        <v>1.2</v>
      </c>
      <c r="T828">
        <v>1.05</v>
      </c>
      <c r="U828">
        <f t="shared" si="74"/>
        <v>0.47095746419981693</v>
      </c>
    </row>
    <row r="829" spans="1:22" x14ac:dyDescent="0.2">
      <c r="A829" t="s">
        <v>130</v>
      </c>
      <c r="B829" s="52">
        <f>0.6*SUM(B823:B824)*(B810/250)</f>
        <v>3.2229599999999996</v>
      </c>
      <c r="C829" t="s">
        <v>92</v>
      </c>
      <c r="E829" t="s">
        <v>64</v>
      </c>
      <c r="F829" t="s">
        <v>86</v>
      </c>
      <c r="G829" t="s">
        <v>93</v>
      </c>
      <c r="H829" t="s">
        <v>78</v>
      </c>
      <c r="I829" t="s">
        <v>1135</v>
      </c>
      <c r="J829" t="s">
        <v>67</v>
      </c>
      <c r="K829" t="str">
        <f>B799</f>
        <v>This dataset represents the supply of 1 kilogram of hydrogen. The hydrogen is transported by pipeline over 1300 km from regional storage.  The hydrogen is produced by  Electrolysis, Alkaline,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829">
        <f t="shared" si="72"/>
        <v>2</v>
      </c>
      <c r="M829">
        <f t="shared" si="73"/>
        <v>1.1703001919588925</v>
      </c>
      <c r="N829">
        <v>1.5</v>
      </c>
      <c r="O829" s="15">
        <v>1.2</v>
      </c>
      <c r="P829">
        <v>1.5</v>
      </c>
      <c r="Q829">
        <v>1.1000000000000001</v>
      </c>
      <c r="R829">
        <v>2</v>
      </c>
      <c r="S829">
        <v>1.2</v>
      </c>
      <c r="T829">
        <v>1.05</v>
      </c>
      <c r="U829">
        <f t="shared" si="74"/>
        <v>0.47095746419981693</v>
      </c>
    </row>
    <row r="830" spans="1:22" x14ac:dyDescent="0.2">
      <c r="A830" t="s">
        <v>7</v>
      </c>
      <c r="B830" s="53">
        <f>B824</f>
        <v>3.3000000000000002E-2</v>
      </c>
      <c r="C830" t="s">
        <v>56</v>
      </c>
      <c r="D830" t="s">
        <v>100</v>
      </c>
      <c r="F830" t="s">
        <v>99</v>
      </c>
      <c r="H830" t="s">
        <v>131</v>
      </c>
      <c r="I830" t="s">
        <v>160</v>
      </c>
      <c r="K830" t="str">
        <f>B798</f>
        <v>hydrogen supply, transported by pipeline, produced by Electrolysis, Alkaline using water and electricity from Wind (DK)</v>
      </c>
      <c r="L830">
        <f t="shared" si="72"/>
        <v>2</v>
      </c>
      <c r="M830">
        <f t="shared" si="73"/>
        <v>-3.4112477175156566</v>
      </c>
      <c r="N830">
        <v>1.5</v>
      </c>
      <c r="O830" s="15">
        <v>1.2</v>
      </c>
      <c r="P830">
        <v>1.5</v>
      </c>
      <c r="Q830">
        <v>1.1000000000000001</v>
      </c>
      <c r="R830">
        <v>2</v>
      </c>
      <c r="S830">
        <v>1.2</v>
      </c>
      <c r="T830">
        <v>1.05</v>
      </c>
      <c r="U830">
        <f t="shared" si="74"/>
        <v>0.47095746419981693</v>
      </c>
    </row>
    <row r="831" spans="1:22" x14ac:dyDescent="0.2">
      <c r="B831" s="45"/>
    </row>
    <row r="832" spans="1:22" x14ac:dyDescent="0.2">
      <c r="A832" s="2" t="s">
        <v>50</v>
      </c>
      <c r="B832" s="44" t="str">
        <f>"hydrogen supply, transported by "&amp;B843&amp;", produced by "&amp;B847&amp;" using "&amp;B848&amp;" from "&amp;B849</f>
        <v>hydrogen supply, transported by train, produced by Electrolysis, Alkaline using water and electricity from Wind (DK)</v>
      </c>
    </row>
    <row r="833" spans="1:2" x14ac:dyDescent="0.2">
      <c r="A833" t="s">
        <v>51</v>
      </c>
      <c r="B833" s="45" t="str">
        <f>"This dataset represents the supply of 1 kilogram of hydrogen. The hydrogen is transported by "&amp;B843&amp;" over "&amp;B844&amp;" km from regional storage. "&amp;" The "&amp;B842&amp;" is produced by  "&amp;B847&amp;", with "&amp;B848&amp;" from "&amp;B849&amp;" as feedstock. "&amp;A851&amp;": "&amp;(B851*100)&amp;"%. "&amp;A852&amp;": "&amp;(B852*100)&amp;".  For more information, refer to: "&amp;B834</f>
        <v>This dataset represents the supply of 1 kilogram of hydrogen. The hydrogen is transported by train over 1300 km from regional storage.  The hydrogen is produced by  Electrolysis, Alkaline,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834" spans="1:2" x14ac:dyDescent="0.2">
      <c r="A834" t="s">
        <v>63</v>
      </c>
      <c r="B834" s="45" t="s">
        <v>1223</v>
      </c>
    </row>
    <row r="835" spans="1:2" x14ac:dyDescent="0.2">
      <c r="A835" t="s">
        <v>52</v>
      </c>
      <c r="B835" s="45" t="s">
        <v>64</v>
      </c>
    </row>
    <row r="836" spans="1:2" x14ac:dyDescent="0.2">
      <c r="A836" t="s">
        <v>48</v>
      </c>
      <c r="B836" s="45">
        <v>101</v>
      </c>
    </row>
    <row r="837" spans="1:2" x14ac:dyDescent="0.2">
      <c r="A837" t="s">
        <v>54</v>
      </c>
      <c r="B837" s="45" t="s">
        <v>1137</v>
      </c>
    </row>
    <row r="838" spans="1:2" x14ac:dyDescent="0.2">
      <c r="A838" t="s">
        <v>55</v>
      </c>
      <c r="B838" s="45" t="s">
        <v>56</v>
      </c>
    </row>
    <row r="839" spans="1:2" x14ac:dyDescent="0.2">
      <c r="A839" t="s">
        <v>0</v>
      </c>
      <c r="B839" s="45" t="str">
        <f>INDEX(overview!$B$4:$R$338,MATCH('hydrogen - supply'!B836,overview!$A$4:$A$338,0),MATCH('hydrogen - supply'!A839,overview!$B$3:$R$3,0))</f>
        <v>Switzerland</v>
      </c>
    </row>
    <row r="840" spans="1:2" x14ac:dyDescent="0.2">
      <c r="A840" t="s">
        <v>1</v>
      </c>
      <c r="B840" s="45">
        <f>INDEX(overview!$B$4:$R$338,MATCH('hydrogen - supply'!B836,overview!$A$4:$A$338,0),MATCH('hydrogen - supply'!A840,overview!$B$3:$R$3,0))</f>
        <v>2020</v>
      </c>
    </row>
    <row r="841" spans="1:2" x14ac:dyDescent="0.2">
      <c r="A841" t="s">
        <v>2</v>
      </c>
      <c r="B841" s="45" t="s">
        <v>1130</v>
      </c>
    </row>
    <row r="842" spans="1:2" x14ac:dyDescent="0.2">
      <c r="A842" t="s">
        <v>5</v>
      </c>
      <c r="B842" s="45" t="str">
        <f>INDEX(overview!$B$4:$R$338,MATCH('hydrogen - supply'!B836,overview!$A$4:$A$338,0),MATCH('hydrogen - supply'!A842,overview!$B$3:$R$3,0))</f>
        <v>hydrogen</v>
      </c>
    </row>
    <row r="843" spans="1:2" x14ac:dyDescent="0.2">
      <c r="A843" t="s">
        <v>4</v>
      </c>
      <c r="B843" s="45" t="str">
        <f>INDEX(overview!$B$4:$R$338,MATCH('hydrogen - supply'!B836,overview!$A$4:$A$338,0),MATCH('hydrogen - supply'!A843,overview!$B$3:$R$3,0))</f>
        <v>train</v>
      </c>
    </row>
    <row r="844" spans="1:2" x14ac:dyDescent="0.2">
      <c r="A844" t="s">
        <v>38</v>
      </c>
      <c r="B844" s="45">
        <f>INDEX(overview!$B$4:$R$338,MATCH('hydrogen - supply'!B836,overview!$A$4:$A$338,0),MATCH('hydrogen - supply'!A844,overview!$B$3:$R$3,0))</f>
        <v>1300</v>
      </c>
    </row>
    <row r="845" spans="1:2" x14ac:dyDescent="0.2">
      <c r="A845" t="s">
        <v>12</v>
      </c>
      <c r="B845" s="45" t="str">
        <f>INDEX(overview!$B$4:$R$338,MATCH('hydrogen - supply'!B836,overview!$A$4:$A$338,0),MATCH('hydrogen - supply'!A845,overview!$B$3:$R$3,0))</f>
        <v>Pressure vessel for stationary storage</v>
      </c>
    </row>
    <row r="846" spans="1:2" x14ac:dyDescent="0.2">
      <c r="A846" t="s">
        <v>34</v>
      </c>
      <c r="B846" s="45">
        <f>INDEX(overview!$B$4:$R$338,MATCH('hydrogen - supply'!B836,overview!$A$4:$A$338,0),MATCH('hydrogen - supply'!A846,overview!$B$3:$R$3,0))</f>
        <v>0</v>
      </c>
    </row>
    <row r="847" spans="1:2" x14ac:dyDescent="0.2">
      <c r="A847" t="s">
        <v>15</v>
      </c>
      <c r="B847" s="45" t="str">
        <f>INDEX(overview!$B$4:$R$338,MATCH('hydrogen - supply'!B836,overview!$A$4:$A$338,0),MATCH('hydrogen - supply'!A847,overview!$B$3:$R$3,0))</f>
        <v>Electrolysis, Alkaline</v>
      </c>
    </row>
    <row r="848" spans="1:2" x14ac:dyDescent="0.2">
      <c r="A848" t="s">
        <v>14</v>
      </c>
      <c r="B848" s="45" t="str">
        <f>INDEX(overview!$B$4:$R$338,MATCH('hydrogen - supply'!B836,overview!$A$4:$A$338,0),MATCH('hydrogen - supply'!A848,overview!$B$3:$R$3,0))</f>
        <v>water and electricity</v>
      </c>
    </row>
    <row r="849" spans="1:22" x14ac:dyDescent="0.2">
      <c r="A849" t="s">
        <v>26</v>
      </c>
      <c r="B849" s="45" t="str">
        <f>INDEX(overview!$B$4:$R$338,MATCH('hydrogen - supply'!B836,overview!$A$4:$A$338,0),MATCH('hydrogen - supply'!A849,overview!$B$3:$R$3,0))</f>
        <v>Wind (DK)</v>
      </c>
    </row>
    <row r="850" spans="1:22" x14ac:dyDescent="0.2">
      <c r="A850" t="s">
        <v>29</v>
      </c>
      <c r="B850" s="45">
        <f>INDEX(overview!$B$4:$R$338,MATCH('hydrogen - supply'!B836,overview!$A$4:$A$338,0),MATCH('hydrogen - supply'!A850,overview!$B$3:$R$3,0))</f>
        <v>0</v>
      </c>
    </row>
    <row r="851" spans="1:22" x14ac:dyDescent="0.2">
      <c r="A851" t="s">
        <v>45</v>
      </c>
      <c r="B851" s="66">
        <f>VLOOKUP(B843,parameters!$A$94:$C$96,2,0)</f>
        <v>5.0000000000000001E-3</v>
      </c>
    </row>
    <row r="852" spans="1:22" x14ac:dyDescent="0.2">
      <c r="A852" t="s">
        <v>1133</v>
      </c>
      <c r="B852" s="49">
        <f>VLOOKUP(B843,parameters!$A$94:$D$96,3,0)</f>
        <v>2.3E-2</v>
      </c>
    </row>
    <row r="853" spans="1:22" x14ac:dyDescent="0.2">
      <c r="B853" s="45"/>
    </row>
    <row r="854" spans="1:22" x14ac:dyDescent="0.2">
      <c r="A854" s="3" t="s">
        <v>57</v>
      </c>
      <c r="B854" s="45"/>
    </row>
    <row r="855" spans="1:22" x14ac:dyDescent="0.2">
      <c r="A855" s="2" t="s">
        <v>58</v>
      </c>
      <c r="B855" s="44" t="s">
        <v>59</v>
      </c>
      <c r="C855" s="2" t="s">
        <v>55</v>
      </c>
      <c r="D855" s="2" t="s">
        <v>60</v>
      </c>
      <c r="E855" s="2" t="s">
        <v>52</v>
      </c>
      <c r="F855" s="2" t="s">
        <v>61</v>
      </c>
      <c r="G855" s="2" t="s">
        <v>54</v>
      </c>
      <c r="H855" s="2" t="s">
        <v>87</v>
      </c>
      <c r="I855" s="2" t="s">
        <v>51</v>
      </c>
      <c r="J855" s="2" t="s">
        <v>138</v>
      </c>
      <c r="K855" s="2" t="s">
        <v>136</v>
      </c>
      <c r="L855" s="2" t="s">
        <v>221</v>
      </c>
      <c r="M855" s="2" t="s">
        <v>379</v>
      </c>
      <c r="N855" s="2" t="s">
        <v>1059</v>
      </c>
      <c r="O855" s="2" t="s">
        <v>1060</v>
      </c>
      <c r="P855" s="2" t="s">
        <v>1061</v>
      </c>
      <c r="Q855" s="2" t="s">
        <v>1062</v>
      </c>
      <c r="R855" s="2" t="s">
        <v>1063</v>
      </c>
      <c r="S855" s="2" t="s">
        <v>1064</v>
      </c>
      <c r="T855" s="2" t="s">
        <v>1065</v>
      </c>
      <c r="U855" s="2" t="s">
        <v>380</v>
      </c>
      <c r="V855" s="2" t="s">
        <v>1128</v>
      </c>
    </row>
    <row r="856" spans="1:22" x14ac:dyDescent="0.2">
      <c r="A856" t="str">
        <f>B832</f>
        <v>hydrogen supply, transported by train, produced by Electrolysis, Alkaline using water and electricity from Wind (DK)</v>
      </c>
      <c r="B856" s="45">
        <v>1</v>
      </c>
      <c r="C856" t="str">
        <f>B838</f>
        <v>kilogram</v>
      </c>
      <c r="E856" t="str">
        <f>B835</f>
        <v>CH</v>
      </c>
      <c r="F856" t="s">
        <v>62</v>
      </c>
      <c r="G856" t="str">
        <f>B837</f>
        <v>hydrogen, gaseous, from truck</v>
      </c>
      <c r="K856" t="str">
        <f>B832</f>
        <v>hydrogen supply, transported by train, produced by Electrolysis, Alkaline using water and electricity from Wind (DK)</v>
      </c>
    </row>
    <row r="857" spans="1:22" x14ac:dyDescent="0.2">
      <c r="A857" t="str">
        <f>VLOOKUP(J857,'dataset mapping'!$A$4:$E$69,2,0)</f>
        <v>hydrogen production, gaseous, 30 bar, from AEC electrolysis, from Danish wind turbines</v>
      </c>
      <c r="B857" s="53">
        <v>1</v>
      </c>
      <c r="C857" t="str">
        <f>VLOOKUP(J857,'dataset mapping'!$A$4:$E$69,5,0)</f>
        <v>kilogram</v>
      </c>
      <c r="E857" t="str">
        <f>VLOOKUP(J857,'dataset mapping'!$A$4:$E$69,4,0)</f>
        <v>DK</v>
      </c>
      <c r="F857" t="s">
        <v>86</v>
      </c>
      <c r="G857" t="str">
        <f>VLOOKUP(J857,'dataset mapping'!$A$4:$E$69,3,0)</f>
        <v>hydrogen, gaseous, 30 bar</v>
      </c>
      <c r="H857" t="s">
        <v>281</v>
      </c>
      <c r="I857" t="s">
        <v>1054</v>
      </c>
      <c r="J857" t="str">
        <f>B813&amp;" - "&amp;B815</f>
        <v>Electrolysis, Alkaline - Wind (DK)</v>
      </c>
      <c r="K857" t="str">
        <f>B832</f>
        <v>hydrogen supply, transported by train, produced by Electrolysis, Alkaline using water and electricity from Wind (DK)</v>
      </c>
      <c r="L857">
        <f>IF(OR(B857&lt;0,B857=0),1,2)</f>
        <v>2</v>
      </c>
      <c r="M857">
        <f>IF(L857=2,LN(B857),"")</f>
        <v>0</v>
      </c>
      <c r="N857">
        <v>1.5</v>
      </c>
      <c r="O857" s="15">
        <v>1.2</v>
      </c>
      <c r="P857">
        <v>1.5</v>
      </c>
      <c r="Q857">
        <v>1.1000000000000001</v>
      </c>
      <c r="R857">
        <v>2</v>
      </c>
      <c r="S857">
        <v>1.2</v>
      </c>
      <c r="T857">
        <v>1.05</v>
      </c>
      <c r="U857">
        <f>LN(SQRT(EXP(
SQRT(
+POWER(LN(N857),2)
+POWER(LN(O857),2)
+POWER(LN(P857),2)
+POWER(LN(Q857),2)
+POWER(LN(R857),2)
+POWER(LN(S857),2)
+POWER(LN(T857),2)
)
)))</f>
        <v>0.47095746419981693</v>
      </c>
    </row>
    <row r="858" spans="1:22" x14ac:dyDescent="0.2">
      <c r="A858" t="str">
        <f>VLOOKUP(J858,'dataset mapping'!$A$4:$E$69,2,0)</f>
        <v>hydrogen production, gaseous, 30 bar, from AEC electrolysis, from Danish wind turbines</v>
      </c>
      <c r="B858" s="53">
        <f>(B857*B851)+(B852*B857)</f>
        <v>2.8000000000000001E-2</v>
      </c>
      <c r="C858" t="str">
        <f>VLOOKUP(J858,'dataset mapping'!$A$4:$E$69,5,0)</f>
        <v>kilogram</v>
      </c>
      <c r="E858" t="str">
        <f>VLOOKUP(J858,'dataset mapping'!$A$4:$E$69,4,0)</f>
        <v>DK</v>
      </c>
      <c r="F858" t="s">
        <v>86</v>
      </c>
      <c r="G858" t="str">
        <f>VLOOKUP(J858,'dataset mapping'!$A$4:$E$69,3,0)</f>
        <v>hydrogen, gaseous, 30 bar</v>
      </c>
      <c r="H858" t="s">
        <v>76</v>
      </c>
      <c r="I858" t="s">
        <v>1054</v>
      </c>
      <c r="J858" t="str">
        <f>B813&amp;" - "&amp;B815</f>
        <v>Electrolysis, Alkaline - Wind (DK)</v>
      </c>
      <c r="K858" t="str">
        <f>B833</f>
        <v>This dataset represents the supply of 1 kilogram of hydrogen. The hydrogen is transported by train over 1300 km from regional storage.  The hydrogen is produced by  Electrolysis, Alkaline,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858">
        <f>IF(OR(B858&lt;0,B858=0),1,2)</f>
        <v>2</v>
      </c>
      <c r="M858">
        <f>IF(L858=2,LN(B858),"")</f>
        <v>-3.575550768806933</v>
      </c>
      <c r="N858">
        <v>1.5</v>
      </c>
      <c r="O858" s="15">
        <v>1.2</v>
      </c>
      <c r="P858">
        <v>1.5</v>
      </c>
      <c r="Q858">
        <v>1.1000000000000001</v>
      </c>
      <c r="R858">
        <v>2</v>
      </c>
      <c r="S858">
        <v>1.2</v>
      </c>
      <c r="T858">
        <v>1.05</v>
      </c>
      <c r="U858">
        <f>LN(SQRT(EXP(
SQRT(
+POWER(LN(N858),2)
+POWER(LN(O858),2)
+POWER(LN(P858),2)
+POWER(LN(Q858),2)
+POWER(LN(R858),2)
+POWER(LN(S858),2)
+POWER(LN(T858),2)
)
)))</f>
        <v>0.47095746419981693</v>
      </c>
    </row>
    <row r="859" spans="1:22" x14ac:dyDescent="0.2">
      <c r="A859" t="str">
        <f>VLOOKUP(J859,'dataset mapping'!$A$4:$E$69,2,0)</f>
        <v>market for transport, freight train</v>
      </c>
      <c r="B859" s="45">
        <f>SUM(B857:B858)/1000*B844</f>
        <v>1.3364</v>
      </c>
      <c r="C859" t="str">
        <f>VLOOKUP(J859,'dataset mapping'!$A$4:$E$69,5,0)</f>
        <v>ton kilometer</v>
      </c>
      <c r="E859" t="str">
        <f>VLOOKUP(J859,'dataset mapping'!$A$4:$E$69,4,0)</f>
        <v>CH</v>
      </c>
      <c r="F859" t="s">
        <v>86</v>
      </c>
      <c r="G859" t="str">
        <f>VLOOKUP(J859,'dataset mapping'!$A$4:$E$69,3,0)</f>
        <v>transport, freight train</v>
      </c>
      <c r="H859" t="s">
        <v>88</v>
      </c>
      <c r="I859" t="s">
        <v>1052</v>
      </c>
      <c r="J859" t="s">
        <v>295</v>
      </c>
      <c r="K859" t="str">
        <f>B815</f>
        <v>Wind (DK)</v>
      </c>
      <c r="L859">
        <f t="shared" ref="L859" si="75">IF(OR(B859&lt;0,B859=0),1,2)</f>
        <v>2</v>
      </c>
      <c r="M859">
        <f t="shared" ref="M859" si="76">IF(L859=2,LN(B859),"")</f>
        <v>0.28997943150046446</v>
      </c>
      <c r="N859">
        <v>1.5</v>
      </c>
      <c r="O859" s="15">
        <v>1.2</v>
      </c>
      <c r="P859">
        <v>1.5</v>
      </c>
      <c r="Q859">
        <v>1.1000000000000001</v>
      </c>
      <c r="R859">
        <v>2</v>
      </c>
      <c r="S859">
        <v>1.2</v>
      </c>
      <c r="T859">
        <v>2</v>
      </c>
      <c r="U859">
        <f t="shared" ref="U859" si="77">LN(SQRT(EXP(
SQRT(
+POWER(LN(N859),2)
+POWER(LN(O859),2)
+POWER(LN(P859),2)
+POWER(LN(Q859),2)
+POWER(LN(R859),2)
+POWER(LN(S859),2)
+POWER(LN(T859),2)
)
)))</f>
        <v>0.58422518478336083</v>
      </c>
    </row>
    <row r="860" spans="1:22" x14ac:dyDescent="0.2">
      <c r="A860" t="s">
        <v>1038</v>
      </c>
      <c r="B860" s="53">
        <f>SUM(B857:B858)</f>
        <v>1.028</v>
      </c>
      <c r="C860" t="str">
        <f>VLOOKUP(J860,'dataset mapping'!$A$4:$E$69,5,0)</f>
        <v>kilogram</v>
      </c>
      <c r="E860" t="s">
        <v>64</v>
      </c>
      <c r="F860" t="s">
        <v>86</v>
      </c>
      <c r="G860" t="s">
        <v>1039</v>
      </c>
      <c r="H860" t="s">
        <v>88</v>
      </c>
      <c r="I860" t="s">
        <v>1040</v>
      </c>
      <c r="J860" t="s">
        <v>229</v>
      </c>
      <c r="K860" t="str">
        <f>B832</f>
        <v>hydrogen supply, transported by train, produced by Electrolysis, Alkaline using water and electricity from Wind (DK)</v>
      </c>
      <c r="L860">
        <f>IF(OR(B860&lt;0,B860=0),1,2)</f>
        <v>2</v>
      </c>
      <c r="M860">
        <f>IF(L860=2,LN(B860),"")</f>
        <v>2.7615167032973391E-2</v>
      </c>
      <c r="N860">
        <v>1.5</v>
      </c>
      <c r="O860" s="15">
        <v>1.2</v>
      </c>
      <c r="P860">
        <v>1.5</v>
      </c>
      <c r="Q860">
        <v>1.1000000000000001</v>
      </c>
      <c r="R860">
        <v>2</v>
      </c>
      <c r="S860">
        <v>1.2</v>
      </c>
      <c r="T860">
        <v>3</v>
      </c>
      <c r="U860">
        <f>LN(SQRT(EXP(
SQRT(
+POWER(LN(N860),2)
+POWER(LN(O860),2)
+POWER(LN(P860),2)
+POWER(LN(Q860),2)
+POWER(LN(R860),2)
+POWER(LN(S860),2)
+POWER(LN(T860),2)
)
)))</f>
        <v>0.72314801614797197</v>
      </c>
    </row>
    <row r="861" spans="1:22" x14ac:dyDescent="0.2">
      <c r="A861" t="s">
        <v>130</v>
      </c>
      <c r="B861" s="52">
        <f>(VLOOKUP(B847,parameters!$A$71:$B$78,2,0)+VLOOKUP(B843,parameters!$A$82:$B$84,2,0)+VLOOKUP(B843,parameters!$A$87:$B$89,2,0))*SUM(B857:B858)</f>
        <v>3.4232400000000003</v>
      </c>
      <c r="C861" t="s">
        <v>92</v>
      </c>
      <c r="E861" t="s">
        <v>64</v>
      </c>
      <c r="F861" t="s">
        <v>86</v>
      </c>
      <c r="G861" t="s">
        <v>93</v>
      </c>
      <c r="H861" t="s">
        <v>78</v>
      </c>
      <c r="I861" t="s">
        <v>1053</v>
      </c>
      <c r="J861" t="s">
        <v>67</v>
      </c>
      <c r="K861" t="str">
        <f>B832</f>
        <v>hydrogen supply, transported by train, produced by Electrolysis, Alkaline using water and electricity from Wind (DK)</v>
      </c>
      <c r="L861">
        <f>IF(OR(B861&lt;0,B861=0),1,2)</f>
        <v>2</v>
      </c>
      <c r="M861">
        <f>IF(L861=2,LN(B861),"")</f>
        <v>1.230587471025326</v>
      </c>
      <c r="N861">
        <v>1.5</v>
      </c>
      <c r="O861" s="15">
        <v>1.2</v>
      </c>
      <c r="P861">
        <v>1.5</v>
      </c>
      <c r="Q861">
        <v>1.1000000000000001</v>
      </c>
      <c r="R861">
        <v>2</v>
      </c>
      <c r="S861">
        <v>1.2</v>
      </c>
      <c r="T861">
        <v>1.05</v>
      </c>
      <c r="U861">
        <f>LN(SQRT(EXP(
SQRT(
+POWER(LN(N861),2)
+POWER(LN(O861),2)
+POWER(LN(P861),2)
+POWER(LN(Q861),2)
+POWER(LN(R861),2)
+POWER(LN(S861),2)
+POWER(LN(T861),2)
)
)))</f>
        <v>0.47095746419981693</v>
      </c>
    </row>
    <row r="862" spans="1:22" x14ac:dyDescent="0.2">
      <c r="A862" t="s">
        <v>7</v>
      </c>
      <c r="B862" s="53">
        <f>B858</f>
        <v>2.8000000000000001E-2</v>
      </c>
      <c r="C862" t="s">
        <v>56</v>
      </c>
      <c r="D862" t="s">
        <v>100</v>
      </c>
      <c r="F862" t="s">
        <v>99</v>
      </c>
      <c r="H862" t="s">
        <v>131</v>
      </c>
      <c r="I862" t="s">
        <v>160</v>
      </c>
      <c r="K862" t="str">
        <f>B832</f>
        <v>hydrogen supply, transported by train, produced by Electrolysis, Alkaline using water and electricity from Wind (DK)</v>
      </c>
      <c r="L862">
        <f>IF(OR(B862&lt;0,B862=0),1,2)</f>
        <v>2</v>
      </c>
      <c r="M862">
        <f>IF(L862=2,LN(B862),"")</f>
        <v>-3.575550768806933</v>
      </c>
      <c r="N862">
        <v>1.5</v>
      </c>
      <c r="O862" s="15">
        <v>1.2</v>
      </c>
      <c r="P862">
        <v>1.5</v>
      </c>
      <c r="Q862">
        <v>1.1000000000000001</v>
      </c>
      <c r="R862">
        <v>2</v>
      </c>
      <c r="S862">
        <v>1.2</v>
      </c>
      <c r="T862">
        <v>1.05</v>
      </c>
      <c r="U862">
        <f>LN(SQRT(EXP(
SQRT(
+POWER(LN(N862),2)
+POWER(LN(O862),2)
+POWER(LN(P862),2)
+POWER(LN(Q862),2)
+POWER(LN(R862),2)
+POWER(LN(S862),2)
+POWER(LN(T862),2)
)
)))</f>
        <v>0.47095746419981693</v>
      </c>
    </row>
    <row r="864" spans="1:22" x14ac:dyDescent="0.2">
      <c r="A864" s="2" t="s">
        <v>50</v>
      </c>
      <c r="B864" s="44" t="str">
        <f>"hydrogen supply, transported by "&amp;B875&amp;", produced by "&amp;B879&amp;" using "&amp;B880&amp;" from "&amp;B881</f>
        <v>hydrogen supply, transported by pipeline, produced by Electrolysis, PEM using water and electricity from Wind (DK)</v>
      </c>
    </row>
    <row r="865" spans="1:2" x14ac:dyDescent="0.2">
      <c r="A865" t="s">
        <v>51</v>
      </c>
      <c r="B865" s="45" t="str">
        <f>"This dataset represents the supply of 1 kilogram of hydrogen. The hydrogen is transported by "&amp;B875&amp;" over "&amp;B876&amp;" km from regional storage. "&amp;" The "&amp;B874&amp;" is produced by  "&amp;B879&amp;", with "&amp;B880&amp;" from "&amp;B881&amp;" as feedstock. "&amp;A883&amp;": "&amp;(B883*100)&amp;"%. "&amp;A884&amp;": "&amp;(B884*100)&amp;".  For more information, refer to: "&amp;B866</f>
        <v>This dataset represents the supply of 1 kilogram of hydrogen. The hydrogen is transported by pipeline over 1300 km from regional storage.  The hydrogen is produced by  Electrolysis, PEM,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866" spans="1:2" x14ac:dyDescent="0.2">
      <c r="A866" t="s">
        <v>63</v>
      </c>
      <c r="B866" s="45" t="s">
        <v>1223</v>
      </c>
    </row>
    <row r="867" spans="1:2" x14ac:dyDescent="0.2">
      <c r="A867" t="s">
        <v>52</v>
      </c>
      <c r="B867" s="45" t="s">
        <v>64</v>
      </c>
    </row>
    <row r="868" spans="1:2" x14ac:dyDescent="0.2">
      <c r="A868" t="s">
        <v>48</v>
      </c>
      <c r="B868" s="45">
        <v>105</v>
      </c>
    </row>
    <row r="869" spans="1:2" x14ac:dyDescent="0.2">
      <c r="A869" t="s">
        <v>54</v>
      </c>
      <c r="B869" s="45" t="s">
        <v>1129</v>
      </c>
    </row>
    <row r="870" spans="1:2" x14ac:dyDescent="0.2">
      <c r="A870" t="s">
        <v>55</v>
      </c>
      <c r="B870" s="45" t="s">
        <v>56</v>
      </c>
    </row>
    <row r="871" spans="1:2" x14ac:dyDescent="0.2">
      <c r="A871" t="s">
        <v>0</v>
      </c>
      <c r="B871" s="45" t="str">
        <f>INDEX(overview!$B$4:$R$338,MATCH('hydrogen - supply'!B868,overview!$A$4:$A$338,0),MATCH('hydrogen - supply'!A871,overview!$B$3:$R$3,0))</f>
        <v>Switzerland</v>
      </c>
    </row>
    <row r="872" spans="1:2" x14ac:dyDescent="0.2">
      <c r="A872" t="s">
        <v>1</v>
      </c>
      <c r="B872" s="45">
        <f>INDEX(overview!$B$4:$R$338,MATCH('hydrogen - supply'!B868,overview!$A$4:$A$338,0),MATCH('hydrogen - supply'!A872,overview!$B$3:$R$3,0))</f>
        <v>2020</v>
      </c>
    </row>
    <row r="873" spans="1:2" x14ac:dyDescent="0.2">
      <c r="A873" t="s">
        <v>2</v>
      </c>
      <c r="B873" s="45" t="s">
        <v>1130</v>
      </c>
    </row>
    <row r="874" spans="1:2" x14ac:dyDescent="0.2">
      <c r="A874" t="s">
        <v>5</v>
      </c>
      <c r="B874" s="45" t="str">
        <f>INDEX(overview!$B$4:$R$338,MATCH('hydrogen - supply'!B868,overview!$A$4:$A$338,0),MATCH('hydrogen - supply'!A874,overview!$B$3:$R$3,0))</f>
        <v>hydrogen</v>
      </c>
    </row>
    <row r="875" spans="1:2" x14ac:dyDescent="0.2">
      <c r="A875" t="s">
        <v>4</v>
      </c>
      <c r="B875" s="45" t="str">
        <f>INDEX(overview!$B$4:$R$338,MATCH('hydrogen - supply'!B868,overview!$A$4:$A$338,0),MATCH('hydrogen - supply'!A875,overview!$B$3:$R$3,0))</f>
        <v>pipeline</v>
      </c>
    </row>
    <row r="876" spans="1:2" x14ac:dyDescent="0.2">
      <c r="A876" t="s">
        <v>38</v>
      </c>
      <c r="B876" s="45">
        <f>INDEX(overview!$B$4:$R$338,MATCH('hydrogen - supply'!B868,overview!$A$4:$A$338,0),MATCH('hydrogen - supply'!A876,overview!$B$3:$R$3,0))</f>
        <v>1300</v>
      </c>
    </row>
    <row r="877" spans="1:2" x14ac:dyDescent="0.2">
      <c r="A877" t="s">
        <v>12</v>
      </c>
      <c r="B877" s="45" t="str">
        <f>INDEX(overview!$B$4:$R$338,MATCH('hydrogen - supply'!B868,overview!$A$4:$A$338,0),MATCH('hydrogen - supply'!A877,overview!$B$3:$R$3,0))</f>
        <v>Pressure vessel for stationary storage</v>
      </c>
    </row>
    <row r="878" spans="1:2" x14ac:dyDescent="0.2">
      <c r="A878" t="s">
        <v>34</v>
      </c>
      <c r="B878" s="45">
        <f>INDEX(overview!$B$4:$R$338,MATCH('hydrogen - supply'!B868,overview!$A$4:$A$338,0),MATCH('hydrogen - supply'!A878,overview!$B$3:$R$3,0))</f>
        <v>0</v>
      </c>
    </row>
    <row r="879" spans="1:2" x14ac:dyDescent="0.2">
      <c r="A879" t="s">
        <v>15</v>
      </c>
      <c r="B879" s="45" t="str">
        <f>INDEX(overview!$B$4:$R$338,MATCH('hydrogen - supply'!B868,overview!$A$4:$A$338,0),MATCH('hydrogen - supply'!A879,overview!$B$3:$R$3,0))</f>
        <v>Electrolysis, PEM</v>
      </c>
    </row>
    <row r="880" spans="1:2" x14ac:dyDescent="0.2">
      <c r="A880" t="s">
        <v>14</v>
      </c>
      <c r="B880" s="45" t="str">
        <f>INDEX(overview!$B$4:$R$338,MATCH('hydrogen - supply'!B868,overview!$A$4:$A$338,0),MATCH('hydrogen - supply'!A880,overview!$B$3:$R$3,0))</f>
        <v>water and electricity</v>
      </c>
    </row>
    <row r="881" spans="1:22" x14ac:dyDescent="0.2">
      <c r="A881" t="s">
        <v>26</v>
      </c>
      <c r="B881" s="45" t="str">
        <f>INDEX(overview!$B$4:$R$338,MATCH('hydrogen - supply'!B868,overview!$A$4:$A$338,0),MATCH('hydrogen - supply'!A881,overview!$B$3:$R$3,0))</f>
        <v>Wind (DK)</v>
      </c>
    </row>
    <row r="882" spans="1:22" x14ac:dyDescent="0.2">
      <c r="A882" t="s">
        <v>29</v>
      </c>
      <c r="B882" s="45">
        <f>INDEX(overview!$B$4:$R$338,MATCH('hydrogen - supply'!B868,overview!$A$4:$A$338,0),MATCH('hydrogen - supply'!A882,overview!$B$3:$R$3,0))</f>
        <v>0</v>
      </c>
    </row>
    <row r="883" spans="1:22" x14ac:dyDescent="0.2">
      <c r="A883" t="s">
        <v>45</v>
      </c>
      <c r="B883" s="66">
        <f>VLOOKUP(B875,parameters!$A$94:$C$96,2,0)</f>
        <v>0.01</v>
      </c>
    </row>
    <row r="884" spans="1:22" x14ac:dyDescent="0.2">
      <c r="A884" t="s">
        <v>1133</v>
      </c>
      <c r="B884" s="49">
        <f>VLOOKUP(B875,parameters!$A$94:$D$96,3,0)</f>
        <v>2.3E-2</v>
      </c>
    </row>
    <row r="885" spans="1:22" x14ac:dyDescent="0.2">
      <c r="B885" s="45"/>
    </row>
    <row r="886" spans="1:22" x14ac:dyDescent="0.2">
      <c r="A886" s="3" t="s">
        <v>57</v>
      </c>
      <c r="B886" s="45"/>
    </row>
    <row r="887" spans="1:22" x14ac:dyDescent="0.2">
      <c r="A887" s="2" t="s">
        <v>58</v>
      </c>
      <c r="B887" s="44" t="s">
        <v>59</v>
      </c>
      <c r="C887" s="2" t="s">
        <v>55</v>
      </c>
      <c r="D887" s="2" t="s">
        <v>60</v>
      </c>
      <c r="E887" s="2" t="s">
        <v>52</v>
      </c>
      <c r="F887" s="2" t="s">
        <v>61</v>
      </c>
      <c r="G887" s="2" t="s">
        <v>54</v>
      </c>
      <c r="H887" s="2" t="s">
        <v>87</v>
      </c>
      <c r="I887" s="2" t="s">
        <v>51</v>
      </c>
      <c r="J887" s="2" t="s">
        <v>138</v>
      </c>
      <c r="K887" s="2" t="s">
        <v>136</v>
      </c>
      <c r="L887" s="2" t="s">
        <v>221</v>
      </c>
      <c r="M887" s="2" t="s">
        <v>379</v>
      </c>
      <c r="N887" s="2" t="s">
        <v>1059</v>
      </c>
      <c r="O887" s="2" t="s">
        <v>1060</v>
      </c>
      <c r="P887" s="2" t="s">
        <v>1061</v>
      </c>
      <c r="Q887" s="2" t="s">
        <v>1062</v>
      </c>
      <c r="R887" s="2" t="s">
        <v>1063</v>
      </c>
      <c r="S887" s="2" t="s">
        <v>1064</v>
      </c>
      <c r="T887" s="2" t="s">
        <v>1065</v>
      </c>
      <c r="U887" s="2" t="s">
        <v>380</v>
      </c>
      <c r="V887" s="2" t="s">
        <v>1128</v>
      </c>
    </row>
    <row r="888" spans="1:22" x14ac:dyDescent="0.2">
      <c r="A888" t="str">
        <f>B864</f>
        <v>hydrogen supply, transported by pipeline, produced by Electrolysis, PEM using water and electricity from Wind (DK)</v>
      </c>
      <c r="B888" s="45">
        <v>1</v>
      </c>
      <c r="C888" t="str">
        <f>B870</f>
        <v>kilogram</v>
      </c>
      <c r="E888" t="str">
        <f>B867</f>
        <v>CH</v>
      </c>
      <c r="F888" t="s">
        <v>62</v>
      </c>
      <c r="G888" t="str">
        <f>B869</f>
        <v>hydrogen, gaseous, from pipeline</v>
      </c>
      <c r="K888" t="str">
        <f>B864</f>
        <v>hydrogen supply, transported by pipeline, produced by Electrolysis, PEM using water and electricity from Wind (DK)</v>
      </c>
    </row>
    <row r="889" spans="1:22" x14ac:dyDescent="0.2">
      <c r="A889" t="str">
        <f>VLOOKUP(J889,'dataset mapping'!$A$4:$E$69,2,0)</f>
        <v>hydrogen production, gaseous, 200 bar, from PEM electrolysis, from Danish wind turbines</v>
      </c>
      <c r="B889" s="53">
        <v>1</v>
      </c>
      <c r="C889" t="str">
        <f>VLOOKUP(J889,'dataset mapping'!$A$4:$E$69,5,0)</f>
        <v>kilogram</v>
      </c>
      <c r="E889" t="str">
        <f>VLOOKUP(J889,'dataset mapping'!$A$4:$E$69,4,0)</f>
        <v>DK</v>
      </c>
      <c r="F889" t="s">
        <v>86</v>
      </c>
      <c r="G889" t="str">
        <f>VLOOKUP(J889,'dataset mapping'!$A$4:$E$69,3,0)</f>
        <v>hydrogen, gaseous, 200 bar</v>
      </c>
      <c r="H889" t="s">
        <v>281</v>
      </c>
      <c r="I889" t="s">
        <v>1054</v>
      </c>
      <c r="J889" t="str">
        <f>B879&amp;" - "&amp;B881</f>
        <v>Electrolysis, PEM - Wind (DK)</v>
      </c>
      <c r="K889" t="str">
        <f>B864</f>
        <v>hydrogen supply, transported by pipeline, produced by Electrolysis, PEM using water and electricity from Wind (DK)</v>
      </c>
      <c r="L889">
        <f t="shared" ref="L889:L896" si="78">IF(OR(B889&lt;0,B889=0),1,2)</f>
        <v>2</v>
      </c>
      <c r="M889">
        <f t="shared" ref="M889:M896" si="79">IF(L889=2,LN(B889),"")</f>
        <v>0</v>
      </c>
      <c r="N889">
        <v>1.5</v>
      </c>
      <c r="O889" s="15">
        <v>1.2</v>
      </c>
      <c r="P889">
        <v>1.5</v>
      </c>
      <c r="Q889">
        <v>1.1000000000000001</v>
      </c>
      <c r="R889">
        <v>2</v>
      </c>
      <c r="S889">
        <v>1.2</v>
      </c>
      <c r="T889">
        <v>1.05</v>
      </c>
      <c r="U889">
        <f t="shared" ref="U889:U896" si="80">LN(SQRT(EXP(
SQRT(
+POWER(LN(N889),2)
+POWER(LN(O889),2)
+POWER(LN(P889),2)
+POWER(LN(Q889),2)
+POWER(LN(R889),2)
+POWER(LN(S889),2)
+POWER(LN(T889),2)
)
)))</f>
        <v>0.47095746419981693</v>
      </c>
    </row>
    <row r="890" spans="1:22" x14ac:dyDescent="0.2">
      <c r="A890" t="str">
        <f>VLOOKUP(J890,'dataset mapping'!$A$4:$E$69,2,0)</f>
        <v>hydrogen production, gaseous, 200 bar, from PEM electrolysis, from Danish wind turbines</v>
      </c>
      <c r="B890" s="53">
        <f>(B889*B883)+(B884*B889)</f>
        <v>3.3000000000000002E-2</v>
      </c>
      <c r="C890" t="str">
        <f>VLOOKUP(J890,'dataset mapping'!$A$4:$E$69,5,0)</f>
        <v>kilogram</v>
      </c>
      <c r="E890" t="str">
        <f>VLOOKUP(J890,'dataset mapping'!$A$4:$E$69,4,0)</f>
        <v>DK</v>
      </c>
      <c r="F890" t="s">
        <v>86</v>
      </c>
      <c r="G890" t="str">
        <f>VLOOKUP(J890,'dataset mapping'!$A$4:$E$69,3,0)</f>
        <v>hydrogen, gaseous, 200 bar</v>
      </c>
      <c r="H890" t="s">
        <v>76</v>
      </c>
      <c r="I890" t="s">
        <v>1054</v>
      </c>
      <c r="J890" t="str">
        <f>B879&amp;" - "&amp;B881</f>
        <v>Electrolysis, PEM - Wind (DK)</v>
      </c>
      <c r="K890" t="str">
        <f>B865</f>
        <v>This dataset represents the supply of 1 kilogram of hydrogen. The hydrogen is transported by pipeline over 1300 km from regional storage.  The hydrogen is produced by  Electrolysis, PEM,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890">
        <f t="shared" si="78"/>
        <v>2</v>
      </c>
      <c r="M890">
        <f t="shared" si="79"/>
        <v>-3.4112477175156566</v>
      </c>
      <c r="N890">
        <v>1.5</v>
      </c>
      <c r="O890" s="15">
        <v>1.2</v>
      </c>
      <c r="P890">
        <v>1.5</v>
      </c>
      <c r="Q890">
        <v>1.1000000000000001</v>
      </c>
      <c r="R890">
        <v>2</v>
      </c>
      <c r="S890">
        <v>1.2</v>
      </c>
      <c r="T890">
        <v>1.05</v>
      </c>
      <c r="U890">
        <f t="shared" si="80"/>
        <v>0.47095746419981693</v>
      </c>
    </row>
    <row r="891" spans="1:22" x14ac:dyDescent="0.2">
      <c r="A891" t="str">
        <f>VLOOKUP(J891,'dataset mapping'!$A$4:$E$69,2,0)</f>
        <v>distribution pipeline for hydrogen, dedicated hydrogen pipeline</v>
      </c>
      <c r="B891" s="45">
        <f>0.000000000265*SUM(B889:B890)*B876*0.86</f>
        <v>3.0604691000000003E-7</v>
      </c>
      <c r="C891" t="str">
        <f>VLOOKUP(J891,'dataset mapping'!$A$4:$E$69,5,0)</f>
        <v>kilometer</v>
      </c>
      <c r="E891" t="str">
        <f>VLOOKUP(J891,'dataset mapping'!$A$4:$E$69,4,0)</f>
        <v>CH</v>
      </c>
      <c r="F891" t="s">
        <v>86</v>
      </c>
      <c r="G891" t="str">
        <f>VLOOKUP(J891,'dataset mapping'!$A$4:$E$69,3,0)</f>
        <v>pipeline, for hydrogen distribution</v>
      </c>
      <c r="H891" t="s">
        <v>88</v>
      </c>
      <c r="I891" t="s">
        <v>1052</v>
      </c>
      <c r="J891" t="s">
        <v>218</v>
      </c>
      <c r="K891" t="str">
        <f>B864</f>
        <v>hydrogen supply, transported by pipeline, produced by Electrolysis, PEM using water and electricity from Wind (DK)</v>
      </c>
      <c r="L891">
        <f t="shared" si="78"/>
        <v>2</v>
      </c>
      <c r="M891">
        <f t="shared" si="79"/>
        <v>-14.999527446089781</v>
      </c>
      <c r="N891">
        <v>1.5</v>
      </c>
      <c r="O891" s="15">
        <v>1.2</v>
      </c>
      <c r="P891">
        <v>1.5</v>
      </c>
      <c r="Q891">
        <v>1.1000000000000001</v>
      </c>
      <c r="R891">
        <v>2</v>
      </c>
      <c r="S891">
        <v>1.2</v>
      </c>
      <c r="T891">
        <v>3</v>
      </c>
      <c r="U891">
        <f t="shared" si="80"/>
        <v>0.72314801614797197</v>
      </c>
    </row>
    <row r="892" spans="1:22" x14ac:dyDescent="0.2">
      <c r="A892" t="str">
        <f>VLOOKUP(J892,'dataset mapping'!$A$4:$E$69,2,0)</f>
        <v>transmission pipeline for hydrogen, dedicated hydrogen pipeline</v>
      </c>
      <c r="B892" s="45">
        <f>0.000000000265*SUM(B889:B890)*B876*0.14</f>
        <v>4.9821590000000009E-8</v>
      </c>
      <c r="C892" t="str">
        <f>VLOOKUP(J892,'dataset mapping'!$A$4:$E$69,5,0)</f>
        <v>kilometer</v>
      </c>
      <c r="E892" t="str">
        <f>VLOOKUP(J892,'dataset mapping'!$A$4:$E$69,4,0)</f>
        <v>CH</v>
      </c>
      <c r="F892" t="s">
        <v>86</v>
      </c>
      <c r="G892" t="str">
        <f>VLOOKUP(J892,'dataset mapping'!$A$4:$E$69,3,0)</f>
        <v>pipeline, for hydrogen transmission</v>
      </c>
      <c r="H892" t="s">
        <v>88</v>
      </c>
      <c r="I892" t="s">
        <v>1052</v>
      </c>
      <c r="J892" t="s">
        <v>219</v>
      </c>
      <c r="K892" t="str">
        <f>B864</f>
        <v>hydrogen supply, transported by pipeline, produced by Electrolysis, PEM using water and electricity from Wind (DK)</v>
      </c>
      <c r="L892">
        <f t="shared" si="78"/>
        <v>2</v>
      </c>
      <c r="M892">
        <f t="shared" si="79"/>
        <v>-16.814817412728029</v>
      </c>
      <c r="N892">
        <v>1.5</v>
      </c>
      <c r="O892" s="15">
        <v>1.2</v>
      </c>
      <c r="P892">
        <v>1.5</v>
      </c>
      <c r="Q892">
        <v>1.1000000000000001</v>
      </c>
      <c r="R892">
        <v>2</v>
      </c>
      <c r="S892">
        <v>1.2</v>
      </c>
      <c r="T892">
        <v>3</v>
      </c>
      <c r="U892">
        <f t="shared" si="80"/>
        <v>0.72314801614797197</v>
      </c>
    </row>
    <row r="893" spans="1:22" x14ac:dyDescent="0.2">
      <c r="A893" t="s">
        <v>1038</v>
      </c>
      <c r="B893" s="53">
        <f>SUM(B889:B890)</f>
        <v>1.0329999999999999</v>
      </c>
      <c r="C893" t="str">
        <f>VLOOKUP(J893,'dataset mapping'!$A$4:$E$69,5,0)</f>
        <v>kilogram</v>
      </c>
      <c r="E893" t="s">
        <v>64</v>
      </c>
      <c r="F893" t="s">
        <v>86</v>
      </c>
      <c r="G893" t="s">
        <v>1039</v>
      </c>
      <c r="H893" t="s">
        <v>88</v>
      </c>
      <c r="I893" t="s">
        <v>1040</v>
      </c>
      <c r="J893" t="s">
        <v>229</v>
      </c>
      <c r="K893" t="str">
        <f>B864</f>
        <v>hydrogen supply, transported by pipeline, produced by Electrolysis, PEM using water and electricity from Wind (DK)</v>
      </c>
      <c r="L893">
        <f t="shared" si="78"/>
        <v>2</v>
      </c>
      <c r="M893">
        <f t="shared" si="79"/>
        <v>3.2467190137501413E-2</v>
      </c>
      <c r="N893">
        <v>1.5</v>
      </c>
      <c r="O893" s="15">
        <v>1.2</v>
      </c>
      <c r="P893">
        <v>1.5</v>
      </c>
      <c r="Q893">
        <v>1.1000000000000001</v>
      </c>
      <c r="R893">
        <v>2</v>
      </c>
      <c r="S893">
        <v>1.2</v>
      </c>
      <c r="T893">
        <v>3</v>
      </c>
      <c r="U893">
        <f t="shared" si="80"/>
        <v>0.72314801614797197</v>
      </c>
    </row>
    <row r="894" spans="1:22" x14ac:dyDescent="0.2">
      <c r="A894" t="s">
        <v>130</v>
      </c>
      <c r="B894" s="52">
        <f>(VLOOKUP(B879,parameters!$A$71:$B$78,2,0)+VLOOKUP(B875,parameters!$A$82:$B$84,2,0)+VLOOKUP(B875,parameters!$A$87:$B$89,2,0))*SUM(B889:B890)</f>
        <v>0.51649999999999996</v>
      </c>
      <c r="C894" t="s">
        <v>92</v>
      </c>
      <c r="E894" t="s">
        <v>64</v>
      </c>
      <c r="F894" t="s">
        <v>86</v>
      </c>
      <c r="G894" t="s">
        <v>93</v>
      </c>
      <c r="H894" t="s">
        <v>78</v>
      </c>
      <c r="I894" t="s">
        <v>1053</v>
      </c>
      <c r="J894" t="s">
        <v>67</v>
      </c>
      <c r="K894" t="str">
        <f>B864</f>
        <v>hydrogen supply, transported by pipeline, produced by Electrolysis, PEM using water and electricity from Wind (DK)</v>
      </c>
      <c r="L894">
        <f t="shared" si="78"/>
        <v>2</v>
      </c>
      <c r="M894">
        <f t="shared" si="79"/>
        <v>-0.66067999042244385</v>
      </c>
      <c r="N894">
        <v>1.5</v>
      </c>
      <c r="O894" s="15">
        <v>1.2</v>
      </c>
      <c r="P894">
        <v>1.5</v>
      </c>
      <c r="Q894">
        <v>1.1000000000000001</v>
      </c>
      <c r="R894">
        <v>2</v>
      </c>
      <c r="S894">
        <v>1.2</v>
      </c>
      <c r="T894">
        <v>1.05</v>
      </c>
      <c r="U894">
        <f t="shared" si="80"/>
        <v>0.47095746419981693</v>
      </c>
    </row>
    <row r="895" spans="1:22" x14ac:dyDescent="0.2">
      <c r="A895" t="s">
        <v>130</v>
      </c>
      <c r="B895" s="52">
        <f>0.6*SUM(B889:B890)*(B876/250)</f>
        <v>3.2229599999999996</v>
      </c>
      <c r="C895" t="s">
        <v>92</v>
      </c>
      <c r="E895" t="s">
        <v>64</v>
      </c>
      <c r="F895" t="s">
        <v>86</v>
      </c>
      <c r="G895" t="s">
        <v>93</v>
      </c>
      <c r="H895" t="s">
        <v>78</v>
      </c>
      <c r="I895" t="s">
        <v>1135</v>
      </c>
      <c r="J895" t="s">
        <v>67</v>
      </c>
      <c r="K895" t="str">
        <f>B865</f>
        <v>This dataset represents the supply of 1 kilogram of hydrogen. The hydrogen is transported by pipeline over 1300 km from regional storage.  The hydrogen is produced by  Electrolysis, PEM,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895">
        <f t="shared" si="78"/>
        <v>2</v>
      </c>
      <c r="M895">
        <f t="shared" si="79"/>
        <v>1.1703001919588925</v>
      </c>
      <c r="N895">
        <v>1.5</v>
      </c>
      <c r="O895" s="15">
        <v>1.2</v>
      </c>
      <c r="P895">
        <v>1.5</v>
      </c>
      <c r="Q895">
        <v>1.1000000000000001</v>
      </c>
      <c r="R895">
        <v>2</v>
      </c>
      <c r="S895">
        <v>1.2</v>
      </c>
      <c r="T895">
        <v>1.05</v>
      </c>
      <c r="U895">
        <f t="shared" si="80"/>
        <v>0.47095746419981693</v>
      </c>
    </row>
    <row r="896" spans="1:22" x14ac:dyDescent="0.2">
      <c r="A896" t="s">
        <v>7</v>
      </c>
      <c r="B896" s="53">
        <f>B890</f>
        <v>3.3000000000000002E-2</v>
      </c>
      <c r="C896" t="s">
        <v>56</v>
      </c>
      <c r="D896" t="s">
        <v>100</v>
      </c>
      <c r="F896" t="s">
        <v>99</v>
      </c>
      <c r="H896" t="s">
        <v>131</v>
      </c>
      <c r="I896" t="s">
        <v>160</v>
      </c>
      <c r="K896" t="str">
        <f>B864</f>
        <v>hydrogen supply, transported by pipeline, produced by Electrolysis, PEM using water and electricity from Wind (DK)</v>
      </c>
      <c r="L896">
        <f t="shared" si="78"/>
        <v>2</v>
      </c>
      <c r="M896">
        <f t="shared" si="79"/>
        <v>-3.4112477175156566</v>
      </c>
      <c r="N896">
        <v>1.5</v>
      </c>
      <c r="O896" s="15">
        <v>1.2</v>
      </c>
      <c r="P896">
        <v>1.5</v>
      </c>
      <c r="Q896">
        <v>1.1000000000000001</v>
      </c>
      <c r="R896">
        <v>2</v>
      </c>
      <c r="S896">
        <v>1.2</v>
      </c>
      <c r="T896">
        <v>1.05</v>
      </c>
      <c r="U896">
        <f t="shared" si="80"/>
        <v>0.47095746419981693</v>
      </c>
    </row>
    <row r="897" spans="1:2" x14ac:dyDescent="0.2">
      <c r="B897" s="45"/>
    </row>
    <row r="898" spans="1:2" x14ac:dyDescent="0.2">
      <c r="A898" s="2" t="s">
        <v>50</v>
      </c>
      <c r="B898" s="44" t="str">
        <f>"hydrogen supply, transported by "&amp;B909&amp;", produced by "&amp;B913&amp;" using "&amp;B914&amp;" from "&amp;B915</f>
        <v>hydrogen supply, transported by train, produced by Electrolysis, PEM using water and electricity from Wind (DK)</v>
      </c>
    </row>
    <row r="899" spans="1:2" x14ac:dyDescent="0.2">
      <c r="A899" t="s">
        <v>51</v>
      </c>
      <c r="B899" s="45" t="str">
        <f>"This dataset represents the supply of 1 kilogram of hydrogen. The hydrogen is transported by "&amp;B909&amp;" over "&amp;B910&amp;" km from regional storage. "&amp;" The "&amp;B908&amp;" is produced by  "&amp;B913&amp;", with "&amp;B914&amp;" from "&amp;B915&amp;" as feedstock. "&amp;A917&amp;": "&amp;(B917*100)&amp;"%. "&amp;A918&amp;": "&amp;(B918*100)&amp;".  For more information, refer to: "&amp;B900</f>
        <v>This dataset represents the supply of 1 kilogram of hydrogen. The hydrogen is transported by train over 1300 km from regional storage.  The hydrogen is produced by  Electrolysis, PEM,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900" spans="1:2" x14ac:dyDescent="0.2">
      <c r="A900" t="s">
        <v>63</v>
      </c>
      <c r="B900" s="45" t="s">
        <v>1223</v>
      </c>
    </row>
    <row r="901" spans="1:2" x14ac:dyDescent="0.2">
      <c r="A901" t="s">
        <v>52</v>
      </c>
      <c r="B901" s="45" t="s">
        <v>64</v>
      </c>
    </row>
    <row r="902" spans="1:2" x14ac:dyDescent="0.2">
      <c r="A902" t="s">
        <v>48</v>
      </c>
      <c r="B902" s="45">
        <v>109</v>
      </c>
    </row>
    <row r="903" spans="1:2" x14ac:dyDescent="0.2">
      <c r="A903" t="s">
        <v>54</v>
      </c>
      <c r="B903" s="45" t="s">
        <v>1137</v>
      </c>
    </row>
    <row r="904" spans="1:2" x14ac:dyDescent="0.2">
      <c r="A904" t="s">
        <v>55</v>
      </c>
      <c r="B904" s="45" t="s">
        <v>56</v>
      </c>
    </row>
    <row r="905" spans="1:2" x14ac:dyDescent="0.2">
      <c r="A905" t="s">
        <v>0</v>
      </c>
      <c r="B905" s="45" t="str">
        <f>INDEX(overview!$B$4:$R$338,MATCH('hydrogen - supply'!B902,overview!$A$4:$A$338,0),MATCH('hydrogen - supply'!A905,overview!$B$3:$R$3,0))</f>
        <v>Switzerland</v>
      </c>
    </row>
    <row r="906" spans="1:2" x14ac:dyDescent="0.2">
      <c r="A906" t="s">
        <v>1</v>
      </c>
      <c r="B906" s="45">
        <f>INDEX(overview!$B$4:$R$338,MATCH('hydrogen - supply'!B902,overview!$A$4:$A$338,0),MATCH('hydrogen - supply'!A906,overview!$B$3:$R$3,0))</f>
        <v>2020</v>
      </c>
    </row>
    <row r="907" spans="1:2" x14ac:dyDescent="0.2">
      <c r="A907" t="s">
        <v>2</v>
      </c>
      <c r="B907" s="45" t="s">
        <v>1130</v>
      </c>
    </row>
    <row r="908" spans="1:2" x14ac:dyDescent="0.2">
      <c r="A908" t="s">
        <v>5</v>
      </c>
      <c r="B908" s="45" t="str">
        <f>INDEX(overview!$B$4:$R$338,MATCH('hydrogen - supply'!B902,overview!$A$4:$A$338,0),MATCH('hydrogen - supply'!A908,overview!$B$3:$R$3,0))</f>
        <v>hydrogen</v>
      </c>
    </row>
    <row r="909" spans="1:2" x14ac:dyDescent="0.2">
      <c r="A909" t="s">
        <v>4</v>
      </c>
      <c r="B909" s="45" t="str">
        <f>INDEX(overview!$B$4:$R$338,MATCH('hydrogen - supply'!B902,overview!$A$4:$A$338,0),MATCH('hydrogen - supply'!A909,overview!$B$3:$R$3,0))</f>
        <v>train</v>
      </c>
    </row>
    <row r="910" spans="1:2" x14ac:dyDescent="0.2">
      <c r="A910" t="s">
        <v>38</v>
      </c>
      <c r="B910" s="45">
        <f>INDEX(overview!$B$4:$R$338,MATCH('hydrogen - supply'!B902,overview!$A$4:$A$338,0),MATCH('hydrogen - supply'!A910,overview!$B$3:$R$3,0))</f>
        <v>1300</v>
      </c>
    </row>
    <row r="911" spans="1:2" x14ac:dyDescent="0.2">
      <c r="A911" t="s">
        <v>12</v>
      </c>
      <c r="B911" s="45" t="str">
        <f>INDEX(overview!$B$4:$R$338,MATCH('hydrogen - supply'!B902,overview!$A$4:$A$338,0),MATCH('hydrogen - supply'!A911,overview!$B$3:$R$3,0))</f>
        <v>Pressure vessel for stationary storage</v>
      </c>
    </row>
    <row r="912" spans="1:2" x14ac:dyDescent="0.2">
      <c r="A912" t="s">
        <v>34</v>
      </c>
      <c r="B912" s="45">
        <f>INDEX(overview!$B$4:$R$338,MATCH('hydrogen - supply'!B902,overview!$A$4:$A$338,0),MATCH('hydrogen - supply'!A912,overview!$B$3:$R$3,0))</f>
        <v>0</v>
      </c>
    </row>
    <row r="913" spans="1:22" x14ac:dyDescent="0.2">
      <c r="A913" t="s">
        <v>15</v>
      </c>
      <c r="B913" s="45" t="str">
        <f>INDEX(overview!$B$4:$R$338,MATCH('hydrogen - supply'!B902,overview!$A$4:$A$338,0),MATCH('hydrogen - supply'!A913,overview!$B$3:$R$3,0))</f>
        <v>Electrolysis, PEM</v>
      </c>
    </row>
    <row r="914" spans="1:22" x14ac:dyDescent="0.2">
      <c r="A914" t="s">
        <v>14</v>
      </c>
      <c r="B914" s="45" t="str">
        <f>INDEX(overview!$B$4:$R$338,MATCH('hydrogen - supply'!B902,overview!$A$4:$A$338,0),MATCH('hydrogen - supply'!A914,overview!$B$3:$R$3,0))</f>
        <v>water and electricity</v>
      </c>
    </row>
    <row r="915" spans="1:22" x14ac:dyDescent="0.2">
      <c r="A915" t="s">
        <v>26</v>
      </c>
      <c r="B915" s="45" t="str">
        <f>INDEX(overview!$B$4:$R$338,MATCH('hydrogen - supply'!B902,overview!$A$4:$A$338,0),MATCH('hydrogen - supply'!A915,overview!$B$3:$R$3,0))</f>
        <v>Wind (DK)</v>
      </c>
    </row>
    <row r="916" spans="1:22" x14ac:dyDescent="0.2">
      <c r="A916" t="s">
        <v>29</v>
      </c>
      <c r="B916" s="45">
        <f>INDEX(overview!$B$4:$R$338,MATCH('hydrogen - supply'!B902,overview!$A$4:$A$338,0),MATCH('hydrogen - supply'!A916,overview!$B$3:$R$3,0))</f>
        <v>0</v>
      </c>
    </row>
    <row r="917" spans="1:22" x14ac:dyDescent="0.2">
      <c r="A917" t="s">
        <v>45</v>
      </c>
      <c r="B917" s="66">
        <f>VLOOKUP(B909,parameters!$A$94:$C$96,2,0)</f>
        <v>5.0000000000000001E-3</v>
      </c>
    </row>
    <row r="918" spans="1:22" x14ac:dyDescent="0.2">
      <c r="A918" t="s">
        <v>1133</v>
      </c>
      <c r="B918" s="49">
        <f>VLOOKUP(B909,parameters!$A$94:$D$96,3,0)</f>
        <v>2.3E-2</v>
      </c>
    </row>
    <row r="919" spans="1:22" x14ac:dyDescent="0.2">
      <c r="B919" s="45"/>
    </row>
    <row r="920" spans="1:22" x14ac:dyDescent="0.2">
      <c r="A920" s="3" t="s">
        <v>57</v>
      </c>
      <c r="B920" s="45"/>
    </row>
    <row r="921" spans="1:22" x14ac:dyDescent="0.2">
      <c r="A921" s="2" t="s">
        <v>58</v>
      </c>
      <c r="B921" s="44" t="s">
        <v>59</v>
      </c>
      <c r="C921" s="2" t="s">
        <v>55</v>
      </c>
      <c r="D921" s="2" t="s">
        <v>60</v>
      </c>
      <c r="E921" s="2" t="s">
        <v>52</v>
      </c>
      <c r="F921" s="2" t="s">
        <v>61</v>
      </c>
      <c r="G921" s="2" t="s">
        <v>54</v>
      </c>
      <c r="H921" s="2" t="s">
        <v>87</v>
      </c>
      <c r="I921" s="2" t="s">
        <v>51</v>
      </c>
      <c r="J921" s="2" t="s">
        <v>138</v>
      </c>
      <c r="K921" s="2" t="s">
        <v>136</v>
      </c>
      <c r="L921" s="2" t="s">
        <v>221</v>
      </c>
      <c r="M921" s="2" t="s">
        <v>379</v>
      </c>
      <c r="N921" s="2" t="s">
        <v>1059</v>
      </c>
      <c r="O921" s="2" t="s">
        <v>1060</v>
      </c>
      <c r="P921" s="2" t="s">
        <v>1061</v>
      </c>
      <c r="Q921" s="2" t="s">
        <v>1062</v>
      </c>
      <c r="R921" s="2" t="s">
        <v>1063</v>
      </c>
      <c r="S921" s="2" t="s">
        <v>1064</v>
      </c>
      <c r="T921" s="2" t="s">
        <v>1065</v>
      </c>
      <c r="U921" s="2" t="s">
        <v>380</v>
      </c>
      <c r="V921" s="2" t="s">
        <v>1128</v>
      </c>
    </row>
    <row r="922" spans="1:22" x14ac:dyDescent="0.2">
      <c r="A922" t="str">
        <f>B898</f>
        <v>hydrogen supply, transported by train, produced by Electrolysis, PEM using water and electricity from Wind (DK)</v>
      </c>
      <c r="B922" s="45">
        <v>1</v>
      </c>
      <c r="C922" t="str">
        <f>B904</f>
        <v>kilogram</v>
      </c>
      <c r="E922" t="str">
        <f>B901</f>
        <v>CH</v>
      </c>
      <c r="F922" t="s">
        <v>62</v>
      </c>
      <c r="G922" t="str">
        <f>B903</f>
        <v>hydrogen, gaseous, from truck</v>
      </c>
      <c r="K922" t="str">
        <f>B898</f>
        <v>hydrogen supply, transported by train, produced by Electrolysis, PEM using water and electricity from Wind (DK)</v>
      </c>
    </row>
    <row r="923" spans="1:22" x14ac:dyDescent="0.2">
      <c r="A923" t="str">
        <f>VLOOKUP(J923,'dataset mapping'!$A$4:$E$69,2,0)</f>
        <v>hydrogen production, gaseous, 200 bar, from PEM electrolysis, from Danish wind turbines</v>
      </c>
      <c r="B923" s="53">
        <v>1</v>
      </c>
      <c r="C923" t="str">
        <f>VLOOKUP(J923,'dataset mapping'!$A$4:$E$69,5,0)</f>
        <v>kilogram</v>
      </c>
      <c r="E923" t="str">
        <f>VLOOKUP(J923,'dataset mapping'!$A$4:$E$69,4,0)</f>
        <v>DK</v>
      </c>
      <c r="F923" t="s">
        <v>86</v>
      </c>
      <c r="G923" t="str">
        <f>VLOOKUP(J923,'dataset mapping'!$A$4:$E$69,3,0)</f>
        <v>hydrogen, gaseous, 200 bar</v>
      </c>
      <c r="H923" t="s">
        <v>281</v>
      </c>
      <c r="I923" t="s">
        <v>1054</v>
      </c>
      <c r="J923" t="str">
        <f>B879&amp;" - "&amp;B881</f>
        <v>Electrolysis, PEM - Wind (DK)</v>
      </c>
      <c r="K923" t="str">
        <f>B898</f>
        <v>hydrogen supply, transported by train, produced by Electrolysis, PEM using water and electricity from Wind (DK)</v>
      </c>
      <c r="L923">
        <f>IF(OR(B923&lt;0,B923=0),1,2)</f>
        <v>2</v>
      </c>
      <c r="M923">
        <f>IF(L923=2,LN(B923),"")</f>
        <v>0</v>
      </c>
      <c r="N923">
        <v>1.5</v>
      </c>
      <c r="O923" s="15">
        <v>1.2</v>
      </c>
      <c r="P923">
        <v>1.5</v>
      </c>
      <c r="Q923">
        <v>1.1000000000000001</v>
      </c>
      <c r="R923">
        <v>2</v>
      </c>
      <c r="S923">
        <v>1.2</v>
      </c>
      <c r="T923">
        <v>1.05</v>
      </c>
      <c r="U923">
        <f>LN(SQRT(EXP(
SQRT(
+POWER(LN(N923),2)
+POWER(LN(O923),2)
+POWER(LN(P923),2)
+POWER(LN(Q923),2)
+POWER(LN(R923),2)
+POWER(LN(S923),2)
+POWER(LN(T923),2)
)
)))</f>
        <v>0.47095746419981693</v>
      </c>
    </row>
    <row r="924" spans="1:22" x14ac:dyDescent="0.2">
      <c r="A924" t="str">
        <f>VLOOKUP(J924,'dataset mapping'!$A$4:$E$69,2,0)</f>
        <v>hydrogen production, gaseous, 200 bar, from PEM electrolysis, from Danish wind turbines</v>
      </c>
      <c r="B924" s="53">
        <f>(B923*B917)+(B918*B923)</f>
        <v>2.8000000000000001E-2</v>
      </c>
      <c r="C924" t="str">
        <f>VLOOKUP(J924,'dataset mapping'!$A$4:$E$69,5,0)</f>
        <v>kilogram</v>
      </c>
      <c r="E924" t="str">
        <f>VLOOKUP(J924,'dataset mapping'!$A$4:$E$69,4,0)</f>
        <v>DK</v>
      </c>
      <c r="F924" t="s">
        <v>86</v>
      </c>
      <c r="G924" t="str">
        <f>VLOOKUP(J924,'dataset mapping'!$A$4:$E$69,3,0)</f>
        <v>hydrogen, gaseous, 200 bar</v>
      </c>
      <c r="H924" t="s">
        <v>76</v>
      </c>
      <c r="I924" t="s">
        <v>1054</v>
      </c>
      <c r="J924" t="str">
        <f>B879&amp;" - "&amp;B881</f>
        <v>Electrolysis, PEM - Wind (DK)</v>
      </c>
      <c r="K924" t="str">
        <f>B899</f>
        <v>This dataset represents the supply of 1 kilogram of hydrogen. The hydrogen is transported by train over 1300 km from regional storage.  The hydrogen is produced by  Electrolysis, PEM,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924">
        <f>IF(OR(B924&lt;0,B924=0),1,2)</f>
        <v>2</v>
      </c>
      <c r="M924">
        <f>IF(L924=2,LN(B924),"")</f>
        <v>-3.575550768806933</v>
      </c>
      <c r="N924">
        <v>1.5</v>
      </c>
      <c r="O924" s="15">
        <v>1.2</v>
      </c>
      <c r="P924">
        <v>1.5</v>
      </c>
      <c r="Q924">
        <v>1.1000000000000001</v>
      </c>
      <c r="R924">
        <v>2</v>
      </c>
      <c r="S924">
        <v>1.2</v>
      </c>
      <c r="T924">
        <v>1.05</v>
      </c>
      <c r="U924">
        <f>LN(SQRT(EXP(
SQRT(
+POWER(LN(N924),2)
+POWER(LN(O924),2)
+POWER(LN(P924),2)
+POWER(LN(Q924),2)
+POWER(LN(R924),2)
+POWER(LN(S924),2)
+POWER(LN(T924),2)
)
)))</f>
        <v>0.47095746419981693</v>
      </c>
    </row>
    <row r="925" spans="1:22" x14ac:dyDescent="0.2">
      <c r="A925" t="str">
        <f>VLOOKUP(J925,'dataset mapping'!$A$4:$E$69,2,0)</f>
        <v>market for transport, freight train</v>
      </c>
      <c r="B925" s="45">
        <f>SUM(B923:B924)/1000*B910</f>
        <v>1.3364</v>
      </c>
      <c r="C925" t="str">
        <f>VLOOKUP(J925,'dataset mapping'!$A$4:$E$69,5,0)</f>
        <v>ton kilometer</v>
      </c>
      <c r="E925" t="str">
        <f>VLOOKUP(J925,'dataset mapping'!$A$4:$E$69,4,0)</f>
        <v>CH</v>
      </c>
      <c r="F925" t="s">
        <v>86</v>
      </c>
      <c r="G925" t="str">
        <f>VLOOKUP(J925,'dataset mapping'!$A$4:$E$69,3,0)</f>
        <v>transport, freight train</v>
      </c>
      <c r="H925" t="s">
        <v>88</v>
      </c>
      <c r="I925" t="s">
        <v>1052</v>
      </c>
      <c r="J925" t="s">
        <v>295</v>
      </c>
      <c r="K925" t="str">
        <f>B881</f>
        <v>Wind (DK)</v>
      </c>
      <c r="L925">
        <f t="shared" ref="L925" si="81">IF(OR(B925&lt;0,B925=0),1,2)</f>
        <v>2</v>
      </c>
      <c r="M925">
        <f t="shared" ref="M925" si="82">IF(L925=2,LN(B925),"")</f>
        <v>0.28997943150046446</v>
      </c>
      <c r="N925">
        <v>1.5</v>
      </c>
      <c r="O925" s="15">
        <v>1.2</v>
      </c>
      <c r="P925">
        <v>1.5</v>
      </c>
      <c r="Q925">
        <v>1.1000000000000001</v>
      </c>
      <c r="R925">
        <v>2</v>
      </c>
      <c r="S925">
        <v>1.2</v>
      </c>
      <c r="T925">
        <v>2</v>
      </c>
      <c r="U925">
        <f t="shared" ref="U925" si="83">LN(SQRT(EXP(
SQRT(
+POWER(LN(N925),2)
+POWER(LN(O925),2)
+POWER(LN(P925),2)
+POWER(LN(Q925),2)
+POWER(LN(R925),2)
+POWER(LN(S925),2)
+POWER(LN(T925),2)
)
)))</f>
        <v>0.58422518478336083</v>
      </c>
    </row>
    <row r="926" spans="1:22" x14ac:dyDescent="0.2">
      <c r="A926" t="s">
        <v>1038</v>
      </c>
      <c r="B926" s="53">
        <f>SUM(B923:B924)</f>
        <v>1.028</v>
      </c>
      <c r="C926" t="str">
        <f>VLOOKUP(J926,'dataset mapping'!$A$4:$E$69,5,0)</f>
        <v>kilogram</v>
      </c>
      <c r="E926" t="s">
        <v>64</v>
      </c>
      <c r="F926" t="s">
        <v>86</v>
      </c>
      <c r="G926" t="s">
        <v>1039</v>
      </c>
      <c r="H926" t="s">
        <v>88</v>
      </c>
      <c r="I926" t="s">
        <v>1040</v>
      </c>
      <c r="J926" t="s">
        <v>229</v>
      </c>
      <c r="K926" t="str">
        <f>B898</f>
        <v>hydrogen supply, transported by train, produced by Electrolysis, PEM using water and electricity from Wind (DK)</v>
      </c>
      <c r="L926">
        <f>IF(OR(B926&lt;0,B926=0),1,2)</f>
        <v>2</v>
      </c>
      <c r="M926">
        <f>IF(L926=2,LN(B926),"")</f>
        <v>2.7615167032973391E-2</v>
      </c>
      <c r="N926">
        <v>1.5</v>
      </c>
      <c r="O926" s="15">
        <v>1.2</v>
      </c>
      <c r="P926">
        <v>1.5</v>
      </c>
      <c r="Q926">
        <v>1.1000000000000001</v>
      </c>
      <c r="R926">
        <v>2</v>
      </c>
      <c r="S926">
        <v>1.2</v>
      </c>
      <c r="T926">
        <v>3</v>
      </c>
      <c r="U926">
        <f>LN(SQRT(EXP(
SQRT(
+POWER(LN(N926),2)
+POWER(LN(O926),2)
+POWER(LN(P926),2)
+POWER(LN(Q926),2)
+POWER(LN(R926),2)
+POWER(LN(S926),2)
+POWER(LN(T926),2)
)
)))</f>
        <v>0.72314801614797197</v>
      </c>
    </row>
    <row r="927" spans="1:22" x14ac:dyDescent="0.2">
      <c r="A927" t="s">
        <v>130</v>
      </c>
      <c r="B927" s="52">
        <f>(VLOOKUP(B913,parameters!$A$71:$B$78,2,0)+VLOOKUP(B909,parameters!$A$82:$B$84,2,0)+VLOOKUP(B909,parameters!$A$87:$B$89,2,0))*SUM(B923:B924)</f>
        <v>2.0765600000000002</v>
      </c>
      <c r="C927" t="s">
        <v>92</v>
      </c>
      <c r="E927" t="s">
        <v>64</v>
      </c>
      <c r="F927" t="s">
        <v>86</v>
      </c>
      <c r="G927" t="s">
        <v>93</v>
      </c>
      <c r="H927" t="s">
        <v>78</v>
      </c>
      <c r="I927" t="s">
        <v>1053</v>
      </c>
      <c r="J927" t="s">
        <v>67</v>
      </c>
      <c r="K927" t="str">
        <f>B898</f>
        <v>hydrogen supply, transported by train, produced by Electrolysis, PEM using water and electricity from Wind (DK)</v>
      </c>
      <c r="L927">
        <f>IF(OR(B927&lt;0,B927=0),1,2)</f>
        <v>2</v>
      </c>
      <c r="M927">
        <f>IF(L927=2,LN(B927),"")</f>
        <v>0.73071267844608689</v>
      </c>
      <c r="N927">
        <v>1.5</v>
      </c>
      <c r="O927" s="15">
        <v>1.2</v>
      </c>
      <c r="P927">
        <v>1.5</v>
      </c>
      <c r="Q927">
        <v>1.1000000000000001</v>
      </c>
      <c r="R927">
        <v>2</v>
      </c>
      <c r="S927">
        <v>1.2</v>
      </c>
      <c r="T927">
        <v>1.05</v>
      </c>
      <c r="U927">
        <f>LN(SQRT(EXP(
SQRT(
+POWER(LN(N927),2)
+POWER(LN(O927),2)
+POWER(LN(P927),2)
+POWER(LN(Q927),2)
+POWER(LN(R927),2)
+POWER(LN(S927),2)
+POWER(LN(T927),2)
)
)))</f>
        <v>0.47095746419981693</v>
      </c>
    </row>
    <row r="928" spans="1:22" x14ac:dyDescent="0.2">
      <c r="A928" t="s">
        <v>7</v>
      </c>
      <c r="B928" s="53">
        <f>B924</f>
        <v>2.8000000000000001E-2</v>
      </c>
      <c r="C928" t="s">
        <v>56</v>
      </c>
      <c r="D928" t="s">
        <v>100</v>
      </c>
      <c r="F928" t="s">
        <v>99</v>
      </c>
      <c r="H928" t="s">
        <v>131</v>
      </c>
      <c r="I928" t="s">
        <v>160</v>
      </c>
      <c r="K928" t="str">
        <f>B898</f>
        <v>hydrogen supply, transported by train, produced by Electrolysis, PEM using water and electricity from Wind (DK)</v>
      </c>
      <c r="L928">
        <f>IF(OR(B928&lt;0,B928=0),1,2)</f>
        <v>2</v>
      </c>
      <c r="M928">
        <f>IF(L928=2,LN(B928),"")</f>
        <v>-3.575550768806933</v>
      </c>
      <c r="N928">
        <v>1.5</v>
      </c>
      <c r="O928" s="15">
        <v>1.2</v>
      </c>
      <c r="P928">
        <v>1.5</v>
      </c>
      <c r="Q928">
        <v>1.1000000000000001</v>
      </c>
      <c r="R928">
        <v>2</v>
      </c>
      <c r="S928">
        <v>1.2</v>
      </c>
      <c r="T928">
        <v>1.05</v>
      </c>
      <c r="U928">
        <f>LN(SQRT(EXP(
SQRT(
+POWER(LN(N928),2)
+POWER(LN(O928),2)
+POWER(LN(P928),2)
+POWER(LN(Q928),2)
+POWER(LN(R928),2)
+POWER(LN(S928),2)
+POWER(LN(T928),2)
)
)))</f>
        <v>0.47095746419981693</v>
      </c>
    </row>
    <row r="930" spans="1:2" x14ac:dyDescent="0.2">
      <c r="A930" s="2" t="s">
        <v>50</v>
      </c>
      <c r="B930" s="44" t="str">
        <f>"hydrogen supply, transported by "&amp;B941&amp;", produced by "&amp;B945&amp;" using "&amp;B946&amp;" from "&amp;B947</f>
        <v>hydrogen supply, transported by pipeline, produced by Electrolysis, SOEC using water and electricity from Wind (DK)</v>
      </c>
    </row>
    <row r="931" spans="1:2" x14ac:dyDescent="0.2">
      <c r="A931" t="s">
        <v>51</v>
      </c>
      <c r="B931" s="45" t="str">
        <f>"This dataset represents the supply of 1 kilogram of hydrogen. The hydrogen is transported by "&amp;B941&amp;" over "&amp;B942&amp;" km from regional storage. "&amp;" The "&amp;B940&amp;" is produced by  "&amp;B945&amp;", with "&amp;B946&amp;" from "&amp;B947&amp;" as feedstock. "&amp;A949&amp;": "&amp;(B949*100)&amp;"%. "&amp;A950&amp;": "&amp;(B950*100)&amp;".  For more information, refer to: "&amp;B932</f>
        <v>This dataset represents the supply of 1 kilogram of hydrogen. The hydrogen is transported by pipeline over 1300 km from regional storage.  The hydrogen is produced by  Electrolysis, SOEC,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932" spans="1:2" x14ac:dyDescent="0.2">
      <c r="A932" t="s">
        <v>63</v>
      </c>
      <c r="B932" s="45" t="s">
        <v>1223</v>
      </c>
    </row>
    <row r="933" spans="1:2" x14ac:dyDescent="0.2">
      <c r="A933" t="s">
        <v>52</v>
      </c>
      <c r="B933" s="45" t="s">
        <v>64</v>
      </c>
    </row>
    <row r="934" spans="1:2" x14ac:dyDescent="0.2">
      <c r="A934" t="s">
        <v>48</v>
      </c>
      <c r="B934" s="45">
        <v>113</v>
      </c>
    </row>
    <row r="935" spans="1:2" x14ac:dyDescent="0.2">
      <c r="A935" t="s">
        <v>54</v>
      </c>
      <c r="B935" s="45" t="s">
        <v>1129</v>
      </c>
    </row>
    <row r="936" spans="1:2" x14ac:dyDescent="0.2">
      <c r="A936" t="s">
        <v>55</v>
      </c>
      <c r="B936" s="45" t="s">
        <v>56</v>
      </c>
    </row>
    <row r="937" spans="1:2" x14ac:dyDescent="0.2">
      <c r="A937" t="s">
        <v>0</v>
      </c>
      <c r="B937" s="45" t="str">
        <f>INDEX(overview!$B$4:$R$338,MATCH('hydrogen - supply'!B934,overview!$A$4:$A$338,0),MATCH('hydrogen - supply'!A937,overview!$B$3:$R$3,0))</f>
        <v>Switzerland</v>
      </c>
    </row>
    <row r="938" spans="1:2" x14ac:dyDescent="0.2">
      <c r="A938" t="s">
        <v>1</v>
      </c>
      <c r="B938" s="45">
        <f>INDEX(overview!$B$4:$R$338,MATCH('hydrogen - supply'!B934,overview!$A$4:$A$338,0),MATCH('hydrogen - supply'!A938,overview!$B$3:$R$3,0))</f>
        <v>2020</v>
      </c>
    </row>
    <row r="939" spans="1:2" x14ac:dyDescent="0.2">
      <c r="A939" t="s">
        <v>2</v>
      </c>
      <c r="B939" s="45" t="s">
        <v>1130</v>
      </c>
    </row>
    <row r="940" spans="1:2" x14ac:dyDescent="0.2">
      <c r="A940" t="s">
        <v>5</v>
      </c>
      <c r="B940" s="45" t="str">
        <f>INDEX(overview!$B$4:$R$338,MATCH('hydrogen - supply'!B934,overview!$A$4:$A$338,0),MATCH('hydrogen - supply'!A940,overview!$B$3:$R$3,0))</f>
        <v>hydrogen</v>
      </c>
    </row>
    <row r="941" spans="1:2" x14ac:dyDescent="0.2">
      <c r="A941" t="s">
        <v>4</v>
      </c>
      <c r="B941" s="45" t="str">
        <f>INDEX(overview!$B$4:$R$338,MATCH('hydrogen - supply'!B934,overview!$A$4:$A$338,0),MATCH('hydrogen - supply'!A941,overview!$B$3:$R$3,0))</f>
        <v>pipeline</v>
      </c>
    </row>
    <row r="942" spans="1:2" x14ac:dyDescent="0.2">
      <c r="A942" t="s">
        <v>38</v>
      </c>
      <c r="B942" s="45">
        <f>INDEX(overview!$B$4:$R$338,MATCH('hydrogen - supply'!B934,overview!$A$4:$A$338,0),MATCH('hydrogen - supply'!A942,overview!$B$3:$R$3,0))</f>
        <v>1300</v>
      </c>
    </row>
    <row r="943" spans="1:2" x14ac:dyDescent="0.2">
      <c r="A943" t="s">
        <v>12</v>
      </c>
      <c r="B943" s="45" t="str">
        <f>INDEX(overview!$B$4:$R$338,MATCH('hydrogen - supply'!B934,overview!$A$4:$A$338,0),MATCH('hydrogen - supply'!A943,overview!$B$3:$R$3,0))</f>
        <v>Pressure vessel for stationary storage</v>
      </c>
    </row>
    <row r="944" spans="1:2" x14ac:dyDescent="0.2">
      <c r="A944" t="s">
        <v>34</v>
      </c>
      <c r="B944" s="45">
        <f>INDEX(overview!$B$4:$R$338,MATCH('hydrogen - supply'!B934,overview!$A$4:$A$338,0),MATCH('hydrogen - supply'!A944,overview!$B$3:$R$3,0))</f>
        <v>0</v>
      </c>
    </row>
    <row r="945" spans="1:22" x14ac:dyDescent="0.2">
      <c r="A945" t="s">
        <v>15</v>
      </c>
      <c r="B945" s="45" t="str">
        <f>INDEX(overview!$B$4:$R$338,MATCH('hydrogen - supply'!B934,overview!$A$4:$A$338,0),MATCH('hydrogen - supply'!A945,overview!$B$3:$R$3,0))</f>
        <v>Electrolysis, SOEC</v>
      </c>
    </row>
    <row r="946" spans="1:22" x14ac:dyDescent="0.2">
      <c r="A946" t="s">
        <v>14</v>
      </c>
      <c r="B946" s="45" t="str">
        <f>INDEX(overview!$B$4:$R$338,MATCH('hydrogen - supply'!B934,overview!$A$4:$A$338,0),MATCH('hydrogen - supply'!A946,overview!$B$3:$R$3,0))</f>
        <v>water and electricity</v>
      </c>
    </row>
    <row r="947" spans="1:22" x14ac:dyDescent="0.2">
      <c r="A947" t="s">
        <v>26</v>
      </c>
      <c r="B947" s="45" t="str">
        <f>INDEX(overview!$B$4:$R$338,MATCH('hydrogen - supply'!B934,overview!$A$4:$A$338,0),MATCH('hydrogen - supply'!A947,overview!$B$3:$R$3,0))</f>
        <v>Wind (DK)</v>
      </c>
    </row>
    <row r="948" spans="1:22" x14ac:dyDescent="0.2">
      <c r="A948" t="s">
        <v>29</v>
      </c>
      <c r="B948" s="45">
        <f>INDEX(overview!$B$4:$R$338,MATCH('hydrogen - supply'!B934,overview!$A$4:$A$338,0),MATCH('hydrogen - supply'!A948,overview!$B$3:$R$3,0))</f>
        <v>0</v>
      </c>
    </row>
    <row r="949" spans="1:22" x14ac:dyDescent="0.2">
      <c r="A949" t="s">
        <v>45</v>
      </c>
      <c r="B949" s="66">
        <f>VLOOKUP(B941,parameters!$A$94:$C$96,2,0)</f>
        <v>0.01</v>
      </c>
    </row>
    <row r="950" spans="1:22" x14ac:dyDescent="0.2">
      <c r="A950" t="s">
        <v>1133</v>
      </c>
      <c r="B950" s="49">
        <f>VLOOKUP(B941,parameters!$A$94:$D$96,3,0)</f>
        <v>2.3E-2</v>
      </c>
    </row>
    <row r="951" spans="1:22" x14ac:dyDescent="0.2">
      <c r="B951" s="45"/>
    </row>
    <row r="952" spans="1:22" x14ac:dyDescent="0.2">
      <c r="A952" s="3" t="s">
        <v>57</v>
      </c>
      <c r="B952" s="45"/>
    </row>
    <row r="953" spans="1:22" x14ac:dyDescent="0.2">
      <c r="A953" s="2" t="s">
        <v>58</v>
      </c>
      <c r="B953" s="44" t="s">
        <v>59</v>
      </c>
      <c r="C953" s="2" t="s">
        <v>55</v>
      </c>
      <c r="D953" s="2" t="s">
        <v>60</v>
      </c>
      <c r="E953" s="2" t="s">
        <v>52</v>
      </c>
      <c r="F953" s="2" t="s">
        <v>61</v>
      </c>
      <c r="G953" s="2" t="s">
        <v>54</v>
      </c>
      <c r="H953" s="2" t="s">
        <v>87</v>
      </c>
      <c r="I953" s="2" t="s">
        <v>51</v>
      </c>
      <c r="J953" s="2" t="s">
        <v>138</v>
      </c>
      <c r="K953" s="2" t="s">
        <v>136</v>
      </c>
      <c r="L953" s="2" t="s">
        <v>221</v>
      </c>
      <c r="M953" s="2" t="s">
        <v>379</v>
      </c>
      <c r="N953" s="2" t="s">
        <v>1059</v>
      </c>
      <c r="O953" s="2" t="s">
        <v>1060</v>
      </c>
      <c r="P953" s="2" t="s">
        <v>1061</v>
      </c>
      <c r="Q953" s="2" t="s">
        <v>1062</v>
      </c>
      <c r="R953" s="2" t="s">
        <v>1063</v>
      </c>
      <c r="S953" s="2" t="s">
        <v>1064</v>
      </c>
      <c r="T953" s="2" t="s">
        <v>1065</v>
      </c>
      <c r="U953" s="2" t="s">
        <v>380</v>
      </c>
      <c r="V953" s="2" t="s">
        <v>1128</v>
      </c>
    </row>
    <row r="954" spans="1:22" x14ac:dyDescent="0.2">
      <c r="A954" t="str">
        <f>B930</f>
        <v>hydrogen supply, transported by pipeline, produced by Electrolysis, SOEC using water and electricity from Wind (DK)</v>
      </c>
      <c r="B954" s="45">
        <v>1</v>
      </c>
      <c r="C954" t="str">
        <f>B936</f>
        <v>kilogram</v>
      </c>
      <c r="E954" t="str">
        <f>B933</f>
        <v>CH</v>
      </c>
      <c r="F954" t="s">
        <v>62</v>
      </c>
      <c r="G954" t="str">
        <f>B935</f>
        <v>hydrogen, gaseous, from pipeline</v>
      </c>
      <c r="K954" t="str">
        <f>B930</f>
        <v>hydrogen supply, transported by pipeline, produced by Electrolysis, SOEC using water and electricity from Wind (DK)</v>
      </c>
    </row>
    <row r="955" spans="1:22" x14ac:dyDescent="0.2">
      <c r="A955" t="str">
        <f>VLOOKUP(J955,'dataset mapping'!$A$4:$E$69,2,0)</f>
        <v>hydrogen production, gaseous, 25 bar, from SOEC electrolysis, from Danish wind turbines</v>
      </c>
      <c r="B955" s="53">
        <v>1</v>
      </c>
      <c r="C955" t="str">
        <f>VLOOKUP(J955,'dataset mapping'!$A$4:$E$69,5,0)</f>
        <v>kilogram</v>
      </c>
      <c r="E955" t="str">
        <f>VLOOKUP(J955,'dataset mapping'!$A$4:$E$69,4,0)</f>
        <v>DK</v>
      </c>
      <c r="F955" t="s">
        <v>86</v>
      </c>
      <c r="G955" t="str">
        <f>VLOOKUP(J955,'dataset mapping'!$A$4:$E$69,3,0)</f>
        <v>hydrogen, gaseous, 25 bar</v>
      </c>
      <c r="H955" t="s">
        <v>281</v>
      </c>
      <c r="I955" t="s">
        <v>1054</v>
      </c>
      <c r="J955" t="str">
        <f>B945&amp;" - "&amp;B947</f>
        <v>Electrolysis, SOEC - Wind (DK)</v>
      </c>
      <c r="K955" t="str">
        <f>B930</f>
        <v>hydrogen supply, transported by pipeline, produced by Electrolysis, SOEC using water and electricity from Wind (DK)</v>
      </c>
      <c r="L955">
        <f t="shared" ref="L955:L962" si="84">IF(OR(B955&lt;0,B955=0),1,2)</f>
        <v>2</v>
      </c>
      <c r="M955">
        <f t="shared" ref="M955:M962" si="85">IF(L955=2,LN(B955),"")</f>
        <v>0</v>
      </c>
      <c r="N955">
        <v>1.5</v>
      </c>
      <c r="O955" s="15">
        <v>1.2</v>
      </c>
      <c r="P955">
        <v>1.5</v>
      </c>
      <c r="Q955">
        <v>1.1000000000000001</v>
      </c>
      <c r="R955">
        <v>2</v>
      </c>
      <c r="S955">
        <v>1.2</v>
      </c>
      <c r="T955">
        <v>1.05</v>
      </c>
      <c r="U955">
        <f t="shared" ref="U955:U962" si="86">LN(SQRT(EXP(
SQRT(
+POWER(LN(N955),2)
+POWER(LN(O955),2)
+POWER(LN(P955),2)
+POWER(LN(Q955),2)
+POWER(LN(R955),2)
+POWER(LN(S955),2)
+POWER(LN(T955),2)
)
)))</f>
        <v>0.47095746419981693</v>
      </c>
    </row>
    <row r="956" spans="1:22" x14ac:dyDescent="0.2">
      <c r="A956" t="str">
        <f>VLOOKUP(J956,'dataset mapping'!$A$4:$E$69,2,0)</f>
        <v>hydrogen production, gaseous, 25 bar, from SOEC electrolysis, from Danish wind turbines</v>
      </c>
      <c r="B956" s="53">
        <f>(B955*B949)+(B950*B955)</f>
        <v>3.3000000000000002E-2</v>
      </c>
      <c r="C956" t="str">
        <f>VLOOKUP(J956,'dataset mapping'!$A$4:$E$69,5,0)</f>
        <v>kilogram</v>
      </c>
      <c r="E956" t="str">
        <f>VLOOKUP(J956,'dataset mapping'!$A$4:$E$69,4,0)</f>
        <v>DK</v>
      </c>
      <c r="F956" t="s">
        <v>86</v>
      </c>
      <c r="G956" t="str">
        <f>VLOOKUP(J956,'dataset mapping'!$A$4:$E$69,3,0)</f>
        <v>hydrogen, gaseous, 25 bar</v>
      </c>
      <c r="H956" t="s">
        <v>76</v>
      </c>
      <c r="I956" t="s">
        <v>1054</v>
      </c>
      <c r="J956" t="str">
        <f>B945&amp;" - "&amp;B947</f>
        <v>Electrolysis, SOEC - Wind (DK)</v>
      </c>
      <c r="K956" t="str">
        <f>B931</f>
        <v>This dataset represents the supply of 1 kilogram of hydrogen. The hydrogen is transported by pipeline over 1300 km from regional storage.  The hydrogen is produced by  Electrolysis, SOEC,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956">
        <f t="shared" si="84"/>
        <v>2</v>
      </c>
      <c r="M956">
        <f t="shared" si="85"/>
        <v>-3.4112477175156566</v>
      </c>
      <c r="N956">
        <v>1.5</v>
      </c>
      <c r="O956" s="15">
        <v>1.2</v>
      </c>
      <c r="P956">
        <v>1.5</v>
      </c>
      <c r="Q956">
        <v>1.1000000000000001</v>
      </c>
      <c r="R956">
        <v>2</v>
      </c>
      <c r="S956">
        <v>1.2</v>
      </c>
      <c r="T956">
        <v>1.05</v>
      </c>
      <c r="U956">
        <f t="shared" si="86"/>
        <v>0.47095746419981693</v>
      </c>
    </row>
    <row r="957" spans="1:22" x14ac:dyDescent="0.2">
      <c r="A957" t="str">
        <f>VLOOKUP(J957,'dataset mapping'!$A$4:$E$69,2,0)</f>
        <v>distribution pipeline for hydrogen, dedicated hydrogen pipeline</v>
      </c>
      <c r="B957" s="45">
        <f>0.000000000265*SUM(B955:B956)*B942*0.86</f>
        <v>3.0604691000000003E-7</v>
      </c>
      <c r="C957" t="str">
        <f>VLOOKUP(J957,'dataset mapping'!$A$4:$E$69,5,0)</f>
        <v>kilometer</v>
      </c>
      <c r="E957" t="str">
        <f>VLOOKUP(J957,'dataset mapping'!$A$4:$E$69,4,0)</f>
        <v>CH</v>
      </c>
      <c r="F957" t="s">
        <v>86</v>
      </c>
      <c r="G957" t="str">
        <f>VLOOKUP(J957,'dataset mapping'!$A$4:$E$69,3,0)</f>
        <v>pipeline, for hydrogen distribution</v>
      </c>
      <c r="H957" t="s">
        <v>88</v>
      </c>
      <c r="I957" t="s">
        <v>1052</v>
      </c>
      <c r="J957" t="s">
        <v>218</v>
      </c>
      <c r="K957" t="str">
        <f>B930</f>
        <v>hydrogen supply, transported by pipeline, produced by Electrolysis, SOEC using water and electricity from Wind (DK)</v>
      </c>
      <c r="L957">
        <f t="shared" si="84"/>
        <v>2</v>
      </c>
      <c r="M957">
        <f t="shared" si="85"/>
        <v>-14.999527446089781</v>
      </c>
      <c r="N957">
        <v>1.5</v>
      </c>
      <c r="O957" s="15">
        <v>1.2</v>
      </c>
      <c r="P957">
        <v>1.5</v>
      </c>
      <c r="Q957">
        <v>1.1000000000000001</v>
      </c>
      <c r="R957">
        <v>2</v>
      </c>
      <c r="S957">
        <v>1.2</v>
      </c>
      <c r="T957">
        <v>3</v>
      </c>
      <c r="U957">
        <f t="shared" si="86"/>
        <v>0.72314801614797197</v>
      </c>
    </row>
    <row r="958" spans="1:22" x14ac:dyDescent="0.2">
      <c r="A958" t="str">
        <f>VLOOKUP(J958,'dataset mapping'!$A$4:$E$69,2,0)</f>
        <v>transmission pipeline for hydrogen, dedicated hydrogen pipeline</v>
      </c>
      <c r="B958" s="45">
        <f>0.000000000265*SUM(B955:B956)*B942*0.14</f>
        <v>4.9821590000000009E-8</v>
      </c>
      <c r="C958" t="str">
        <f>VLOOKUP(J958,'dataset mapping'!$A$4:$E$69,5,0)</f>
        <v>kilometer</v>
      </c>
      <c r="E958" t="str">
        <f>VLOOKUP(J958,'dataset mapping'!$A$4:$E$69,4,0)</f>
        <v>CH</v>
      </c>
      <c r="F958" t="s">
        <v>86</v>
      </c>
      <c r="G958" t="str">
        <f>VLOOKUP(J958,'dataset mapping'!$A$4:$E$69,3,0)</f>
        <v>pipeline, for hydrogen transmission</v>
      </c>
      <c r="H958" t="s">
        <v>88</v>
      </c>
      <c r="I958" t="s">
        <v>1052</v>
      </c>
      <c r="J958" t="s">
        <v>219</v>
      </c>
      <c r="K958" t="str">
        <f>B930</f>
        <v>hydrogen supply, transported by pipeline, produced by Electrolysis, SOEC using water and electricity from Wind (DK)</v>
      </c>
      <c r="L958">
        <f t="shared" si="84"/>
        <v>2</v>
      </c>
      <c r="M958">
        <f t="shared" si="85"/>
        <v>-16.814817412728029</v>
      </c>
      <c r="N958">
        <v>1.5</v>
      </c>
      <c r="O958" s="15">
        <v>1.2</v>
      </c>
      <c r="P958">
        <v>1.5</v>
      </c>
      <c r="Q958">
        <v>1.1000000000000001</v>
      </c>
      <c r="R958">
        <v>2</v>
      </c>
      <c r="S958">
        <v>1.2</v>
      </c>
      <c r="T958">
        <v>3</v>
      </c>
      <c r="U958">
        <f t="shared" si="86"/>
        <v>0.72314801614797197</v>
      </c>
    </row>
    <row r="959" spans="1:22" x14ac:dyDescent="0.2">
      <c r="A959" t="s">
        <v>1038</v>
      </c>
      <c r="B959" s="53">
        <f>SUM(B955:B956)</f>
        <v>1.0329999999999999</v>
      </c>
      <c r="C959" t="str">
        <f>VLOOKUP(J959,'dataset mapping'!$A$4:$E$69,5,0)</f>
        <v>kilogram</v>
      </c>
      <c r="E959" t="s">
        <v>64</v>
      </c>
      <c r="F959" t="s">
        <v>86</v>
      </c>
      <c r="G959" t="s">
        <v>1039</v>
      </c>
      <c r="H959" t="s">
        <v>88</v>
      </c>
      <c r="I959" t="s">
        <v>1040</v>
      </c>
      <c r="J959" t="s">
        <v>229</v>
      </c>
      <c r="K959" t="str">
        <f>B930</f>
        <v>hydrogen supply, transported by pipeline, produced by Electrolysis, SOEC using water and electricity from Wind (DK)</v>
      </c>
      <c r="L959">
        <f t="shared" si="84"/>
        <v>2</v>
      </c>
      <c r="M959">
        <f t="shared" si="85"/>
        <v>3.2467190137501413E-2</v>
      </c>
      <c r="N959">
        <v>1.5</v>
      </c>
      <c r="O959" s="15">
        <v>1.2</v>
      </c>
      <c r="P959">
        <v>1.5</v>
      </c>
      <c r="Q959">
        <v>1.1000000000000001</v>
      </c>
      <c r="R959">
        <v>2</v>
      </c>
      <c r="S959">
        <v>1.2</v>
      </c>
      <c r="T959">
        <v>3</v>
      </c>
      <c r="U959">
        <f t="shared" si="86"/>
        <v>0.72314801614797197</v>
      </c>
    </row>
    <row r="960" spans="1:22" x14ac:dyDescent="0.2">
      <c r="A960" t="s">
        <v>130</v>
      </c>
      <c r="B960" s="52">
        <f>(VLOOKUP(B945,parameters!$A$71:$B$78,2,0)+VLOOKUP(B941,parameters!$A$82:$B$84,2,0)+VLOOKUP(B941,parameters!$A$87:$B$89,2,0))*SUM(B955:B956)</f>
        <v>2.0246799999999996</v>
      </c>
      <c r="C960" t="s">
        <v>92</v>
      </c>
      <c r="E960" t="s">
        <v>64</v>
      </c>
      <c r="F960" t="s">
        <v>86</v>
      </c>
      <c r="G960" t="s">
        <v>93</v>
      </c>
      <c r="H960" t="s">
        <v>78</v>
      </c>
      <c r="I960" t="s">
        <v>1053</v>
      </c>
      <c r="J960" t="s">
        <v>67</v>
      </c>
      <c r="K960" t="str">
        <f>B930</f>
        <v>hydrogen supply, transported by pipeline, produced by Electrolysis, SOEC using water and electricity from Wind (DK)</v>
      </c>
      <c r="L960">
        <f t="shared" si="84"/>
        <v>2</v>
      </c>
      <c r="M960">
        <f t="shared" si="85"/>
        <v>0.70541166337992711</v>
      </c>
      <c r="N960">
        <v>1.5</v>
      </c>
      <c r="O960" s="15">
        <v>1.2</v>
      </c>
      <c r="P960">
        <v>1.5</v>
      </c>
      <c r="Q960">
        <v>1.1000000000000001</v>
      </c>
      <c r="R960">
        <v>2</v>
      </c>
      <c r="S960">
        <v>1.2</v>
      </c>
      <c r="T960">
        <v>1.05</v>
      </c>
      <c r="U960">
        <f t="shared" si="86"/>
        <v>0.47095746419981693</v>
      </c>
    </row>
    <row r="961" spans="1:21" x14ac:dyDescent="0.2">
      <c r="A961" t="s">
        <v>130</v>
      </c>
      <c r="B961" s="52">
        <f>0.6*SUM(B955:B956)*(B942/250)</f>
        <v>3.2229599999999996</v>
      </c>
      <c r="C961" t="s">
        <v>92</v>
      </c>
      <c r="E961" t="s">
        <v>64</v>
      </c>
      <c r="F961" t="s">
        <v>86</v>
      </c>
      <c r="G961" t="s">
        <v>93</v>
      </c>
      <c r="H961" t="s">
        <v>78</v>
      </c>
      <c r="I961" t="s">
        <v>1135</v>
      </c>
      <c r="J961" t="s">
        <v>67</v>
      </c>
      <c r="K961" t="str">
        <f>B931</f>
        <v>This dataset represents the supply of 1 kilogram of hydrogen. The hydrogen is transported by pipeline over 1300 km from regional storage.  The hydrogen is produced by  Electrolysis, SOEC, with water and electricity from Wind (DK)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961">
        <f t="shared" si="84"/>
        <v>2</v>
      </c>
      <c r="M961">
        <f t="shared" si="85"/>
        <v>1.1703001919588925</v>
      </c>
      <c r="N961">
        <v>1.5</v>
      </c>
      <c r="O961" s="15">
        <v>1.2</v>
      </c>
      <c r="P961">
        <v>1.5</v>
      </c>
      <c r="Q961">
        <v>1.1000000000000001</v>
      </c>
      <c r="R961">
        <v>2</v>
      </c>
      <c r="S961">
        <v>1.2</v>
      </c>
      <c r="T961">
        <v>1.05</v>
      </c>
      <c r="U961">
        <f t="shared" si="86"/>
        <v>0.47095746419981693</v>
      </c>
    </row>
    <row r="962" spans="1:21" x14ac:dyDescent="0.2">
      <c r="A962" t="s">
        <v>7</v>
      </c>
      <c r="B962" s="53">
        <f>B956</f>
        <v>3.3000000000000002E-2</v>
      </c>
      <c r="C962" t="s">
        <v>56</v>
      </c>
      <c r="D962" t="s">
        <v>100</v>
      </c>
      <c r="F962" t="s">
        <v>99</v>
      </c>
      <c r="H962" t="s">
        <v>131</v>
      </c>
      <c r="I962" t="s">
        <v>160</v>
      </c>
      <c r="K962" t="str">
        <f>B930</f>
        <v>hydrogen supply, transported by pipeline, produced by Electrolysis, SOEC using water and electricity from Wind (DK)</v>
      </c>
      <c r="L962">
        <f t="shared" si="84"/>
        <v>2</v>
      </c>
      <c r="M962">
        <f t="shared" si="85"/>
        <v>-3.4112477175156566</v>
      </c>
      <c r="N962">
        <v>1.5</v>
      </c>
      <c r="O962" s="15">
        <v>1.2</v>
      </c>
      <c r="P962">
        <v>1.5</v>
      </c>
      <c r="Q962">
        <v>1.1000000000000001</v>
      </c>
      <c r="R962">
        <v>2</v>
      </c>
      <c r="S962">
        <v>1.2</v>
      </c>
      <c r="T962">
        <v>1.05</v>
      </c>
      <c r="U962">
        <f t="shared" si="86"/>
        <v>0.47095746419981693</v>
      </c>
    </row>
    <row r="963" spans="1:21" x14ac:dyDescent="0.2">
      <c r="B963" s="45"/>
    </row>
    <row r="964" spans="1:21" x14ac:dyDescent="0.2">
      <c r="A964" s="2" t="s">
        <v>50</v>
      </c>
      <c r="B964" s="44" t="str">
        <f>"hydrogen supply, transported by "&amp;B975&amp;", produced by "&amp;B979&amp;" using "&amp;B980&amp;" from "&amp;B981</f>
        <v>hydrogen supply, transported by train, produced by Electrolysis, SOEC using water and electricity from Wind (DK)</v>
      </c>
    </row>
    <row r="965" spans="1:21" x14ac:dyDescent="0.2">
      <c r="A965" t="s">
        <v>51</v>
      </c>
      <c r="B965" s="45" t="str">
        <f>"This dataset represents the supply of 1 kilogram of hydrogen. The hydrogen is transported by "&amp;B975&amp;" over "&amp;B976&amp;" km from regional storage. "&amp;" The "&amp;B974&amp;" is produced by  "&amp;B979&amp;", with "&amp;B980&amp;" from "&amp;B981&amp;" as feedstock. "&amp;A983&amp;": "&amp;(B983*100)&amp;"%. "&amp;A984&amp;": "&amp;(B984*100)&amp;".  For more information, refer to: "&amp;B966</f>
        <v>This dataset represents the supply of 1 kilogram of hydrogen. The hydrogen is transported by train over 1300 km from regional storage.  The hydrogen is produced by  Electrolysis, SOEC,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966" spans="1:21" x14ac:dyDescent="0.2">
      <c r="A966" t="s">
        <v>63</v>
      </c>
      <c r="B966" s="45" t="s">
        <v>1223</v>
      </c>
    </row>
    <row r="967" spans="1:21" x14ac:dyDescent="0.2">
      <c r="A967" t="s">
        <v>52</v>
      </c>
      <c r="B967" s="45" t="s">
        <v>64</v>
      </c>
    </row>
    <row r="968" spans="1:21" x14ac:dyDescent="0.2">
      <c r="A968" t="s">
        <v>48</v>
      </c>
      <c r="B968" s="45">
        <v>117</v>
      </c>
    </row>
    <row r="969" spans="1:21" x14ac:dyDescent="0.2">
      <c r="A969" t="s">
        <v>54</v>
      </c>
      <c r="B969" s="45" t="s">
        <v>1137</v>
      </c>
    </row>
    <row r="970" spans="1:21" x14ac:dyDescent="0.2">
      <c r="A970" t="s">
        <v>55</v>
      </c>
      <c r="B970" s="45" t="s">
        <v>56</v>
      </c>
    </row>
    <row r="971" spans="1:21" x14ac:dyDescent="0.2">
      <c r="A971" t="s">
        <v>0</v>
      </c>
      <c r="B971" s="45" t="str">
        <f>INDEX(overview!$B$4:$R$338,MATCH('hydrogen - supply'!B968,overview!$A$4:$A$338,0),MATCH('hydrogen - supply'!A971,overview!$B$3:$R$3,0))</f>
        <v>Switzerland</v>
      </c>
    </row>
    <row r="972" spans="1:21" x14ac:dyDescent="0.2">
      <c r="A972" t="s">
        <v>1</v>
      </c>
      <c r="B972" s="45">
        <f>INDEX(overview!$B$4:$R$338,MATCH('hydrogen - supply'!B968,overview!$A$4:$A$338,0),MATCH('hydrogen - supply'!A972,overview!$B$3:$R$3,0))</f>
        <v>2020</v>
      </c>
    </row>
    <row r="973" spans="1:21" x14ac:dyDescent="0.2">
      <c r="A973" t="s">
        <v>2</v>
      </c>
      <c r="B973" s="45" t="s">
        <v>1130</v>
      </c>
    </row>
    <row r="974" spans="1:21" x14ac:dyDescent="0.2">
      <c r="A974" t="s">
        <v>5</v>
      </c>
      <c r="B974" s="45" t="str">
        <f>INDEX(overview!$B$4:$R$338,MATCH('hydrogen - supply'!B968,overview!$A$4:$A$338,0),MATCH('hydrogen - supply'!A974,overview!$B$3:$R$3,0))</f>
        <v>hydrogen</v>
      </c>
    </row>
    <row r="975" spans="1:21" x14ac:dyDescent="0.2">
      <c r="A975" t="s">
        <v>4</v>
      </c>
      <c r="B975" s="45" t="str">
        <f>INDEX(overview!$B$4:$R$338,MATCH('hydrogen - supply'!B968,overview!$A$4:$A$338,0),MATCH('hydrogen - supply'!A975,overview!$B$3:$R$3,0))</f>
        <v>train</v>
      </c>
    </row>
    <row r="976" spans="1:21" x14ac:dyDescent="0.2">
      <c r="A976" t="s">
        <v>38</v>
      </c>
      <c r="B976" s="45">
        <f>INDEX(overview!$B$4:$R$338,MATCH('hydrogen - supply'!B968,overview!$A$4:$A$338,0),MATCH('hydrogen - supply'!A976,overview!$B$3:$R$3,0))</f>
        <v>1300</v>
      </c>
    </row>
    <row r="977" spans="1:22" x14ac:dyDescent="0.2">
      <c r="A977" t="s">
        <v>12</v>
      </c>
      <c r="B977" s="45" t="str">
        <f>INDEX(overview!$B$4:$R$338,MATCH('hydrogen - supply'!B968,overview!$A$4:$A$338,0),MATCH('hydrogen - supply'!A977,overview!$B$3:$R$3,0))</f>
        <v>Pressure vessel for stationary storage</v>
      </c>
    </row>
    <row r="978" spans="1:22" x14ac:dyDescent="0.2">
      <c r="A978" t="s">
        <v>34</v>
      </c>
      <c r="B978" s="45">
        <f>INDEX(overview!$B$4:$R$338,MATCH('hydrogen - supply'!B968,overview!$A$4:$A$338,0),MATCH('hydrogen - supply'!A978,overview!$B$3:$R$3,0))</f>
        <v>0</v>
      </c>
    </row>
    <row r="979" spans="1:22" x14ac:dyDescent="0.2">
      <c r="A979" t="s">
        <v>15</v>
      </c>
      <c r="B979" s="45" t="str">
        <f>INDEX(overview!$B$4:$R$338,MATCH('hydrogen - supply'!B968,overview!$A$4:$A$338,0),MATCH('hydrogen - supply'!A979,overview!$B$3:$R$3,0))</f>
        <v>Electrolysis, SOEC</v>
      </c>
    </row>
    <row r="980" spans="1:22" x14ac:dyDescent="0.2">
      <c r="A980" t="s">
        <v>14</v>
      </c>
      <c r="B980" s="45" t="str">
        <f>INDEX(overview!$B$4:$R$338,MATCH('hydrogen - supply'!B968,overview!$A$4:$A$338,0),MATCH('hydrogen - supply'!A980,overview!$B$3:$R$3,0))</f>
        <v>water and electricity</v>
      </c>
    </row>
    <row r="981" spans="1:22" x14ac:dyDescent="0.2">
      <c r="A981" t="s">
        <v>26</v>
      </c>
      <c r="B981" s="45" t="str">
        <f>INDEX(overview!$B$4:$R$338,MATCH('hydrogen - supply'!B968,overview!$A$4:$A$338,0),MATCH('hydrogen - supply'!A981,overview!$B$3:$R$3,0))</f>
        <v>Wind (DK)</v>
      </c>
    </row>
    <row r="982" spans="1:22" x14ac:dyDescent="0.2">
      <c r="A982" t="s">
        <v>29</v>
      </c>
      <c r="B982" s="45">
        <f>INDEX(overview!$B$4:$R$338,MATCH('hydrogen - supply'!B968,overview!$A$4:$A$338,0),MATCH('hydrogen - supply'!A982,overview!$B$3:$R$3,0))</f>
        <v>0</v>
      </c>
    </row>
    <row r="983" spans="1:22" x14ac:dyDescent="0.2">
      <c r="A983" t="s">
        <v>45</v>
      </c>
      <c r="B983" s="66">
        <f>VLOOKUP(B975,parameters!$A$94:$C$96,2,0)</f>
        <v>5.0000000000000001E-3</v>
      </c>
    </row>
    <row r="984" spans="1:22" x14ac:dyDescent="0.2">
      <c r="A984" t="s">
        <v>1133</v>
      </c>
      <c r="B984" s="49">
        <f>VLOOKUP(B975,parameters!$A$94:$D$96,3,0)</f>
        <v>2.3E-2</v>
      </c>
    </row>
    <row r="985" spans="1:22" x14ac:dyDescent="0.2">
      <c r="B985" s="45"/>
    </row>
    <row r="986" spans="1:22" x14ac:dyDescent="0.2">
      <c r="A986" s="3" t="s">
        <v>57</v>
      </c>
      <c r="B986" s="45"/>
    </row>
    <row r="987" spans="1:22" x14ac:dyDescent="0.2">
      <c r="A987" s="2" t="s">
        <v>58</v>
      </c>
      <c r="B987" s="44" t="s">
        <v>59</v>
      </c>
      <c r="C987" s="2" t="s">
        <v>55</v>
      </c>
      <c r="D987" s="2" t="s">
        <v>60</v>
      </c>
      <c r="E987" s="2" t="s">
        <v>52</v>
      </c>
      <c r="F987" s="2" t="s">
        <v>61</v>
      </c>
      <c r="G987" s="2" t="s">
        <v>54</v>
      </c>
      <c r="H987" s="2" t="s">
        <v>87</v>
      </c>
      <c r="I987" s="2" t="s">
        <v>51</v>
      </c>
      <c r="J987" s="2" t="s">
        <v>138</v>
      </c>
      <c r="K987" s="2" t="s">
        <v>136</v>
      </c>
      <c r="L987" s="2" t="s">
        <v>221</v>
      </c>
      <c r="M987" s="2" t="s">
        <v>379</v>
      </c>
      <c r="N987" s="2" t="s">
        <v>1059</v>
      </c>
      <c r="O987" s="2" t="s">
        <v>1060</v>
      </c>
      <c r="P987" s="2" t="s">
        <v>1061</v>
      </c>
      <c r="Q987" s="2" t="s">
        <v>1062</v>
      </c>
      <c r="R987" s="2" t="s">
        <v>1063</v>
      </c>
      <c r="S987" s="2" t="s">
        <v>1064</v>
      </c>
      <c r="T987" s="2" t="s">
        <v>1065</v>
      </c>
      <c r="U987" s="2" t="s">
        <v>380</v>
      </c>
      <c r="V987" s="2" t="s">
        <v>1128</v>
      </c>
    </row>
    <row r="988" spans="1:22" x14ac:dyDescent="0.2">
      <c r="A988" t="str">
        <f>B964</f>
        <v>hydrogen supply, transported by train, produced by Electrolysis, SOEC using water and electricity from Wind (DK)</v>
      </c>
      <c r="B988" s="45">
        <v>1</v>
      </c>
      <c r="C988" t="str">
        <f>B970</f>
        <v>kilogram</v>
      </c>
      <c r="E988" t="str">
        <f>B967</f>
        <v>CH</v>
      </c>
      <c r="F988" t="s">
        <v>62</v>
      </c>
      <c r="G988" t="str">
        <f>B969</f>
        <v>hydrogen, gaseous, from truck</v>
      </c>
      <c r="K988" t="str">
        <f>B964</f>
        <v>hydrogen supply, transported by train, produced by Electrolysis, SOEC using water and electricity from Wind (DK)</v>
      </c>
    </row>
    <row r="989" spans="1:22" x14ac:dyDescent="0.2">
      <c r="A989" t="str">
        <f>VLOOKUP(J989,'dataset mapping'!$A$4:$E$69,2,0)</f>
        <v>hydrogen production, gaseous, 25 bar, from SOEC electrolysis, from Danish wind turbines</v>
      </c>
      <c r="B989" s="53">
        <v>1</v>
      </c>
      <c r="C989" t="str">
        <f>VLOOKUP(J989,'dataset mapping'!$A$4:$E$69,5,0)</f>
        <v>kilogram</v>
      </c>
      <c r="E989" t="str">
        <f>VLOOKUP(J989,'dataset mapping'!$A$4:$E$69,4,0)</f>
        <v>DK</v>
      </c>
      <c r="F989" t="s">
        <v>86</v>
      </c>
      <c r="G989" t="str">
        <f>VLOOKUP(J989,'dataset mapping'!$A$4:$E$69,3,0)</f>
        <v>hydrogen, gaseous, 25 bar</v>
      </c>
      <c r="H989" t="s">
        <v>281</v>
      </c>
      <c r="I989" t="s">
        <v>1054</v>
      </c>
      <c r="J989" t="str">
        <f>B945&amp;" - "&amp;B947</f>
        <v>Electrolysis, SOEC - Wind (DK)</v>
      </c>
      <c r="K989" t="str">
        <f>B964</f>
        <v>hydrogen supply, transported by train, produced by Electrolysis, SOEC using water and electricity from Wind (DK)</v>
      </c>
      <c r="L989">
        <f>IF(OR(B989&lt;0,B989=0),1,2)</f>
        <v>2</v>
      </c>
      <c r="M989">
        <f>IF(L989=2,LN(B989),"")</f>
        <v>0</v>
      </c>
      <c r="N989">
        <v>1.5</v>
      </c>
      <c r="O989" s="15">
        <v>1.2</v>
      </c>
      <c r="P989">
        <v>1.5</v>
      </c>
      <c r="Q989">
        <v>1.1000000000000001</v>
      </c>
      <c r="R989">
        <v>2</v>
      </c>
      <c r="S989">
        <v>1.2</v>
      </c>
      <c r="T989">
        <v>1.05</v>
      </c>
      <c r="U989">
        <f>LN(SQRT(EXP(
SQRT(
+POWER(LN(N989),2)
+POWER(LN(O989),2)
+POWER(LN(P989),2)
+POWER(LN(Q989),2)
+POWER(LN(R989),2)
+POWER(LN(S989),2)
+POWER(LN(T989),2)
)
)))</f>
        <v>0.47095746419981693</v>
      </c>
    </row>
    <row r="990" spans="1:22" x14ac:dyDescent="0.2">
      <c r="A990" t="str">
        <f>VLOOKUP(J990,'dataset mapping'!$A$4:$E$69,2,0)</f>
        <v>hydrogen production, gaseous, 25 bar, from SOEC electrolysis, from Danish wind turbines</v>
      </c>
      <c r="B990" s="53">
        <f>(B989*B983)+(B984*B989)</f>
        <v>2.8000000000000001E-2</v>
      </c>
      <c r="C990" t="str">
        <f>VLOOKUP(J990,'dataset mapping'!$A$4:$E$69,5,0)</f>
        <v>kilogram</v>
      </c>
      <c r="E990" t="str">
        <f>VLOOKUP(J990,'dataset mapping'!$A$4:$E$69,4,0)</f>
        <v>DK</v>
      </c>
      <c r="F990" t="s">
        <v>86</v>
      </c>
      <c r="G990" t="str">
        <f>VLOOKUP(J990,'dataset mapping'!$A$4:$E$69,3,0)</f>
        <v>hydrogen, gaseous, 25 bar</v>
      </c>
      <c r="H990" t="s">
        <v>76</v>
      </c>
      <c r="I990" t="s">
        <v>1054</v>
      </c>
      <c r="J990" t="str">
        <f>B945&amp;" - "&amp;B947</f>
        <v>Electrolysis, SOEC - Wind (DK)</v>
      </c>
      <c r="K990" t="str">
        <f>B965</f>
        <v>This dataset represents the supply of 1 kilogram of hydrogen. The hydrogen is transported by train over 1300 km from regional storage.  The hydrogen is produced by  Electrolysis, SOEC, with water and electricity from Wind (DK)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990">
        <f>IF(OR(B990&lt;0,B990=0),1,2)</f>
        <v>2</v>
      </c>
      <c r="M990">
        <f>IF(L990=2,LN(B990),"")</f>
        <v>-3.575550768806933</v>
      </c>
      <c r="N990">
        <v>1.5</v>
      </c>
      <c r="O990" s="15">
        <v>1.2</v>
      </c>
      <c r="P990">
        <v>1.5</v>
      </c>
      <c r="Q990">
        <v>1.1000000000000001</v>
      </c>
      <c r="R990">
        <v>2</v>
      </c>
      <c r="S990">
        <v>1.2</v>
      </c>
      <c r="T990">
        <v>1.05</v>
      </c>
      <c r="U990">
        <f>LN(SQRT(EXP(
SQRT(
+POWER(LN(N990),2)
+POWER(LN(O990),2)
+POWER(LN(P990),2)
+POWER(LN(Q990),2)
+POWER(LN(R990),2)
+POWER(LN(S990),2)
+POWER(LN(T990),2)
)
)))</f>
        <v>0.47095746419981693</v>
      </c>
    </row>
    <row r="991" spans="1:22" x14ac:dyDescent="0.2">
      <c r="A991" t="str">
        <f>VLOOKUP(J991,'dataset mapping'!$A$4:$E$69,2,0)</f>
        <v>market for transport, freight train</v>
      </c>
      <c r="B991" s="45">
        <f>SUM(B989:B990)/1000*B976</f>
        <v>1.3364</v>
      </c>
      <c r="C991" t="str">
        <f>VLOOKUP(J991,'dataset mapping'!$A$4:$E$69,5,0)</f>
        <v>ton kilometer</v>
      </c>
      <c r="E991" t="str">
        <f>VLOOKUP(J991,'dataset mapping'!$A$4:$E$69,4,0)</f>
        <v>CH</v>
      </c>
      <c r="F991" t="s">
        <v>86</v>
      </c>
      <c r="G991" t="str">
        <f>VLOOKUP(J991,'dataset mapping'!$A$4:$E$69,3,0)</f>
        <v>transport, freight train</v>
      </c>
      <c r="H991" t="s">
        <v>88</v>
      </c>
      <c r="I991" t="s">
        <v>1052</v>
      </c>
      <c r="J991" t="s">
        <v>295</v>
      </c>
      <c r="K991" t="str">
        <f>B947</f>
        <v>Wind (DK)</v>
      </c>
      <c r="L991">
        <f t="shared" ref="L991" si="87">IF(OR(B991&lt;0,B991=0),1,2)</f>
        <v>2</v>
      </c>
      <c r="M991">
        <f t="shared" ref="M991" si="88">IF(L991=2,LN(B991),"")</f>
        <v>0.28997943150046446</v>
      </c>
      <c r="N991">
        <v>1.5</v>
      </c>
      <c r="O991" s="15">
        <v>1.2</v>
      </c>
      <c r="P991">
        <v>1.5</v>
      </c>
      <c r="Q991">
        <v>1.1000000000000001</v>
      </c>
      <c r="R991">
        <v>2</v>
      </c>
      <c r="S991">
        <v>1.2</v>
      </c>
      <c r="T991">
        <v>2</v>
      </c>
      <c r="U991">
        <f t="shared" ref="U991" si="89">LN(SQRT(EXP(
SQRT(
+POWER(LN(N991),2)
+POWER(LN(O991),2)
+POWER(LN(P991),2)
+POWER(LN(Q991),2)
+POWER(LN(R991),2)
+POWER(LN(S991),2)
+POWER(LN(T991),2)
)
)))</f>
        <v>0.58422518478336083</v>
      </c>
    </row>
    <row r="992" spans="1:22" x14ac:dyDescent="0.2">
      <c r="A992" t="s">
        <v>1038</v>
      </c>
      <c r="B992" s="53">
        <f>SUM(B989:B990)</f>
        <v>1.028</v>
      </c>
      <c r="C992" t="str">
        <f>VLOOKUP(J992,'dataset mapping'!$A$4:$E$69,5,0)</f>
        <v>kilogram</v>
      </c>
      <c r="E992" t="s">
        <v>64</v>
      </c>
      <c r="F992" t="s">
        <v>86</v>
      </c>
      <c r="G992" t="s">
        <v>1039</v>
      </c>
      <c r="H992" t="s">
        <v>88</v>
      </c>
      <c r="I992" t="s">
        <v>1040</v>
      </c>
      <c r="J992" t="s">
        <v>229</v>
      </c>
      <c r="K992" t="str">
        <f>B964</f>
        <v>hydrogen supply, transported by train, produced by Electrolysis, SOEC using water and electricity from Wind (DK)</v>
      </c>
      <c r="L992">
        <f>IF(OR(B992&lt;0,B992=0),1,2)</f>
        <v>2</v>
      </c>
      <c r="M992">
        <f>IF(L992=2,LN(B992),"")</f>
        <v>2.7615167032973391E-2</v>
      </c>
      <c r="N992">
        <v>1.5</v>
      </c>
      <c r="O992" s="15">
        <v>1.2</v>
      </c>
      <c r="P992">
        <v>1.5</v>
      </c>
      <c r="Q992">
        <v>1.1000000000000001</v>
      </c>
      <c r="R992">
        <v>2</v>
      </c>
      <c r="S992">
        <v>1.2</v>
      </c>
      <c r="T992">
        <v>3</v>
      </c>
      <c r="U992">
        <f>LN(SQRT(EXP(
SQRT(
+POWER(LN(N992),2)
+POWER(LN(O992),2)
+POWER(LN(P992),2)
+POWER(LN(Q992),2)
+POWER(LN(R992),2)
+POWER(LN(S992),2)
+POWER(LN(T992),2)
)
)))</f>
        <v>0.72314801614797197</v>
      </c>
    </row>
    <row r="993" spans="1:21" x14ac:dyDescent="0.2">
      <c r="A993" t="s">
        <v>130</v>
      </c>
      <c r="B993" s="52">
        <f>(VLOOKUP(B979,parameters!$A$71:$B$78,2,0)+VLOOKUP(B975,parameters!$A$82:$B$84,2,0)+VLOOKUP(B975,parameters!$A$87:$B$89,2,0))*SUM(B989:B990)</f>
        <v>3.5774400000000006</v>
      </c>
      <c r="C993" t="s">
        <v>92</v>
      </c>
      <c r="E993" t="s">
        <v>64</v>
      </c>
      <c r="F993" t="s">
        <v>86</v>
      </c>
      <c r="G993" t="s">
        <v>93</v>
      </c>
      <c r="H993" t="s">
        <v>78</v>
      </c>
      <c r="I993" t="s">
        <v>1053</v>
      </c>
      <c r="J993" t="s">
        <v>67</v>
      </c>
      <c r="K993" t="str">
        <f>B964</f>
        <v>hydrogen supply, transported by train, produced by Electrolysis, SOEC using water and electricity from Wind (DK)</v>
      </c>
      <c r="L993">
        <f>IF(OR(B993&lt;0,B993=0),1,2)</f>
        <v>2</v>
      </c>
      <c r="M993">
        <f>IF(L993=2,LN(B993),"")</f>
        <v>1.2746474608193565</v>
      </c>
      <c r="N993">
        <v>1.5</v>
      </c>
      <c r="O993" s="15">
        <v>1.2</v>
      </c>
      <c r="P993">
        <v>1.5</v>
      </c>
      <c r="Q993">
        <v>1.1000000000000001</v>
      </c>
      <c r="R993">
        <v>2</v>
      </c>
      <c r="S993">
        <v>1.2</v>
      </c>
      <c r="T993">
        <v>1.05</v>
      </c>
      <c r="U993">
        <f>LN(SQRT(EXP(
SQRT(
+POWER(LN(N993),2)
+POWER(LN(O993),2)
+POWER(LN(P993),2)
+POWER(LN(Q993),2)
+POWER(LN(R993),2)
+POWER(LN(S993),2)
+POWER(LN(T993),2)
)
)))</f>
        <v>0.47095746419981693</v>
      </c>
    </row>
    <row r="994" spans="1:21" x14ac:dyDescent="0.2">
      <c r="A994" t="s">
        <v>7</v>
      </c>
      <c r="B994" s="53">
        <f>B990</f>
        <v>2.8000000000000001E-2</v>
      </c>
      <c r="C994" t="s">
        <v>56</v>
      </c>
      <c r="D994" t="s">
        <v>100</v>
      </c>
      <c r="F994" t="s">
        <v>99</v>
      </c>
      <c r="H994" t="s">
        <v>131</v>
      </c>
      <c r="I994" t="s">
        <v>160</v>
      </c>
      <c r="K994" t="str">
        <f>B964</f>
        <v>hydrogen supply, transported by train, produced by Electrolysis, SOEC using water and electricity from Wind (DK)</v>
      </c>
      <c r="L994">
        <f>IF(OR(B994&lt;0,B994=0),1,2)</f>
        <v>2</v>
      </c>
      <c r="M994">
        <f>IF(L994=2,LN(B994),"")</f>
        <v>-3.575550768806933</v>
      </c>
      <c r="N994">
        <v>1.5</v>
      </c>
      <c r="O994" s="15">
        <v>1.2</v>
      </c>
      <c r="P994">
        <v>1.5</v>
      </c>
      <c r="Q994">
        <v>1.1000000000000001</v>
      </c>
      <c r="R994">
        <v>2</v>
      </c>
      <c r="S994">
        <v>1.2</v>
      </c>
      <c r="T994">
        <v>1.05</v>
      </c>
      <c r="U994">
        <f>LN(SQRT(EXP(
SQRT(
+POWER(LN(N994),2)
+POWER(LN(O994),2)
+POWER(LN(P994),2)
+POWER(LN(Q994),2)
+POWER(LN(R994),2)
+POWER(LN(S994),2)
+POWER(LN(T994),2)
)
)))</f>
        <v>0.47095746419981693</v>
      </c>
    </row>
    <row r="996" spans="1:21" x14ac:dyDescent="0.2">
      <c r="A996" s="2" t="s">
        <v>50</v>
      </c>
      <c r="B996" s="44" t="str">
        <f>"hydrogen supply, transported by "&amp;B1007&amp;", produced by "&amp;B1011&amp;" using "&amp;B1012&amp;" from "&amp;B1013</f>
        <v>hydrogen supply, transported by pipeline, produced by Steam Methane Reforming using natural gas from Switzerland</v>
      </c>
    </row>
    <row r="997" spans="1:21" x14ac:dyDescent="0.2">
      <c r="A997" t="s">
        <v>51</v>
      </c>
      <c r="B997" s="45" t="str">
        <f>"This dataset represents the supply of 1 kilogram of hydrogen. The hydrogen is transported by "&amp;B1007&amp;" over "&amp;B1008&amp;" km from regional storage. "&amp;" The "&amp;B1006&amp;" is produced by  "&amp;B1011&amp;", with "&amp;B1012&amp;" from "&amp;B1013&amp;" as feedstock. "&amp;A1015&amp;": "&amp;(B1015*100)&amp;"%. "&amp;A1016&amp;": "&amp;(B1016*100)&amp;".  For more information, refer to: "&amp;B998</f>
        <v>This dataset represents the supply of 1 kilogram of hydrogen. The hydrogen is transported by pipeline over 500 km from regional storage.  The hydrogen is produced by  Steam Methane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998" spans="1:21" x14ac:dyDescent="0.2">
      <c r="A998" t="s">
        <v>63</v>
      </c>
      <c r="B998" s="45" t="s">
        <v>1223</v>
      </c>
    </row>
    <row r="999" spans="1:21" x14ac:dyDescent="0.2">
      <c r="A999" t="s">
        <v>52</v>
      </c>
      <c r="B999" s="45" t="s">
        <v>64</v>
      </c>
    </row>
    <row r="1000" spans="1:21" x14ac:dyDescent="0.2">
      <c r="A1000" t="s">
        <v>48</v>
      </c>
      <c r="B1000" s="45">
        <v>121</v>
      </c>
    </row>
    <row r="1001" spans="1:21" x14ac:dyDescent="0.2">
      <c r="A1001" t="s">
        <v>54</v>
      </c>
      <c r="B1001" s="45" t="s">
        <v>1129</v>
      </c>
    </row>
    <row r="1002" spans="1:21" x14ac:dyDescent="0.2">
      <c r="A1002" t="s">
        <v>55</v>
      </c>
      <c r="B1002" s="45" t="s">
        <v>56</v>
      </c>
    </row>
    <row r="1003" spans="1:21" x14ac:dyDescent="0.2">
      <c r="A1003" t="s">
        <v>0</v>
      </c>
      <c r="B1003" s="45" t="str">
        <f>INDEX(overview!$B$4:$R$338,MATCH('hydrogen - supply'!B1000,overview!$A$4:$A$338,0),MATCH('hydrogen - supply'!A1003,overview!$B$3:$R$3,0))</f>
        <v>Switzerland</v>
      </c>
    </row>
    <row r="1004" spans="1:21" x14ac:dyDescent="0.2">
      <c r="A1004" t="s">
        <v>1</v>
      </c>
      <c r="B1004" s="45">
        <f>INDEX(overview!$B$4:$R$338,MATCH('hydrogen - supply'!B1000,overview!$A$4:$A$338,0),MATCH('hydrogen - supply'!A1004,overview!$B$3:$R$3,0))</f>
        <v>2020</v>
      </c>
    </row>
    <row r="1005" spans="1:21" x14ac:dyDescent="0.2">
      <c r="A1005" t="s">
        <v>2</v>
      </c>
      <c r="B1005" s="45" t="s">
        <v>1130</v>
      </c>
    </row>
    <row r="1006" spans="1:21" x14ac:dyDescent="0.2">
      <c r="A1006" t="s">
        <v>5</v>
      </c>
      <c r="B1006" s="45" t="str">
        <f>INDEX(overview!$B$4:$R$338,MATCH('hydrogen - supply'!B1000,overview!$A$4:$A$338,0),MATCH('hydrogen - supply'!A1006,overview!$B$3:$R$3,0))</f>
        <v>hydrogen</v>
      </c>
    </row>
    <row r="1007" spans="1:21" x14ac:dyDescent="0.2">
      <c r="A1007" t="s">
        <v>4</v>
      </c>
      <c r="B1007" s="45" t="str">
        <f>INDEX(overview!$B$4:$R$338,MATCH('hydrogen - supply'!B1000,overview!$A$4:$A$338,0),MATCH('hydrogen - supply'!A1007,overview!$B$3:$R$3,0))</f>
        <v>pipeline</v>
      </c>
    </row>
    <row r="1008" spans="1:21" x14ac:dyDescent="0.2">
      <c r="A1008" t="s">
        <v>38</v>
      </c>
      <c r="B1008" s="45">
        <f>INDEX(overview!$B$4:$R$338,MATCH('hydrogen - supply'!B1000,overview!$A$4:$A$338,0),MATCH('hydrogen - supply'!A1008,overview!$B$3:$R$3,0))</f>
        <v>500</v>
      </c>
    </row>
    <row r="1009" spans="1:22" x14ac:dyDescent="0.2">
      <c r="A1009" t="s">
        <v>12</v>
      </c>
      <c r="B1009" s="45" t="str">
        <f>INDEX(overview!$B$4:$R$338,MATCH('hydrogen - supply'!B1000,overview!$A$4:$A$338,0),MATCH('hydrogen - supply'!A1009,overview!$B$3:$R$3,0))</f>
        <v>Pressure vessel for stationary storage</v>
      </c>
    </row>
    <row r="1010" spans="1:22" x14ac:dyDescent="0.2">
      <c r="A1010" t="s">
        <v>34</v>
      </c>
      <c r="B1010" s="45">
        <f>INDEX(overview!$B$4:$R$338,MATCH('hydrogen - supply'!B1000,overview!$A$4:$A$338,0),MATCH('hydrogen - supply'!A1010,overview!$B$3:$R$3,0))</f>
        <v>0</v>
      </c>
    </row>
    <row r="1011" spans="1:22" x14ac:dyDescent="0.2">
      <c r="A1011" t="s">
        <v>15</v>
      </c>
      <c r="B1011" s="45" t="str">
        <f>INDEX(overview!$B$4:$R$338,MATCH('hydrogen - supply'!B1000,overview!$A$4:$A$338,0),MATCH('hydrogen - supply'!A1011,overview!$B$3:$R$3,0))</f>
        <v>Steam Methane Reforming</v>
      </c>
    </row>
    <row r="1012" spans="1:22" x14ac:dyDescent="0.2">
      <c r="A1012" t="s">
        <v>14</v>
      </c>
      <c r="B1012" s="45" t="str">
        <f>INDEX(overview!$B$4:$R$338,MATCH('hydrogen - supply'!B1000,overview!$A$4:$A$338,0),MATCH('hydrogen - supply'!A1012,overview!$B$3:$R$3,0))</f>
        <v>natural gas</v>
      </c>
    </row>
    <row r="1013" spans="1:22" x14ac:dyDescent="0.2">
      <c r="A1013" t="s">
        <v>26</v>
      </c>
      <c r="B1013" s="45" t="str">
        <f>INDEX(overview!$B$4:$R$338,MATCH('hydrogen - supply'!B1000,overview!$A$4:$A$338,0),MATCH('hydrogen - supply'!A1013,overview!$B$3:$R$3,0))</f>
        <v>Switzerland</v>
      </c>
    </row>
    <row r="1014" spans="1:22" x14ac:dyDescent="0.2">
      <c r="A1014" t="s">
        <v>29</v>
      </c>
      <c r="B1014" s="45">
        <f>INDEX(overview!$B$4:$R$338,MATCH('hydrogen - supply'!B1000,overview!$A$4:$A$338,0),MATCH('hydrogen - supply'!A1014,overview!$B$3:$R$3,0))</f>
        <v>0</v>
      </c>
    </row>
    <row r="1015" spans="1:22" x14ac:dyDescent="0.2">
      <c r="A1015" t="s">
        <v>45</v>
      </c>
      <c r="B1015" s="66">
        <f>VLOOKUP(B1007,parameters!$A$94:$C$96,2,0)</f>
        <v>0.01</v>
      </c>
    </row>
    <row r="1016" spans="1:22" x14ac:dyDescent="0.2">
      <c r="A1016" t="s">
        <v>1133</v>
      </c>
      <c r="B1016" s="49">
        <f>VLOOKUP(B1007,parameters!$A$94:$D$96,3,0)</f>
        <v>2.3E-2</v>
      </c>
    </row>
    <row r="1017" spans="1:22" x14ac:dyDescent="0.2">
      <c r="B1017" s="45"/>
    </row>
    <row r="1018" spans="1:22" x14ac:dyDescent="0.2">
      <c r="A1018" s="3" t="s">
        <v>57</v>
      </c>
      <c r="B1018" s="45"/>
    </row>
    <row r="1019" spans="1:22" x14ac:dyDescent="0.2">
      <c r="A1019" s="2" t="s">
        <v>58</v>
      </c>
      <c r="B1019" s="44" t="s">
        <v>59</v>
      </c>
      <c r="C1019" s="2" t="s">
        <v>55</v>
      </c>
      <c r="D1019" s="2" t="s">
        <v>60</v>
      </c>
      <c r="E1019" s="2" t="s">
        <v>52</v>
      </c>
      <c r="F1019" s="2" t="s">
        <v>61</v>
      </c>
      <c r="G1019" s="2" t="s">
        <v>54</v>
      </c>
      <c r="H1019" s="2" t="s">
        <v>87</v>
      </c>
      <c r="I1019" s="2" t="s">
        <v>51</v>
      </c>
      <c r="J1019" s="2" t="s">
        <v>138</v>
      </c>
      <c r="K1019" s="2" t="s">
        <v>136</v>
      </c>
      <c r="L1019" s="2" t="s">
        <v>221</v>
      </c>
      <c r="M1019" s="2" t="s">
        <v>379</v>
      </c>
      <c r="N1019" s="2" t="s">
        <v>1059</v>
      </c>
      <c r="O1019" s="2" t="s">
        <v>1060</v>
      </c>
      <c r="P1019" s="2" t="s">
        <v>1061</v>
      </c>
      <c r="Q1019" s="2" t="s">
        <v>1062</v>
      </c>
      <c r="R1019" s="2" t="s">
        <v>1063</v>
      </c>
      <c r="S1019" s="2" t="s">
        <v>1064</v>
      </c>
      <c r="T1019" s="2" t="s">
        <v>1065</v>
      </c>
      <c r="U1019" s="2" t="s">
        <v>380</v>
      </c>
      <c r="V1019" s="2" t="s">
        <v>1128</v>
      </c>
    </row>
    <row r="1020" spans="1:22" x14ac:dyDescent="0.2">
      <c r="A1020" t="str">
        <f>B996</f>
        <v>hydrogen supply, transported by pipeline, produced by Steam Methane Reforming using natural gas from Switzerland</v>
      </c>
      <c r="B1020" s="45">
        <v>1</v>
      </c>
      <c r="C1020" t="str">
        <f>B1002</f>
        <v>kilogram</v>
      </c>
      <c r="E1020" t="str">
        <f>B999</f>
        <v>CH</v>
      </c>
      <c r="F1020" t="s">
        <v>62</v>
      </c>
      <c r="G1020" t="str">
        <f>B1001</f>
        <v>hydrogen, gaseous, from pipeline</v>
      </c>
      <c r="K1020" t="str">
        <f>B996</f>
        <v>hydrogen supply, transported by pipeline, produced by Steam Methane Reforming using natural gas from Switzerland</v>
      </c>
    </row>
    <row r="1021" spans="1:22" x14ac:dyDescent="0.2">
      <c r="A1021" t="str">
        <f>VLOOKUP(J1021,'dataset mapping'!$A$4:$E$69,2,0)</f>
        <v>hydrogen production, steam methane reforming of natural gas, 25 bar</v>
      </c>
      <c r="B1021" s="53">
        <v>1</v>
      </c>
      <c r="C1021" t="str">
        <f>VLOOKUP(J1021,'dataset mapping'!$A$4:$E$69,5,0)</f>
        <v>kilogram</v>
      </c>
      <c r="E1021" t="str">
        <f>VLOOKUP(J1021,'dataset mapping'!$A$4:$E$69,4,0)</f>
        <v>CH</v>
      </c>
      <c r="F1021" t="s">
        <v>86</v>
      </c>
      <c r="G1021" t="str">
        <f>VLOOKUP(J1021,'dataset mapping'!$A$4:$E$69,3,0)</f>
        <v>hydrogen, gaseous, 25 bar</v>
      </c>
      <c r="H1021" t="s">
        <v>281</v>
      </c>
      <c r="I1021" t="s">
        <v>1054</v>
      </c>
      <c r="J1021" t="str">
        <f>B1011&amp;" - "&amp;B1013</f>
        <v>Steam Methane Reforming - Switzerland</v>
      </c>
      <c r="K1021" t="str">
        <f>B996</f>
        <v>hydrogen supply, transported by pipeline, produced by Steam Methane Reforming using natural gas from Switzerland</v>
      </c>
      <c r="L1021">
        <f t="shared" ref="L1021:L1028" si="90">IF(OR(B1021&lt;0,B1021=0),1,2)</f>
        <v>2</v>
      </c>
      <c r="M1021">
        <f t="shared" ref="M1021:M1028" si="91">IF(L1021=2,LN(B1021),"")</f>
        <v>0</v>
      </c>
      <c r="N1021">
        <v>1.5</v>
      </c>
      <c r="O1021" s="15">
        <v>1.2</v>
      </c>
      <c r="P1021">
        <v>1.5</v>
      </c>
      <c r="Q1021">
        <v>1.1000000000000001</v>
      </c>
      <c r="R1021">
        <v>2</v>
      </c>
      <c r="S1021">
        <v>1.2</v>
      </c>
      <c r="T1021">
        <v>1.05</v>
      </c>
      <c r="U1021">
        <f t="shared" ref="U1021:U1028" si="92">LN(SQRT(EXP(
SQRT(
+POWER(LN(N1021),2)
+POWER(LN(O1021),2)
+POWER(LN(P1021),2)
+POWER(LN(Q1021),2)
+POWER(LN(R1021),2)
+POWER(LN(S1021),2)
+POWER(LN(T1021),2)
)
)))</f>
        <v>0.47095746419981693</v>
      </c>
    </row>
    <row r="1022" spans="1:22" x14ac:dyDescent="0.2">
      <c r="A1022" t="str">
        <f>VLOOKUP(J1022,'dataset mapping'!$A$4:$E$69,2,0)</f>
        <v>hydrogen production, steam methane reforming of natural gas, 25 bar</v>
      </c>
      <c r="B1022" s="53">
        <f>(B1021*B1015)+(B1016*B1021)</f>
        <v>3.3000000000000002E-2</v>
      </c>
      <c r="C1022" t="str">
        <f>VLOOKUP(J1022,'dataset mapping'!$A$4:$E$69,5,0)</f>
        <v>kilogram</v>
      </c>
      <c r="E1022" t="str">
        <f>VLOOKUP(J1022,'dataset mapping'!$A$4:$E$69,4,0)</f>
        <v>CH</v>
      </c>
      <c r="F1022" t="s">
        <v>86</v>
      </c>
      <c r="G1022" t="str">
        <f>VLOOKUP(J1022,'dataset mapping'!$A$4:$E$69,3,0)</f>
        <v>hydrogen, gaseous, 25 bar</v>
      </c>
      <c r="H1022" t="s">
        <v>76</v>
      </c>
      <c r="I1022" t="s">
        <v>1054</v>
      </c>
      <c r="J1022" t="str">
        <f>B1011&amp;" - "&amp;B1013</f>
        <v>Steam Methane Reforming - Switzerland</v>
      </c>
      <c r="K1022" t="str">
        <f>B997</f>
        <v>This dataset represents the supply of 1 kilogram of hydrogen. The hydrogen is transported by pipeline over 500 km from regional storage.  The hydrogen is produced by  Steam Methane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022">
        <f t="shared" si="90"/>
        <v>2</v>
      </c>
      <c r="M1022">
        <f t="shared" si="91"/>
        <v>-3.4112477175156566</v>
      </c>
      <c r="N1022">
        <v>1.5</v>
      </c>
      <c r="O1022" s="15">
        <v>1.2</v>
      </c>
      <c r="P1022">
        <v>1.5</v>
      </c>
      <c r="Q1022">
        <v>1.1000000000000001</v>
      </c>
      <c r="R1022">
        <v>2</v>
      </c>
      <c r="S1022">
        <v>1.2</v>
      </c>
      <c r="T1022">
        <v>1.05</v>
      </c>
      <c r="U1022">
        <f t="shared" si="92"/>
        <v>0.47095746419981693</v>
      </c>
    </row>
    <row r="1023" spans="1:22" x14ac:dyDescent="0.2">
      <c r="A1023" t="str">
        <f>VLOOKUP(J1023,'dataset mapping'!$A$4:$E$69,2,0)</f>
        <v>distribution pipeline for hydrogen, dedicated hydrogen pipeline</v>
      </c>
      <c r="B1023" s="45">
        <f>0.000000000265*SUM(B1021:B1022)*B1008*0.86</f>
        <v>1.1771035E-7</v>
      </c>
      <c r="C1023" t="str">
        <f>VLOOKUP(J1023,'dataset mapping'!$A$4:$E$69,5,0)</f>
        <v>kilometer</v>
      </c>
      <c r="E1023" t="str">
        <f>VLOOKUP(J1023,'dataset mapping'!$A$4:$E$69,4,0)</f>
        <v>CH</v>
      </c>
      <c r="F1023" t="s">
        <v>86</v>
      </c>
      <c r="G1023" t="str">
        <f>VLOOKUP(J1023,'dataset mapping'!$A$4:$E$69,3,0)</f>
        <v>pipeline, for hydrogen distribution</v>
      </c>
      <c r="H1023" t="s">
        <v>88</v>
      </c>
      <c r="I1023" t="s">
        <v>1052</v>
      </c>
      <c r="J1023" t="s">
        <v>218</v>
      </c>
      <c r="K1023" t="str">
        <f>B996</f>
        <v>hydrogen supply, transported by pipeline, produced by Steam Methane Reforming using natural gas from Switzerland</v>
      </c>
      <c r="L1023">
        <f t="shared" si="90"/>
        <v>2</v>
      </c>
      <c r="M1023">
        <f t="shared" si="91"/>
        <v>-15.955038891117216</v>
      </c>
      <c r="N1023">
        <v>1.5</v>
      </c>
      <c r="O1023" s="15">
        <v>1.2</v>
      </c>
      <c r="P1023">
        <v>1.5</v>
      </c>
      <c r="Q1023">
        <v>1.1000000000000001</v>
      </c>
      <c r="R1023">
        <v>2</v>
      </c>
      <c r="S1023">
        <v>1.2</v>
      </c>
      <c r="T1023">
        <v>3</v>
      </c>
      <c r="U1023">
        <f t="shared" si="92"/>
        <v>0.72314801614797197</v>
      </c>
    </row>
    <row r="1024" spans="1:22" x14ac:dyDescent="0.2">
      <c r="A1024" t="str">
        <f>VLOOKUP(J1024,'dataset mapping'!$A$4:$E$69,2,0)</f>
        <v>transmission pipeline for hydrogen, dedicated hydrogen pipeline</v>
      </c>
      <c r="B1024" s="45">
        <f>0.000000000265*SUM(B1021:B1022)*B1008*0.14</f>
        <v>1.9162150000000001E-8</v>
      </c>
      <c r="C1024" t="str">
        <f>VLOOKUP(J1024,'dataset mapping'!$A$4:$E$69,5,0)</f>
        <v>kilometer</v>
      </c>
      <c r="E1024" t="str">
        <f>VLOOKUP(J1024,'dataset mapping'!$A$4:$E$69,4,0)</f>
        <v>CH</v>
      </c>
      <c r="F1024" t="s">
        <v>86</v>
      </c>
      <c r="G1024" t="str">
        <f>VLOOKUP(J1024,'dataset mapping'!$A$4:$E$69,3,0)</f>
        <v>pipeline, for hydrogen transmission</v>
      </c>
      <c r="H1024" t="s">
        <v>88</v>
      </c>
      <c r="I1024" t="s">
        <v>1052</v>
      </c>
      <c r="J1024" t="s">
        <v>219</v>
      </c>
      <c r="K1024" t="str">
        <f>B996</f>
        <v>hydrogen supply, transported by pipeline, produced by Steam Methane Reforming using natural gas from Switzerland</v>
      </c>
      <c r="L1024">
        <f t="shared" si="90"/>
        <v>2</v>
      </c>
      <c r="M1024">
        <f t="shared" si="91"/>
        <v>-17.770328857755466</v>
      </c>
      <c r="N1024">
        <v>1.5</v>
      </c>
      <c r="O1024" s="15">
        <v>1.2</v>
      </c>
      <c r="P1024">
        <v>1.5</v>
      </c>
      <c r="Q1024">
        <v>1.1000000000000001</v>
      </c>
      <c r="R1024">
        <v>2</v>
      </c>
      <c r="S1024">
        <v>1.2</v>
      </c>
      <c r="T1024">
        <v>3</v>
      </c>
      <c r="U1024">
        <f t="shared" si="92"/>
        <v>0.72314801614797197</v>
      </c>
    </row>
    <row r="1025" spans="1:21" x14ac:dyDescent="0.2">
      <c r="A1025" t="s">
        <v>1038</v>
      </c>
      <c r="B1025" s="53">
        <f>SUM(B1021:B1022)</f>
        <v>1.0329999999999999</v>
      </c>
      <c r="C1025" t="str">
        <f>VLOOKUP(J1025,'dataset mapping'!$A$4:$E$69,5,0)</f>
        <v>kilogram</v>
      </c>
      <c r="E1025" t="s">
        <v>64</v>
      </c>
      <c r="F1025" t="s">
        <v>86</v>
      </c>
      <c r="G1025" t="s">
        <v>1039</v>
      </c>
      <c r="H1025" t="s">
        <v>88</v>
      </c>
      <c r="I1025" t="s">
        <v>1040</v>
      </c>
      <c r="J1025" t="s">
        <v>229</v>
      </c>
      <c r="K1025" t="str">
        <f>B996</f>
        <v>hydrogen supply, transported by pipeline, produced by Steam Methane Reforming using natural gas from Switzerland</v>
      </c>
      <c r="L1025">
        <f t="shared" si="90"/>
        <v>2</v>
      </c>
      <c r="M1025">
        <f t="shared" si="91"/>
        <v>3.2467190137501413E-2</v>
      </c>
      <c r="N1025">
        <v>1.5</v>
      </c>
      <c r="O1025" s="15">
        <v>1.2</v>
      </c>
      <c r="P1025">
        <v>1.5</v>
      </c>
      <c r="Q1025">
        <v>1.1000000000000001</v>
      </c>
      <c r="R1025">
        <v>2</v>
      </c>
      <c r="S1025">
        <v>1.2</v>
      </c>
      <c r="T1025">
        <v>3</v>
      </c>
      <c r="U1025">
        <f t="shared" si="92"/>
        <v>0.72314801614797197</v>
      </c>
    </row>
    <row r="1026" spans="1:21" x14ac:dyDescent="0.2">
      <c r="A1026" t="s">
        <v>130</v>
      </c>
      <c r="B1026" s="52">
        <f>(VLOOKUP(B1011,parameters!$A$71:$B$78,2,0)+VLOOKUP(B1007,parameters!$A$82:$B$84,2,0)+VLOOKUP(B1007,parameters!$A$87:$B$89,2,0))*SUM(B1021:B1022)</f>
        <v>2.0246799999999996</v>
      </c>
      <c r="C1026" t="s">
        <v>92</v>
      </c>
      <c r="E1026" t="s">
        <v>64</v>
      </c>
      <c r="F1026" t="s">
        <v>86</v>
      </c>
      <c r="G1026" t="s">
        <v>93</v>
      </c>
      <c r="H1026" t="s">
        <v>78</v>
      </c>
      <c r="I1026" t="s">
        <v>1053</v>
      </c>
      <c r="J1026" t="s">
        <v>67</v>
      </c>
      <c r="K1026" t="str">
        <f>B996</f>
        <v>hydrogen supply, transported by pipeline, produced by Steam Methane Reforming using natural gas from Switzerland</v>
      </c>
      <c r="L1026">
        <f t="shared" si="90"/>
        <v>2</v>
      </c>
      <c r="M1026">
        <f t="shared" si="91"/>
        <v>0.70541166337992711</v>
      </c>
      <c r="N1026">
        <v>1.5</v>
      </c>
      <c r="O1026" s="15">
        <v>1.2</v>
      </c>
      <c r="P1026">
        <v>1.5</v>
      </c>
      <c r="Q1026">
        <v>1.1000000000000001</v>
      </c>
      <c r="R1026">
        <v>2</v>
      </c>
      <c r="S1026">
        <v>1.2</v>
      </c>
      <c r="T1026">
        <v>1.05</v>
      </c>
      <c r="U1026">
        <f t="shared" si="92"/>
        <v>0.47095746419981693</v>
      </c>
    </row>
    <row r="1027" spans="1:21" x14ac:dyDescent="0.2">
      <c r="A1027" t="s">
        <v>130</v>
      </c>
      <c r="B1027" s="52">
        <f>0.6*SUM(B1021:B1022)*(B1008/250)</f>
        <v>1.2395999999999998</v>
      </c>
      <c r="C1027" t="s">
        <v>92</v>
      </c>
      <c r="E1027" t="s">
        <v>64</v>
      </c>
      <c r="F1027" t="s">
        <v>86</v>
      </c>
      <c r="G1027" t="s">
        <v>93</v>
      </c>
      <c r="H1027" t="s">
        <v>78</v>
      </c>
      <c r="I1027" t="s">
        <v>1135</v>
      </c>
      <c r="J1027" t="s">
        <v>67</v>
      </c>
      <c r="K1027" t="str">
        <f>B997</f>
        <v>This dataset represents the supply of 1 kilogram of hydrogen. The hydrogen is transported by pipeline over 500 km from regional storage.  The hydrogen is produced by  Steam Methane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027">
        <f t="shared" si="90"/>
        <v>2</v>
      </c>
      <c r="M1027">
        <f t="shared" si="91"/>
        <v>0.21478874693145597</v>
      </c>
      <c r="N1027">
        <v>1.5</v>
      </c>
      <c r="O1027" s="15">
        <v>1.2</v>
      </c>
      <c r="P1027">
        <v>1.5</v>
      </c>
      <c r="Q1027">
        <v>1.1000000000000001</v>
      </c>
      <c r="R1027">
        <v>2</v>
      </c>
      <c r="S1027">
        <v>1.2</v>
      </c>
      <c r="T1027">
        <v>1.05</v>
      </c>
      <c r="U1027">
        <f t="shared" si="92"/>
        <v>0.47095746419981693</v>
      </c>
    </row>
    <row r="1028" spans="1:21" x14ac:dyDescent="0.2">
      <c r="A1028" t="s">
        <v>7</v>
      </c>
      <c r="B1028" s="53">
        <f>B1022</f>
        <v>3.3000000000000002E-2</v>
      </c>
      <c r="C1028" t="s">
        <v>56</v>
      </c>
      <c r="D1028" t="s">
        <v>100</v>
      </c>
      <c r="F1028" t="s">
        <v>99</v>
      </c>
      <c r="H1028" t="s">
        <v>131</v>
      </c>
      <c r="I1028" t="s">
        <v>160</v>
      </c>
      <c r="K1028" t="str">
        <f>B996</f>
        <v>hydrogen supply, transported by pipeline, produced by Steam Methane Reforming using natural gas from Switzerland</v>
      </c>
      <c r="L1028">
        <f t="shared" si="90"/>
        <v>2</v>
      </c>
      <c r="M1028">
        <f t="shared" si="91"/>
        <v>-3.4112477175156566</v>
      </c>
      <c r="N1028">
        <v>1.5</v>
      </c>
      <c r="O1028" s="15">
        <v>1.2</v>
      </c>
      <c r="P1028">
        <v>1.5</v>
      </c>
      <c r="Q1028">
        <v>1.1000000000000001</v>
      </c>
      <c r="R1028">
        <v>2</v>
      </c>
      <c r="S1028">
        <v>1.2</v>
      </c>
      <c r="T1028">
        <v>1.05</v>
      </c>
      <c r="U1028">
        <f t="shared" si="92"/>
        <v>0.47095746419981693</v>
      </c>
    </row>
    <row r="1029" spans="1:21" x14ac:dyDescent="0.2">
      <c r="B1029" s="45"/>
    </row>
    <row r="1030" spans="1:21" x14ac:dyDescent="0.2">
      <c r="A1030" s="2" t="s">
        <v>50</v>
      </c>
      <c r="B1030" s="44" t="str">
        <f>"hydrogen supply, transported by "&amp;B1041&amp;", produced by "&amp;B1045&amp;" using "&amp;B1046&amp;" from "&amp;B1047</f>
        <v>hydrogen supply, transported by truck, produced by Steam Methane Reforming using natural gas from Switzerland</v>
      </c>
    </row>
    <row r="1031" spans="1:21" x14ac:dyDescent="0.2">
      <c r="A1031" t="s">
        <v>51</v>
      </c>
      <c r="B1031" s="45" t="str">
        <f>"This dataset represents the supply of 1 kilogram of hydrogen. The hydrogen is transported by "&amp;B1041&amp;" over "&amp;B1042&amp;" km from regional storage. "&amp;" The "&amp;B1040&amp;" is produced by  "&amp;B1045&amp;", with "&amp;B1046&amp;" from "&amp;B1047&amp;" as feedstock. "&amp;A1049&amp;": "&amp;(B1049*100)&amp;"%. "&amp;A1050&amp;": "&amp;(B1050*100)&amp;".  For more information, refer to: "&amp;B1032</f>
        <v>This dataset represents the supply of 1 kilogram of hydrogen. The hydrogen is transported by truck over 200 km from regional storage.  The hydrogen is produced by  Steam Methane Reforming,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032" spans="1:21" x14ac:dyDescent="0.2">
      <c r="A1032" t="s">
        <v>63</v>
      </c>
      <c r="B1032" s="45" t="s">
        <v>1223</v>
      </c>
    </row>
    <row r="1033" spans="1:21" x14ac:dyDescent="0.2">
      <c r="A1033" t="s">
        <v>52</v>
      </c>
      <c r="B1033" s="45" t="s">
        <v>64</v>
      </c>
    </row>
    <row r="1034" spans="1:21" x14ac:dyDescent="0.2">
      <c r="A1034" t="s">
        <v>48</v>
      </c>
      <c r="B1034" s="45">
        <v>125</v>
      </c>
    </row>
    <row r="1035" spans="1:21" x14ac:dyDescent="0.2">
      <c r="A1035" t="s">
        <v>54</v>
      </c>
      <c r="B1035" s="45" t="s">
        <v>1137</v>
      </c>
    </row>
    <row r="1036" spans="1:21" x14ac:dyDescent="0.2">
      <c r="A1036" t="s">
        <v>55</v>
      </c>
      <c r="B1036" s="45" t="s">
        <v>56</v>
      </c>
    </row>
    <row r="1037" spans="1:21" x14ac:dyDescent="0.2">
      <c r="A1037" t="s">
        <v>0</v>
      </c>
      <c r="B1037" s="45" t="str">
        <f>INDEX(overview!$B$4:$R$338,MATCH('hydrogen - supply'!B1034,overview!$A$4:$A$338,0),MATCH('hydrogen - supply'!A1037,overview!$B$3:$R$3,0))</f>
        <v>Switzerland</v>
      </c>
    </row>
    <row r="1038" spans="1:21" x14ac:dyDescent="0.2">
      <c r="A1038" t="s">
        <v>1</v>
      </c>
      <c r="B1038" s="45">
        <f>INDEX(overview!$B$4:$R$338,MATCH('hydrogen - supply'!B1034,overview!$A$4:$A$338,0),MATCH('hydrogen - supply'!A1038,overview!$B$3:$R$3,0))</f>
        <v>2020</v>
      </c>
    </row>
    <row r="1039" spans="1:21" x14ac:dyDescent="0.2">
      <c r="A1039" t="s">
        <v>2</v>
      </c>
      <c r="B1039" s="45" t="s">
        <v>1130</v>
      </c>
    </row>
    <row r="1040" spans="1:21" x14ac:dyDescent="0.2">
      <c r="A1040" t="s">
        <v>5</v>
      </c>
      <c r="B1040" s="45" t="str">
        <f>INDEX(overview!$B$4:$R$338,MATCH('hydrogen - supply'!B1034,overview!$A$4:$A$338,0),MATCH('hydrogen - supply'!A1040,overview!$B$3:$R$3,0))</f>
        <v>hydrogen</v>
      </c>
    </row>
    <row r="1041" spans="1:22" x14ac:dyDescent="0.2">
      <c r="A1041" t="s">
        <v>4</v>
      </c>
      <c r="B1041" s="45" t="str">
        <f>INDEX(overview!$B$4:$R$338,MATCH('hydrogen - supply'!B1034,overview!$A$4:$A$338,0),MATCH('hydrogen - supply'!A1041,overview!$B$3:$R$3,0))</f>
        <v>truck</v>
      </c>
    </row>
    <row r="1042" spans="1:22" x14ac:dyDescent="0.2">
      <c r="A1042" t="s">
        <v>38</v>
      </c>
      <c r="B1042" s="45">
        <f>INDEX(overview!$B$4:$R$338,MATCH('hydrogen - supply'!B1034,overview!$A$4:$A$338,0),MATCH('hydrogen - supply'!A1042,overview!$B$3:$R$3,0))</f>
        <v>200</v>
      </c>
    </row>
    <row r="1043" spans="1:22" x14ac:dyDescent="0.2">
      <c r="A1043" t="s">
        <v>12</v>
      </c>
      <c r="B1043" s="45" t="str">
        <f>INDEX(overview!$B$4:$R$338,MATCH('hydrogen - supply'!B1034,overview!$A$4:$A$338,0),MATCH('hydrogen - supply'!A1043,overview!$B$3:$R$3,0))</f>
        <v>Pressure vessel for stationary storage</v>
      </c>
    </row>
    <row r="1044" spans="1:22" x14ac:dyDescent="0.2">
      <c r="A1044" t="s">
        <v>34</v>
      </c>
      <c r="B1044" s="45">
        <f>INDEX(overview!$B$4:$R$338,MATCH('hydrogen - supply'!B1034,overview!$A$4:$A$338,0),MATCH('hydrogen - supply'!A1044,overview!$B$3:$R$3,0))</f>
        <v>0</v>
      </c>
    </row>
    <row r="1045" spans="1:22" x14ac:dyDescent="0.2">
      <c r="A1045" t="s">
        <v>15</v>
      </c>
      <c r="B1045" s="45" t="str">
        <f>INDEX(overview!$B$4:$R$338,MATCH('hydrogen - supply'!B1034,overview!$A$4:$A$338,0),MATCH('hydrogen - supply'!A1045,overview!$B$3:$R$3,0))</f>
        <v>Steam Methane Reforming</v>
      </c>
    </row>
    <row r="1046" spans="1:22" x14ac:dyDescent="0.2">
      <c r="A1046" t="s">
        <v>14</v>
      </c>
      <c r="B1046" s="45" t="str">
        <f>INDEX(overview!$B$4:$R$338,MATCH('hydrogen - supply'!B1034,overview!$A$4:$A$338,0),MATCH('hydrogen - supply'!A1046,overview!$B$3:$R$3,0))</f>
        <v>natural gas</v>
      </c>
    </row>
    <row r="1047" spans="1:22" x14ac:dyDescent="0.2">
      <c r="A1047" t="s">
        <v>26</v>
      </c>
      <c r="B1047" s="45" t="str">
        <f>INDEX(overview!$B$4:$R$338,MATCH('hydrogen - supply'!B1034,overview!$A$4:$A$338,0),MATCH('hydrogen - supply'!A1047,overview!$B$3:$R$3,0))</f>
        <v>Switzerland</v>
      </c>
    </row>
    <row r="1048" spans="1:22" x14ac:dyDescent="0.2">
      <c r="A1048" t="s">
        <v>29</v>
      </c>
      <c r="B1048" s="45">
        <f>INDEX(overview!$B$4:$R$338,MATCH('hydrogen - supply'!B1034,overview!$A$4:$A$338,0),MATCH('hydrogen - supply'!A1048,overview!$B$3:$R$3,0))</f>
        <v>0</v>
      </c>
    </row>
    <row r="1049" spans="1:22" x14ac:dyDescent="0.2">
      <c r="A1049" t="s">
        <v>45</v>
      </c>
      <c r="B1049" s="66">
        <f>VLOOKUP(B1041,parameters!$A$94:$C$96,2,0)</f>
        <v>5.0000000000000001E-3</v>
      </c>
    </row>
    <row r="1050" spans="1:22" x14ac:dyDescent="0.2">
      <c r="A1050" t="s">
        <v>1133</v>
      </c>
      <c r="B1050" s="49">
        <f>VLOOKUP(B1041,parameters!$A$94:$D$96,3,0)</f>
        <v>2.3E-2</v>
      </c>
    </row>
    <row r="1051" spans="1:22" x14ac:dyDescent="0.2">
      <c r="B1051" s="45"/>
    </row>
    <row r="1052" spans="1:22" x14ac:dyDescent="0.2">
      <c r="A1052" s="3" t="s">
        <v>57</v>
      </c>
      <c r="B1052" s="45"/>
    </row>
    <row r="1053" spans="1:22" x14ac:dyDescent="0.2">
      <c r="A1053" s="2" t="s">
        <v>58</v>
      </c>
      <c r="B1053" s="44" t="s">
        <v>59</v>
      </c>
      <c r="C1053" s="2" t="s">
        <v>55</v>
      </c>
      <c r="D1053" s="2" t="s">
        <v>60</v>
      </c>
      <c r="E1053" s="2" t="s">
        <v>52</v>
      </c>
      <c r="F1053" s="2" t="s">
        <v>61</v>
      </c>
      <c r="G1053" s="2" t="s">
        <v>54</v>
      </c>
      <c r="H1053" s="2" t="s">
        <v>87</v>
      </c>
      <c r="I1053" s="2" t="s">
        <v>51</v>
      </c>
      <c r="J1053" s="2" t="s">
        <v>138</v>
      </c>
      <c r="K1053" s="2" t="s">
        <v>136</v>
      </c>
      <c r="L1053" s="2" t="s">
        <v>221</v>
      </c>
      <c r="M1053" s="2" t="s">
        <v>379</v>
      </c>
      <c r="N1053" s="2" t="s">
        <v>1059</v>
      </c>
      <c r="O1053" s="2" t="s">
        <v>1060</v>
      </c>
      <c r="P1053" s="2" t="s">
        <v>1061</v>
      </c>
      <c r="Q1053" s="2" t="s">
        <v>1062</v>
      </c>
      <c r="R1053" s="2" t="s">
        <v>1063</v>
      </c>
      <c r="S1053" s="2" t="s">
        <v>1064</v>
      </c>
      <c r="T1053" s="2" t="s">
        <v>1065</v>
      </c>
      <c r="U1053" s="2" t="s">
        <v>380</v>
      </c>
      <c r="V1053" s="2" t="s">
        <v>1128</v>
      </c>
    </row>
    <row r="1054" spans="1:22" x14ac:dyDescent="0.2">
      <c r="A1054" t="str">
        <f>B1030</f>
        <v>hydrogen supply, transported by truck, produced by Steam Methane Reforming using natural gas from Switzerland</v>
      </c>
      <c r="B1054" s="45">
        <v>1</v>
      </c>
      <c r="C1054" t="str">
        <f>B1036</f>
        <v>kilogram</v>
      </c>
      <c r="E1054" t="str">
        <f>B1033</f>
        <v>CH</v>
      </c>
      <c r="F1054" t="s">
        <v>62</v>
      </c>
      <c r="G1054" t="str">
        <f>B1035</f>
        <v>hydrogen, gaseous, from truck</v>
      </c>
      <c r="K1054" t="str">
        <f>B1030</f>
        <v>hydrogen supply, transported by truck, produced by Steam Methane Reforming using natural gas from Switzerland</v>
      </c>
    </row>
    <row r="1055" spans="1:22" x14ac:dyDescent="0.2">
      <c r="A1055" t="str">
        <f>VLOOKUP(J1055,'dataset mapping'!$A$4:$E$69,2,0)</f>
        <v>hydrogen production, steam methane reforming of natural gas, 25 bar</v>
      </c>
      <c r="B1055" s="53">
        <v>1</v>
      </c>
      <c r="C1055" t="str">
        <f>VLOOKUP(J1055,'dataset mapping'!$A$4:$E$69,5,0)</f>
        <v>kilogram</v>
      </c>
      <c r="E1055" t="str">
        <f>VLOOKUP(J1055,'dataset mapping'!$A$4:$E$69,4,0)</f>
        <v>CH</v>
      </c>
      <c r="F1055" t="s">
        <v>86</v>
      </c>
      <c r="G1055" t="str">
        <f>VLOOKUP(J1055,'dataset mapping'!$A$4:$E$69,3,0)</f>
        <v>hydrogen, gaseous, 25 bar</v>
      </c>
      <c r="H1055" t="s">
        <v>281</v>
      </c>
      <c r="I1055" t="s">
        <v>1054</v>
      </c>
      <c r="J1055" t="str">
        <f>B1011&amp;" - "&amp;B1013</f>
        <v>Steam Methane Reforming - Switzerland</v>
      </c>
      <c r="K1055" t="str">
        <f>B1030</f>
        <v>hydrogen supply, transported by truck, produced by Steam Methane Reforming using natural gas from Switzerland</v>
      </c>
      <c r="L1055">
        <f>IF(OR(B1055&lt;0,B1055=0),1,2)</f>
        <v>2</v>
      </c>
      <c r="M1055">
        <f>IF(L1055=2,LN(B1055),"")</f>
        <v>0</v>
      </c>
      <c r="N1055">
        <v>1.5</v>
      </c>
      <c r="O1055" s="15">
        <v>1.2</v>
      </c>
      <c r="P1055">
        <v>1.5</v>
      </c>
      <c r="Q1055">
        <v>1.1000000000000001</v>
      </c>
      <c r="R1055">
        <v>2</v>
      </c>
      <c r="S1055">
        <v>1.2</v>
      </c>
      <c r="T1055">
        <v>1.05</v>
      </c>
      <c r="U1055">
        <f>LN(SQRT(EXP(
SQRT(
+POWER(LN(N1055),2)
+POWER(LN(O1055),2)
+POWER(LN(P1055),2)
+POWER(LN(Q1055),2)
+POWER(LN(R1055),2)
+POWER(LN(S1055),2)
+POWER(LN(T1055),2)
)
)))</f>
        <v>0.47095746419981693</v>
      </c>
    </row>
    <row r="1056" spans="1:22" x14ac:dyDescent="0.2">
      <c r="A1056" t="str">
        <f>VLOOKUP(J1056,'dataset mapping'!$A$4:$E$69,2,0)</f>
        <v>hydrogen production, steam methane reforming of natural gas, 25 bar</v>
      </c>
      <c r="B1056" s="53">
        <f>(B1055*B1049)+(B1050*B1055)</f>
        <v>2.8000000000000001E-2</v>
      </c>
      <c r="C1056" t="str">
        <f>VLOOKUP(J1056,'dataset mapping'!$A$4:$E$69,5,0)</f>
        <v>kilogram</v>
      </c>
      <c r="E1056" t="str">
        <f>VLOOKUP(J1056,'dataset mapping'!$A$4:$E$69,4,0)</f>
        <v>CH</v>
      </c>
      <c r="F1056" t="s">
        <v>86</v>
      </c>
      <c r="G1056" t="str">
        <f>VLOOKUP(J1056,'dataset mapping'!$A$4:$E$69,3,0)</f>
        <v>hydrogen, gaseous, 25 bar</v>
      </c>
      <c r="H1056" t="s">
        <v>76</v>
      </c>
      <c r="I1056" t="s">
        <v>1054</v>
      </c>
      <c r="J1056" t="str">
        <f>B1011&amp;" - "&amp;B1013</f>
        <v>Steam Methane Reforming - Switzerland</v>
      </c>
      <c r="K1056" t="str">
        <f>B1031</f>
        <v>This dataset represents the supply of 1 kilogram of hydrogen. The hydrogen is transported by truck over 200 km from regional storage.  The hydrogen is produced by  Steam Methane Reforming,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056">
        <f>IF(OR(B1056&lt;0,B1056=0),1,2)</f>
        <v>2</v>
      </c>
      <c r="M1056">
        <f>IF(L1056=2,LN(B1056),"")</f>
        <v>-3.575550768806933</v>
      </c>
      <c r="N1056">
        <v>1.5</v>
      </c>
      <c r="O1056" s="15">
        <v>1.2</v>
      </c>
      <c r="P1056">
        <v>1.5</v>
      </c>
      <c r="Q1056">
        <v>1.1000000000000001</v>
      </c>
      <c r="R1056">
        <v>2</v>
      </c>
      <c r="S1056">
        <v>1.2</v>
      </c>
      <c r="T1056">
        <v>1.05</v>
      </c>
      <c r="U1056">
        <f>LN(SQRT(EXP(
SQRT(
+POWER(LN(N1056),2)
+POWER(LN(O1056),2)
+POWER(LN(P1056),2)
+POWER(LN(Q1056),2)
+POWER(LN(R1056),2)
+POWER(LN(S1056),2)
+POWER(LN(T1056),2)
)
)))</f>
        <v>0.47095746419981693</v>
      </c>
    </row>
    <row r="1057" spans="1:21" x14ac:dyDescent="0.2">
      <c r="A1057" t="str">
        <f>VLOOKUP(J1057,'dataset mapping'!$A$4:$E$69,2,0)</f>
        <v>market for transport, freight train</v>
      </c>
      <c r="B1057" s="45">
        <f>SUM(B1055:B1056)/1000*B1042</f>
        <v>0.2056</v>
      </c>
      <c r="C1057" t="str">
        <f>VLOOKUP(J1057,'dataset mapping'!$A$4:$E$69,5,0)</f>
        <v>ton kilometer</v>
      </c>
      <c r="E1057" t="str">
        <f>VLOOKUP(J1057,'dataset mapping'!$A$4:$E$69,4,0)</f>
        <v>CH</v>
      </c>
      <c r="F1057" t="s">
        <v>86</v>
      </c>
      <c r="G1057" t="str">
        <f>VLOOKUP(J1057,'dataset mapping'!$A$4:$E$69,3,0)</f>
        <v>transport, freight train</v>
      </c>
      <c r="H1057" t="s">
        <v>88</v>
      </c>
      <c r="I1057" t="s">
        <v>1052</v>
      </c>
      <c r="J1057" t="s">
        <v>295</v>
      </c>
      <c r="K1057" t="str">
        <f>B1013</f>
        <v>Switzerland</v>
      </c>
      <c r="L1057">
        <f t="shared" ref="L1057" si="93">IF(OR(B1057&lt;0,B1057=0),1,2)</f>
        <v>2</v>
      </c>
      <c r="M1057">
        <f t="shared" ref="M1057" si="94">IF(L1057=2,LN(B1057),"")</f>
        <v>-1.5818227454011269</v>
      </c>
      <c r="N1057">
        <v>1.5</v>
      </c>
      <c r="O1057" s="15">
        <v>1.2</v>
      </c>
      <c r="P1057">
        <v>1.5</v>
      </c>
      <c r="Q1057">
        <v>1.1000000000000001</v>
      </c>
      <c r="R1057">
        <v>2</v>
      </c>
      <c r="S1057">
        <v>1.2</v>
      </c>
      <c r="T1057">
        <v>2</v>
      </c>
      <c r="U1057">
        <f t="shared" ref="U1057" si="95">LN(SQRT(EXP(
SQRT(
+POWER(LN(N1057),2)
+POWER(LN(O1057),2)
+POWER(LN(P1057),2)
+POWER(LN(Q1057),2)
+POWER(LN(R1057),2)
+POWER(LN(S1057),2)
+POWER(LN(T1057),2)
)
)))</f>
        <v>0.58422518478336083</v>
      </c>
    </row>
    <row r="1058" spans="1:21" x14ac:dyDescent="0.2">
      <c r="A1058" t="s">
        <v>1038</v>
      </c>
      <c r="B1058" s="53">
        <f>SUM(B1055:B1056)</f>
        <v>1.028</v>
      </c>
      <c r="C1058" t="str">
        <f>VLOOKUP(J1058,'dataset mapping'!$A$4:$E$69,5,0)</f>
        <v>kilogram</v>
      </c>
      <c r="E1058" t="s">
        <v>64</v>
      </c>
      <c r="F1058" t="s">
        <v>86</v>
      </c>
      <c r="G1058" t="s">
        <v>1039</v>
      </c>
      <c r="H1058" t="s">
        <v>88</v>
      </c>
      <c r="I1058" t="s">
        <v>1040</v>
      </c>
      <c r="J1058" t="s">
        <v>229</v>
      </c>
      <c r="K1058" t="str">
        <f>B1030</f>
        <v>hydrogen supply, transported by truck, produced by Steam Methane Reforming using natural gas from Switzerland</v>
      </c>
      <c r="L1058">
        <f>IF(OR(B1058&lt;0,B1058=0),1,2)</f>
        <v>2</v>
      </c>
      <c r="M1058">
        <f>IF(L1058=2,LN(B1058),"")</f>
        <v>2.7615167032973391E-2</v>
      </c>
      <c r="N1058">
        <v>1.5</v>
      </c>
      <c r="O1058" s="15">
        <v>1.2</v>
      </c>
      <c r="P1058">
        <v>1.5</v>
      </c>
      <c r="Q1058">
        <v>1.1000000000000001</v>
      </c>
      <c r="R1058">
        <v>2</v>
      </c>
      <c r="S1058">
        <v>1.2</v>
      </c>
      <c r="T1058">
        <v>3</v>
      </c>
      <c r="U1058">
        <f>LN(SQRT(EXP(
SQRT(
+POWER(LN(N1058),2)
+POWER(LN(O1058),2)
+POWER(LN(P1058),2)
+POWER(LN(Q1058),2)
+POWER(LN(R1058),2)
+POWER(LN(S1058),2)
+POWER(LN(T1058),2)
)
)))</f>
        <v>0.72314801614797197</v>
      </c>
    </row>
    <row r="1059" spans="1:21" x14ac:dyDescent="0.2">
      <c r="A1059" t="s">
        <v>130</v>
      </c>
      <c r="B1059" s="52">
        <f>(VLOOKUP(B1045,parameters!$A$71:$B$78,2,0)+VLOOKUP(B1041,parameters!$A$82:$B$84,2,0)+VLOOKUP(B1041,parameters!$A$87:$B$89,2,0))*SUM(B1055:B1056)</f>
        <v>3.5774400000000006</v>
      </c>
      <c r="C1059" t="s">
        <v>92</v>
      </c>
      <c r="E1059" t="s">
        <v>64</v>
      </c>
      <c r="F1059" t="s">
        <v>86</v>
      </c>
      <c r="G1059" t="s">
        <v>93</v>
      </c>
      <c r="H1059" t="s">
        <v>78</v>
      </c>
      <c r="I1059" t="s">
        <v>1053</v>
      </c>
      <c r="J1059" t="s">
        <v>67</v>
      </c>
      <c r="K1059" t="str">
        <f>B1030</f>
        <v>hydrogen supply, transported by truck, produced by Steam Methane Reforming using natural gas from Switzerland</v>
      </c>
      <c r="L1059">
        <f>IF(OR(B1059&lt;0,B1059=0),1,2)</f>
        <v>2</v>
      </c>
      <c r="M1059">
        <f>IF(L1059=2,LN(B1059),"")</f>
        <v>1.2746474608193565</v>
      </c>
      <c r="N1059">
        <v>1.5</v>
      </c>
      <c r="O1059" s="15">
        <v>1.2</v>
      </c>
      <c r="P1059">
        <v>1.5</v>
      </c>
      <c r="Q1059">
        <v>1.1000000000000001</v>
      </c>
      <c r="R1059">
        <v>2</v>
      </c>
      <c r="S1059">
        <v>1.2</v>
      </c>
      <c r="T1059">
        <v>1.05</v>
      </c>
      <c r="U1059">
        <f>LN(SQRT(EXP(
SQRT(
+POWER(LN(N1059),2)
+POWER(LN(O1059),2)
+POWER(LN(P1059),2)
+POWER(LN(Q1059),2)
+POWER(LN(R1059),2)
+POWER(LN(S1059),2)
+POWER(LN(T1059),2)
)
)))</f>
        <v>0.47095746419981693</v>
      </c>
    </row>
    <row r="1060" spans="1:21" x14ac:dyDescent="0.2">
      <c r="A1060" t="s">
        <v>7</v>
      </c>
      <c r="B1060" s="53">
        <f>B1056</f>
        <v>2.8000000000000001E-2</v>
      </c>
      <c r="C1060" t="s">
        <v>56</v>
      </c>
      <c r="D1060" t="s">
        <v>100</v>
      </c>
      <c r="F1060" t="s">
        <v>99</v>
      </c>
      <c r="H1060" t="s">
        <v>131</v>
      </c>
      <c r="I1060" t="s">
        <v>160</v>
      </c>
      <c r="K1060" t="str">
        <f>B1030</f>
        <v>hydrogen supply, transported by truck, produced by Steam Methane Reforming using natural gas from Switzerland</v>
      </c>
      <c r="L1060">
        <f>IF(OR(B1060&lt;0,B1060=0),1,2)</f>
        <v>2</v>
      </c>
      <c r="M1060">
        <f>IF(L1060=2,LN(B1060),"")</f>
        <v>-3.575550768806933</v>
      </c>
      <c r="N1060">
        <v>1.5</v>
      </c>
      <c r="O1060" s="15">
        <v>1.2</v>
      </c>
      <c r="P1060">
        <v>1.5</v>
      </c>
      <c r="Q1060">
        <v>1.1000000000000001</v>
      </c>
      <c r="R1060">
        <v>2</v>
      </c>
      <c r="S1060">
        <v>1.2</v>
      </c>
      <c r="T1060">
        <v>1.05</v>
      </c>
      <c r="U1060">
        <f>LN(SQRT(EXP(
SQRT(
+POWER(LN(N1060),2)
+POWER(LN(O1060),2)
+POWER(LN(P1060),2)
+POWER(LN(Q1060),2)
+POWER(LN(R1060),2)
+POWER(LN(S1060),2)
+POWER(LN(T1060),2)
)
)))</f>
        <v>0.47095746419981693</v>
      </c>
    </row>
    <row r="1062" spans="1:21" x14ac:dyDescent="0.2">
      <c r="A1062" s="2" t="s">
        <v>50</v>
      </c>
      <c r="B1062" s="44" t="str">
        <f>"hydrogen supply, transported by "&amp;B1073&amp;", produced by "&amp;B1077&amp;" using "&amp;B1078&amp;" from "&amp;B1079</f>
        <v>hydrogen supply, transported by pipeline, produced by Auto-thermal reforming using natural gas from Switzerland</v>
      </c>
    </row>
    <row r="1063" spans="1:21" x14ac:dyDescent="0.2">
      <c r="A1063" t="s">
        <v>51</v>
      </c>
      <c r="B1063" s="45" t="str">
        <f>"This dataset represents the supply of 1 kilogram of hydrogen. The hydrogen is transported by "&amp;B1073&amp;" over "&amp;B1074&amp;" km from regional storage. "&amp;" The "&amp;B1072&amp;" is produced by  "&amp;B1077&amp;", with "&amp;B1078&amp;" from "&amp;B1079&amp;" as feedstock. "&amp;A1081&amp;": "&amp;(B1081*100)&amp;"%. "&amp;A1082&amp;": "&amp;(B1082*100)&amp;".  For more information, refer to: "&amp;B1064</f>
        <v>This dataset represents the supply of 1 kilogram of hydrogen. The hydrogen is transported by pipeline over 500 km from regional storage.  The hydrogen is produced by  Auto-thermal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064" spans="1:21" x14ac:dyDescent="0.2">
      <c r="A1064" t="s">
        <v>63</v>
      </c>
      <c r="B1064" s="45" t="s">
        <v>1223</v>
      </c>
    </row>
    <row r="1065" spans="1:21" x14ac:dyDescent="0.2">
      <c r="A1065" t="s">
        <v>52</v>
      </c>
      <c r="B1065" s="45" t="s">
        <v>64</v>
      </c>
    </row>
    <row r="1066" spans="1:21" x14ac:dyDescent="0.2">
      <c r="A1066" t="s">
        <v>48</v>
      </c>
      <c r="B1066" s="45">
        <v>129</v>
      </c>
    </row>
    <row r="1067" spans="1:21" x14ac:dyDescent="0.2">
      <c r="A1067" t="s">
        <v>54</v>
      </c>
      <c r="B1067" s="45" t="s">
        <v>1129</v>
      </c>
    </row>
    <row r="1068" spans="1:21" x14ac:dyDescent="0.2">
      <c r="A1068" t="s">
        <v>55</v>
      </c>
      <c r="B1068" s="45" t="s">
        <v>56</v>
      </c>
    </row>
    <row r="1069" spans="1:21" x14ac:dyDescent="0.2">
      <c r="A1069" t="s">
        <v>0</v>
      </c>
      <c r="B1069" s="45" t="str">
        <f>INDEX(overview!$B$4:$R$338,MATCH('hydrogen - supply'!B1066,overview!$A$4:$A$338,0),MATCH('hydrogen - supply'!A1069,overview!$B$3:$R$3,0))</f>
        <v>Switzerland</v>
      </c>
    </row>
    <row r="1070" spans="1:21" x14ac:dyDescent="0.2">
      <c r="A1070" t="s">
        <v>1</v>
      </c>
      <c r="B1070" s="45">
        <f>INDEX(overview!$B$4:$R$338,MATCH('hydrogen - supply'!B1066,overview!$A$4:$A$338,0),MATCH('hydrogen - supply'!A1070,overview!$B$3:$R$3,0))</f>
        <v>2020</v>
      </c>
    </row>
    <row r="1071" spans="1:21" x14ac:dyDescent="0.2">
      <c r="A1071" t="s">
        <v>2</v>
      </c>
      <c r="B1071" s="45" t="s">
        <v>1130</v>
      </c>
    </row>
    <row r="1072" spans="1:21" x14ac:dyDescent="0.2">
      <c r="A1072" t="s">
        <v>5</v>
      </c>
      <c r="B1072" s="45" t="str">
        <f>INDEX(overview!$B$4:$R$338,MATCH('hydrogen - supply'!B1066,overview!$A$4:$A$338,0),MATCH('hydrogen - supply'!A1072,overview!$B$3:$R$3,0))</f>
        <v>hydrogen</v>
      </c>
    </row>
    <row r="1073" spans="1:22" x14ac:dyDescent="0.2">
      <c r="A1073" t="s">
        <v>4</v>
      </c>
      <c r="B1073" s="45" t="str">
        <f>INDEX(overview!$B$4:$R$338,MATCH('hydrogen - supply'!B1066,overview!$A$4:$A$338,0),MATCH('hydrogen - supply'!A1073,overview!$B$3:$R$3,0))</f>
        <v>pipeline</v>
      </c>
    </row>
    <row r="1074" spans="1:22" x14ac:dyDescent="0.2">
      <c r="A1074" t="s">
        <v>38</v>
      </c>
      <c r="B1074" s="45">
        <f>INDEX(overview!$B$4:$R$338,MATCH('hydrogen - supply'!B1066,overview!$A$4:$A$338,0),MATCH('hydrogen - supply'!A1074,overview!$B$3:$R$3,0))</f>
        <v>500</v>
      </c>
    </row>
    <row r="1075" spans="1:22" x14ac:dyDescent="0.2">
      <c r="A1075" t="s">
        <v>12</v>
      </c>
      <c r="B1075" s="45" t="str">
        <f>INDEX(overview!$B$4:$R$338,MATCH('hydrogen - supply'!B1066,overview!$A$4:$A$338,0),MATCH('hydrogen - supply'!A1075,overview!$B$3:$R$3,0))</f>
        <v>Pressure vessel for stationary storage</v>
      </c>
    </row>
    <row r="1076" spans="1:22" x14ac:dyDescent="0.2">
      <c r="A1076" t="s">
        <v>34</v>
      </c>
      <c r="B1076" s="45">
        <f>INDEX(overview!$B$4:$R$338,MATCH('hydrogen - supply'!B1066,overview!$A$4:$A$338,0),MATCH('hydrogen - supply'!A1076,overview!$B$3:$R$3,0))</f>
        <v>0</v>
      </c>
    </row>
    <row r="1077" spans="1:22" x14ac:dyDescent="0.2">
      <c r="A1077" t="s">
        <v>15</v>
      </c>
      <c r="B1077" s="45" t="str">
        <f>INDEX(overview!$B$4:$R$338,MATCH('hydrogen - supply'!B1066,overview!$A$4:$A$338,0),MATCH('hydrogen - supply'!A1077,overview!$B$3:$R$3,0))</f>
        <v>Auto-thermal reforming</v>
      </c>
    </row>
    <row r="1078" spans="1:22" x14ac:dyDescent="0.2">
      <c r="A1078" t="s">
        <v>14</v>
      </c>
      <c r="B1078" s="45" t="str">
        <f>INDEX(overview!$B$4:$R$338,MATCH('hydrogen - supply'!B1066,overview!$A$4:$A$338,0),MATCH('hydrogen - supply'!A1078,overview!$B$3:$R$3,0))</f>
        <v>natural gas</v>
      </c>
    </row>
    <row r="1079" spans="1:22" x14ac:dyDescent="0.2">
      <c r="A1079" t="s">
        <v>26</v>
      </c>
      <c r="B1079" s="45" t="str">
        <f>INDEX(overview!$B$4:$R$338,MATCH('hydrogen - supply'!B1066,overview!$A$4:$A$338,0),MATCH('hydrogen - supply'!A1079,overview!$B$3:$R$3,0))</f>
        <v>Switzerland</v>
      </c>
    </row>
    <row r="1080" spans="1:22" x14ac:dyDescent="0.2">
      <c r="A1080" t="s">
        <v>29</v>
      </c>
      <c r="B1080" s="45">
        <f>INDEX(overview!$B$4:$R$338,MATCH('hydrogen - supply'!B1066,overview!$A$4:$A$338,0),MATCH('hydrogen - supply'!A1080,overview!$B$3:$R$3,0))</f>
        <v>0</v>
      </c>
    </row>
    <row r="1081" spans="1:22" x14ac:dyDescent="0.2">
      <c r="A1081" t="s">
        <v>45</v>
      </c>
      <c r="B1081" s="66">
        <f>VLOOKUP(B1073,parameters!$A$94:$C$96,2,0)</f>
        <v>0.01</v>
      </c>
    </row>
    <row r="1082" spans="1:22" x14ac:dyDescent="0.2">
      <c r="A1082" t="s">
        <v>1133</v>
      </c>
      <c r="B1082" s="49">
        <f>VLOOKUP(B1073,parameters!$A$94:$D$96,3,0)</f>
        <v>2.3E-2</v>
      </c>
    </row>
    <row r="1083" spans="1:22" x14ac:dyDescent="0.2">
      <c r="B1083" s="45"/>
    </row>
    <row r="1084" spans="1:22" x14ac:dyDescent="0.2">
      <c r="A1084" s="3" t="s">
        <v>57</v>
      </c>
      <c r="B1084" s="45"/>
    </row>
    <row r="1085" spans="1:22" x14ac:dyDescent="0.2">
      <c r="A1085" s="2" t="s">
        <v>58</v>
      </c>
      <c r="B1085" s="44" t="s">
        <v>59</v>
      </c>
      <c r="C1085" s="2" t="s">
        <v>55</v>
      </c>
      <c r="D1085" s="2" t="s">
        <v>60</v>
      </c>
      <c r="E1085" s="2" t="s">
        <v>52</v>
      </c>
      <c r="F1085" s="2" t="s">
        <v>61</v>
      </c>
      <c r="G1085" s="2" t="s">
        <v>54</v>
      </c>
      <c r="H1085" s="2" t="s">
        <v>87</v>
      </c>
      <c r="I1085" s="2" t="s">
        <v>51</v>
      </c>
      <c r="J1085" s="2" t="s">
        <v>138</v>
      </c>
      <c r="K1085" s="2" t="s">
        <v>136</v>
      </c>
      <c r="L1085" s="2" t="s">
        <v>221</v>
      </c>
      <c r="M1085" s="2" t="s">
        <v>379</v>
      </c>
      <c r="N1085" s="2" t="s">
        <v>1059</v>
      </c>
      <c r="O1085" s="2" t="s">
        <v>1060</v>
      </c>
      <c r="P1085" s="2" t="s">
        <v>1061</v>
      </c>
      <c r="Q1085" s="2" t="s">
        <v>1062</v>
      </c>
      <c r="R1085" s="2" t="s">
        <v>1063</v>
      </c>
      <c r="S1085" s="2" t="s">
        <v>1064</v>
      </c>
      <c r="T1085" s="2" t="s">
        <v>1065</v>
      </c>
      <c r="U1085" s="2" t="s">
        <v>380</v>
      </c>
      <c r="V1085" s="2" t="s">
        <v>1128</v>
      </c>
    </row>
    <row r="1086" spans="1:22" x14ac:dyDescent="0.2">
      <c r="A1086" t="str">
        <f>B1062</f>
        <v>hydrogen supply, transported by pipeline, produced by Auto-thermal reforming using natural gas from Switzerland</v>
      </c>
      <c r="B1086" s="45">
        <v>1</v>
      </c>
      <c r="C1086" t="str">
        <f>B1068</f>
        <v>kilogram</v>
      </c>
      <c r="E1086" t="str">
        <f>B1065</f>
        <v>CH</v>
      </c>
      <c r="F1086" t="s">
        <v>62</v>
      </c>
      <c r="G1086" t="str">
        <f>B1067</f>
        <v>hydrogen, gaseous, from pipeline</v>
      </c>
      <c r="K1086" t="str">
        <f>B1062</f>
        <v>hydrogen supply, transported by pipeline, produced by Auto-thermal reforming using natural gas from Switzerland</v>
      </c>
    </row>
    <row r="1087" spans="1:22" x14ac:dyDescent="0.2">
      <c r="A1087" t="str">
        <f>VLOOKUP(J1087,'dataset mapping'!$A$4:$E$69,2,0)</f>
        <v>hydrogen production, auto-thermal reforming of natural gas, 25 bar</v>
      </c>
      <c r="B1087" s="53">
        <v>1</v>
      </c>
      <c r="C1087" t="str">
        <f>VLOOKUP(J1087,'dataset mapping'!$A$4:$E$69,5,0)</f>
        <v>kilogram</v>
      </c>
      <c r="E1087" t="str">
        <f>VLOOKUP(J1087,'dataset mapping'!$A$4:$E$69,4,0)</f>
        <v>CH</v>
      </c>
      <c r="F1087" t="s">
        <v>86</v>
      </c>
      <c r="G1087" t="str">
        <f>VLOOKUP(J1087,'dataset mapping'!$A$4:$E$69,3,0)</f>
        <v>hydrogen, gaseous, 25 bar</v>
      </c>
      <c r="H1087" t="s">
        <v>281</v>
      </c>
      <c r="I1087" t="s">
        <v>1054</v>
      </c>
      <c r="J1087" t="str">
        <f>B1077&amp;" - "&amp;B1079</f>
        <v>Auto-thermal reforming - Switzerland</v>
      </c>
      <c r="K1087" t="str">
        <f>B1062</f>
        <v>hydrogen supply, transported by pipeline, produced by Auto-thermal reforming using natural gas from Switzerland</v>
      </c>
      <c r="L1087">
        <f t="shared" ref="L1087:L1094" si="96">IF(OR(B1087&lt;0,B1087=0),1,2)</f>
        <v>2</v>
      </c>
      <c r="M1087">
        <f t="shared" ref="M1087:M1094" si="97">IF(L1087=2,LN(B1087),"")</f>
        <v>0</v>
      </c>
      <c r="N1087">
        <v>1.5</v>
      </c>
      <c r="O1087" s="15">
        <v>1.2</v>
      </c>
      <c r="P1087">
        <v>1.5</v>
      </c>
      <c r="Q1087">
        <v>1.1000000000000001</v>
      </c>
      <c r="R1087">
        <v>2</v>
      </c>
      <c r="S1087">
        <v>1.2</v>
      </c>
      <c r="T1087">
        <v>1.05</v>
      </c>
      <c r="U1087">
        <f t="shared" ref="U1087:U1094" si="98">LN(SQRT(EXP(
SQRT(
+POWER(LN(N1087),2)
+POWER(LN(O1087),2)
+POWER(LN(P1087),2)
+POWER(LN(Q1087),2)
+POWER(LN(R1087),2)
+POWER(LN(S1087),2)
+POWER(LN(T1087),2)
)
)))</f>
        <v>0.47095746419981693</v>
      </c>
    </row>
    <row r="1088" spans="1:22" x14ac:dyDescent="0.2">
      <c r="A1088" t="str">
        <f>VLOOKUP(J1088,'dataset mapping'!$A$4:$E$69,2,0)</f>
        <v>hydrogen production, auto-thermal reforming of natural gas, 25 bar</v>
      </c>
      <c r="B1088" s="53">
        <f>(B1087*B1081)+(B1082*B1087)</f>
        <v>3.3000000000000002E-2</v>
      </c>
      <c r="C1088" t="str">
        <f>VLOOKUP(J1088,'dataset mapping'!$A$4:$E$69,5,0)</f>
        <v>kilogram</v>
      </c>
      <c r="E1088" t="str">
        <f>VLOOKUP(J1088,'dataset mapping'!$A$4:$E$69,4,0)</f>
        <v>CH</v>
      </c>
      <c r="F1088" t="s">
        <v>86</v>
      </c>
      <c r="G1088" t="str">
        <f>VLOOKUP(J1088,'dataset mapping'!$A$4:$E$69,3,0)</f>
        <v>hydrogen, gaseous, 25 bar</v>
      </c>
      <c r="H1088" t="s">
        <v>76</v>
      </c>
      <c r="I1088" t="s">
        <v>1054</v>
      </c>
      <c r="J1088" t="str">
        <f>B1077&amp;" - "&amp;B1079</f>
        <v>Auto-thermal reforming - Switzerland</v>
      </c>
      <c r="K1088" t="str">
        <f>B1063</f>
        <v>This dataset represents the supply of 1 kilogram of hydrogen. The hydrogen is transported by pipeline over 500 km from regional storage.  The hydrogen is produced by  Auto-thermal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088">
        <f t="shared" si="96"/>
        <v>2</v>
      </c>
      <c r="M1088">
        <f t="shared" si="97"/>
        <v>-3.4112477175156566</v>
      </c>
      <c r="N1088">
        <v>1.5</v>
      </c>
      <c r="O1088" s="15">
        <v>1.2</v>
      </c>
      <c r="P1088">
        <v>1.5</v>
      </c>
      <c r="Q1088">
        <v>1.1000000000000001</v>
      </c>
      <c r="R1088">
        <v>2</v>
      </c>
      <c r="S1088">
        <v>1.2</v>
      </c>
      <c r="T1088">
        <v>1.05</v>
      </c>
      <c r="U1088">
        <f t="shared" si="98"/>
        <v>0.47095746419981693</v>
      </c>
    </row>
    <row r="1089" spans="1:21" x14ac:dyDescent="0.2">
      <c r="A1089" t="str">
        <f>VLOOKUP(J1089,'dataset mapping'!$A$4:$E$69,2,0)</f>
        <v>distribution pipeline for hydrogen, dedicated hydrogen pipeline</v>
      </c>
      <c r="B1089" s="45">
        <f>0.000000000265*SUM(B1087:B1088)*B1074*0.86</f>
        <v>1.1771035E-7</v>
      </c>
      <c r="C1089" t="str">
        <f>VLOOKUP(J1089,'dataset mapping'!$A$4:$E$69,5,0)</f>
        <v>kilometer</v>
      </c>
      <c r="E1089" t="str">
        <f>VLOOKUP(J1089,'dataset mapping'!$A$4:$E$69,4,0)</f>
        <v>CH</v>
      </c>
      <c r="F1089" t="s">
        <v>86</v>
      </c>
      <c r="G1089" t="str">
        <f>VLOOKUP(J1089,'dataset mapping'!$A$4:$E$69,3,0)</f>
        <v>pipeline, for hydrogen distribution</v>
      </c>
      <c r="H1089" t="s">
        <v>88</v>
      </c>
      <c r="I1089" t="s">
        <v>1052</v>
      </c>
      <c r="J1089" t="s">
        <v>218</v>
      </c>
      <c r="K1089" t="str">
        <f>B1062</f>
        <v>hydrogen supply, transported by pipeline, produced by Auto-thermal reforming using natural gas from Switzerland</v>
      </c>
      <c r="L1089">
        <f t="shared" si="96"/>
        <v>2</v>
      </c>
      <c r="M1089">
        <f t="shared" si="97"/>
        <v>-15.955038891117216</v>
      </c>
      <c r="N1089">
        <v>1.5</v>
      </c>
      <c r="O1089" s="15">
        <v>1.2</v>
      </c>
      <c r="P1089">
        <v>1.5</v>
      </c>
      <c r="Q1089">
        <v>1.1000000000000001</v>
      </c>
      <c r="R1089">
        <v>2</v>
      </c>
      <c r="S1089">
        <v>1.2</v>
      </c>
      <c r="T1089">
        <v>3</v>
      </c>
      <c r="U1089">
        <f t="shared" si="98"/>
        <v>0.72314801614797197</v>
      </c>
    </row>
    <row r="1090" spans="1:21" x14ac:dyDescent="0.2">
      <c r="A1090" t="str">
        <f>VLOOKUP(J1090,'dataset mapping'!$A$4:$E$69,2,0)</f>
        <v>transmission pipeline for hydrogen, dedicated hydrogen pipeline</v>
      </c>
      <c r="B1090" s="45">
        <f>0.000000000265*SUM(B1087:B1088)*B1074*0.14</f>
        <v>1.9162150000000001E-8</v>
      </c>
      <c r="C1090" t="str">
        <f>VLOOKUP(J1090,'dataset mapping'!$A$4:$E$69,5,0)</f>
        <v>kilometer</v>
      </c>
      <c r="E1090" t="str">
        <f>VLOOKUP(J1090,'dataset mapping'!$A$4:$E$69,4,0)</f>
        <v>CH</v>
      </c>
      <c r="F1090" t="s">
        <v>86</v>
      </c>
      <c r="G1090" t="str">
        <f>VLOOKUP(J1090,'dataset mapping'!$A$4:$E$69,3,0)</f>
        <v>pipeline, for hydrogen transmission</v>
      </c>
      <c r="H1090" t="s">
        <v>88</v>
      </c>
      <c r="I1090" t="s">
        <v>1052</v>
      </c>
      <c r="J1090" t="s">
        <v>219</v>
      </c>
      <c r="K1090" t="str">
        <f>B1062</f>
        <v>hydrogen supply, transported by pipeline, produced by Auto-thermal reforming using natural gas from Switzerland</v>
      </c>
      <c r="L1090">
        <f t="shared" si="96"/>
        <v>2</v>
      </c>
      <c r="M1090">
        <f t="shared" si="97"/>
        <v>-17.770328857755466</v>
      </c>
      <c r="N1090">
        <v>1.5</v>
      </c>
      <c r="O1090" s="15">
        <v>1.2</v>
      </c>
      <c r="P1090">
        <v>1.5</v>
      </c>
      <c r="Q1090">
        <v>1.1000000000000001</v>
      </c>
      <c r="R1090">
        <v>2</v>
      </c>
      <c r="S1090">
        <v>1.2</v>
      </c>
      <c r="T1090">
        <v>3</v>
      </c>
      <c r="U1090">
        <f t="shared" si="98"/>
        <v>0.72314801614797197</v>
      </c>
    </row>
    <row r="1091" spans="1:21" x14ac:dyDescent="0.2">
      <c r="A1091" t="s">
        <v>1038</v>
      </c>
      <c r="B1091" s="53">
        <f>SUM(B1087:B1088)</f>
        <v>1.0329999999999999</v>
      </c>
      <c r="C1091" t="str">
        <f>VLOOKUP(J1091,'dataset mapping'!$A$4:$E$69,5,0)</f>
        <v>kilogram</v>
      </c>
      <c r="E1091" t="s">
        <v>64</v>
      </c>
      <c r="F1091" t="s">
        <v>86</v>
      </c>
      <c r="G1091" t="s">
        <v>1039</v>
      </c>
      <c r="H1091" t="s">
        <v>88</v>
      </c>
      <c r="I1091" t="s">
        <v>1040</v>
      </c>
      <c r="J1091" t="s">
        <v>229</v>
      </c>
      <c r="K1091" t="str">
        <f>B1062</f>
        <v>hydrogen supply, transported by pipeline, produced by Auto-thermal reforming using natural gas from Switzerland</v>
      </c>
      <c r="L1091">
        <f t="shared" si="96"/>
        <v>2</v>
      </c>
      <c r="M1091">
        <f t="shared" si="97"/>
        <v>3.2467190137501413E-2</v>
      </c>
      <c r="N1091">
        <v>1.5</v>
      </c>
      <c r="O1091" s="15">
        <v>1.2</v>
      </c>
      <c r="P1091">
        <v>1.5</v>
      </c>
      <c r="Q1091">
        <v>1.1000000000000001</v>
      </c>
      <c r="R1091">
        <v>2</v>
      </c>
      <c r="S1091">
        <v>1.2</v>
      </c>
      <c r="T1091">
        <v>3</v>
      </c>
      <c r="U1091">
        <f t="shared" si="98"/>
        <v>0.72314801614797197</v>
      </c>
    </row>
    <row r="1092" spans="1:21" x14ac:dyDescent="0.2">
      <c r="A1092" t="s">
        <v>130</v>
      </c>
      <c r="B1092" s="52">
        <f>(VLOOKUP(B1077,parameters!$A$71:$B$78,2,0)+VLOOKUP(B1073,parameters!$A$82:$B$84,2,0)+VLOOKUP(B1073,parameters!$A$87:$B$89,2,0))*SUM(B1087:B1088)</f>
        <v>2.0246799999999996</v>
      </c>
      <c r="C1092" t="s">
        <v>92</v>
      </c>
      <c r="E1092" t="s">
        <v>64</v>
      </c>
      <c r="F1092" t="s">
        <v>86</v>
      </c>
      <c r="G1092" t="s">
        <v>93</v>
      </c>
      <c r="H1092" t="s">
        <v>78</v>
      </c>
      <c r="I1092" t="s">
        <v>1053</v>
      </c>
      <c r="J1092" t="s">
        <v>67</v>
      </c>
      <c r="K1092" t="str">
        <f>B1062</f>
        <v>hydrogen supply, transported by pipeline, produced by Auto-thermal reforming using natural gas from Switzerland</v>
      </c>
      <c r="L1092">
        <f t="shared" si="96"/>
        <v>2</v>
      </c>
      <c r="M1092">
        <f t="shared" si="97"/>
        <v>0.70541166337992711</v>
      </c>
      <c r="N1092">
        <v>1.5</v>
      </c>
      <c r="O1092" s="15">
        <v>1.2</v>
      </c>
      <c r="P1092">
        <v>1.5</v>
      </c>
      <c r="Q1092">
        <v>1.1000000000000001</v>
      </c>
      <c r="R1092">
        <v>2</v>
      </c>
      <c r="S1092">
        <v>1.2</v>
      </c>
      <c r="T1092">
        <v>1.05</v>
      </c>
      <c r="U1092">
        <f t="shared" si="98"/>
        <v>0.47095746419981693</v>
      </c>
    </row>
    <row r="1093" spans="1:21" x14ac:dyDescent="0.2">
      <c r="A1093" t="s">
        <v>130</v>
      </c>
      <c r="B1093" s="52">
        <f>0.6*SUM(B1087:B1088)*(B1074/250)</f>
        <v>1.2395999999999998</v>
      </c>
      <c r="C1093" t="s">
        <v>92</v>
      </c>
      <c r="E1093" t="s">
        <v>64</v>
      </c>
      <c r="F1093" t="s">
        <v>86</v>
      </c>
      <c r="G1093" t="s">
        <v>93</v>
      </c>
      <c r="H1093" t="s">
        <v>78</v>
      </c>
      <c r="I1093" t="s">
        <v>1135</v>
      </c>
      <c r="J1093" t="s">
        <v>67</v>
      </c>
      <c r="K1093" t="str">
        <f>B1063</f>
        <v>This dataset represents the supply of 1 kilogram of hydrogen. The hydrogen is transported by pipeline over 500 km from regional storage.  The hydrogen is produced by  Auto-thermal reforming,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093">
        <f t="shared" si="96"/>
        <v>2</v>
      </c>
      <c r="M1093">
        <f t="shared" si="97"/>
        <v>0.21478874693145597</v>
      </c>
      <c r="N1093">
        <v>1.5</v>
      </c>
      <c r="O1093" s="15">
        <v>1.2</v>
      </c>
      <c r="P1093">
        <v>1.5</v>
      </c>
      <c r="Q1093">
        <v>1.1000000000000001</v>
      </c>
      <c r="R1093">
        <v>2</v>
      </c>
      <c r="S1093">
        <v>1.2</v>
      </c>
      <c r="T1093">
        <v>1.05</v>
      </c>
      <c r="U1093">
        <f t="shared" si="98"/>
        <v>0.47095746419981693</v>
      </c>
    </row>
    <row r="1094" spans="1:21" x14ac:dyDescent="0.2">
      <c r="A1094" t="s">
        <v>7</v>
      </c>
      <c r="B1094" s="53">
        <f>B1088</f>
        <v>3.3000000000000002E-2</v>
      </c>
      <c r="C1094" t="s">
        <v>56</v>
      </c>
      <c r="D1094" t="s">
        <v>100</v>
      </c>
      <c r="F1094" t="s">
        <v>99</v>
      </c>
      <c r="H1094" t="s">
        <v>131</v>
      </c>
      <c r="I1094" t="s">
        <v>160</v>
      </c>
      <c r="K1094" t="str">
        <f>B1062</f>
        <v>hydrogen supply, transported by pipeline, produced by Auto-thermal reforming using natural gas from Switzerland</v>
      </c>
      <c r="L1094">
        <f t="shared" si="96"/>
        <v>2</v>
      </c>
      <c r="M1094">
        <f t="shared" si="97"/>
        <v>-3.4112477175156566</v>
      </c>
      <c r="N1094">
        <v>1.5</v>
      </c>
      <c r="O1094" s="15">
        <v>1.2</v>
      </c>
      <c r="P1094">
        <v>1.5</v>
      </c>
      <c r="Q1094">
        <v>1.1000000000000001</v>
      </c>
      <c r="R1094">
        <v>2</v>
      </c>
      <c r="S1094">
        <v>1.2</v>
      </c>
      <c r="T1094">
        <v>1.05</v>
      </c>
      <c r="U1094">
        <f t="shared" si="98"/>
        <v>0.47095746419981693</v>
      </c>
    </row>
    <row r="1095" spans="1:21" x14ac:dyDescent="0.2">
      <c r="B1095" s="45"/>
    </row>
    <row r="1096" spans="1:21" x14ac:dyDescent="0.2">
      <c r="A1096" s="2" t="s">
        <v>50</v>
      </c>
      <c r="B1096" s="44" t="str">
        <f>"hydrogen supply, transported by "&amp;B1107&amp;", produced by "&amp;B1111&amp;" using "&amp;B1112&amp;" from "&amp;B1113</f>
        <v>hydrogen supply, transported by truck, produced by Auto-thermal reforming using natural gas from Switzerland</v>
      </c>
    </row>
    <row r="1097" spans="1:21" x14ac:dyDescent="0.2">
      <c r="A1097" t="s">
        <v>51</v>
      </c>
      <c r="B1097" s="45" t="str">
        <f>"This dataset represents the supply of 1 kilogram of hydrogen. The hydrogen is transported by "&amp;B1107&amp;" over "&amp;B1108&amp;" km from regional storage. "&amp;" The "&amp;B1106&amp;" is produced by  "&amp;B1111&amp;", with "&amp;B1112&amp;" from "&amp;B1113&amp;" as feedstock. "&amp;A1115&amp;": "&amp;(B1115*100)&amp;"%. "&amp;A1116&amp;": "&amp;(B1116*100)&amp;".  For more information, refer to: "&amp;B1098</f>
        <v>This dataset represents the supply of 1 kilogram of hydrogen. The hydrogen is transported by truck over 200 km from regional storage.  The hydrogen is produced by  Auto-thermal reforming,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098" spans="1:21" x14ac:dyDescent="0.2">
      <c r="A1098" t="s">
        <v>63</v>
      </c>
      <c r="B1098" s="45" t="s">
        <v>1223</v>
      </c>
    </row>
    <row r="1099" spans="1:21" x14ac:dyDescent="0.2">
      <c r="A1099" t="s">
        <v>52</v>
      </c>
      <c r="B1099" s="45" t="s">
        <v>64</v>
      </c>
    </row>
    <row r="1100" spans="1:21" x14ac:dyDescent="0.2">
      <c r="A1100" t="s">
        <v>48</v>
      </c>
      <c r="B1100" s="45">
        <v>133</v>
      </c>
    </row>
    <row r="1101" spans="1:21" x14ac:dyDescent="0.2">
      <c r="A1101" t="s">
        <v>54</v>
      </c>
      <c r="B1101" s="45" t="s">
        <v>1137</v>
      </c>
    </row>
    <row r="1102" spans="1:21" x14ac:dyDescent="0.2">
      <c r="A1102" t="s">
        <v>55</v>
      </c>
      <c r="B1102" s="45" t="s">
        <v>56</v>
      </c>
    </row>
    <row r="1103" spans="1:21" x14ac:dyDescent="0.2">
      <c r="A1103" t="s">
        <v>0</v>
      </c>
      <c r="B1103" s="45" t="str">
        <f>INDEX(overview!$B$4:$R$338,MATCH('hydrogen - supply'!B1100,overview!$A$4:$A$338,0),MATCH('hydrogen - supply'!A1103,overview!$B$3:$R$3,0))</f>
        <v>Switzerland</v>
      </c>
    </row>
    <row r="1104" spans="1:21" x14ac:dyDescent="0.2">
      <c r="A1104" t="s">
        <v>1</v>
      </c>
      <c r="B1104" s="45">
        <f>INDEX(overview!$B$4:$R$338,MATCH('hydrogen - supply'!B1100,overview!$A$4:$A$338,0),MATCH('hydrogen - supply'!A1104,overview!$B$3:$R$3,0))</f>
        <v>2020</v>
      </c>
    </row>
    <row r="1105" spans="1:22" x14ac:dyDescent="0.2">
      <c r="A1105" t="s">
        <v>2</v>
      </c>
      <c r="B1105" s="45" t="s">
        <v>1130</v>
      </c>
    </row>
    <row r="1106" spans="1:22" x14ac:dyDescent="0.2">
      <c r="A1106" t="s">
        <v>5</v>
      </c>
      <c r="B1106" s="45" t="str">
        <f>INDEX(overview!$B$4:$R$338,MATCH('hydrogen - supply'!B1100,overview!$A$4:$A$338,0),MATCH('hydrogen - supply'!A1106,overview!$B$3:$R$3,0))</f>
        <v>hydrogen</v>
      </c>
    </row>
    <row r="1107" spans="1:22" x14ac:dyDescent="0.2">
      <c r="A1107" t="s">
        <v>4</v>
      </c>
      <c r="B1107" s="45" t="str">
        <f>INDEX(overview!$B$4:$R$338,MATCH('hydrogen - supply'!B1100,overview!$A$4:$A$338,0),MATCH('hydrogen - supply'!A1107,overview!$B$3:$R$3,0))</f>
        <v>truck</v>
      </c>
    </row>
    <row r="1108" spans="1:22" x14ac:dyDescent="0.2">
      <c r="A1108" t="s">
        <v>38</v>
      </c>
      <c r="B1108" s="45">
        <f>INDEX(overview!$B$4:$R$338,MATCH('hydrogen - supply'!B1100,overview!$A$4:$A$338,0),MATCH('hydrogen - supply'!A1108,overview!$B$3:$R$3,0))</f>
        <v>200</v>
      </c>
    </row>
    <row r="1109" spans="1:22" x14ac:dyDescent="0.2">
      <c r="A1109" t="s">
        <v>12</v>
      </c>
      <c r="B1109" s="45" t="str">
        <f>INDEX(overview!$B$4:$R$338,MATCH('hydrogen - supply'!B1100,overview!$A$4:$A$338,0),MATCH('hydrogen - supply'!A1109,overview!$B$3:$R$3,0))</f>
        <v>Pressure vessel for stationary storage</v>
      </c>
    </row>
    <row r="1110" spans="1:22" x14ac:dyDescent="0.2">
      <c r="A1110" t="s">
        <v>34</v>
      </c>
      <c r="B1110" s="45">
        <f>INDEX(overview!$B$4:$R$338,MATCH('hydrogen - supply'!B1100,overview!$A$4:$A$338,0),MATCH('hydrogen - supply'!A1110,overview!$B$3:$R$3,0))</f>
        <v>0</v>
      </c>
    </row>
    <row r="1111" spans="1:22" x14ac:dyDescent="0.2">
      <c r="A1111" t="s">
        <v>15</v>
      </c>
      <c r="B1111" s="45" t="str">
        <f>INDEX(overview!$B$4:$R$338,MATCH('hydrogen - supply'!B1100,overview!$A$4:$A$338,0),MATCH('hydrogen - supply'!A1111,overview!$B$3:$R$3,0))</f>
        <v>Auto-thermal reforming</v>
      </c>
    </row>
    <row r="1112" spans="1:22" x14ac:dyDescent="0.2">
      <c r="A1112" t="s">
        <v>14</v>
      </c>
      <c r="B1112" s="45" t="str">
        <f>INDEX(overview!$B$4:$R$338,MATCH('hydrogen - supply'!B1100,overview!$A$4:$A$338,0),MATCH('hydrogen - supply'!A1112,overview!$B$3:$R$3,0))</f>
        <v>natural gas</v>
      </c>
    </row>
    <row r="1113" spans="1:22" x14ac:dyDescent="0.2">
      <c r="A1113" t="s">
        <v>26</v>
      </c>
      <c r="B1113" s="45" t="str">
        <f>INDEX(overview!$B$4:$R$338,MATCH('hydrogen - supply'!B1100,overview!$A$4:$A$338,0),MATCH('hydrogen - supply'!A1113,overview!$B$3:$R$3,0))</f>
        <v>Switzerland</v>
      </c>
    </row>
    <row r="1114" spans="1:22" x14ac:dyDescent="0.2">
      <c r="A1114" t="s">
        <v>29</v>
      </c>
      <c r="B1114" s="45">
        <f>INDEX(overview!$B$4:$R$338,MATCH('hydrogen - supply'!B1100,overview!$A$4:$A$338,0),MATCH('hydrogen - supply'!A1114,overview!$B$3:$R$3,0))</f>
        <v>0</v>
      </c>
    </row>
    <row r="1115" spans="1:22" x14ac:dyDescent="0.2">
      <c r="A1115" t="s">
        <v>45</v>
      </c>
      <c r="B1115" s="66">
        <f>VLOOKUP(B1107,parameters!$A$94:$C$96,2,0)</f>
        <v>5.0000000000000001E-3</v>
      </c>
    </row>
    <row r="1116" spans="1:22" x14ac:dyDescent="0.2">
      <c r="A1116" t="s">
        <v>1133</v>
      </c>
      <c r="B1116" s="49">
        <f>VLOOKUP(B1107,parameters!$A$94:$D$96,3,0)</f>
        <v>2.3E-2</v>
      </c>
    </row>
    <row r="1117" spans="1:22" x14ac:dyDescent="0.2">
      <c r="B1117" s="45"/>
    </row>
    <row r="1118" spans="1:22" x14ac:dyDescent="0.2">
      <c r="A1118" s="3" t="s">
        <v>57</v>
      </c>
      <c r="B1118" s="45"/>
    </row>
    <row r="1119" spans="1:22" x14ac:dyDescent="0.2">
      <c r="A1119" s="2" t="s">
        <v>58</v>
      </c>
      <c r="B1119" s="44" t="s">
        <v>59</v>
      </c>
      <c r="C1119" s="2" t="s">
        <v>55</v>
      </c>
      <c r="D1119" s="2" t="s">
        <v>60</v>
      </c>
      <c r="E1119" s="2" t="s">
        <v>52</v>
      </c>
      <c r="F1119" s="2" t="s">
        <v>61</v>
      </c>
      <c r="G1119" s="2" t="s">
        <v>54</v>
      </c>
      <c r="H1119" s="2" t="s">
        <v>87</v>
      </c>
      <c r="I1119" s="2" t="s">
        <v>51</v>
      </c>
      <c r="J1119" s="2" t="s">
        <v>138</v>
      </c>
      <c r="K1119" s="2" t="s">
        <v>136</v>
      </c>
      <c r="L1119" s="2" t="s">
        <v>221</v>
      </c>
      <c r="M1119" s="2" t="s">
        <v>379</v>
      </c>
      <c r="N1119" s="2" t="s">
        <v>1059</v>
      </c>
      <c r="O1119" s="2" t="s">
        <v>1060</v>
      </c>
      <c r="P1119" s="2" t="s">
        <v>1061</v>
      </c>
      <c r="Q1119" s="2" t="s">
        <v>1062</v>
      </c>
      <c r="R1119" s="2" t="s">
        <v>1063</v>
      </c>
      <c r="S1119" s="2" t="s">
        <v>1064</v>
      </c>
      <c r="T1119" s="2" t="s">
        <v>1065</v>
      </c>
      <c r="U1119" s="2" t="s">
        <v>380</v>
      </c>
      <c r="V1119" s="2" t="s">
        <v>1128</v>
      </c>
    </row>
    <row r="1120" spans="1:22" x14ac:dyDescent="0.2">
      <c r="A1120" t="str">
        <f>B1096</f>
        <v>hydrogen supply, transported by truck, produced by Auto-thermal reforming using natural gas from Switzerland</v>
      </c>
      <c r="B1120" s="45">
        <v>1</v>
      </c>
      <c r="C1120" t="str">
        <f>B1102</f>
        <v>kilogram</v>
      </c>
      <c r="E1120" t="str">
        <f>B1099</f>
        <v>CH</v>
      </c>
      <c r="F1120" t="s">
        <v>62</v>
      </c>
      <c r="G1120" t="str">
        <f>B1101</f>
        <v>hydrogen, gaseous, from truck</v>
      </c>
      <c r="K1120" t="str">
        <f>B1096</f>
        <v>hydrogen supply, transported by truck, produced by Auto-thermal reforming using natural gas from Switzerland</v>
      </c>
    </row>
    <row r="1121" spans="1:21" x14ac:dyDescent="0.2">
      <c r="A1121" t="str">
        <f>VLOOKUP(J1121,'dataset mapping'!$A$4:$E$69,2,0)</f>
        <v>hydrogen production, auto-thermal reforming of natural gas, 25 bar</v>
      </c>
      <c r="B1121" s="53">
        <v>1</v>
      </c>
      <c r="C1121" t="str">
        <f>VLOOKUP(J1121,'dataset mapping'!$A$4:$E$69,5,0)</f>
        <v>kilogram</v>
      </c>
      <c r="E1121" t="str">
        <f>VLOOKUP(J1121,'dataset mapping'!$A$4:$E$69,4,0)</f>
        <v>CH</v>
      </c>
      <c r="F1121" t="s">
        <v>86</v>
      </c>
      <c r="G1121" t="str">
        <f>VLOOKUP(J1121,'dataset mapping'!$A$4:$E$69,3,0)</f>
        <v>hydrogen, gaseous, 25 bar</v>
      </c>
      <c r="H1121" t="s">
        <v>281</v>
      </c>
      <c r="I1121" t="s">
        <v>1054</v>
      </c>
      <c r="J1121" t="str">
        <f>B1077&amp;" - "&amp;B1079</f>
        <v>Auto-thermal reforming - Switzerland</v>
      </c>
      <c r="K1121" t="str">
        <f>B1096</f>
        <v>hydrogen supply, transported by truck, produced by Auto-thermal reforming using natural gas from Switzerland</v>
      </c>
      <c r="L1121">
        <f>IF(OR(B1121&lt;0,B1121=0),1,2)</f>
        <v>2</v>
      </c>
      <c r="M1121">
        <f>IF(L1121=2,LN(B1121),"")</f>
        <v>0</v>
      </c>
      <c r="N1121">
        <v>1.5</v>
      </c>
      <c r="O1121" s="15">
        <v>1.2</v>
      </c>
      <c r="P1121">
        <v>1.5</v>
      </c>
      <c r="Q1121">
        <v>1.1000000000000001</v>
      </c>
      <c r="R1121">
        <v>2</v>
      </c>
      <c r="S1121">
        <v>1.2</v>
      </c>
      <c r="T1121">
        <v>1.05</v>
      </c>
      <c r="U1121">
        <f>LN(SQRT(EXP(
SQRT(
+POWER(LN(N1121),2)
+POWER(LN(O1121),2)
+POWER(LN(P1121),2)
+POWER(LN(Q1121),2)
+POWER(LN(R1121),2)
+POWER(LN(S1121),2)
+POWER(LN(T1121),2)
)
)))</f>
        <v>0.47095746419981693</v>
      </c>
    </row>
    <row r="1122" spans="1:21" x14ac:dyDescent="0.2">
      <c r="A1122" t="str">
        <f>VLOOKUP(J1122,'dataset mapping'!$A$4:$E$69,2,0)</f>
        <v>hydrogen production, auto-thermal reforming of natural gas, 25 bar</v>
      </c>
      <c r="B1122" s="53">
        <f>(B1121*B1115)+(B1116*B1121)</f>
        <v>2.8000000000000001E-2</v>
      </c>
      <c r="C1122" t="str">
        <f>VLOOKUP(J1122,'dataset mapping'!$A$4:$E$69,5,0)</f>
        <v>kilogram</v>
      </c>
      <c r="E1122" t="str">
        <f>VLOOKUP(J1122,'dataset mapping'!$A$4:$E$69,4,0)</f>
        <v>CH</v>
      </c>
      <c r="F1122" t="s">
        <v>86</v>
      </c>
      <c r="G1122" t="str">
        <f>VLOOKUP(J1122,'dataset mapping'!$A$4:$E$69,3,0)</f>
        <v>hydrogen, gaseous, 25 bar</v>
      </c>
      <c r="H1122" t="s">
        <v>76</v>
      </c>
      <c r="I1122" t="s">
        <v>1054</v>
      </c>
      <c r="J1122" t="str">
        <f>B1077&amp;" - "&amp;B1079</f>
        <v>Auto-thermal reforming - Switzerland</v>
      </c>
      <c r="K1122" t="str">
        <f>B1097</f>
        <v>This dataset represents the supply of 1 kilogram of hydrogen. The hydrogen is transported by truck over 200 km from regional storage.  The hydrogen is produced by  Auto-thermal reforming,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122">
        <f>IF(OR(B1122&lt;0,B1122=0),1,2)</f>
        <v>2</v>
      </c>
      <c r="M1122">
        <f>IF(L1122=2,LN(B1122),"")</f>
        <v>-3.575550768806933</v>
      </c>
      <c r="N1122">
        <v>1.5</v>
      </c>
      <c r="O1122" s="15">
        <v>1.2</v>
      </c>
      <c r="P1122">
        <v>1.5</v>
      </c>
      <c r="Q1122">
        <v>1.1000000000000001</v>
      </c>
      <c r="R1122">
        <v>2</v>
      </c>
      <c r="S1122">
        <v>1.2</v>
      </c>
      <c r="T1122">
        <v>1.05</v>
      </c>
      <c r="U1122">
        <f>LN(SQRT(EXP(
SQRT(
+POWER(LN(N1122),2)
+POWER(LN(O1122),2)
+POWER(LN(P1122),2)
+POWER(LN(Q1122),2)
+POWER(LN(R1122),2)
+POWER(LN(S1122),2)
+POWER(LN(T1122),2)
)
)))</f>
        <v>0.47095746419981693</v>
      </c>
    </row>
    <row r="1123" spans="1:21" x14ac:dyDescent="0.2">
      <c r="A1123" t="str">
        <f>VLOOKUP(J1123,'dataset mapping'!$A$4:$E$69,2,0)</f>
        <v>market for transport, freight train</v>
      </c>
      <c r="B1123" s="45">
        <f>SUM(B1121:B1122)/1000*B1108</f>
        <v>0.2056</v>
      </c>
      <c r="C1123" t="str">
        <f>VLOOKUP(J1123,'dataset mapping'!$A$4:$E$69,5,0)</f>
        <v>ton kilometer</v>
      </c>
      <c r="E1123" t="str">
        <f>VLOOKUP(J1123,'dataset mapping'!$A$4:$E$69,4,0)</f>
        <v>CH</v>
      </c>
      <c r="F1123" t="s">
        <v>86</v>
      </c>
      <c r="G1123" t="str">
        <f>VLOOKUP(J1123,'dataset mapping'!$A$4:$E$69,3,0)</f>
        <v>transport, freight train</v>
      </c>
      <c r="H1123" t="s">
        <v>88</v>
      </c>
      <c r="I1123" t="s">
        <v>1052</v>
      </c>
      <c r="J1123" t="s">
        <v>295</v>
      </c>
      <c r="K1123" t="str">
        <f>B1079</f>
        <v>Switzerland</v>
      </c>
      <c r="L1123">
        <f t="shared" ref="L1123" si="99">IF(OR(B1123&lt;0,B1123=0),1,2)</f>
        <v>2</v>
      </c>
      <c r="M1123">
        <f t="shared" ref="M1123" si="100">IF(L1123=2,LN(B1123),"")</f>
        <v>-1.5818227454011269</v>
      </c>
      <c r="N1123">
        <v>1.5</v>
      </c>
      <c r="O1123" s="15">
        <v>1.2</v>
      </c>
      <c r="P1123">
        <v>1.5</v>
      </c>
      <c r="Q1123">
        <v>1.1000000000000001</v>
      </c>
      <c r="R1123">
        <v>2</v>
      </c>
      <c r="S1123">
        <v>1.2</v>
      </c>
      <c r="T1123">
        <v>2</v>
      </c>
      <c r="U1123">
        <f t="shared" ref="U1123" si="101">LN(SQRT(EXP(
SQRT(
+POWER(LN(N1123),2)
+POWER(LN(O1123),2)
+POWER(LN(P1123),2)
+POWER(LN(Q1123),2)
+POWER(LN(R1123),2)
+POWER(LN(S1123),2)
+POWER(LN(T1123),2)
)
)))</f>
        <v>0.58422518478336083</v>
      </c>
    </row>
    <row r="1124" spans="1:21" x14ac:dyDescent="0.2">
      <c r="A1124" t="s">
        <v>1038</v>
      </c>
      <c r="B1124" s="53">
        <f>SUM(B1121:B1122)</f>
        <v>1.028</v>
      </c>
      <c r="C1124" t="str">
        <f>VLOOKUP(J1124,'dataset mapping'!$A$4:$E$69,5,0)</f>
        <v>kilogram</v>
      </c>
      <c r="E1124" t="s">
        <v>64</v>
      </c>
      <c r="F1124" t="s">
        <v>86</v>
      </c>
      <c r="G1124" t="s">
        <v>1039</v>
      </c>
      <c r="H1124" t="s">
        <v>88</v>
      </c>
      <c r="I1124" t="s">
        <v>1040</v>
      </c>
      <c r="J1124" t="s">
        <v>229</v>
      </c>
      <c r="K1124" t="str">
        <f>B1096</f>
        <v>hydrogen supply, transported by truck, produced by Auto-thermal reforming using natural gas from Switzerland</v>
      </c>
      <c r="L1124">
        <f>IF(OR(B1124&lt;0,B1124=0),1,2)</f>
        <v>2</v>
      </c>
      <c r="M1124">
        <f>IF(L1124=2,LN(B1124),"")</f>
        <v>2.7615167032973391E-2</v>
      </c>
      <c r="N1124">
        <v>1.5</v>
      </c>
      <c r="O1124" s="15">
        <v>1.2</v>
      </c>
      <c r="P1124">
        <v>1.5</v>
      </c>
      <c r="Q1124">
        <v>1.1000000000000001</v>
      </c>
      <c r="R1124">
        <v>2</v>
      </c>
      <c r="S1124">
        <v>1.2</v>
      </c>
      <c r="T1124">
        <v>3</v>
      </c>
      <c r="U1124">
        <f>LN(SQRT(EXP(
SQRT(
+POWER(LN(N1124),2)
+POWER(LN(O1124),2)
+POWER(LN(P1124),2)
+POWER(LN(Q1124),2)
+POWER(LN(R1124),2)
+POWER(LN(S1124),2)
+POWER(LN(T1124),2)
)
)))</f>
        <v>0.72314801614797197</v>
      </c>
    </row>
    <row r="1125" spans="1:21" x14ac:dyDescent="0.2">
      <c r="A1125" t="s">
        <v>130</v>
      </c>
      <c r="B1125" s="52">
        <f>(VLOOKUP(B1111,parameters!$A$71:$B$78,2,0)+VLOOKUP(B1107,parameters!$A$82:$B$84,2,0)+VLOOKUP(B1107,parameters!$A$87:$B$89,2,0))*SUM(B1121:B1122)</f>
        <v>3.5774400000000006</v>
      </c>
      <c r="C1125" t="s">
        <v>92</v>
      </c>
      <c r="E1125" t="s">
        <v>64</v>
      </c>
      <c r="F1125" t="s">
        <v>86</v>
      </c>
      <c r="G1125" t="s">
        <v>93</v>
      </c>
      <c r="H1125" t="s">
        <v>78</v>
      </c>
      <c r="I1125" t="s">
        <v>1053</v>
      </c>
      <c r="J1125" t="s">
        <v>67</v>
      </c>
      <c r="K1125" t="str">
        <f>B1096</f>
        <v>hydrogen supply, transported by truck, produced by Auto-thermal reforming using natural gas from Switzerland</v>
      </c>
      <c r="L1125">
        <f>IF(OR(B1125&lt;0,B1125=0),1,2)</f>
        <v>2</v>
      </c>
      <c r="M1125">
        <f>IF(L1125=2,LN(B1125),"")</f>
        <v>1.2746474608193565</v>
      </c>
      <c r="N1125">
        <v>1.5</v>
      </c>
      <c r="O1125" s="15">
        <v>1.2</v>
      </c>
      <c r="P1125">
        <v>1.5</v>
      </c>
      <c r="Q1125">
        <v>1.1000000000000001</v>
      </c>
      <c r="R1125">
        <v>2</v>
      </c>
      <c r="S1125">
        <v>1.2</v>
      </c>
      <c r="T1125">
        <v>1.05</v>
      </c>
      <c r="U1125">
        <f>LN(SQRT(EXP(
SQRT(
+POWER(LN(N1125),2)
+POWER(LN(O1125),2)
+POWER(LN(P1125),2)
+POWER(LN(Q1125),2)
+POWER(LN(R1125),2)
+POWER(LN(S1125),2)
+POWER(LN(T1125),2)
)
)))</f>
        <v>0.47095746419981693</v>
      </c>
    </row>
    <row r="1126" spans="1:21" x14ac:dyDescent="0.2">
      <c r="A1126" t="s">
        <v>7</v>
      </c>
      <c r="B1126" s="53">
        <f>B1122</f>
        <v>2.8000000000000001E-2</v>
      </c>
      <c r="C1126" t="s">
        <v>56</v>
      </c>
      <c r="D1126" t="s">
        <v>100</v>
      </c>
      <c r="F1126" t="s">
        <v>99</v>
      </c>
      <c r="H1126" t="s">
        <v>131</v>
      </c>
      <c r="I1126" t="s">
        <v>160</v>
      </c>
      <c r="K1126" t="str">
        <f>B1096</f>
        <v>hydrogen supply, transported by truck, produced by Auto-thermal reforming using natural gas from Switzerland</v>
      </c>
      <c r="L1126">
        <f>IF(OR(B1126&lt;0,B1126=0),1,2)</f>
        <v>2</v>
      </c>
      <c r="M1126">
        <f>IF(L1126=2,LN(B1126),"")</f>
        <v>-3.575550768806933</v>
      </c>
      <c r="N1126">
        <v>1.5</v>
      </c>
      <c r="O1126" s="15">
        <v>1.2</v>
      </c>
      <c r="P1126">
        <v>1.5</v>
      </c>
      <c r="Q1126">
        <v>1.1000000000000001</v>
      </c>
      <c r="R1126">
        <v>2</v>
      </c>
      <c r="S1126">
        <v>1.2</v>
      </c>
      <c r="T1126">
        <v>1.05</v>
      </c>
      <c r="U1126">
        <f>LN(SQRT(EXP(
SQRT(
+POWER(LN(N1126),2)
+POWER(LN(O1126),2)
+POWER(LN(P1126),2)
+POWER(LN(Q1126),2)
+POWER(LN(R1126),2)
+POWER(LN(S1126),2)
+POWER(LN(T1126),2)
)
)))</f>
        <v>0.47095746419981693</v>
      </c>
    </row>
    <row r="1128" spans="1:21" x14ac:dyDescent="0.2">
      <c r="A1128" s="2" t="s">
        <v>50</v>
      </c>
      <c r="B1128" s="44" t="str">
        <f>"hydrogen supply, transported by "&amp;B1139&amp;", produced by "&amp;B1143&amp;" using "&amp;B1144&amp;" from "&amp;B1145</f>
        <v>hydrogen supply, transported by pipeline, produced by Steam Methane Reforming, with CCS using natural gas from Switzerland</v>
      </c>
    </row>
    <row r="1129" spans="1:21" x14ac:dyDescent="0.2">
      <c r="A1129" t="s">
        <v>51</v>
      </c>
      <c r="B1129" s="45" t="str">
        <f>"This dataset represents the supply of 1 kilogram of hydrogen. The hydrogen is transported by "&amp;B1139&amp;" over "&amp;B1140&amp;" km from regional storage. "&amp;" The "&amp;B1138&amp;" is produced by  "&amp;B1143&amp;", with "&amp;B1144&amp;" from "&amp;B1145&amp;" as feedstock. "&amp;A1147&amp;": "&amp;(B1147*100)&amp;"%. "&amp;A1148&amp;": "&amp;(B1148*100)&amp;".  For more information, refer to: "&amp;B1130</f>
        <v>This dataset represents the supply of 1 kilogram of hydrogen. The hydrogen is transported by pipeline over 500 km from regional storage.  The hydrogen is produced by  Steam Methane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130" spans="1:21" x14ac:dyDescent="0.2">
      <c r="A1130" t="s">
        <v>63</v>
      </c>
      <c r="B1130" s="45" t="s">
        <v>1223</v>
      </c>
    </row>
    <row r="1131" spans="1:21" x14ac:dyDescent="0.2">
      <c r="A1131" t="s">
        <v>52</v>
      </c>
      <c r="B1131" s="45" t="s">
        <v>64</v>
      </c>
    </row>
    <row r="1132" spans="1:21" x14ac:dyDescent="0.2">
      <c r="A1132" t="s">
        <v>48</v>
      </c>
      <c r="B1132" s="45">
        <v>137</v>
      </c>
    </row>
    <row r="1133" spans="1:21" x14ac:dyDescent="0.2">
      <c r="A1133" t="s">
        <v>54</v>
      </c>
      <c r="B1133" s="45" t="s">
        <v>1129</v>
      </c>
    </row>
    <row r="1134" spans="1:21" x14ac:dyDescent="0.2">
      <c r="A1134" t="s">
        <v>55</v>
      </c>
      <c r="B1134" s="45" t="s">
        <v>56</v>
      </c>
    </row>
    <row r="1135" spans="1:21" x14ac:dyDescent="0.2">
      <c r="A1135" t="s">
        <v>0</v>
      </c>
      <c r="B1135" s="45" t="str">
        <f>INDEX(overview!$B$4:$R$338,MATCH('hydrogen - supply'!B1132,overview!$A$4:$A$338,0),MATCH('hydrogen - supply'!A1135,overview!$B$3:$R$3,0))</f>
        <v>Switzerland</v>
      </c>
    </row>
    <row r="1136" spans="1:21" x14ac:dyDescent="0.2">
      <c r="A1136" t="s">
        <v>1</v>
      </c>
      <c r="B1136" s="45">
        <f>INDEX(overview!$B$4:$R$338,MATCH('hydrogen - supply'!B1132,overview!$A$4:$A$338,0),MATCH('hydrogen - supply'!A1136,overview!$B$3:$R$3,0))</f>
        <v>2020</v>
      </c>
    </row>
    <row r="1137" spans="1:22" x14ac:dyDescent="0.2">
      <c r="A1137" t="s">
        <v>2</v>
      </c>
      <c r="B1137" s="45" t="s">
        <v>1130</v>
      </c>
    </row>
    <row r="1138" spans="1:22" x14ac:dyDescent="0.2">
      <c r="A1138" t="s">
        <v>5</v>
      </c>
      <c r="B1138" s="45" t="str">
        <f>INDEX(overview!$B$4:$R$338,MATCH('hydrogen - supply'!B1132,overview!$A$4:$A$338,0),MATCH('hydrogen - supply'!A1138,overview!$B$3:$R$3,0))</f>
        <v>hydrogen</v>
      </c>
    </row>
    <row r="1139" spans="1:22" x14ac:dyDescent="0.2">
      <c r="A1139" t="s">
        <v>4</v>
      </c>
      <c r="B1139" s="45" t="str">
        <f>INDEX(overview!$B$4:$R$338,MATCH('hydrogen - supply'!B1132,overview!$A$4:$A$338,0),MATCH('hydrogen - supply'!A1139,overview!$B$3:$R$3,0))</f>
        <v>pipeline</v>
      </c>
    </row>
    <row r="1140" spans="1:22" x14ac:dyDescent="0.2">
      <c r="A1140" t="s">
        <v>38</v>
      </c>
      <c r="B1140" s="45">
        <f>INDEX(overview!$B$4:$R$338,MATCH('hydrogen - supply'!B1132,overview!$A$4:$A$338,0),MATCH('hydrogen - supply'!A1140,overview!$B$3:$R$3,0))</f>
        <v>500</v>
      </c>
    </row>
    <row r="1141" spans="1:22" x14ac:dyDescent="0.2">
      <c r="A1141" t="s">
        <v>12</v>
      </c>
      <c r="B1141" s="45" t="str">
        <f>INDEX(overview!$B$4:$R$338,MATCH('hydrogen - supply'!B1132,overview!$A$4:$A$338,0),MATCH('hydrogen - supply'!A1141,overview!$B$3:$R$3,0))</f>
        <v>Pressure vessel for stationary storage</v>
      </c>
    </row>
    <row r="1142" spans="1:22" x14ac:dyDescent="0.2">
      <c r="A1142" t="s">
        <v>34</v>
      </c>
      <c r="B1142" s="45">
        <f>INDEX(overview!$B$4:$R$338,MATCH('hydrogen - supply'!B1132,overview!$A$4:$A$338,0),MATCH('hydrogen - supply'!A1142,overview!$B$3:$R$3,0))</f>
        <v>0</v>
      </c>
    </row>
    <row r="1143" spans="1:22" x14ac:dyDescent="0.2">
      <c r="A1143" t="s">
        <v>15</v>
      </c>
      <c r="B1143" s="45" t="str">
        <f>INDEX(overview!$B$4:$R$338,MATCH('hydrogen - supply'!B1132,overview!$A$4:$A$338,0),MATCH('hydrogen - supply'!A1143,overview!$B$3:$R$3,0))</f>
        <v>Steam Methane Reforming, with CCS</v>
      </c>
    </row>
    <row r="1144" spans="1:22" x14ac:dyDescent="0.2">
      <c r="A1144" t="s">
        <v>14</v>
      </c>
      <c r="B1144" s="45" t="str">
        <f>INDEX(overview!$B$4:$R$338,MATCH('hydrogen - supply'!B1132,overview!$A$4:$A$338,0),MATCH('hydrogen - supply'!A1144,overview!$B$3:$R$3,0))</f>
        <v>natural gas</v>
      </c>
    </row>
    <row r="1145" spans="1:22" x14ac:dyDescent="0.2">
      <c r="A1145" t="s">
        <v>26</v>
      </c>
      <c r="B1145" s="45" t="str">
        <f>INDEX(overview!$B$4:$R$338,MATCH('hydrogen - supply'!B1132,overview!$A$4:$A$338,0),MATCH('hydrogen - supply'!A1145,overview!$B$3:$R$3,0))</f>
        <v>Switzerland</v>
      </c>
    </row>
    <row r="1146" spans="1:22" x14ac:dyDescent="0.2">
      <c r="A1146" t="s">
        <v>29</v>
      </c>
      <c r="B1146" s="45">
        <f>INDEX(overview!$B$4:$R$338,MATCH('hydrogen - supply'!B1132,overview!$A$4:$A$338,0),MATCH('hydrogen - supply'!A1146,overview!$B$3:$R$3,0))</f>
        <v>0</v>
      </c>
    </row>
    <row r="1147" spans="1:22" x14ac:dyDescent="0.2">
      <c r="A1147" t="s">
        <v>45</v>
      </c>
      <c r="B1147" s="66">
        <f>VLOOKUP(B1139,parameters!$A$94:$C$96,2,0)</f>
        <v>0.01</v>
      </c>
    </row>
    <row r="1148" spans="1:22" x14ac:dyDescent="0.2">
      <c r="A1148" t="s">
        <v>1133</v>
      </c>
      <c r="B1148" s="49">
        <f>VLOOKUP(B1139,parameters!$A$94:$D$96,3,0)</f>
        <v>2.3E-2</v>
      </c>
    </row>
    <row r="1149" spans="1:22" x14ac:dyDescent="0.2">
      <c r="B1149" s="45"/>
    </row>
    <row r="1150" spans="1:22" x14ac:dyDescent="0.2">
      <c r="A1150" s="3" t="s">
        <v>57</v>
      </c>
      <c r="B1150" s="45"/>
    </row>
    <row r="1151" spans="1:22" x14ac:dyDescent="0.2">
      <c r="A1151" s="2" t="s">
        <v>58</v>
      </c>
      <c r="B1151" s="44" t="s">
        <v>59</v>
      </c>
      <c r="C1151" s="2" t="s">
        <v>55</v>
      </c>
      <c r="D1151" s="2" t="s">
        <v>60</v>
      </c>
      <c r="E1151" s="2" t="s">
        <v>52</v>
      </c>
      <c r="F1151" s="2" t="s">
        <v>61</v>
      </c>
      <c r="G1151" s="2" t="s">
        <v>54</v>
      </c>
      <c r="H1151" s="2" t="s">
        <v>87</v>
      </c>
      <c r="I1151" s="2" t="s">
        <v>51</v>
      </c>
      <c r="J1151" s="2" t="s">
        <v>138</v>
      </c>
      <c r="K1151" s="2" t="s">
        <v>136</v>
      </c>
      <c r="L1151" s="2" t="s">
        <v>221</v>
      </c>
      <c r="M1151" s="2" t="s">
        <v>379</v>
      </c>
      <c r="N1151" s="2" t="s">
        <v>1059</v>
      </c>
      <c r="O1151" s="2" t="s">
        <v>1060</v>
      </c>
      <c r="P1151" s="2" t="s">
        <v>1061</v>
      </c>
      <c r="Q1151" s="2" t="s">
        <v>1062</v>
      </c>
      <c r="R1151" s="2" t="s">
        <v>1063</v>
      </c>
      <c r="S1151" s="2" t="s">
        <v>1064</v>
      </c>
      <c r="T1151" s="2" t="s">
        <v>1065</v>
      </c>
      <c r="U1151" s="2" t="s">
        <v>380</v>
      </c>
      <c r="V1151" s="2" t="s">
        <v>1128</v>
      </c>
    </row>
    <row r="1152" spans="1:22" x14ac:dyDescent="0.2">
      <c r="A1152" t="str">
        <f>B1128</f>
        <v>hydrogen supply, transported by pipeline, produced by Steam Methane Reforming, with CCS using natural gas from Switzerland</v>
      </c>
      <c r="B1152" s="45">
        <v>1</v>
      </c>
      <c r="C1152" t="str">
        <f>B1134</f>
        <v>kilogram</v>
      </c>
      <c r="E1152" t="str">
        <f>B1131</f>
        <v>CH</v>
      </c>
      <c r="F1152" t="s">
        <v>62</v>
      </c>
      <c r="G1152" t="str">
        <f>B1133</f>
        <v>hydrogen, gaseous, from pipeline</v>
      </c>
      <c r="K1152" t="str">
        <f>B1128</f>
        <v>hydrogen supply, transported by pipeline, produced by Steam Methane Reforming, with CCS using natural gas from Switzerland</v>
      </c>
    </row>
    <row r="1153" spans="1:21" x14ac:dyDescent="0.2">
      <c r="A1153" t="str">
        <f>VLOOKUP(J1153,'dataset mapping'!$A$4:$E$69,2,0)</f>
        <v>hydrogen production, steam methane reforming of natural gas, with CCS (MDEA, 98% eff.), 25 bar</v>
      </c>
      <c r="B1153" s="53">
        <v>1</v>
      </c>
      <c r="C1153" t="str">
        <f>VLOOKUP(J1153,'dataset mapping'!$A$4:$E$69,5,0)</f>
        <v>kilogram</v>
      </c>
      <c r="E1153" t="str">
        <f>VLOOKUP(J1153,'dataset mapping'!$A$4:$E$69,4,0)</f>
        <v>CH</v>
      </c>
      <c r="F1153" t="s">
        <v>86</v>
      </c>
      <c r="G1153" t="str">
        <f>VLOOKUP(J1153,'dataset mapping'!$A$4:$E$69,3,0)</f>
        <v>hydrogen, gaseous, 25 bar</v>
      </c>
      <c r="H1153" t="s">
        <v>281</v>
      </c>
      <c r="I1153" t="s">
        <v>1054</v>
      </c>
      <c r="J1153" t="str">
        <f>B1143&amp;" - "&amp;B1145</f>
        <v>Steam Methane Reforming, with CCS - Switzerland</v>
      </c>
      <c r="K1153" t="str">
        <f>B1128</f>
        <v>hydrogen supply, transported by pipeline, produced by Steam Methane Reforming, with CCS using natural gas from Switzerland</v>
      </c>
      <c r="L1153">
        <f t="shared" ref="L1153:L1160" si="102">IF(OR(B1153&lt;0,B1153=0),1,2)</f>
        <v>2</v>
      </c>
      <c r="M1153">
        <f t="shared" ref="M1153:M1160" si="103">IF(L1153=2,LN(B1153),"")</f>
        <v>0</v>
      </c>
      <c r="N1153">
        <v>1.5</v>
      </c>
      <c r="O1153" s="15">
        <v>1.2</v>
      </c>
      <c r="P1153">
        <v>1.5</v>
      </c>
      <c r="Q1153">
        <v>1.1000000000000001</v>
      </c>
      <c r="R1153">
        <v>2</v>
      </c>
      <c r="S1153">
        <v>1.2</v>
      </c>
      <c r="T1153">
        <v>1.05</v>
      </c>
      <c r="U1153">
        <f t="shared" ref="U1153:U1160" si="104">LN(SQRT(EXP(
SQRT(
+POWER(LN(N1153),2)
+POWER(LN(O1153),2)
+POWER(LN(P1153),2)
+POWER(LN(Q1153),2)
+POWER(LN(R1153),2)
+POWER(LN(S1153),2)
+POWER(LN(T1153),2)
)
)))</f>
        <v>0.47095746419981693</v>
      </c>
    </row>
    <row r="1154" spans="1:21" x14ac:dyDescent="0.2">
      <c r="A1154" t="str">
        <f>VLOOKUP(J1154,'dataset mapping'!$A$4:$E$69,2,0)</f>
        <v>hydrogen production, steam methane reforming of natural gas, with CCS (MDEA, 98% eff.), 25 bar</v>
      </c>
      <c r="B1154" s="53">
        <f>(B1153*B1147)+(B1148*B1153)</f>
        <v>3.3000000000000002E-2</v>
      </c>
      <c r="C1154" t="str">
        <f>VLOOKUP(J1154,'dataset mapping'!$A$4:$E$69,5,0)</f>
        <v>kilogram</v>
      </c>
      <c r="E1154" t="str">
        <f>VLOOKUP(J1154,'dataset mapping'!$A$4:$E$69,4,0)</f>
        <v>CH</v>
      </c>
      <c r="F1154" t="s">
        <v>86</v>
      </c>
      <c r="G1154" t="str">
        <f>VLOOKUP(J1154,'dataset mapping'!$A$4:$E$69,3,0)</f>
        <v>hydrogen, gaseous, 25 bar</v>
      </c>
      <c r="H1154" t="s">
        <v>76</v>
      </c>
      <c r="I1154" t="s">
        <v>1054</v>
      </c>
      <c r="J1154" t="str">
        <f>B1143&amp;" - "&amp;B1145</f>
        <v>Steam Methane Reforming, with CCS - Switzerland</v>
      </c>
      <c r="K1154" t="str">
        <f>B1129</f>
        <v>This dataset represents the supply of 1 kilogram of hydrogen. The hydrogen is transported by pipeline over 500 km from regional storage.  The hydrogen is produced by  Steam Methane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154">
        <f t="shared" si="102"/>
        <v>2</v>
      </c>
      <c r="M1154">
        <f t="shared" si="103"/>
        <v>-3.4112477175156566</v>
      </c>
      <c r="N1154">
        <v>1.5</v>
      </c>
      <c r="O1154" s="15">
        <v>1.2</v>
      </c>
      <c r="P1154">
        <v>1.5</v>
      </c>
      <c r="Q1154">
        <v>1.1000000000000001</v>
      </c>
      <c r="R1154">
        <v>2</v>
      </c>
      <c r="S1154">
        <v>1.2</v>
      </c>
      <c r="T1154">
        <v>1.05</v>
      </c>
      <c r="U1154">
        <f t="shared" si="104"/>
        <v>0.47095746419981693</v>
      </c>
    </row>
    <row r="1155" spans="1:21" x14ac:dyDescent="0.2">
      <c r="A1155" t="str">
        <f>VLOOKUP(J1155,'dataset mapping'!$A$4:$E$69,2,0)</f>
        <v>distribution pipeline for hydrogen, dedicated hydrogen pipeline</v>
      </c>
      <c r="B1155" s="45">
        <f>0.000000000265*SUM(B1153:B1154)*B1140*0.86</f>
        <v>1.1771035E-7</v>
      </c>
      <c r="C1155" t="str">
        <f>VLOOKUP(J1155,'dataset mapping'!$A$4:$E$69,5,0)</f>
        <v>kilometer</v>
      </c>
      <c r="E1155" t="str">
        <f>VLOOKUP(J1155,'dataset mapping'!$A$4:$E$69,4,0)</f>
        <v>CH</v>
      </c>
      <c r="F1155" t="s">
        <v>86</v>
      </c>
      <c r="G1155" t="str">
        <f>VLOOKUP(J1155,'dataset mapping'!$A$4:$E$69,3,0)</f>
        <v>pipeline, for hydrogen distribution</v>
      </c>
      <c r="H1155" t="s">
        <v>88</v>
      </c>
      <c r="I1155" t="s">
        <v>1052</v>
      </c>
      <c r="J1155" t="s">
        <v>218</v>
      </c>
      <c r="K1155" t="str">
        <f>B1128</f>
        <v>hydrogen supply, transported by pipeline, produced by Steam Methane Reforming, with CCS using natural gas from Switzerland</v>
      </c>
      <c r="L1155">
        <f t="shared" si="102"/>
        <v>2</v>
      </c>
      <c r="M1155">
        <f t="shared" si="103"/>
        <v>-15.955038891117216</v>
      </c>
      <c r="N1155">
        <v>1.5</v>
      </c>
      <c r="O1155" s="15">
        <v>1.2</v>
      </c>
      <c r="P1155">
        <v>1.5</v>
      </c>
      <c r="Q1155">
        <v>1.1000000000000001</v>
      </c>
      <c r="R1155">
        <v>2</v>
      </c>
      <c r="S1155">
        <v>1.2</v>
      </c>
      <c r="T1155">
        <v>3</v>
      </c>
      <c r="U1155">
        <f t="shared" si="104"/>
        <v>0.72314801614797197</v>
      </c>
    </row>
    <row r="1156" spans="1:21" x14ac:dyDescent="0.2">
      <c r="A1156" t="str">
        <f>VLOOKUP(J1156,'dataset mapping'!$A$4:$E$69,2,0)</f>
        <v>transmission pipeline for hydrogen, dedicated hydrogen pipeline</v>
      </c>
      <c r="B1156" s="45">
        <f>0.000000000265*SUM(B1153:B1154)*B1140*0.14</f>
        <v>1.9162150000000001E-8</v>
      </c>
      <c r="C1156" t="str">
        <f>VLOOKUP(J1156,'dataset mapping'!$A$4:$E$69,5,0)</f>
        <v>kilometer</v>
      </c>
      <c r="E1156" t="str">
        <f>VLOOKUP(J1156,'dataset mapping'!$A$4:$E$69,4,0)</f>
        <v>CH</v>
      </c>
      <c r="F1156" t="s">
        <v>86</v>
      </c>
      <c r="G1156" t="str">
        <f>VLOOKUP(J1156,'dataset mapping'!$A$4:$E$69,3,0)</f>
        <v>pipeline, for hydrogen transmission</v>
      </c>
      <c r="H1156" t="s">
        <v>88</v>
      </c>
      <c r="I1156" t="s">
        <v>1052</v>
      </c>
      <c r="J1156" t="s">
        <v>219</v>
      </c>
      <c r="K1156" t="str">
        <f>B1128</f>
        <v>hydrogen supply, transported by pipeline, produced by Steam Methane Reforming, with CCS using natural gas from Switzerland</v>
      </c>
      <c r="L1156">
        <f t="shared" si="102"/>
        <v>2</v>
      </c>
      <c r="M1156">
        <f t="shared" si="103"/>
        <v>-17.770328857755466</v>
      </c>
      <c r="N1156">
        <v>1.5</v>
      </c>
      <c r="O1156" s="15">
        <v>1.2</v>
      </c>
      <c r="P1156">
        <v>1.5</v>
      </c>
      <c r="Q1156">
        <v>1.1000000000000001</v>
      </c>
      <c r="R1156">
        <v>2</v>
      </c>
      <c r="S1156">
        <v>1.2</v>
      </c>
      <c r="T1156">
        <v>3</v>
      </c>
      <c r="U1156">
        <f t="shared" si="104"/>
        <v>0.72314801614797197</v>
      </c>
    </row>
    <row r="1157" spans="1:21" x14ac:dyDescent="0.2">
      <c r="A1157" t="s">
        <v>1038</v>
      </c>
      <c r="B1157" s="53">
        <f>SUM(B1153:B1154)</f>
        <v>1.0329999999999999</v>
      </c>
      <c r="C1157" t="str">
        <f>VLOOKUP(J1157,'dataset mapping'!$A$4:$E$69,5,0)</f>
        <v>kilogram</v>
      </c>
      <c r="E1157" t="s">
        <v>64</v>
      </c>
      <c r="F1157" t="s">
        <v>86</v>
      </c>
      <c r="G1157" t="s">
        <v>1039</v>
      </c>
      <c r="H1157" t="s">
        <v>88</v>
      </c>
      <c r="I1157" t="s">
        <v>1040</v>
      </c>
      <c r="J1157" t="s">
        <v>229</v>
      </c>
      <c r="K1157" t="str">
        <f>B1128</f>
        <v>hydrogen supply, transported by pipeline, produced by Steam Methane Reforming, with CCS using natural gas from Switzerland</v>
      </c>
      <c r="L1157">
        <f t="shared" si="102"/>
        <v>2</v>
      </c>
      <c r="M1157">
        <f t="shared" si="103"/>
        <v>3.2467190137501413E-2</v>
      </c>
      <c r="N1157">
        <v>1.5</v>
      </c>
      <c r="O1157" s="15">
        <v>1.2</v>
      </c>
      <c r="P1157">
        <v>1.5</v>
      </c>
      <c r="Q1157">
        <v>1.1000000000000001</v>
      </c>
      <c r="R1157">
        <v>2</v>
      </c>
      <c r="S1157">
        <v>1.2</v>
      </c>
      <c r="T1157">
        <v>3</v>
      </c>
      <c r="U1157">
        <f t="shared" si="104"/>
        <v>0.72314801614797197</v>
      </c>
    </row>
    <row r="1158" spans="1:21" x14ac:dyDescent="0.2">
      <c r="A1158" t="s">
        <v>130</v>
      </c>
      <c r="B1158" s="52">
        <f>(VLOOKUP(B1143,parameters!$A$71:$B$78,2,0)+VLOOKUP(B1139,parameters!$A$82:$B$84,2,0)+VLOOKUP(B1139,parameters!$A$87:$B$89,2,0))*SUM(B1153:B1154)</f>
        <v>2.0246799999999996</v>
      </c>
      <c r="C1158" t="s">
        <v>92</v>
      </c>
      <c r="E1158" t="s">
        <v>64</v>
      </c>
      <c r="F1158" t="s">
        <v>86</v>
      </c>
      <c r="G1158" t="s">
        <v>93</v>
      </c>
      <c r="H1158" t="s">
        <v>78</v>
      </c>
      <c r="I1158" t="s">
        <v>1053</v>
      </c>
      <c r="J1158" t="s">
        <v>67</v>
      </c>
      <c r="K1158" t="str">
        <f>B1128</f>
        <v>hydrogen supply, transported by pipeline, produced by Steam Methane Reforming, with CCS using natural gas from Switzerland</v>
      </c>
      <c r="L1158">
        <f t="shared" si="102"/>
        <v>2</v>
      </c>
      <c r="M1158">
        <f t="shared" si="103"/>
        <v>0.70541166337992711</v>
      </c>
      <c r="N1158">
        <v>1.5</v>
      </c>
      <c r="O1158" s="15">
        <v>1.2</v>
      </c>
      <c r="P1158">
        <v>1.5</v>
      </c>
      <c r="Q1158">
        <v>1.1000000000000001</v>
      </c>
      <c r="R1158">
        <v>2</v>
      </c>
      <c r="S1158">
        <v>1.2</v>
      </c>
      <c r="T1158">
        <v>1.05</v>
      </c>
      <c r="U1158">
        <f t="shared" si="104"/>
        <v>0.47095746419981693</v>
      </c>
    </row>
    <row r="1159" spans="1:21" x14ac:dyDescent="0.2">
      <c r="A1159" t="s">
        <v>130</v>
      </c>
      <c r="B1159" s="52">
        <f>0.6*SUM(B1153:B1154)*(B1140/250)</f>
        <v>1.2395999999999998</v>
      </c>
      <c r="C1159" t="s">
        <v>92</v>
      </c>
      <c r="E1159" t="s">
        <v>64</v>
      </c>
      <c r="F1159" t="s">
        <v>86</v>
      </c>
      <c r="G1159" t="s">
        <v>93</v>
      </c>
      <c r="H1159" t="s">
        <v>78</v>
      </c>
      <c r="I1159" t="s">
        <v>1135</v>
      </c>
      <c r="J1159" t="s">
        <v>67</v>
      </c>
      <c r="K1159" t="str">
        <f>B1129</f>
        <v>This dataset represents the supply of 1 kilogram of hydrogen. The hydrogen is transported by pipeline over 500 km from regional storage.  The hydrogen is produced by  Steam Methane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159">
        <f t="shared" si="102"/>
        <v>2</v>
      </c>
      <c r="M1159">
        <f t="shared" si="103"/>
        <v>0.21478874693145597</v>
      </c>
      <c r="N1159">
        <v>1.5</v>
      </c>
      <c r="O1159" s="15">
        <v>1.2</v>
      </c>
      <c r="P1159">
        <v>1.5</v>
      </c>
      <c r="Q1159">
        <v>1.1000000000000001</v>
      </c>
      <c r="R1159">
        <v>2</v>
      </c>
      <c r="S1159">
        <v>1.2</v>
      </c>
      <c r="T1159">
        <v>1.05</v>
      </c>
      <c r="U1159">
        <f t="shared" si="104"/>
        <v>0.47095746419981693</v>
      </c>
    </row>
    <row r="1160" spans="1:21" x14ac:dyDescent="0.2">
      <c r="A1160" t="s">
        <v>7</v>
      </c>
      <c r="B1160" s="53">
        <f>B1154</f>
        <v>3.3000000000000002E-2</v>
      </c>
      <c r="C1160" t="s">
        <v>56</v>
      </c>
      <c r="D1160" t="s">
        <v>100</v>
      </c>
      <c r="F1160" t="s">
        <v>99</v>
      </c>
      <c r="H1160" t="s">
        <v>131</v>
      </c>
      <c r="I1160" t="s">
        <v>160</v>
      </c>
      <c r="K1160" t="str">
        <f>B1128</f>
        <v>hydrogen supply, transported by pipeline, produced by Steam Methane Reforming, with CCS using natural gas from Switzerland</v>
      </c>
      <c r="L1160">
        <f t="shared" si="102"/>
        <v>2</v>
      </c>
      <c r="M1160">
        <f t="shared" si="103"/>
        <v>-3.4112477175156566</v>
      </c>
      <c r="N1160">
        <v>1.5</v>
      </c>
      <c r="O1160" s="15">
        <v>1.2</v>
      </c>
      <c r="P1160">
        <v>1.5</v>
      </c>
      <c r="Q1160">
        <v>1.1000000000000001</v>
      </c>
      <c r="R1160">
        <v>2</v>
      </c>
      <c r="S1160">
        <v>1.2</v>
      </c>
      <c r="T1160">
        <v>1.05</v>
      </c>
      <c r="U1160">
        <f t="shared" si="104"/>
        <v>0.47095746419981693</v>
      </c>
    </row>
    <row r="1161" spans="1:21" x14ac:dyDescent="0.2">
      <c r="B1161" s="45"/>
    </row>
    <row r="1162" spans="1:21" x14ac:dyDescent="0.2">
      <c r="A1162" s="2" t="s">
        <v>50</v>
      </c>
      <c r="B1162" s="44" t="str">
        <f>"hydrogen supply, transported by "&amp;B1173&amp;", produced by "&amp;B1177&amp;" using "&amp;B1178&amp;" from "&amp;B1179</f>
        <v>hydrogen supply, transported by truck, produced by Steam Methane Reforming, with CCS using natural gas from Switzerland</v>
      </c>
    </row>
    <row r="1163" spans="1:21" x14ac:dyDescent="0.2">
      <c r="A1163" t="s">
        <v>51</v>
      </c>
      <c r="B1163" s="45" t="str">
        <f>"This dataset represents the supply of 1 kilogram of hydrogen. The hydrogen is transported by "&amp;B1173&amp;" over "&amp;B1174&amp;" km from regional storage. "&amp;" The "&amp;B1172&amp;" is produced by  "&amp;B1177&amp;", with "&amp;B1178&amp;" from "&amp;B1179&amp;" as feedstock. "&amp;A1181&amp;": "&amp;(B1181*100)&amp;"%. "&amp;A1182&amp;": "&amp;(B1182*100)&amp;".  For more information, refer to: "&amp;B1164</f>
        <v>This dataset represents the supply of 1 kilogram of hydrogen. The hydrogen is transported by truck over 200 km from regional storage.  The hydrogen is produced by  Steam Methane Reforming, with CCS,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164" spans="1:21" x14ac:dyDescent="0.2">
      <c r="A1164" t="s">
        <v>63</v>
      </c>
      <c r="B1164" s="45" t="s">
        <v>1223</v>
      </c>
    </row>
    <row r="1165" spans="1:21" x14ac:dyDescent="0.2">
      <c r="A1165" t="s">
        <v>52</v>
      </c>
      <c r="B1165" s="45" t="s">
        <v>64</v>
      </c>
    </row>
    <row r="1166" spans="1:21" x14ac:dyDescent="0.2">
      <c r="A1166" t="s">
        <v>48</v>
      </c>
      <c r="B1166" s="45">
        <v>141</v>
      </c>
    </row>
    <row r="1167" spans="1:21" x14ac:dyDescent="0.2">
      <c r="A1167" t="s">
        <v>54</v>
      </c>
      <c r="B1167" s="45" t="s">
        <v>1137</v>
      </c>
    </row>
    <row r="1168" spans="1:21" x14ac:dyDescent="0.2">
      <c r="A1168" t="s">
        <v>55</v>
      </c>
      <c r="B1168" s="45" t="s">
        <v>56</v>
      </c>
    </row>
    <row r="1169" spans="1:2" x14ac:dyDescent="0.2">
      <c r="A1169" t="s">
        <v>0</v>
      </c>
      <c r="B1169" s="45" t="str">
        <f>INDEX(overview!$B$4:$R$338,MATCH('hydrogen - supply'!B1166,overview!$A$4:$A$338,0),MATCH('hydrogen - supply'!A1169,overview!$B$3:$R$3,0))</f>
        <v>Switzerland</v>
      </c>
    </row>
    <row r="1170" spans="1:2" x14ac:dyDescent="0.2">
      <c r="A1170" t="s">
        <v>1</v>
      </c>
      <c r="B1170" s="45">
        <f>INDEX(overview!$B$4:$R$338,MATCH('hydrogen - supply'!B1166,overview!$A$4:$A$338,0),MATCH('hydrogen - supply'!A1170,overview!$B$3:$R$3,0))</f>
        <v>2020</v>
      </c>
    </row>
    <row r="1171" spans="1:2" x14ac:dyDescent="0.2">
      <c r="A1171" t="s">
        <v>2</v>
      </c>
      <c r="B1171" s="45" t="s">
        <v>1130</v>
      </c>
    </row>
    <row r="1172" spans="1:2" x14ac:dyDescent="0.2">
      <c r="A1172" t="s">
        <v>5</v>
      </c>
      <c r="B1172" s="45" t="str">
        <f>INDEX(overview!$B$4:$R$338,MATCH('hydrogen - supply'!B1166,overview!$A$4:$A$338,0),MATCH('hydrogen - supply'!A1172,overview!$B$3:$R$3,0))</f>
        <v>hydrogen</v>
      </c>
    </row>
    <row r="1173" spans="1:2" x14ac:dyDescent="0.2">
      <c r="A1173" t="s">
        <v>4</v>
      </c>
      <c r="B1173" s="45" t="str">
        <f>INDEX(overview!$B$4:$R$338,MATCH('hydrogen - supply'!B1166,overview!$A$4:$A$338,0),MATCH('hydrogen - supply'!A1173,overview!$B$3:$R$3,0))</f>
        <v>truck</v>
      </c>
    </row>
    <row r="1174" spans="1:2" x14ac:dyDescent="0.2">
      <c r="A1174" t="s">
        <v>38</v>
      </c>
      <c r="B1174" s="45">
        <f>INDEX(overview!$B$4:$R$338,MATCH('hydrogen - supply'!B1166,overview!$A$4:$A$338,0),MATCH('hydrogen - supply'!A1174,overview!$B$3:$R$3,0))</f>
        <v>200</v>
      </c>
    </row>
    <row r="1175" spans="1:2" x14ac:dyDescent="0.2">
      <c r="A1175" t="s">
        <v>12</v>
      </c>
      <c r="B1175" s="45" t="str">
        <f>INDEX(overview!$B$4:$R$338,MATCH('hydrogen - supply'!B1166,overview!$A$4:$A$338,0),MATCH('hydrogen - supply'!A1175,overview!$B$3:$R$3,0))</f>
        <v>Pressure vessel for stationary storage</v>
      </c>
    </row>
    <row r="1176" spans="1:2" x14ac:dyDescent="0.2">
      <c r="A1176" t="s">
        <v>34</v>
      </c>
      <c r="B1176" s="45">
        <f>INDEX(overview!$B$4:$R$338,MATCH('hydrogen - supply'!B1166,overview!$A$4:$A$338,0),MATCH('hydrogen - supply'!A1176,overview!$B$3:$R$3,0))</f>
        <v>0</v>
      </c>
    </row>
    <row r="1177" spans="1:2" x14ac:dyDescent="0.2">
      <c r="A1177" t="s">
        <v>15</v>
      </c>
      <c r="B1177" s="45" t="str">
        <f>INDEX(overview!$B$4:$R$338,MATCH('hydrogen - supply'!B1166,overview!$A$4:$A$338,0),MATCH('hydrogen - supply'!A1177,overview!$B$3:$R$3,0))</f>
        <v>Steam Methane Reforming, with CCS</v>
      </c>
    </row>
    <row r="1178" spans="1:2" x14ac:dyDescent="0.2">
      <c r="A1178" t="s">
        <v>14</v>
      </c>
      <c r="B1178" s="45" t="str">
        <f>INDEX(overview!$B$4:$R$338,MATCH('hydrogen - supply'!B1166,overview!$A$4:$A$338,0),MATCH('hydrogen - supply'!A1178,overview!$B$3:$R$3,0))</f>
        <v>natural gas</v>
      </c>
    </row>
    <row r="1179" spans="1:2" x14ac:dyDescent="0.2">
      <c r="A1179" t="s">
        <v>26</v>
      </c>
      <c r="B1179" s="45" t="str">
        <f>INDEX(overview!$B$4:$R$338,MATCH('hydrogen - supply'!B1166,overview!$A$4:$A$338,0),MATCH('hydrogen - supply'!A1179,overview!$B$3:$R$3,0))</f>
        <v>Switzerland</v>
      </c>
    </row>
    <row r="1180" spans="1:2" x14ac:dyDescent="0.2">
      <c r="A1180" t="s">
        <v>29</v>
      </c>
      <c r="B1180" s="45">
        <f>INDEX(overview!$B$4:$R$338,MATCH('hydrogen - supply'!B1166,overview!$A$4:$A$338,0),MATCH('hydrogen - supply'!A1180,overview!$B$3:$R$3,0))</f>
        <v>0</v>
      </c>
    </row>
    <row r="1181" spans="1:2" x14ac:dyDescent="0.2">
      <c r="A1181" t="s">
        <v>45</v>
      </c>
      <c r="B1181" s="66">
        <f>VLOOKUP(B1173,parameters!$A$94:$C$96,2,0)</f>
        <v>5.0000000000000001E-3</v>
      </c>
    </row>
    <row r="1182" spans="1:2" x14ac:dyDescent="0.2">
      <c r="A1182" t="s">
        <v>1133</v>
      </c>
      <c r="B1182" s="49">
        <f>VLOOKUP(B1173,parameters!$A$94:$D$96,3,0)</f>
        <v>2.3E-2</v>
      </c>
    </row>
    <row r="1183" spans="1:2" x14ac:dyDescent="0.2">
      <c r="B1183" s="45"/>
    </row>
    <row r="1184" spans="1:2" x14ac:dyDescent="0.2">
      <c r="A1184" s="3" t="s">
        <v>57</v>
      </c>
      <c r="B1184" s="45"/>
    </row>
    <row r="1185" spans="1:22" x14ac:dyDescent="0.2">
      <c r="A1185" s="2" t="s">
        <v>58</v>
      </c>
      <c r="B1185" s="44" t="s">
        <v>59</v>
      </c>
      <c r="C1185" s="2" t="s">
        <v>55</v>
      </c>
      <c r="D1185" s="2" t="s">
        <v>60</v>
      </c>
      <c r="E1185" s="2" t="s">
        <v>52</v>
      </c>
      <c r="F1185" s="2" t="s">
        <v>61</v>
      </c>
      <c r="G1185" s="2" t="s">
        <v>54</v>
      </c>
      <c r="H1185" s="2" t="s">
        <v>87</v>
      </c>
      <c r="I1185" s="2" t="s">
        <v>51</v>
      </c>
      <c r="J1185" s="2" t="s">
        <v>138</v>
      </c>
      <c r="K1185" s="2" t="s">
        <v>136</v>
      </c>
      <c r="L1185" s="2" t="s">
        <v>221</v>
      </c>
      <c r="M1185" s="2" t="s">
        <v>379</v>
      </c>
      <c r="N1185" s="2" t="s">
        <v>1059</v>
      </c>
      <c r="O1185" s="2" t="s">
        <v>1060</v>
      </c>
      <c r="P1185" s="2" t="s">
        <v>1061</v>
      </c>
      <c r="Q1185" s="2" t="s">
        <v>1062</v>
      </c>
      <c r="R1185" s="2" t="s">
        <v>1063</v>
      </c>
      <c r="S1185" s="2" t="s">
        <v>1064</v>
      </c>
      <c r="T1185" s="2" t="s">
        <v>1065</v>
      </c>
      <c r="U1185" s="2" t="s">
        <v>380</v>
      </c>
      <c r="V1185" s="2" t="s">
        <v>1128</v>
      </c>
    </row>
    <row r="1186" spans="1:22" x14ac:dyDescent="0.2">
      <c r="A1186" t="str">
        <f>B1162</f>
        <v>hydrogen supply, transported by truck, produced by Steam Methane Reforming, with CCS using natural gas from Switzerland</v>
      </c>
      <c r="B1186" s="45">
        <v>1</v>
      </c>
      <c r="C1186" t="str">
        <f>B1168</f>
        <v>kilogram</v>
      </c>
      <c r="E1186" t="str">
        <f>B1165</f>
        <v>CH</v>
      </c>
      <c r="F1186" t="s">
        <v>62</v>
      </c>
      <c r="G1186" t="str">
        <f>B1167</f>
        <v>hydrogen, gaseous, from truck</v>
      </c>
      <c r="K1186" t="str">
        <f>B1162</f>
        <v>hydrogen supply, transported by truck, produced by Steam Methane Reforming, with CCS using natural gas from Switzerland</v>
      </c>
    </row>
    <row r="1187" spans="1:22" x14ac:dyDescent="0.2">
      <c r="A1187" t="str">
        <f>VLOOKUP(J1187,'dataset mapping'!$A$4:$E$69,2,0)</f>
        <v>hydrogen production, steam methane reforming of natural gas, with CCS (MDEA, 98% eff.), 25 bar</v>
      </c>
      <c r="B1187" s="53">
        <v>1</v>
      </c>
      <c r="C1187" t="str">
        <f>VLOOKUP(J1187,'dataset mapping'!$A$4:$E$69,5,0)</f>
        <v>kilogram</v>
      </c>
      <c r="E1187" t="str">
        <f>VLOOKUP(J1187,'dataset mapping'!$A$4:$E$69,4,0)</f>
        <v>CH</v>
      </c>
      <c r="F1187" t="s">
        <v>86</v>
      </c>
      <c r="G1187" t="str">
        <f>VLOOKUP(J1187,'dataset mapping'!$A$4:$E$69,3,0)</f>
        <v>hydrogen, gaseous, 25 bar</v>
      </c>
      <c r="H1187" t="s">
        <v>281</v>
      </c>
      <c r="I1187" t="s">
        <v>1054</v>
      </c>
      <c r="J1187" t="str">
        <f>B1143&amp;" - "&amp;B1145</f>
        <v>Steam Methane Reforming, with CCS - Switzerland</v>
      </c>
      <c r="K1187" t="str">
        <f>B1162</f>
        <v>hydrogen supply, transported by truck, produced by Steam Methane Reforming, with CCS using natural gas from Switzerland</v>
      </c>
      <c r="L1187">
        <f>IF(OR(B1187&lt;0,B1187=0),1,2)</f>
        <v>2</v>
      </c>
      <c r="M1187">
        <f>IF(L1187=2,LN(B1187),"")</f>
        <v>0</v>
      </c>
      <c r="N1187">
        <v>1.5</v>
      </c>
      <c r="O1187" s="15">
        <v>1.2</v>
      </c>
      <c r="P1187">
        <v>1.5</v>
      </c>
      <c r="Q1187">
        <v>1.1000000000000001</v>
      </c>
      <c r="R1187">
        <v>2</v>
      </c>
      <c r="S1187">
        <v>1.2</v>
      </c>
      <c r="T1187">
        <v>1.05</v>
      </c>
      <c r="U1187">
        <f>LN(SQRT(EXP(
SQRT(
+POWER(LN(N1187),2)
+POWER(LN(O1187),2)
+POWER(LN(P1187),2)
+POWER(LN(Q1187),2)
+POWER(LN(R1187),2)
+POWER(LN(S1187),2)
+POWER(LN(T1187),2)
)
)))</f>
        <v>0.47095746419981693</v>
      </c>
    </row>
    <row r="1188" spans="1:22" x14ac:dyDescent="0.2">
      <c r="A1188" t="str">
        <f>VLOOKUP(J1188,'dataset mapping'!$A$4:$E$69,2,0)</f>
        <v>hydrogen production, steam methane reforming of natural gas, with CCS (MDEA, 98% eff.), 25 bar</v>
      </c>
      <c r="B1188" s="53">
        <f>(B1187*B1181)+(B1182*B1187)</f>
        <v>2.8000000000000001E-2</v>
      </c>
      <c r="C1188" t="str">
        <f>VLOOKUP(J1188,'dataset mapping'!$A$4:$E$69,5,0)</f>
        <v>kilogram</v>
      </c>
      <c r="E1188" t="str">
        <f>VLOOKUP(J1188,'dataset mapping'!$A$4:$E$69,4,0)</f>
        <v>CH</v>
      </c>
      <c r="F1188" t="s">
        <v>86</v>
      </c>
      <c r="G1188" t="str">
        <f>VLOOKUP(J1188,'dataset mapping'!$A$4:$E$69,3,0)</f>
        <v>hydrogen, gaseous, 25 bar</v>
      </c>
      <c r="H1188" t="s">
        <v>76</v>
      </c>
      <c r="I1188" t="s">
        <v>1054</v>
      </c>
      <c r="J1188" t="str">
        <f>B1143&amp;" - "&amp;B1145</f>
        <v>Steam Methane Reforming, with CCS - Switzerland</v>
      </c>
      <c r="K1188" t="str">
        <f>B1163</f>
        <v>This dataset represents the supply of 1 kilogram of hydrogen. The hydrogen is transported by truck over 200 km from regional storage.  The hydrogen is produced by  Steam Methane Reforming, with CCS,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188">
        <f>IF(OR(B1188&lt;0,B1188=0),1,2)</f>
        <v>2</v>
      </c>
      <c r="M1188">
        <f>IF(L1188=2,LN(B1188),"")</f>
        <v>-3.575550768806933</v>
      </c>
      <c r="N1188">
        <v>1.5</v>
      </c>
      <c r="O1188" s="15">
        <v>1.2</v>
      </c>
      <c r="P1188">
        <v>1.5</v>
      </c>
      <c r="Q1188">
        <v>1.1000000000000001</v>
      </c>
      <c r="R1188">
        <v>2</v>
      </c>
      <c r="S1188">
        <v>1.2</v>
      </c>
      <c r="T1188">
        <v>1.05</v>
      </c>
      <c r="U1188">
        <f>LN(SQRT(EXP(
SQRT(
+POWER(LN(N1188),2)
+POWER(LN(O1188),2)
+POWER(LN(P1188),2)
+POWER(LN(Q1188),2)
+POWER(LN(R1188),2)
+POWER(LN(S1188),2)
+POWER(LN(T1188),2)
)
)))</f>
        <v>0.47095746419981693</v>
      </c>
    </row>
    <row r="1189" spans="1:22" x14ac:dyDescent="0.2">
      <c r="A1189" t="str">
        <f>VLOOKUP(J1189,'dataset mapping'!$A$4:$E$69,2,0)</f>
        <v>market for transport, freight train</v>
      </c>
      <c r="B1189" s="45">
        <f>SUM(B1187:B1188)/1000*B1174</f>
        <v>0.2056</v>
      </c>
      <c r="C1189" t="str">
        <f>VLOOKUP(J1189,'dataset mapping'!$A$4:$E$69,5,0)</f>
        <v>ton kilometer</v>
      </c>
      <c r="E1189" t="str">
        <f>VLOOKUP(J1189,'dataset mapping'!$A$4:$E$69,4,0)</f>
        <v>CH</v>
      </c>
      <c r="F1189" t="s">
        <v>86</v>
      </c>
      <c r="G1189" t="str">
        <f>VLOOKUP(J1189,'dataset mapping'!$A$4:$E$69,3,0)</f>
        <v>transport, freight train</v>
      </c>
      <c r="H1189" t="s">
        <v>88</v>
      </c>
      <c r="I1189" t="s">
        <v>1052</v>
      </c>
      <c r="J1189" t="s">
        <v>295</v>
      </c>
      <c r="K1189" t="str">
        <f>B1145</f>
        <v>Switzerland</v>
      </c>
      <c r="L1189">
        <f t="shared" ref="L1189" si="105">IF(OR(B1189&lt;0,B1189=0),1,2)</f>
        <v>2</v>
      </c>
      <c r="M1189">
        <f t="shared" ref="M1189" si="106">IF(L1189=2,LN(B1189),"")</f>
        <v>-1.5818227454011269</v>
      </c>
      <c r="N1189">
        <v>1.5</v>
      </c>
      <c r="O1189" s="15">
        <v>1.2</v>
      </c>
      <c r="P1189">
        <v>1.5</v>
      </c>
      <c r="Q1189">
        <v>1.1000000000000001</v>
      </c>
      <c r="R1189">
        <v>2</v>
      </c>
      <c r="S1189">
        <v>1.2</v>
      </c>
      <c r="T1189">
        <v>2</v>
      </c>
      <c r="U1189">
        <f t="shared" ref="U1189" si="107">LN(SQRT(EXP(
SQRT(
+POWER(LN(N1189),2)
+POWER(LN(O1189),2)
+POWER(LN(P1189),2)
+POWER(LN(Q1189),2)
+POWER(LN(R1189),2)
+POWER(LN(S1189),2)
+POWER(LN(T1189),2)
)
)))</f>
        <v>0.58422518478336083</v>
      </c>
    </row>
    <row r="1190" spans="1:22" x14ac:dyDescent="0.2">
      <c r="A1190" t="s">
        <v>1038</v>
      </c>
      <c r="B1190" s="53">
        <f>SUM(B1187:B1188)</f>
        <v>1.028</v>
      </c>
      <c r="C1190" t="str">
        <f>VLOOKUP(J1190,'dataset mapping'!$A$4:$E$69,5,0)</f>
        <v>kilogram</v>
      </c>
      <c r="E1190" t="s">
        <v>64</v>
      </c>
      <c r="F1190" t="s">
        <v>86</v>
      </c>
      <c r="G1190" t="s">
        <v>1039</v>
      </c>
      <c r="H1190" t="s">
        <v>88</v>
      </c>
      <c r="I1190" t="s">
        <v>1040</v>
      </c>
      <c r="J1190" t="s">
        <v>229</v>
      </c>
      <c r="K1190" t="str">
        <f>B1162</f>
        <v>hydrogen supply, transported by truck, produced by Steam Methane Reforming, with CCS using natural gas from Switzerland</v>
      </c>
      <c r="L1190">
        <f>IF(OR(B1190&lt;0,B1190=0),1,2)</f>
        <v>2</v>
      </c>
      <c r="M1190">
        <f>IF(L1190=2,LN(B1190),"")</f>
        <v>2.7615167032973391E-2</v>
      </c>
      <c r="N1190">
        <v>1.5</v>
      </c>
      <c r="O1190" s="15">
        <v>1.2</v>
      </c>
      <c r="P1190">
        <v>1.5</v>
      </c>
      <c r="Q1190">
        <v>1.1000000000000001</v>
      </c>
      <c r="R1190">
        <v>2</v>
      </c>
      <c r="S1190">
        <v>1.2</v>
      </c>
      <c r="T1190">
        <v>3</v>
      </c>
      <c r="U1190">
        <f>LN(SQRT(EXP(
SQRT(
+POWER(LN(N1190),2)
+POWER(LN(O1190),2)
+POWER(LN(P1190),2)
+POWER(LN(Q1190),2)
+POWER(LN(R1190),2)
+POWER(LN(S1190),2)
+POWER(LN(T1190),2)
)
)))</f>
        <v>0.72314801614797197</v>
      </c>
    </row>
    <row r="1191" spans="1:22" x14ac:dyDescent="0.2">
      <c r="A1191" t="s">
        <v>130</v>
      </c>
      <c r="B1191" s="52">
        <f>(VLOOKUP(B1177,parameters!$A$71:$B$78,2,0)+VLOOKUP(B1173,parameters!$A$82:$B$84,2,0)+VLOOKUP(B1173,parameters!$A$87:$B$89,2,0))*SUM(B1187:B1188)</f>
        <v>3.5774400000000006</v>
      </c>
      <c r="C1191" t="s">
        <v>92</v>
      </c>
      <c r="E1191" t="s">
        <v>64</v>
      </c>
      <c r="F1191" t="s">
        <v>86</v>
      </c>
      <c r="G1191" t="s">
        <v>93</v>
      </c>
      <c r="H1191" t="s">
        <v>78</v>
      </c>
      <c r="I1191" t="s">
        <v>1053</v>
      </c>
      <c r="J1191" t="s">
        <v>67</v>
      </c>
      <c r="K1191" t="str">
        <f>B1162</f>
        <v>hydrogen supply, transported by truck, produced by Steam Methane Reforming, with CCS using natural gas from Switzerland</v>
      </c>
      <c r="L1191">
        <f>IF(OR(B1191&lt;0,B1191=0),1,2)</f>
        <v>2</v>
      </c>
      <c r="M1191">
        <f>IF(L1191=2,LN(B1191),"")</f>
        <v>1.2746474608193565</v>
      </c>
      <c r="N1191">
        <v>1.5</v>
      </c>
      <c r="O1191" s="15">
        <v>1.2</v>
      </c>
      <c r="P1191">
        <v>1.5</v>
      </c>
      <c r="Q1191">
        <v>1.1000000000000001</v>
      </c>
      <c r="R1191">
        <v>2</v>
      </c>
      <c r="S1191">
        <v>1.2</v>
      </c>
      <c r="T1191">
        <v>1.05</v>
      </c>
      <c r="U1191">
        <f>LN(SQRT(EXP(
SQRT(
+POWER(LN(N1191),2)
+POWER(LN(O1191),2)
+POWER(LN(P1191),2)
+POWER(LN(Q1191),2)
+POWER(LN(R1191),2)
+POWER(LN(S1191),2)
+POWER(LN(T1191),2)
)
)))</f>
        <v>0.47095746419981693</v>
      </c>
    </row>
    <row r="1192" spans="1:22" x14ac:dyDescent="0.2">
      <c r="A1192" t="s">
        <v>7</v>
      </c>
      <c r="B1192" s="53">
        <f>B1188</f>
        <v>2.8000000000000001E-2</v>
      </c>
      <c r="C1192" t="s">
        <v>56</v>
      </c>
      <c r="D1192" t="s">
        <v>100</v>
      </c>
      <c r="F1192" t="s">
        <v>99</v>
      </c>
      <c r="H1192" t="s">
        <v>131</v>
      </c>
      <c r="I1192" t="s">
        <v>160</v>
      </c>
      <c r="K1192" t="str">
        <f>B1162</f>
        <v>hydrogen supply, transported by truck, produced by Steam Methane Reforming, with CCS using natural gas from Switzerland</v>
      </c>
      <c r="L1192">
        <f>IF(OR(B1192&lt;0,B1192=0),1,2)</f>
        <v>2</v>
      </c>
      <c r="M1192">
        <f>IF(L1192=2,LN(B1192),"")</f>
        <v>-3.575550768806933</v>
      </c>
      <c r="N1192">
        <v>1.5</v>
      </c>
      <c r="O1192" s="15">
        <v>1.2</v>
      </c>
      <c r="P1192">
        <v>1.5</v>
      </c>
      <c r="Q1192">
        <v>1.1000000000000001</v>
      </c>
      <c r="R1192">
        <v>2</v>
      </c>
      <c r="S1192">
        <v>1.2</v>
      </c>
      <c r="T1192">
        <v>1.05</v>
      </c>
      <c r="U1192">
        <f>LN(SQRT(EXP(
SQRT(
+POWER(LN(N1192),2)
+POWER(LN(O1192),2)
+POWER(LN(P1192),2)
+POWER(LN(Q1192),2)
+POWER(LN(R1192),2)
+POWER(LN(S1192),2)
+POWER(LN(T1192),2)
)
)))</f>
        <v>0.47095746419981693</v>
      </c>
    </row>
    <row r="1194" spans="1:22" x14ac:dyDescent="0.2">
      <c r="A1194" s="2" t="s">
        <v>50</v>
      </c>
      <c r="B1194" s="44" t="str">
        <f>"hydrogen supply, transported by "&amp;B1205&amp;", produced by "&amp;B1209&amp;" using "&amp;B1210&amp;" from "&amp;B1211</f>
        <v>hydrogen supply, transported by pipeline, produced by Auto-thermal reforming, with CCS using natural gas from Switzerland</v>
      </c>
    </row>
    <row r="1195" spans="1:22" x14ac:dyDescent="0.2">
      <c r="A1195" t="s">
        <v>51</v>
      </c>
      <c r="B1195" s="45" t="str">
        <f>"This dataset represents the supply of 1 kilogram of hydrogen. The hydrogen is transported by "&amp;B1205&amp;" over "&amp;B1206&amp;" km from regional storage. "&amp;" The "&amp;B1204&amp;" is produced by  "&amp;B1209&amp;", with "&amp;B1210&amp;" from "&amp;B1211&amp;" as feedstock. "&amp;A1213&amp;": "&amp;(B1213*100)&amp;"%. "&amp;A1214&amp;": "&amp;(B1214*100)&amp;".  For more information, refer to: "&amp;B1196</f>
        <v>This dataset represents the supply of 1 kilogram of hydrogen. The hydrogen is transported by pipeline over 500 km from regional storage.  The hydrogen is produced by  Auto-thermal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196" spans="1:22" x14ac:dyDescent="0.2">
      <c r="A1196" t="s">
        <v>63</v>
      </c>
      <c r="B1196" s="45" t="s">
        <v>1223</v>
      </c>
    </row>
    <row r="1197" spans="1:22" x14ac:dyDescent="0.2">
      <c r="A1197" t="s">
        <v>52</v>
      </c>
      <c r="B1197" s="45" t="s">
        <v>64</v>
      </c>
    </row>
    <row r="1198" spans="1:22" x14ac:dyDescent="0.2">
      <c r="A1198" t="s">
        <v>48</v>
      </c>
      <c r="B1198" s="45">
        <v>145</v>
      </c>
    </row>
    <row r="1199" spans="1:22" x14ac:dyDescent="0.2">
      <c r="A1199" t="s">
        <v>54</v>
      </c>
      <c r="B1199" s="45" t="s">
        <v>1129</v>
      </c>
    </row>
    <row r="1200" spans="1:22" x14ac:dyDescent="0.2">
      <c r="A1200" t="s">
        <v>55</v>
      </c>
      <c r="B1200" s="45" t="s">
        <v>56</v>
      </c>
    </row>
    <row r="1201" spans="1:2" x14ac:dyDescent="0.2">
      <c r="A1201" t="s">
        <v>0</v>
      </c>
      <c r="B1201" s="45" t="str">
        <f>INDEX(overview!$B$4:$R$338,MATCH('hydrogen - supply'!B1198,overview!$A$4:$A$338,0),MATCH('hydrogen - supply'!A1201,overview!$B$3:$R$3,0))</f>
        <v>Switzerland</v>
      </c>
    </row>
    <row r="1202" spans="1:2" x14ac:dyDescent="0.2">
      <c r="A1202" t="s">
        <v>1</v>
      </c>
      <c r="B1202" s="45">
        <f>INDEX(overview!$B$4:$R$338,MATCH('hydrogen - supply'!B1198,overview!$A$4:$A$338,0),MATCH('hydrogen - supply'!A1202,overview!$B$3:$R$3,0))</f>
        <v>2020</v>
      </c>
    </row>
    <row r="1203" spans="1:2" x14ac:dyDescent="0.2">
      <c r="A1203" t="s">
        <v>2</v>
      </c>
      <c r="B1203" s="45" t="s">
        <v>1130</v>
      </c>
    </row>
    <row r="1204" spans="1:2" x14ac:dyDescent="0.2">
      <c r="A1204" t="s">
        <v>5</v>
      </c>
      <c r="B1204" s="45" t="str">
        <f>INDEX(overview!$B$4:$R$338,MATCH('hydrogen - supply'!B1198,overview!$A$4:$A$338,0),MATCH('hydrogen - supply'!A1204,overview!$B$3:$R$3,0))</f>
        <v>hydrogen</v>
      </c>
    </row>
    <row r="1205" spans="1:2" x14ac:dyDescent="0.2">
      <c r="A1205" t="s">
        <v>4</v>
      </c>
      <c r="B1205" s="45" t="str">
        <f>INDEX(overview!$B$4:$R$338,MATCH('hydrogen - supply'!B1198,overview!$A$4:$A$338,0),MATCH('hydrogen - supply'!A1205,overview!$B$3:$R$3,0))</f>
        <v>pipeline</v>
      </c>
    </row>
    <row r="1206" spans="1:2" x14ac:dyDescent="0.2">
      <c r="A1206" t="s">
        <v>38</v>
      </c>
      <c r="B1206" s="45">
        <f>INDEX(overview!$B$4:$R$338,MATCH('hydrogen - supply'!B1198,overview!$A$4:$A$338,0),MATCH('hydrogen - supply'!A1206,overview!$B$3:$R$3,0))</f>
        <v>500</v>
      </c>
    </row>
    <row r="1207" spans="1:2" x14ac:dyDescent="0.2">
      <c r="A1207" t="s">
        <v>12</v>
      </c>
      <c r="B1207" s="45" t="str">
        <f>INDEX(overview!$B$4:$R$338,MATCH('hydrogen - supply'!B1198,overview!$A$4:$A$338,0),MATCH('hydrogen - supply'!A1207,overview!$B$3:$R$3,0))</f>
        <v>Pressure vessel for stationary storage</v>
      </c>
    </row>
    <row r="1208" spans="1:2" x14ac:dyDescent="0.2">
      <c r="A1208" t="s">
        <v>34</v>
      </c>
      <c r="B1208" s="45">
        <f>INDEX(overview!$B$4:$R$338,MATCH('hydrogen - supply'!B1198,overview!$A$4:$A$338,0),MATCH('hydrogen - supply'!A1208,overview!$B$3:$R$3,0))</f>
        <v>0</v>
      </c>
    </row>
    <row r="1209" spans="1:2" x14ac:dyDescent="0.2">
      <c r="A1209" t="s">
        <v>15</v>
      </c>
      <c r="B1209" s="45" t="str">
        <f>INDEX(overview!$B$4:$R$338,MATCH('hydrogen - supply'!B1198,overview!$A$4:$A$338,0),MATCH('hydrogen - supply'!A1209,overview!$B$3:$R$3,0))</f>
        <v>Auto-thermal reforming, with CCS</v>
      </c>
    </row>
    <row r="1210" spans="1:2" x14ac:dyDescent="0.2">
      <c r="A1210" t="s">
        <v>14</v>
      </c>
      <c r="B1210" s="45" t="str">
        <f>INDEX(overview!$B$4:$R$338,MATCH('hydrogen - supply'!B1198,overview!$A$4:$A$338,0),MATCH('hydrogen - supply'!A1210,overview!$B$3:$R$3,0))</f>
        <v>natural gas</v>
      </c>
    </row>
    <row r="1211" spans="1:2" x14ac:dyDescent="0.2">
      <c r="A1211" t="s">
        <v>26</v>
      </c>
      <c r="B1211" s="45" t="str">
        <f>INDEX(overview!$B$4:$R$338,MATCH('hydrogen - supply'!B1198,overview!$A$4:$A$338,0),MATCH('hydrogen - supply'!A1211,overview!$B$3:$R$3,0))</f>
        <v>Switzerland</v>
      </c>
    </row>
    <row r="1212" spans="1:2" x14ac:dyDescent="0.2">
      <c r="A1212" t="s">
        <v>29</v>
      </c>
      <c r="B1212" s="45">
        <f>INDEX(overview!$B$4:$R$338,MATCH('hydrogen - supply'!B1198,overview!$A$4:$A$338,0),MATCH('hydrogen - supply'!A1212,overview!$B$3:$R$3,0))</f>
        <v>0</v>
      </c>
    </row>
    <row r="1213" spans="1:2" x14ac:dyDescent="0.2">
      <c r="A1213" t="s">
        <v>45</v>
      </c>
      <c r="B1213" s="66">
        <f>VLOOKUP(B1205,parameters!$A$94:$C$96,2,0)</f>
        <v>0.01</v>
      </c>
    </row>
    <row r="1214" spans="1:2" x14ac:dyDescent="0.2">
      <c r="A1214" t="s">
        <v>1133</v>
      </c>
      <c r="B1214" s="49">
        <f>VLOOKUP(B1205,parameters!$A$94:$D$96,3,0)</f>
        <v>2.3E-2</v>
      </c>
    </row>
    <row r="1215" spans="1:2" x14ac:dyDescent="0.2">
      <c r="B1215" s="45"/>
    </row>
    <row r="1216" spans="1:2" x14ac:dyDescent="0.2">
      <c r="A1216" s="3" t="s">
        <v>57</v>
      </c>
      <c r="B1216" s="45"/>
    </row>
    <row r="1217" spans="1:22" x14ac:dyDescent="0.2">
      <c r="A1217" s="2" t="s">
        <v>58</v>
      </c>
      <c r="B1217" s="44" t="s">
        <v>59</v>
      </c>
      <c r="C1217" s="2" t="s">
        <v>55</v>
      </c>
      <c r="D1217" s="2" t="s">
        <v>60</v>
      </c>
      <c r="E1217" s="2" t="s">
        <v>52</v>
      </c>
      <c r="F1217" s="2" t="s">
        <v>61</v>
      </c>
      <c r="G1217" s="2" t="s">
        <v>54</v>
      </c>
      <c r="H1217" s="2" t="s">
        <v>87</v>
      </c>
      <c r="I1217" s="2" t="s">
        <v>51</v>
      </c>
      <c r="J1217" s="2" t="s">
        <v>138</v>
      </c>
      <c r="K1217" s="2" t="s">
        <v>136</v>
      </c>
      <c r="L1217" s="2" t="s">
        <v>221</v>
      </c>
      <c r="M1217" s="2" t="s">
        <v>379</v>
      </c>
      <c r="N1217" s="2" t="s">
        <v>1059</v>
      </c>
      <c r="O1217" s="2" t="s">
        <v>1060</v>
      </c>
      <c r="P1217" s="2" t="s">
        <v>1061</v>
      </c>
      <c r="Q1217" s="2" t="s">
        <v>1062</v>
      </c>
      <c r="R1217" s="2" t="s">
        <v>1063</v>
      </c>
      <c r="S1217" s="2" t="s">
        <v>1064</v>
      </c>
      <c r="T1217" s="2" t="s">
        <v>1065</v>
      </c>
      <c r="U1217" s="2" t="s">
        <v>380</v>
      </c>
      <c r="V1217" s="2" t="s">
        <v>1128</v>
      </c>
    </row>
    <row r="1218" spans="1:22" x14ac:dyDescent="0.2">
      <c r="A1218" t="str">
        <f>B1194</f>
        <v>hydrogen supply, transported by pipeline, produced by Auto-thermal reforming, with CCS using natural gas from Switzerland</v>
      </c>
      <c r="B1218" s="45">
        <v>1</v>
      </c>
      <c r="C1218" t="str">
        <f>B1200</f>
        <v>kilogram</v>
      </c>
      <c r="E1218" t="str">
        <f>B1197</f>
        <v>CH</v>
      </c>
      <c r="F1218" t="s">
        <v>62</v>
      </c>
      <c r="G1218" t="str">
        <f>B1199</f>
        <v>hydrogen, gaseous, from pipeline</v>
      </c>
      <c r="K1218" t="str">
        <f>B1194</f>
        <v>hydrogen supply, transported by pipeline, produced by Auto-thermal reforming, with CCS using natural gas from Switzerland</v>
      </c>
    </row>
    <row r="1219" spans="1:22" x14ac:dyDescent="0.2">
      <c r="A1219" t="str">
        <f>VLOOKUP(J1219,'dataset mapping'!$A$4:$E$69,2,0)</f>
        <v>hydrogen production, auto-thermal reforming of natural gas, with CCS (MDEA, 98% eff.), 25 bar</v>
      </c>
      <c r="B1219" s="53">
        <v>1</v>
      </c>
      <c r="C1219" t="str">
        <f>VLOOKUP(J1219,'dataset mapping'!$A$4:$E$69,5,0)</f>
        <v>kilogram</v>
      </c>
      <c r="E1219" t="str">
        <f>VLOOKUP(J1219,'dataset mapping'!$A$4:$E$69,4,0)</f>
        <v>CH</v>
      </c>
      <c r="F1219" t="s">
        <v>86</v>
      </c>
      <c r="G1219" t="str">
        <f>VLOOKUP(J1219,'dataset mapping'!$A$4:$E$69,3,0)</f>
        <v>hydrogen, gaseous, 25 bar</v>
      </c>
      <c r="H1219" t="s">
        <v>281</v>
      </c>
      <c r="I1219" t="s">
        <v>1054</v>
      </c>
      <c r="J1219" t="str">
        <f>B1209&amp;" - "&amp;B1211</f>
        <v>Auto-thermal reforming, with CCS - Switzerland</v>
      </c>
      <c r="K1219" t="str">
        <f>B1194</f>
        <v>hydrogen supply, transported by pipeline, produced by Auto-thermal reforming, with CCS using natural gas from Switzerland</v>
      </c>
      <c r="L1219">
        <f t="shared" ref="L1219:L1226" si="108">IF(OR(B1219&lt;0,B1219=0),1,2)</f>
        <v>2</v>
      </c>
      <c r="M1219">
        <f t="shared" ref="M1219:M1226" si="109">IF(L1219=2,LN(B1219),"")</f>
        <v>0</v>
      </c>
      <c r="N1219">
        <v>1.5</v>
      </c>
      <c r="O1219" s="15">
        <v>1.2</v>
      </c>
      <c r="P1219">
        <v>1.5</v>
      </c>
      <c r="Q1219">
        <v>1.1000000000000001</v>
      </c>
      <c r="R1219">
        <v>2</v>
      </c>
      <c r="S1219">
        <v>1.2</v>
      </c>
      <c r="T1219">
        <v>1.05</v>
      </c>
      <c r="U1219">
        <f t="shared" ref="U1219:U1226" si="110">LN(SQRT(EXP(
SQRT(
+POWER(LN(N1219),2)
+POWER(LN(O1219),2)
+POWER(LN(P1219),2)
+POWER(LN(Q1219),2)
+POWER(LN(R1219),2)
+POWER(LN(S1219),2)
+POWER(LN(T1219),2)
)
)))</f>
        <v>0.47095746419981693</v>
      </c>
    </row>
    <row r="1220" spans="1:22" x14ac:dyDescent="0.2">
      <c r="A1220" t="str">
        <f>VLOOKUP(J1220,'dataset mapping'!$A$4:$E$69,2,0)</f>
        <v>hydrogen production, auto-thermal reforming of natural gas, with CCS (MDEA, 98% eff.), 25 bar</v>
      </c>
      <c r="B1220" s="53">
        <f>(B1219*B1213)+(B1214*B1219)</f>
        <v>3.3000000000000002E-2</v>
      </c>
      <c r="C1220" t="str">
        <f>VLOOKUP(J1220,'dataset mapping'!$A$4:$E$69,5,0)</f>
        <v>kilogram</v>
      </c>
      <c r="E1220" t="str">
        <f>VLOOKUP(J1220,'dataset mapping'!$A$4:$E$69,4,0)</f>
        <v>CH</v>
      </c>
      <c r="F1220" t="s">
        <v>86</v>
      </c>
      <c r="G1220" t="str">
        <f>VLOOKUP(J1220,'dataset mapping'!$A$4:$E$69,3,0)</f>
        <v>hydrogen, gaseous, 25 bar</v>
      </c>
      <c r="H1220" t="s">
        <v>76</v>
      </c>
      <c r="I1220" t="s">
        <v>1054</v>
      </c>
      <c r="J1220" t="str">
        <f>B1209&amp;" - "&amp;B1211</f>
        <v>Auto-thermal reforming, with CCS - Switzerland</v>
      </c>
      <c r="K1220" t="str">
        <f>B1195</f>
        <v>This dataset represents the supply of 1 kilogram of hydrogen. The hydrogen is transported by pipeline over 500 km from regional storage.  The hydrogen is produced by  Auto-thermal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220">
        <f t="shared" si="108"/>
        <v>2</v>
      </c>
      <c r="M1220">
        <f t="shared" si="109"/>
        <v>-3.4112477175156566</v>
      </c>
      <c r="N1220">
        <v>1.5</v>
      </c>
      <c r="O1220" s="15">
        <v>1.2</v>
      </c>
      <c r="P1220">
        <v>1.5</v>
      </c>
      <c r="Q1220">
        <v>1.1000000000000001</v>
      </c>
      <c r="R1220">
        <v>2</v>
      </c>
      <c r="S1220">
        <v>1.2</v>
      </c>
      <c r="T1220">
        <v>1.05</v>
      </c>
      <c r="U1220">
        <f t="shared" si="110"/>
        <v>0.47095746419981693</v>
      </c>
    </row>
    <row r="1221" spans="1:22" x14ac:dyDescent="0.2">
      <c r="A1221" t="str">
        <f>VLOOKUP(J1221,'dataset mapping'!$A$4:$E$69,2,0)</f>
        <v>distribution pipeline for hydrogen, dedicated hydrogen pipeline</v>
      </c>
      <c r="B1221" s="45">
        <f>0.000000000265*SUM(B1219:B1220)*B1206*0.86</f>
        <v>1.1771035E-7</v>
      </c>
      <c r="C1221" t="str">
        <f>VLOOKUP(J1221,'dataset mapping'!$A$4:$E$69,5,0)</f>
        <v>kilometer</v>
      </c>
      <c r="E1221" t="str">
        <f>VLOOKUP(J1221,'dataset mapping'!$A$4:$E$69,4,0)</f>
        <v>CH</v>
      </c>
      <c r="F1221" t="s">
        <v>86</v>
      </c>
      <c r="G1221" t="str">
        <f>VLOOKUP(J1221,'dataset mapping'!$A$4:$E$69,3,0)</f>
        <v>pipeline, for hydrogen distribution</v>
      </c>
      <c r="H1221" t="s">
        <v>88</v>
      </c>
      <c r="I1221" t="s">
        <v>1052</v>
      </c>
      <c r="J1221" t="s">
        <v>218</v>
      </c>
      <c r="K1221" t="str">
        <f>B1194</f>
        <v>hydrogen supply, transported by pipeline, produced by Auto-thermal reforming, with CCS using natural gas from Switzerland</v>
      </c>
      <c r="L1221">
        <f t="shared" si="108"/>
        <v>2</v>
      </c>
      <c r="M1221">
        <f t="shared" si="109"/>
        <v>-15.955038891117216</v>
      </c>
      <c r="N1221">
        <v>1.5</v>
      </c>
      <c r="O1221" s="15">
        <v>1.2</v>
      </c>
      <c r="P1221">
        <v>1.5</v>
      </c>
      <c r="Q1221">
        <v>1.1000000000000001</v>
      </c>
      <c r="R1221">
        <v>2</v>
      </c>
      <c r="S1221">
        <v>1.2</v>
      </c>
      <c r="T1221">
        <v>3</v>
      </c>
      <c r="U1221">
        <f t="shared" si="110"/>
        <v>0.72314801614797197</v>
      </c>
    </row>
    <row r="1222" spans="1:22" x14ac:dyDescent="0.2">
      <c r="A1222" t="str">
        <f>VLOOKUP(J1222,'dataset mapping'!$A$4:$E$69,2,0)</f>
        <v>transmission pipeline for hydrogen, dedicated hydrogen pipeline</v>
      </c>
      <c r="B1222" s="45">
        <f>0.000000000265*SUM(B1219:B1220)*B1206*0.14</f>
        <v>1.9162150000000001E-8</v>
      </c>
      <c r="C1222" t="str">
        <f>VLOOKUP(J1222,'dataset mapping'!$A$4:$E$69,5,0)</f>
        <v>kilometer</v>
      </c>
      <c r="E1222" t="str">
        <f>VLOOKUP(J1222,'dataset mapping'!$A$4:$E$69,4,0)</f>
        <v>CH</v>
      </c>
      <c r="F1222" t="s">
        <v>86</v>
      </c>
      <c r="G1222" t="str">
        <f>VLOOKUP(J1222,'dataset mapping'!$A$4:$E$69,3,0)</f>
        <v>pipeline, for hydrogen transmission</v>
      </c>
      <c r="H1222" t="s">
        <v>88</v>
      </c>
      <c r="I1222" t="s">
        <v>1052</v>
      </c>
      <c r="J1222" t="s">
        <v>219</v>
      </c>
      <c r="K1222" t="str">
        <f>B1194</f>
        <v>hydrogen supply, transported by pipeline, produced by Auto-thermal reforming, with CCS using natural gas from Switzerland</v>
      </c>
      <c r="L1222">
        <f t="shared" si="108"/>
        <v>2</v>
      </c>
      <c r="M1222">
        <f t="shared" si="109"/>
        <v>-17.770328857755466</v>
      </c>
      <c r="N1222">
        <v>1.5</v>
      </c>
      <c r="O1222" s="15">
        <v>1.2</v>
      </c>
      <c r="P1222">
        <v>1.5</v>
      </c>
      <c r="Q1222">
        <v>1.1000000000000001</v>
      </c>
      <c r="R1222">
        <v>2</v>
      </c>
      <c r="S1222">
        <v>1.2</v>
      </c>
      <c r="T1222">
        <v>3</v>
      </c>
      <c r="U1222">
        <f t="shared" si="110"/>
        <v>0.72314801614797197</v>
      </c>
    </row>
    <row r="1223" spans="1:22" x14ac:dyDescent="0.2">
      <c r="A1223" t="s">
        <v>1038</v>
      </c>
      <c r="B1223" s="53">
        <f>SUM(B1219:B1220)</f>
        <v>1.0329999999999999</v>
      </c>
      <c r="C1223" t="str">
        <f>VLOOKUP(J1223,'dataset mapping'!$A$4:$E$69,5,0)</f>
        <v>kilogram</v>
      </c>
      <c r="E1223" t="s">
        <v>64</v>
      </c>
      <c r="F1223" t="s">
        <v>86</v>
      </c>
      <c r="G1223" t="s">
        <v>1039</v>
      </c>
      <c r="H1223" t="s">
        <v>88</v>
      </c>
      <c r="I1223" t="s">
        <v>1040</v>
      </c>
      <c r="J1223" t="s">
        <v>229</v>
      </c>
      <c r="K1223" t="str">
        <f>B1194</f>
        <v>hydrogen supply, transported by pipeline, produced by Auto-thermal reforming, with CCS using natural gas from Switzerland</v>
      </c>
      <c r="L1223">
        <f t="shared" si="108"/>
        <v>2</v>
      </c>
      <c r="M1223">
        <f t="shared" si="109"/>
        <v>3.2467190137501413E-2</v>
      </c>
      <c r="N1223">
        <v>1.5</v>
      </c>
      <c r="O1223" s="15">
        <v>1.2</v>
      </c>
      <c r="P1223">
        <v>1.5</v>
      </c>
      <c r="Q1223">
        <v>1.1000000000000001</v>
      </c>
      <c r="R1223">
        <v>2</v>
      </c>
      <c r="S1223">
        <v>1.2</v>
      </c>
      <c r="T1223">
        <v>3</v>
      </c>
      <c r="U1223">
        <f t="shared" si="110"/>
        <v>0.72314801614797197</v>
      </c>
    </row>
    <row r="1224" spans="1:22" x14ac:dyDescent="0.2">
      <c r="A1224" t="s">
        <v>130</v>
      </c>
      <c r="B1224" s="52">
        <f>(VLOOKUP(B1209,parameters!$A$71:$B$78,2,0)+VLOOKUP(B1205,parameters!$A$82:$B$84,2,0)+VLOOKUP(B1205,parameters!$A$87:$B$89,2,0))*SUM(B1219:B1220)</f>
        <v>2.0246799999999996</v>
      </c>
      <c r="C1224" t="s">
        <v>92</v>
      </c>
      <c r="E1224" t="s">
        <v>64</v>
      </c>
      <c r="F1224" t="s">
        <v>86</v>
      </c>
      <c r="G1224" t="s">
        <v>93</v>
      </c>
      <c r="H1224" t="s">
        <v>78</v>
      </c>
      <c r="I1224" t="s">
        <v>1053</v>
      </c>
      <c r="J1224" t="s">
        <v>67</v>
      </c>
      <c r="K1224" t="str">
        <f>B1194</f>
        <v>hydrogen supply, transported by pipeline, produced by Auto-thermal reforming, with CCS using natural gas from Switzerland</v>
      </c>
      <c r="L1224">
        <f t="shared" si="108"/>
        <v>2</v>
      </c>
      <c r="M1224">
        <f t="shared" si="109"/>
        <v>0.70541166337992711</v>
      </c>
      <c r="N1224">
        <v>1.5</v>
      </c>
      <c r="O1224" s="15">
        <v>1.2</v>
      </c>
      <c r="P1224">
        <v>1.5</v>
      </c>
      <c r="Q1224">
        <v>1.1000000000000001</v>
      </c>
      <c r="R1224">
        <v>2</v>
      </c>
      <c r="S1224">
        <v>1.2</v>
      </c>
      <c r="T1224">
        <v>1.05</v>
      </c>
      <c r="U1224">
        <f t="shared" si="110"/>
        <v>0.47095746419981693</v>
      </c>
    </row>
    <row r="1225" spans="1:22" x14ac:dyDescent="0.2">
      <c r="A1225" t="s">
        <v>130</v>
      </c>
      <c r="B1225" s="52">
        <f>0.6*SUM(B1219:B1220)*(B1206/250)</f>
        <v>1.2395999999999998</v>
      </c>
      <c r="C1225" t="s">
        <v>92</v>
      </c>
      <c r="E1225" t="s">
        <v>64</v>
      </c>
      <c r="F1225" t="s">
        <v>86</v>
      </c>
      <c r="G1225" t="s">
        <v>93</v>
      </c>
      <c r="H1225" t="s">
        <v>78</v>
      </c>
      <c r="I1225" t="s">
        <v>1135</v>
      </c>
      <c r="J1225" t="s">
        <v>67</v>
      </c>
      <c r="K1225" t="str">
        <f>B1195</f>
        <v>This dataset represents the supply of 1 kilogram of hydrogen. The hydrogen is transported by pipeline over 500 km from regional storage.  The hydrogen is produced by  Auto-thermal reforming, with CCS,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225">
        <f t="shared" si="108"/>
        <v>2</v>
      </c>
      <c r="M1225">
        <f t="shared" si="109"/>
        <v>0.21478874693145597</v>
      </c>
      <c r="N1225">
        <v>1.5</v>
      </c>
      <c r="O1225" s="15">
        <v>1.2</v>
      </c>
      <c r="P1225">
        <v>1.5</v>
      </c>
      <c r="Q1225">
        <v>1.1000000000000001</v>
      </c>
      <c r="R1225">
        <v>2</v>
      </c>
      <c r="S1225">
        <v>1.2</v>
      </c>
      <c r="T1225">
        <v>1.05</v>
      </c>
      <c r="U1225">
        <f t="shared" si="110"/>
        <v>0.47095746419981693</v>
      </c>
    </row>
    <row r="1226" spans="1:22" x14ac:dyDescent="0.2">
      <c r="A1226" t="s">
        <v>7</v>
      </c>
      <c r="B1226" s="53">
        <f>B1220</f>
        <v>3.3000000000000002E-2</v>
      </c>
      <c r="C1226" t="s">
        <v>56</v>
      </c>
      <c r="D1226" t="s">
        <v>100</v>
      </c>
      <c r="F1226" t="s">
        <v>99</v>
      </c>
      <c r="H1226" t="s">
        <v>131</v>
      </c>
      <c r="I1226" t="s">
        <v>160</v>
      </c>
      <c r="K1226" t="str">
        <f>B1194</f>
        <v>hydrogen supply, transported by pipeline, produced by Auto-thermal reforming, with CCS using natural gas from Switzerland</v>
      </c>
      <c r="L1226">
        <f t="shared" si="108"/>
        <v>2</v>
      </c>
      <c r="M1226">
        <f t="shared" si="109"/>
        <v>-3.4112477175156566</v>
      </c>
      <c r="N1226">
        <v>1.5</v>
      </c>
      <c r="O1226" s="15">
        <v>1.2</v>
      </c>
      <c r="P1226">
        <v>1.5</v>
      </c>
      <c r="Q1226">
        <v>1.1000000000000001</v>
      </c>
      <c r="R1226">
        <v>2</v>
      </c>
      <c r="S1226">
        <v>1.2</v>
      </c>
      <c r="T1226">
        <v>1.05</v>
      </c>
      <c r="U1226">
        <f t="shared" si="110"/>
        <v>0.47095746419981693</v>
      </c>
    </row>
    <row r="1227" spans="1:22" x14ac:dyDescent="0.2">
      <c r="B1227" s="45"/>
    </row>
    <row r="1228" spans="1:22" x14ac:dyDescent="0.2">
      <c r="A1228" s="2" t="s">
        <v>50</v>
      </c>
      <c r="B1228" s="44" t="str">
        <f>"hydrogen supply, transported by "&amp;B1239&amp;", produced by "&amp;B1243&amp;" using "&amp;B1244&amp;" from "&amp;B1245</f>
        <v>hydrogen supply, transported by truck, produced by Auto-thermal reforming, with CCS using natural gas from Switzerland</v>
      </c>
    </row>
    <row r="1229" spans="1:22" x14ac:dyDescent="0.2">
      <c r="A1229" t="s">
        <v>51</v>
      </c>
      <c r="B1229" s="45" t="str">
        <f>"This dataset represents the supply of 1 kilogram of hydrogen. The hydrogen is transported by "&amp;B1239&amp;" over "&amp;B1240&amp;" km from regional storage. "&amp;" The "&amp;B1238&amp;" is produced by  "&amp;B1243&amp;", with "&amp;B1244&amp;" from "&amp;B1245&amp;" as feedstock. "&amp;A1247&amp;": "&amp;(B1247*100)&amp;"%. "&amp;A1248&amp;": "&amp;(B1248*100)&amp;".  For more information, refer to: "&amp;B1230</f>
        <v>This dataset represents the supply of 1 kilogram of hydrogen. The hydrogen is transported by truck over 200 km from regional storage.  The hydrogen is produced by  Auto-thermal reforming, with CCS,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230" spans="1:22" x14ac:dyDescent="0.2">
      <c r="A1230" t="s">
        <v>63</v>
      </c>
      <c r="B1230" s="45" t="s">
        <v>1223</v>
      </c>
    </row>
    <row r="1231" spans="1:22" x14ac:dyDescent="0.2">
      <c r="A1231" t="s">
        <v>52</v>
      </c>
      <c r="B1231" s="45" t="s">
        <v>64</v>
      </c>
    </row>
    <row r="1232" spans="1:22" x14ac:dyDescent="0.2">
      <c r="A1232" t="s">
        <v>48</v>
      </c>
      <c r="B1232" s="45">
        <v>149</v>
      </c>
    </row>
    <row r="1233" spans="1:2" x14ac:dyDescent="0.2">
      <c r="A1233" t="s">
        <v>54</v>
      </c>
      <c r="B1233" s="45" t="s">
        <v>1137</v>
      </c>
    </row>
    <row r="1234" spans="1:2" x14ac:dyDescent="0.2">
      <c r="A1234" t="s">
        <v>55</v>
      </c>
      <c r="B1234" s="45" t="s">
        <v>56</v>
      </c>
    </row>
    <row r="1235" spans="1:2" x14ac:dyDescent="0.2">
      <c r="A1235" t="s">
        <v>0</v>
      </c>
      <c r="B1235" s="45" t="str">
        <f>INDEX(overview!$B$4:$R$338,MATCH('hydrogen - supply'!B1232,overview!$A$4:$A$338,0),MATCH('hydrogen - supply'!A1235,overview!$B$3:$R$3,0))</f>
        <v>Switzerland</v>
      </c>
    </row>
    <row r="1236" spans="1:2" x14ac:dyDescent="0.2">
      <c r="A1236" t="s">
        <v>1</v>
      </c>
      <c r="B1236" s="45">
        <f>INDEX(overview!$B$4:$R$338,MATCH('hydrogen - supply'!B1232,overview!$A$4:$A$338,0),MATCH('hydrogen - supply'!A1236,overview!$B$3:$R$3,0))</f>
        <v>2020</v>
      </c>
    </row>
    <row r="1237" spans="1:2" x14ac:dyDescent="0.2">
      <c r="A1237" t="s">
        <v>2</v>
      </c>
      <c r="B1237" s="45" t="s">
        <v>1130</v>
      </c>
    </row>
    <row r="1238" spans="1:2" x14ac:dyDescent="0.2">
      <c r="A1238" t="s">
        <v>5</v>
      </c>
      <c r="B1238" s="45" t="str">
        <f>INDEX(overview!$B$4:$R$338,MATCH('hydrogen - supply'!B1232,overview!$A$4:$A$338,0),MATCH('hydrogen - supply'!A1238,overview!$B$3:$R$3,0))</f>
        <v>hydrogen</v>
      </c>
    </row>
    <row r="1239" spans="1:2" x14ac:dyDescent="0.2">
      <c r="A1239" t="s">
        <v>4</v>
      </c>
      <c r="B1239" s="45" t="str">
        <f>INDEX(overview!$B$4:$R$338,MATCH('hydrogen - supply'!B1232,overview!$A$4:$A$338,0),MATCH('hydrogen - supply'!A1239,overview!$B$3:$R$3,0))</f>
        <v>truck</v>
      </c>
    </row>
    <row r="1240" spans="1:2" x14ac:dyDescent="0.2">
      <c r="A1240" t="s">
        <v>38</v>
      </c>
      <c r="B1240" s="45">
        <f>INDEX(overview!$B$4:$R$338,MATCH('hydrogen - supply'!B1232,overview!$A$4:$A$338,0),MATCH('hydrogen - supply'!A1240,overview!$B$3:$R$3,0))</f>
        <v>200</v>
      </c>
    </row>
    <row r="1241" spans="1:2" x14ac:dyDescent="0.2">
      <c r="A1241" t="s">
        <v>12</v>
      </c>
      <c r="B1241" s="45" t="str">
        <f>INDEX(overview!$B$4:$R$338,MATCH('hydrogen - supply'!B1232,overview!$A$4:$A$338,0),MATCH('hydrogen - supply'!A1241,overview!$B$3:$R$3,0))</f>
        <v>Pressure vessel for stationary storage</v>
      </c>
    </row>
    <row r="1242" spans="1:2" x14ac:dyDescent="0.2">
      <c r="A1242" t="s">
        <v>34</v>
      </c>
      <c r="B1242" s="45">
        <f>INDEX(overview!$B$4:$R$338,MATCH('hydrogen - supply'!B1232,overview!$A$4:$A$338,0),MATCH('hydrogen - supply'!A1242,overview!$B$3:$R$3,0))</f>
        <v>0</v>
      </c>
    </row>
    <row r="1243" spans="1:2" x14ac:dyDescent="0.2">
      <c r="A1243" t="s">
        <v>15</v>
      </c>
      <c r="B1243" s="45" t="str">
        <f>INDEX(overview!$B$4:$R$338,MATCH('hydrogen - supply'!B1232,overview!$A$4:$A$338,0),MATCH('hydrogen - supply'!A1243,overview!$B$3:$R$3,0))</f>
        <v>Auto-thermal reforming, with CCS</v>
      </c>
    </row>
    <row r="1244" spans="1:2" x14ac:dyDescent="0.2">
      <c r="A1244" t="s">
        <v>14</v>
      </c>
      <c r="B1244" s="45" t="str">
        <f>INDEX(overview!$B$4:$R$338,MATCH('hydrogen - supply'!B1232,overview!$A$4:$A$338,0),MATCH('hydrogen - supply'!A1244,overview!$B$3:$R$3,0))</f>
        <v>natural gas</v>
      </c>
    </row>
    <row r="1245" spans="1:2" x14ac:dyDescent="0.2">
      <c r="A1245" t="s">
        <v>26</v>
      </c>
      <c r="B1245" s="45" t="str">
        <f>INDEX(overview!$B$4:$R$338,MATCH('hydrogen - supply'!B1232,overview!$A$4:$A$338,0),MATCH('hydrogen - supply'!A1245,overview!$B$3:$R$3,0))</f>
        <v>Switzerland</v>
      </c>
    </row>
    <row r="1246" spans="1:2" x14ac:dyDescent="0.2">
      <c r="A1246" t="s">
        <v>29</v>
      </c>
      <c r="B1246" s="45">
        <f>INDEX(overview!$B$4:$R$338,MATCH('hydrogen - supply'!B1232,overview!$A$4:$A$338,0),MATCH('hydrogen - supply'!A1246,overview!$B$3:$R$3,0))</f>
        <v>0</v>
      </c>
    </row>
    <row r="1247" spans="1:2" x14ac:dyDescent="0.2">
      <c r="A1247" t="s">
        <v>45</v>
      </c>
      <c r="B1247" s="66">
        <f>VLOOKUP(B1239,parameters!$A$94:$C$96,2,0)</f>
        <v>5.0000000000000001E-3</v>
      </c>
    </row>
    <row r="1248" spans="1:2" x14ac:dyDescent="0.2">
      <c r="A1248" t="s">
        <v>1133</v>
      </c>
      <c r="B1248" s="49">
        <f>VLOOKUP(B1239,parameters!$A$94:$D$96,3,0)</f>
        <v>2.3E-2</v>
      </c>
    </row>
    <row r="1249" spans="1:22" x14ac:dyDescent="0.2">
      <c r="B1249" s="45"/>
    </row>
    <row r="1250" spans="1:22" x14ac:dyDescent="0.2">
      <c r="A1250" s="3" t="s">
        <v>57</v>
      </c>
      <c r="B1250" s="45"/>
    </row>
    <row r="1251" spans="1:22" x14ac:dyDescent="0.2">
      <c r="A1251" s="2" t="s">
        <v>58</v>
      </c>
      <c r="B1251" s="44" t="s">
        <v>59</v>
      </c>
      <c r="C1251" s="2" t="s">
        <v>55</v>
      </c>
      <c r="D1251" s="2" t="s">
        <v>60</v>
      </c>
      <c r="E1251" s="2" t="s">
        <v>52</v>
      </c>
      <c r="F1251" s="2" t="s">
        <v>61</v>
      </c>
      <c r="G1251" s="2" t="s">
        <v>54</v>
      </c>
      <c r="H1251" s="2" t="s">
        <v>87</v>
      </c>
      <c r="I1251" s="2" t="s">
        <v>51</v>
      </c>
      <c r="J1251" s="2" t="s">
        <v>138</v>
      </c>
      <c r="K1251" s="2" t="s">
        <v>136</v>
      </c>
      <c r="L1251" s="2" t="s">
        <v>221</v>
      </c>
      <c r="M1251" s="2" t="s">
        <v>379</v>
      </c>
      <c r="N1251" s="2" t="s">
        <v>1059</v>
      </c>
      <c r="O1251" s="2" t="s">
        <v>1060</v>
      </c>
      <c r="P1251" s="2" t="s">
        <v>1061</v>
      </c>
      <c r="Q1251" s="2" t="s">
        <v>1062</v>
      </c>
      <c r="R1251" s="2" t="s">
        <v>1063</v>
      </c>
      <c r="S1251" s="2" t="s">
        <v>1064</v>
      </c>
      <c r="T1251" s="2" t="s">
        <v>1065</v>
      </c>
      <c r="U1251" s="2" t="s">
        <v>380</v>
      </c>
      <c r="V1251" s="2" t="s">
        <v>1128</v>
      </c>
    </row>
    <row r="1252" spans="1:22" x14ac:dyDescent="0.2">
      <c r="A1252" t="str">
        <f>B1228</f>
        <v>hydrogen supply, transported by truck, produced by Auto-thermal reforming, with CCS using natural gas from Switzerland</v>
      </c>
      <c r="B1252" s="45">
        <v>1</v>
      </c>
      <c r="C1252" t="str">
        <f>B1234</f>
        <v>kilogram</v>
      </c>
      <c r="E1252" t="str">
        <f>B1231</f>
        <v>CH</v>
      </c>
      <c r="F1252" t="s">
        <v>62</v>
      </c>
      <c r="G1252" t="str">
        <f>B1233</f>
        <v>hydrogen, gaseous, from truck</v>
      </c>
      <c r="K1252" t="str">
        <f>B1228</f>
        <v>hydrogen supply, transported by truck, produced by Auto-thermal reforming, with CCS using natural gas from Switzerland</v>
      </c>
    </row>
    <row r="1253" spans="1:22" x14ac:dyDescent="0.2">
      <c r="A1253" t="str">
        <f>VLOOKUP(J1253,'dataset mapping'!$A$4:$E$69,2,0)</f>
        <v>hydrogen production, auto-thermal reforming of natural gas, with CCS (MDEA, 98% eff.), 25 bar</v>
      </c>
      <c r="B1253" s="53">
        <v>1</v>
      </c>
      <c r="C1253" t="str">
        <f>VLOOKUP(J1253,'dataset mapping'!$A$4:$E$69,5,0)</f>
        <v>kilogram</v>
      </c>
      <c r="E1253" t="str">
        <f>VLOOKUP(J1253,'dataset mapping'!$A$4:$E$69,4,0)</f>
        <v>CH</v>
      </c>
      <c r="F1253" t="s">
        <v>86</v>
      </c>
      <c r="G1253" t="str">
        <f>VLOOKUP(J1253,'dataset mapping'!$A$4:$E$69,3,0)</f>
        <v>hydrogen, gaseous, 25 bar</v>
      </c>
      <c r="H1253" t="s">
        <v>281</v>
      </c>
      <c r="I1253" t="s">
        <v>1054</v>
      </c>
      <c r="J1253" t="str">
        <f>B1209&amp;" - "&amp;B1211</f>
        <v>Auto-thermal reforming, with CCS - Switzerland</v>
      </c>
      <c r="K1253" t="str">
        <f>B1228</f>
        <v>hydrogen supply, transported by truck, produced by Auto-thermal reforming, with CCS using natural gas from Switzerland</v>
      </c>
      <c r="L1253">
        <f>IF(OR(B1253&lt;0,B1253=0),1,2)</f>
        <v>2</v>
      </c>
      <c r="M1253">
        <f>IF(L1253=2,LN(B1253),"")</f>
        <v>0</v>
      </c>
      <c r="N1253">
        <v>1.5</v>
      </c>
      <c r="O1253" s="15">
        <v>1.2</v>
      </c>
      <c r="P1253">
        <v>1.5</v>
      </c>
      <c r="Q1253">
        <v>1.1000000000000001</v>
      </c>
      <c r="R1253">
        <v>2</v>
      </c>
      <c r="S1253">
        <v>1.2</v>
      </c>
      <c r="T1253">
        <v>1.05</v>
      </c>
      <c r="U1253">
        <f>LN(SQRT(EXP(
SQRT(
+POWER(LN(N1253),2)
+POWER(LN(O1253),2)
+POWER(LN(P1253),2)
+POWER(LN(Q1253),2)
+POWER(LN(R1253),2)
+POWER(LN(S1253),2)
+POWER(LN(T1253),2)
)
)))</f>
        <v>0.47095746419981693</v>
      </c>
    </row>
    <row r="1254" spans="1:22" x14ac:dyDescent="0.2">
      <c r="A1254" t="str">
        <f>VLOOKUP(J1254,'dataset mapping'!$A$4:$E$69,2,0)</f>
        <v>hydrogen production, auto-thermal reforming of natural gas, with CCS (MDEA, 98% eff.), 25 bar</v>
      </c>
      <c r="B1254" s="53">
        <f>(B1253*B1247)+(B1248*B1253)</f>
        <v>2.8000000000000001E-2</v>
      </c>
      <c r="C1254" t="str">
        <f>VLOOKUP(J1254,'dataset mapping'!$A$4:$E$69,5,0)</f>
        <v>kilogram</v>
      </c>
      <c r="E1254" t="str">
        <f>VLOOKUP(J1254,'dataset mapping'!$A$4:$E$69,4,0)</f>
        <v>CH</v>
      </c>
      <c r="F1254" t="s">
        <v>86</v>
      </c>
      <c r="G1254" t="str">
        <f>VLOOKUP(J1254,'dataset mapping'!$A$4:$E$69,3,0)</f>
        <v>hydrogen, gaseous, 25 bar</v>
      </c>
      <c r="H1254" t="s">
        <v>76</v>
      </c>
      <c r="I1254" t="s">
        <v>1054</v>
      </c>
      <c r="J1254" t="str">
        <f>B1209&amp;" - "&amp;B1211</f>
        <v>Auto-thermal reforming, with CCS - Switzerland</v>
      </c>
      <c r="K1254" t="str">
        <f>B1229</f>
        <v>This dataset represents the supply of 1 kilogram of hydrogen. The hydrogen is transported by truck over 200 km from regional storage.  The hydrogen is produced by  Auto-thermal reforming, with CCS,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254">
        <f>IF(OR(B1254&lt;0,B1254=0),1,2)</f>
        <v>2</v>
      </c>
      <c r="M1254">
        <f>IF(L1254=2,LN(B1254),"")</f>
        <v>-3.575550768806933</v>
      </c>
      <c r="N1254">
        <v>1.5</v>
      </c>
      <c r="O1254" s="15">
        <v>1.2</v>
      </c>
      <c r="P1254">
        <v>1.5</v>
      </c>
      <c r="Q1254">
        <v>1.1000000000000001</v>
      </c>
      <c r="R1254">
        <v>2</v>
      </c>
      <c r="S1254">
        <v>1.2</v>
      </c>
      <c r="T1254">
        <v>1.05</v>
      </c>
      <c r="U1254">
        <f>LN(SQRT(EXP(
SQRT(
+POWER(LN(N1254),2)
+POWER(LN(O1254),2)
+POWER(LN(P1254),2)
+POWER(LN(Q1254),2)
+POWER(LN(R1254),2)
+POWER(LN(S1254),2)
+POWER(LN(T1254),2)
)
)))</f>
        <v>0.47095746419981693</v>
      </c>
    </row>
    <row r="1255" spans="1:22" x14ac:dyDescent="0.2">
      <c r="A1255" t="str">
        <f>VLOOKUP(J1255,'dataset mapping'!$A$4:$E$69,2,0)</f>
        <v>market for transport, freight train</v>
      </c>
      <c r="B1255" s="45">
        <f>SUM(B1253:B1254)/1000*B1240</f>
        <v>0.2056</v>
      </c>
      <c r="C1255" t="str">
        <f>VLOOKUP(J1255,'dataset mapping'!$A$4:$E$69,5,0)</f>
        <v>ton kilometer</v>
      </c>
      <c r="E1255" t="str">
        <f>VLOOKUP(J1255,'dataset mapping'!$A$4:$E$69,4,0)</f>
        <v>CH</v>
      </c>
      <c r="F1255" t="s">
        <v>86</v>
      </c>
      <c r="G1255" t="str">
        <f>VLOOKUP(J1255,'dataset mapping'!$A$4:$E$69,3,0)</f>
        <v>transport, freight train</v>
      </c>
      <c r="H1255" t="s">
        <v>88</v>
      </c>
      <c r="I1255" t="s">
        <v>1052</v>
      </c>
      <c r="J1255" t="s">
        <v>295</v>
      </c>
      <c r="K1255" t="str">
        <f>B1211</f>
        <v>Switzerland</v>
      </c>
      <c r="L1255">
        <f t="shared" ref="L1255" si="111">IF(OR(B1255&lt;0,B1255=0),1,2)</f>
        <v>2</v>
      </c>
      <c r="M1255">
        <f t="shared" ref="M1255" si="112">IF(L1255=2,LN(B1255),"")</f>
        <v>-1.5818227454011269</v>
      </c>
      <c r="N1255">
        <v>1.5</v>
      </c>
      <c r="O1255" s="15">
        <v>1.2</v>
      </c>
      <c r="P1255">
        <v>1.5</v>
      </c>
      <c r="Q1255">
        <v>1.1000000000000001</v>
      </c>
      <c r="R1255">
        <v>2</v>
      </c>
      <c r="S1255">
        <v>1.2</v>
      </c>
      <c r="T1255">
        <v>2</v>
      </c>
      <c r="U1255">
        <f t="shared" ref="U1255" si="113">LN(SQRT(EXP(
SQRT(
+POWER(LN(N1255),2)
+POWER(LN(O1255),2)
+POWER(LN(P1255),2)
+POWER(LN(Q1255),2)
+POWER(LN(R1255),2)
+POWER(LN(S1255),2)
+POWER(LN(T1255),2)
)
)))</f>
        <v>0.58422518478336083</v>
      </c>
    </row>
    <row r="1256" spans="1:22" x14ac:dyDescent="0.2">
      <c r="A1256" t="s">
        <v>1038</v>
      </c>
      <c r="B1256" s="53">
        <f>SUM(B1253:B1254)</f>
        <v>1.028</v>
      </c>
      <c r="C1256" t="str">
        <f>VLOOKUP(J1256,'dataset mapping'!$A$4:$E$69,5,0)</f>
        <v>kilogram</v>
      </c>
      <c r="E1256" t="s">
        <v>64</v>
      </c>
      <c r="F1256" t="s">
        <v>86</v>
      </c>
      <c r="G1256" t="s">
        <v>1039</v>
      </c>
      <c r="H1256" t="s">
        <v>88</v>
      </c>
      <c r="I1256" t="s">
        <v>1040</v>
      </c>
      <c r="J1256" t="s">
        <v>229</v>
      </c>
      <c r="K1256" t="str">
        <f>B1228</f>
        <v>hydrogen supply, transported by truck, produced by Auto-thermal reforming, with CCS using natural gas from Switzerland</v>
      </c>
      <c r="L1256">
        <f>IF(OR(B1256&lt;0,B1256=0),1,2)</f>
        <v>2</v>
      </c>
      <c r="M1256">
        <f>IF(L1256=2,LN(B1256),"")</f>
        <v>2.7615167032973391E-2</v>
      </c>
      <c r="N1256">
        <v>1.5</v>
      </c>
      <c r="O1256" s="15">
        <v>1.2</v>
      </c>
      <c r="P1256">
        <v>1.5</v>
      </c>
      <c r="Q1256">
        <v>1.1000000000000001</v>
      </c>
      <c r="R1256">
        <v>2</v>
      </c>
      <c r="S1256">
        <v>1.2</v>
      </c>
      <c r="T1256">
        <v>3</v>
      </c>
      <c r="U1256">
        <f>LN(SQRT(EXP(
SQRT(
+POWER(LN(N1256),2)
+POWER(LN(O1256),2)
+POWER(LN(P1256),2)
+POWER(LN(Q1256),2)
+POWER(LN(R1256),2)
+POWER(LN(S1256),2)
+POWER(LN(T1256),2)
)
)))</f>
        <v>0.72314801614797197</v>
      </c>
    </row>
    <row r="1257" spans="1:22" x14ac:dyDescent="0.2">
      <c r="A1257" t="s">
        <v>130</v>
      </c>
      <c r="B1257" s="52">
        <f>(VLOOKUP(B1243,parameters!$A$71:$B$78,2,0)+VLOOKUP(B1239,parameters!$A$82:$B$84,2,0)+VLOOKUP(B1239,parameters!$A$87:$B$89,2,0))*SUM(B1253:B1254)</f>
        <v>3.5774400000000006</v>
      </c>
      <c r="C1257" t="s">
        <v>92</v>
      </c>
      <c r="E1257" t="s">
        <v>64</v>
      </c>
      <c r="F1257" t="s">
        <v>86</v>
      </c>
      <c r="G1257" t="s">
        <v>93</v>
      </c>
      <c r="H1257" t="s">
        <v>78</v>
      </c>
      <c r="I1257" t="s">
        <v>1053</v>
      </c>
      <c r="J1257" t="s">
        <v>67</v>
      </c>
      <c r="K1257" t="str">
        <f>B1228</f>
        <v>hydrogen supply, transported by truck, produced by Auto-thermal reforming, with CCS using natural gas from Switzerland</v>
      </c>
      <c r="L1257">
        <f>IF(OR(B1257&lt;0,B1257=0),1,2)</f>
        <v>2</v>
      </c>
      <c r="M1257">
        <f>IF(L1257=2,LN(B1257),"")</f>
        <v>1.2746474608193565</v>
      </c>
      <c r="N1257">
        <v>1.5</v>
      </c>
      <c r="O1257" s="15">
        <v>1.2</v>
      </c>
      <c r="P1257">
        <v>1.5</v>
      </c>
      <c r="Q1257">
        <v>1.1000000000000001</v>
      </c>
      <c r="R1257">
        <v>2</v>
      </c>
      <c r="S1257">
        <v>1.2</v>
      </c>
      <c r="T1257">
        <v>1.05</v>
      </c>
      <c r="U1257">
        <f>LN(SQRT(EXP(
SQRT(
+POWER(LN(N1257),2)
+POWER(LN(O1257),2)
+POWER(LN(P1257),2)
+POWER(LN(Q1257),2)
+POWER(LN(R1257),2)
+POWER(LN(S1257),2)
+POWER(LN(T1257),2)
)
)))</f>
        <v>0.47095746419981693</v>
      </c>
    </row>
    <row r="1258" spans="1:22" x14ac:dyDescent="0.2">
      <c r="A1258" t="s">
        <v>7</v>
      </c>
      <c r="B1258" s="53">
        <f>B1254</f>
        <v>2.8000000000000001E-2</v>
      </c>
      <c r="C1258" t="s">
        <v>56</v>
      </c>
      <c r="D1258" t="s">
        <v>100</v>
      </c>
      <c r="F1258" t="s">
        <v>99</v>
      </c>
      <c r="H1258" t="s">
        <v>131</v>
      </c>
      <c r="I1258" t="s">
        <v>160</v>
      </c>
      <c r="K1258" t="str">
        <f>B1228</f>
        <v>hydrogen supply, transported by truck, produced by Auto-thermal reforming, with CCS using natural gas from Switzerland</v>
      </c>
      <c r="L1258">
        <f>IF(OR(B1258&lt;0,B1258=0),1,2)</f>
        <v>2</v>
      </c>
      <c r="M1258">
        <f>IF(L1258=2,LN(B1258),"")</f>
        <v>-3.575550768806933</v>
      </c>
      <c r="N1258">
        <v>1.5</v>
      </c>
      <c r="O1258" s="15">
        <v>1.2</v>
      </c>
      <c r="P1258">
        <v>1.5</v>
      </c>
      <c r="Q1258">
        <v>1.1000000000000001</v>
      </c>
      <c r="R1258">
        <v>2</v>
      </c>
      <c r="S1258">
        <v>1.2</v>
      </c>
      <c r="T1258">
        <v>1.05</v>
      </c>
      <c r="U1258">
        <f>LN(SQRT(EXP(
SQRT(
+POWER(LN(N1258),2)
+POWER(LN(O1258),2)
+POWER(LN(P1258),2)
+POWER(LN(Q1258),2)
+POWER(LN(R1258),2)
+POWER(LN(S1258),2)
+POWER(LN(T1258),2)
)
)))</f>
        <v>0.47095746419981693</v>
      </c>
    </row>
    <row r="1260" spans="1:22" x14ac:dyDescent="0.2">
      <c r="A1260" s="2" t="s">
        <v>50</v>
      </c>
      <c r="B1260" s="44" t="str">
        <f>"hydrogen supply, transported by "&amp;B1271&amp;", produced by "&amp;B1275&amp;" using "&amp;B1276&amp;" from "&amp;B1277</f>
        <v>hydrogen supply, transported by pipeline, produced by Pyrolysis using natural gas from Switzerland</v>
      </c>
    </row>
    <row r="1261" spans="1:22" x14ac:dyDescent="0.2">
      <c r="A1261" t="s">
        <v>51</v>
      </c>
      <c r="B1261" s="45" t="str">
        <f>"This dataset represents the supply of 1 kilogram of hydrogen. The hydrogen is transported by "&amp;B1271&amp;" over "&amp;B1272&amp;" km from regional storage. "&amp;" The "&amp;B1270&amp;" is produced by  "&amp;B1275&amp;", with "&amp;B1276&amp;" from "&amp;B1277&amp;" as feedstock. "&amp;A1279&amp;": "&amp;(B1279*100)&amp;"%. "&amp;A1280&amp;": "&amp;(B1280*100)&amp;".  For more information, refer to: "&amp;B1262</f>
        <v>This dataset represents the supply of 1 kilogram of hydrogen. The hydrogen is transported by pipeline over 500 km from regional storage.  The hydrogen is produced by  Pyrolysis,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262" spans="1:22" x14ac:dyDescent="0.2">
      <c r="A1262" t="s">
        <v>63</v>
      </c>
      <c r="B1262" s="45" t="s">
        <v>1223</v>
      </c>
    </row>
    <row r="1263" spans="1:22" x14ac:dyDescent="0.2">
      <c r="A1263" t="s">
        <v>52</v>
      </c>
      <c r="B1263" s="45" t="s">
        <v>64</v>
      </c>
    </row>
    <row r="1264" spans="1:22" x14ac:dyDescent="0.2">
      <c r="A1264" t="s">
        <v>48</v>
      </c>
      <c r="B1264" s="45">
        <v>153</v>
      </c>
    </row>
    <row r="1265" spans="1:2" x14ac:dyDescent="0.2">
      <c r="A1265" t="s">
        <v>54</v>
      </c>
      <c r="B1265" s="45" t="s">
        <v>1129</v>
      </c>
    </row>
    <row r="1266" spans="1:2" x14ac:dyDescent="0.2">
      <c r="A1266" t="s">
        <v>55</v>
      </c>
      <c r="B1266" s="45" t="s">
        <v>56</v>
      </c>
    </row>
    <row r="1267" spans="1:2" x14ac:dyDescent="0.2">
      <c r="A1267" t="s">
        <v>0</v>
      </c>
      <c r="B1267" s="45" t="str">
        <f>INDEX(overview!$B$4:$R$338,MATCH('hydrogen - supply'!B1264,overview!$A$4:$A$338,0),MATCH('hydrogen - supply'!A1267,overview!$B$3:$R$3,0))</f>
        <v>Switzerland</v>
      </c>
    </row>
    <row r="1268" spans="1:2" x14ac:dyDescent="0.2">
      <c r="A1268" t="s">
        <v>1</v>
      </c>
      <c r="B1268" s="45">
        <f>INDEX(overview!$B$4:$R$338,MATCH('hydrogen - supply'!B1264,overview!$A$4:$A$338,0),MATCH('hydrogen - supply'!A1268,overview!$B$3:$R$3,0))</f>
        <v>2020</v>
      </c>
    </row>
    <row r="1269" spans="1:2" x14ac:dyDescent="0.2">
      <c r="A1269" t="s">
        <v>2</v>
      </c>
      <c r="B1269" s="45" t="s">
        <v>1130</v>
      </c>
    </row>
    <row r="1270" spans="1:2" x14ac:dyDescent="0.2">
      <c r="A1270" t="s">
        <v>5</v>
      </c>
      <c r="B1270" s="45" t="str">
        <f>INDEX(overview!$B$4:$R$338,MATCH('hydrogen - supply'!B1264,overview!$A$4:$A$338,0),MATCH('hydrogen - supply'!A1270,overview!$B$3:$R$3,0))</f>
        <v>hydrogen</v>
      </c>
    </row>
    <row r="1271" spans="1:2" x14ac:dyDescent="0.2">
      <c r="A1271" t="s">
        <v>4</v>
      </c>
      <c r="B1271" s="45" t="str">
        <f>INDEX(overview!$B$4:$R$338,MATCH('hydrogen - supply'!B1264,overview!$A$4:$A$338,0),MATCH('hydrogen - supply'!A1271,overview!$B$3:$R$3,0))</f>
        <v>pipeline</v>
      </c>
    </row>
    <row r="1272" spans="1:2" x14ac:dyDescent="0.2">
      <c r="A1272" t="s">
        <v>38</v>
      </c>
      <c r="B1272" s="45">
        <f>INDEX(overview!$B$4:$R$338,MATCH('hydrogen - supply'!B1264,overview!$A$4:$A$338,0),MATCH('hydrogen - supply'!A1272,overview!$B$3:$R$3,0))</f>
        <v>500</v>
      </c>
    </row>
    <row r="1273" spans="1:2" x14ac:dyDescent="0.2">
      <c r="A1273" t="s">
        <v>12</v>
      </c>
      <c r="B1273" s="45" t="str">
        <f>INDEX(overview!$B$4:$R$338,MATCH('hydrogen - supply'!B1264,overview!$A$4:$A$338,0),MATCH('hydrogen - supply'!A1273,overview!$B$3:$R$3,0))</f>
        <v>Pressure vessel for stationary storage</v>
      </c>
    </row>
    <row r="1274" spans="1:2" x14ac:dyDescent="0.2">
      <c r="A1274" t="s">
        <v>34</v>
      </c>
      <c r="B1274" s="45">
        <f>INDEX(overview!$B$4:$R$338,MATCH('hydrogen - supply'!B1264,overview!$A$4:$A$338,0),MATCH('hydrogen - supply'!A1274,overview!$B$3:$R$3,0))</f>
        <v>0</v>
      </c>
    </row>
    <row r="1275" spans="1:2" x14ac:dyDescent="0.2">
      <c r="A1275" t="s">
        <v>15</v>
      </c>
      <c r="B1275" s="45" t="str">
        <f>INDEX(overview!$B$4:$R$338,MATCH('hydrogen - supply'!B1264,overview!$A$4:$A$338,0),MATCH('hydrogen - supply'!A1275,overview!$B$3:$R$3,0))</f>
        <v>Pyrolysis</v>
      </c>
    </row>
    <row r="1276" spans="1:2" x14ac:dyDescent="0.2">
      <c r="A1276" t="s">
        <v>14</v>
      </c>
      <c r="B1276" s="45" t="str">
        <f>INDEX(overview!$B$4:$R$338,MATCH('hydrogen - supply'!B1264,overview!$A$4:$A$338,0),MATCH('hydrogen - supply'!A1276,overview!$B$3:$R$3,0))</f>
        <v>natural gas</v>
      </c>
    </row>
    <row r="1277" spans="1:2" x14ac:dyDescent="0.2">
      <c r="A1277" t="s">
        <v>26</v>
      </c>
      <c r="B1277" s="45" t="str">
        <f>INDEX(overview!$B$4:$R$338,MATCH('hydrogen - supply'!B1264,overview!$A$4:$A$338,0),MATCH('hydrogen - supply'!A1277,overview!$B$3:$R$3,0))</f>
        <v>Switzerland</v>
      </c>
    </row>
    <row r="1278" spans="1:2" x14ac:dyDescent="0.2">
      <c r="A1278" t="s">
        <v>29</v>
      </c>
      <c r="B1278" s="45">
        <f>INDEX(overview!$B$4:$R$338,MATCH('hydrogen - supply'!B1264,overview!$A$4:$A$338,0),MATCH('hydrogen - supply'!A1278,overview!$B$3:$R$3,0))</f>
        <v>0</v>
      </c>
    </row>
    <row r="1279" spans="1:2" x14ac:dyDescent="0.2">
      <c r="A1279" t="s">
        <v>45</v>
      </c>
      <c r="B1279" s="66">
        <f>VLOOKUP(B1271,parameters!$A$94:$C$96,2,0)</f>
        <v>0.01</v>
      </c>
    </row>
    <row r="1280" spans="1:2" x14ac:dyDescent="0.2">
      <c r="A1280" t="s">
        <v>1133</v>
      </c>
      <c r="B1280" s="49">
        <f>VLOOKUP(B1271,parameters!$A$94:$D$96,3,0)</f>
        <v>2.3E-2</v>
      </c>
    </row>
    <row r="1281" spans="1:22" x14ac:dyDescent="0.2">
      <c r="B1281" s="45"/>
    </row>
    <row r="1282" spans="1:22" x14ac:dyDescent="0.2">
      <c r="A1282" s="3" t="s">
        <v>57</v>
      </c>
      <c r="B1282" s="45"/>
    </row>
    <row r="1283" spans="1:22" x14ac:dyDescent="0.2">
      <c r="A1283" s="2" t="s">
        <v>58</v>
      </c>
      <c r="B1283" s="44" t="s">
        <v>59</v>
      </c>
      <c r="C1283" s="2" t="s">
        <v>55</v>
      </c>
      <c r="D1283" s="2" t="s">
        <v>60</v>
      </c>
      <c r="E1283" s="2" t="s">
        <v>52</v>
      </c>
      <c r="F1283" s="2" t="s">
        <v>61</v>
      </c>
      <c r="G1283" s="2" t="s">
        <v>54</v>
      </c>
      <c r="H1283" s="2" t="s">
        <v>87</v>
      </c>
      <c r="I1283" s="2" t="s">
        <v>51</v>
      </c>
      <c r="J1283" s="2" t="s">
        <v>138</v>
      </c>
      <c r="K1283" s="2" t="s">
        <v>136</v>
      </c>
      <c r="L1283" s="2" t="s">
        <v>221</v>
      </c>
      <c r="M1283" s="2" t="s">
        <v>379</v>
      </c>
      <c r="N1283" s="2" t="s">
        <v>1059</v>
      </c>
      <c r="O1283" s="2" t="s">
        <v>1060</v>
      </c>
      <c r="P1283" s="2" t="s">
        <v>1061</v>
      </c>
      <c r="Q1283" s="2" t="s">
        <v>1062</v>
      </c>
      <c r="R1283" s="2" t="s">
        <v>1063</v>
      </c>
      <c r="S1283" s="2" t="s">
        <v>1064</v>
      </c>
      <c r="T1283" s="2" t="s">
        <v>1065</v>
      </c>
      <c r="U1283" s="2" t="s">
        <v>380</v>
      </c>
      <c r="V1283" s="2" t="s">
        <v>1128</v>
      </c>
    </row>
    <row r="1284" spans="1:22" x14ac:dyDescent="0.2">
      <c r="A1284" t="str">
        <f>B1260</f>
        <v>hydrogen supply, transported by pipeline, produced by Pyrolysis using natural gas from Switzerland</v>
      </c>
      <c r="B1284" s="45">
        <v>1</v>
      </c>
      <c r="C1284" t="str">
        <f>B1266</f>
        <v>kilogram</v>
      </c>
      <c r="E1284" t="str">
        <f>B1263</f>
        <v>CH</v>
      </c>
      <c r="F1284" t="s">
        <v>62</v>
      </c>
      <c r="G1284" t="str">
        <f>B1265</f>
        <v>hydrogen, gaseous, from pipeline</v>
      </c>
      <c r="K1284" t="str">
        <f>B1260</f>
        <v>hydrogen supply, transported by pipeline, produced by Pyrolysis using natural gas from Switzerland</v>
      </c>
    </row>
    <row r="1285" spans="1:22" x14ac:dyDescent="0.2">
      <c r="A1285" t="str">
        <f>VLOOKUP(J1285,'dataset mapping'!$A$4:$E$69,2,0)</f>
        <v>hydrogen production, gaseous, 100 bar, from methane pyrolysis</v>
      </c>
      <c r="B1285" s="53">
        <v>1</v>
      </c>
      <c r="C1285" t="str">
        <f>VLOOKUP(J1285,'dataset mapping'!$A$4:$E$69,5,0)</f>
        <v>kilogram</v>
      </c>
      <c r="E1285" t="str">
        <f>VLOOKUP(J1285,'dataset mapping'!$A$4:$E$69,4,0)</f>
        <v>CH</v>
      </c>
      <c r="F1285" t="s">
        <v>86</v>
      </c>
      <c r="G1285" t="str">
        <f>VLOOKUP(J1285,'dataset mapping'!$A$4:$E$69,3,0)</f>
        <v>hydrogen, gaseous, 100 bar</v>
      </c>
      <c r="H1285" t="s">
        <v>281</v>
      </c>
      <c r="I1285" t="s">
        <v>1054</v>
      </c>
      <c r="J1285" t="str">
        <f>B1275&amp;" - "&amp;B1277</f>
        <v>Pyrolysis - Switzerland</v>
      </c>
      <c r="K1285" t="str">
        <f>B1260</f>
        <v>hydrogen supply, transported by pipeline, produced by Pyrolysis using natural gas from Switzerland</v>
      </c>
      <c r="L1285">
        <f t="shared" ref="L1285:L1292" si="114">IF(OR(B1285&lt;0,B1285=0),1,2)</f>
        <v>2</v>
      </c>
      <c r="M1285">
        <f t="shared" ref="M1285:M1292" si="115">IF(L1285=2,LN(B1285),"")</f>
        <v>0</v>
      </c>
      <c r="N1285">
        <v>1.5</v>
      </c>
      <c r="O1285" s="15">
        <v>1.2</v>
      </c>
      <c r="P1285">
        <v>1.5</v>
      </c>
      <c r="Q1285">
        <v>1.1000000000000001</v>
      </c>
      <c r="R1285">
        <v>2</v>
      </c>
      <c r="S1285">
        <v>1.2</v>
      </c>
      <c r="T1285">
        <v>1.05</v>
      </c>
      <c r="U1285">
        <f t="shared" ref="U1285:U1292" si="116">LN(SQRT(EXP(
SQRT(
+POWER(LN(N1285),2)
+POWER(LN(O1285),2)
+POWER(LN(P1285),2)
+POWER(LN(Q1285),2)
+POWER(LN(R1285),2)
+POWER(LN(S1285),2)
+POWER(LN(T1285),2)
)
)))</f>
        <v>0.47095746419981693</v>
      </c>
    </row>
    <row r="1286" spans="1:22" x14ac:dyDescent="0.2">
      <c r="A1286" t="str">
        <f>VLOOKUP(J1286,'dataset mapping'!$A$4:$E$69,2,0)</f>
        <v>hydrogen production, gaseous, 100 bar, from methane pyrolysis</v>
      </c>
      <c r="B1286" s="53">
        <f>(B1285*B1279)+(B1280*B1285)</f>
        <v>3.3000000000000002E-2</v>
      </c>
      <c r="C1286" t="str">
        <f>VLOOKUP(J1286,'dataset mapping'!$A$4:$E$69,5,0)</f>
        <v>kilogram</v>
      </c>
      <c r="E1286" t="str">
        <f>VLOOKUP(J1286,'dataset mapping'!$A$4:$E$69,4,0)</f>
        <v>CH</v>
      </c>
      <c r="F1286" t="s">
        <v>86</v>
      </c>
      <c r="G1286" t="str">
        <f>VLOOKUP(J1286,'dataset mapping'!$A$4:$E$69,3,0)</f>
        <v>hydrogen, gaseous, 100 bar</v>
      </c>
      <c r="H1286" t="s">
        <v>76</v>
      </c>
      <c r="I1286" t="s">
        <v>1054</v>
      </c>
      <c r="J1286" t="str">
        <f>B1275&amp;" - "&amp;B1277</f>
        <v>Pyrolysis - Switzerland</v>
      </c>
      <c r="K1286" t="str">
        <f>B1261</f>
        <v>This dataset represents the supply of 1 kilogram of hydrogen. The hydrogen is transported by pipeline over 500 km from regional storage.  The hydrogen is produced by  Pyrolysis,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286">
        <f t="shared" si="114"/>
        <v>2</v>
      </c>
      <c r="M1286">
        <f t="shared" si="115"/>
        <v>-3.4112477175156566</v>
      </c>
      <c r="N1286">
        <v>1.5</v>
      </c>
      <c r="O1286" s="15">
        <v>1.2</v>
      </c>
      <c r="P1286">
        <v>1.5</v>
      </c>
      <c r="Q1286">
        <v>1.1000000000000001</v>
      </c>
      <c r="R1286">
        <v>2</v>
      </c>
      <c r="S1286">
        <v>1.2</v>
      </c>
      <c r="T1286">
        <v>1.05</v>
      </c>
      <c r="U1286">
        <f t="shared" si="116"/>
        <v>0.47095746419981693</v>
      </c>
    </row>
    <row r="1287" spans="1:22" x14ac:dyDescent="0.2">
      <c r="A1287" t="str">
        <f>VLOOKUP(J1287,'dataset mapping'!$A$4:$E$69,2,0)</f>
        <v>distribution pipeline for hydrogen, dedicated hydrogen pipeline</v>
      </c>
      <c r="B1287" s="45">
        <f>0.000000000265*SUM(B1285:B1286)*B1272*0.86</f>
        <v>1.1771035E-7</v>
      </c>
      <c r="C1287" t="str">
        <f>VLOOKUP(J1287,'dataset mapping'!$A$4:$E$69,5,0)</f>
        <v>kilometer</v>
      </c>
      <c r="E1287" t="str">
        <f>VLOOKUP(J1287,'dataset mapping'!$A$4:$E$69,4,0)</f>
        <v>CH</v>
      </c>
      <c r="F1287" t="s">
        <v>86</v>
      </c>
      <c r="G1287" t="str">
        <f>VLOOKUP(J1287,'dataset mapping'!$A$4:$E$69,3,0)</f>
        <v>pipeline, for hydrogen distribution</v>
      </c>
      <c r="H1287" t="s">
        <v>88</v>
      </c>
      <c r="I1287" t="s">
        <v>1052</v>
      </c>
      <c r="J1287" t="s">
        <v>218</v>
      </c>
      <c r="K1287" t="str">
        <f>B1260</f>
        <v>hydrogen supply, transported by pipeline, produced by Pyrolysis using natural gas from Switzerland</v>
      </c>
      <c r="L1287">
        <f t="shared" si="114"/>
        <v>2</v>
      </c>
      <c r="M1287">
        <f t="shared" si="115"/>
        <v>-15.955038891117216</v>
      </c>
      <c r="N1287">
        <v>1.5</v>
      </c>
      <c r="O1287" s="15">
        <v>1.2</v>
      </c>
      <c r="P1287">
        <v>1.5</v>
      </c>
      <c r="Q1287">
        <v>1.1000000000000001</v>
      </c>
      <c r="R1287">
        <v>2</v>
      </c>
      <c r="S1287">
        <v>1.2</v>
      </c>
      <c r="T1287">
        <v>3</v>
      </c>
      <c r="U1287">
        <f t="shared" si="116"/>
        <v>0.72314801614797197</v>
      </c>
    </row>
    <row r="1288" spans="1:22" x14ac:dyDescent="0.2">
      <c r="A1288" t="str">
        <f>VLOOKUP(J1288,'dataset mapping'!$A$4:$E$69,2,0)</f>
        <v>transmission pipeline for hydrogen, dedicated hydrogen pipeline</v>
      </c>
      <c r="B1288" s="45">
        <f>0.000000000265*SUM(B1285:B1286)*B1272*0.14</f>
        <v>1.9162150000000001E-8</v>
      </c>
      <c r="C1288" t="str">
        <f>VLOOKUP(J1288,'dataset mapping'!$A$4:$E$69,5,0)</f>
        <v>kilometer</v>
      </c>
      <c r="E1288" t="str">
        <f>VLOOKUP(J1288,'dataset mapping'!$A$4:$E$69,4,0)</f>
        <v>CH</v>
      </c>
      <c r="F1288" t="s">
        <v>86</v>
      </c>
      <c r="G1288" t="str">
        <f>VLOOKUP(J1288,'dataset mapping'!$A$4:$E$69,3,0)</f>
        <v>pipeline, for hydrogen transmission</v>
      </c>
      <c r="H1288" t="s">
        <v>88</v>
      </c>
      <c r="I1288" t="s">
        <v>1052</v>
      </c>
      <c r="J1288" t="s">
        <v>219</v>
      </c>
      <c r="K1288" t="str">
        <f>B1260</f>
        <v>hydrogen supply, transported by pipeline, produced by Pyrolysis using natural gas from Switzerland</v>
      </c>
      <c r="L1288">
        <f t="shared" si="114"/>
        <v>2</v>
      </c>
      <c r="M1288">
        <f t="shared" si="115"/>
        <v>-17.770328857755466</v>
      </c>
      <c r="N1288">
        <v>1.5</v>
      </c>
      <c r="O1288" s="15">
        <v>1.2</v>
      </c>
      <c r="P1288">
        <v>1.5</v>
      </c>
      <c r="Q1288">
        <v>1.1000000000000001</v>
      </c>
      <c r="R1288">
        <v>2</v>
      </c>
      <c r="S1288">
        <v>1.2</v>
      </c>
      <c r="T1288">
        <v>3</v>
      </c>
      <c r="U1288">
        <f t="shared" si="116"/>
        <v>0.72314801614797197</v>
      </c>
    </row>
    <row r="1289" spans="1:22" x14ac:dyDescent="0.2">
      <c r="A1289" t="s">
        <v>1038</v>
      </c>
      <c r="B1289" s="53">
        <f>SUM(B1285:B1286)</f>
        <v>1.0329999999999999</v>
      </c>
      <c r="C1289" t="str">
        <f>VLOOKUP(J1289,'dataset mapping'!$A$4:$E$69,5,0)</f>
        <v>kilogram</v>
      </c>
      <c r="E1289" t="s">
        <v>64</v>
      </c>
      <c r="F1289" t="s">
        <v>86</v>
      </c>
      <c r="G1289" t="s">
        <v>1039</v>
      </c>
      <c r="H1289" t="s">
        <v>88</v>
      </c>
      <c r="I1289" t="s">
        <v>1040</v>
      </c>
      <c r="J1289" t="s">
        <v>229</v>
      </c>
      <c r="K1289" t="str">
        <f>B1260</f>
        <v>hydrogen supply, transported by pipeline, produced by Pyrolysis using natural gas from Switzerland</v>
      </c>
      <c r="L1289">
        <f t="shared" si="114"/>
        <v>2</v>
      </c>
      <c r="M1289">
        <f t="shared" si="115"/>
        <v>3.2467190137501413E-2</v>
      </c>
      <c r="N1289">
        <v>1.5</v>
      </c>
      <c r="O1289" s="15">
        <v>1.2</v>
      </c>
      <c r="P1289">
        <v>1.5</v>
      </c>
      <c r="Q1289">
        <v>1.1000000000000001</v>
      </c>
      <c r="R1289">
        <v>2</v>
      </c>
      <c r="S1289">
        <v>1.2</v>
      </c>
      <c r="T1289">
        <v>3</v>
      </c>
      <c r="U1289">
        <f t="shared" si="116"/>
        <v>0.72314801614797197</v>
      </c>
    </row>
    <row r="1290" spans="1:22" x14ac:dyDescent="0.2">
      <c r="A1290" t="s">
        <v>130</v>
      </c>
      <c r="B1290" s="52">
        <f>(VLOOKUP(B1275,parameters!$A$71:$B$78,2,0)+VLOOKUP(B1271,parameters!$A$82:$B$84,2,0)+VLOOKUP(B1271,parameters!$A$87:$B$89,2,0))*SUM(B1285:B1286)</f>
        <v>0.90903999999999996</v>
      </c>
      <c r="C1290" t="s">
        <v>92</v>
      </c>
      <c r="E1290" t="s">
        <v>64</v>
      </c>
      <c r="F1290" t="s">
        <v>86</v>
      </c>
      <c r="G1290" t="s">
        <v>93</v>
      </c>
      <c r="H1290" t="s">
        <v>78</v>
      </c>
      <c r="I1290" t="s">
        <v>1053</v>
      </c>
      <c r="J1290" t="s">
        <v>67</v>
      </c>
      <c r="K1290" t="str">
        <f>B1260</f>
        <v>hydrogen supply, transported by pipeline, produced by Pyrolysis using natural gas from Switzerland</v>
      </c>
      <c r="L1290">
        <f t="shared" si="114"/>
        <v>2</v>
      </c>
      <c r="M1290">
        <f t="shared" si="115"/>
        <v>-9.5366181372383452E-2</v>
      </c>
      <c r="N1290">
        <v>1.5</v>
      </c>
      <c r="O1290" s="15">
        <v>1.2</v>
      </c>
      <c r="P1290">
        <v>1.5</v>
      </c>
      <c r="Q1290">
        <v>1.1000000000000001</v>
      </c>
      <c r="R1290">
        <v>2</v>
      </c>
      <c r="S1290">
        <v>1.2</v>
      </c>
      <c r="T1290">
        <v>1.05</v>
      </c>
      <c r="U1290">
        <f t="shared" si="116"/>
        <v>0.47095746419981693</v>
      </c>
    </row>
    <row r="1291" spans="1:22" x14ac:dyDescent="0.2">
      <c r="A1291" t="s">
        <v>130</v>
      </c>
      <c r="B1291" s="52">
        <f>0.6*SUM(B1285:B1286)*(B1272/250)</f>
        <v>1.2395999999999998</v>
      </c>
      <c r="C1291" t="s">
        <v>92</v>
      </c>
      <c r="E1291" t="s">
        <v>64</v>
      </c>
      <c r="F1291" t="s">
        <v>86</v>
      </c>
      <c r="G1291" t="s">
        <v>93</v>
      </c>
      <c r="H1291" t="s">
        <v>78</v>
      </c>
      <c r="I1291" t="s">
        <v>1135</v>
      </c>
      <c r="J1291" t="s">
        <v>67</v>
      </c>
      <c r="K1291" t="str">
        <f>B1261</f>
        <v>This dataset represents the supply of 1 kilogram of hydrogen. The hydrogen is transported by pipeline over 500 km from regional storage.  The hydrogen is produced by  Pyrolysis, with natural gas from Switzerland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291">
        <f t="shared" si="114"/>
        <v>2</v>
      </c>
      <c r="M1291">
        <f t="shared" si="115"/>
        <v>0.21478874693145597</v>
      </c>
      <c r="N1291">
        <v>1.5</v>
      </c>
      <c r="O1291" s="15">
        <v>1.2</v>
      </c>
      <c r="P1291">
        <v>1.5</v>
      </c>
      <c r="Q1291">
        <v>1.1000000000000001</v>
      </c>
      <c r="R1291">
        <v>2</v>
      </c>
      <c r="S1291">
        <v>1.2</v>
      </c>
      <c r="T1291">
        <v>1.05</v>
      </c>
      <c r="U1291">
        <f t="shared" si="116"/>
        <v>0.47095746419981693</v>
      </c>
    </row>
    <row r="1292" spans="1:22" x14ac:dyDescent="0.2">
      <c r="A1292" t="s">
        <v>7</v>
      </c>
      <c r="B1292" s="53">
        <f>B1286</f>
        <v>3.3000000000000002E-2</v>
      </c>
      <c r="C1292" t="s">
        <v>56</v>
      </c>
      <c r="D1292" t="s">
        <v>100</v>
      </c>
      <c r="F1292" t="s">
        <v>99</v>
      </c>
      <c r="H1292" t="s">
        <v>131</v>
      </c>
      <c r="I1292" t="s">
        <v>160</v>
      </c>
      <c r="K1292" t="str">
        <f>B1260</f>
        <v>hydrogen supply, transported by pipeline, produced by Pyrolysis using natural gas from Switzerland</v>
      </c>
      <c r="L1292">
        <f t="shared" si="114"/>
        <v>2</v>
      </c>
      <c r="M1292">
        <f t="shared" si="115"/>
        <v>-3.4112477175156566</v>
      </c>
      <c r="N1292">
        <v>1.5</v>
      </c>
      <c r="O1292" s="15">
        <v>1.2</v>
      </c>
      <c r="P1292">
        <v>1.5</v>
      </c>
      <c r="Q1292">
        <v>1.1000000000000001</v>
      </c>
      <c r="R1292">
        <v>2</v>
      </c>
      <c r="S1292">
        <v>1.2</v>
      </c>
      <c r="T1292">
        <v>1.05</v>
      </c>
      <c r="U1292">
        <f t="shared" si="116"/>
        <v>0.47095746419981693</v>
      </c>
    </row>
    <row r="1293" spans="1:22" x14ac:dyDescent="0.2">
      <c r="B1293" s="45"/>
    </row>
    <row r="1294" spans="1:22" x14ac:dyDescent="0.2">
      <c r="A1294" s="2" t="s">
        <v>50</v>
      </c>
      <c r="B1294" s="44" t="str">
        <f>"hydrogen supply, transported by "&amp;B1305&amp;", produced by "&amp;B1309&amp;" using "&amp;B1310&amp;" from "&amp;B1311</f>
        <v>hydrogen supply, transported by truck, produced by Pyrolysis using natural gas from Switzerland</v>
      </c>
    </row>
    <row r="1295" spans="1:22" x14ac:dyDescent="0.2">
      <c r="A1295" t="s">
        <v>51</v>
      </c>
      <c r="B1295" s="45" t="str">
        <f>"This dataset represents the supply of 1 kilogram of hydrogen. The hydrogen is transported by "&amp;B1305&amp;" over "&amp;B1306&amp;" km from regional storage. "&amp;" The "&amp;B1304&amp;" is produced by  "&amp;B1309&amp;", with "&amp;B1310&amp;" from "&amp;B1311&amp;" as feedstock. "&amp;A1313&amp;": "&amp;(B1313*100)&amp;"%. "&amp;A1314&amp;": "&amp;(B1314*100)&amp;".  For more information, refer to: "&amp;B1296</f>
        <v>This dataset represents the supply of 1 kilogram of hydrogen. The hydrogen is transported by truck over 200 km from regional storage.  The hydrogen is produced by  Pyrolysis,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296" spans="1:22" x14ac:dyDescent="0.2">
      <c r="A1296" t="s">
        <v>63</v>
      </c>
      <c r="B1296" s="45" t="s">
        <v>1223</v>
      </c>
    </row>
    <row r="1297" spans="1:2" x14ac:dyDescent="0.2">
      <c r="A1297" t="s">
        <v>52</v>
      </c>
      <c r="B1297" s="45" t="s">
        <v>64</v>
      </c>
    </row>
    <row r="1298" spans="1:2" x14ac:dyDescent="0.2">
      <c r="A1298" t="s">
        <v>48</v>
      </c>
      <c r="B1298" s="45">
        <v>157</v>
      </c>
    </row>
    <row r="1299" spans="1:2" x14ac:dyDescent="0.2">
      <c r="A1299" t="s">
        <v>54</v>
      </c>
      <c r="B1299" s="45" t="s">
        <v>1137</v>
      </c>
    </row>
    <row r="1300" spans="1:2" x14ac:dyDescent="0.2">
      <c r="A1300" t="s">
        <v>55</v>
      </c>
      <c r="B1300" s="45" t="s">
        <v>56</v>
      </c>
    </row>
    <row r="1301" spans="1:2" x14ac:dyDescent="0.2">
      <c r="A1301" t="s">
        <v>0</v>
      </c>
      <c r="B1301" s="45" t="str">
        <f>INDEX(overview!$B$4:$R$338,MATCH('hydrogen - supply'!B1298,overview!$A$4:$A$338,0),MATCH('hydrogen - supply'!A1301,overview!$B$3:$R$3,0))</f>
        <v>Switzerland</v>
      </c>
    </row>
    <row r="1302" spans="1:2" x14ac:dyDescent="0.2">
      <c r="A1302" t="s">
        <v>1</v>
      </c>
      <c r="B1302" s="45">
        <f>INDEX(overview!$B$4:$R$338,MATCH('hydrogen - supply'!B1298,overview!$A$4:$A$338,0),MATCH('hydrogen - supply'!A1302,overview!$B$3:$R$3,0))</f>
        <v>2020</v>
      </c>
    </row>
    <row r="1303" spans="1:2" x14ac:dyDescent="0.2">
      <c r="A1303" t="s">
        <v>2</v>
      </c>
      <c r="B1303" s="45" t="s">
        <v>1130</v>
      </c>
    </row>
    <row r="1304" spans="1:2" x14ac:dyDescent="0.2">
      <c r="A1304" t="s">
        <v>5</v>
      </c>
      <c r="B1304" s="45" t="str">
        <f>INDEX(overview!$B$4:$R$338,MATCH('hydrogen - supply'!B1298,overview!$A$4:$A$338,0),MATCH('hydrogen - supply'!A1304,overview!$B$3:$R$3,0))</f>
        <v>hydrogen</v>
      </c>
    </row>
    <row r="1305" spans="1:2" x14ac:dyDescent="0.2">
      <c r="A1305" t="s">
        <v>4</v>
      </c>
      <c r="B1305" s="45" t="str">
        <f>INDEX(overview!$B$4:$R$338,MATCH('hydrogen - supply'!B1298,overview!$A$4:$A$338,0),MATCH('hydrogen - supply'!A1305,overview!$B$3:$R$3,0))</f>
        <v>truck</v>
      </c>
    </row>
    <row r="1306" spans="1:2" x14ac:dyDescent="0.2">
      <c r="A1306" t="s">
        <v>38</v>
      </c>
      <c r="B1306" s="45">
        <f>INDEX(overview!$B$4:$R$338,MATCH('hydrogen - supply'!B1298,overview!$A$4:$A$338,0),MATCH('hydrogen - supply'!A1306,overview!$B$3:$R$3,0))</f>
        <v>200</v>
      </c>
    </row>
    <row r="1307" spans="1:2" x14ac:dyDescent="0.2">
      <c r="A1307" t="s">
        <v>12</v>
      </c>
      <c r="B1307" s="45" t="str">
        <f>INDEX(overview!$B$4:$R$338,MATCH('hydrogen - supply'!B1298,overview!$A$4:$A$338,0),MATCH('hydrogen - supply'!A1307,overview!$B$3:$R$3,0))</f>
        <v>Pressure vessel for stationary storage</v>
      </c>
    </row>
    <row r="1308" spans="1:2" x14ac:dyDescent="0.2">
      <c r="A1308" t="s">
        <v>34</v>
      </c>
      <c r="B1308" s="45">
        <f>INDEX(overview!$B$4:$R$338,MATCH('hydrogen - supply'!B1298,overview!$A$4:$A$338,0),MATCH('hydrogen - supply'!A1308,overview!$B$3:$R$3,0))</f>
        <v>0</v>
      </c>
    </row>
    <row r="1309" spans="1:2" x14ac:dyDescent="0.2">
      <c r="A1309" t="s">
        <v>15</v>
      </c>
      <c r="B1309" s="45" t="str">
        <f>INDEX(overview!$B$4:$R$338,MATCH('hydrogen - supply'!B1298,overview!$A$4:$A$338,0),MATCH('hydrogen - supply'!A1309,overview!$B$3:$R$3,0))</f>
        <v>Pyrolysis</v>
      </c>
    </row>
    <row r="1310" spans="1:2" x14ac:dyDescent="0.2">
      <c r="A1310" t="s">
        <v>14</v>
      </c>
      <c r="B1310" s="45" t="str">
        <f>INDEX(overview!$B$4:$R$338,MATCH('hydrogen - supply'!B1298,overview!$A$4:$A$338,0),MATCH('hydrogen - supply'!A1310,overview!$B$3:$R$3,0))</f>
        <v>natural gas</v>
      </c>
    </row>
    <row r="1311" spans="1:2" x14ac:dyDescent="0.2">
      <c r="A1311" t="s">
        <v>26</v>
      </c>
      <c r="B1311" s="45" t="str">
        <f>INDEX(overview!$B$4:$R$338,MATCH('hydrogen - supply'!B1298,overview!$A$4:$A$338,0),MATCH('hydrogen - supply'!A1311,overview!$B$3:$R$3,0))</f>
        <v>Switzerland</v>
      </c>
    </row>
    <row r="1312" spans="1:2" x14ac:dyDescent="0.2">
      <c r="A1312" t="s">
        <v>29</v>
      </c>
      <c r="B1312" s="45">
        <f>INDEX(overview!$B$4:$R$338,MATCH('hydrogen - supply'!B1298,overview!$A$4:$A$338,0),MATCH('hydrogen - supply'!A1312,overview!$B$3:$R$3,0))</f>
        <v>0</v>
      </c>
    </row>
    <row r="1313" spans="1:22" x14ac:dyDescent="0.2">
      <c r="A1313" t="s">
        <v>45</v>
      </c>
      <c r="B1313" s="66">
        <f>VLOOKUP(B1305,parameters!$A$94:$C$96,2,0)</f>
        <v>5.0000000000000001E-3</v>
      </c>
    </row>
    <row r="1314" spans="1:22" x14ac:dyDescent="0.2">
      <c r="A1314" t="s">
        <v>1133</v>
      </c>
      <c r="B1314" s="49">
        <f>VLOOKUP(B1305,parameters!$A$94:$D$96,3,0)</f>
        <v>2.3E-2</v>
      </c>
    </row>
    <row r="1315" spans="1:22" x14ac:dyDescent="0.2">
      <c r="B1315" s="45"/>
    </row>
    <row r="1316" spans="1:22" x14ac:dyDescent="0.2">
      <c r="A1316" s="3" t="s">
        <v>57</v>
      </c>
      <c r="B1316" s="45"/>
    </row>
    <row r="1317" spans="1:22" x14ac:dyDescent="0.2">
      <c r="A1317" s="2" t="s">
        <v>58</v>
      </c>
      <c r="B1317" s="44" t="s">
        <v>59</v>
      </c>
      <c r="C1317" s="2" t="s">
        <v>55</v>
      </c>
      <c r="D1317" s="2" t="s">
        <v>60</v>
      </c>
      <c r="E1317" s="2" t="s">
        <v>52</v>
      </c>
      <c r="F1317" s="2" t="s">
        <v>61</v>
      </c>
      <c r="G1317" s="2" t="s">
        <v>54</v>
      </c>
      <c r="H1317" s="2" t="s">
        <v>87</v>
      </c>
      <c r="I1317" s="2" t="s">
        <v>51</v>
      </c>
      <c r="J1317" s="2" t="s">
        <v>138</v>
      </c>
      <c r="K1317" s="2" t="s">
        <v>136</v>
      </c>
      <c r="L1317" s="2" t="s">
        <v>221</v>
      </c>
      <c r="M1317" s="2" t="s">
        <v>379</v>
      </c>
      <c r="N1317" s="2" t="s">
        <v>1059</v>
      </c>
      <c r="O1317" s="2" t="s">
        <v>1060</v>
      </c>
      <c r="P1317" s="2" t="s">
        <v>1061</v>
      </c>
      <c r="Q1317" s="2" t="s">
        <v>1062</v>
      </c>
      <c r="R1317" s="2" t="s">
        <v>1063</v>
      </c>
      <c r="S1317" s="2" t="s">
        <v>1064</v>
      </c>
      <c r="T1317" s="2" t="s">
        <v>1065</v>
      </c>
      <c r="U1317" s="2" t="s">
        <v>380</v>
      </c>
      <c r="V1317" s="2" t="s">
        <v>1128</v>
      </c>
    </row>
    <row r="1318" spans="1:22" x14ac:dyDescent="0.2">
      <c r="A1318" t="str">
        <f>B1294</f>
        <v>hydrogen supply, transported by truck, produced by Pyrolysis using natural gas from Switzerland</v>
      </c>
      <c r="B1318" s="45">
        <v>1</v>
      </c>
      <c r="C1318" t="str">
        <f>B1300</f>
        <v>kilogram</v>
      </c>
      <c r="E1318" t="str">
        <f>B1297</f>
        <v>CH</v>
      </c>
      <c r="F1318" t="s">
        <v>62</v>
      </c>
      <c r="G1318" t="str">
        <f>B1299</f>
        <v>hydrogen, gaseous, from truck</v>
      </c>
      <c r="K1318" t="str">
        <f>B1294</f>
        <v>hydrogen supply, transported by truck, produced by Pyrolysis using natural gas from Switzerland</v>
      </c>
    </row>
    <row r="1319" spans="1:22" x14ac:dyDescent="0.2">
      <c r="A1319" t="str">
        <f>VLOOKUP(J1319,'dataset mapping'!$A$4:$E$69,2,0)</f>
        <v>hydrogen production, gaseous, 100 bar, from methane pyrolysis</v>
      </c>
      <c r="B1319" s="53">
        <v>1</v>
      </c>
      <c r="C1319" t="str">
        <f>VLOOKUP(J1319,'dataset mapping'!$A$4:$E$69,5,0)</f>
        <v>kilogram</v>
      </c>
      <c r="E1319" t="str">
        <f>VLOOKUP(J1319,'dataset mapping'!$A$4:$E$69,4,0)</f>
        <v>CH</v>
      </c>
      <c r="F1319" t="s">
        <v>86</v>
      </c>
      <c r="G1319" t="str">
        <f>VLOOKUP(J1319,'dataset mapping'!$A$4:$E$69,3,0)</f>
        <v>hydrogen, gaseous, 100 bar</v>
      </c>
      <c r="H1319" t="s">
        <v>281</v>
      </c>
      <c r="I1319" t="s">
        <v>1054</v>
      </c>
      <c r="J1319" t="str">
        <f>B1275&amp;" - "&amp;B1277</f>
        <v>Pyrolysis - Switzerland</v>
      </c>
      <c r="K1319" t="str">
        <f>B1294</f>
        <v>hydrogen supply, transported by truck, produced by Pyrolysis using natural gas from Switzerland</v>
      </c>
      <c r="L1319">
        <f>IF(OR(B1319&lt;0,B1319=0),1,2)</f>
        <v>2</v>
      </c>
      <c r="M1319">
        <f>IF(L1319=2,LN(B1319),"")</f>
        <v>0</v>
      </c>
      <c r="N1319">
        <v>1.5</v>
      </c>
      <c r="O1319" s="15">
        <v>1.2</v>
      </c>
      <c r="P1319">
        <v>1.5</v>
      </c>
      <c r="Q1319">
        <v>1.1000000000000001</v>
      </c>
      <c r="R1319">
        <v>2</v>
      </c>
      <c r="S1319">
        <v>1.2</v>
      </c>
      <c r="T1319">
        <v>1.05</v>
      </c>
      <c r="U1319">
        <f>LN(SQRT(EXP(
SQRT(
+POWER(LN(N1319),2)
+POWER(LN(O1319),2)
+POWER(LN(P1319),2)
+POWER(LN(Q1319),2)
+POWER(LN(R1319),2)
+POWER(LN(S1319),2)
+POWER(LN(T1319),2)
)
)))</f>
        <v>0.47095746419981693</v>
      </c>
    </row>
    <row r="1320" spans="1:22" x14ac:dyDescent="0.2">
      <c r="A1320" t="str">
        <f>VLOOKUP(J1320,'dataset mapping'!$A$4:$E$69,2,0)</f>
        <v>hydrogen production, gaseous, 100 bar, from methane pyrolysis</v>
      </c>
      <c r="B1320" s="53">
        <f>(B1319*B1313)+(B1314*B1319)</f>
        <v>2.8000000000000001E-2</v>
      </c>
      <c r="C1320" t="str">
        <f>VLOOKUP(J1320,'dataset mapping'!$A$4:$E$69,5,0)</f>
        <v>kilogram</v>
      </c>
      <c r="E1320" t="str">
        <f>VLOOKUP(J1320,'dataset mapping'!$A$4:$E$69,4,0)</f>
        <v>CH</v>
      </c>
      <c r="F1320" t="s">
        <v>86</v>
      </c>
      <c r="G1320" t="str">
        <f>VLOOKUP(J1320,'dataset mapping'!$A$4:$E$69,3,0)</f>
        <v>hydrogen, gaseous, 100 bar</v>
      </c>
      <c r="H1320" t="s">
        <v>76</v>
      </c>
      <c r="I1320" t="s">
        <v>1054</v>
      </c>
      <c r="J1320" t="str">
        <f>B1275&amp;" - "&amp;B1277</f>
        <v>Pyrolysis - Switzerland</v>
      </c>
      <c r="K1320" t="str">
        <f>B1295</f>
        <v>This dataset represents the supply of 1 kilogram of hydrogen. The hydrogen is transported by truck over 200 km from regional storage.  The hydrogen is produced by  Pyrolysis, with natural gas from Switzerland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320">
        <f>IF(OR(B1320&lt;0,B1320=0),1,2)</f>
        <v>2</v>
      </c>
      <c r="M1320">
        <f>IF(L1320=2,LN(B1320),"")</f>
        <v>-3.575550768806933</v>
      </c>
      <c r="N1320">
        <v>1.5</v>
      </c>
      <c r="O1320" s="15">
        <v>1.2</v>
      </c>
      <c r="P1320">
        <v>1.5</v>
      </c>
      <c r="Q1320">
        <v>1.1000000000000001</v>
      </c>
      <c r="R1320">
        <v>2</v>
      </c>
      <c r="S1320">
        <v>1.2</v>
      </c>
      <c r="T1320">
        <v>1.05</v>
      </c>
      <c r="U1320">
        <f>LN(SQRT(EXP(
SQRT(
+POWER(LN(N1320),2)
+POWER(LN(O1320),2)
+POWER(LN(P1320),2)
+POWER(LN(Q1320),2)
+POWER(LN(R1320),2)
+POWER(LN(S1320),2)
+POWER(LN(T1320),2)
)
)))</f>
        <v>0.47095746419981693</v>
      </c>
    </row>
    <row r="1321" spans="1:22" x14ac:dyDescent="0.2">
      <c r="A1321" t="str">
        <f>VLOOKUP(J1321,'dataset mapping'!$A$4:$E$69,2,0)</f>
        <v>market for transport, freight train</v>
      </c>
      <c r="B1321" s="45">
        <f>SUM(B1319:B1320)/1000*B1306</f>
        <v>0.2056</v>
      </c>
      <c r="C1321" t="str">
        <f>VLOOKUP(J1321,'dataset mapping'!$A$4:$E$69,5,0)</f>
        <v>ton kilometer</v>
      </c>
      <c r="E1321" t="str">
        <f>VLOOKUP(J1321,'dataset mapping'!$A$4:$E$69,4,0)</f>
        <v>CH</v>
      </c>
      <c r="F1321" t="s">
        <v>86</v>
      </c>
      <c r="G1321" t="str">
        <f>VLOOKUP(J1321,'dataset mapping'!$A$4:$E$69,3,0)</f>
        <v>transport, freight train</v>
      </c>
      <c r="H1321" t="s">
        <v>88</v>
      </c>
      <c r="I1321" t="s">
        <v>1052</v>
      </c>
      <c r="J1321" t="s">
        <v>295</v>
      </c>
      <c r="K1321" t="str">
        <f>B1277</f>
        <v>Switzerland</v>
      </c>
      <c r="L1321">
        <f t="shared" ref="L1321" si="117">IF(OR(B1321&lt;0,B1321=0),1,2)</f>
        <v>2</v>
      </c>
      <c r="M1321">
        <f t="shared" ref="M1321" si="118">IF(L1321=2,LN(B1321),"")</f>
        <v>-1.5818227454011269</v>
      </c>
      <c r="N1321">
        <v>1.5</v>
      </c>
      <c r="O1321" s="15">
        <v>1.2</v>
      </c>
      <c r="P1321">
        <v>1.5</v>
      </c>
      <c r="Q1321">
        <v>1.1000000000000001</v>
      </c>
      <c r="R1321">
        <v>2</v>
      </c>
      <c r="S1321">
        <v>1.2</v>
      </c>
      <c r="T1321">
        <v>2</v>
      </c>
      <c r="U1321">
        <f t="shared" ref="U1321" si="119">LN(SQRT(EXP(
SQRT(
+POWER(LN(N1321),2)
+POWER(LN(O1321),2)
+POWER(LN(P1321),2)
+POWER(LN(Q1321),2)
+POWER(LN(R1321),2)
+POWER(LN(S1321),2)
+POWER(LN(T1321),2)
)
)))</f>
        <v>0.58422518478336083</v>
      </c>
    </row>
    <row r="1322" spans="1:22" x14ac:dyDescent="0.2">
      <c r="A1322" t="s">
        <v>1038</v>
      </c>
      <c r="B1322" s="53">
        <f>SUM(B1319:B1320)</f>
        <v>1.028</v>
      </c>
      <c r="C1322" t="str">
        <f>VLOOKUP(J1322,'dataset mapping'!$A$4:$E$69,5,0)</f>
        <v>kilogram</v>
      </c>
      <c r="E1322" t="s">
        <v>64</v>
      </c>
      <c r="F1322" t="s">
        <v>86</v>
      </c>
      <c r="G1322" t="s">
        <v>1039</v>
      </c>
      <c r="H1322" t="s">
        <v>88</v>
      </c>
      <c r="I1322" t="s">
        <v>1040</v>
      </c>
      <c r="J1322" t="s">
        <v>229</v>
      </c>
      <c r="K1322" t="str">
        <f>B1294</f>
        <v>hydrogen supply, transported by truck, produced by Pyrolysis using natural gas from Switzerland</v>
      </c>
      <c r="L1322">
        <f>IF(OR(B1322&lt;0,B1322=0),1,2)</f>
        <v>2</v>
      </c>
      <c r="M1322">
        <f>IF(L1322=2,LN(B1322),"")</f>
        <v>2.7615167032973391E-2</v>
      </c>
      <c r="N1322">
        <v>1.5</v>
      </c>
      <c r="O1322" s="15">
        <v>1.2</v>
      </c>
      <c r="P1322">
        <v>1.5</v>
      </c>
      <c r="Q1322">
        <v>1.1000000000000001</v>
      </c>
      <c r="R1322">
        <v>2</v>
      </c>
      <c r="S1322">
        <v>1.2</v>
      </c>
      <c r="T1322">
        <v>3</v>
      </c>
      <c r="U1322">
        <f>LN(SQRT(EXP(
SQRT(
+POWER(LN(N1322),2)
+POWER(LN(O1322),2)
+POWER(LN(P1322),2)
+POWER(LN(Q1322),2)
+POWER(LN(R1322),2)
+POWER(LN(S1322),2)
+POWER(LN(T1322),2)
)
)))</f>
        <v>0.72314801614797197</v>
      </c>
    </row>
    <row r="1323" spans="1:22" x14ac:dyDescent="0.2">
      <c r="A1323" t="s">
        <v>130</v>
      </c>
      <c r="B1323" s="52">
        <f>(VLOOKUP(B1309,parameters!$A$71:$B$78,2,0)+VLOOKUP(B1305,parameters!$A$82:$B$84,2,0)+VLOOKUP(B1305,parameters!$A$87:$B$89,2,0))*SUM(B1319:B1320)</f>
        <v>2.4672000000000005</v>
      </c>
      <c r="C1323" t="s">
        <v>92</v>
      </c>
      <c r="E1323" t="s">
        <v>64</v>
      </c>
      <c r="F1323" t="s">
        <v>86</v>
      </c>
      <c r="G1323" t="s">
        <v>93</v>
      </c>
      <c r="H1323" t="s">
        <v>78</v>
      </c>
      <c r="I1323" t="s">
        <v>1053</v>
      </c>
      <c r="J1323" t="s">
        <v>67</v>
      </c>
      <c r="K1323" t="str">
        <f>B1294</f>
        <v>hydrogen supply, transported by truck, produced by Pyrolysis using natural gas from Switzerland</v>
      </c>
      <c r="L1323">
        <f>IF(OR(B1323&lt;0,B1323=0),1,2)</f>
        <v>2</v>
      </c>
      <c r="M1323">
        <f>IF(L1323=2,LN(B1323),"")</f>
        <v>0.90308390438687347</v>
      </c>
      <c r="N1323">
        <v>1.5</v>
      </c>
      <c r="O1323" s="15">
        <v>1.2</v>
      </c>
      <c r="P1323">
        <v>1.5</v>
      </c>
      <c r="Q1323">
        <v>1.1000000000000001</v>
      </c>
      <c r="R1323">
        <v>2</v>
      </c>
      <c r="S1323">
        <v>1.2</v>
      </c>
      <c r="T1323">
        <v>1.05</v>
      </c>
      <c r="U1323">
        <f>LN(SQRT(EXP(
SQRT(
+POWER(LN(N1323),2)
+POWER(LN(O1323),2)
+POWER(LN(P1323),2)
+POWER(LN(Q1323),2)
+POWER(LN(R1323),2)
+POWER(LN(S1323),2)
+POWER(LN(T1323),2)
)
)))</f>
        <v>0.47095746419981693</v>
      </c>
    </row>
    <row r="1324" spans="1:22" x14ac:dyDescent="0.2">
      <c r="A1324" t="s">
        <v>7</v>
      </c>
      <c r="B1324" s="53">
        <f>B1320</f>
        <v>2.8000000000000001E-2</v>
      </c>
      <c r="C1324" t="s">
        <v>56</v>
      </c>
      <c r="D1324" t="s">
        <v>100</v>
      </c>
      <c r="F1324" t="s">
        <v>99</v>
      </c>
      <c r="H1324" t="s">
        <v>131</v>
      </c>
      <c r="I1324" t="s">
        <v>160</v>
      </c>
      <c r="K1324" t="str">
        <f>B1294</f>
        <v>hydrogen supply, transported by truck, produced by Pyrolysis using natural gas from Switzerland</v>
      </c>
      <c r="L1324">
        <f>IF(OR(B1324&lt;0,B1324=0),1,2)</f>
        <v>2</v>
      </c>
      <c r="M1324">
        <f>IF(L1324=2,LN(B1324),"")</f>
        <v>-3.575550768806933</v>
      </c>
      <c r="N1324">
        <v>1.5</v>
      </c>
      <c r="O1324" s="15">
        <v>1.2</v>
      </c>
      <c r="P1324">
        <v>1.5</v>
      </c>
      <c r="Q1324">
        <v>1.1000000000000001</v>
      </c>
      <c r="R1324">
        <v>2</v>
      </c>
      <c r="S1324">
        <v>1.2</v>
      </c>
      <c r="T1324">
        <v>1.05</v>
      </c>
      <c r="U1324">
        <f>LN(SQRT(EXP(
SQRT(
+POWER(LN(N1324),2)
+POWER(LN(O1324),2)
+POWER(LN(P1324),2)
+POWER(LN(Q1324),2)
+POWER(LN(R1324),2)
+POWER(LN(S1324),2)
+POWER(LN(T1324),2)
)
)))</f>
        <v>0.47095746419981693</v>
      </c>
    </row>
    <row r="1326" spans="1:22" x14ac:dyDescent="0.2">
      <c r="A1326" s="2" t="s">
        <v>50</v>
      </c>
      <c r="B1326" s="44" t="str">
        <f>"hydrogen supply, transported by "&amp;B1337&amp;", produced by "&amp;B1341&amp;" using "&amp;B1342&amp;" from "&amp;B1343</f>
        <v>hydrogen supply, transported by pipeline, produced by Steam Methane Reforming using natural gas from Russia</v>
      </c>
    </row>
    <row r="1327" spans="1:22" x14ac:dyDescent="0.2">
      <c r="A1327" t="s">
        <v>51</v>
      </c>
      <c r="B1327" s="45" t="str">
        <f>"This dataset represents the supply of 1 kilogram of hydrogen. The hydrogen is transported by "&amp;B1337&amp;" over "&amp;B1338&amp;" km from regional storage. "&amp;" The "&amp;B1336&amp;" is produced by  "&amp;B1341&amp;", with "&amp;B1342&amp;" from "&amp;B1343&amp;" as feedstock. "&amp;A1345&amp;": "&amp;(B1345*100)&amp;"%. "&amp;A1346&amp;": "&amp;(B1346*100)&amp;".  For more information, refer to: "&amp;B1328</f>
        <v>This dataset represents the supply of 1 kilogram of hydrogen. The hydrogen is transported by pipeline over 500 km from regional storage.  The hydrogen is produced by  Steam Methane Reforming,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328" spans="1:22" x14ac:dyDescent="0.2">
      <c r="A1328" t="s">
        <v>63</v>
      </c>
      <c r="B1328" s="45" t="s">
        <v>1223</v>
      </c>
    </row>
    <row r="1329" spans="1:2" x14ac:dyDescent="0.2">
      <c r="A1329" t="s">
        <v>52</v>
      </c>
      <c r="B1329" s="45" t="s">
        <v>64</v>
      </c>
    </row>
    <row r="1330" spans="1:2" x14ac:dyDescent="0.2">
      <c r="A1330" t="s">
        <v>48</v>
      </c>
      <c r="B1330" s="45">
        <v>161</v>
      </c>
    </row>
    <row r="1331" spans="1:2" x14ac:dyDescent="0.2">
      <c r="A1331" t="s">
        <v>54</v>
      </c>
      <c r="B1331" s="45" t="s">
        <v>1129</v>
      </c>
    </row>
    <row r="1332" spans="1:2" x14ac:dyDescent="0.2">
      <c r="A1332" t="s">
        <v>55</v>
      </c>
      <c r="B1332" s="45" t="s">
        <v>56</v>
      </c>
    </row>
    <row r="1333" spans="1:2" x14ac:dyDescent="0.2">
      <c r="A1333" t="s">
        <v>0</v>
      </c>
      <c r="B1333" s="45" t="str">
        <f>INDEX(overview!$B$4:$R$338,MATCH('hydrogen - supply'!B1330,overview!$A$4:$A$338,0),MATCH('hydrogen - supply'!A1333,overview!$B$3:$R$3,0))</f>
        <v>Switzerland</v>
      </c>
    </row>
    <row r="1334" spans="1:2" x14ac:dyDescent="0.2">
      <c r="A1334" t="s">
        <v>1</v>
      </c>
      <c r="B1334" s="45">
        <f>INDEX(overview!$B$4:$R$338,MATCH('hydrogen - supply'!B1330,overview!$A$4:$A$338,0),MATCH('hydrogen - supply'!A1334,overview!$B$3:$R$3,0))</f>
        <v>2020</v>
      </c>
    </row>
    <row r="1335" spans="1:2" x14ac:dyDescent="0.2">
      <c r="A1335" t="s">
        <v>2</v>
      </c>
      <c r="B1335" s="45" t="s">
        <v>1130</v>
      </c>
    </row>
    <row r="1336" spans="1:2" x14ac:dyDescent="0.2">
      <c r="A1336" t="s">
        <v>5</v>
      </c>
      <c r="B1336" s="45" t="str">
        <f>INDEX(overview!$B$4:$R$338,MATCH('hydrogen - supply'!B1330,overview!$A$4:$A$338,0),MATCH('hydrogen - supply'!A1336,overview!$B$3:$R$3,0))</f>
        <v>hydrogen</v>
      </c>
    </row>
    <row r="1337" spans="1:2" x14ac:dyDescent="0.2">
      <c r="A1337" t="s">
        <v>4</v>
      </c>
      <c r="B1337" s="45" t="str">
        <f>INDEX(overview!$B$4:$R$338,MATCH('hydrogen - supply'!B1330,overview!$A$4:$A$338,0),MATCH('hydrogen - supply'!A1337,overview!$B$3:$R$3,0))</f>
        <v>pipeline</v>
      </c>
    </row>
    <row r="1338" spans="1:2" x14ac:dyDescent="0.2">
      <c r="A1338" t="s">
        <v>38</v>
      </c>
      <c r="B1338" s="45">
        <f>INDEX(overview!$B$4:$R$338,MATCH('hydrogen - supply'!B1330,overview!$A$4:$A$338,0),MATCH('hydrogen - supply'!A1338,overview!$B$3:$R$3,0))</f>
        <v>500</v>
      </c>
    </row>
    <row r="1339" spans="1:2" x14ac:dyDescent="0.2">
      <c r="A1339" t="s">
        <v>12</v>
      </c>
      <c r="B1339" s="45" t="str">
        <f>INDEX(overview!$B$4:$R$338,MATCH('hydrogen - supply'!B1330,overview!$A$4:$A$338,0),MATCH('hydrogen - supply'!A1339,overview!$B$3:$R$3,0))</f>
        <v>Pressure vessel for stationary storage</v>
      </c>
    </row>
    <row r="1340" spans="1:2" x14ac:dyDescent="0.2">
      <c r="A1340" t="s">
        <v>34</v>
      </c>
      <c r="B1340" s="45">
        <f>INDEX(overview!$B$4:$R$338,MATCH('hydrogen - supply'!B1330,overview!$A$4:$A$338,0),MATCH('hydrogen - supply'!A1340,overview!$B$3:$R$3,0))</f>
        <v>0</v>
      </c>
    </row>
    <row r="1341" spans="1:2" x14ac:dyDescent="0.2">
      <c r="A1341" t="s">
        <v>15</v>
      </c>
      <c r="B1341" s="45" t="str">
        <f>INDEX(overview!$B$4:$R$338,MATCH('hydrogen - supply'!B1330,overview!$A$4:$A$338,0),MATCH('hydrogen - supply'!A1341,overview!$B$3:$R$3,0))</f>
        <v>Steam Methane Reforming</v>
      </c>
    </row>
    <row r="1342" spans="1:2" x14ac:dyDescent="0.2">
      <c r="A1342" t="s">
        <v>14</v>
      </c>
      <c r="B1342" s="45" t="str">
        <f>INDEX(overview!$B$4:$R$338,MATCH('hydrogen - supply'!B1330,overview!$A$4:$A$338,0),MATCH('hydrogen - supply'!A1342,overview!$B$3:$R$3,0))</f>
        <v>natural gas</v>
      </c>
    </row>
    <row r="1343" spans="1:2" x14ac:dyDescent="0.2">
      <c r="A1343" t="s">
        <v>26</v>
      </c>
      <c r="B1343" s="45" t="str">
        <f>INDEX(overview!$B$4:$R$338,MATCH('hydrogen - supply'!B1330,overview!$A$4:$A$338,0),MATCH('hydrogen - supply'!A1343,overview!$B$3:$R$3,0))</f>
        <v>Russia</v>
      </c>
    </row>
    <row r="1344" spans="1:2" x14ac:dyDescent="0.2">
      <c r="A1344" t="s">
        <v>29</v>
      </c>
      <c r="B1344" s="45">
        <f>INDEX(overview!$B$4:$R$338,MATCH('hydrogen - supply'!B1330,overview!$A$4:$A$338,0),MATCH('hydrogen - supply'!A1344,overview!$B$3:$R$3,0))</f>
        <v>0</v>
      </c>
    </row>
    <row r="1345" spans="1:22" x14ac:dyDescent="0.2">
      <c r="A1345" t="s">
        <v>45</v>
      </c>
      <c r="B1345" s="66">
        <f>VLOOKUP(B1337,parameters!$A$94:$C$96,2,0)</f>
        <v>0.01</v>
      </c>
    </row>
    <row r="1346" spans="1:22" x14ac:dyDescent="0.2">
      <c r="A1346" t="s">
        <v>1133</v>
      </c>
      <c r="B1346" s="49">
        <f>VLOOKUP(B1337,parameters!$A$94:$D$96,3,0)</f>
        <v>2.3E-2</v>
      </c>
    </row>
    <row r="1347" spans="1:22" x14ac:dyDescent="0.2">
      <c r="B1347" s="45"/>
    </row>
    <row r="1348" spans="1:22" x14ac:dyDescent="0.2">
      <c r="A1348" s="3" t="s">
        <v>57</v>
      </c>
      <c r="B1348" s="45"/>
    </row>
    <row r="1349" spans="1:22" x14ac:dyDescent="0.2">
      <c r="A1349" s="2" t="s">
        <v>58</v>
      </c>
      <c r="B1349" s="44" t="s">
        <v>59</v>
      </c>
      <c r="C1349" s="2" t="s">
        <v>55</v>
      </c>
      <c r="D1349" s="2" t="s">
        <v>60</v>
      </c>
      <c r="E1349" s="2" t="s">
        <v>52</v>
      </c>
      <c r="F1349" s="2" t="s">
        <v>61</v>
      </c>
      <c r="G1349" s="2" t="s">
        <v>54</v>
      </c>
      <c r="H1349" s="2" t="s">
        <v>87</v>
      </c>
      <c r="I1349" s="2" t="s">
        <v>51</v>
      </c>
      <c r="J1349" s="2" t="s">
        <v>138</v>
      </c>
      <c r="K1349" s="2" t="s">
        <v>136</v>
      </c>
      <c r="L1349" s="2" t="s">
        <v>221</v>
      </c>
      <c r="M1349" s="2" t="s">
        <v>379</v>
      </c>
      <c r="N1349" s="2" t="s">
        <v>1059</v>
      </c>
      <c r="O1349" s="2" t="s">
        <v>1060</v>
      </c>
      <c r="P1349" s="2" t="s">
        <v>1061</v>
      </c>
      <c r="Q1349" s="2" t="s">
        <v>1062</v>
      </c>
      <c r="R1349" s="2" t="s">
        <v>1063</v>
      </c>
      <c r="S1349" s="2" t="s">
        <v>1064</v>
      </c>
      <c r="T1349" s="2" t="s">
        <v>1065</v>
      </c>
      <c r="U1349" s="2" t="s">
        <v>380</v>
      </c>
      <c r="V1349" s="2" t="s">
        <v>1128</v>
      </c>
    </row>
    <row r="1350" spans="1:22" x14ac:dyDescent="0.2">
      <c r="A1350" t="str">
        <f>B1326</f>
        <v>hydrogen supply, transported by pipeline, produced by Steam Methane Reforming using natural gas from Russia</v>
      </c>
      <c r="B1350" s="45">
        <v>1</v>
      </c>
      <c r="C1350" t="str">
        <f>B1332</f>
        <v>kilogram</v>
      </c>
      <c r="E1350" t="str">
        <f>B1329</f>
        <v>CH</v>
      </c>
      <c r="F1350" t="s">
        <v>62</v>
      </c>
      <c r="G1350" t="str">
        <f>B1331</f>
        <v>hydrogen, gaseous, from pipeline</v>
      </c>
      <c r="K1350" t="str">
        <f>B1326</f>
        <v>hydrogen supply, transported by pipeline, produced by Steam Methane Reforming using natural gas from Russia</v>
      </c>
    </row>
    <row r="1351" spans="1:22" x14ac:dyDescent="0.2">
      <c r="A1351" t="str">
        <f>VLOOKUP(J1351,'dataset mapping'!$A$4:$E$69,2,0)</f>
        <v>hydrogen production, steam methane reforming of natural gas, 25 bar, natural gas from Russia</v>
      </c>
      <c r="B1351" s="53">
        <v>1</v>
      </c>
      <c r="C1351" t="str">
        <f>VLOOKUP(J1351,'dataset mapping'!$A$4:$E$69,5,0)</f>
        <v>kilogram</v>
      </c>
      <c r="E1351" t="str">
        <f>VLOOKUP(J1351,'dataset mapping'!$A$4:$E$69,4,0)</f>
        <v>CH</v>
      </c>
      <c r="F1351" t="s">
        <v>86</v>
      </c>
      <c r="G1351" t="str">
        <f>VLOOKUP(J1351,'dataset mapping'!$A$4:$E$69,3,0)</f>
        <v>hydrogen, gaseous, 25 bar</v>
      </c>
      <c r="H1351" t="s">
        <v>281</v>
      </c>
      <c r="I1351" t="s">
        <v>1054</v>
      </c>
      <c r="J1351" t="str">
        <f>B1341&amp;" - "&amp;B1343</f>
        <v>Steam Methane Reforming - Russia</v>
      </c>
      <c r="K1351" t="str">
        <f>B1326</f>
        <v>hydrogen supply, transported by pipeline, produced by Steam Methane Reforming using natural gas from Russia</v>
      </c>
      <c r="L1351">
        <f t="shared" ref="L1351:L1358" si="120">IF(OR(B1351&lt;0,B1351=0),1,2)</f>
        <v>2</v>
      </c>
      <c r="M1351">
        <f t="shared" ref="M1351:M1358" si="121">IF(L1351=2,LN(B1351),"")</f>
        <v>0</v>
      </c>
      <c r="N1351">
        <v>1.5</v>
      </c>
      <c r="O1351" s="15">
        <v>1.2</v>
      </c>
      <c r="P1351">
        <v>1.5</v>
      </c>
      <c r="Q1351">
        <v>1.1000000000000001</v>
      </c>
      <c r="R1351">
        <v>2</v>
      </c>
      <c r="S1351">
        <v>1.2</v>
      </c>
      <c r="T1351">
        <v>1.05</v>
      </c>
      <c r="U1351">
        <f t="shared" ref="U1351:U1358" si="122">LN(SQRT(EXP(
SQRT(
+POWER(LN(N1351),2)
+POWER(LN(O1351),2)
+POWER(LN(P1351),2)
+POWER(LN(Q1351),2)
+POWER(LN(R1351),2)
+POWER(LN(S1351),2)
+POWER(LN(T1351),2)
)
)))</f>
        <v>0.47095746419981693</v>
      </c>
    </row>
    <row r="1352" spans="1:22" x14ac:dyDescent="0.2">
      <c r="A1352" t="str">
        <f>VLOOKUP(J1352,'dataset mapping'!$A$4:$E$69,2,0)</f>
        <v>hydrogen production, steam methane reforming of natural gas, 25 bar, natural gas from Russia</v>
      </c>
      <c r="B1352" s="53">
        <f>(B1351*B1345)+(B1346*B1351)</f>
        <v>3.3000000000000002E-2</v>
      </c>
      <c r="C1352" t="str">
        <f>VLOOKUP(J1352,'dataset mapping'!$A$4:$E$69,5,0)</f>
        <v>kilogram</v>
      </c>
      <c r="E1352" t="str">
        <f>VLOOKUP(J1352,'dataset mapping'!$A$4:$E$69,4,0)</f>
        <v>CH</v>
      </c>
      <c r="F1352" t="s">
        <v>86</v>
      </c>
      <c r="G1352" t="str">
        <f>VLOOKUP(J1352,'dataset mapping'!$A$4:$E$69,3,0)</f>
        <v>hydrogen, gaseous, 25 bar</v>
      </c>
      <c r="H1352" t="s">
        <v>76</v>
      </c>
      <c r="I1352" t="s">
        <v>1054</v>
      </c>
      <c r="J1352" t="str">
        <f>B1341&amp;" - "&amp;B1343</f>
        <v>Steam Methane Reforming - Russia</v>
      </c>
      <c r="K1352" t="str">
        <f>B1327</f>
        <v>This dataset represents the supply of 1 kilogram of hydrogen. The hydrogen is transported by pipeline over 500 km from regional storage.  The hydrogen is produced by  Steam Methane Reforming,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352">
        <f t="shared" si="120"/>
        <v>2</v>
      </c>
      <c r="M1352">
        <f t="shared" si="121"/>
        <v>-3.4112477175156566</v>
      </c>
      <c r="N1352">
        <v>1.5</v>
      </c>
      <c r="O1352" s="15">
        <v>1.2</v>
      </c>
      <c r="P1352">
        <v>1.5</v>
      </c>
      <c r="Q1352">
        <v>1.1000000000000001</v>
      </c>
      <c r="R1352">
        <v>2</v>
      </c>
      <c r="S1352">
        <v>1.2</v>
      </c>
      <c r="T1352">
        <v>1.05</v>
      </c>
      <c r="U1352">
        <f t="shared" si="122"/>
        <v>0.47095746419981693</v>
      </c>
    </row>
    <row r="1353" spans="1:22" x14ac:dyDescent="0.2">
      <c r="A1353" t="str">
        <f>VLOOKUP(J1353,'dataset mapping'!$A$4:$E$69,2,0)</f>
        <v>distribution pipeline for hydrogen, dedicated hydrogen pipeline</v>
      </c>
      <c r="B1353" s="45">
        <f>0.000000000265*SUM(B1351:B1352)*B1338*0.86</f>
        <v>1.1771035E-7</v>
      </c>
      <c r="C1353" t="str">
        <f>VLOOKUP(J1353,'dataset mapping'!$A$4:$E$69,5,0)</f>
        <v>kilometer</v>
      </c>
      <c r="E1353" t="str">
        <f>VLOOKUP(J1353,'dataset mapping'!$A$4:$E$69,4,0)</f>
        <v>CH</v>
      </c>
      <c r="F1353" t="s">
        <v>86</v>
      </c>
      <c r="G1353" t="str">
        <f>VLOOKUP(J1353,'dataset mapping'!$A$4:$E$69,3,0)</f>
        <v>pipeline, for hydrogen distribution</v>
      </c>
      <c r="H1353" t="s">
        <v>88</v>
      </c>
      <c r="I1353" t="s">
        <v>1052</v>
      </c>
      <c r="J1353" t="s">
        <v>218</v>
      </c>
      <c r="K1353" t="str">
        <f>B1326</f>
        <v>hydrogen supply, transported by pipeline, produced by Steam Methane Reforming using natural gas from Russia</v>
      </c>
      <c r="L1353">
        <f t="shared" si="120"/>
        <v>2</v>
      </c>
      <c r="M1353">
        <f t="shared" si="121"/>
        <v>-15.955038891117216</v>
      </c>
      <c r="N1353">
        <v>1.5</v>
      </c>
      <c r="O1353" s="15">
        <v>1.2</v>
      </c>
      <c r="P1353">
        <v>1.5</v>
      </c>
      <c r="Q1353">
        <v>1.1000000000000001</v>
      </c>
      <c r="R1353">
        <v>2</v>
      </c>
      <c r="S1353">
        <v>1.2</v>
      </c>
      <c r="T1353">
        <v>3</v>
      </c>
      <c r="U1353">
        <f t="shared" si="122"/>
        <v>0.72314801614797197</v>
      </c>
    </row>
    <row r="1354" spans="1:22" x14ac:dyDescent="0.2">
      <c r="A1354" t="str">
        <f>VLOOKUP(J1354,'dataset mapping'!$A$4:$E$69,2,0)</f>
        <v>transmission pipeline for hydrogen, dedicated hydrogen pipeline</v>
      </c>
      <c r="B1354" s="45">
        <f>0.000000000265*SUM(B1351:B1352)*B1338*0.14</f>
        <v>1.9162150000000001E-8</v>
      </c>
      <c r="C1354" t="str">
        <f>VLOOKUP(J1354,'dataset mapping'!$A$4:$E$69,5,0)</f>
        <v>kilometer</v>
      </c>
      <c r="E1354" t="str">
        <f>VLOOKUP(J1354,'dataset mapping'!$A$4:$E$69,4,0)</f>
        <v>CH</v>
      </c>
      <c r="F1354" t="s">
        <v>86</v>
      </c>
      <c r="G1354" t="str">
        <f>VLOOKUP(J1354,'dataset mapping'!$A$4:$E$69,3,0)</f>
        <v>pipeline, for hydrogen transmission</v>
      </c>
      <c r="H1354" t="s">
        <v>88</v>
      </c>
      <c r="I1354" t="s">
        <v>1052</v>
      </c>
      <c r="J1354" t="s">
        <v>219</v>
      </c>
      <c r="K1354" t="str">
        <f>B1326</f>
        <v>hydrogen supply, transported by pipeline, produced by Steam Methane Reforming using natural gas from Russia</v>
      </c>
      <c r="L1354">
        <f t="shared" si="120"/>
        <v>2</v>
      </c>
      <c r="M1354">
        <f t="shared" si="121"/>
        <v>-17.770328857755466</v>
      </c>
      <c r="N1354">
        <v>1.5</v>
      </c>
      <c r="O1354" s="15">
        <v>1.2</v>
      </c>
      <c r="P1354">
        <v>1.5</v>
      </c>
      <c r="Q1354">
        <v>1.1000000000000001</v>
      </c>
      <c r="R1354">
        <v>2</v>
      </c>
      <c r="S1354">
        <v>1.2</v>
      </c>
      <c r="T1354">
        <v>3</v>
      </c>
      <c r="U1354">
        <f t="shared" si="122"/>
        <v>0.72314801614797197</v>
      </c>
    </row>
    <row r="1355" spans="1:22" x14ac:dyDescent="0.2">
      <c r="A1355" t="s">
        <v>1038</v>
      </c>
      <c r="B1355" s="53">
        <f>SUM(B1351:B1352)</f>
        <v>1.0329999999999999</v>
      </c>
      <c r="C1355" t="str">
        <f>VLOOKUP(J1355,'dataset mapping'!$A$4:$E$69,5,0)</f>
        <v>kilogram</v>
      </c>
      <c r="E1355" t="s">
        <v>64</v>
      </c>
      <c r="F1355" t="s">
        <v>86</v>
      </c>
      <c r="G1355" t="s">
        <v>1039</v>
      </c>
      <c r="H1355" t="s">
        <v>88</v>
      </c>
      <c r="I1355" t="s">
        <v>1040</v>
      </c>
      <c r="J1355" t="s">
        <v>229</v>
      </c>
      <c r="K1355" t="str">
        <f>B1326</f>
        <v>hydrogen supply, transported by pipeline, produced by Steam Methane Reforming using natural gas from Russia</v>
      </c>
      <c r="L1355">
        <f t="shared" si="120"/>
        <v>2</v>
      </c>
      <c r="M1355">
        <f t="shared" si="121"/>
        <v>3.2467190137501413E-2</v>
      </c>
      <c r="N1355">
        <v>1.5</v>
      </c>
      <c r="O1355" s="15">
        <v>1.2</v>
      </c>
      <c r="P1355">
        <v>1.5</v>
      </c>
      <c r="Q1355">
        <v>1.1000000000000001</v>
      </c>
      <c r="R1355">
        <v>2</v>
      </c>
      <c r="S1355">
        <v>1.2</v>
      </c>
      <c r="T1355">
        <v>3</v>
      </c>
      <c r="U1355">
        <f t="shared" si="122"/>
        <v>0.72314801614797197</v>
      </c>
    </row>
    <row r="1356" spans="1:22" x14ac:dyDescent="0.2">
      <c r="A1356" t="s">
        <v>130</v>
      </c>
      <c r="B1356" s="52">
        <f>(VLOOKUP(B1341,parameters!$A$71:$B$78,2,0)+VLOOKUP(B1337,parameters!$A$82:$B$84,2,0)+VLOOKUP(B1337,parameters!$A$87:$B$89,2,0))*SUM(B1351:B1352)</f>
        <v>2.0246799999999996</v>
      </c>
      <c r="C1356" t="s">
        <v>92</v>
      </c>
      <c r="E1356" t="s">
        <v>64</v>
      </c>
      <c r="F1356" t="s">
        <v>86</v>
      </c>
      <c r="G1356" t="s">
        <v>93</v>
      </c>
      <c r="H1356" t="s">
        <v>78</v>
      </c>
      <c r="I1356" t="s">
        <v>1053</v>
      </c>
      <c r="J1356" t="s">
        <v>67</v>
      </c>
      <c r="K1356" t="str">
        <f>B1326</f>
        <v>hydrogen supply, transported by pipeline, produced by Steam Methane Reforming using natural gas from Russia</v>
      </c>
      <c r="L1356">
        <f t="shared" si="120"/>
        <v>2</v>
      </c>
      <c r="M1356">
        <f t="shared" si="121"/>
        <v>0.70541166337992711</v>
      </c>
      <c r="N1356">
        <v>1.5</v>
      </c>
      <c r="O1356" s="15">
        <v>1.2</v>
      </c>
      <c r="P1356">
        <v>1.5</v>
      </c>
      <c r="Q1356">
        <v>1.1000000000000001</v>
      </c>
      <c r="R1356">
        <v>2</v>
      </c>
      <c r="S1356">
        <v>1.2</v>
      </c>
      <c r="T1356">
        <v>1.05</v>
      </c>
      <c r="U1356">
        <f t="shared" si="122"/>
        <v>0.47095746419981693</v>
      </c>
    </row>
    <row r="1357" spans="1:22" x14ac:dyDescent="0.2">
      <c r="A1357" t="s">
        <v>130</v>
      </c>
      <c r="B1357" s="52">
        <f>0.6*SUM(B1351:B1352)*(B1338/250)</f>
        <v>1.2395999999999998</v>
      </c>
      <c r="C1357" t="s">
        <v>92</v>
      </c>
      <c r="E1357" t="s">
        <v>64</v>
      </c>
      <c r="F1357" t="s">
        <v>86</v>
      </c>
      <c r="G1357" t="s">
        <v>93</v>
      </c>
      <c r="H1357" t="s">
        <v>78</v>
      </c>
      <c r="I1357" t="s">
        <v>1135</v>
      </c>
      <c r="J1357" t="s">
        <v>67</v>
      </c>
      <c r="K1357" t="str">
        <f>B1327</f>
        <v>This dataset represents the supply of 1 kilogram of hydrogen. The hydrogen is transported by pipeline over 500 km from regional storage.  The hydrogen is produced by  Steam Methane Reforming,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357">
        <f t="shared" si="120"/>
        <v>2</v>
      </c>
      <c r="M1357">
        <f t="shared" si="121"/>
        <v>0.21478874693145597</v>
      </c>
      <c r="N1357">
        <v>1.5</v>
      </c>
      <c r="O1357" s="15">
        <v>1.2</v>
      </c>
      <c r="P1357">
        <v>1.5</v>
      </c>
      <c r="Q1357">
        <v>1.1000000000000001</v>
      </c>
      <c r="R1357">
        <v>2</v>
      </c>
      <c r="S1357">
        <v>1.2</v>
      </c>
      <c r="T1357">
        <v>1.05</v>
      </c>
      <c r="U1357">
        <f t="shared" si="122"/>
        <v>0.47095746419981693</v>
      </c>
    </row>
    <row r="1358" spans="1:22" x14ac:dyDescent="0.2">
      <c r="A1358" t="s">
        <v>7</v>
      </c>
      <c r="B1358" s="53">
        <f>B1352</f>
        <v>3.3000000000000002E-2</v>
      </c>
      <c r="C1358" t="s">
        <v>56</v>
      </c>
      <c r="D1358" t="s">
        <v>100</v>
      </c>
      <c r="F1358" t="s">
        <v>99</v>
      </c>
      <c r="H1358" t="s">
        <v>131</v>
      </c>
      <c r="I1358" t="s">
        <v>160</v>
      </c>
      <c r="K1358" t="str">
        <f>B1326</f>
        <v>hydrogen supply, transported by pipeline, produced by Steam Methane Reforming using natural gas from Russia</v>
      </c>
      <c r="L1358">
        <f t="shared" si="120"/>
        <v>2</v>
      </c>
      <c r="M1358">
        <f t="shared" si="121"/>
        <v>-3.4112477175156566</v>
      </c>
      <c r="N1358">
        <v>1.5</v>
      </c>
      <c r="O1358" s="15">
        <v>1.2</v>
      </c>
      <c r="P1358">
        <v>1.5</v>
      </c>
      <c r="Q1358">
        <v>1.1000000000000001</v>
      </c>
      <c r="R1358">
        <v>2</v>
      </c>
      <c r="S1358">
        <v>1.2</v>
      </c>
      <c r="T1358">
        <v>1.05</v>
      </c>
      <c r="U1358">
        <f t="shared" si="122"/>
        <v>0.47095746419981693</v>
      </c>
    </row>
    <row r="1359" spans="1:22" x14ac:dyDescent="0.2">
      <c r="B1359" s="45"/>
    </row>
    <row r="1360" spans="1:22" x14ac:dyDescent="0.2">
      <c r="A1360" s="2" t="s">
        <v>50</v>
      </c>
      <c r="B1360" s="44" t="str">
        <f>"hydrogen supply, transported by "&amp;B1371&amp;", produced by "&amp;B1375&amp;" using "&amp;B1376&amp;" from "&amp;B1377</f>
        <v>hydrogen supply, transported by truck, produced by Steam Methane Reforming using natural gas from Russia</v>
      </c>
    </row>
    <row r="1361" spans="1:2" x14ac:dyDescent="0.2">
      <c r="A1361" t="s">
        <v>51</v>
      </c>
      <c r="B1361" s="45" t="str">
        <f>"This dataset represents the supply of 1 kilogram of hydrogen. The hydrogen is transported by "&amp;B1371&amp;" over "&amp;B1372&amp;" km from regional storage. "&amp;" The "&amp;B1370&amp;" is produced by  "&amp;B1375&amp;", with "&amp;B1376&amp;" from "&amp;B1377&amp;" as feedstock. "&amp;A1379&amp;": "&amp;(B1379*100)&amp;"%. "&amp;A1380&amp;": "&amp;(B1380*100)&amp;".  For more information, refer to: "&amp;B1362</f>
        <v>This dataset represents the supply of 1 kilogram of hydrogen. The hydrogen is transported by truck over 200 km from regional storage.  The hydrogen is produced by  Steam Methane Reforming, with natural gas from Russia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362" spans="1:2" x14ac:dyDescent="0.2">
      <c r="A1362" t="s">
        <v>63</v>
      </c>
      <c r="B1362" s="45" t="s">
        <v>1223</v>
      </c>
    </row>
    <row r="1363" spans="1:2" x14ac:dyDescent="0.2">
      <c r="A1363" t="s">
        <v>52</v>
      </c>
      <c r="B1363" s="45" t="s">
        <v>64</v>
      </c>
    </row>
    <row r="1364" spans="1:2" x14ac:dyDescent="0.2">
      <c r="A1364" t="s">
        <v>48</v>
      </c>
      <c r="B1364" s="45">
        <v>165</v>
      </c>
    </row>
    <row r="1365" spans="1:2" x14ac:dyDescent="0.2">
      <c r="A1365" t="s">
        <v>54</v>
      </c>
      <c r="B1365" s="45" t="s">
        <v>1137</v>
      </c>
    </row>
    <row r="1366" spans="1:2" x14ac:dyDescent="0.2">
      <c r="A1366" t="s">
        <v>55</v>
      </c>
      <c r="B1366" s="45" t="s">
        <v>56</v>
      </c>
    </row>
    <row r="1367" spans="1:2" x14ac:dyDescent="0.2">
      <c r="A1367" t="s">
        <v>0</v>
      </c>
      <c r="B1367" s="45" t="str">
        <f>INDEX(overview!$B$4:$R$338,MATCH('hydrogen - supply'!B1364,overview!$A$4:$A$338,0),MATCH('hydrogen - supply'!A1367,overview!$B$3:$R$3,0))</f>
        <v>Switzerland</v>
      </c>
    </row>
    <row r="1368" spans="1:2" x14ac:dyDescent="0.2">
      <c r="A1368" t="s">
        <v>1</v>
      </c>
      <c r="B1368" s="45">
        <f>INDEX(overview!$B$4:$R$338,MATCH('hydrogen - supply'!B1364,overview!$A$4:$A$338,0),MATCH('hydrogen - supply'!A1368,overview!$B$3:$R$3,0))</f>
        <v>2020</v>
      </c>
    </row>
    <row r="1369" spans="1:2" x14ac:dyDescent="0.2">
      <c r="A1369" t="s">
        <v>2</v>
      </c>
      <c r="B1369" s="45" t="s">
        <v>1130</v>
      </c>
    </row>
    <row r="1370" spans="1:2" x14ac:dyDescent="0.2">
      <c r="A1370" t="s">
        <v>5</v>
      </c>
      <c r="B1370" s="45" t="str">
        <f>INDEX(overview!$B$4:$R$338,MATCH('hydrogen - supply'!B1364,overview!$A$4:$A$338,0),MATCH('hydrogen - supply'!A1370,overview!$B$3:$R$3,0))</f>
        <v>hydrogen</v>
      </c>
    </row>
    <row r="1371" spans="1:2" x14ac:dyDescent="0.2">
      <c r="A1371" t="s">
        <v>4</v>
      </c>
      <c r="B1371" s="45" t="str">
        <f>INDEX(overview!$B$4:$R$338,MATCH('hydrogen - supply'!B1364,overview!$A$4:$A$338,0),MATCH('hydrogen - supply'!A1371,overview!$B$3:$R$3,0))</f>
        <v>truck</v>
      </c>
    </row>
    <row r="1372" spans="1:2" x14ac:dyDescent="0.2">
      <c r="A1372" t="s">
        <v>38</v>
      </c>
      <c r="B1372" s="45">
        <f>INDEX(overview!$B$4:$R$338,MATCH('hydrogen - supply'!B1364,overview!$A$4:$A$338,0),MATCH('hydrogen - supply'!A1372,overview!$B$3:$R$3,0))</f>
        <v>200</v>
      </c>
    </row>
    <row r="1373" spans="1:2" x14ac:dyDescent="0.2">
      <c r="A1373" t="s">
        <v>12</v>
      </c>
      <c r="B1373" s="45" t="str">
        <f>INDEX(overview!$B$4:$R$338,MATCH('hydrogen - supply'!B1364,overview!$A$4:$A$338,0),MATCH('hydrogen - supply'!A1373,overview!$B$3:$R$3,0))</f>
        <v>Pressure vessel for stationary storage</v>
      </c>
    </row>
    <row r="1374" spans="1:2" x14ac:dyDescent="0.2">
      <c r="A1374" t="s">
        <v>34</v>
      </c>
      <c r="B1374" s="45">
        <f>INDEX(overview!$B$4:$R$338,MATCH('hydrogen - supply'!B1364,overview!$A$4:$A$338,0),MATCH('hydrogen - supply'!A1374,overview!$B$3:$R$3,0))</f>
        <v>0</v>
      </c>
    </row>
    <row r="1375" spans="1:2" x14ac:dyDescent="0.2">
      <c r="A1375" t="s">
        <v>15</v>
      </c>
      <c r="B1375" s="45" t="str">
        <f>INDEX(overview!$B$4:$R$338,MATCH('hydrogen - supply'!B1364,overview!$A$4:$A$338,0),MATCH('hydrogen - supply'!A1375,overview!$B$3:$R$3,0))</f>
        <v>Steam Methane Reforming</v>
      </c>
    </row>
    <row r="1376" spans="1:2" x14ac:dyDescent="0.2">
      <c r="A1376" t="s">
        <v>14</v>
      </c>
      <c r="B1376" s="45" t="str">
        <f>INDEX(overview!$B$4:$R$338,MATCH('hydrogen - supply'!B1364,overview!$A$4:$A$338,0),MATCH('hydrogen - supply'!A1376,overview!$B$3:$R$3,0))</f>
        <v>natural gas</v>
      </c>
    </row>
    <row r="1377" spans="1:22" x14ac:dyDescent="0.2">
      <c r="A1377" t="s">
        <v>26</v>
      </c>
      <c r="B1377" s="45" t="str">
        <f>INDEX(overview!$B$4:$R$338,MATCH('hydrogen - supply'!B1364,overview!$A$4:$A$338,0),MATCH('hydrogen - supply'!A1377,overview!$B$3:$R$3,0))</f>
        <v>Russia</v>
      </c>
    </row>
    <row r="1378" spans="1:22" x14ac:dyDescent="0.2">
      <c r="A1378" t="s">
        <v>29</v>
      </c>
      <c r="B1378" s="45">
        <f>INDEX(overview!$B$4:$R$338,MATCH('hydrogen - supply'!B1364,overview!$A$4:$A$338,0),MATCH('hydrogen - supply'!A1378,overview!$B$3:$R$3,0))</f>
        <v>0</v>
      </c>
    </row>
    <row r="1379" spans="1:22" x14ac:dyDescent="0.2">
      <c r="A1379" t="s">
        <v>45</v>
      </c>
      <c r="B1379" s="66">
        <f>VLOOKUP(B1371,parameters!$A$94:$C$96,2,0)</f>
        <v>5.0000000000000001E-3</v>
      </c>
    </row>
    <row r="1380" spans="1:22" x14ac:dyDescent="0.2">
      <c r="A1380" t="s">
        <v>1133</v>
      </c>
      <c r="B1380" s="49">
        <f>VLOOKUP(B1371,parameters!$A$94:$D$96,3,0)</f>
        <v>2.3E-2</v>
      </c>
    </row>
    <row r="1381" spans="1:22" x14ac:dyDescent="0.2">
      <c r="B1381" s="45"/>
    </row>
    <row r="1382" spans="1:22" x14ac:dyDescent="0.2">
      <c r="A1382" s="3" t="s">
        <v>57</v>
      </c>
      <c r="B1382" s="45"/>
    </row>
    <row r="1383" spans="1:22" x14ac:dyDescent="0.2">
      <c r="A1383" s="2" t="s">
        <v>58</v>
      </c>
      <c r="B1383" s="44" t="s">
        <v>59</v>
      </c>
      <c r="C1383" s="2" t="s">
        <v>55</v>
      </c>
      <c r="D1383" s="2" t="s">
        <v>60</v>
      </c>
      <c r="E1383" s="2" t="s">
        <v>52</v>
      </c>
      <c r="F1383" s="2" t="s">
        <v>61</v>
      </c>
      <c r="G1383" s="2" t="s">
        <v>54</v>
      </c>
      <c r="H1383" s="2" t="s">
        <v>87</v>
      </c>
      <c r="I1383" s="2" t="s">
        <v>51</v>
      </c>
      <c r="J1383" s="2" t="s">
        <v>138</v>
      </c>
      <c r="K1383" s="2" t="s">
        <v>136</v>
      </c>
      <c r="L1383" s="2" t="s">
        <v>221</v>
      </c>
      <c r="M1383" s="2" t="s">
        <v>379</v>
      </c>
      <c r="N1383" s="2" t="s">
        <v>1059</v>
      </c>
      <c r="O1383" s="2" t="s">
        <v>1060</v>
      </c>
      <c r="P1383" s="2" t="s">
        <v>1061</v>
      </c>
      <c r="Q1383" s="2" t="s">
        <v>1062</v>
      </c>
      <c r="R1383" s="2" t="s">
        <v>1063</v>
      </c>
      <c r="S1383" s="2" t="s">
        <v>1064</v>
      </c>
      <c r="T1383" s="2" t="s">
        <v>1065</v>
      </c>
      <c r="U1383" s="2" t="s">
        <v>380</v>
      </c>
      <c r="V1383" s="2" t="s">
        <v>1128</v>
      </c>
    </row>
    <row r="1384" spans="1:22" x14ac:dyDescent="0.2">
      <c r="A1384" t="str">
        <f>B1360</f>
        <v>hydrogen supply, transported by truck, produced by Steam Methane Reforming using natural gas from Russia</v>
      </c>
      <c r="B1384" s="45">
        <v>1</v>
      </c>
      <c r="C1384" t="str">
        <f>B1366</f>
        <v>kilogram</v>
      </c>
      <c r="E1384" t="str">
        <f>B1363</f>
        <v>CH</v>
      </c>
      <c r="F1384" t="s">
        <v>62</v>
      </c>
      <c r="G1384" t="str">
        <f>B1365</f>
        <v>hydrogen, gaseous, from truck</v>
      </c>
      <c r="K1384" t="str">
        <f>B1360</f>
        <v>hydrogen supply, transported by truck, produced by Steam Methane Reforming using natural gas from Russia</v>
      </c>
    </row>
    <row r="1385" spans="1:22" x14ac:dyDescent="0.2">
      <c r="A1385" t="str">
        <f>VLOOKUP(J1385,'dataset mapping'!$A$4:$E$69,2,0)</f>
        <v>hydrogen production, steam methane reforming of natural gas, 25 bar, natural gas from Russia</v>
      </c>
      <c r="B1385" s="53">
        <v>1</v>
      </c>
      <c r="C1385" t="str">
        <f>VLOOKUP(J1385,'dataset mapping'!$A$4:$E$69,5,0)</f>
        <v>kilogram</v>
      </c>
      <c r="E1385" t="str">
        <f>VLOOKUP(J1385,'dataset mapping'!$A$4:$E$69,4,0)</f>
        <v>CH</v>
      </c>
      <c r="F1385" t="s">
        <v>86</v>
      </c>
      <c r="G1385" t="str">
        <f>VLOOKUP(J1385,'dataset mapping'!$A$4:$E$69,3,0)</f>
        <v>hydrogen, gaseous, 25 bar</v>
      </c>
      <c r="H1385" t="s">
        <v>281</v>
      </c>
      <c r="I1385" t="s">
        <v>1054</v>
      </c>
      <c r="J1385" t="str">
        <f>B1341&amp;" - "&amp;B1343</f>
        <v>Steam Methane Reforming - Russia</v>
      </c>
      <c r="K1385" t="str">
        <f>B1360</f>
        <v>hydrogen supply, transported by truck, produced by Steam Methane Reforming using natural gas from Russia</v>
      </c>
      <c r="L1385">
        <f>IF(OR(B1385&lt;0,B1385=0),1,2)</f>
        <v>2</v>
      </c>
      <c r="M1385">
        <f>IF(L1385=2,LN(B1385),"")</f>
        <v>0</v>
      </c>
      <c r="N1385">
        <v>1.5</v>
      </c>
      <c r="O1385" s="15">
        <v>1.2</v>
      </c>
      <c r="P1385">
        <v>1.5</v>
      </c>
      <c r="Q1385">
        <v>1.1000000000000001</v>
      </c>
      <c r="R1385">
        <v>2</v>
      </c>
      <c r="S1385">
        <v>1.2</v>
      </c>
      <c r="T1385">
        <v>1.05</v>
      </c>
      <c r="U1385">
        <f>LN(SQRT(EXP(
SQRT(
+POWER(LN(N1385),2)
+POWER(LN(O1385),2)
+POWER(LN(P1385),2)
+POWER(LN(Q1385),2)
+POWER(LN(R1385),2)
+POWER(LN(S1385),2)
+POWER(LN(T1385),2)
)
)))</f>
        <v>0.47095746419981693</v>
      </c>
    </row>
    <row r="1386" spans="1:22" x14ac:dyDescent="0.2">
      <c r="A1386" t="str">
        <f>VLOOKUP(J1386,'dataset mapping'!$A$4:$E$69,2,0)</f>
        <v>hydrogen production, steam methane reforming of natural gas, 25 bar, natural gas from Russia</v>
      </c>
      <c r="B1386" s="53">
        <f>(B1385*B1379)+(B1380*B1385)</f>
        <v>2.8000000000000001E-2</v>
      </c>
      <c r="C1386" t="str">
        <f>VLOOKUP(J1386,'dataset mapping'!$A$4:$E$69,5,0)</f>
        <v>kilogram</v>
      </c>
      <c r="E1386" t="str">
        <f>VLOOKUP(J1386,'dataset mapping'!$A$4:$E$69,4,0)</f>
        <v>CH</v>
      </c>
      <c r="F1386" t="s">
        <v>86</v>
      </c>
      <c r="G1386" t="str">
        <f>VLOOKUP(J1386,'dataset mapping'!$A$4:$E$69,3,0)</f>
        <v>hydrogen, gaseous, 25 bar</v>
      </c>
      <c r="H1386" t="s">
        <v>76</v>
      </c>
      <c r="I1386" t="s">
        <v>1054</v>
      </c>
      <c r="J1386" t="str">
        <f>B1341&amp;" - "&amp;B1343</f>
        <v>Steam Methane Reforming - Russia</v>
      </c>
      <c r="K1386" t="str">
        <f>B1361</f>
        <v>This dataset represents the supply of 1 kilogram of hydrogen. The hydrogen is transported by truck over 200 km from regional storage.  The hydrogen is produced by  Steam Methane Reforming, with natural gas from Russia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386">
        <f>IF(OR(B1386&lt;0,B1386=0),1,2)</f>
        <v>2</v>
      </c>
      <c r="M1386">
        <f>IF(L1386=2,LN(B1386),"")</f>
        <v>-3.575550768806933</v>
      </c>
      <c r="N1386">
        <v>1.5</v>
      </c>
      <c r="O1386" s="15">
        <v>1.2</v>
      </c>
      <c r="P1386">
        <v>1.5</v>
      </c>
      <c r="Q1386">
        <v>1.1000000000000001</v>
      </c>
      <c r="R1386">
        <v>2</v>
      </c>
      <c r="S1386">
        <v>1.2</v>
      </c>
      <c r="T1386">
        <v>1.05</v>
      </c>
      <c r="U1386">
        <f>LN(SQRT(EXP(
SQRT(
+POWER(LN(N1386),2)
+POWER(LN(O1386),2)
+POWER(LN(P1386),2)
+POWER(LN(Q1386),2)
+POWER(LN(R1386),2)
+POWER(LN(S1386),2)
+POWER(LN(T1386),2)
)
)))</f>
        <v>0.47095746419981693</v>
      </c>
    </row>
    <row r="1387" spans="1:22" x14ac:dyDescent="0.2">
      <c r="A1387" t="str">
        <f>VLOOKUP(J1387,'dataset mapping'!$A$4:$E$69,2,0)</f>
        <v>market for transport, freight train</v>
      </c>
      <c r="B1387" s="45">
        <f>SUM(B1385:B1386)/1000*B1372</f>
        <v>0.2056</v>
      </c>
      <c r="C1387" t="str">
        <f>VLOOKUP(J1387,'dataset mapping'!$A$4:$E$69,5,0)</f>
        <v>ton kilometer</v>
      </c>
      <c r="E1387" t="str">
        <f>VLOOKUP(J1387,'dataset mapping'!$A$4:$E$69,4,0)</f>
        <v>CH</v>
      </c>
      <c r="F1387" t="s">
        <v>86</v>
      </c>
      <c r="G1387" t="str">
        <f>VLOOKUP(J1387,'dataset mapping'!$A$4:$E$69,3,0)</f>
        <v>transport, freight train</v>
      </c>
      <c r="H1387" t="s">
        <v>88</v>
      </c>
      <c r="I1387" t="s">
        <v>1052</v>
      </c>
      <c r="J1387" t="s">
        <v>295</v>
      </c>
      <c r="K1387" t="str">
        <f>B1343</f>
        <v>Russia</v>
      </c>
      <c r="L1387">
        <f t="shared" ref="L1387" si="123">IF(OR(B1387&lt;0,B1387=0),1,2)</f>
        <v>2</v>
      </c>
      <c r="M1387">
        <f t="shared" ref="M1387" si="124">IF(L1387=2,LN(B1387),"")</f>
        <v>-1.5818227454011269</v>
      </c>
      <c r="N1387">
        <v>1.5</v>
      </c>
      <c r="O1387" s="15">
        <v>1.2</v>
      </c>
      <c r="P1387">
        <v>1.5</v>
      </c>
      <c r="Q1387">
        <v>1.1000000000000001</v>
      </c>
      <c r="R1387">
        <v>2</v>
      </c>
      <c r="S1387">
        <v>1.2</v>
      </c>
      <c r="T1387">
        <v>2</v>
      </c>
      <c r="U1387">
        <f t="shared" ref="U1387" si="125">LN(SQRT(EXP(
SQRT(
+POWER(LN(N1387),2)
+POWER(LN(O1387),2)
+POWER(LN(P1387),2)
+POWER(LN(Q1387),2)
+POWER(LN(R1387),2)
+POWER(LN(S1387),2)
+POWER(LN(T1387),2)
)
)))</f>
        <v>0.58422518478336083</v>
      </c>
    </row>
    <row r="1388" spans="1:22" x14ac:dyDescent="0.2">
      <c r="A1388" t="s">
        <v>1038</v>
      </c>
      <c r="B1388" s="53">
        <f>SUM(B1385:B1386)</f>
        <v>1.028</v>
      </c>
      <c r="C1388" t="str">
        <f>VLOOKUP(J1388,'dataset mapping'!$A$4:$E$69,5,0)</f>
        <v>kilogram</v>
      </c>
      <c r="E1388" t="s">
        <v>64</v>
      </c>
      <c r="F1388" t="s">
        <v>86</v>
      </c>
      <c r="G1388" t="s">
        <v>1039</v>
      </c>
      <c r="H1388" t="s">
        <v>88</v>
      </c>
      <c r="I1388" t="s">
        <v>1040</v>
      </c>
      <c r="J1388" t="s">
        <v>229</v>
      </c>
      <c r="K1388" t="str">
        <f>B1360</f>
        <v>hydrogen supply, transported by truck, produced by Steam Methane Reforming using natural gas from Russia</v>
      </c>
      <c r="L1388">
        <f>IF(OR(B1388&lt;0,B1388=0),1,2)</f>
        <v>2</v>
      </c>
      <c r="M1388">
        <f>IF(L1388=2,LN(B1388),"")</f>
        <v>2.7615167032973391E-2</v>
      </c>
      <c r="N1388">
        <v>1.5</v>
      </c>
      <c r="O1388" s="15">
        <v>1.2</v>
      </c>
      <c r="P1388">
        <v>1.5</v>
      </c>
      <c r="Q1388">
        <v>1.1000000000000001</v>
      </c>
      <c r="R1388">
        <v>2</v>
      </c>
      <c r="S1388">
        <v>1.2</v>
      </c>
      <c r="T1388">
        <v>3</v>
      </c>
      <c r="U1388">
        <f>LN(SQRT(EXP(
SQRT(
+POWER(LN(N1388),2)
+POWER(LN(O1388),2)
+POWER(LN(P1388),2)
+POWER(LN(Q1388),2)
+POWER(LN(R1388),2)
+POWER(LN(S1388),2)
+POWER(LN(T1388),2)
)
)))</f>
        <v>0.72314801614797197</v>
      </c>
    </row>
    <row r="1389" spans="1:22" x14ac:dyDescent="0.2">
      <c r="A1389" t="s">
        <v>130</v>
      </c>
      <c r="B1389" s="52">
        <f>(VLOOKUP(B1375,parameters!$A$71:$B$78,2,0)+VLOOKUP(B1371,parameters!$A$82:$B$84,2,0)+VLOOKUP(B1371,parameters!$A$87:$B$89,2,0))*SUM(B1385:B1386)</f>
        <v>3.5774400000000006</v>
      </c>
      <c r="C1389" t="s">
        <v>92</v>
      </c>
      <c r="E1389" t="s">
        <v>64</v>
      </c>
      <c r="F1389" t="s">
        <v>86</v>
      </c>
      <c r="G1389" t="s">
        <v>93</v>
      </c>
      <c r="H1389" t="s">
        <v>78</v>
      </c>
      <c r="I1389" t="s">
        <v>1053</v>
      </c>
      <c r="J1389" t="s">
        <v>67</v>
      </c>
      <c r="K1389" t="str">
        <f>B1360</f>
        <v>hydrogen supply, transported by truck, produced by Steam Methane Reforming using natural gas from Russia</v>
      </c>
      <c r="L1389">
        <f>IF(OR(B1389&lt;0,B1389=0),1,2)</f>
        <v>2</v>
      </c>
      <c r="M1389">
        <f>IF(L1389=2,LN(B1389),"")</f>
        <v>1.2746474608193565</v>
      </c>
      <c r="N1389">
        <v>1.5</v>
      </c>
      <c r="O1389" s="15">
        <v>1.2</v>
      </c>
      <c r="P1389">
        <v>1.5</v>
      </c>
      <c r="Q1389">
        <v>1.1000000000000001</v>
      </c>
      <c r="R1389">
        <v>2</v>
      </c>
      <c r="S1389">
        <v>1.2</v>
      </c>
      <c r="T1389">
        <v>1.05</v>
      </c>
      <c r="U1389">
        <f>LN(SQRT(EXP(
SQRT(
+POWER(LN(N1389),2)
+POWER(LN(O1389),2)
+POWER(LN(P1389),2)
+POWER(LN(Q1389),2)
+POWER(LN(R1389),2)
+POWER(LN(S1389),2)
+POWER(LN(T1389),2)
)
)))</f>
        <v>0.47095746419981693</v>
      </c>
    </row>
    <row r="1390" spans="1:22" x14ac:dyDescent="0.2">
      <c r="A1390" t="s">
        <v>7</v>
      </c>
      <c r="B1390" s="53">
        <f>B1386</f>
        <v>2.8000000000000001E-2</v>
      </c>
      <c r="C1390" t="s">
        <v>56</v>
      </c>
      <c r="D1390" t="s">
        <v>100</v>
      </c>
      <c r="F1390" t="s">
        <v>99</v>
      </c>
      <c r="H1390" t="s">
        <v>131</v>
      </c>
      <c r="I1390" t="s">
        <v>160</v>
      </c>
      <c r="K1390" t="str">
        <f>B1360</f>
        <v>hydrogen supply, transported by truck, produced by Steam Methane Reforming using natural gas from Russia</v>
      </c>
      <c r="L1390">
        <f>IF(OR(B1390&lt;0,B1390=0),1,2)</f>
        <v>2</v>
      </c>
      <c r="M1390">
        <f>IF(L1390=2,LN(B1390),"")</f>
        <v>-3.575550768806933</v>
      </c>
      <c r="N1390">
        <v>1.5</v>
      </c>
      <c r="O1390" s="15">
        <v>1.2</v>
      </c>
      <c r="P1390">
        <v>1.5</v>
      </c>
      <c r="Q1390">
        <v>1.1000000000000001</v>
      </c>
      <c r="R1390">
        <v>2</v>
      </c>
      <c r="S1390">
        <v>1.2</v>
      </c>
      <c r="T1390">
        <v>1.05</v>
      </c>
      <c r="U1390">
        <f>LN(SQRT(EXP(
SQRT(
+POWER(LN(N1390),2)
+POWER(LN(O1390),2)
+POWER(LN(P1390),2)
+POWER(LN(Q1390),2)
+POWER(LN(R1390),2)
+POWER(LN(S1390),2)
+POWER(LN(T1390),2)
)
)))</f>
        <v>0.47095746419981693</v>
      </c>
    </row>
    <row r="1392" spans="1:22" x14ac:dyDescent="0.2">
      <c r="A1392" s="2" t="s">
        <v>50</v>
      </c>
      <c r="B1392" s="44" t="str">
        <f>"hydrogen supply, transported by "&amp;B1403&amp;", produced by "&amp;B1407&amp;" using "&amp;B1408&amp;" from "&amp;B1409</f>
        <v>hydrogen supply, transported by pipeline, produced by Steam Methane Reforming, with CCS using natural gas from Russia</v>
      </c>
    </row>
    <row r="1393" spans="1:2" x14ac:dyDescent="0.2">
      <c r="A1393" t="s">
        <v>51</v>
      </c>
      <c r="B1393" s="45" t="str">
        <f>"This dataset represents the supply of 1 kilogram of hydrogen. The hydrogen is transported by "&amp;B1403&amp;" over "&amp;B1404&amp;" km from regional storage. "&amp;" The "&amp;B1402&amp;" is produced by  "&amp;B1407&amp;", with "&amp;B1408&amp;" from "&amp;B1409&amp;" as feedstock. "&amp;A1411&amp;": "&amp;(B1411*100)&amp;"%. "&amp;A1412&amp;": "&amp;(B1412*100)&amp;".  For more information, refer to: "&amp;B1394</f>
        <v>This dataset represents the supply of 1 kilogram of hydrogen. The hydrogen is transported by pipeline over 500 km from regional storage.  The hydrogen is produced by  Steam Methane Reforming, with CCS,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row>
    <row r="1394" spans="1:2" x14ac:dyDescent="0.2">
      <c r="A1394" t="s">
        <v>63</v>
      </c>
      <c r="B1394" s="45" t="s">
        <v>1223</v>
      </c>
    </row>
    <row r="1395" spans="1:2" x14ac:dyDescent="0.2">
      <c r="A1395" t="s">
        <v>52</v>
      </c>
      <c r="B1395" s="45" t="s">
        <v>64</v>
      </c>
    </row>
    <row r="1396" spans="1:2" x14ac:dyDescent="0.2">
      <c r="A1396" t="s">
        <v>48</v>
      </c>
      <c r="B1396" s="45">
        <v>169</v>
      </c>
    </row>
    <row r="1397" spans="1:2" x14ac:dyDescent="0.2">
      <c r="A1397" t="s">
        <v>54</v>
      </c>
      <c r="B1397" s="45" t="s">
        <v>1129</v>
      </c>
    </row>
    <row r="1398" spans="1:2" x14ac:dyDescent="0.2">
      <c r="A1398" t="s">
        <v>55</v>
      </c>
      <c r="B1398" s="45" t="s">
        <v>56</v>
      </c>
    </row>
    <row r="1399" spans="1:2" x14ac:dyDescent="0.2">
      <c r="A1399" t="s">
        <v>0</v>
      </c>
      <c r="B1399" s="45" t="str">
        <f>INDEX(overview!$B$4:$R$338,MATCH('hydrogen - supply'!B1396,overview!$A$4:$A$338,0),MATCH('hydrogen - supply'!A1399,overview!$B$3:$R$3,0))</f>
        <v>Switzerland</v>
      </c>
    </row>
    <row r="1400" spans="1:2" x14ac:dyDescent="0.2">
      <c r="A1400" t="s">
        <v>1</v>
      </c>
      <c r="B1400" s="45">
        <f>INDEX(overview!$B$4:$R$338,MATCH('hydrogen - supply'!B1396,overview!$A$4:$A$338,0),MATCH('hydrogen - supply'!A1400,overview!$B$3:$R$3,0))</f>
        <v>2020</v>
      </c>
    </row>
    <row r="1401" spans="1:2" x14ac:dyDescent="0.2">
      <c r="A1401" t="s">
        <v>2</v>
      </c>
      <c r="B1401" s="45" t="s">
        <v>1130</v>
      </c>
    </row>
    <row r="1402" spans="1:2" x14ac:dyDescent="0.2">
      <c r="A1402" t="s">
        <v>5</v>
      </c>
      <c r="B1402" s="45" t="str">
        <f>INDEX(overview!$B$4:$R$338,MATCH('hydrogen - supply'!B1396,overview!$A$4:$A$338,0),MATCH('hydrogen - supply'!A1402,overview!$B$3:$R$3,0))</f>
        <v>hydrogen</v>
      </c>
    </row>
    <row r="1403" spans="1:2" x14ac:dyDescent="0.2">
      <c r="A1403" t="s">
        <v>4</v>
      </c>
      <c r="B1403" s="45" t="str">
        <f>INDEX(overview!$B$4:$R$338,MATCH('hydrogen - supply'!B1396,overview!$A$4:$A$338,0),MATCH('hydrogen - supply'!A1403,overview!$B$3:$R$3,0))</f>
        <v>pipeline</v>
      </c>
    </row>
    <row r="1404" spans="1:2" x14ac:dyDescent="0.2">
      <c r="A1404" t="s">
        <v>38</v>
      </c>
      <c r="B1404" s="45">
        <f>INDEX(overview!$B$4:$R$338,MATCH('hydrogen - supply'!B1396,overview!$A$4:$A$338,0),MATCH('hydrogen - supply'!A1404,overview!$B$3:$R$3,0))</f>
        <v>500</v>
      </c>
    </row>
    <row r="1405" spans="1:2" x14ac:dyDescent="0.2">
      <c r="A1405" t="s">
        <v>12</v>
      </c>
      <c r="B1405" s="45" t="str">
        <f>INDEX(overview!$B$4:$R$338,MATCH('hydrogen - supply'!B1396,overview!$A$4:$A$338,0),MATCH('hydrogen - supply'!A1405,overview!$B$3:$R$3,0))</f>
        <v>Pressure vessel for stationary storage</v>
      </c>
    </row>
    <row r="1406" spans="1:2" x14ac:dyDescent="0.2">
      <c r="A1406" t="s">
        <v>34</v>
      </c>
      <c r="B1406" s="45">
        <f>INDEX(overview!$B$4:$R$338,MATCH('hydrogen - supply'!B1396,overview!$A$4:$A$338,0),MATCH('hydrogen - supply'!A1406,overview!$B$3:$R$3,0))</f>
        <v>0</v>
      </c>
    </row>
    <row r="1407" spans="1:2" x14ac:dyDescent="0.2">
      <c r="A1407" t="s">
        <v>15</v>
      </c>
      <c r="B1407" s="45" t="str">
        <f>INDEX(overview!$B$4:$R$338,MATCH('hydrogen - supply'!B1396,overview!$A$4:$A$338,0),MATCH('hydrogen - supply'!A1407,overview!$B$3:$R$3,0))</f>
        <v>Steam Methane Reforming, with CCS</v>
      </c>
    </row>
    <row r="1408" spans="1:2" x14ac:dyDescent="0.2">
      <c r="A1408" t="s">
        <v>14</v>
      </c>
      <c r="B1408" s="45" t="str">
        <f>INDEX(overview!$B$4:$R$338,MATCH('hydrogen - supply'!B1396,overview!$A$4:$A$338,0),MATCH('hydrogen - supply'!A1408,overview!$B$3:$R$3,0))</f>
        <v>natural gas</v>
      </c>
    </row>
    <row r="1409" spans="1:22" x14ac:dyDescent="0.2">
      <c r="A1409" t="s">
        <v>26</v>
      </c>
      <c r="B1409" s="45" t="str">
        <f>INDEX(overview!$B$4:$R$338,MATCH('hydrogen - supply'!B1396,overview!$A$4:$A$338,0),MATCH('hydrogen - supply'!A1409,overview!$B$3:$R$3,0))</f>
        <v>Russia</v>
      </c>
    </row>
    <row r="1410" spans="1:22" x14ac:dyDescent="0.2">
      <c r="A1410" t="s">
        <v>29</v>
      </c>
      <c r="B1410" s="45">
        <f>INDEX(overview!$B$4:$R$338,MATCH('hydrogen - supply'!B1396,overview!$A$4:$A$338,0),MATCH('hydrogen - supply'!A1410,overview!$B$3:$R$3,0))</f>
        <v>0</v>
      </c>
    </row>
    <row r="1411" spans="1:22" x14ac:dyDescent="0.2">
      <c r="A1411" t="s">
        <v>45</v>
      </c>
      <c r="B1411" s="66">
        <f>VLOOKUP(B1403,parameters!$A$94:$C$96,2,0)</f>
        <v>0.01</v>
      </c>
    </row>
    <row r="1412" spans="1:22" x14ac:dyDescent="0.2">
      <c r="A1412" t="s">
        <v>1133</v>
      </c>
      <c r="B1412" s="49">
        <f>VLOOKUP(B1403,parameters!$A$94:$D$96,3,0)</f>
        <v>2.3E-2</v>
      </c>
    </row>
    <row r="1413" spans="1:22" x14ac:dyDescent="0.2">
      <c r="B1413" s="45"/>
    </row>
    <row r="1414" spans="1:22" x14ac:dyDescent="0.2">
      <c r="A1414" s="3" t="s">
        <v>57</v>
      </c>
      <c r="B1414" s="45"/>
    </row>
    <row r="1415" spans="1:22" x14ac:dyDescent="0.2">
      <c r="A1415" s="2" t="s">
        <v>58</v>
      </c>
      <c r="B1415" s="44" t="s">
        <v>59</v>
      </c>
      <c r="C1415" s="2" t="s">
        <v>55</v>
      </c>
      <c r="D1415" s="2" t="s">
        <v>60</v>
      </c>
      <c r="E1415" s="2" t="s">
        <v>52</v>
      </c>
      <c r="F1415" s="2" t="s">
        <v>61</v>
      </c>
      <c r="G1415" s="2" t="s">
        <v>54</v>
      </c>
      <c r="H1415" s="2" t="s">
        <v>87</v>
      </c>
      <c r="I1415" s="2" t="s">
        <v>51</v>
      </c>
      <c r="J1415" s="2" t="s">
        <v>138</v>
      </c>
      <c r="K1415" s="2" t="s">
        <v>136</v>
      </c>
      <c r="L1415" s="2" t="s">
        <v>221</v>
      </c>
      <c r="M1415" s="2" t="s">
        <v>379</v>
      </c>
      <c r="N1415" s="2" t="s">
        <v>1059</v>
      </c>
      <c r="O1415" s="2" t="s">
        <v>1060</v>
      </c>
      <c r="P1415" s="2" t="s">
        <v>1061</v>
      </c>
      <c r="Q1415" s="2" t="s">
        <v>1062</v>
      </c>
      <c r="R1415" s="2" t="s">
        <v>1063</v>
      </c>
      <c r="S1415" s="2" t="s">
        <v>1064</v>
      </c>
      <c r="T1415" s="2" t="s">
        <v>1065</v>
      </c>
      <c r="U1415" s="2" t="s">
        <v>380</v>
      </c>
      <c r="V1415" s="2" t="s">
        <v>1128</v>
      </c>
    </row>
    <row r="1416" spans="1:22" x14ac:dyDescent="0.2">
      <c r="A1416" t="str">
        <f>B1392</f>
        <v>hydrogen supply, transported by pipeline, produced by Steam Methane Reforming, with CCS using natural gas from Russia</v>
      </c>
      <c r="B1416" s="45">
        <v>1</v>
      </c>
      <c r="C1416" t="str">
        <f>B1398</f>
        <v>kilogram</v>
      </c>
      <c r="E1416" t="str">
        <f>B1395</f>
        <v>CH</v>
      </c>
      <c r="F1416" t="s">
        <v>62</v>
      </c>
      <c r="G1416" t="str">
        <f>B1397</f>
        <v>hydrogen, gaseous, from pipeline</v>
      </c>
      <c r="K1416" t="str">
        <f>B1392</f>
        <v>hydrogen supply, transported by pipeline, produced by Steam Methane Reforming, with CCS using natural gas from Russia</v>
      </c>
    </row>
    <row r="1417" spans="1:22" x14ac:dyDescent="0.2">
      <c r="A1417" t="str">
        <f>VLOOKUP(J1417,'dataset mapping'!$A$4:$E$69,2,0)</f>
        <v>hydrogen production, steam methane reforming of natural gas, with CCS (MDEA, 98% eff.), 25 bar, natural gas from Russia</v>
      </c>
      <c r="B1417" s="53">
        <v>1</v>
      </c>
      <c r="C1417" t="str">
        <f>VLOOKUP(J1417,'dataset mapping'!$A$4:$E$69,5,0)</f>
        <v>kilogram</v>
      </c>
      <c r="E1417" t="str">
        <f>VLOOKUP(J1417,'dataset mapping'!$A$4:$E$69,4,0)</f>
        <v>CH</v>
      </c>
      <c r="F1417" t="s">
        <v>86</v>
      </c>
      <c r="G1417" t="str">
        <f>VLOOKUP(J1417,'dataset mapping'!$A$4:$E$69,3,0)</f>
        <v>hydrogen, gaseous, 25 bar</v>
      </c>
      <c r="H1417" t="s">
        <v>281</v>
      </c>
      <c r="I1417" t="s">
        <v>1054</v>
      </c>
      <c r="J1417" t="str">
        <f>B1407&amp;" - "&amp;B1409</f>
        <v>Steam Methane Reforming, with CCS - Russia</v>
      </c>
      <c r="K1417" t="str">
        <f>B1392</f>
        <v>hydrogen supply, transported by pipeline, produced by Steam Methane Reforming, with CCS using natural gas from Russia</v>
      </c>
      <c r="L1417">
        <f t="shared" ref="L1417:L1424" si="126">IF(OR(B1417&lt;0,B1417=0),1,2)</f>
        <v>2</v>
      </c>
      <c r="M1417">
        <f t="shared" ref="M1417:M1424" si="127">IF(L1417=2,LN(B1417),"")</f>
        <v>0</v>
      </c>
      <c r="N1417">
        <v>1.5</v>
      </c>
      <c r="O1417" s="15">
        <v>1.2</v>
      </c>
      <c r="P1417">
        <v>1.5</v>
      </c>
      <c r="Q1417">
        <v>1.1000000000000001</v>
      </c>
      <c r="R1417">
        <v>2</v>
      </c>
      <c r="S1417">
        <v>1.2</v>
      </c>
      <c r="T1417">
        <v>1.05</v>
      </c>
      <c r="U1417">
        <f t="shared" ref="U1417:U1424" si="128">LN(SQRT(EXP(
SQRT(
+POWER(LN(N1417),2)
+POWER(LN(O1417),2)
+POWER(LN(P1417),2)
+POWER(LN(Q1417),2)
+POWER(LN(R1417),2)
+POWER(LN(S1417),2)
+POWER(LN(T1417),2)
)
)))</f>
        <v>0.47095746419981693</v>
      </c>
    </row>
    <row r="1418" spans="1:22" x14ac:dyDescent="0.2">
      <c r="A1418" t="str">
        <f>VLOOKUP(J1418,'dataset mapping'!$A$4:$E$69,2,0)</f>
        <v>hydrogen production, steam methane reforming of natural gas, with CCS (MDEA, 98% eff.), 25 bar, natural gas from Russia</v>
      </c>
      <c r="B1418" s="53">
        <f>(B1417*B1411)+(B1412*B1417)</f>
        <v>3.3000000000000002E-2</v>
      </c>
      <c r="C1418" t="str">
        <f>VLOOKUP(J1418,'dataset mapping'!$A$4:$E$69,5,0)</f>
        <v>kilogram</v>
      </c>
      <c r="E1418" t="str">
        <f>VLOOKUP(J1418,'dataset mapping'!$A$4:$E$69,4,0)</f>
        <v>CH</v>
      </c>
      <c r="F1418" t="s">
        <v>86</v>
      </c>
      <c r="G1418" t="str">
        <f>VLOOKUP(J1418,'dataset mapping'!$A$4:$E$69,3,0)</f>
        <v>hydrogen, gaseous, 25 bar</v>
      </c>
      <c r="H1418" t="s">
        <v>76</v>
      </c>
      <c r="I1418" t="s">
        <v>1054</v>
      </c>
      <c r="J1418" t="str">
        <f>B1407&amp;" - "&amp;B1409</f>
        <v>Steam Methane Reforming, with CCS - Russia</v>
      </c>
      <c r="K1418" t="str">
        <f>B1393</f>
        <v>This dataset represents the supply of 1 kilogram of hydrogen. The hydrogen is transported by pipeline over 500 km from regional storage.  The hydrogen is produced by  Steam Methane Reforming, with CCS,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418">
        <f t="shared" si="126"/>
        <v>2</v>
      </c>
      <c r="M1418">
        <f t="shared" si="127"/>
        <v>-3.4112477175156566</v>
      </c>
      <c r="N1418">
        <v>1.5</v>
      </c>
      <c r="O1418" s="15">
        <v>1.2</v>
      </c>
      <c r="P1418">
        <v>1.5</v>
      </c>
      <c r="Q1418">
        <v>1.1000000000000001</v>
      </c>
      <c r="R1418">
        <v>2</v>
      </c>
      <c r="S1418">
        <v>1.2</v>
      </c>
      <c r="T1418">
        <v>1.05</v>
      </c>
      <c r="U1418">
        <f t="shared" si="128"/>
        <v>0.47095746419981693</v>
      </c>
    </row>
    <row r="1419" spans="1:22" x14ac:dyDescent="0.2">
      <c r="A1419" t="str">
        <f>VLOOKUP(J1419,'dataset mapping'!$A$4:$E$69,2,0)</f>
        <v>distribution pipeline for hydrogen, dedicated hydrogen pipeline</v>
      </c>
      <c r="B1419" s="45">
        <f>0.000000000265*SUM(B1417:B1418)*B1404*0.86</f>
        <v>1.1771035E-7</v>
      </c>
      <c r="C1419" t="str">
        <f>VLOOKUP(J1419,'dataset mapping'!$A$4:$E$69,5,0)</f>
        <v>kilometer</v>
      </c>
      <c r="E1419" t="str">
        <f>VLOOKUP(J1419,'dataset mapping'!$A$4:$E$69,4,0)</f>
        <v>CH</v>
      </c>
      <c r="F1419" t="s">
        <v>86</v>
      </c>
      <c r="G1419" t="str">
        <f>VLOOKUP(J1419,'dataset mapping'!$A$4:$E$69,3,0)</f>
        <v>pipeline, for hydrogen distribution</v>
      </c>
      <c r="H1419" t="s">
        <v>88</v>
      </c>
      <c r="I1419" t="s">
        <v>1052</v>
      </c>
      <c r="J1419" t="s">
        <v>218</v>
      </c>
      <c r="K1419" t="str">
        <f>B1392</f>
        <v>hydrogen supply, transported by pipeline, produced by Steam Methane Reforming, with CCS using natural gas from Russia</v>
      </c>
      <c r="L1419">
        <f t="shared" si="126"/>
        <v>2</v>
      </c>
      <c r="M1419">
        <f t="shared" si="127"/>
        <v>-15.955038891117216</v>
      </c>
      <c r="N1419">
        <v>1.5</v>
      </c>
      <c r="O1419" s="15">
        <v>1.2</v>
      </c>
      <c r="P1419">
        <v>1.5</v>
      </c>
      <c r="Q1419">
        <v>1.1000000000000001</v>
      </c>
      <c r="R1419">
        <v>2</v>
      </c>
      <c r="S1419">
        <v>1.2</v>
      </c>
      <c r="T1419">
        <v>3</v>
      </c>
      <c r="U1419">
        <f t="shared" si="128"/>
        <v>0.72314801614797197</v>
      </c>
    </row>
    <row r="1420" spans="1:22" x14ac:dyDescent="0.2">
      <c r="A1420" t="str">
        <f>VLOOKUP(J1420,'dataset mapping'!$A$4:$E$69,2,0)</f>
        <v>transmission pipeline for hydrogen, dedicated hydrogen pipeline</v>
      </c>
      <c r="B1420" s="45">
        <f>0.000000000265*SUM(B1417:B1418)*B1404*0.14</f>
        <v>1.9162150000000001E-8</v>
      </c>
      <c r="C1420" t="str">
        <f>VLOOKUP(J1420,'dataset mapping'!$A$4:$E$69,5,0)</f>
        <v>kilometer</v>
      </c>
      <c r="E1420" t="str">
        <f>VLOOKUP(J1420,'dataset mapping'!$A$4:$E$69,4,0)</f>
        <v>CH</v>
      </c>
      <c r="F1420" t="s">
        <v>86</v>
      </c>
      <c r="G1420" t="str">
        <f>VLOOKUP(J1420,'dataset mapping'!$A$4:$E$69,3,0)</f>
        <v>pipeline, for hydrogen transmission</v>
      </c>
      <c r="H1420" t="s">
        <v>88</v>
      </c>
      <c r="I1420" t="s">
        <v>1052</v>
      </c>
      <c r="J1420" t="s">
        <v>219</v>
      </c>
      <c r="K1420" t="str">
        <f>B1392</f>
        <v>hydrogen supply, transported by pipeline, produced by Steam Methane Reforming, with CCS using natural gas from Russia</v>
      </c>
      <c r="L1420">
        <f t="shared" si="126"/>
        <v>2</v>
      </c>
      <c r="M1420">
        <f t="shared" si="127"/>
        <v>-17.770328857755466</v>
      </c>
      <c r="N1420">
        <v>1.5</v>
      </c>
      <c r="O1420" s="15">
        <v>1.2</v>
      </c>
      <c r="P1420">
        <v>1.5</v>
      </c>
      <c r="Q1420">
        <v>1.1000000000000001</v>
      </c>
      <c r="R1420">
        <v>2</v>
      </c>
      <c r="S1420">
        <v>1.2</v>
      </c>
      <c r="T1420">
        <v>3</v>
      </c>
      <c r="U1420">
        <f t="shared" si="128"/>
        <v>0.72314801614797197</v>
      </c>
    </row>
    <row r="1421" spans="1:22" x14ac:dyDescent="0.2">
      <c r="A1421" t="s">
        <v>1038</v>
      </c>
      <c r="B1421" s="53">
        <f>SUM(B1417:B1418)</f>
        <v>1.0329999999999999</v>
      </c>
      <c r="C1421" t="str">
        <f>VLOOKUP(J1421,'dataset mapping'!$A$4:$E$69,5,0)</f>
        <v>kilogram</v>
      </c>
      <c r="E1421" t="s">
        <v>64</v>
      </c>
      <c r="F1421" t="s">
        <v>86</v>
      </c>
      <c r="G1421" t="s">
        <v>1039</v>
      </c>
      <c r="H1421" t="s">
        <v>88</v>
      </c>
      <c r="I1421" t="s">
        <v>1040</v>
      </c>
      <c r="J1421" t="s">
        <v>229</v>
      </c>
      <c r="K1421" t="str">
        <f>B1392</f>
        <v>hydrogen supply, transported by pipeline, produced by Steam Methane Reforming, with CCS using natural gas from Russia</v>
      </c>
      <c r="L1421">
        <f t="shared" si="126"/>
        <v>2</v>
      </c>
      <c r="M1421">
        <f t="shared" si="127"/>
        <v>3.2467190137501413E-2</v>
      </c>
      <c r="N1421">
        <v>1.5</v>
      </c>
      <c r="O1421" s="15">
        <v>1.2</v>
      </c>
      <c r="P1421">
        <v>1.5</v>
      </c>
      <c r="Q1421">
        <v>1.1000000000000001</v>
      </c>
      <c r="R1421">
        <v>2</v>
      </c>
      <c r="S1421">
        <v>1.2</v>
      </c>
      <c r="T1421">
        <v>3</v>
      </c>
      <c r="U1421">
        <f t="shared" si="128"/>
        <v>0.72314801614797197</v>
      </c>
    </row>
    <row r="1422" spans="1:22" x14ac:dyDescent="0.2">
      <c r="A1422" t="s">
        <v>130</v>
      </c>
      <c r="B1422" s="52">
        <f>(VLOOKUP(B1407,parameters!$A$71:$B$78,2,0)+VLOOKUP(B1403,parameters!$A$82:$B$84,2,0)+VLOOKUP(B1403,parameters!$A$87:$B$89,2,0))*SUM(B1417:B1418)</f>
        <v>2.0246799999999996</v>
      </c>
      <c r="C1422" t="s">
        <v>92</v>
      </c>
      <c r="E1422" t="s">
        <v>64</v>
      </c>
      <c r="F1422" t="s">
        <v>86</v>
      </c>
      <c r="G1422" t="s">
        <v>93</v>
      </c>
      <c r="H1422" t="s">
        <v>78</v>
      </c>
      <c r="I1422" t="s">
        <v>1053</v>
      </c>
      <c r="J1422" t="s">
        <v>67</v>
      </c>
      <c r="K1422" t="str">
        <f>B1392</f>
        <v>hydrogen supply, transported by pipeline, produced by Steam Methane Reforming, with CCS using natural gas from Russia</v>
      </c>
      <c r="L1422">
        <f t="shared" si="126"/>
        <v>2</v>
      </c>
      <c r="M1422">
        <f t="shared" si="127"/>
        <v>0.70541166337992711</v>
      </c>
      <c r="N1422">
        <v>1.5</v>
      </c>
      <c r="O1422" s="15">
        <v>1.2</v>
      </c>
      <c r="P1422">
        <v>1.5</v>
      </c>
      <c r="Q1422">
        <v>1.1000000000000001</v>
      </c>
      <c r="R1422">
        <v>2</v>
      </c>
      <c r="S1422">
        <v>1.2</v>
      </c>
      <c r="T1422">
        <v>1.05</v>
      </c>
      <c r="U1422">
        <f t="shared" si="128"/>
        <v>0.47095746419981693</v>
      </c>
    </row>
    <row r="1423" spans="1:22" x14ac:dyDescent="0.2">
      <c r="A1423" t="s">
        <v>130</v>
      </c>
      <c r="B1423" s="52">
        <f>0.6*SUM(B1417:B1418)*(B1404/250)</f>
        <v>1.2395999999999998</v>
      </c>
      <c r="C1423" t="s">
        <v>92</v>
      </c>
      <c r="E1423" t="s">
        <v>64</v>
      </c>
      <c r="F1423" t="s">
        <v>86</v>
      </c>
      <c r="G1423" t="s">
        <v>93</v>
      </c>
      <c r="H1423" t="s">
        <v>78</v>
      </c>
      <c r="I1423" t="s">
        <v>1135</v>
      </c>
      <c r="J1423" t="s">
        <v>67</v>
      </c>
      <c r="K1423" t="str">
        <f>B1393</f>
        <v>This dataset represents the supply of 1 kilogram of hydrogen. The hydrogen is transported by pipeline over 500 km from regional storage.  The hydrogen is produced by  Steam Methane Reforming, with CCS, with natural gas from Russia as feedstock. Distribution loss [% output]: 1%. Regional storage loss [% output]: 2.3.  For more information, refer to: Sacchi, R. and Bauer, C. Life Cycle Assessment of Power-to-X processes and associated electricity and heat applications in the residential sector. Paul Scherrer Institut, 2023.</v>
      </c>
      <c r="L1423">
        <f t="shared" si="126"/>
        <v>2</v>
      </c>
      <c r="M1423">
        <f t="shared" si="127"/>
        <v>0.21478874693145597</v>
      </c>
      <c r="N1423">
        <v>1.5</v>
      </c>
      <c r="O1423" s="15">
        <v>1.2</v>
      </c>
      <c r="P1423">
        <v>1.5</v>
      </c>
      <c r="Q1423">
        <v>1.1000000000000001</v>
      </c>
      <c r="R1423">
        <v>2</v>
      </c>
      <c r="S1423">
        <v>1.2</v>
      </c>
      <c r="T1423">
        <v>1.05</v>
      </c>
      <c r="U1423">
        <f t="shared" si="128"/>
        <v>0.47095746419981693</v>
      </c>
    </row>
    <row r="1424" spans="1:22" x14ac:dyDescent="0.2">
      <c r="A1424" t="s">
        <v>7</v>
      </c>
      <c r="B1424" s="53">
        <f>B1418</f>
        <v>3.3000000000000002E-2</v>
      </c>
      <c r="C1424" t="s">
        <v>56</v>
      </c>
      <c r="D1424" t="s">
        <v>100</v>
      </c>
      <c r="F1424" t="s">
        <v>99</v>
      </c>
      <c r="H1424" t="s">
        <v>131</v>
      </c>
      <c r="I1424" t="s">
        <v>160</v>
      </c>
      <c r="K1424" t="str">
        <f>B1392</f>
        <v>hydrogen supply, transported by pipeline, produced by Steam Methane Reforming, with CCS using natural gas from Russia</v>
      </c>
      <c r="L1424">
        <f t="shared" si="126"/>
        <v>2</v>
      </c>
      <c r="M1424">
        <f t="shared" si="127"/>
        <v>-3.4112477175156566</v>
      </c>
      <c r="N1424">
        <v>1.5</v>
      </c>
      <c r="O1424" s="15">
        <v>1.2</v>
      </c>
      <c r="P1424">
        <v>1.5</v>
      </c>
      <c r="Q1424">
        <v>1.1000000000000001</v>
      </c>
      <c r="R1424">
        <v>2</v>
      </c>
      <c r="S1424">
        <v>1.2</v>
      </c>
      <c r="T1424">
        <v>1.05</v>
      </c>
      <c r="U1424">
        <f t="shared" si="128"/>
        <v>0.47095746419981693</v>
      </c>
    </row>
    <row r="1425" spans="1:2" x14ac:dyDescent="0.2">
      <c r="B1425" s="45"/>
    </row>
    <row r="1426" spans="1:2" x14ac:dyDescent="0.2">
      <c r="A1426" s="2" t="s">
        <v>50</v>
      </c>
      <c r="B1426" s="44" t="str">
        <f>"hydrogen supply, transported by "&amp;B1437&amp;", produced by "&amp;B1441&amp;" using "&amp;B1442&amp;" from "&amp;B1443</f>
        <v>hydrogen supply, transported by truck, produced by Steam Methane Reforming, with CCS using natural gas from Russia</v>
      </c>
    </row>
    <row r="1427" spans="1:2" x14ac:dyDescent="0.2">
      <c r="A1427" t="s">
        <v>51</v>
      </c>
      <c r="B1427" s="45" t="str">
        <f>"This dataset represents the supply of 1 kilogram of hydrogen. The hydrogen is transported by "&amp;B1437&amp;" over "&amp;B1438&amp;" km from regional storage. "&amp;" The "&amp;B1436&amp;" is produced by  "&amp;B1441&amp;", with "&amp;B1442&amp;" from "&amp;B1443&amp;" as feedstock. "&amp;A1445&amp;": "&amp;(B1445*100)&amp;"%. "&amp;A1446&amp;": "&amp;(B1446*100)&amp;".  For more information, refer to: "&amp;B1428</f>
        <v>This dataset represents the supply of 1 kilogram of hydrogen. The hydrogen is transported by truck over 200 km from regional storage.  The hydrogen is produced by  Steam Methane Reforming, with CCS, with natural gas from Russia as feedstock. Distribution loss [% output]: 0.5%. Regional storage loss [% output]: 2.3.  For more information, refer to: Sacchi, R. and Bauer, C. Life Cycle Assessment of Power-to-X processes and associated electricity and heat applications in the residential sector. Paul Scherrer Institut, 2023.</v>
      </c>
    </row>
    <row r="1428" spans="1:2" x14ac:dyDescent="0.2">
      <c r="A1428" t="s">
        <v>63</v>
      </c>
      <c r="B1428" s="45" t="s">
        <v>1223</v>
      </c>
    </row>
    <row r="1429" spans="1:2" x14ac:dyDescent="0.2">
      <c r="A1429" t="s">
        <v>52</v>
      </c>
      <c r="B1429" s="45" t="s">
        <v>64</v>
      </c>
    </row>
    <row r="1430" spans="1:2" x14ac:dyDescent="0.2">
      <c r="A1430" t="s">
        <v>48</v>
      </c>
      <c r="B1430" s="45">
        <v>173</v>
      </c>
    </row>
    <row r="1431" spans="1:2" x14ac:dyDescent="0.2">
      <c r="A1431" t="s">
        <v>54</v>
      </c>
      <c r="B1431" s="45" t="s">
        <v>1137</v>
      </c>
    </row>
    <row r="1432" spans="1:2" x14ac:dyDescent="0.2">
      <c r="A1432" t="s">
        <v>55</v>
      </c>
      <c r="B1432" s="45" t="s">
        <v>56</v>
      </c>
    </row>
    <row r="1433" spans="1:2" x14ac:dyDescent="0.2">
      <c r="A1433" t="s">
        <v>0</v>
      </c>
      <c r="B1433" s="45" t="str">
        <f>INDEX(overview!$B$4:$R$338,MATCH('hydrogen - supply'!B1430,overview!$A$4:$A$338,0),MATCH('hydrogen - supply'!A1433,overview!$B$3:$R$3,0))</f>
        <v>Switzerland</v>
      </c>
    </row>
    <row r="1434" spans="1:2" x14ac:dyDescent="0.2">
      <c r="A1434" t="s">
        <v>1</v>
      </c>
      <c r="B1434" s="45">
        <f>INDEX(overview!$B$4:$R$338,MATCH('hydrogen - supply'!B1430,overview!$A$4:$A$338,0),MATCH('hydrogen - supply'!A1434,overview!$B$3:$R$3,0))</f>
        <v>2020</v>
      </c>
    </row>
    <row r="1435" spans="1:2" x14ac:dyDescent="0.2">
      <c r="A1435" t="s">
        <v>2</v>
      </c>
      <c r="B1435" s="45" t="s">
        <v>1130</v>
      </c>
    </row>
    <row r="1436" spans="1:2" x14ac:dyDescent="0.2">
      <c r="A1436" t="s">
        <v>5</v>
      </c>
      <c r="B1436" s="45" t="str">
        <f>INDEX(overview!$B$4:$R$338,MATCH('hydrogen - supply'!B1430,overview!$A$4:$A$338,0),MATCH('hydrogen - supply'!A1436,overview!$B$3:$R$3,0))</f>
        <v>hydrogen</v>
      </c>
    </row>
    <row r="1437" spans="1:2" x14ac:dyDescent="0.2">
      <c r="A1437" t="s">
        <v>4</v>
      </c>
      <c r="B1437" s="45" t="str">
        <f>INDEX(overview!$B$4:$R$338,MATCH('hydrogen - supply'!B1430,overview!$A$4:$A$338,0),MATCH('hydrogen - supply'!A1437,overview!$B$3:$R$3,0))</f>
        <v>truck</v>
      </c>
    </row>
    <row r="1438" spans="1:2" x14ac:dyDescent="0.2">
      <c r="A1438" t="s">
        <v>38</v>
      </c>
      <c r="B1438" s="45">
        <f>INDEX(overview!$B$4:$R$338,MATCH('hydrogen - supply'!B1430,overview!$A$4:$A$338,0),MATCH('hydrogen - supply'!A1438,overview!$B$3:$R$3,0))</f>
        <v>200</v>
      </c>
    </row>
    <row r="1439" spans="1:2" x14ac:dyDescent="0.2">
      <c r="A1439" t="s">
        <v>12</v>
      </c>
      <c r="B1439" s="45" t="str">
        <f>INDEX(overview!$B$4:$R$338,MATCH('hydrogen - supply'!B1430,overview!$A$4:$A$338,0),MATCH('hydrogen - supply'!A1439,overview!$B$3:$R$3,0))</f>
        <v>Pressure vessel for stationary storage</v>
      </c>
    </row>
    <row r="1440" spans="1:2" x14ac:dyDescent="0.2">
      <c r="A1440" t="s">
        <v>34</v>
      </c>
      <c r="B1440" s="45">
        <f>INDEX(overview!$B$4:$R$338,MATCH('hydrogen - supply'!B1430,overview!$A$4:$A$338,0),MATCH('hydrogen - supply'!A1440,overview!$B$3:$R$3,0))</f>
        <v>0</v>
      </c>
    </row>
    <row r="1441" spans="1:22" x14ac:dyDescent="0.2">
      <c r="A1441" t="s">
        <v>15</v>
      </c>
      <c r="B1441" s="45" t="str">
        <f>INDEX(overview!$B$4:$R$338,MATCH('hydrogen - supply'!B1430,overview!$A$4:$A$338,0),MATCH('hydrogen - supply'!A1441,overview!$B$3:$R$3,0))</f>
        <v>Steam Methane Reforming, with CCS</v>
      </c>
    </row>
    <row r="1442" spans="1:22" x14ac:dyDescent="0.2">
      <c r="A1442" t="s">
        <v>14</v>
      </c>
      <c r="B1442" s="45" t="str">
        <f>INDEX(overview!$B$4:$R$338,MATCH('hydrogen - supply'!B1430,overview!$A$4:$A$338,0),MATCH('hydrogen - supply'!A1442,overview!$B$3:$R$3,0))</f>
        <v>natural gas</v>
      </c>
    </row>
    <row r="1443" spans="1:22" x14ac:dyDescent="0.2">
      <c r="A1443" t="s">
        <v>26</v>
      </c>
      <c r="B1443" s="45" t="str">
        <f>INDEX(overview!$B$4:$R$338,MATCH('hydrogen - supply'!B1430,overview!$A$4:$A$338,0),MATCH('hydrogen - supply'!A1443,overview!$B$3:$R$3,0))</f>
        <v>Russia</v>
      </c>
    </row>
    <row r="1444" spans="1:22" x14ac:dyDescent="0.2">
      <c r="A1444" t="s">
        <v>29</v>
      </c>
      <c r="B1444" s="45">
        <f>INDEX(overview!$B$4:$R$338,MATCH('hydrogen - supply'!B1430,overview!$A$4:$A$338,0),MATCH('hydrogen - supply'!A1444,overview!$B$3:$R$3,0))</f>
        <v>0</v>
      </c>
    </row>
    <row r="1445" spans="1:22" x14ac:dyDescent="0.2">
      <c r="A1445" t="s">
        <v>45</v>
      </c>
      <c r="B1445" s="66">
        <f>VLOOKUP(B1437,parameters!$A$94:$C$96,2,0)</f>
        <v>5.0000000000000001E-3</v>
      </c>
    </row>
    <row r="1446" spans="1:22" x14ac:dyDescent="0.2">
      <c r="A1446" t="s">
        <v>1133</v>
      </c>
      <c r="B1446" s="49">
        <f>VLOOKUP(B1437,parameters!$A$94:$D$96,3,0)</f>
        <v>2.3E-2</v>
      </c>
    </row>
    <row r="1447" spans="1:22" x14ac:dyDescent="0.2">
      <c r="B1447" s="45"/>
    </row>
    <row r="1448" spans="1:22" x14ac:dyDescent="0.2">
      <c r="A1448" s="3" t="s">
        <v>57</v>
      </c>
      <c r="B1448" s="45"/>
    </row>
    <row r="1449" spans="1:22" x14ac:dyDescent="0.2">
      <c r="A1449" s="2" t="s">
        <v>58</v>
      </c>
      <c r="B1449" s="44" t="s">
        <v>59</v>
      </c>
      <c r="C1449" s="2" t="s">
        <v>55</v>
      </c>
      <c r="D1449" s="2" t="s">
        <v>60</v>
      </c>
      <c r="E1449" s="2" t="s">
        <v>52</v>
      </c>
      <c r="F1449" s="2" t="s">
        <v>61</v>
      </c>
      <c r="G1449" s="2" t="s">
        <v>54</v>
      </c>
      <c r="H1449" s="2" t="s">
        <v>87</v>
      </c>
      <c r="I1449" s="2" t="s">
        <v>51</v>
      </c>
      <c r="J1449" s="2" t="s">
        <v>138</v>
      </c>
      <c r="K1449" s="2" t="s">
        <v>136</v>
      </c>
      <c r="L1449" s="2" t="s">
        <v>221</v>
      </c>
      <c r="M1449" s="2" t="s">
        <v>379</v>
      </c>
      <c r="N1449" s="2" t="s">
        <v>1059</v>
      </c>
      <c r="O1449" s="2" t="s">
        <v>1060</v>
      </c>
      <c r="P1449" s="2" t="s">
        <v>1061</v>
      </c>
      <c r="Q1449" s="2" t="s">
        <v>1062</v>
      </c>
      <c r="R1449" s="2" t="s">
        <v>1063</v>
      </c>
      <c r="S1449" s="2" t="s">
        <v>1064</v>
      </c>
      <c r="T1449" s="2" t="s">
        <v>1065</v>
      </c>
      <c r="U1449" s="2" t="s">
        <v>380</v>
      </c>
      <c r="V1449" s="2" t="s">
        <v>1128</v>
      </c>
    </row>
    <row r="1450" spans="1:22" x14ac:dyDescent="0.2">
      <c r="A1450" t="str">
        <f>B1426</f>
        <v>hydrogen supply, transported by truck, produced by Steam Methane Reforming, with CCS using natural gas from Russia</v>
      </c>
      <c r="B1450" s="45">
        <v>1</v>
      </c>
      <c r="C1450" t="str">
        <f>B1432</f>
        <v>kilogram</v>
      </c>
      <c r="E1450" t="str">
        <f>B1429</f>
        <v>CH</v>
      </c>
      <c r="F1450" t="s">
        <v>62</v>
      </c>
      <c r="G1450" t="str">
        <f>B1431</f>
        <v>hydrogen, gaseous, from truck</v>
      </c>
      <c r="K1450" t="str">
        <f>B1426</f>
        <v>hydrogen supply, transported by truck, produced by Steam Methane Reforming, with CCS using natural gas from Russia</v>
      </c>
    </row>
    <row r="1451" spans="1:22" x14ac:dyDescent="0.2">
      <c r="A1451" t="str">
        <f>VLOOKUP(J1451,'dataset mapping'!$A$4:$E$69,2,0)</f>
        <v>hydrogen production, steam methane reforming of natural gas, with CCS (MDEA, 98% eff.), 25 bar, natural gas from Russia</v>
      </c>
      <c r="B1451" s="53">
        <v>1</v>
      </c>
      <c r="C1451" t="str">
        <f>VLOOKUP(J1451,'dataset mapping'!$A$4:$E$69,5,0)</f>
        <v>kilogram</v>
      </c>
      <c r="E1451" t="str">
        <f>VLOOKUP(J1451,'dataset mapping'!$A$4:$E$69,4,0)</f>
        <v>CH</v>
      </c>
      <c r="F1451" t="s">
        <v>86</v>
      </c>
      <c r="G1451" t="str">
        <f>VLOOKUP(J1451,'dataset mapping'!$A$4:$E$69,3,0)</f>
        <v>hydrogen, gaseous, 25 bar</v>
      </c>
      <c r="H1451" t="s">
        <v>281</v>
      </c>
      <c r="I1451" t="s">
        <v>1054</v>
      </c>
      <c r="J1451" t="str">
        <f>B1407&amp;" - "&amp;B1409</f>
        <v>Steam Methane Reforming, with CCS - Russia</v>
      </c>
      <c r="K1451" t="str">
        <f>B1426</f>
        <v>hydrogen supply, transported by truck, produced by Steam Methane Reforming, with CCS using natural gas from Russia</v>
      </c>
      <c r="L1451">
        <f>IF(OR(B1451&lt;0,B1451=0),1,2)</f>
        <v>2</v>
      </c>
      <c r="M1451">
        <f>IF(L1451=2,LN(B1451),"")</f>
        <v>0</v>
      </c>
      <c r="N1451">
        <v>1.5</v>
      </c>
      <c r="O1451" s="15">
        <v>1.2</v>
      </c>
      <c r="P1451">
        <v>1.5</v>
      </c>
      <c r="Q1451">
        <v>1.1000000000000001</v>
      </c>
      <c r="R1451">
        <v>2</v>
      </c>
      <c r="S1451">
        <v>1.2</v>
      </c>
      <c r="T1451">
        <v>1.05</v>
      </c>
      <c r="U1451">
        <f>LN(SQRT(EXP(
SQRT(
+POWER(LN(N1451),2)
+POWER(LN(O1451),2)
+POWER(LN(P1451),2)
+POWER(LN(Q1451),2)
+POWER(LN(R1451),2)
+POWER(LN(S1451),2)
+POWER(LN(T1451),2)
)
)))</f>
        <v>0.47095746419981693</v>
      </c>
    </row>
    <row r="1452" spans="1:22" x14ac:dyDescent="0.2">
      <c r="A1452" t="str">
        <f>VLOOKUP(J1452,'dataset mapping'!$A$4:$E$69,2,0)</f>
        <v>hydrogen production, steam methane reforming of natural gas, with CCS (MDEA, 98% eff.), 25 bar, natural gas from Russia</v>
      </c>
      <c r="B1452" s="53">
        <f>(B1451*B1445)+(B1446*B1451)</f>
        <v>2.8000000000000001E-2</v>
      </c>
      <c r="C1452" t="str">
        <f>VLOOKUP(J1452,'dataset mapping'!$A$4:$E$69,5,0)</f>
        <v>kilogram</v>
      </c>
      <c r="E1452" t="str">
        <f>VLOOKUP(J1452,'dataset mapping'!$A$4:$E$69,4,0)</f>
        <v>CH</v>
      </c>
      <c r="F1452" t="s">
        <v>86</v>
      </c>
      <c r="G1452" t="str">
        <f>VLOOKUP(J1452,'dataset mapping'!$A$4:$E$69,3,0)</f>
        <v>hydrogen, gaseous, 25 bar</v>
      </c>
      <c r="H1452" t="s">
        <v>76</v>
      </c>
      <c r="I1452" t="s">
        <v>1054</v>
      </c>
      <c r="J1452" t="str">
        <f>B1407&amp;" - "&amp;B1409</f>
        <v>Steam Methane Reforming, with CCS - Russia</v>
      </c>
      <c r="K1452" t="str">
        <f>B1427</f>
        <v>This dataset represents the supply of 1 kilogram of hydrogen. The hydrogen is transported by truck over 200 km from regional storage.  The hydrogen is produced by  Steam Methane Reforming, with CCS, with natural gas from Russia as feedstock. Distribution loss [% output]: 0.5%. Regional storage loss [% output]: 2.3.  For more information, refer to: Sacchi, R. and Bauer, C. Life Cycle Assessment of Power-to-X processes and associated electricity and heat applications in the residential sector. Paul Scherrer Institut, 2023.</v>
      </c>
      <c r="L1452">
        <f>IF(OR(B1452&lt;0,B1452=0),1,2)</f>
        <v>2</v>
      </c>
      <c r="M1452">
        <f>IF(L1452=2,LN(B1452),"")</f>
        <v>-3.575550768806933</v>
      </c>
      <c r="N1452">
        <v>1.5</v>
      </c>
      <c r="O1452" s="15">
        <v>1.2</v>
      </c>
      <c r="P1452">
        <v>1.5</v>
      </c>
      <c r="Q1452">
        <v>1.1000000000000001</v>
      </c>
      <c r="R1452">
        <v>2</v>
      </c>
      <c r="S1452">
        <v>1.2</v>
      </c>
      <c r="T1452">
        <v>1.05</v>
      </c>
      <c r="U1452">
        <f>LN(SQRT(EXP(
SQRT(
+POWER(LN(N1452),2)
+POWER(LN(O1452),2)
+POWER(LN(P1452),2)
+POWER(LN(Q1452),2)
+POWER(LN(R1452),2)
+POWER(LN(S1452),2)
+POWER(LN(T1452),2)
)
)))</f>
        <v>0.47095746419981693</v>
      </c>
    </row>
    <row r="1453" spans="1:22" x14ac:dyDescent="0.2">
      <c r="A1453" t="str">
        <f>VLOOKUP(J1453,'dataset mapping'!$A$4:$E$69,2,0)</f>
        <v>market for transport, freight train</v>
      </c>
      <c r="B1453" s="45">
        <f>SUM(B1451:B1452)/1000*B1438</f>
        <v>0.2056</v>
      </c>
      <c r="C1453" t="str">
        <f>VLOOKUP(J1453,'dataset mapping'!$A$4:$E$69,5,0)</f>
        <v>ton kilometer</v>
      </c>
      <c r="E1453" t="str">
        <f>VLOOKUP(J1453,'dataset mapping'!$A$4:$E$69,4,0)</f>
        <v>CH</v>
      </c>
      <c r="F1453" t="s">
        <v>86</v>
      </c>
      <c r="G1453" t="str">
        <f>VLOOKUP(J1453,'dataset mapping'!$A$4:$E$69,3,0)</f>
        <v>transport, freight train</v>
      </c>
      <c r="H1453" t="s">
        <v>88</v>
      </c>
      <c r="I1453" t="s">
        <v>1052</v>
      </c>
      <c r="J1453" t="s">
        <v>295</v>
      </c>
      <c r="K1453" t="str">
        <f>B1409</f>
        <v>Russia</v>
      </c>
      <c r="L1453">
        <f t="shared" ref="L1453" si="129">IF(OR(B1453&lt;0,B1453=0),1,2)</f>
        <v>2</v>
      </c>
      <c r="M1453">
        <f t="shared" ref="M1453" si="130">IF(L1453=2,LN(B1453),"")</f>
        <v>-1.5818227454011269</v>
      </c>
      <c r="N1453">
        <v>1.5</v>
      </c>
      <c r="O1453" s="15">
        <v>1.2</v>
      </c>
      <c r="P1453">
        <v>1.5</v>
      </c>
      <c r="Q1453">
        <v>1.1000000000000001</v>
      </c>
      <c r="R1453">
        <v>2</v>
      </c>
      <c r="S1453">
        <v>1.2</v>
      </c>
      <c r="T1453">
        <v>2</v>
      </c>
      <c r="U1453">
        <f t="shared" ref="U1453" si="131">LN(SQRT(EXP(
SQRT(
+POWER(LN(N1453),2)
+POWER(LN(O1453),2)
+POWER(LN(P1453),2)
+POWER(LN(Q1453),2)
+POWER(LN(R1453),2)
+POWER(LN(S1453),2)
+POWER(LN(T1453),2)
)
)))</f>
        <v>0.58422518478336083</v>
      </c>
    </row>
    <row r="1454" spans="1:22" x14ac:dyDescent="0.2">
      <c r="A1454" t="s">
        <v>1038</v>
      </c>
      <c r="B1454" s="53">
        <f>SUM(B1451:B1452)</f>
        <v>1.028</v>
      </c>
      <c r="C1454" t="str">
        <f>VLOOKUP(J1454,'dataset mapping'!$A$4:$E$69,5,0)</f>
        <v>kilogram</v>
      </c>
      <c r="E1454" t="s">
        <v>64</v>
      </c>
      <c r="F1454" t="s">
        <v>86</v>
      </c>
      <c r="G1454" t="s">
        <v>1039</v>
      </c>
      <c r="H1454" t="s">
        <v>88</v>
      </c>
      <c r="I1454" t="s">
        <v>1040</v>
      </c>
      <c r="J1454" t="s">
        <v>229</v>
      </c>
      <c r="K1454" t="str">
        <f>B1426</f>
        <v>hydrogen supply, transported by truck, produced by Steam Methane Reforming, with CCS using natural gas from Russia</v>
      </c>
      <c r="L1454">
        <f>IF(OR(B1454&lt;0,B1454=0),1,2)</f>
        <v>2</v>
      </c>
      <c r="M1454">
        <f>IF(L1454=2,LN(B1454),"")</f>
        <v>2.7615167032973391E-2</v>
      </c>
      <c r="N1454">
        <v>1.5</v>
      </c>
      <c r="O1454" s="15">
        <v>1.2</v>
      </c>
      <c r="P1454">
        <v>1.5</v>
      </c>
      <c r="Q1454">
        <v>1.1000000000000001</v>
      </c>
      <c r="R1454">
        <v>2</v>
      </c>
      <c r="S1454">
        <v>1.2</v>
      </c>
      <c r="T1454">
        <v>3</v>
      </c>
      <c r="U1454">
        <f>LN(SQRT(EXP(
SQRT(
+POWER(LN(N1454),2)
+POWER(LN(O1454),2)
+POWER(LN(P1454),2)
+POWER(LN(Q1454),2)
+POWER(LN(R1454),2)
+POWER(LN(S1454),2)
+POWER(LN(T1454),2)
)
)))</f>
        <v>0.72314801614797197</v>
      </c>
    </row>
    <row r="1455" spans="1:22" x14ac:dyDescent="0.2">
      <c r="A1455" t="s">
        <v>130</v>
      </c>
      <c r="B1455" s="52">
        <f>(VLOOKUP(B1441,parameters!$A$71:$B$78,2,0)+VLOOKUP(B1437,parameters!$A$82:$B$84,2,0)+VLOOKUP(B1437,parameters!$A$87:$B$89,2,0))*SUM(B1451:B1452)</f>
        <v>3.5774400000000006</v>
      </c>
      <c r="C1455" t="s">
        <v>92</v>
      </c>
      <c r="E1455" t="s">
        <v>64</v>
      </c>
      <c r="F1455" t="s">
        <v>86</v>
      </c>
      <c r="G1455" t="s">
        <v>93</v>
      </c>
      <c r="H1455" t="s">
        <v>78</v>
      </c>
      <c r="I1455" t="s">
        <v>1053</v>
      </c>
      <c r="J1455" t="s">
        <v>67</v>
      </c>
      <c r="K1455" t="str">
        <f>B1426</f>
        <v>hydrogen supply, transported by truck, produced by Steam Methane Reforming, with CCS using natural gas from Russia</v>
      </c>
      <c r="L1455">
        <f>IF(OR(B1455&lt;0,B1455=0),1,2)</f>
        <v>2</v>
      </c>
      <c r="M1455">
        <f>IF(L1455=2,LN(B1455),"")</f>
        <v>1.2746474608193565</v>
      </c>
      <c r="N1455">
        <v>1.5</v>
      </c>
      <c r="O1455" s="15">
        <v>1.2</v>
      </c>
      <c r="P1455">
        <v>1.5</v>
      </c>
      <c r="Q1455">
        <v>1.1000000000000001</v>
      </c>
      <c r="R1455">
        <v>2</v>
      </c>
      <c r="S1455">
        <v>1.2</v>
      </c>
      <c r="T1455">
        <v>1.05</v>
      </c>
      <c r="U1455">
        <f>LN(SQRT(EXP(
SQRT(
+POWER(LN(N1455),2)
+POWER(LN(O1455),2)
+POWER(LN(P1455),2)
+POWER(LN(Q1455),2)
+POWER(LN(R1455),2)
+POWER(LN(S1455),2)
+POWER(LN(T1455),2)
)
)))</f>
        <v>0.47095746419981693</v>
      </c>
    </row>
    <row r="1456" spans="1:22" x14ac:dyDescent="0.2">
      <c r="A1456" t="s">
        <v>7</v>
      </c>
      <c r="B1456" s="53">
        <f>B1452</f>
        <v>2.8000000000000001E-2</v>
      </c>
      <c r="C1456" t="s">
        <v>56</v>
      </c>
      <c r="D1456" t="s">
        <v>100</v>
      </c>
      <c r="F1456" t="s">
        <v>99</v>
      </c>
      <c r="H1456" t="s">
        <v>131</v>
      </c>
      <c r="I1456" t="s">
        <v>160</v>
      </c>
      <c r="K1456" t="str">
        <f>B1426</f>
        <v>hydrogen supply, transported by truck, produced by Steam Methane Reforming, with CCS using natural gas from Russia</v>
      </c>
      <c r="L1456">
        <f>IF(OR(B1456&lt;0,B1456=0),1,2)</f>
        <v>2</v>
      </c>
      <c r="M1456">
        <f>IF(L1456=2,LN(B1456),"")</f>
        <v>-3.575550768806933</v>
      </c>
      <c r="N1456">
        <v>1.5</v>
      </c>
      <c r="O1456" s="15">
        <v>1.2</v>
      </c>
      <c r="P1456">
        <v>1.5</v>
      </c>
      <c r="Q1456">
        <v>1.1000000000000001</v>
      </c>
      <c r="R1456">
        <v>2</v>
      </c>
      <c r="S1456">
        <v>1.2</v>
      </c>
      <c r="T1456">
        <v>1.05</v>
      </c>
      <c r="U1456">
        <f>LN(SQRT(EXP(
SQRT(
+POWER(LN(N1456),2)
+POWER(LN(O1456),2)
+POWER(LN(P1456),2)
+POWER(LN(Q1456),2)
+POWER(LN(R1456),2)
+POWER(LN(S1456),2)
+POWER(LN(T1456),2)
)
)))</f>
        <v>0.47095746419981693</v>
      </c>
    </row>
  </sheetData>
  <autoFilter ref="A1:V1456" xr:uid="{06972A00-3524-1347-94AD-33CAB616701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F2772-030F-BE49-B360-296F8569FCCF}">
  <dimension ref="A1:V9918"/>
  <sheetViews>
    <sheetView zoomScale="93" workbookViewId="0">
      <selection activeCell="A42" sqref="A42"/>
    </sheetView>
  </sheetViews>
  <sheetFormatPr baseColWidth="10" defaultRowHeight="16" x14ac:dyDescent="0.2"/>
  <cols>
    <col min="1" max="1" width="47.33203125" customWidth="1"/>
    <col min="2" max="2" width="12.1640625" style="45" bestFit="1" customWidth="1"/>
    <col min="3" max="3" width="12.33203125" bestFit="1" customWidth="1"/>
    <col min="4" max="5" width="12.6640625" bestFit="1" customWidth="1"/>
    <col min="7" max="7" width="40.83203125" customWidth="1"/>
    <col min="8" max="8" width="12.5" bestFit="1" customWidth="1"/>
    <col min="9" max="9" width="23.1640625" customWidth="1"/>
    <col min="10" max="10" width="9" customWidth="1"/>
    <col min="11" max="11" width="19.1640625" customWidth="1"/>
    <col min="14" max="14" width="5.5" bestFit="1" customWidth="1"/>
    <col min="15" max="15" width="4" bestFit="1" customWidth="1"/>
    <col min="16" max="16" width="4.5" bestFit="1" customWidth="1"/>
    <col min="17" max="17" width="5.5" bestFit="1" customWidth="1"/>
    <col min="18" max="19" width="4.5" bestFit="1" customWidth="1"/>
    <col min="20" max="20" width="5.5" bestFit="1" customWidth="1"/>
    <col min="21" max="21" width="13" bestFit="1" customWidth="1"/>
    <col min="22" max="22" width="8.33203125" bestFit="1" customWidth="1"/>
  </cols>
  <sheetData>
    <row r="1" spans="1:2" ht="15" customHeight="1" x14ac:dyDescent="0.2"/>
    <row r="2" spans="1:2" x14ac:dyDescent="0.2">
      <c r="A2" s="2" t="s">
        <v>50</v>
      </c>
      <c r="B2" s="44" t="str">
        <f>IF(B8="megajoule","heat","electricity")&amp;", residential, by "&amp;B13&amp;" of "&amp;B12&amp;" using "&amp;B14&amp;IF(B15&lt;&gt;0,", allocated by "&amp;B15,"")&amp;", transported by "&amp;B16&amp;", produced by "&amp;B20&amp;" using "&amp;B21&amp;" from "&amp;B22</f>
        <v>heat, residential, by combustion of hydrogen using boiler, transported by pipeline, produced by Electrolysis, Alkaline using water and electricity from grid</v>
      </c>
    </row>
    <row r="3" spans="1:2" x14ac:dyDescent="0.2">
      <c r="A3" t="s">
        <v>51</v>
      </c>
      <c r="B3" s="45" t="str">
        <f>"This dataset represents the supply of 1 "&amp;IF(B8="megajoule","megajoule of heat","kilowatt hour of electricity")&amp;" in a residence, by "&amp;B12&amp;" "&amp;B13&amp;" in a "&amp;B14&amp;". "&amp;" The hydrogen is transported by "&amp;B16&amp;" over "&amp;B17&amp;" km from regional storage. "&amp;" The "&amp;B12&amp;" is produced by  "&amp;B20&amp;", with "&amp;B21&amp;" from "&amp;B22&amp;" as feedstock. "&amp;A24&amp;": "&amp;(B24*100)&amp;"%. "&amp;A25&amp;": "&amp;B25&amp;". "&amp;A26&amp;": "&amp;B26&amp;". "&amp;A27&amp;": "&amp;(B27*100)&amp;"%. "&amp;A28&amp;": "&amp;(B28*100)&amp;"%. "&amp;A29&amp;": "&amp;(B29*100)&amp;"%. "&amp;A30&amp;": "&amp;B30&amp;". "&amp;A31&amp;": "&amp;B31&amp;". "&amp;A32&amp;": "&amp;(B32*100)&amp;"%. "&amp;A33&amp;": "&amp;B33&amp;". "&amp;A34&amp;": "&amp;B34&amp;". "&amp;A35&amp;": "&amp;B35&amp;". "&amp;A36&amp;": "&amp;B36&amp;".  For more information, refer to: "&amp;B4</f>
        <v>This dataset represents the supply of 1 megajoule of heat in a residence, by hydrogen combustion in a boiler.  The hydrogen is transported by pipeline over 500 km from regional storage.  The hydrogen is produced by  Electrolysis, Alkaline,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4" spans="1:2" x14ac:dyDescent="0.2">
      <c r="A4" t="s">
        <v>63</v>
      </c>
      <c r="B4" s="45" t="s">
        <v>1223</v>
      </c>
    </row>
    <row r="5" spans="1:2" x14ac:dyDescent="0.2">
      <c r="A5" t="s">
        <v>52</v>
      </c>
      <c r="B5" s="45" t="s">
        <v>64</v>
      </c>
    </row>
    <row r="6" spans="1:2" x14ac:dyDescent="0.2">
      <c r="A6" t="s">
        <v>48</v>
      </c>
      <c r="B6" s="45">
        <v>1</v>
      </c>
    </row>
    <row r="7" spans="1:2" x14ac:dyDescent="0.2">
      <c r="A7" t="s">
        <v>54</v>
      </c>
      <c r="B7" s="45" t="str">
        <f>INDEX(overview!$B$4:$R$338,MATCH('hydrogen - electrolysis'!B6,overview!$A$4:$A$338,0),MATCH('hydrogen - electrolysis'!A7,overview!$B$3:$R$3,0))</f>
        <v>heat, from residential heating system</v>
      </c>
    </row>
    <row r="8" spans="1:2" x14ac:dyDescent="0.2">
      <c r="A8" t="s">
        <v>55</v>
      </c>
      <c r="B8" s="45" t="str">
        <f>INDEX(overview!$B$4:$R$338,MATCH('hydrogen - electrolysis'!B6,overview!$A$4:$A$338,0),MATCH('hydrogen - electrolysis'!A8,overview!$B$3:$R$3,0))</f>
        <v>megajoule</v>
      </c>
    </row>
    <row r="9" spans="1:2" x14ac:dyDescent="0.2">
      <c r="A9" t="s">
        <v>0</v>
      </c>
      <c r="B9" s="45" t="str">
        <f>INDEX(overview!$B$4:$R$338,MATCH('hydrogen - electrolysis'!B6,overview!$A$4:$A$338,0),MATCH('hydrogen - electrolysis'!A9,overview!$B$3:$R$3,0))</f>
        <v>Switzerland</v>
      </c>
    </row>
    <row r="10" spans="1:2" x14ac:dyDescent="0.2">
      <c r="A10" t="s">
        <v>1</v>
      </c>
      <c r="B10" s="45">
        <f>INDEX(overview!$B$4:$R$338,MATCH('hydrogen - electrolysis'!B6,overview!$A$4:$A$338,0),MATCH('hydrogen - electrolysis'!A10,overview!$B$3:$R$3,0))</f>
        <v>2020</v>
      </c>
    </row>
    <row r="11" spans="1:2" x14ac:dyDescent="0.2">
      <c r="A11" t="s">
        <v>2</v>
      </c>
      <c r="B11" s="45" t="str">
        <f>INDEX(overview!$B$4:$R$338,MATCH('hydrogen - electrolysis'!B6,overview!$A$4:$A$338,0),MATCH('hydrogen - electrolysis'!A11,overview!$B$3:$R$3,0))</f>
        <v>1 MJ heat</v>
      </c>
    </row>
    <row r="12" spans="1:2" x14ac:dyDescent="0.2">
      <c r="A12" t="s">
        <v>5</v>
      </c>
      <c r="B12" s="45" t="str">
        <f>INDEX(overview!$B$4:$R$338,MATCH('hydrogen - electrolysis'!B6,overview!$A$4:$A$338,0),MATCH('hydrogen - electrolysis'!A12,overview!$B$3:$R$3,0))</f>
        <v>hydrogen</v>
      </c>
    </row>
    <row r="13" spans="1:2" x14ac:dyDescent="0.2">
      <c r="A13" t="s">
        <v>3</v>
      </c>
      <c r="B13" s="45" t="str">
        <f>INDEX(overview!$B$4:$R$338,MATCH('hydrogen - electrolysis'!B6,overview!$A$4:$A$338,0),MATCH('hydrogen - electrolysis'!A13,overview!$B$3:$R$3,0))</f>
        <v>combustion</v>
      </c>
    </row>
    <row r="14" spans="1:2" x14ac:dyDescent="0.2">
      <c r="A14" t="s">
        <v>6</v>
      </c>
      <c r="B14" s="45" t="str">
        <f>INDEX(overview!$B$4:$R$338,MATCH('hydrogen - electrolysis'!B6,overview!$A$4:$A$338,0),MATCH('hydrogen - electrolysis'!A14,overview!$B$3:$R$3,0))</f>
        <v>boiler</v>
      </c>
    </row>
    <row r="15" spans="1:2" x14ac:dyDescent="0.2">
      <c r="A15" t="s">
        <v>39</v>
      </c>
      <c r="B15" s="45">
        <f>INDEX(overview!$B$4:$R$338,MATCH('hydrogen - electrolysis'!B6,overview!$A$4:$A$338,0),MATCH('hydrogen - electrolysis'!A15,overview!$B$3:$R$3,0))</f>
        <v>0</v>
      </c>
    </row>
    <row r="16" spans="1:2" x14ac:dyDescent="0.2">
      <c r="A16" t="s">
        <v>4</v>
      </c>
      <c r="B16" s="45" t="str">
        <f>INDEX(overview!$B$4:$R$338,MATCH('hydrogen - electrolysis'!B6,overview!$A$4:$A$338,0),MATCH('hydrogen - electrolysis'!A16,overview!$B$3:$R$3,0))</f>
        <v>pipeline</v>
      </c>
    </row>
    <row r="17" spans="1:2" x14ac:dyDescent="0.2">
      <c r="A17" t="s">
        <v>38</v>
      </c>
      <c r="B17" s="45">
        <f>INDEX(overview!$B$4:$R$338,MATCH('hydrogen - electrolysis'!B6,overview!$A$4:$A$338,0),MATCH('hydrogen - electrolysis'!A17,overview!$B$3:$R$3,0))</f>
        <v>500</v>
      </c>
    </row>
    <row r="18" spans="1:2" x14ac:dyDescent="0.2">
      <c r="A18" t="s">
        <v>12</v>
      </c>
      <c r="B18" s="45" t="str">
        <f>INDEX(overview!$B$4:$R$338,MATCH('hydrogen - electrolysis'!B6,overview!$A$4:$A$338,0),MATCH('hydrogen - electrolysis'!A18,overview!$B$3:$R$3,0))</f>
        <v>Pressure vessel for stationary storage</v>
      </c>
    </row>
    <row r="19" spans="1:2" x14ac:dyDescent="0.2">
      <c r="A19" t="s">
        <v>34</v>
      </c>
      <c r="B19" s="45">
        <f>INDEX(overview!$B$4:$R$338,MATCH('hydrogen - electrolysis'!B6,overview!$A$4:$A$338,0),MATCH('hydrogen - electrolysis'!A19,overview!$B$3:$R$3,0))</f>
        <v>0</v>
      </c>
    </row>
    <row r="20" spans="1:2" x14ac:dyDescent="0.2">
      <c r="A20" t="s">
        <v>15</v>
      </c>
      <c r="B20" s="45" t="str">
        <f>INDEX(overview!$B$4:$R$338,MATCH('hydrogen - electrolysis'!B6,overview!$A$4:$A$338,0),MATCH('hydrogen - electrolysis'!A20,overview!$B$3:$R$3,0))</f>
        <v>Electrolysis, Alkaline</v>
      </c>
    </row>
    <row r="21" spans="1:2" x14ac:dyDescent="0.2">
      <c r="A21" t="s">
        <v>14</v>
      </c>
      <c r="B21" s="45" t="str">
        <f>INDEX(overview!$B$4:$R$338,MATCH('hydrogen - electrolysis'!B6,overview!$A$4:$A$338,0),MATCH('hydrogen - electrolysis'!A21,overview!$B$3:$R$3,0))</f>
        <v>water and electricity</v>
      </c>
    </row>
    <row r="22" spans="1:2" x14ac:dyDescent="0.2">
      <c r="A22" t="s">
        <v>26</v>
      </c>
      <c r="B22" s="45" t="str">
        <f>INDEX(overview!$B$4:$R$338,MATCH('hydrogen - electrolysis'!B6,overview!$A$4:$A$338,0),MATCH('hydrogen - electrolysis'!A22,overview!$B$3:$R$3,0))</f>
        <v>grid</v>
      </c>
    </row>
    <row r="23" spans="1:2" x14ac:dyDescent="0.2">
      <c r="A23" t="s">
        <v>29</v>
      </c>
      <c r="B23" s="45">
        <f>INDEX(overview!$B$4:$R$338,MATCH('hydrogen - electrolysis'!B6,overview!$A$4:$A$338,0),MATCH('hydrogen - electrolysis'!A23,overview!$B$3:$R$3,0))</f>
        <v>0</v>
      </c>
    </row>
    <row r="24" spans="1:2" x14ac:dyDescent="0.2">
      <c r="A24" t="str">
        <f>IF(B8="megajoule","Heat","Electricity")&amp;" conversion efficiency [% LHV input]"</f>
        <v>Heat conversion efficiency [% LHV input]</v>
      </c>
      <c r="B24" s="46">
        <f>INDEX(parameters!$D$4:$N$20,MATCH('hydrogen - electrolysis'!B12&amp;'hydrogen - electrolysis'!B14,parameters!$A$4:$A$20,0),MATCH('hydrogen - electrolysis'!A24,parameters!$D$3:$N$3,0))</f>
        <v>0.94</v>
      </c>
    </row>
    <row r="25" spans="1:2" x14ac:dyDescent="0.2">
      <c r="A25" t="str">
        <f>IF(B8="megajoule","LHV [MJ/kg]","LHV [kWh/kg]")</f>
        <v>LHV [MJ/kg]</v>
      </c>
      <c r="B25" s="47">
        <f>INDEX(parameters!$D$4:$N$20,MATCH('hydrogen - electrolysis'!B12&amp;'hydrogen - electrolysis'!B14,parameters!$A$4:$A$20,0),MATCH('hydrogen - electrolysis'!A25,parameters!$D$3:$N$3,0))</f>
        <v>120</v>
      </c>
    </row>
    <row r="26" spans="1:2" x14ac:dyDescent="0.2">
      <c r="A26" t="s">
        <v>41</v>
      </c>
      <c r="B26" s="48">
        <f>INDEX(parameters!$D$4:$N$20,MATCH('hydrogen - electrolysis'!B12&amp;'hydrogen - electrolysis'!B14,parameters!$A$4:$A$20,0),MATCH('hydrogen - electrolysis'!A26,parameters!$D$3:$N$3,0))</f>
        <v>2.6666666666666665E-2</v>
      </c>
    </row>
    <row r="27" spans="1:2" x14ac:dyDescent="0.2">
      <c r="A27" t="s">
        <v>45</v>
      </c>
      <c r="B27" s="49">
        <f>INDEX(parameters!$D$4:$N$20,MATCH('hydrogen - electrolysis'!B12&amp;'hydrogen - electrolysis'!B14,parameters!$A$4:$A$20,0),MATCH('hydrogen - electrolysis'!A27,parameters!$D$3:$N$3,0))</f>
        <v>0</v>
      </c>
    </row>
    <row r="28" spans="1:2" x14ac:dyDescent="0.2">
      <c r="A28" t="s">
        <v>46</v>
      </c>
      <c r="B28" s="49">
        <f>INDEX(parameters!$D$4:$N$20,MATCH('hydrogen - electrolysis'!B12&amp;'hydrogen - electrolysis'!B14,parameters!$A$4:$A$20,0),MATCH('hydrogen - electrolysis'!A28,parameters!$D$3:$N$3,0))</f>
        <v>1.4999999999999999E-2</v>
      </c>
    </row>
    <row r="29" spans="1:2" x14ac:dyDescent="0.2">
      <c r="A29" t="s">
        <v>43</v>
      </c>
      <c r="B29" s="49">
        <f>INDEX(parameters!$D$4:$N$20,MATCH('hydrogen - electrolysis'!B12&amp;'hydrogen - electrolysis'!B14,parameters!$A$4:$A$20,0),MATCH('hydrogen - electrolysis'!A29,parameters!$D$3:$N$3,0))</f>
        <v>0</v>
      </c>
    </row>
    <row r="30" spans="1:2" x14ac:dyDescent="0.2">
      <c r="A30" t="s">
        <v>44</v>
      </c>
      <c r="B30" s="49">
        <f>INDEX(parameters!$D$4:$N$20,MATCH('hydrogen - electrolysis'!B12&amp;'hydrogen - electrolysis'!B14,parameters!$A$4:$A$20,0),MATCH('hydrogen - electrolysis'!A30,parameters!$D$3:$N$3,0))</f>
        <v>0</v>
      </c>
    </row>
    <row r="31" spans="1:2" x14ac:dyDescent="0.2">
      <c r="A31" t="s">
        <v>634</v>
      </c>
      <c r="B31" s="51">
        <f>INDEX(parameters!$D$4:$Y$20,MATCH('hydrogen - electrolysis'!B12&amp;'hydrogen - electrolysis'!B14,parameters!$A$4:$A$20,0),MATCH('hydrogen - electrolysis'!A31,parameters!$D$3:$Y$3,0))</f>
        <v>15.957446808510639</v>
      </c>
    </row>
    <row r="32" spans="1:2" x14ac:dyDescent="0.2">
      <c r="A32" t="s">
        <v>82</v>
      </c>
      <c r="B32" s="46">
        <f>IF(B23&lt;&gt;0,VLOOKUP(B23,parameters!A26:B28,2,0),0)</f>
        <v>0</v>
      </c>
    </row>
    <row r="33" spans="1:22" x14ac:dyDescent="0.2">
      <c r="A33" t="s">
        <v>548</v>
      </c>
      <c r="B33" s="50">
        <f>INDEX(parameters!$D$4:$P$20,MATCH(B12&amp;B14,parameters!$A$4:$A$20,0),MATCH(A33,parameters!$D$3:$P$3,0))</f>
        <v>15</v>
      </c>
    </row>
    <row r="34" spans="1:22" x14ac:dyDescent="0.2">
      <c r="A34" t="s">
        <v>547</v>
      </c>
      <c r="B34" s="51">
        <f>INDEX(parameters!$D$4:$P$20,MATCH(B12&amp;B14,parameters!$A$4:$A$20,0),MATCH(A34,parameters!$D$3:$P$3,0))</f>
        <v>20</v>
      </c>
    </row>
    <row r="35" spans="1:22" x14ac:dyDescent="0.2">
      <c r="A35" t="s">
        <v>630</v>
      </c>
      <c r="B35" s="51">
        <f>INDEX(parameters!$D$4:$T$20,MATCH(B12&amp;B14,parameters!$A$4:$A$20,0),MATCH(A35,parameters!$D$3:$T$3,0))</f>
        <v>2100</v>
      </c>
    </row>
    <row r="36" spans="1:22" x14ac:dyDescent="0.2">
      <c r="A36" t="s">
        <v>1005</v>
      </c>
      <c r="B36" s="50">
        <f>IF(B8="megajoule",SUMIFS(allocation!$I$4:$I$30,allocation!$B$4:$B$30,B14,allocation!$C$4:$C$30,B15),SUMIFS(allocation!$J$4:$J$30,allocation!$B$4:$B$30,B14,allocation!$C$4:$C$30,B15))</f>
        <v>0</v>
      </c>
    </row>
    <row r="37" spans="1:22" x14ac:dyDescent="0.2">
      <c r="A37" t="s">
        <v>1050</v>
      </c>
      <c r="B37" s="51">
        <f>INDEX(parameters!$D$4:$AB$20,MATCH(B12&amp;B14,parameters!$A$4:$A$20,0),MATCH(A37,parameters!$D$3:$AB$3,0))</f>
        <v>44.562019013128115</v>
      </c>
    </row>
    <row r="39" spans="1:22" x14ac:dyDescent="0.2">
      <c r="A39" s="3" t="s">
        <v>57</v>
      </c>
    </row>
    <row r="40" spans="1:22" x14ac:dyDescent="0.2">
      <c r="A40" s="2" t="s">
        <v>58</v>
      </c>
      <c r="B40" s="44" t="s">
        <v>59</v>
      </c>
      <c r="C40" s="2" t="s">
        <v>55</v>
      </c>
      <c r="D40" s="2" t="s">
        <v>60</v>
      </c>
      <c r="E40" s="2" t="s">
        <v>52</v>
      </c>
      <c r="F40" s="2" t="s">
        <v>61</v>
      </c>
      <c r="G40" s="2" t="s">
        <v>54</v>
      </c>
      <c r="H40" s="2" t="s">
        <v>87</v>
      </c>
      <c r="I40" s="2" t="s">
        <v>51</v>
      </c>
      <c r="J40" s="2" t="s">
        <v>138</v>
      </c>
      <c r="K40" s="2" t="s">
        <v>136</v>
      </c>
      <c r="L40" s="2" t="s">
        <v>221</v>
      </c>
      <c r="M40" s="2" t="s">
        <v>379</v>
      </c>
      <c r="N40" s="2" t="s">
        <v>1059</v>
      </c>
      <c r="O40" s="2" t="s">
        <v>1060</v>
      </c>
      <c r="P40" s="2" t="s">
        <v>1061</v>
      </c>
      <c r="Q40" s="2" t="s">
        <v>1062</v>
      </c>
      <c r="R40" s="2" t="s">
        <v>1063</v>
      </c>
      <c r="S40" s="2" t="s">
        <v>1064</v>
      </c>
      <c r="T40" s="2" t="s">
        <v>1065</v>
      </c>
      <c r="U40" s="2" t="s">
        <v>380</v>
      </c>
      <c r="V40" s="2" t="s">
        <v>1128</v>
      </c>
    </row>
    <row r="41" spans="1:22" x14ac:dyDescent="0.2">
      <c r="A41" t="str">
        <f>B2</f>
        <v>heat, residential, by combustion of hydrogen using boiler, transported by pipeline, produced by Electrolysis, Alkaline using water and electricity from grid</v>
      </c>
      <c r="B41" s="45">
        <v>1</v>
      </c>
      <c r="C41" t="str">
        <f>B8</f>
        <v>megajoule</v>
      </c>
      <c r="E41" t="str">
        <f>B5</f>
        <v>CH</v>
      </c>
      <c r="F41" t="s">
        <v>62</v>
      </c>
      <c r="G41" t="str">
        <f>B7</f>
        <v>heat, from residential heating system</v>
      </c>
      <c r="K41" t="str">
        <f>B2</f>
        <v>heat, residential, by combustion of hydrogen using boiler, transported by pipeline, produced by Electrolysis, Alkaline using water and electricity from grid</v>
      </c>
    </row>
    <row r="42" spans="1:22" x14ac:dyDescent="0.2">
      <c r="A42" t="s">
        <v>83</v>
      </c>
      <c r="B42" s="52">
        <f>1/(B33*B35*B34*3.6)</f>
        <v>4.4091710758377425E-7</v>
      </c>
      <c r="C42" t="s">
        <v>55</v>
      </c>
      <c r="E42" t="s">
        <v>85</v>
      </c>
      <c r="F42" t="s">
        <v>86</v>
      </c>
      <c r="G42" t="s">
        <v>84</v>
      </c>
      <c r="H42" t="s">
        <v>88</v>
      </c>
      <c r="I42" t="s">
        <v>621</v>
      </c>
      <c r="K42" t="str">
        <f>B2</f>
        <v>heat, residential, by combustion of hydrogen using boiler, transported by pipeline, produced by Electrolysis, Alkaline using water and electricity from grid</v>
      </c>
      <c r="L42">
        <f t="shared" ref="L42:L47" si="0">IF(OR(B42&lt;0,B42=0),1,2)</f>
        <v>2</v>
      </c>
      <c r="M42">
        <f t="shared" ref="M42:M47" si="1">IF(L42=2,LN(B42),"")</f>
        <v>-14.634408943829779</v>
      </c>
      <c r="N42">
        <v>1.05</v>
      </c>
      <c r="O42" s="15">
        <v>1.2</v>
      </c>
      <c r="P42">
        <v>1</v>
      </c>
      <c r="Q42">
        <v>1.01</v>
      </c>
      <c r="R42">
        <v>1.2</v>
      </c>
      <c r="S42">
        <v>1.2</v>
      </c>
      <c r="T42">
        <v>3</v>
      </c>
      <c r="U42">
        <f t="shared" ref="U42:U47" si="2">LN(SQRT(EXP(
SQRT(
+POWER(LN(N42),2)
+POWER(LN(O42),2)
+POWER(LN(P42),2)
+POWER(LN(Q42),2)
+POWER(LN(R42),2)
+POWER(LN(S42),2)
+POWER(LN(T42),2)
)
)))</f>
        <v>0.57209088006881903</v>
      </c>
    </row>
    <row r="43" spans="1:22" x14ac:dyDescent="0.2">
      <c r="A43" t="s">
        <v>500</v>
      </c>
      <c r="B43" s="52">
        <f>B42*2</f>
        <v>8.8183421516754851E-7</v>
      </c>
      <c r="C43" t="s">
        <v>267</v>
      </c>
      <c r="E43" t="s">
        <v>85</v>
      </c>
      <c r="F43" t="s">
        <v>86</v>
      </c>
      <c r="G43" t="s">
        <v>501</v>
      </c>
      <c r="H43" t="s">
        <v>88</v>
      </c>
      <c r="K43" t="str">
        <f>B2</f>
        <v>heat, residential, by combustion of hydrogen using boiler, transported by pipeline, produced by Electrolysis, Alkaline using water and electricity from grid</v>
      </c>
      <c r="L43">
        <f t="shared" si="0"/>
        <v>2</v>
      </c>
      <c r="M43">
        <f t="shared" si="1"/>
        <v>-13.941261763269834</v>
      </c>
      <c r="N43">
        <v>1.05</v>
      </c>
      <c r="O43" s="15">
        <v>1.2</v>
      </c>
      <c r="P43">
        <v>1</v>
      </c>
      <c r="Q43">
        <v>1.01</v>
      </c>
      <c r="R43">
        <v>1.2</v>
      </c>
      <c r="S43">
        <v>1.2</v>
      </c>
      <c r="T43">
        <v>3</v>
      </c>
      <c r="U43">
        <f t="shared" si="2"/>
        <v>0.57209088006881903</v>
      </c>
    </row>
    <row r="44" spans="1:22" x14ac:dyDescent="0.2">
      <c r="A44" t="s">
        <v>130</v>
      </c>
      <c r="B44" s="52">
        <v>2.64E-3</v>
      </c>
      <c r="C44" t="s">
        <v>92</v>
      </c>
      <c r="E44" t="s">
        <v>64</v>
      </c>
      <c r="F44" t="s">
        <v>86</v>
      </c>
      <c r="G44" t="s">
        <v>93</v>
      </c>
      <c r="H44" t="s">
        <v>78</v>
      </c>
      <c r="I44" t="s">
        <v>270</v>
      </c>
      <c r="J44" t="s">
        <v>67</v>
      </c>
      <c r="K44" t="str">
        <f>B2</f>
        <v>heat, residential, by combustion of hydrogen using boiler, transported by pipeline, produced by Electrolysis, Alkaline using water and electricity from grid</v>
      </c>
      <c r="L44">
        <f t="shared" si="0"/>
        <v>2</v>
      </c>
      <c r="M44">
        <f t="shared" si="1"/>
        <v>-5.9369763618239126</v>
      </c>
      <c r="N44">
        <v>1.05</v>
      </c>
      <c r="O44" s="15">
        <v>1.2</v>
      </c>
      <c r="P44">
        <v>1</v>
      </c>
      <c r="Q44">
        <v>1.01</v>
      </c>
      <c r="R44">
        <v>1.2</v>
      </c>
      <c r="S44">
        <v>1.2</v>
      </c>
      <c r="T44">
        <v>1.05</v>
      </c>
      <c r="U44">
        <f t="shared" si="2"/>
        <v>0.16169679924070957</v>
      </c>
    </row>
    <row r="45" spans="1:22" x14ac:dyDescent="0.2">
      <c r="A45" t="s">
        <v>1134</v>
      </c>
      <c r="B45" s="53">
        <f>(B41/B25)/B24</f>
        <v>8.8652482269503553E-3</v>
      </c>
      <c r="C45" t="str">
        <f>VLOOKUP(J45,'dataset mapping'!$A$4:$E$69,5,0)</f>
        <v>kilogram</v>
      </c>
      <c r="E45" t="str">
        <f>VLOOKUP(J45,'dataset mapping'!$A$4:$E$69,4,0)</f>
        <v>CH</v>
      </c>
      <c r="F45" t="s">
        <v>86</v>
      </c>
      <c r="G45" t="s">
        <v>1129</v>
      </c>
      <c r="H45" t="s">
        <v>76</v>
      </c>
      <c r="I45" t="s">
        <v>1054</v>
      </c>
      <c r="J45" t="s">
        <v>231</v>
      </c>
      <c r="K45" t="str">
        <f>B2</f>
        <v>heat, residential, by combustion of hydrogen using boiler, transported by pipeline, produced by Electrolysis, Alkaline using water and electricity from grid</v>
      </c>
      <c r="L45">
        <f t="shared" si="0"/>
        <v>2</v>
      </c>
      <c r="M45">
        <f t="shared" si="1"/>
        <v>-4.7256163390639587</v>
      </c>
      <c r="N45">
        <v>1.05</v>
      </c>
      <c r="O45" s="15">
        <v>1.2</v>
      </c>
      <c r="P45">
        <v>1</v>
      </c>
      <c r="Q45">
        <v>1.01</v>
      </c>
      <c r="R45">
        <v>1.2</v>
      </c>
      <c r="S45">
        <v>1.2</v>
      </c>
      <c r="T45">
        <v>1.05</v>
      </c>
      <c r="U45">
        <f t="shared" si="2"/>
        <v>0.16169679924070957</v>
      </c>
    </row>
    <row r="46" spans="1:22" x14ac:dyDescent="0.2">
      <c r="A46" t="s">
        <v>134</v>
      </c>
      <c r="B46" s="45">
        <f>B45*9</f>
        <v>7.9787234042553196E-2</v>
      </c>
      <c r="C46" t="s">
        <v>56</v>
      </c>
      <c r="D46" t="s">
        <v>100</v>
      </c>
      <c r="F46" t="s">
        <v>99</v>
      </c>
      <c r="H46" t="s">
        <v>131</v>
      </c>
      <c r="I46" t="s">
        <v>1058</v>
      </c>
      <c r="K46" t="str">
        <f>B2</f>
        <v>heat, residential, by combustion of hydrogen using boiler, transported by pipeline, produced by Electrolysis, Alkaline using water and electricity from grid</v>
      </c>
      <c r="L46">
        <f t="shared" si="0"/>
        <v>2</v>
      </c>
      <c r="M46">
        <f t="shared" si="1"/>
        <v>-2.5283917617277392</v>
      </c>
      <c r="N46">
        <v>1.05</v>
      </c>
      <c r="O46" s="15">
        <v>1.2</v>
      </c>
      <c r="P46">
        <v>1</v>
      </c>
      <c r="Q46">
        <v>1.01</v>
      </c>
      <c r="R46">
        <v>1.2</v>
      </c>
      <c r="S46">
        <v>1.2</v>
      </c>
      <c r="T46">
        <v>1.05</v>
      </c>
      <c r="U46">
        <f t="shared" si="2"/>
        <v>0.16169679924070957</v>
      </c>
    </row>
    <row r="47" spans="1:22" x14ac:dyDescent="0.2">
      <c r="A47" t="s">
        <v>135</v>
      </c>
      <c r="B47" s="45">
        <f>912.5/1000000*B45</f>
        <v>8.0895390070921995E-6</v>
      </c>
      <c r="C47" t="s">
        <v>56</v>
      </c>
      <c r="D47" t="s">
        <v>100</v>
      </c>
      <c r="F47" t="s">
        <v>99</v>
      </c>
      <c r="H47" t="s">
        <v>131</v>
      </c>
      <c r="I47" t="s">
        <v>1217</v>
      </c>
      <c r="K47" t="str">
        <f>B2</f>
        <v>heat, residential, by combustion of hydrogen using boiler, transported by pipeline, produced by Electrolysis, Alkaline using water and electricity from grid</v>
      </c>
      <c r="L47">
        <f t="shared" si="0"/>
        <v>2</v>
      </c>
      <c r="M47">
        <f t="shared" si="1"/>
        <v>-11.724938811571587</v>
      </c>
      <c r="N47">
        <v>1.05</v>
      </c>
      <c r="O47" s="15">
        <v>1.2</v>
      </c>
      <c r="P47">
        <v>1</v>
      </c>
      <c r="Q47">
        <v>1.01</v>
      </c>
      <c r="R47">
        <v>1.2</v>
      </c>
      <c r="S47">
        <v>1.2</v>
      </c>
      <c r="T47">
        <v>1.5</v>
      </c>
      <c r="U47">
        <f t="shared" si="2"/>
        <v>0.25816898211842121</v>
      </c>
    </row>
    <row r="49" spans="1:2" x14ac:dyDescent="0.2">
      <c r="A49" s="2" t="s">
        <v>50</v>
      </c>
      <c r="B49" s="44" t="str">
        <f>IF(B55="megajoule","heat","electricity")&amp;", residential, by "&amp;B60&amp;" of "&amp;B59&amp;" using "&amp;B61&amp;IF(B62&lt;&gt;0,", allocated by "&amp;B62,"")&amp;", transported by "&amp;B63&amp;", produced by "&amp;B67&amp;" using "&amp;B68&amp;" from "&amp;B69</f>
        <v>heat, residential, by combustion of hydrogen using CHP, allocated by exergy, transported by pipeline, produced by Electrolysis, Alkaline using water and electricity from grid</v>
      </c>
    </row>
    <row r="50" spans="1:2" x14ac:dyDescent="0.2">
      <c r="A50" t="s">
        <v>51</v>
      </c>
      <c r="B50" s="45" t="str">
        <f>"This dataset represents the supply of 1 "&amp;IF(B55="megajoule","megajoule of heat","kilowatt hour of electricity")&amp;" in a residence, by "&amp;B59&amp;" "&amp;B60&amp;" in a "&amp;B61&amp;". "&amp;" The hydrogen is transported by "&amp;B63&amp;" over "&amp;B64&amp;" km from regional storage. "&amp;" The "&amp;B59&amp;" is produced by  "&amp;B67&amp;", with "&amp;B68&amp;" from "&amp;B69&amp;" as feedstock. "&amp;A71&amp;": "&amp;(B71*100)&amp;"%. "&amp;A72&amp;": "&amp;B72&amp;". "&amp;A73&amp;": "&amp;B73&amp;". "&amp;A74&amp;": "&amp;(B74*100)&amp;"%. "&amp;A75&amp;": "&amp;(B75*100)&amp;"%. "&amp;A76&amp;": "&amp;(B76*100)&amp;"%. "&amp;A77&amp;": "&amp;B77&amp;". "&amp;A78&amp;": "&amp;B78&amp;". "&amp;A79&amp;": "&amp;(B79*100)&amp;"%. "&amp;A80&amp;": "&amp;B80&amp;". "&amp;A81&amp;": "&amp;B81&amp;". "&amp;A82&amp;": "&amp;B82&amp;". "&amp;A83&amp;": "&amp;B83&amp;".  For more information, refer to: "&amp;B51</f>
        <v>This dataset represents the supply of 1 megajoule of heat in a residence, by hydrogen combustion in a CHP.  The hydrogen is transported by pipeline over 500 km from regional storage.  The hydrogen is produced by  Electrolysis, Alkaline,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51" spans="1:2" x14ac:dyDescent="0.2">
      <c r="A51" t="s">
        <v>63</v>
      </c>
      <c r="B51" s="45" t="s">
        <v>1223</v>
      </c>
    </row>
    <row r="52" spans="1:2" x14ac:dyDescent="0.2">
      <c r="A52" t="s">
        <v>52</v>
      </c>
      <c r="B52" s="45" t="s">
        <v>64</v>
      </c>
    </row>
    <row r="53" spans="1:2" x14ac:dyDescent="0.2">
      <c r="A53" t="s">
        <v>48</v>
      </c>
      <c r="B53" s="45">
        <v>2</v>
      </c>
    </row>
    <row r="54" spans="1:2" x14ac:dyDescent="0.2">
      <c r="A54" t="s">
        <v>54</v>
      </c>
      <c r="B54" s="45" t="str">
        <f>INDEX(overview!$B$4:$R$338,MATCH('hydrogen - electrolysis'!B53,overview!$A$4:$A$338,0),MATCH('hydrogen - electrolysis'!A54,overview!$B$3:$R$3,0))</f>
        <v>heat, from residential heating system</v>
      </c>
    </row>
    <row r="55" spans="1:2" x14ac:dyDescent="0.2">
      <c r="A55" t="s">
        <v>55</v>
      </c>
      <c r="B55" s="45" t="str">
        <f>INDEX(overview!$B$4:$R$338,MATCH('hydrogen - electrolysis'!B53,overview!$A$4:$A$338,0),MATCH('hydrogen - electrolysis'!A55,overview!$B$3:$R$3,0))</f>
        <v>megajoule</v>
      </c>
    </row>
    <row r="56" spans="1:2" x14ac:dyDescent="0.2">
      <c r="A56" t="s">
        <v>0</v>
      </c>
      <c r="B56" s="45" t="str">
        <f>INDEX(overview!$B$4:$R$338,MATCH('hydrogen - electrolysis'!B53,overview!$A$4:$A$338,0),MATCH('hydrogen - electrolysis'!A56,overview!$B$3:$R$3,0))</f>
        <v>Switzerland</v>
      </c>
    </row>
    <row r="57" spans="1:2" x14ac:dyDescent="0.2">
      <c r="A57" t="s">
        <v>1</v>
      </c>
      <c r="B57" s="45">
        <f>INDEX(overview!$B$4:$R$338,MATCH('hydrogen - electrolysis'!B53,overview!$A$4:$A$338,0),MATCH('hydrogen - electrolysis'!A57,overview!$B$3:$R$3,0))</f>
        <v>2020</v>
      </c>
    </row>
    <row r="58" spans="1:2" x14ac:dyDescent="0.2">
      <c r="A58" t="s">
        <v>2</v>
      </c>
      <c r="B58" s="45" t="str">
        <f>INDEX(overview!$B$4:$R$338,MATCH('hydrogen - electrolysis'!B53,overview!$A$4:$A$338,0),MATCH('hydrogen - electrolysis'!A58,overview!$B$3:$R$3,0))</f>
        <v>1 MJ heat</v>
      </c>
    </row>
    <row r="59" spans="1:2" x14ac:dyDescent="0.2">
      <c r="A59" t="s">
        <v>5</v>
      </c>
      <c r="B59" s="45" t="str">
        <f>INDEX(overview!$B$4:$R$338,MATCH('hydrogen - electrolysis'!B53,overview!$A$4:$A$338,0),MATCH('hydrogen - electrolysis'!A59,overview!$B$3:$R$3,0))</f>
        <v>hydrogen</v>
      </c>
    </row>
    <row r="60" spans="1:2" x14ac:dyDescent="0.2">
      <c r="A60" t="s">
        <v>3</v>
      </c>
      <c r="B60" s="45" t="str">
        <f>INDEX(overview!$B$4:$R$338,MATCH('hydrogen - electrolysis'!B53,overview!$A$4:$A$338,0),MATCH('hydrogen - electrolysis'!A60,overview!$B$3:$R$3,0))</f>
        <v>combustion</v>
      </c>
    </row>
    <row r="61" spans="1:2" x14ac:dyDescent="0.2">
      <c r="A61" t="s">
        <v>6</v>
      </c>
      <c r="B61" s="45" t="str">
        <f>INDEX(overview!$B$4:$R$338,MATCH('hydrogen - electrolysis'!B53,overview!$A$4:$A$338,0),MATCH('hydrogen - electrolysis'!A61,overview!$B$3:$R$3,0))</f>
        <v>CHP</v>
      </c>
    </row>
    <row r="62" spans="1:2" x14ac:dyDescent="0.2">
      <c r="A62" t="s">
        <v>39</v>
      </c>
      <c r="B62" s="45" t="str">
        <f>INDEX(overview!$B$4:$R$338,MATCH('hydrogen - electrolysis'!B53,overview!$A$4:$A$338,0),MATCH('hydrogen - electrolysis'!A62,overview!$B$3:$R$3,0))</f>
        <v>exergy</v>
      </c>
    </row>
    <row r="63" spans="1:2" x14ac:dyDescent="0.2">
      <c r="A63" t="s">
        <v>4</v>
      </c>
      <c r="B63" s="45" t="str">
        <f>INDEX(overview!$B$4:$R$338,MATCH('hydrogen - electrolysis'!B53,overview!$A$4:$A$338,0),MATCH('hydrogen - electrolysis'!A63,overview!$B$3:$R$3,0))</f>
        <v>pipeline</v>
      </c>
    </row>
    <row r="64" spans="1:2" x14ac:dyDescent="0.2">
      <c r="A64" t="s">
        <v>38</v>
      </c>
      <c r="B64" s="45">
        <f>INDEX(overview!$B$4:$R$338,MATCH('hydrogen - electrolysis'!B53,overview!$A$4:$A$338,0),MATCH('hydrogen - electrolysis'!A64,overview!$B$3:$R$3,0))</f>
        <v>500</v>
      </c>
    </row>
    <row r="65" spans="1:2" x14ac:dyDescent="0.2">
      <c r="A65" t="s">
        <v>12</v>
      </c>
      <c r="B65" s="45" t="str">
        <f>INDEX(overview!$B$4:$R$338,MATCH('hydrogen - electrolysis'!B53,overview!$A$4:$A$338,0),MATCH('hydrogen - electrolysis'!A65,overview!$B$3:$R$3,0))</f>
        <v>Pressure vessel for stationary storage</v>
      </c>
    </row>
    <row r="66" spans="1:2" x14ac:dyDescent="0.2">
      <c r="A66" t="s">
        <v>34</v>
      </c>
      <c r="B66" s="45">
        <f>INDEX(overview!$B$4:$R$338,MATCH('hydrogen - electrolysis'!B53,overview!$A$4:$A$338,0),MATCH('hydrogen - electrolysis'!A66,overview!$B$3:$R$3,0))</f>
        <v>0</v>
      </c>
    </row>
    <row r="67" spans="1:2" x14ac:dyDescent="0.2">
      <c r="A67" t="s">
        <v>15</v>
      </c>
      <c r="B67" s="45" t="str">
        <f>INDEX(overview!$B$4:$R$338,MATCH('hydrogen - electrolysis'!B53,overview!$A$4:$A$338,0),MATCH('hydrogen - electrolysis'!A67,overview!$B$3:$R$3,0))</f>
        <v>Electrolysis, Alkaline</v>
      </c>
    </row>
    <row r="68" spans="1:2" x14ac:dyDescent="0.2">
      <c r="A68" t="s">
        <v>14</v>
      </c>
      <c r="B68" s="45" t="str">
        <f>INDEX(overview!$B$4:$R$338,MATCH('hydrogen - electrolysis'!B53,overview!$A$4:$A$338,0),MATCH('hydrogen - electrolysis'!A68,overview!$B$3:$R$3,0))</f>
        <v>water and electricity</v>
      </c>
    </row>
    <row r="69" spans="1:2" x14ac:dyDescent="0.2">
      <c r="A69" t="s">
        <v>26</v>
      </c>
      <c r="B69" s="45" t="str">
        <f>INDEX(overview!$B$4:$R$338,MATCH('hydrogen - electrolysis'!B53,overview!$A$4:$A$338,0),MATCH('hydrogen - electrolysis'!A69,overview!$B$3:$R$3,0))</f>
        <v>grid</v>
      </c>
    </row>
    <row r="70" spans="1:2" x14ac:dyDescent="0.2">
      <c r="A70" t="s">
        <v>29</v>
      </c>
      <c r="B70" s="45">
        <f>INDEX(overview!$B$4:$R$338,MATCH('hydrogen - electrolysis'!B53,overview!$A$4:$A$338,0),MATCH('hydrogen - electrolysis'!A70,overview!$B$3:$R$3,0))</f>
        <v>0</v>
      </c>
    </row>
    <row r="71" spans="1:2" x14ac:dyDescent="0.2">
      <c r="A71" t="str">
        <f>IF(B55="megajoule","Heat","Electricity")&amp;" conversion efficiency [% LHV input]"</f>
        <v>Heat conversion efficiency [% LHV input]</v>
      </c>
      <c r="B71" s="46">
        <f>INDEX(parameters!$D$4:$N$20,MATCH('hydrogen - electrolysis'!B59&amp;'hydrogen - electrolysis'!B61,parameters!$A$4:$A$20,0),MATCH('hydrogen - electrolysis'!A71,parameters!$D$3:$N$3,0))</f>
        <v>0.41699999999999998</v>
      </c>
    </row>
    <row r="72" spans="1:2" x14ac:dyDescent="0.2">
      <c r="A72" t="str">
        <f>IF(B55="megajoule","LHV [MJ/kg]","LHV [kWh/kg]")</f>
        <v>LHV [MJ/kg]</v>
      </c>
      <c r="B72" s="47">
        <f>INDEX(parameters!$D$4:$N$20,MATCH('hydrogen - electrolysis'!B59&amp;'hydrogen - electrolysis'!B61,parameters!$A$4:$A$20,0),MATCH('hydrogen - electrolysis'!A72,parameters!$D$3:$N$3,0))</f>
        <v>120</v>
      </c>
    </row>
    <row r="73" spans="1:2" x14ac:dyDescent="0.2">
      <c r="A73" t="s">
        <v>41</v>
      </c>
      <c r="B73" s="48">
        <f>INDEX(parameters!$D$4:$N$20,MATCH('hydrogen - electrolysis'!B59&amp;'hydrogen - electrolysis'!B61,parameters!$A$4:$A$20,0),MATCH('hydrogen - electrolysis'!A73,parameters!$D$3:$N$3,0))</f>
        <v>2.6666666666666665E-2</v>
      </c>
    </row>
    <row r="74" spans="1:2" x14ac:dyDescent="0.2">
      <c r="A74" t="s">
        <v>45</v>
      </c>
      <c r="B74" s="46">
        <f>INDEX(parameters!$D$4:$N$20,MATCH('hydrogen - electrolysis'!B59&amp;'hydrogen - electrolysis'!B61,parameters!$A$4:$A$20,0),MATCH('hydrogen - electrolysis'!A74,parameters!$D$3:$N$3,0))</f>
        <v>0</v>
      </c>
    </row>
    <row r="75" spans="1:2" x14ac:dyDescent="0.2">
      <c r="A75" t="s">
        <v>46</v>
      </c>
      <c r="B75" s="46">
        <f>INDEX(parameters!$D$4:$N$20,MATCH('hydrogen - electrolysis'!B59&amp;'hydrogen - electrolysis'!B61,parameters!$A$4:$A$20,0),MATCH('hydrogen - electrolysis'!A75,parameters!$D$3:$N$3,0))</f>
        <v>1.4999999999999999E-2</v>
      </c>
    </row>
    <row r="76" spans="1:2" x14ac:dyDescent="0.2">
      <c r="A76" t="s">
        <v>43</v>
      </c>
      <c r="B76" s="46">
        <f>INDEX(parameters!$D$4:$N$20,MATCH('hydrogen - electrolysis'!B59&amp;'hydrogen - electrolysis'!B61,parameters!$A$4:$A$20,0),MATCH('hydrogen - electrolysis'!A76,parameters!$D$3:$N$3,0))</f>
        <v>0</v>
      </c>
    </row>
    <row r="77" spans="1:2" x14ac:dyDescent="0.2">
      <c r="A77" t="s">
        <v>44</v>
      </c>
      <c r="B77" s="46">
        <f>INDEX(parameters!$D$4:$N$20,MATCH('hydrogen - electrolysis'!B59&amp;'hydrogen - electrolysis'!B61,parameters!$A$4:$A$20,0),MATCH('hydrogen - electrolysis'!A77,parameters!$D$3:$N$3,0))</f>
        <v>0</v>
      </c>
    </row>
    <row r="78" spans="1:2" x14ac:dyDescent="0.2">
      <c r="A78" t="s">
        <v>634</v>
      </c>
      <c r="B78" s="51">
        <f>INDEX(parameters!$D$4:$Y$20,MATCH('hydrogen - electrolysis'!B59&amp;'hydrogen - electrolysis'!B61,parameters!$A$4:$A$20,0),MATCH('hydrogen - electrolysis'!A78,parameters!$D$3:$Y$3,0))</f>
        <v>351.41800246609125</v>
      </c>
    </row>
    <row r="79" spans="1:2" x14ac:dyDescent="0.2">
      <c r="A79" t="s">
        <v>82</v>
      </c>
      <c r="B79" s="46">
        <f>IF(B70&lt;&gt;0,VLOOKUP(B70,parameters!A98:B100,2,0),0)</f>
        <v>0</v>
      </c>
    </row>
    <row r="80" spans="1:2" x14ac:dyDescent="0.2">
      <c r="A80" t="s">
        <v>548</v>
      </c>
      <c r="B80" s="50">
        <f>INDEX(parameters!$D$4:$P$20,MATCH(B59&amp;B61,parameters!$A$4:$A$20,0),MATCH(A80,parameters!$D$3:$P$3,0))</f>
        <v>125</v>
      </c>
    </row>
    <row r="81" spans="1:22" x14ac:dyDescent="0.2">
      <c r="A81" t="s">
        <v>547</v>
      </c>
      <c r="B81" s="51">
        <f>INDEX(parameters!$D$4:$P$20,MATCH(B59&amp;B61,parameters!$A$4:$A$20,0),MATCH(A81,parameters!$D$3:$P$3,0))</f>
        <v>19.512195121951219</v>
      </c>
    </row>
    <row r="82" spans="1:22" x14ac:dyDescent="0.2">
      <c r="A82" t="s">
        <v>630</v>
      </c>
      <c r="B82" s="51">
        <f>INDEX(parameters!$D$4:$T$20,MATCH(B59&amp;B61,parameters!$A$4:$A$20,0),MATCH(A82,parameters!$D$3:$T$3,0))</f>
        <v>4100</v>
      </c>
    </row>
    <row r="83" spans="1:22" x14ac:dyDescent="0.2">
      <c r="A83" t="s">
        <v>1005</v>
      </c>
      <c r="B83" s="50">
        <f>IF(B55="megajoule",SUMIFS(allocation!$I$4:$I$30,allocation!$B$4:$B$30,B61,allocation!$C$4:$C$30,B62),SUMIFS(allocation!$J$4:$J$30,allocation!$B$4:$B$30,B61,allocation!$C$4:$C$30,B62))</f>
        <v>0.12860042227295038</v>
      </c>
    </row>
    <row r="84" spans="1:22" x14ac:dyDescent="0.2">
      <c r="A84" t="s">
        <v>1050</v>
      </c>
      <c r="B84" s="51">
        <f>INDEX(parameters!$D$4:$AB$20,MATCH(B59&amp;B61,parameters!$A$4:$A$20,0),MATCH(A84,parameters!$D$3:$AB$3,0))</f>
        <v>2220.7364520822662</v>
      </c>
    </row>
    <row r="86" spans="1:22" x14ac:dyDescent="0.2">
      <c r="A86" s="3" t="s">
        <v>57</v>
      </c>
    </row>
    <row r="87" spans="1:22" x14ac:dyDescent="0.2">
      <c r="A87" s="2" t="s">
        <v>58</v>
      </c>
      <c r="B87" s="44" t="s">
        <v>59</v>
      </c>
      <c r="C87" s="2" t="s">
        <v>55</v>
      </c>
      <c r="D87" s="2" t="s">
        <v>60</v>
      </c>
      <c r="E87" s="2" t="s">
        <v>52</v>
      </c>
      <c r="F87" s="2" t="s">
        <v>61</v>
      </c>
      <c r="G87" s="2" t="s">
        <v>54</v>
      </c>
      <c r="H87" s="2" t="s">
        <v>87</v>
      </c>
      <c r="I87" s="2" t="s">
        <v>51</v>
      </c>
      <c r="J87" s="2" t="s">
        <v>138</v>
      </c>
      <c r="K87" s="2" t="s">
        <v>136</v>
      </c>
      <c r="L87" s="2" t="s">
        <v>221</v>
      </c>
      <c r="M87" s="2" t="s">
        <v>379</v>
      </c>
      <c r="N87" s="2" t="s">
        <v>1059</v>
      </c>
      <c r="O87" s="2" t="s">
        <v>1060</v>
      </c>
      <c r="P87" s="2" t="s">
        <v>1061</v>
      </c>
      <c r="Q87" s="2" t="s">
        <v>1062</v>
      </c>
      <c r="R87" s="2" t="s">
        <v>1063</v>
      </c>
      <c r="S87" s="2" t="s">
        <v>1064</v>
      </c>
      <c r="T87" s="2" t="s">
        <v>1065</v>
      </c>
      <c r="U87" s="2" t="s">
        <v>380</v>
      </c>
      <c r="V87" s="2" t="s">
        <v>1128</v>
      </c>
    </row>
    <row r="88" spans="1:22" x14ac:dyDescent="0.2">
      <c r="A88" t="str">
        <f>B49</f>
        <v>heat, residential, by combustion of hydrogen using CHP, allocated by exergy, transported by pipeline, produced by Electrolysis, Alkaline using water and electricity from grid</v>
      </c>
      <c r="B88" s="45">
        <v>1</v>
      </c>
      <c r="C88" t="str">
        <f>B55</f>
        <v>megajoule</v>
      </c>
      <c r="E88" t="str">
        <f>B52</f>
        <v>CH</v>
      </c>
      <c r="F88" t="s">
        <v>62</v>
      </c>
      <c r="G88" t="str">
        <f>B54</f>
        <v>heat, from residential heating system</v>
      </c>
      <c r="K88" t="str">
        <f>B49</f>
        <v>heat, residential, by combustion of hydrogen using CHP, allocated by exergy, transported by pipeline, produced by Electrolysis, Alkaline using water and electricity from grid</v>
      </c>
    </row>
    <row r="89" spans="1:22" x14ac:dyDescent="0.2">
      <c r="A89" t="str">
        <f>VLOOKUP(J89,'dataset mapping'!$A$4:$E$69,2,0)</f>
        <v>heat and power co-generation unit construction, 160kW electrical, common components for heat+electricity</v>
      </c>
      <c r="B89" s="52">
        <f>(1/(B78*B82*B81*3.6))*B83</f>
        <v>1.270649883812899E-9</v>
      </c>
      <c r="C89" t="str">
        <f>VLOOKUP(J89,'dataset mapping'!$A$4:$E$69,5,0)</f>
        <v>unit</v>
      </c>
      <c r="E89" t="str">
        <f>VLOOKUP(J89,'dataset mapping'!$A$4:$E$69,4,0)</f>
        <v>RER</v>
      </c>
      <c r="F89" t="s">
        <v>86</v>
      </c>
      <c r="G89" t="str">
        <f>VLOOKUP(J89,'dataset mapping'!$A$4:$E$69,3,0)</f>
        <v>heat and power co-generation unit, 160kW electrical, common components for heat+electricity</v>
      </c>
      <c r="H89" t="s">
        <v>88</v>
      </c>
      <c r="J89" t="s">
        <v>145</v>
      </c>
      <c r="K89" t="str">
        <f>B49</f>
        <v>heat, residential, by combustion of hydrogen using CHP, allocated by exergy, transported by pipeline, produced by Electrolysis, Alkaline using water and electricity from grid</v>
      </c>
      <c r="L89">
        <f>IF(OR(B89&lt;0,B89=0),1,2)</f>
        <v>2</v>
      </c>
      <c r="M89">
        <f>IF(L89=2,LN(B89),"")</f>
        <v>-20.48373734782199</v>
      </c>
      <c r="N89">
        <v>1.05</v>
      </c>
      <c r="O89" s="15">
        <v>1.2</v>
      </c>
      <c r="P89">
        <v>1</v>
      </c>
      <c r="Q89">
        <v>1.01</v>
      </c>
      <c r="R89">
        <v>1.2</v>
      </c>
      <c r="S89">
        <v>1.2</v>
      </c>
      <c r="T89">
        <v>3</v>
      </c>
      <c r="U89">
        <f t="shared" ref="U89:U96" si="3">LN(SQRT(EXP(
SQRT(
+POWER(LN(N89),2)
+POWER(LN(O89),2)
+POWER(LN(P89),2)
+POWER(LN(Q89),2)
+POWER(LN(R89),2)
+POWER(LN(S89),2)
+POWER(LN(T89),2)
)
)))</f>
        <v>0.57209088006881903</v>
      </c>
    </row>
    <row r="90" spans="1:22" x14ac:dyDescent="0.2">
      <c r="A90" t="str">
        <f>VLOOKUP(J90,'dataset mapping'!$A$4:$E$69,2,0)</f>
        <v>heat and power co-generation unit construction, 160kW electrical, components for electricity only</v>
      </c>
      <c r="B90" s="52">
        <f>(1/(B78*B82*B81*3.6))*B83</f>
        <v>1.270649883812899E-9</v>
      </c>
      <c r="C90" t="str">
        <f>VLOOKUP(J90,'dataset mapping'!$A$4:$E$69,5,0)</f>
        <v>unit</v>
      </c>
      <c r="E90" t="str">
        <f>VLOOKUP(J90,'dataset mapping'!$A$4:$E$69,4,0)</f>
        <v>RER</v>
      </c>
      <c r="F90" t="s">
        <v>86</v>
      </c>
      <c r="G90" t="str">
        <f>VLOOKUP(J90,'dataset mapping'!$A$4:$E$69,3,0)</f>
        <v>heat and power co-generation unit, 160kW electrical, components for electricity only</v>
      </c>
      <c r="H90" t="s">
        <v>88</v>
      </c>
      <c r="J90" t="s">
        <v>146</v>
      </c>
      <c r="K90" t="str">
        <f>B49</f>
        <v>heat, residential, by combustion of hydrogen using CHP, allocated by exergy, transported by pipeline, produced by Electrolysis, Alkaline using water and electricity from grid</v>
      </c>
      <c r="L90">
        <f>IF(OR(B90&lt;0,B90=0),1,2)</f>
        <v>2</v>
      </c>
      <c r="M90">
        <f>IF(L90=2,LN(B90),"")</f>
        <v>-20.48373734782199</v>
      </c>
      <c r="N90">
        <v>1.05</v>
      </c>
      <c r="O90" s="15">
        <v>1.2</v>
      </c>
      <c r="P90">
        <v>1</v>
      </c>
      <c r="Q90">
        <v>1.01</v>
      </c>
      <c r="R90">
        <v>1.2</v>
      </c>
      <c r="S90">
        <v>1.2</v>
      </c>
      <c r="T90">
        <v>3</v>
      </c>
      <c r="U90">
        <f t="shared" si="3"/>
        <v>0.57209088006881903</v>
      </c>
    </row>
    <row r="91" spans="1:22" x14ac:dyDescent="0.2">
      <c r="A91" t="str">
        <f>VLOOKUP(J91,'dataset mapping'!$A$4:$E$69,2,0)</f>
        <v>heat and power co-generation unit construction, 160kW electrical, components for heat only</v>
      </c>
      <c r="B91" s="52">
        <f>(1/(B78*B82*B81*3.6))*B83</f>
        <v>1.270649883812899E-9</v>
      </c>
      <c r="C91" t="str">
        <f>VLOOKUP(J91,'dataset mapping'!$A$4:$E$69,5,0)</f>
        <v>unit</v>
      </c>
      <c r="E91" t="str">
        <f>VLOOKUP(J91,'dataset mapping'!$A$4:$E$69,4,0)</f>
        <v>RER</v>
      </c>
      <c r="F91" t="s">
        <v>86</v>
      </c>
      <c r="G91" t="str">
        <f>VLOOKUP(J91,'dataset mapping'!$A$4:$E$69,3,0)</f>
        <v>heat and power co-generation unit, 160kW electrical, components for heat only</v>
      </c>
      <c r="H91" t="s">
        <v>88</v>
      </c>
      <c r="J91" t="s">
        <v>147</v>
      </c>
      <c r="K91" t="str">
        <f>B49</f>
        <v>heat, residential, by combustion of hydrogen using CHP, allocated by exergy, transported by pipeline, produced by Electrolysis, Alkaline using water and electricity from grid</v>
      </c>
      <c r="L91">
        <f>IF(OR(B91&lt;0,B91=0),1,2)</f>
        <v>2</v>
      </c>
      <c r="M91">
        <f>IF(L91=2,LN(B91),"")</f>
        <v>-20.48373734782199</v>
      </c>
      <c r="N91">
        <v>1.05</v>
      </c>
      <c r="O91" s="15">
        <v>1.2</v>
      </c>
      <c r="P91">
        <v>1</v>
      </c>
      <c r="Q91">
        <v>1.01</v>
      </c>
      <c r="R91">
        <v>1.2</v>
      </c>
      <c r="S91">
        <v>1.2</v>
      </c>
      <c r="T91">
        <v>3</v>
      </c>
      <c r="U91">
        <f t="shared" si="3"/>
        <v>0.57209088006881903</v>
      </c>
    </row>
    <row r="92" spans="1:22" x14ac:dyDescent="0.2">
      <c r="A92" t="s">
        <v>156</v>
      </c>
      <c r="B92" s="52">
        <f>0.00000011366*B83</f>
        <v>1.461672399554354E-8</v>
      </c>
      <c r="C92" t="s">
        <v>56</v>
      </c>
      <c r="E92" t="s">
        <v>90</v>
      </c>
      <c r="F92" t="s">
        <v>86</v>
      </c>
      <c r="G92" t="s">
        <v>154</v>
      </c>
      <c r="H92" t="s">
        <v>155</v>
      </c>
      <c r="K92" t="str">
        <f>B49</f>
        <v>heat, residential, by combustion of hydrogen using CHP, allocated by exergy, transported by pipeline, produced by Electrolysis, Alkaline using water and electricity from grid</v>
      </c>
      <c r="L92">
        <f>IF(OR(B92&lt;0,B92=0),1,2)</f>
        <v>2</v>
      </c>
      <c r="M92">
        <f>IF(L92=2,LN(B92),"")</f>
        <v>-18.041099484645969</v>
      </c>
      <c r="N92">
        <v>1.05</v>
      </c>
      <c r="O92" s="15">
        <v>1.2</v>
      </c>
      <c r="P92">
        <v>1</v>
      </c>
      <c r="Q92">
        <v>1.01</v>
      </c>
      <c r="R92">
        <v>1.2</v>
      </c>
      <c r="S92">
        <v>1.2</v>
      </c>
      <c r="T92">
        <v>1.05</v>
      </c>
      <c r="U92">
        <f t="shared" si="3"/>
        <v>0.16169679924070957</v>
      </c>
    </row>
    <row r="93" spans="1:22" x14ac:dyDescent="0.2">
      <c r="A93" t="s">
        <v>157</v>
      </c>
      <c r="B93" s="52">
        <f>0.00000011366*B83*-1</f>
        <v>-1.461672399554354E-8</v>
      </c>
      <c r="C93" t="s">
        <v>56</v>
      </c>
      <c r="E93" t="s">
        <v>64</v>
      </c>
      <c r="F93" t="s">
        <v>86</v>
      </c>
      <c r="G93" t="s">
        <v>158</v>
      </c>
      <c r="H93" t="s">
        <v>155</v>
      </c>
      <c r="K93" t="str">
        <f>B49</f>
        <v>heat, residential, by combustion of hydrogen using CHP, allocated by exergy, transported by pipeline, produced by Electrolysis, Alkaline using water and electricity from grid</v>
      </c>
      <c r="L93">
        <v>2</v>
      </c>
      <c r="M93">
        <f>IF(L93=2,LN(B93*-1),"")</f>
        <v>-18.041099484645969</v>
      </c>
      <c r="N93">
        <v>1.05</v>
      </c>
      <c r="O93" s="15">
        <v>1.2</v>
      </c>
      <c r="P93">
        <v>1</v>
      </c>
      <c r="Q93">
        <v>1.01</v>
      </c>
      <c r="R93">
        <v>1.2</v>
      </c>
      <c r="S93">
        <v>1.2</v>
      </c>
      <c r="T93">
        <v>3</v>
      </c>
      <c r="U93">
        <f t="shared" si="3"/>
        <v>0.57209088006881903</v>
      </c>
      <c r="V93" t="b">
        <v>1</v>
      </c>
    </row>
    <row r="94" spans="1:22" x14ac:dyDescent="0.2">
      <c r="A94" t="s">
        <v>1134</v>
      </c>
      <c r="B94" s="53">
        <f>(B88/B72)/B71*B83</f>
        <v>2.56995248347223E-3</v>
      </c>
      <c r="C94" t="str">
        <f>VLOOKUP(J94,'dataset mapping'!$A$4:$E$69,5,0)</f>
        <v>kilogram</v>
      </c>
      <c r="E94" t="str">
        <f>VLOOKUP(J94,'dataset mapping'!$A$4:$E$69,4,0)</f>
        <v>CH</v>
      </c>
      <c r="F94" t="s">
        <v>86</v>
      </c>
      <c r="G94" t="s">
        <v>1129</v>
      </c>
      <c r="H94" t="s">
        <v>76</v>
      </c>
      <c r="I94" t="s">
        <v>1054</v>
      </c>
      <c r="J94" t="s">
        <v>231</v>
      </c>
      <c r="K94" t="str">
        <f>B49</f>
        <v>heat, residential, by combustion of hydrogen using CHP, allocated by exergy, transported by pipeline, produced by Electrolysis, Alkaline using water and electricity from grid</v>
      </c>
      <c r="L94">
        <f>IF(OR(B94&lt;0,B94=0),1,2)</f>
        <v>2</v>
      </c>
      <c r="M94">
        <f>IF(L94=2,LN(B94),"")</f>
        <v>-5.9638678691672418</v>
      </c>
      <c r="N94">
        <v>1.05</v>
      </c>
      <c r="O94" s="15">
        <v>1.2</v>
      </c>
      <c r="P94">
        <v>1</v>
      </c>
      <c r="Q94">
        <v>1.01</v>
      </c>
      <c r="R94">
        <v>1.2</v>
      </c>
      <c r="S94">
        <v>1.2</v>
      </c>
      <c r="T94">
        <v>1.05</v>
      </c>
      <c r="U94">
        <f t="shared" si="3"/>
        <v>0.16169679924070957</v>
      </c>
    </row>
    <row r="95" spans="1:22" x14ac:dyDescent="0.2">
      <c r="A95" t="s">
        <v>134</v>
      </c>
      <c r="B95" s="45">
        <f>B94*9</f>
        <v>2.3129572351250072E-2</v>
      </c>
      <c r="C95" t="s">
        <v>56</v>
      </c>
      <c r="D95" t="s">
        <v>100</v>
      </c>
      <c r="F95" t="s">
        <v>99</v>
      </c>
      <c r="H95" t="s">
        <v>131</v>
      </c>
      <c r="I95" t="s">
        <v>1058</v>
      </c>
      <c r="K95" t="str">
        <f>B49</f>
        <v>heat, residential, by combustion of hydrogen using CHP, allocated by exergy, transported by pipeline, produced by Electrolysis, Alkaline using water and electricity from grid</v>
      </c>
      <c r="L95">
        <f>IF(OR(B95&lt;0,B95=0),1,2)</f>
        <v>2</v>
      </c>
      <c r="M95">
        <f>IF(L95=2,LN(B95),"")</f>
        <v>-3.7666432918310226</v>
      </c>
      <c r="N95">
        <v>1.05</v>
      </c>
      <c r="O95" s="15">
        <v>1.2</v>
      </c>
      <c r="P95">
        <v>1</v>
      </c>
      <c r="Q95">
        <v>1.01</v>
      </c>
      <c r="R95">
        <v>1.2</v>
      </c>
      <c r="S95">
        <v>1.2</v>
      </c>
      <c r="T95">
        <v>1.05</v>
      </c>
      <c r="U95">
        <f t="shared" si="3"/>
        <v>0.16169679924070957</v>
      </c>
    </row>
    <row r="96" spans="1:22" x14ac:dyDescent="0.2">
      <c r="A96" t="s">
        <v>135</v>
      </c>
      <c r="B96" s="45">
        <f>912.5/1000000*B94</f>
        <v>2.3450816411684101E-6</v>
      </c>
      <c r="C96" t="s">
        <v>56</v>
      </c>
      <c r="D96" t="s">
        <v>100</v>
      </c>
      <c r="F96" t="s">
        <v>99</v>
      </c>
      <c r="H96" t="s">
        <v>131</v>
      </c>
      <c r="I96" t="s">
        <v>1217</v>
      </c>
      <c r="K96" t="str">
        <f>B49</f>
        <v>heat, residential, by combustion of hydrogen using CHP, allocated by exergy, transported by pipeline, produced by Electrolysis, Alkaline using water and electricity from grid</v>
      </c>
      <c r="L96">
        <f>IF(OR(B96&lt;0,B96=0),1,2)</f>
        <v>2</v>
      </c>
      <c r="M96">
        <f>IF(L96=2,LN(B96),"")</f>
        <v>-12.963190341674869</v>
      </c>
      <c r="N96">
        <v>1.05</v>
      </c>
      <c r="O96" s="15">
        <v>1.2</v>
      </c>
      <c r="P96">
        <v>1</v>
      </c>
      <c r="Q96">
        <v>1.01</v>
      </c>
      <c r="R96">
        <v>1.2</v>
      </c>
      <c r="S96">
        <v>1.2</v>
      </c>
      <c r="T96">
        <v>1.5</v>
      </c>
      <c r="U96">
        <f t="shared" si="3"/>
        <v>0.25816898211842121</v>
      </c>
    </row>
    <row r="98" spans="1:2" x14ac:dyDescent="0.2">
      <c r="A98" s="2" t="s">
        <v>50</v>
      </c>
      <c r="B98" s="44" t="str">
        <f>IF(B104="megajoule","heat","electricity")&amp;", residential, by "&amp;B109&amp;" of "&amp;B108&amp;" using "&amp;B110&amp;IF(B111&lt;&gt;0,", allocated by "&amp;B111,"")&amp;", transported by "&amp;B112&amp;", produced by "&amp;B116&amp;" using "&amp;B117&amp;" from "&amp;B118</f>
        <v>electricity, residential, by combustion of hydrogen using CHP, allocated by exergy, transported by pipeline, produced by Electrolysis, Alkaline using water and electricity from grid</v>
      </c>
    </row>
    <row r="99" spans="1:2" x14ac:dyDescent="0.2">
      <c r="A99" t="s">
        <v>51</v>
      </c>
      <c r="B99" s="45" t="str">
        <f>"This dataset represents the supply of 1 "&amp;IF(B104="megajoule","megajoule of heat","kilowatt hour of electricity")&amp;" in a residence, by "&amp;B108&amp;" "&amp;B109&amp;" in a "&amp;B110&amp;". "&amp;" The hydrogen is transported by "&amp;B112&amp;" over "&amp;B113&amp;" km from regional storage. "&amp;" The "&amp;B108&amp;" is produced by  "&amp;B116&amp;", with "&amp;B117&amp;" from "&amp;B118&amp;" as feedstock. "&amp;A120&amp;": "&amp;(B120*100)&amp;"%. "&amp;A121&amp;": "&amp;B121&amp;". "&amp;A122&amp;": "&amp;B122&amp;". "&amp;A123&amp;": "&amp;(B123*100)&amp;"%. "&amp;A124&amp;": "&amp;(B124*100)&amp;"%. "&amp;A125&amp;": "&amp;(B125*100)&amp;"%. "&amp;A126&amp;": "&amp;B126&amp;". "&amp;A127&amp;": "&amp;B127&amp;". "&amp;A128&amp;": "&amp;(B128*100)&amp;"%. "&amp;A129&amp;": "&amp;B129&amp;". "&amp;A130&amp;": "&amp;B130&amp;". "&amp;A131&amp;": "&amp;B131&amp;". "&amp;A132&amp;": "&amp;B132&amp;".  For more information, refer to: "&amp;B100</f>
        <v>This dataset represents the supply of 1 kilowatt hour of electricity in a residence, by hydrogen combustion in a CHP.  The hydrogen is transported by pipeline over 500 km from regional storage.  The hydrogen is produced by  Electrolysis, Alkaline,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100" spans="1:2" x14ac:dyDescent="0.2">
      <c r="A100" t="s">
        <v>63</v>
      </c>
      <c r="B100" s="45" t="s">
        <v>1223</v>
      </c>
    </row>
    <row r="101" spans="1:2" x14ac:dyDescent="0.2">
      <c r="A101" t="s">
        <v>52</v>
      </c>
      <c r="B101" s="45" t="s">
        <v>64</v>
      </c>
    </row>
    <row r="102" spans="1:2" x14ac:dyDescent="0.2">
      <c r="A102" t="s">
        <v>48</v>
      </c>
      <c r="B102" s="45" t="s">
        <v>864</v>
      </c>
    </row>
    <row r="103" spans="1:2" x14ac:dyDescent="0.2">
      <c r="A103" t="s">
        <v>54</v>
      </c>
      <c r="B103" s="45" t="str">
        <f>INDEX(overview!$B$4:$R$338,MATCH('hydrogen - electrolysis'!B102,overview!$A$4:$A$338,0),MATCH('hydrogen - electrolysis'!A103,overview!$B$3:$R$3,0))</f>
        <v>electricity, from residential heating system</v>
      </c>
    </row>
    <row r="104" spans="1:2" x14ac:dyDescent="0.2">
      <c r="A104" t="s">
        <v>55</v>
      </c>
      <c r="B104" s="45" t="str">
        <f>INDEX(overview!$B$4:$R$338,MATCH('hydrogen - electrolysis'!B102,overview!$A$4:$A$338,0),MATCH('hydrogen - electrolysis'!A104,overview!$B$3:$R$3,0))</f>
        <v>kilowatt hour</v>
      </c>
    </row>
    <row r="105" spans="1:2" x14ac:dyDescent="0.2">
      <c r="A105" t="s">
        <v>0</v>
      </c>
      <c r="B105" s="45" t="str">
        <f>INDEX(overview!$B$4:$R$338,MATCH('hydrogen - electrolysis'!B102,overview!$A$4:$A$338,0),MATCH('hydrogen - electrolysis'!A105,overview!$B$3:$R$3,0))</f>
        <v>Switzerland</v>
      </c>
    </row>
    <row r="106" spans="1:2" x14ac:dyDescent="0.2">
      <c r="A106" t="s">
        <v>1</v>
      </c>
      <c r="B106" s="45">
        <f>INDEX(overview!$B$4:$R$338,MATCH('hydrogen - electrolysis'!B102,overview!$A$4:$A$338,0),MATCH('hydrogen - electrolysis'!A106,overview!$B$3:$R$3,0))</f>
        <v>2020</v>
      </c>
    </row>
    <row r="107" spans="1:2" x14ac:dyDescent="0.2">
      <c r="A107" t="s">
        <v>2</v>
      </c>
      <c r="B107" s="45" t="str">
        <f>INDEX(overview!$B$4:$R$338,MATCH('hydrogen - electrolysis'!B102,overview!$A$4:$A$338,0),MATCH('hydrogen - electrolysis'!A107,overview!$B$3:$R$3,0))</f>
        <v>1 kWh electricity</v>
      </c>
    </row>
    <row r="108" spans="1:2" x14ac:dyDescent="0.2">
      <c r="A108" t="s">
        <v>5</v>
      </c>
      <c r="B108" s="45" t="str">
        <f>INDEX(overview!$B$4:$R$338,MATCH('hydrogen - electrolysis'!B102,overview!$A$4:$A$338,0),MATCH('hydrogen - electrolysis'!A108,overview!$B$3:$R$3,0))</f>
        <v>hydrogen</v>
      </c>
    </row>
    <row r="109" spans="1:2" x14ac:dyDescent="0.2">
      <c r="A109" t="s">
        <v>3</v>
      </c>
      <c r="B109" s="45" t="str">
        <f>INDEX(overview!$B$4:$R$338,MATCH('hydrogen - electrolysis'!B102,overview!$A$4:$A$338,0),MATCH('hydrogen - electrolysis'!A109,overview!$B$3:$R$3,0))</f>
        <v>combustion</v>
      </c>
    </row>
    <row r="110" spans="1:2" x14ac:dyDescent="0.2">
      <c r="A110" t="s">
        <v>6</v>
      </c>
      <c r="B110" s="45" t="str">
        <f>INDEX(overview!$B$4:$R$338,MATCH('hydrogen - electrolysis'!B102,overview!$A$4:$A$338,0),MATCH('hydrogen - electrolysis'!A110,overview!$B$3:$R$3,0))</f>
        <v>CHP</v>
      </c>
    </row>
    <row r="111" spans="1:2" x14ac:dyDescent="0.2">
      <c r="A111" t="s">
        <v>39</v>
      </c>
      <c r="B111" s="45" t="str">
        <f>INDEX(overview!$B$4:$R$338,MATCH('hydrogen - electrolysis'!B102,overview!$A$4:$A$338,0),MATCH('hydrogen - electrolysis'!A111,overview!$B$3:$R$3,0))</f>
        <v>exergy</v>
      </c>
    </row>
    <row r="112" spans="1:2" x14ac:dyDescent="0.2">
      <c r="A112" t="s">
        <v>4</v>
      </c>
      <c r="B112" s="45" t="str">
        <f>INDEX(overview!$B$4:$R$338,MATCH('hydrogen - electrolysis'!B102,overview!$A$4:$A$338,0),MATCH('hydrogen - electrolysis'!A112,overview!$B$3:$R$3,0))</f>
        <v>pipeline</v>
      </c>
    </row>
    <row r="113" spans="1:2" x14ac:dyDescent="0.2">
      <c r="A113" t="s">
        <v>38</v>
      </c>
      <c r="B113" s="45">
        <f>INDEX(overview!$B$4:$R$338,MATCH('hydrogen - electrolysis'!B102,overview!$A$4:$A$338,0),MATCH('hydrogen - electrolysis'!A113,overview!$B$3:$R$3,0))</f>
        <v>500</v>
      </c>
    </row>
    <row r="114" spans="1:2" x14ac:dyDescent="0.2">
      <c r="A114" t="s">
        <v>12</v>
      </c>
      <c r="B114" s="45" t="str">
        <f>INDEX(overview!$B$4:$R$338,MATCH('hydrogen - electrolysis'!B102,overview!$A$4:$A$338,0),MATCH('hydrogen - electrolysis'!A114,overview!$B$3:$R$3,0))</f>
        <v>Pressure vessel for stationary storage</v>
      </c>
    </row>
    <row r="115" spans="1:2" x14ac:dyDescent="0.2">
      <c r="A115" t="s">
        <v>34</v>
      </c>
      <c r="B115" s="45">
        <f>INDEX(overview!$B$4:$R$338,MATCH('hydrogen - electrolysis'!B102,overview!$A$4:$A$338,0),MATCH('hydrogen - electrolysis'!A115,overview!$B$3:$R$3,0))</f>
        <v>0</v>
      </c>
    </row>
    <row r="116" spans="1:2" x14ac:dyDescent="0.2">
      <c r="A116" t="s">
        <v>15</v>
      </c>
      <c r="B116" s="45" t="str">
        <f>INDEX(overview!$B$4:$R$338,MATCH('hydrogen - electrolysis'!B102,overview!$A$4:$A$338,0),MATCH('hydrogen - electrolysis'!A116,overview!$B$3:$R$3,0))</f>
        <v>Electrolysis, Alkaline</v>
      </c>
    </row>
    <row r="117" spans="1:2" x14ac:dyDescent="0.2">
      <c r="A117" t="s">
        <v>14</v>
      </c>
      <c r="B117" s="45" t="str">
        <f>INDEX(overview!$B$4:$R$338,MATCH('hydrogen - electrolysis'!B102,overview!$A$4:$A$338,0),MATCH('hydrogen - electrolysis'!A117,overview!$B$3:$R$3,0))</f>
        <v>water and electricity</v>
      </c>
    </row>
    <row r="118" spans="1:2" x14ac:dyDescent="0.2">
      <c r="A118" t="s">
        <v>26</v>
      </c>
      <c r="B118" s="45" t="str">
        <f>INDEX(overview!$B$4:$R$338,MATCH('hydrogen - electrolysis'!B102,overview!$A$4:$A$338,0),MATCH('hydrogen - electrolysis'!A118,overview!$B$3:$R$3,0))</f>
        <v>grid</v>
      </c>
    </row>
    <row r="119" spans="1:2" x14ac:dyDescent="0.2">
      <c r="A119" t="s">
        <v>29</v>
      </c>
      <c r="B119" s="45">
        <f>INDEX(overview!$B$4:$R$338,MATCH('hydrogen - electrolysis'!B102,overview!$A$4:$A$338,0),MATCH('hydrogen - electrolysis'!A119,overview!$B$3:$R$3,0))</f>
        <v>0</v>
      </c>
    </row>
    <row r="120" spans="1:2" x14ac:dyDescent="0.2">
      <c r="A120" t="str">
        <f>IF(B104="megajoule","Heat","Electricity")&amp;" conversion efficiency [% LHV input]"</f>
        <v>Electricity conversion efficiency [% LHV input]</v>
      </c>
      <c r="B120" s="46">
        <f>INDEX(parameters!$D$4:$N$20,MATCH('hydrogen - electrolysis'!B108&amp;'hydrogen - electrolysis'!B110,parameters!$A$4:$A$20,0),MATCH('hydrogen - electrolysis'!A120,parameters!$D$3:$N$3,0))</f>
        <v>0.39400000000000002</v>
      </c>
    </row>
    <row r="121" spans="1:2" x14ac:dyDescent="0.2">
      <c r="A121" t="str">
        <f>IF(B104="megajoule","LHV [MJ/kg]","LHV [kWh/kg]")</f>
        <v>LHV [kWh/kg]</v>
      </c>
      <c r="B121" s="47">
        <f>INDEX(parameters!$D$4:$N$20,MATCH('hydrogen - electrolysis'!B108&amp;'hydrogen - electrolysis'!B110,parameters!$A$4:$A$20,0),MATCH('hydrogen - electrolysis'!A121,parameters!$D$3:$N$3,0))</f>
        <v>33.333333333333336</v>
      </c>
    </row>
    <row r="122" spans="1:2" x14ac:dyDescent="0.2">
      <c r="A122" t="s">
        <v>41</v>
      </c>
      <c r="B122" s="48">
        <f>INDEX(parameters!$D$4:$N$20,MATCH('hydrogen - electrolysis'!B108&amp;'hydrogen - electrolysis'!B110,parameters!$A$4:$A$20,0),MATCH('hydrogen - electrolysis'!A122,parameters!$D$3:$N$3,0))</f>
        <v>2.6666666666666665E-2</v>
      </c>
    </row>
    <row r="123" spans="1:2" x14ac:dyDescent="0.2">
      <c r="A123" t="s">
        <v>45</v>
      </c>
      <c r="B123" s="46">
        <f>INDEX(parameters!$D$4:$N$20,MATCH('hydrogen - electrolysis'!B108&amp;'hydrogen - electrolysis'!B110,parameters!$A$4:$A$20,0),MATCH('hydrogen - electrolysis'!A123,parameters!$D$3:$N$3,0))</f>
        <v>0</v>
      </c>
    </row>
    <row r="124" spans="1:2" x14ac:dyDescent="0.2">
      <c r="A124" t="s">
        <v>46</v>
      </c>
      <c r="B124" s="46">
        <f>INDEX(parameters!$D$4:$N$20,MATCH('hydrogen - electrolysis'!B108&amp;'hydrogen - electrolysis'!B110,parameters!$A$4:$A$20,0),MATCH('hydrogen - electrolysis'!A124,parameters!$D$3:$N$3,0))</f>
        <v>1.4999999999999999E-2</v>
      </c>
    </row>
    <row r="125" spans="1:2" x14ac:dyDescent="0.2">
      <c r="A125" t="s">
        <v>43</v>
      </c>
      <c r="B125" s="46">
        <f>INDEX(parameters!$D$4:$N$20,MATCH('hydrogen - electrolysis'!B108&amp;'hydrogen - electrolysis'!B110,parameters!$A$4:$A$20,0),MATCH('hydrogen - electrolysis'!A125,parameters!$D$3:$N$3,0))</f>
        <v>0</v>
      </c>
    </row>
    <row r="126" spans="1:2" x14ac:dyDescent="0.2">
      <c r="A126" t="s">
        <v>44</v>
      </c>
      <c r="B126" s="46">
        <f>INDEX(parameters!$D$4:$N$20,MATCH('hydrogen - electrolysis'!B108&amp;'hydrogen - electrolysis'!B110,parameters!$A$4:$A$20,0),MATCH('hydrogen - electrolysis'!A126,parameters!$D$3:$N$3,0))</f>
        <v>0</v>
      </c>
    </row>
    <row r="127" spans="1:2" x14ac:dyDescent="0.2">
      <c r="A127" t="s">
        <v>634</v>
      </c>
      <c r="B127" s="51">
        <f>INDEX(parameters!$D$4:$Y$20,MATCH('hydrogen - electrolysis'!B108&amp;'hydrogen - electrolysis'!B110,parameters!$A$4:$A$20,0),MATCH('hydrogen - electrolysis'!A127,parameters!$D$3:$Y$3,0))</f>
        <v>351.41800246609125</v>
      </c>
    </row>
    <row r="128" spans="1:2" x14ac:dyDescent="0.2">
      <c r="A128" t="s">
        <v>82</v>
      </c>
      <c r="B128" s="46">
        <f>IF(B119&lt;&gt;0,VLOOKUP(B119,parameters!A152:B154,2,0),0)</f>
        <v>0</v>
      </c>
    </row>
    <row r="129" spans="1:22" x14ac:dyDescent="0.2">
      <c r="A129" t="s">
        <v>548</v>
      </c>
      <c r="B129" s="50">
        <f>INDEX(parameters!$D$4:$P$20,MATCH(B108&amp;B110,parameters!$A$4:$A$20,0),MATCH(A129,parameters!$D$3:$P$3,0))</f>
        <v>125</v>
      </c>
    </row>
    <row r="130" spans="1:22" x14ac:dyDescent="0.2">
      <c r="A130" t="s">
        <v>547</v>
      </c>
      <c r="B130" s="51">
        <f>INDEX(parameters!$D$4:$P$20,MATCH(B108&amp;B110,parameters!$A$4:$A$20,0),MATCH(A130,parameters!$D$3:$P$3,0))</f>
        <v>19.512195121951219</v>
      </c>
    </row>
    <row r="131" spans="1:22" x14ac:dyDescent="0.2">
      <c r="A131" t="s">
        <v>630</v>
      </c>
      <c r="B131" s="51">
        <f>INDEX(parameters!$D$4:$T$20,MATCH(B108&amp;B110,parameters!$A$4:$A$20,0),MATCH(A131,parameters!$D$3:$T$3,0))</f>
        <v>4100</v>
      </c>
    </row>
    <row r="132" spans="1:22" x14ac:dyDescent="0.2">
      <c r="A132" t="s">
        <v>1005</v>
      </c>
      <c r="B132" s="50">
        <f>IF(B104="megajoule",SUMIFS(allocation!$I$4:$I$30,allocation!$B$4:$B$30,B110,allocation!$C$4:$C$30,B111),SUMIFS(allocation!$J$4:$J$30,allocation!$B$4:$B$30,B110,allocation!$C$4:$C$30,B111))</f>
        <v>0.87139957772704957</v>
      </c>
    </row>
    <row r="133" spans="1:22" x14ac:dyDescent="0.2">
      <c r="A133" t="s">
        <v>1050</v>
      </c>
      <c r="B133" s="51">
        <f>INDEX(parameters!$D$4:$AB$20,MATCH(B108&amp;B110,parameters!$A$4:$A$20,0),MATCH(A133,parameters!$D$3:$AB$3,0))</f>
        <v>2220.7364520822662</v>
      </c>
    </row>
    <row r="135" spans="1:22" x14ac:dyDescent="0.2">
      <c r="A135" s="3" t="s">
        <v>57</v>
      </c>
    </row>
    <row r="136" spans="1:22" x14ac:dyDescent="0.2">
      <c r="A136" s="2" t="s">
        <v>58</v>
      </c>
      <c r="B136" s="44" t="s">
        <v>59</v>
      </c>
      <c r="C136" s="2" t="s">
        <v>55</v>
      </c>
      <c r="D136" s="2" t="s">
        <v>60</v>
      </c>
      <c r="E136" s="2" t="s">
        <v>52</v>
      </c>
      <c r="F136" s="2" t="s">
        <v>61</v>
      </c>
      <c r="G136" s="2" t="s">
        <v>54</v>
      </c>
      <c r="H136" s="2" t="s">
        <v>87</v>
      </c>
      <c r="I136" s="2" t="s">
        <v>51</v>
      </c>
      <c r="J136" s="2" t="s">
        <v>138</v>
      </c>
      <c r="K136" s="2" t="s">
        <v>136</v>
      </c>
      <c r="L136" s="2" t="s">
        <v>221</v>
      </c>
      <c r="M136" s="2" t="s">
        <v>379</v>
      </c>
      <c r="N136" s="2" t="s">
        <v>1059</v>
      </c>
      <c r="O136" s="2" t="s">
        <v>1060</v>
      </c>
      <c r="P136" s="2" t="s">
        <v>1061</v>
      </c>
      <c r="Q136" s="2" t="s">
        <v>1062</v>
      </c>
      <c r="R136" s="2" t="s">
        <v>1063</v>
      </c>
      <c r="S136" s="2" t="s">
        <v>1064</v>
      </c>
      <c r="T136" s="2" t="s">
        <v>1065</v>
      </c>
      <c r="U136" s="2" t="s">
        <v>380</v>
      </c>
      <c r="V136" s="2" t="s">
        <v>1128</v>
      </c>
    </row>
    <row r="137" spans="1:22" x14ac:dyDescent="0.2">
      <c r="A137" t="str">
        <f>B98</f>
        <v>electricity, residential, by combustion of hydrogen using CHP, allocated by exergy, transported by pipeline, produced by Electrolysis, Alkaline using water and electricity from grid</v>
      </c>
      <c r="B137" s="45">
        <v>1</v>
      </c>
      <c r="C137" t="str">
        <f>B104</f>
        <v>kilowatt hour</v>
      </c>
      <c r="E137" t="str">
        <f>B101</f>
        <v>CH</v>
      </c>
      <c r="F137" t="s">
        <v>62</v>
      </c>
      <c r="G137" t="str">
        <f>B103</f>
        <v>electricity, from residential heating system</v>
      </c>
      <c r="K137" t="str">
        <f>B98</f>
        <v>electricity, residential, by combustion of hydrogen using CHP, allocated by exergy, transported by pipeline, produced by Electrolysis, Alkaline using water and electricity from grid</v>
      </c>
    </row>
    <row r="138" spans="1:22" x14ac:dyDescent="0.2">
      <c r="A138" t="str">
        <f>VLOOKUP(J138,'dataset mapping'!$A$4:$E$69,2,0)</f>
        <v>heat and power co-generation unit construction, 160kW electrical, common components for heat+electricity</v>
      </c>
      <c r="B138" s="52">
        <f>(1/(B127*B131*B130))*B132</f>
        <v>3.0995835856870056E-8</v>
      </c>
      <c r="C138" t="str">
        <f>VLOOKUP(J138,'dataset mapping'!$A$4:$E$69,5,0)</f>
        <v>unit</v>
      </c>
      <c r="E138" t="str">
        <f>VLOOKUP(J138,'dataset mapping'!$A$4:$E$69,4,0)</f>
        <v>RER</v>
      </c>
      <c r="F138" t="s">
        <v>86</v>
      </c>
      <c r="G138" t="str">
        <f>VLOOKUP(J138,'dataset mapping'!$A$4:$E$69,3,0)</f>
        <v>heat and power co-generation unit, 160kW electrical, common components for heat+electricity</v>
      </c>
      <c r="H138" t="s">
        <v>88</v>
      </c>
      <c r="J138" t="s">
        <v>145</v>
      </c>
      <c r="K138" t="str">
        <f>B98</f>
        <v>electricity, residential, by combustion of hydrogen using CHP, allocated by exergy, transported by pipeline, produced by Electrolysis, Alkaline using water and electricity from grid</v>
      </c>
      <c r="L138">
        <f>IF(OR(B138&lt;0,B138=0),1,2)</f>
        <v>2</v>
      </c>
      <c r="M138">
        <f>IF(L138=2,LN(B138),"")</f>
        <v>-17.28941296868171</v>
      </c>
      <c r="N138">
        <v>1.05</v>
      </c>
      <c r="O138" s="15">
        <v>1.2</v>
      </c>
      <c r="P138">
        <v>1</v>
      </c>
      <c r="Q138">
        <v>1.01</v>
      </c>
      <c r="R138">
        <v>1.2</v>
      </c>
      <c r="S138">
        <v>1.2</v>
      </c>
      <c r="T138">
        <v>3</v>
      </c>
      <c r="U138">
        <f t="shared" ref="U138:U145" si="4">LN(SQRT(EXP(
SQRT(
+POWER(LN(N138),2)
+POWER(LN(O138),2)
+POWER(LN(P138),2)
+POWER(LN(Q138),2)
+POWER(LN(R138),2)
+POWER(LN(S138),2)
+POWER(LN(T138),2)
)
)))</f>
        <v>0.57209088006881903</v>
      </c>
    </row>
    <row r="139" spans="1:22" x14ac:dyDescent="0.2">
      <c r="A139" t="str">
        <f>VLOOKUP(J139,'dataset mapping'!$A$4:$E$69,2,0)</f>
        <v>heat and power co-generation unit construction, 160kW electrical, components for electricity only</v>
      </c>
      <c r="B139" s="52">
        <f>(1/(B127*B131*B130))*B132</f>
        <v>3.0995835856870056E-8</v>
      </c>
      <c r="C139" t="str">
        <f>VLOOKUP(J139,'dataset mapping'!$A$4:$E$69,5,0)</f>
        <v>unit</v>
      </c>
      <c r="E139" t="str">
        <f>VLOOKUP(J139,'dataset mapping'!$A$4:$E$69,4,0)</f>
        <v>RER</v>
      </c>
      <c r="F139" t="s">
        <v>86</v>
      </c>
      <c r="G139" t="str">
        <f>VLOOKUP(J139,'dataset mapping'!$A$4:$E$69,3,0)</f>
        <v>heat and power co-generation unit, 160kW electrical, components for electricity only</v>
      </c>
      <c r="H139" t="s">
        <v>88</v>
      </c>
      <c r="J139" t="s">
        <v>146</v>
      </c>
      <c r="K139" t="str">
        <f>B98</f>
        <v>electricity, residential, by combustion of hydrogen using CHP, allocated by exergy, transported by pipeline, produced by Electrolysis, Alkaline using water and electricity from grid</v>
      </c>
      <c r="L139">
        <f>IF(OR(B139&lt;0,B139=0),1,2)</f>
        <v>2</v>
      </c>
      <c r="M139">
        <f>IF(L139=2,LN(B139),"")</f>
        <v>-17.28941296868171</v>
      </c>
      <c r="N139">
        <v>1.05</v>
      </c>
      <c r="O139" s="15">
        <v>1.2</v>
      </c>
      <c r="P139">
        <v>1</v>
      </c>
      <c r="Q139">
        <v>1.01</v>
      </c>
      <c r="R139">
        <v>1.2</v>
      </c>
      <c r="S139">
        <v>1.2</v>
      </c>
      <c r="T139">
        <v>3</v>
      </c>
      <c r="U139">
        <f t="shared" si="4"/>
        <v>0.57209088006881903</v>
      </c>
    </row>
    <row r="140" spans="1:22" x14ac:dyDescent="0.2">
      <c r="A140" t="str">
        <f>VLOOKUP(J140,'dataset mapping'!$A$4:$E$69,2,0)</f>
        <v>heat and power co-generation unit construction, 160kW electrical, components for heat only</v>
      </c>
      <c r="B140" s="52">
        <f>(1/(B127*B131*B130))*B132</f>
        <v>3.0995835856870056E-8</v>
      </c>
      <c r="C140" t="str">
        <f>VLOOKUP(J140,'dataset mapping'!$A$4:$E$69,5,0)</f>
        <v>unit</v>
      </c>
      <c r="E140" t="str">
        <f>VLOOKUP(J140,'dataset mapping'!$A$4:$E$69,4,0)</f>
        <v>RER</v>
      </c>
      <c r="F140" t="s">
        <v>86</v>
      </c>
      <c r="G140" t="str">
        <f>VLOOKUP(J140,'dataset mapping'!$A$4:$E$69,3,0)</f>
        <v>heat and power co-generation unit, 160kW electrical, components for heat only</v>
      </c>
      <c r="H140" t="s">
        <v>88</v>
      </c>
      <c r="J140" t="s">
        <v>147</v>
      </c>
      <c r="K140" t="str">
        <f>B98</f>
        <v>electricity, residential, by combustion of hydrogen using CHP, allocated by exergy, transported by pipeline, produced by Electrolysis, Alkaline using water and electricity from grid</v>
      </c>
      <c r="L140">
        <f>IF(OR(B140&lt;0,B140=0),1,2)</f>
        <v>2</v>
      </c>
      <c r="M140">
        <f>IF(L140=2,LN(B140),"")</f>
        <v>-17.28941296868171</v>
      </c>
      <c r="N140">
        <v>1.05</v>
      </c>
      <c r="O140" s="15">
        <v>1.2</v>
      </c>
      <c r="P140">
        <v>1</v>
      </c>
      <c r="Q140">
        <v>1.01</v>
      </c>
      <c r="R140">
        <v>1.2</v>
      </c>
      <c r="S140">
        <v>1.2</v>
      </c>
      <c r="T140">
        <v>3</v>
      </c>
      <c r="U140">
        <f t="shared" si="4"/>
        <v>0.57209088006881903</v>
      </c>
    </row>
    <row r="141" spans="1:22" x14ac:dyDescent="0.2">
      <c r="A141" t="s">
        <v>156</v>
      </c>
      <c r="B141" s="52">
        <f>0.00000011366*B132</f>
        <v>9.9043276004456456E-8</v>
      </c>
      <c r="C141" t="s">
        <v>56</v>
      </c>
      <c r="E141" t="s">
        <v>90</v>
      </c>
      <c r="F141" t="s">
        <v>86</v>
      </c>
      <c r="G141" t="s">
        <v>154</v>
      </c>
      <c r="H141" t="s">
        <v>155</v>
      </c>
      <c r="K141" t="str">
        <f>B98</f>
        <v>electricity, residential, by combustion of hydrogen using CHP, allocated by exergy, transported by pipeline, produced by Electrolysis, Alkaline using water and electricity from grid</v>
      </c>
      <c r="L141">
        <f>IF(OR(B141&lt;0,B141=0),1,2)</f>
        <v>2</v>
      </c>
      <c r="M141">
        <f>IF(L141=2,LN(B141),"")</f>
        <v>-16.127708950967754</v>
      </c>
      <c r="N141">
        <v>1.05</v>
      </c>
      <c r="O141" s="15">
        <v>1.2</v>
      </c>
      <c r="P141">
        <v>1</v>
      </c>
      <c r="Q141">
        <v>1.01</v>
      </c>
      <c r="R141">
        <v>1.2</v>
      </c>
      <c r="S141">
        <v>1.2</v>
      </c>
      <c r="T141">
        <v>1.05</v>
      </c>
      <c r="U141">
        <f t="shared" si="4"/>
        <v>0.16169679924070957</v>
      </c>
    </row>
    <row r="142" spans="1:22" x14ac:dyDescent="0.2">
      <c r="A142" t="s">
        <v>157</v>
      </c>
      <c r="B142" s="52">
        <f>0.00000011366*B132*-1</f>
        <v>-9.9043276004456456E-8</v>
      </c>
      <c r="C142" t="s">
        <v>56</v>
      </c>
      <c r="E142" t="s">
        <v>64</v>
      </c>
      <c r="F142" t="s">
        <v>86</v>
      </c>
      <c r="G142" t="s">
        <v>158</v>
      </c>
      <c r="H142" t="s">
        <v>155</v>
      </c>
      <c r="K142" t="str">
        <f>B98</f>
        <v>electricity, residential, by combustion of hydrogen using CHP, allocated by exergy, transported by pipeline, produced by Electrolysis, Alkaline using water and electricity from grid</v>
      </c>
      <c r="L142">
        <v>2</v>
      </c>
      <c r="M142">
        <f>IF(L142=2,LN(B142*-1),"")</f>
        <v>-16.127708950967754</v>
      </c>
      <c r="N142">
        <v>1.05</v>
      </c>
      <c r="O142" s="15">
        <v>1.2</v>
      </c>
      <c r="P142">
        <v>1</v>
      </c>
      <c r="Q142">
        <v>1.01</v>
      </c>
      <c r="R142">
        <v>1.2</v>
      </c>
      <c r="S142">
        <v>1.2</v>
      </c>
      <c r="T142">
        <v>3</v>
      </c>
      <c r="U142">
        <f t="shared" si="4"/>
        <v>0.57209088006881903</v>
      </c>
      <c r="V142" t="b">
        <v>1</v>
      </c>
    </row>
    <row r="143" spans="1:22" x14ac:dyDescent="0.2">
      <c r="A143" t="s">
        <v>1134</v>
      </c>
      <c r="B143" s="53">
        <f>(B137/B121)/B120*B132</f>
        <v>6.6350221654343872E-2</v>
      </c>
      <c r="C143" t="str">
        <f>VLOOKUP(J143,'dataset mapping'!$A$4:$E$69,5,0)</f>
        <v>kilogram</v>
      </c>
      <c r="E143" t="str">
        <f>VLOOKUP(J143,'dataset mapping'!$A$4:$E$69,4,0)</f>
        <v>CH</v>
      </c>
      <c r="F143" t="s">
        <v>86</v>
      </c>
      <c r="G143" t="s">
        <v>1129</v>
      </c>
      <c r="H143" t="s">
        <v>76</v>
      </c>
      <c r="I143" t="s">
        <v>1054</v>
      </c>
      <c r="J143" t="s">
        <v>231</v>
      </c>
      <c r="K143" t="str">
        <f>B98</f>
        <v>electricity, residential, by combustion of hydrogen using CHP, allocated by exergy, transported by pipeline, produced by Electrolysis, Alkaline using water and electricity from grid</v>
      </c>
      <c r="L143">
        <f>IF(OR(B143&lt;0,B143=0),1,2)</f>
        <v>2</v>
      </c>
      <c r="M143">
        <f>IF(L143=2,LN(B143),"")</f>
        <v>-2.7128081775260964</v>
      </c>
      <c r="N143">
        <v>1.05</v>
      </c>
      <c r="O143" s="15">
        <v>1.2</v>
      </c>
      <c r="P143">
        <v>1</v>
      </c>
      <c r="Q143">
        <v>1.01</v>
      </c>
      <c r="R143">
        <v>1.2</v>
      </c>
      <c r="S143">
        <v>1.2</v>
      </c>
      <c r="T143">
        <v>1.05</v>
      </c>
      <c r="U143">
        <f t="shared" si="4"/>
        <v>0.16169679924070957</v>
      </c>
    </row>
    <row r="144" spans="1:22" x14ac:dyDescent="0.2">
      <c r="A144" t="s">
        <v>134</v>
      </c>
      <c r="B144" s="45">
        <f>B143*9</f>
        <v>0.59715199488909487</v>
      </c>
      <c r="C144" t="s">
        <v>56</v>
      </c>
      <c r="D144" t="s">
        <v>100</v>
      </c>
      <c r="F144" t="s">
        <v>99</v>
      </c>
      <c r="H144" t="s">
        <v>131</v>
      </c>
      <c r="I144" t="s">
        <v>1058</v>
      </c>
      <c r="K144" t="str">
        <f>B98</f>
        <v>electricity, residential, by combustion of hydrogen using CHP, allocated by exergy, transported by pipeline, produced by Electrolysis, Alkaline using water and electricity from grid</v>
      </c>
      <c r="L144">
        <f>IF(OR(B144&lt;0,B144=0),1,2)</f>
        <v>2</v>
      </c>
      <c r="M144">
        <f>IF(L144=2,LN(B144),"")</f>
        <v>-0.51558360018987692</v>
      </c>
      <c r="N144">
        <v>1.05</v>
      </c>
      <c r="O144" s="15">
        <v>1.2</v>
      </c>
      <c r="P144">
        <v>1</v>
      </c>
      <c r="Q144">
        <v>1.01</v>
      </c>
      <c r="R144">
        <v>1.2</v>
      </c>
      <c r="S144">
        <v>1.2</v>
      </c>
      <c r="T144">
        <v>1.05</v>
      </c>
      <c r="U144">
        <f t="shared" si="4"/>
        <v>0.16169679924070957</v>
      </c>
    </row>
    <row r="145" spans="1:21" x14ac:dyDescent="0.2">
      <c r="A145" t="s">
        <v>135</v>
      </c>
      <c r="B145" s="45">
        <f>912.5/1000000*B143</f>
        <v>6.0544577259588785E-5</v>
      </c>
      <c r="C145" t="s">
        <v>56</v>
      </c>
      <c r="D145" t="s">
        <v>100</v>
      </c>
      <c r="F145" t="s">
        <v>99</v>
      </c>
      <c r="H145" t="s">
        <v>131</v>
      </c>
      <c r="I145" t="s">
        <v>1217</v>
      </c>
      <c r="K145" t="str">
        <f>B98</f>
        <v>electricity, residential, by combustion of hydrogen using CHP, allocated by exergy, transported by pipeline, produced by Electrolysis, Alkaline using water and electricity from grid</v>
      </c>
      <c r="L145">
        <f>IF(OR(B145&lt;0,B145=0),1,2)</f>
        <v>2</v>
      </c>
      <c r="M145">
        <f>IF(L145=2,LN(B145),"")</f>
        <v>-9.712130650033723</v>
      </c>
      <c r="N145">
        <v>1.05</v>
      </c>
      <c r="O145" s="15">
        <v>1.2</v>
      </c>
      <c r="P145">
        <v>1</v>
      </c>
      <c r="Q145">
        <v>1.01</v>
      </c>
      <c r="R145">
        <v>1.2</v>
      </c>
      <c r="S145">
        <v>1.2</v>
      </c>
      <c r="T145">
        <v>1.5</v>
      </c>
      <c r="U145">
        <f t="shared" si="4"/>
        <v>0.25816898211842121</v>
      </c>
    </row>
    <row r="147" spans="1:21" x14ac:dyDescent="0.2">
      <c r="A147" s="2" t="s">
        <v>50</v>
      </c>
      <c r="B147" s="44" t="str">
        <f>IF(B153="megajoule","heat","electricity")&amp;", residential, by "&amp;B158&amp;" of "&amp;B157&amp;" using "&amp;B159&amp;IF(B160&lt;&gt;0,", allocated by "&amp;B160,"")&amp;", transported by "&amp;B161&amp;", produced by "&amp;B165&amp;" using "&amp;B166&amp;" from "&amp;B167</f>
        <v>heat, residential, by conversion of hydrogen using fuel cell, PEM, allocated by exergy, transported by pipeline, produced by Electrolysis, Alkaline using water and electricity from grid</v>
      </c>
    </row>
    <row r="148" spans="1:21" x14ac:dyDescent="0.2">
      <c r="A148" t="s">
        <v>51</v>
      </c>
      <c r="B148" s="45" t="str">
        <f>"This dataset represents the supply of 1 "&amp;IF(B153="megajoule","megajoule of heat","kilowatt hour of electricity")&amp;" in a residence, by "&amp;B157&amp;" "&amp;B158&amp;" in a "&amp;B159&amp;". "&amp;" The hydrogen is transported by "&amp;B161&amp;" over "&amp;B162&amp;" km from regional storage. "&amp;" The "&amp;B157&amp;" is produced by  "&amp;B165&amp;", with "&amp;B166&amp;" from "&amp;B167&amp;" as feedstock. "&amp;A169&amp;": "&amp;(B169*100)&amp;"%. "&amp;A170&amp;": "&amp;B170&amp;". "&amp;A171&amp;": "&amp;B171&amp;". "&amp;A172&amp;": "&amp;(B172*100)&amp;"%. "&amp;A173&amp;": "&amp;(B173*100)&amp;"%. "&amp;A174&amp;": "&amp;(B174*100)&amp;"%. "&amp;A175&amp;": "&amp;B175&amp;". "&amp;A176&amp;": "&amp;B176&amp;". "&amp;A177&amp;": "&amp;(B177*100)&amp;"%. "&amp;A178&amp;": "&amp;B178&amp;". "&amp;A179&amp;": "&amp;B179&amp;". "&amp;A180&amp;": "&amp;B180&amp;". "&amp;A181&amp;": "&amp;B181&amp;".  For more information, refer to: "&amp;B149</f>
        <v>This dataset represents the supply of 1 megajoule of heat in a residence, by hydrogen conversion in a fuel cell, PEM.  The hydrogen is transported by pipeline over 500 km from regional storage.  The hydrogen is produced by  Electrolysis, Alkaline,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149" spans="1:21" x14ac:dyDescent="0.2">
      <c r="A149" t="s">
        <v>63</v>
      </c>
      <c r="B149" s="45" t="s">
        <v>1223</v>
      </c>
    </row>
    <row r="150" spans="1:21" x14ac:dyDescent="0.2">
      <c r="A150" t="s">
        <v>52</v>
      </c>
      <c r="B150" s="45" t="s">
        <v>64</v>
      </c>
    </row>
    <row r="151" spans="1:21" x14ac:dyDescent="0.2">
      <c r="A151" t="s">
        <v>48</v>
      </c>
      <c r="B151" s="45">
        <v>3</v>
      </c>
    </row>
    <row r="152" spans="1:21" x14ac:dyDescent="0.2">
      <c r="A152" t="s">
        <v>54</v>
      </c>
      <c r="B152" s="45" t="str">
        <f>INDEX(overview!$B$4:$R$338,MATCH('hydrogen - electrolysis'!B151,overview!$A$4:$A$338,0),MATCH('hydrogen - electrolysis'!A152,overview!$B$3:$R$3,0))</f>
        <v>heat, from residential heating system</v>
      </c>
    </row>
    <row r="153" spans="1:21" x14ac:dyDescent="0.2">
      <c r="A153" t="s">
        <v>55</v>
      </c>
      <c r="B153" s="45" t="str">
        <f>INDEX(overview!$B$4:$R$338,MATCH('hydrogen - electrolysis'!B151,overview!$A$4:$A$338,0),MATCH('hydrogen - electrolysis'!A153,overview!$B$3:$R$3,0))</f>
        <v>megajoule</v>
      </c>
    </row>
    <row r="154" spans="1:21" x14ac:dyDescent="0.2">
      <c r="A154" t="s">
        <v>0</v>
      </c>
      <c r="B154" s="45" t="str">
        <f>INDEX(overview!$B$4:$R$338,MATCH('hydrogen - electrolysis'!B151,overview!$A$4:$A$338,0),MATCH('hydrogen - electrolysis'!A154,overview!$B$3:$R$3,0))</f>
        <v>Switzerland</v>
      </c>
    </row>
    <row r="155" spans="1:21" x14ac:dyDescent="0.2">
      <c r="A155" t="s">
        <v>1</v>
      </c>
      <c r="B155" s="45">
        <f>INDEX(overview!$B$4:$R$338,MATCH('hydrogen - electrolysis'!B151,overview!$A$4:$A$338,0),MATCH('hydrogen - electrolysis'!A155,overview!$B$3:$R$3,0))</f>
        <v>2020</v>
      </c>
    </row>
    <row r="156" spans="1:21" x14ac:dyDescent="0.2">
      <c r="A156" t="s">
        <v>2</v>
      </c>
      <c r="B156" s="45" t="str">
        <f>INDEX(overview!$B$4:$R$338,MATCH('hydrogen - electrolysis'!B151,overview!$A$4:$A$338,0),MATCH('hydrogen - electrolysis'!A156,overview!$B$3:$R$3,0))</f>
        <v>1 MJ heat</v>
      </c>
    </row>
    <row r="157" spans="1:21" x14ac:dyDescent="0.2">
      <c r="A157" t="s">
        <v>5</v>
      </c>
      <c r="B157" s="45" t="str">
        <f>INDEX(overview!$B$4:$R$338,MATCH('hydrogen - electrolysis'!B151,overview!$A$4:$A$338,0),MATCH('hydrogen - electrolysis'!A157,overview!$B$3:$R$3,0))</f>
        <v>hydrogen</v>
      </c>
    </row>
    <row r="158" spans="1:21" x14ac:dyDescent="0.2">
      <c r="A158" t="s">
        <v>3</v>
      </c>
      <c r="B158" s="45" t="str">
        <f>INDEX(overview!$B$4:$R$338,MATCH('hydrogen - electrolysis'!B151,overview!$A$4:$A$338,0),MATCH('hydrogen - electrolysis'!A158,overview!$B$3:$R$3,0))</f>
        <v>conversion</v>
      </c>
    </row>
    <row r="159" spans="1:21" x14ac:dyDescent="0.2">
      <c r="A159" t="s">
        <v>6</v>
      </c>
      <c r="B159" s="45" t="str">
        <f>INDEX(overview!$B$4:$R$338,MATCH('hydrogen - electrolysis'!B151,overview!$A$4:$A$338,0),MATCH('hydrogen - electrolysis'!A159,overview!$B$3:$R$3,0))</f>
        <v>fuel cell, PEM</v>
      </c>
    </row>
    <row r="160" spans="1:21" x14ac:dyDescent="0.2">
      <c r="A160" t="s">
        <v>39</v>
      </c>
      <c r="B160" s="45" t="str">
        <f>INDEX(overview!$B$4:$R$338,MATCH('hydrogen - electrolysis'!B151,overview!$A$4:$A$338,0),MATCH('hydrogen - electrolysis'!A160,overview!$B$3:$R$3,0))</f>
        <v>exergy</v>
      </c>
    </row>
    <row r="161" spans="1:2" x14ac:dyDescent="0.2">
      <c r="A161" t="s">
        <v>4</v>
      </c>
      <c r="B161" s="45" t="str">
        <f>INDEX(overview!$B$4:$R$338,MATCH('hydrogen - electrolysis'!B151,overview!$A$4:$A$338,0),MATCH('hydrogen - electrolysis'!A161,overview!$B$3:$R$3,0))</f>
        <v>pipeline</v>
      </c>
    </row>
    <row r="162" spans="1:2" x14ac:dyDescent="0.2">
      <c r="A162" t="s">
        <v>38</v>
      </c>
      <c r="B162" s="45">
        <f>INDEX(overview!$B$4:$R$338,MATCH('hydrogen - electrolysis'!B151,overview!$A$4:$A$338,0),MATCH('hydrogen - electrolysis'!A162,overview!$B$3:$R$3,0))</f>
        <v>500</v>
      </c>
    </row>
    <row r="163" spans="1:2" x14ac:dyDescent="0.2">
      <c r="A163" t="s">
        <v>12</v>
      </c>
      <c r="B163" s="45" t="str">
        <f>INDEX(overview!$B$4:$R$338,MATCH('hydrogen - electrolysis'!B151,overview!$A$4:$A$338,0),MATCH('hydrogen - electrolysis'!A163,overview!$B$3:$R$3,0))</f>
        <v>Pressure vessel for stationary storage</v>
      </c>
    </row>
    <row r="164" spans="1:2" x14ac:dyDescent="0.2">
      <c r="A164" t="s">
        <v>34</v>
      </c>
      <c r="B164" s="45">
        <f>INDEX(overview!$B$4:$R$338,MATCH('hydrogen - electrolysis'!B151,overview!$A$4:$A$338,0),MATCH('hydrogen - electrolysis'!A164,overview!$B$3:$R$3,0))</f>
        <v>0</v>
      </c>
    </row>
    <row r="165" spans="1:2" x14ac:dyDescent="0.2">
      <c r="A165" t="s">
        <v>15</v>
      </c>
      <c r="B165" s="45" t="str">
        <f>INDEX(overview!$B$4:$R$338,MATCH('hydrogen - electrolysis'!B151,overview!$A$4:$A$338,0),MATCH('hydrogen - electrolysis'!A165,overview!$B$3:$R$3,0))</f>
        <v>Electrolysis, Alkaline</v>
      </c>
    </row>
    <row r="166" spans="1:2" x14ac:dyDescent="0.2">
      <c r="A166" t="s">
        <v>14</v>
      </c>
      <c r="B166" s="45" t="str">
        <f>INDEX(overview!$B$4:$R$338,MATCH('hydrogen - electrolysis'!B151,overview!$A$4:$A$338,0),MATCH('hydrogen - electrolysis'!A166,overview!$B$3:$R$3,0))</f>
        <v>water and electricity</v>
      </c>
    </row>
    <row r="167" spans="1:2" x14ac:dyDescent="0.2">
      <c r="A167" t="s">
        <v>26</v>
      </c>
      <c r="B167" s="45" t="str">
        <f>INDEX(overview!$B$4:$R$338,MATCH('hydrogen - electrolysis'!B151,overview!$A$4:$A$338,0),MATCH('hydrogen - electrolysis'!A167,overview!$B$3:$R$3,0))</f>
        <v>grid</v>
      </c>
    </row>
    <row r="168" spans="1:2" x14ac:dyDescent="0.2">
      <c r="A168" t="s">
        <v>29</v>
      </c>
      <c r="B168" s="45">
        <f>INDEX(overview!$B$4:$R$338,MATCH('hydrogen - electrolysis'!B151,overview!$A$4:$A$338,0),MATCH('hydrogen - electrolysis'!A168,overview!$B$3:$R$3,0))</f>
        <v>0</v>
      </c>
    </row>
    <row r="169" spans="1:2" x14ac:dyDescent="0.2">
      <c r="A169" t="str">
        <f>IF(B153="megajoule","Heat","Electricity")&amp;" conversion efficiency [% LHV input]"</f>
        <v>Heat conversion efficiency [% LHV input]</v>
      </c>
      <c r="B169" s="46">
        <f>INDEX(parameters!$D$4:$N$20,MATCH('hydrogen - electrolysis'!B157&amp;'hydrogen - electrolysis'!B159,parameters!$A$4:$A$20,0),MATCH('hydrogen - electrolysis'!A169,parameters!$D$3:$N$3,0))</f>
        <v>0.5</v>
      </c>
    </row>
    <row r="170" spans="1:2" x14ac:dyDescent="0.2">
      <c r="A170" t="str">
        <f>IF(B153="megajoule","LHV [MJ/kg]","LHV [kWh/kg]")</f>
        <v>LHV [MJ/kg]</v>
      </c>
      <c r="B170" s="47">
        <f>INDEX(parameters!$D$4:$N$20,MATCH('hydrogen - electrolysis'!B157&amp;'hydrogen - electrolysis'!B159,parameters!$A$4:$A$20,0),MATCH('hydrogen - electrolysis'!A170,parameters!$D$3:$N$3,0))</f>
        <v>120</v>
      </c>
    </row>
    <row r="171" spans="1:2" x14ac:dyDescent="0.2">
      <c r="A171" t="s">
        <v>41</v>
      </c>
      <c r="B171" s="48">
        <f>INDEX(parameters!$D$4:$N$20,MATCH('hydrogen - electrolysis'!B157&amp;'hydrogen - electrolysis'!B159,parameters!$A$4:$A$20,0),MATCH('hydrogen - electrolysis'!A171,parameters!$D$3:$N$3,0))</f>
        <v>2.6666666666666665E-2</v>
      </c>
    </row>
    <row r="172" spans="1:2" x14ac:dyDescent="0.2">
      <c r="A172" t="s">
        <v>45</v>
      </c>
      <c r="B172" s="46">
        <f>INDEX(parameters!$D$4:$N$20,MATCH('hydrogen - electrolysis'!B157&amp;'hydrogen - electrolysis'!B159,parameters!$A$4:$A$20,0),MATCH('hydrogen - electrolysis'!A172,parameters!$D$3:$N$3,0))</f>
        <v>0</v>
      </c>
    </row>
    <row r="173" spans="1:2" x14ac:dyDescent="0.2">
      <c r="A173" t="s">
        <v>46</v>
      </c>
      <c r="B173" s="46">
        <f>INDEX(parameters!$D$4:$N$20,MATCH('hydrogen - electrolysis'!B157&amp;'hydrogen - electrolysis'!B159,parameters!$A$4:$A$20,0),MATCH('hydrogen - electrolysis'!A173,parameters!$D$3:$N$3,0))</f>
        <v>1.4999999999999999E-2</v>
      </c>
    </row>
    <row r="174" spans="1:2" x14ac:dyDescent="0.2">
      <c r="A174" t="s">
        <v>43</v>
      </c>
      <c r="B174" s="46">
        <f>INDEX(parameters!$D$4:$N$20,MATCH('hydrogen - electrolysis'!B157&amp;'hydrogen - electrolysis'!B159,parameters!$A$4:$A$20,0),MATCH('hydrogen - electrolysis'!A174,parameters!$D$3:$N$3,0))</f>
        <v>0</v>
      </c>
    </row>
    <row r="175" spans="1:2" x14ac:dyDescent="0.2">
      <c r="A175" t="s">
        <v>44</v>
      </c>
      <c r="B175" s="46">
        <f>INDEX(parameters!$D$4:$N$20,MATCH('hydrogen - electrolysis'!B157&amp;'hydrogen - electrolysis'!B159,parameters!$A$4:$A$20,0),MATCH('hydrogen - electrolysis'!A175,parameters!$D$3:$N$3,0))</f>
        <v>0</v>
      </c>
    </row>
    <row r="176" spans="1:2" x14ac:dyDescent="0.2">
      <c r="A176" t="s">
        <v>634</v>
      </c>
      <c r="B176" s="47">
        <f>INDEX(parameters!$D$4:$Y$20,MATCH('hydrogen - electrolysis'!B157&amp;'hydrogen - electrolysis'!B159,parameters!$A$4:$A$20,0),MATCH('hydrogen - electrolysis'!A176,parameters!$D$3:$Y$3,0))</f>
        <v>1.8947368421052633</v>
      </c>
    </row>
    <row r="177" spans="1:22" x14ac:dyDescent="0.2">
      <c r="A177" t="s">
        <v>82</v>
      </c>
      <c r="B177" s="46">
        <f>IF(B168&lt;&gt;0,VLOOKUP(B168,parameters!A152:B154,2,0),0)</f>
        <v>0</v>
      </c>
    </row>
    <row r="178" spans="1:22" x14ac:dyDescent="0.2">
      <c r="A178" t="s">
        <v>548</v>
      </c>
      <c r="B178" s="50">
        <f>INDEX(parameters!$D$4:$P$20,MATCH(B157&amp;B159,parameters!$A$4:$A$20,0),MATCH(A178,parameters!$D$3:$P$3,0))</f>
        <v>0.8</v>
      </c>
    </row>
    <row r="179" spans="1:22" x14ac:dyDescent="0.2">
      <c r="A179" t="s">
        <v>547</v>
      </c>
      <c r="B179" s="51">
        <f>INDEX(parameters!$D$4:$P$20,MATCH(B157&amp;B159,parameters!$A$4:$A$20,0),MATCH(A179,parameters!$D$3:$P$3,0))</f>
        <v>4.8780487804878048</v>
      </c>
    </row>
    <row r="180" spans="1:22" x14ac:dyDescent="0.2">
      <c r="A180" t="s">
        <v>630</v>
      </c>
      <c r="B180" s="51">
        <f>INDEX(parameters!$D$4:$T$20,MATCH(B157&amp;B159,parameters!$A$4:$A$20,0),MATCH(A180,parameters!$D$3:$T$3,0))</f>
        <v>4100</v>
      </c>
    </row>
    <row r="181" spans="1:22" x14ac:dyDescent="0.2">
      <c r="A181" t="s">
        <v>1005</v>
      </c>
      <c r="B181" s="50">
        <f>IF(B153="megajoule",SUMIFS(allocation!$I$4:$I$30,allocation!$B$4:$B$30,B159,allocation!$C$4:$C$30,B160),SUMIFS(allocation!$J$4:$J$30,allocation!$B$4:$B$30,B159,allocation!$C$4:$C$30,B160))</f>
        <v>0.13933980798974457</v>
      </c>
    </row>
    <row r="182" spans="1:22" x14ac:dyDescent="0.2">
      <c r="A182" t="s">
        <v>1050</v>
      </c>
      <c r="B182" s="51">
        <f>INDEX(parameters!$D$4:$AB$20,MATCH(B157&amp;B159,parameters!$A$4:$A$20,0),MATCH(A182,parameters!$D$3:$AB$3,0))</f>
        <v>10.221606648199446</v>
      </c>
    </row>
    <row r="184" spans="1:22" x14ac:dyDescent="0.2">
      <c r="A184" s="3" t="s">
        <v>57</v>
      </c>
    </row>
    <row r="185" spans="1:22" x14ac:dyDescent="0.2">
      <c r="A185" s="2" t="s">
        <v>58</v>
      </c>
      <c r="B185" s="44" t="s">
        <v>59</v>
      </c>
      <c r="C185" s="2" t="s">
        <v>55</v>
      </c>
      <c r="D185" s="2" t="s">
        <v>60</v>
      </c>
      <c r="E185" s="2" t="s">
        <v>52</v>
      </c>
      <c r="F185" s="2" t="s">
        <v>61</v>
      </c>
      <c r="G185" s="2" t="s">
        <v>54</v>
      </c>
      <c r="H185" s="2" t="s">
        <v>87</v>
      </c>
      <c r="I185" s="2" t="s">
        <v>51</v>
      </c>
      <c r="J185" s="2" t="s">
        <v>138</v>
      </c>
      <c r="K185" s="2" t="s">
        <v>136</v>
      </c>
      <c r="L185" s="2" t="s">
        <v>221</v>
      </c>
      <c r="M185" s="2" t="s">
        <v>379</v>
      </c>
      <c r="N185" s="2" t="s">
        <v>1059</v>
      </c>
      <c r="O185" s="2" t="s">
        <v>1060</v>
      </c>
      <c r="P185" s="2" t="s">
        <v>1061</v>
      </c>
      <c r="Q185" s="2" t="s">
        <v>1062</v>
      </c>
      <c r="R185" s="2" t="s">
        <v>1063</v>
      </c>
      <c r="S185" s="2" t="s">
        <v>1064</v>
      </c>
      <c r="T185" s="2" t="s">
        <v>1065</v>
      </c>
      <c r="U185" s="2" t="s">
        <v>380</v>
      </c>
      <c r="V185" s="2" t="s">
        <v>1128</v>
      </c>
    </row>
    <row r="186" spans="1:22" x14ac:dyDescent="0.2">
      <c r="A186" t="str">
        <f>B147</f>
        <v>heat, residential, by conversion of hydrogen using fuel cell, PEM, allocated by exergy, transported by pipeline, produced by Electrolysis, Alkaline using water and electricity from grid</v>
      </c>
      <c r="B186" s="45">
        <v>1</v>
      </c>
      <c r="C186" t="str">
        <f>B153</f>
        <v>megajoule</v>
      </c>
      <c r="E186" t="str">
        <f>B150</f>
        <v>CH</v>
      </c>
      <c r="F186" t="s">
        <v>62</v>
      </c>
      <c r="G186" t="str">
        <f>B152</f>
        <v>heat, from residential heating system</v>
      </c>
      <c r="K186" t="str">
        <f>B147</f>
        <v>heat, residential, by conversion of hydrogen using fuel cell, PEM, allocated by exergy, transported by pipeline, produced by Electrolysis, Alkaline using water and electricity from grid</v>
      </c>
    </row>
    <row r="187" spans="1:22" x14ac:dyDescent="0.2">
      <c r="A187" t="str">
        <f>VLOOKUP(J187,'dataset mapping'!$A$4:$E$69,2,0)</f>
        <v>fuel cell system assembly, 1 kWe, proton exchange membrane (PEM)</v>
      </c>
      <c r="B187" s="52">
        <f>(1/(B176*B180*B179*3.6))*B181</f>
        <v>1.0213951974556892E-6</v>
      </c>
      <c r="C187" t="str">
        <f>VLOOKUP(J187,'dataset mapping'!$A$4:$E$69,5,0)</f>
        <v>unit</v>
      </c>
      <c r="E187" t="str">
        <f>VLOOKUP(J187,'dataset mapping'!$A$4:$E$69,4,0)</f>
        <v>GLO</v>
      </c>
      <c r="F187" t="s">
        <v>86</v>
      </c>
      <c r="G187" t="str">
        <f>VLOOKUP(J187,'dataset mapping'!$A$4:$E$69,3,0)</f>
        <v>fuel cell system, 1 kWe, proton exchange membrane (PEM)</v>
      </c>
      <c r="H187" t="s">
        <v>88</v>
      </c>
      <c r="I187" t="s">
        <v>272</v>
      </c>
      <c r="J187" t="s">
        <v>273</v>
      </c>
      <c r="K187" t="str">
        <f>B147</f>
        <v>heat, residential, by conversion of hydrogen using fuel cell, PEM, allocated by exergy, transported by pipeline, produced by Electrolysis, Alkaline using water and electricity from grid</v>
      </c>
      <c r="L187">
        <f>IF(OR(B187&lt;0,B187=0),1,2)</f>
        <v>2</v>
      </c>
      <c r="M187">
        <f>IF(L187=2,LN(B187),"")</f>
        <v>-13.794341024667077</v>
      </c>
      <c r="N187">
        <v>1</v>
      </c>
      <c r="O187" s="15">
        <v>1.2</v>
      </c>
      <c r="P187">
        <v>1</v>
      </c>
      <c r="Q187">
        <v>1.01</v>
      </c>
      <c r="R187">
        <v>1.2</v>
      </c>
      <c r="S187">
        <v>1.2</v>
      </c>
      <c r="T187">
        <v>3</v>
      </c>
      <c r="U187">
        <f>LN(SQRT(EXP(
SQRT(
+POWER(LN(N187),2)
+POWER(LN(O187),2)
+POWER(LN(P187),2)
+POWER(LN(Q187),2)
+POWER(LN(R187),2)
+POWER(LN(S187),2)
+POWER(LN(T187),2)
)
)))</f>
        <v>0.57157051623399524</v>
      </c>
    </row>
    <row r="188" spans="1:22" x14ac:dyDescent="0.2">
      <c r="A188" t="s">
        <v>1134</v>
      </c>
      <c r="B188" s="53">
        <f>(B186/B170)/B169*B181</f>
        <v>2.3223301331624095E-3</v>
      </c>
      <c r="C188" t="str">
        <f>VLOOKUP(J188,'dataset mapping'!$A$4:$E$69,5,0)</f>
        <v>kilogram</v>
      </c>
      <c r="E188" t="str">
        <f>VLOOKUP(J188,'dataset mapping'!$A$4:$E$69,4,0)</f>
        <v>CH</v>
      </c>
      <c r="F188" t="s">
        <v>86</v>
      </c>
      <c r="G188" t="s">
        <v>1129</v>
      </c>
      <c r="H188" t="s">
        <v>76</v>
      </c>
      <c r="I188" t="s">
        <v>1054</v>
      </c>
      <c r="J188" t="s">
        <v>231</v>
      </c>
      <c r="K188" t="str">
        <f>B147</f>
        <v>heat, residential, by conversion of hydrogen using fuel cell, PEM, allocated by exergy, transported by pipeline, produced by Electrolysis, Alkaline using water and electricity from grid</v>
      </c>
      <c r="L188">
        <f>IF(OR(B188&lt;0,B188=0),1,2)</f>
        <v>2</v>
      </c>
      <c r="M188">
        <f>IF(L188=2,LN(B188),"")</f>
        <v>-6.0651842296013152</v>
      </c>
      <c r="N188">
        <v>1</v>
      </c>
      <c r="O188" s="15">
        <v>1.2</v>
      </c>
      <c r="P188">
        <v>1</v>
      </c>
      <c r="Q188">
        <v>1.01</v>
      </c>
      <c r="R188">
        <v>1.2</v>
      </c>
      <c r="S188">
        <v>1.2</v>
      </c>
      <c r="T188">
        <v>1.05</v>
      </c>
      <c r="U188">
        <f>LN(SQRT(EXP(
SQRT(
+POWER(LN(N188),2)
+POWER(LN(O188),2)
+POWER(LN(P188),2)
+POWER(LN(Q188),2)
+POWER(LN(R188),2)
+POWER(LN(S188),2)
+POWER(LN(T188),2)
)
)))</f>
        <v>0.15984597228197622</v>
      </c>
    </row>
    <row r="189" spans="1:22" x14ac:dyDescent="0.2">
      <c r="A189" t="s">
        <v>134</v>
      </c>
      <c r="B189" s="53">
        <f>B188*9</f>
        <v>2.0900971198461685E-2</v>
      </c>
      <c r="C189" t="s">
        <v>56</v>
      </c>
      <c r="D189" t="s">
        <v>100</v>
      </c>
      <c r="F189" t="s">
        <v>99</v>
      </c>
      <c r="H189" t="s">
        <v>131</v>
      </c>
      <c r="I189" t="s">
        <v>1057</v>
      </c>
      <c r="K189" t="str">
        <f>B147</f>
        <v>heat, residential, by conversion of hydrogen using fuel cell, PEM, allocated by exergy, transported by pipeline, produced by Electrolysis, Alkaline using water and electricity from grid</v>
      </c>
      <c r="L189">
        <f>IF(OR(B189&lt;0,B189=0),1,2)</f>
        <v>2</v>
      </c>
      <c r="M189">
        <f>IF(L189=2,LN(B189),"")</f>
        <v>-3.8679596522650961</v>
      </c>
      <c r="N189">
        <v>1</v>
      </c>
      <c r="O189" s="15">
        <v>1.2</v>
      </c>
      <c r="P189">
        <v>1</v>
      </c>
      <c r="Q189">
        <v>1.01</v>
      </c>
      <c r="R189">
        <v>1.2</v>
      </c>
      <c r="S189">
        <v>1.2</v>
      </c>
      <c r="T189">
        <v>1.05</v>
      </c>
      <c r="U189">
        <f>LN(SQRT(EXP(
SQRT(
+POWER(LN(N189),2)
+POWER(LN(O189),2)
+POWER(LN(P189),2)
+POWER(LN(Q189),2)
+POWER(LN(R189),2)
+POWER(LN(S189),2)
+POWER(LN(T189),2)
)
)))</f>
        <v>0.15984597228197622</v>
      </c>
    </row>
    <row r="191" spans="1:22" x14ac:dyDescent="0.2">
      <c r="A191" s="2" t="s">
        <v>50</v>
      </c>
      <c r="B191" s="44" t="str">
        <f>IF(B197="megajoule","heat","electricity")&amp;", residential, by "&amp;B202&amp;" of "&amp;B201&amp;" using "&amp;B203&amp;IF(B204&lt;&gt;0,", allocated by "&amp;B204,"")&amp;", transported by "&amp;B205&amp;", produced by "&amp;B209&amp;" using "&amp;B210&amp;" from "&amp;B211</f>
        <v>electricity, residential, by conversion of hydrogen using fuel cell, PEM, allocated by exergy, transported by pipeline, produced by Electrolysis, Alkaline using water and electricity from grid</v>
      </c>
    </row>
    <row r="192" spans="1:22" x14ac:dyDescent="0.2">
      <c r="A192" t="s">
        <v>51</v>
      </c>
      <c r="B192" s="45" t="str">
        <f>"This dataset represents the supply of 1 "&amp;IF(B197="megajoule","megajoule of heat","kilowatt hour of electricity")&amp;" in a residence, by "&amp;B201&amp;" "&amp;B202&amp;" in a "&amp;B203&amp;". "&amp;" The hydrogen is transported by "&amp;B205&amp;" over "&amp;B206&amp;" km from regional storage. "&amp;" The "&amp;B201&amp;" is produced by  "&amp;B209&amp;", with "&amp;B210&amp;" from "&amp;B211&amp;" as feedstock. "&amp;A213&amp;": "&amp;(B213*100)&amp;"%. "&amp;A214&amp;": "&amp;B214&amp;". "&amp;A215&amp;": "&amp;B215&amp;". "&amp;A216&amp;": "&amp;(B216*100)&amp;"%. "&amp;A217&amp;": "&amp;(B217*100)&amp;"%. "&amp;A218&amp;": "&amp;(B218*100)&amp;"%. "&amp;A219&amp;": "&amp;B219&amp;". "&amp;A220&amp;": "&amp;B220&amp;". "&amp;A221&amp;": "&amp;(B221*100)&amp;"%. "&amp;A222&amp;": "&amp;B222&amp;". "&amp;A223&amp;": "&amp;B223&amp;". "&amp;A224&amp;": "&amp;B224&amp;". "&amp;A225&amp;": "&amp;B225&amp;".  For more information, refer to: "&amp;B193</f>
        <v>This dataset represents the supply of 1 kilowatt hour of electricity in a residence, by hydrogen conversion in a fuel cell, PEM.  The hydrogen is transported by pipeline over 500 km from regional storage.  The hydrogen is produced by  Electrolysis, Alkaline,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193" spans="1:2" x14ac:dyDescent="0.2">
      <c r="A193" t="s">
        <v>63</v>
      </c>
      <c r="B193" s="45" t="s">
        <v>1223</v>
      </c>
    </row>
    <row r="194" spans="1:2" x14ac:dyDescent="0.2">
      <c r="A194" t="s">
        <v>52</v>
      </c>
      <c r="B194" s="45" t="s">
        <v>64</v>
      </c>
    </row>
    <row r="195" spans="1:2" x14ac:dyDescent="0.2">
      <c r="A195" t="s">
        <v>48</v>
      </c>
      <c r="B195" s="45" t="s">
        <v>866</v>
      </c>
    </row>
    <row r="196" spans="1:2" x14ac:dyDescent="0.2">
      <c r="A196" t="s">
        <v>54</v>
      </c>
      <c r="B196" s="45" t="str">
        <f>INDEX(overview!$B$4:$R$338,MATCH('hydrogen - electrolysis'!B195,overview!$A$4:$A$338,0),MATCH('hydrogen - electrolysis'!A196,overview!$B$3:$R$3,0))</f>
        <v>electricity, from residential heating system</v>
      </c>
    </row>
    <row r="197" spans="1:2" x14ac:dyDescent="0.2">
      <c r="A197" t="s">
        <v>55</v>
      </c>
      <c r="B197" s="45" t="str">
        <f>INDEX(overview!$B$4:$R$338,MATCH('hydrogen - electrolysis'!B195,overview!$A$4:$A$338,0),MATCH('hydrogen - electrolysis'!A197,overview!$B$3:$R$3,0))</f>
        <v>kilowatt hour</v>
      </c>
    </row>
    <row r="198" spans="1:2" x14ac:dyDescent="0.2">
      <c r="A198" t="s">
        <v>0</v>
      </c>
      <c r="B198" s="45" t="str">
        <f>INDEX(overview!$B$4:$R$338,MATCH('hydrogen - electrolysis'!B195,overview!$A$4:$A$338,0),MATCH('hydrogen - electrolysis'!A198,overview!$B$3:$R$3,0))</f>
        <v>Switzerland</v>
      </c>
    </row>
    <row r="199" spans="1:2" x14ac:dyDescent="0.2">
      <c r="A199" t="s">
        <v>1</v>
      </c>
      <c r="B199" s="45">
        <f>INDEX(overview!$B$4:$R$338,MATCH('hydrogen - electrolysis'!B195,overview!$A$4:$A$338,0),MATCH('hydrogen - electrolysis'!A199,overview!$B$3:$R$3,0))</f>
        <v>2020</v>
      </c>
    </row>
    <row r="200" spans="1:2" x14ac:dyDescent="0.2">
      <c r="A200" t="s">
        <v>2</v>
      </c>
      <c r="B200" s="45" t="str">
        <f>INDEX(overview!$B$4:$R$338,MATCH('hydrogen - electrolysis'!B195,overview!$A$4:$A$338,0),MATCH('hydrogen - electrolysis'!A200,overview!$B$3:$R$3,0))</f>
        <v>1 kWh electricity</v>
      </c>
    </row>
    <row r="201" spans="1:2" x14ac:dyDescent="0.2">
      <c r="A201" t="s">
        <v>5</v>
      </c>
      <c r="B201" s="45" t="str">
        <f>INDEX(overview!$B$4:$R$338,MATCH('hydrogen - electrolysis'!B195,overview!$A$4:$A$338,0),MATCH('hydrogen - electrolysis'!A201,overview!$B$3:$R$3,0))</f>
        <v>hydrogen</v>
      </c>
    </row>
    <row r="202" spans="1:2" x14ac:dyDescent="0.2">
      <c r="A202" t="s">
        <v>3</v>
      </c>
      <c r="B202" s="45" t="str">
        <f>INDEX(overview!$B$4:$R$338,MATCH('hydrogen - electrolysis'!B195,overview!$A$4:$A$338,0),MATCH('hydrogen - electrolysis'!A202,overview!$B$3:$R$3,0))</f>
        <v>conversion</v>
      </c>
    </row>
    <row r="203" spans="1:2" x14ac:dyDescent="0.2">
      <c r="A203" t="s">
        <v>6</v>
      </c>
      <c r="B203" s="45" t="str">
        <f>INDEX(overview!$B$4:$R$338,MATCH('hydrogen - electrolysis'!B195,overview!$A$4:$A$338,0),MATCH('hydrogen - electrolysis'!A203,overview!$B$3:$R$3,0))</f>
        <v>fuel cell, PEM</v>
      </c>
    </row>
    <row r="204" spans="1:2" x14ac:dyDescent="0.2">
      <c r="A204" t="s">
        <v>39</v>
      </c>
      <c r="B204" s="45" t="str">
        <f>INDEX(overview!$B$4:$R$338,MATCH('hydrogen - electrolysis'!B195,overview!$A$4:$A$338,0),MATCH('hydrogen - electrolysis'!A204,overview!$B$3:$R$3,0))</f>
        <v>exergy</v>
      </c>
    </row>
    <row r="205" spans="1:2" x14ac:dyDescent="0.2">
      <c r="A205" t="s">
        <v>4</v>
      </c>
      <c r="B205" s="45" t="str">
        <f>INDEX(overview!$B$4:$R$338,MATCH('hydrogen - electrolysis'!B195,overview!$A$4:$A$338,0),MATCH('hydrogen - electrolysis'!A205,overview!$B$3:$R$3,0))</f>
        <v>pipeline</v>
      </c>
    </row>
    <row r="206" spans="1:2" x14ac:dyDescent="0.2">
      <c r="A206" t="s">
        <v>38</v>
      </c>
      <c r="B206" s="45">
        <f>INDEX(overview!$B$4:$R$338,MATCH('hydrogen - electrolysis'!B195,overview!$A$4:$A$338,0),MATCH('hydrogen - electrolysis'!A206,overview!$B$3:$R$3,0))</f>
        <v>500</v>
      </c>
    </row>
    <row r="207" spans="1:2" x14ac:dyDescent="0.2">
      <c r="A207" t="s">
        <v>12</v>
      </c>
      <c r="B207" s="45" t="str">
        <f>INDEX(overview!$B$4:$R$338,MATCH('hydrogen - electrolysis'!B195,overview!$A$4:$A$338,0),MATCH('hydrogen - electrolysis'!A207,overview!$B$3:$R$3,0))</f>
        <v>Pressure vessel for stationary storage</v>
      </c>
    </row>
    <row r="208" spans="1:2" x14ac:dyDescent="0.2">
      <c r="A208" t="s">
        <v>34</v>
      </c>
      <c r="B208" s="45">
        <f>INDEX(overview!$B$4:$R$338,MATCH('hydrogen - electrolysis'!B195,overview!$A$4:$A$338,0),MATCH('hydrogen - electrolysis'!A208,overview!$B$3:$R$3,0))</f>
        <v>0</v>
      </c>
    </row>
    <row r="209" spans="1:2" x14ac:dyDescent="0.2">
      <c r="A209" t="s">
        <v>15</v>
      </c>
      <c r="B209" s="45" t="str">
        <f>INDEX(overview!$B$4:$R$338,MATCH('hydrogen - electrolysis'!B195,overview!$A$4:$A$338,0),MATCH('hydrogen - electrolysis'!A209,overview!$B$3:$R$3,0))</f>
        <v>Electrolysis, Alkaline</v>
      </c>
    </row>
    <row r="210" spans="1:2" x14ac:dyDescent="0.2">
      <c r="A210" t="s">
        <v>14</v>
      </c>
      <c r="B210" s="45" t="str">
        <f>INDEX(overview!$B$4:$R$338,MATCH('hydrogen - electrolysis'!B195,overview!$A$4:$A$338,0),MATCH('hydrogen - electrolysis'!A210,overview!$B$3:$R$3,0))</f>
        <v>water and electricity</v>
      </c>
    </row>
    <row r="211" spans="1:2" x14ac:dyDescent="0.2">
      <c r="A211" t="s">
        <v>26</v>
      </c>
      <c r="B211" s="45" t="str">
        <f>INDEX(overview!$B$4:$R$338,MATCH('hydrogen - electrolysis'!B195,overview!$A$4:$A$338,0),MATCH('hydrogen - electrolysis'!A211,overview!$B$3:$R$3,0))</f>
        <v>grid</v>
      </c>
    </row>
    <row r="212" spans="1:2" x14ac:dyDescent="0.2">
      <c r="A212" t="s">
        <v>29</v>
      </c>
      <c r="B212" s="45">
        <f>INDEX(overview!$B$4:$R$338,MATCH('hydrogen - electrolysis'!B195,overview!$A$4:$A$338,0),MATCH('hydrogen - electrolysis'!A212,overview!$B$3:$R$3,0))</f>
        <v>0</v>
      </c>
    </row>
    <row r="213" spans="1:2" x14ac:dyDescent="0.2">
      <c r="A213" t="str">
        <f>IF(B197="megajoule","Heat","Electricity")&amp;" conversion efficiency [% LHV input]"</f>
        <v>Electricity conversion efficiency [% LHV input]</v>
      </c>
      <c r="B213" s="46">
        <f>INDEX(parameters!$D$4:$N$20,MATCH('hydrogen - electrolysis'!B201&amp;'hydrogen - electrolysis'!B203,parameters!$A$4:$A$20,0),MATCH('hydrogen - electrolysis'!A213,parameters!$D$3:$N$3,0))</f>
        <v>0.45</v>
      </c>
    </row>
    <row r="214" spans="1:2" x14ac:dyDescent="0.2">
      <c r="A214" t="str">
        <f>IF(B197="megajoule","LHV [MJ/kg]","LHV [kWh/kg]")</f>
        <v>LHV [kWh/kg]</v>
      </c>
      <c r="B214" s="47">
        <f>INDEX(parameters!$D$4:$N$20,MATCH('hydrogen - electrolysis'!B201&amp;'hydrogen - electrolysis'!B203,parameters!$A$4:$A$20,0),MATCH('hydrogen - electrolysis'!A214,parameters!$D$3:$N$3,0))</f>
        <v>33.333333333333336</v>
      </c>
    </row>
    <row r="215" spans="1:2" x14ac:dyDescent="0.2">
      <c r="A215" t="s">
        <v>41</v>
      </c>
      <c r="B215" s="48">
        <f>INDEX(parameters!$D$4:$N$20,MATCH('hydrogen - electrolysis'!B201&amp;'hydrogen - electrolysis'!B203,parameters!$A$4:$A$20,0),MATCH('hydrogen - electrolysis'!A215,parameters!$D$3:$N$3,0))</f>
        <v>2.6666666666666665E-2</v>
      </c>
    </row>
    <row r="216" spans="1:2" x14ac:dyDescent="0.2">
      <c r="A216" t="s">
        <v>45</v>
      </c>
      <c r="B216" s="46">
        <f>INDEX(parameters!$D$4:$N$20,MATCH('hydrogen - electrolysis'!B201&amp;'hydrogen - electrolysis'!B203,parameters!$A$4:$A$20,0),MATCH('hydrogen - electrolysis'!A216,parameters!$D$3:$N$3,0))</f>
        <v>0</v>
      </c>
    </row>
    <row r="217" spans="1:2" x14ac:dyDescent="0.2">
      <c r="A217" t="s">
        <v>46</v>
      </c>
      <c r="B217" s="46">
        <f>INDEX(parameters!$D$4:$N$20,MATCH('hydrogen - electrolysis'!B201&amp;'hydrogen - electrolysis'!B203,parameters!$A$4:$A$20,0),MATCH('hydrogen - electrolysis'!A217,parameters!$D$3:$N$3,0))</f>
        <v>1.4999999999999999E-2</v>
      </c>
    </row>
    <row r="218" spans="1:2" x14ac:dyDescent="0.2">
      <c r="A218" t="s">
        <v>43</v>
      </c>
      <c r="B218" s="46">
        <f>INDEX(parameters!$D$4:$N$20,MATCH('hydrogen - electrolysis'!B201&amp;'hydrogen - electrolysis'!B203,parameters!$A$4:$A$20,0),MATCH('hydrogen - electrolysis'!A218,parameters!$D$3:$N$3,0))</f>
        <v>0</v>
      </c>
    </row>
    <row r="219" spans="1:2" x14ac:dyDescent="0.2">
      <c r="A219" t="s">
        <v>44</v>
      </c>
      <c r="B219" s="46">
        <f>INDEX(parameters!$D$4:$N$20,MATCH('hydrogen - electrolysis'!B201&amp;'hydrogen - electrolysis'!B203,parameters!$A$4:$A$20,0),MATCH('hydrogen - electrolysis'!A219,parameters!$D$3:$N$3,0))</f>
        <v>0</v>
      </c>
    </row>
    <row r="220" spans="1:2" x14ac:dyDescent="0.2">
      <c r="A220" t="s">
        <v>634</v>
      </c>
      <c r="B220" s="47">
        <f>INDEX(parameters!$D$4:$Y$20,MATCH('hydrogen - electrolysis'!B201&amp;'hydrogen - electrolysis'!B203,parameters!$A$4:$A$20,0),MATCH('hydrogen - electrolysis'!A220,parameters!$D$3:$Y$3,0))</f>
        <v>1.8947368421052633</v>
      </c>
    </row>
    <row r="221" spans="1:2" x14ac:dyDescent="0.2">
      <c r="A221" t="s">
        <v>82</v>
      </c>
      <c r="B221" s="46">
        <f>IF(B212&lt;&gt;0,VLOOKUP(B212,parameters!A201:B203,2,0),0)</f>
        <v>0</v>
      </c>
    </row>
    <row r="222" spans="1:2" x14ac:dyDescent="0.2">
      <c r="A222" t="s">
        <v>548</v>
      </c>
      <c r="B222" s="50">
        <f>INDEX(parameters!$D$4:$P$20,MATCH(B201&amp;B203,parameters!$A$4:$A$20,0),MATCH(A222,parameters!$D$3:$P$3,0))</f>
        <v>0.8</v>
      </c>
    </row>
    <row r="223" spans="1:2" x14ac:dyDescent="0.2">
      <c r="A223" t="s">
        <v>547</v>
      </c>
      <c r="B223" s="51">
        <f>INDEX(parameters!$D$4:$P$20,MATCH(B201&amp;B203,parameters!$A$4:$A$20,0),MATCH(A223,parameters!$D$3:$P$3,0))</f>
        <v>4.8780487804878048</v>
      </c>
    </row>
    <row r="224" spans="1:2" x14ac:dyDescent="0.2">
      <c r="A224" t="s">
        <v>630</v>
      </c>
      <c r="B224" s="51">
        <f>INDEX(parameters!$D$4:$T$20,MATCH(B201&amp;B203,parameters!$A$4:$A$20,0),MATCH(A224,parameters!$D$3:$T$3,0))</f>
        <v>4100</v>
      </c>
    </row>
    <row r="225" spans="1:22" x14ac:dyDescent="0.2">
      <c r="A225" t="s">
        <v>1005</v>
      </c>
      <c r="B225" s="50">
        <f>IF(B197="megajoule",SUMIFS(allocation!$I$4:$I$30,allocation!$B$4:$B$30,B203,allocation!$C$4:$C$30,B204),SUMIFS(allocation!$J$4:$J$30,allocation!$B$4:$B$30,B203,allocation!$C$4:$C$30,B204))</f>
        <v>0.86066019201025545</v>
      </c>
    </row>
    <row r="226" spans="1:22" x14ac:dyDescent="0.2">
      <c r="A226" t="s">
        <v>1050</v>
      </c>
      <c r="B226" s="51">
        <f>INDEX(parameters!$D$4:$AB$20,MATCH(B201&amp;B203,parameters!$A$4:$A$20,0),MATCH(A226,parameters!$D$3:$AB$3,0))</f>
        <v>10.221606648199446</v>
      </c>
    </row>
    <row r="228" spans="1:22" x14ac:dyDescent="0.2">
      <c r="A228" s="3" t="s">
        <v>57</v>
      </c>
    </row>
    <row r="229" spans="1:22" x14ac:dyDescent="0.2">
      <c r="A229" s="2" t="s">
        <v>58</v>
      </c>
      <c r="B229" s="44" t="s">
        <v>59</v>
      </c>
      <c r="C229" s="2" t="s">
        <v>55</v>
      </c>
      <c r="D229" s="2" t="s">
        <v>60</v>
      </c>
      <c r="E229" s="2" t="s">
        <v>52</v>
      </c>
      <c r="F229" s="2" t="s">
        <v>61</v>
      </c>
      <c r="G229" s="2" t="s">
        <v>54</v>
      </c>
      <c r="H229" s="2" t="s">
        <v>87</v>
      </c>
      <c r="I229" s="2" t="s">
        <v>51</v>
      </c>
      <c r="J229" s="2" t="s">
        <v>138</v>
      </c>
      <c r="K229" s="2" t="s">
        <v>136</v>
      </c>
      <c r="L229" s="2" t="s">
        <v>221</v>
      </c>
      <c r="M229" s="2" t="s">
        <v>379</v>
      </c>
      <c r="N229" s="2" t="s">
        <v>1059</v>
      </c>
      <c r="O229" s="2" t="s">
        <v>1060</v>
      </c>
      <c r="P229" s="2" t="s">
        <v>1061</v>
      </c>
      <c r="Q229" s="2" t="s">
        <v>1062</v>
      </c>
      <c r="R229" s="2" t="s">
        <v>1063</v>
      </c>
      <c r="S229" s="2" t="s">
        <v>1064</v>
      </c>
      <c r="T229" s="2" t="s">
        <v>1065</v>
      </c>
      <c r="U229" s="2" t="s">
        <v>380</v>
      </c>
      <c r="V229" s="2" t="s">
        <v>1128</v>
      </c>
    </row>
    <row r="230" spans="1:22" x14ac:dyDescent="0.2">
      <c r="A230" t="str">
        <f>B191</f>
        <v>electricity, residential, by conversion of hydrogen using fuel cell, PEM, allocated by exergy, transported by pipeline, produced by Electrolysis, Alkaline using water and electricity from grid</v>
      </c>
      <c r="B230" s="45">
        <v>1</v>
      </c>
      <c r="C230" t="str">
        <f>B197</f>
        <v>kilowatt hour</v>
      </c>
      <c r="E230" t="str">
        <f>B194</f>
        <v>CH</v>
      </c>
      <c r="F230" t="s">
        <v>62</v>
      </c>
      <c r="G230" t="str">
        <f>B196</f>
        <v>electricity, from residential heating system</v>
      </c>
      <c r="K230" t="str">
        <f>B191</f>
        <v>electricity, residential, by conversion of hydrogen using fuel cell, PEM, allocated by exergy, transported by pipeline, produced by Electrolysis, Alkaline using water and electricity from grid</v>
      </c>
    </row>
    <row r="231" spans="1:22" x14ac:dyDescent="0.2">
      <c r="A231" t="str">
        <f>VLOOKUP(J231,'dataset mapping'!$A$4:$E$69,2,0)</f>
        <v>fuel cell system assembly, 1 kWe, proton exchange membrane (PEM)</v>
      </c>
      <c r="B231" s="52">
        <f>(1/(B220*B224*B223))*B225</f>
        <v>2.2711866178048405E-5</v>
      </c>
      <c r="C231" t="str">
        <f>VLOOKUP(J231,'dataset mapping'!$A$4:$E$69,5,0)</f>
        <v>unit</v>
      </c>
      <c r="E231" t="str">
        <f>VLOOKUP(J231,'dataset mapping'!$A$4:$E$69,4,0)</f>
        <v>GLO</v>
      </c>
      <c r="F231" t="s">
        <v>86</v>
      </c>
      <c r="G231" t="str">
        <f>VLOOKUP(J231,'dataset mapping'!$A$4:$E$69,3,0)</f>
        <v>fuel cell system, 1 kWe, proton exchange membrane (PEM)</v>
      </c>
      <c r="H231" t="s">
        <v>88</v>
      </c>
      <c r="I231" t="s">
        <v>272</v>
      </c>
      <c r="J231" t="s">
        <v>273</v>
      </c>
      <c r="K231" t="str">
        <f>B191</f>
        <v>electricity, residential, by conversion of hydrogen using fuel cell, PEM, allocated by exergy, transported by pipeline, produced by Electrolysis, Alkaline using water and electricity from grid</v>
      </c>
      <c r="L231">
        <f>IF(OR(B231&lt;0,B231=0),1,2)</f>
        <v>2</v>
      </c>
      <c r="M231">
        <f>IF(L231=2,LN(B231),"")</f>
        <v>-10.692623030936341</v>
      </c>
      <c r="N231">
        <v>1</v>
      </c>
      <c r="O231" s="15">
        <v>1.2</v>
      </c>
      <c r="P231">
        <v>1</v>
      </c>
      <c r="Q231">
        <v>1.01</v>
      </c>
      <c r="R231">
        <v>1.2</v>
      </c>
      <c r="S231">
        <v>1.2</v>
      </c>
      <c r="T231">
        <v>3</v>
      </c>
      <c r="U231">
        <f>LN(SQRT(EXP(
SQRT(
+POWER(LN(N231),2)
+POWER(LN(O231),2)
+POWER(LN(P231),2)
+POWER(LN(Q231),2)
+POWER(LN(R231),2)
+POWER(LN(S231),2)
+POWER(LN(T231),2)
)
)))</f>
        <v>0.57157051623399524</v>
      </c>
    </row>
    <row r="232" spans="1:22" x14ac:dyDescent="0.2">
      <c r="A232" t="s">
        <v>1134</v>
      </c>
      <c r="B232" s="53">
        <f>(B230/B214)/B213*B225</f>
        <v>5.7377346134017029E-2</v>
      </c>
      <c r="C232" t="str">
        <f>VLOOKUP(J232,'dataset mapping'!$A$4:$E$69,5,0)</f>
        <v>kilogram</v>
      </c>
      <c r="E232" t="str">
        <f>VLOOKUP(J232,'dataset mapping'!$A$4:$E$69,4,0)</f>
        <v>CH</v>
      </c>
      <c r="F232" t="s">
        <v>86</v>
      </c>
      <c r="G232" t="s">
        <v>1129</v>
      </c>
      <c r="H232" t="s">
        <v>76</v>
      </c>
      <c r="I232" t="s">
        <v>1054</v>
      </c>
      <c r="J232" t="s">
        <v>231</v>
      </c>
      <c r="K232" t="str">
        <f>B191</f>
        <v>electricity, residential, by conversion of hydrogen using fuel cell, PEM, allocated by exergy, transported by pipeline, produced by Electrolysis, Alkaline using water and electricity from grid</v>
      </c>
      <c r="L232">
        <f>IF(OR(B232&lt;0,B232=0),1,2)</f>
        <v>2</v>
      </c>
      <c r="M232">
        <f>IF(L232=2,LN(B232),"")</f>
        <v>-2.8581057202127536</v>
      </c>
      <c r="N232">
        <v>1</v>
      </c>
      <c r="O232" s="15">
        <v>1.2</v>
      </c>
      <c r="P232">
        <v>1</v>
      </c>
      <c r="Q232">
        <v>1.01</v>
      </c>
      <c r="R232">
        <v>1.2</v>
      </c>
      <c r="S232">
        <v>1.2</v>
      </c>
      <c r="T232">
        <v>1.05</v>
      </c>
      <c r="U232">
        <f>LN(SQRT(EXP(
SQRT(
+POWER(LN(N232),2)
+POWER(LN(O232),2)
+POWER(LN(P232),2)
+POWER(LN(Q232),2)
+POWER(LN(R232),2)
+POWER(LN(S232),2)
+POWER(LN(T232),2)
)
)))</f>
        <v>0.15984597228197622</v>
      </c>
    </row>
    <row r="233" spans="1:22" x14ac:dyDescent="0.2">
      <c r="A233" t="s">
        <v>134</v>
      </c>
      <c r="B233" s="53">
        <f>B232*9</f>
        <v>0.51639611520615325</v>
      </c>
      <c r="C233" t="s">
        <v>56</v>
      </c>
      <c r="D233" t="s">
        <v>100</v>
      </c>
      <c r="F233" t="s">
        <v>99</v>
      </c>
      <c r="H233" t="s">
        <v>131</v>
      </c>
      <c r="I233" t="s">
        <v>1057</v>
      </c>
      <c r="K233" t="str">
        <f>B191</f>
        <v>electricity, residential, by conversion of hydrogen using fuel cell, PEM, allocated by exergy, transported by pipeline, produced by Electrolysis, Alkaline using water and electricity from grid</v>
      </c>
      <c r="L233">
        <f>IF(OR(B233&lt;0,B233=0),1,2)</f>
        <v>2</v>
      </c>
      <c r="M233">
        <f>IF(L233=2,LN(B233),"")</f>
        <v>-0.6608811428765341</v>
      </c>
      <c r="N233">
        <v>1</v>
      </c>
      <c r="O233" s="15">
        <v>1.2</v>
      </c>
      <c r="P233">
        <v>1</v>
      </c>
      <c r="Q233">
        <v>1.01</v>
      </c>
      <c r="R233">
        <v>1.2</v>
      </c>
      <c r="S233">
        <v>1.2</v>
      </c>
      <c r="T233">
        <v>1.05</v>
      </c>
      <c r="U233">
        <f>LN(SQRT(EXP(
SQRT(
+POWER(LN(N233),2)
+POWER(LN(O233),2)
+POWER(LN(P233),2)
+POWER(LN(Q233),2)
+POWER(LN(R233),2)
+POWER(LN(S233),2)
+POWER(LN(T233),2)
)
)))</f>
        <v>0.15984597228197622</v>
      </c>
    </row>
    <row r="235" spans="1:22" x14ac:dyDescent="0.2">
      <c r="A235" s="2" t="s">
        <v>50</v>
      </c>
      <c r="B235" s="44" t="str">
        <f>IF(B241="megajoule","heat","electricity")&amp;", residential, by "&amp;B246&amp;" of "&amp;B245&amp;" using "&amp;B247&amp;IF(B248&lt;&gt;0,", allocated by "&amp;B248,"")&amp;", transported by "&amp;B249&amp;", produced by "&amp;B253&amp;" using "&amp;B254&amp;" from "&amp;B255</f>
        <v>heat, residential, by conversion of hydrogen using fuel cell, SOFC, allocated by exergy, transported by pipeline, produced by Electrolysis, Alkaline using water and electricity from grid</v>
      </c>
    </row>
    <row r="236" spans="1:22" x14ac:dyDescent="0.2">
      <c r="A236" t="s">
        <v>51</v>
      </c>
      <c r="B236" s="45" t="str">
        <f>"This dataset represents the supply of 1 "&amp;IF(B241="megajoule","megajoule of heat","kilowatt hour of electricity")&amp;" in a residence, by "&amp;B245&amp;" "&amp;B246&amp;" in a "&amp;B247&amp;". "&amp;" The hydrogen is transported by "&amp;B249&amp;" over "&amp;B250&amp;" km from regional storage. "&amp;" The "&amp;B245&amp;" is produced by  "&amp;B253&amp;", with "&amp;B254&amp;" from "&amp;B255&amp;" as feedstock. "&amp;A257&amp;": "&amp;(B257*100)&amp;"%. "&amp;A258&amp;": "&amp;B258&amp;". "&amp;A259&amp;": "&amp;B259&amp;". "&amp;A260&amp;": "&amp;(B260*100)&amp;"%. "&amp;A261&amp;": "&amp;(B261*100)&amp;"%. "&amp;A262&amp;": "&amp;(B262*100)&amp;"%. "&amp;A263&amp;": "&amp;B263&amp;". "&amp;A264&amp;": "&amp;B264&amp;". "&amp;A265&amp;": "&amp;(B265*100)&amp;"%. "&amp;A266&amp;": "&amp;B266&amp;". "&amp;A267&amp;": "&amp;B267&amp;". "&amp;A268&amp;": "&amp;B268&amp;". "&amp;A269&amp;": "&amp;B269&amp;".  For more information, refer to: "&amp;B237</f>
        <v>This dataset represents the supply of 1 megajoule of heat in a residence, by hydrogen conversion in a fuel cell, SOFC.  The hydrogen is transported by pipeline over 500 km from regional storage.  The hydrogen is produced by  Electrolysis, Alkaline,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237" spans="1:22" x14ac:dyDescent="0.2">
      <c r="A237" t="s">
        <v>63</v>
      </c>
      <c r="B237" s="45" t="s">
        <v>1223</v>
      </c>
    </row>
    <row r="238" spans="1:22" x14ac:dyDescent="0.2">
      <c r="A238" t="s">
        <v>52</v>
      </c>
      <c r="B238" s="45" t="s">
        <v>64</v>
      </c>
    </row>
    <row r="239" spans="1:22" x14ac:dyDescent="0.2">
      <c r="A239" t="s">
        <v>48</v>
      </c>
      <c r="B239" s="45">
        <v>4</v>
      </c>
    </row>
    <row r="240" spans="1:22" x14ac:dyDescent="0.2">
      <c r="A240" t="s">
        <v>54</v>
      </c>
      <c r="B240" s="45" t="str">
        <f>INDEX(overview!$B$4:$R$338,MATCH('hydrogen - electrolysis'!B239,overview!$A$4:$A$338,0),MATCH('hydrogen - electrolysis'!A240,overview!$B$3:$R$3,0))</f>
        <v>heat, from residential heating system</v>
      </c>
    </row>
    <row r="241" spans="1:2" x14ac:dyDescent="0.2">
      <c r="A241" t="s">
        <v>55</v>
      </c>
      <c r="B241" s="45" t="str">
        <f>INDEX(overview!$B$4:$R$338,MATCH('hydrogen - electrolysis'!B239,overview!$A$4:$A$338,0),MATCH('hydrogen - electrolysis'!A241,overview!$B$3:$R$3,0))</f>
        <v>megajoule</v>
      </c>
    </row>
    <row r="242" spans="1:2" x14ac:dyDescent="0.2">
      <c r="A242" t="s">
        <v>0</v>
      </c>
      <c r="B242" s="45" t="str">
        <f>INDEX(overview!$B$4:$R$338,MATCH('hydrogen - electrolysis'!B239,overview!$A$4:$A$338,0),MATCH('hydrogen - electrolysis'!A242,overview!$B$3:$R$3,0))</f>
        <v>Switzerland</v>
      </c>
    </row>
    <row r="243" spans="1:2" x14ac:dyDescent="0.2">
      <c r="A243" t="s">
        <v>1</v>
      </c>
      <c r="B243" s="45">
        <f>INDEX(overview!$B$4:$R$338,MATCH('hydrogen - electrolysis'!B239,overview!$A$4:$A$338,0),MATCH('hydrogen - electrolysis'!A243,overview!$B$3:$R$3,0))</f>
        <v>2020</v>
      </c>
    </row>
    <row r="244" spans="1:2" x14ac:dyDescent="0.2">
      <c r="A244" t="s">
        <v>2</v>
      </c>
      <c r="B244" s="45" t="str">
        <f>INDEX(overview!$B$4:$R$338,MATCH('hydrogen - electrolysis'!B239,overview!$A$4:$A$338,0),MATCH('hydrogen - electrolysis'!A244,overview!$B$3:$R$3,0))</f>
        <v>1 MJ heat</v>
      </c>
    </row>
    <row r="245" spans="1:2" x14ac:dyDescent="0.2">
      <c r="A245" t="s">
        <v>5</v>
      </c>
      <c r="B245" s="45" t="str">
        <f>INDEX(overview!$B$4:$R$338,MATCH('hydrogen - electrolysis'!B239,overview!$A$4:$A$338,0),MATCH('hydrogen - electrolysis'!A245,overview!$B$3:$R$3,0))</f>
        <v>hydrogen</v>
      </c>
    </row>
    <row r="246" spans="1:2" x14ac:dyDescent="0.2">
      <c r="A246" t="s">
        <v>3</v>
      </c>
      <c r="B246" s="45" t="str">
        <f>INDEX(overview!$B$4:$R$338,MATCH('hydrogen - electrolysis'!B239,overview!$A$4:$A$338,0),MATCH('hydrogen - electrolysis'!A246,overview!$B$3:$R$3,0))</f>
        <v>conversion</v>
      </c>
    </row>
    <row r="247" spans="1:2" x14ac:dyDescent="0.2">
      <c r="A247" t="s">
        <v>6</v>
      </c>
      <c r="B247" s="45" t="str">
        <f>INDEX(overview!$B$4:$R$338,MATCH('hydrogen - electrolysis'!B239,overview!$A$4:$A$338,0),MATCH('hydrogen - electrolysis'!A247,overview!$B$3:$R$3,0))</f>
        <v>fuel cell, SOFC</v>
      </c>
    </row>
    <row r="248" spans="1:2" x14ac:dyDescent="0.2">
      <c r="A248" t="s">
        <v>39</v>
      </c>
      <c r="B248" s="45" t="str">
        <f>INDEX(overview!$B$4:$R$338,MATCH('hydrogen - electrolysis'!B239,overview!$A$4:$A$338,0),MATCH('hydrogen - electrolysis'!A248,overview!$B$3:$R$3,0))</f>
        <v>exergy</v>
      </c>
    </row>
    <row r="249" spans="1:2" x14ac:dyDescent="0.2">
      <c r="A249" t="s">
        <v>4</v>
      </c>
      <c r="B249" s="45" t="str">
        <f>INDEX(overview!$B$4:$R$338,MATCH('hydrogen - electrolysis'!B239,overview!$A$4:$A$338,0),MATCH('hydrogen - electrolysis'!A249,overview!$B$3:$R$3,0))</f>
        <v>pipeline</v>
      </c>
    </row>
    <row r="250" spans="1:2" x14ac:dyDescent="0.2">
      <c r="A250" t="s">
        <v>38</v>
      </c>
      <c r="B250" s="45">
        <f>INDEX(overview!$B$4:$R$338,MATCH('hydrogen - electrolysis'!B239,overview!$A$4:$A$338,0),MATCH('hydrogen - electrolysis'!A250,overview!$B$3:$R$3,0))</f>
        <v>500</v>
      </c>
    </row>
    <row r="251" spans="1:2" x14ac:dyDescent="0.2">
      <c r="A251" t="s">
        <v>12</v>
      </c>
      <c r="B251" s="45" t="str">
        <f>INDEX(overview!$B$4:$R$338,MATCH('hydrogen - electrolysis'!B239,overview!$A$4:$A$338,0),MATCH('hydrogen - electrolysis'!A251,overview!$B$3:$R$3,0))</f>
        <v>Pressure vessel for stationary storage</v>
      </c>
    </row>
    <row r="252" spans="1:2" x14ac:dyDescent="0.2">
      <c r="A252" t="s">
        <v>34</v>
      </c>
      <c r="B252" s="45">
        <f>INDEX(overview!$B$4:$R$338,MATCH('hydrogen - electrolysis'!B239,overview!$A$4:$A$338,0),MATCH('hydrogen - electrolysis'!A252,overview!$B$3:$R$3,0))</f>
        <v>0</v>
      </c>
    </row>
    <row r="253" spans="1:2" x14ac:dyDescent="0.2">
      <c r="A253" t="s">
        <v>15</v>
      </c>
      <c r="B253" s="45" t="str">
        <f>INDEX(overview!$B$4:$R$338,MATCH('hydrogen - electrolysis'!B239,overview!$A$4:$A$338,0),MATCH('hydrogen - electrolysis'!A253,overview!$B$3:$R$3,0))</f>
        <v>Electrolysis, Alkaline</v>
      </c>
    </row>
    <row r="254" spans="1:2" x14ac:dyDescent="0.2">
      <c r="A254" t="s">
        <v>14</v>
      </c>
      <c r="B254" s="45" t="str">
        <f>INDEX(overview!$B$4:$R$338,MATCH('hydrogen - electrolysis'!B239,overview!$A$4:$A$338,0),MATCH('hydrogen - electrolysis'!A254,overview!$B$3:$R$3,0))</f>
        <v>water and electricity</v>
      </c>
    </row>
    <row r="255" spans="1:2" x14ac:dyDescent="0.2">
      <c r="A255" t="s">
        <v>26</v>
      </c>
      <c r="B255" s="45" t="str">
        <f>INDEX(overview!$B$4:$R$338,MATCH('hydrogen - electrolysis'!B239,overview!$A$4:$A$338,0),MATCH('hydrogen - electrolysis'!A255,overview!$B$3:$R$3,0))</f>
        <v>grid</v>
      </c>
    </row>
    <row r="256" spans="1:2" x14ac:dyDescent="0.2">
      <c r="A256" t="s">
        <v>29</v>
      </c>
      <c r="B256" s="45">
        <f>INDEX(overview!$B$4:$R$338,MATCH('hydrogen - electrolysis'!B239,overview!$A$4:$A$338,0),MATCH('hydrogen - electrolysis'!A256,overview!$B$3:$R$3,0))</f>
        <v>0</v>
      </c>
    </row>
    <row r="257" spans="1:4" x14ac:dyDescent="0.2">
      <c r="A257" t="str">
        <f>IF(B241="megajoule","Heat","Electricity")&amp;" conversion efficiency [% LHV input]"</f>
        <v>Heat conversion efficiency [% LHV input]</v>
      </c>
      <c r="B257" s="46">
        <f>INDEX(parameters!$D$4:$N$20,MATCH('hydrogen - electrolysis'!B245&amp;'hydrogen - electrolysis'!B247,parameters!$A$4:$A$20,0),MATCH('hydrogen - electrolysis'!A257,parameters!$D$3:$N$3,0))</f>
        <v>0.53</v>
      </c>
    </row>
    <row r="258" spans="1:4" x14ac:dyDescent="0.2">
      <c r="A258" t="str">
        <f>IF(B241="megajoule","LHV [MJ/kg]","LHV [kWh/kg]")</f>
        <v>LHV [MJ/kg]</v>
      </c>
      <c r="B258" s="47">
        <f>INDEX(parameters!$D$4:$N$20,MATCH('hydrogen - electrolysis'!B245&amp;'hydrogen - electrolysis'!B247,parameters!$A$4:$A$20,0),MATCH('hydrogen - electrolysis'!A258,parameters!$D$3:$N$3,0))</f>
        <v>120</v>
      </c>
    </row>
    <row r="259" spans="1:4" x14ac:dyDescent="0.2">
      <c r="A259" t="s">
        <v>41</v>
      </c>
      <c r="B259" s="48">
        <f>INDEX(parameters!$D$4:$N$20,MATCH('hydrogen - electrolysis'!B245&amp;'hydrogen - electrolysis'!B247,parameters!$A$4:$A$20,0),MATCH('hydrogen - electrolysis'!A259,parameters!$D$3:$N$3,0))</f>
        <v>2.6666666666666665E-2</v>
      </c>
    </row>
    <row r="260" spans="1:4" x14ac:dyDescent="0.2">
      <c r="A260" t="s">
        <v>45</v>
      </c>
      <c r="B260" s="46">
        <f>INDEX(parameters!$D$4:$N$20,MATCH('hydrogen - electrolysis'!B245&amp;'hydrogen - electrolysis'!B247,parameters!$A$4:$A$20,0),MATCH('hydrogen - electrolysis'!A260,parameters!$D$3:$N$3,0))</f>
        <v>0</v>
      </c>
    </row>
    <row r="261" spans="1:4" x14ac:dyDescent="0.2">
      <c r="A261" t="s">
        <v>46</v>
      </c>
      <c r="B261" s="46">
        <f>INDEX(parameters!$D$4:$N$20,MATCH('hydrogen - electrolysis'!B245&amp;'hydrogen - electrolysis'!B247,parameters!$A$4:$A$20,0),MATCH('hydrogen - electrolysis'!A261,parameters!$D$3:$N$3,0))</f>
        <v>1.4999999999999999E-2</v>
      </c>
    </row>
    <row r="262" spans="1:4" x14ac:dyDescent="0.2">
      <c r="A262" t="s">
        <v>43</v>
      </c>
      <c r="B262" s="46">
        <f>INDEX(parameters!$D$4:$N$20,MATCH('hydrogen - electrolysis'!B245&amp;'hydrogen - electrolysis'!B247,parameters!$A$4:$A$20,0),MATCH('hydrogen - electrolysis'!A262,parameters!$D$3:$N$3,0))</f>
        <v>0</v>
      </c>
    </row>
    <row r="263" spans="1:4" x14ac:dyDescent="0.2">
      <c r="A263" t="s">
        <v>44</v>
      </c>
      <c r="B263" s="46">
        <f>INDEX(parameters!$D$4:$N$20,MATCH('hydrogen - electrolysis'!B245&amp;'hydrogen - electrolysis'!B247,parameters!$A$4:$A$20,0),MATCH('hydrogen - electrolysis'!A263,parameters!$D$3:$N$3,0))</f>
        <v>0</v>
      </c>
    </row>
    <row r="264" spans="1:4" x14ac:dyDescent="0.2">
      <c r="A264" t="s">
        <v>634</v>
      </c>
      <c r="B264" s="51">
        <f>INDEX(parameters!$D$4:$Y$20,MATCH('hydrogen - electrolysis'!B245&amp;'hydrogen - electrolysis'!B247,parameters!$A$4:$A$20,0),MATCH('hydrogen - electrolysis'!A264,parameters!$D$3:$Y$3,0))</f>
        <v>225</v>
      </c>
      <c r="D264" s="8"/>
    </row>
    <row r="265" spans="1:4" x14ac:dyDescent="0.2">
      <c r="A265" t="s">
        <v>82</v>
      </c>
      <c r="B265" s="46">
        <f>IF(B256&lt;&gt;0,VLOOKUP(B256,parameters!A201:B203,2,0),0)</f>
        <v>0</v>
      </c>
    </row>
    <row r="266" spans="1:4" x14ac:dyDescent="0.2">
      <c r="A266" t="s">
        <v>548</v>
      </c>
      <c r="B266" s="50">
        <f>INDEX(parameters!$D$4:$P$20,MATCH(B245&amp;B247,parameters!$A$4:$A$20,0),MATCH(A266,parameters!$D$3:$P$3,0))</f>
        <v>100</v>
      </c>
    </row>
    <row r="267" spans="1:4" x14ac:dyDescent="0.2">
      <c r="A267" t="s">
        <v>547</v>
      </c>
      <c r="B267" s="51">
        <f>INDEX(parameters!$D$4:$P$20,MATCH(B245&amp;B247,parameters!$A$4:$A$20,0),MATCH(A267,parameters!$D$3:$P$3,0))</f>
        <v>6</v>
      </c>
    </row>
    <row r="268" spans="1:4" x14ac:dyDescent="0.2">
      <c r="A268" t="s">
        <v>630</v>
      </c>
      <c r="B268" s="51">
        <f>INDEX(parameters!$D$4:$T$20,MATCH(B245&amp;B247,parameters!$A$4:$A$20,0),MATCH(A268,parameters!$D$3:$T$3,0))</f>
        <v>4100</v>
      </c>
    </row>
    <row r="269" spans="1:4" x14ac:dyDescent="0.2">
      <c r="A269" t="s">
        <v>1005</v>
      </c>
      <c r="B269" s="50">
        <f>IF(B241="megajoule",SUMIFS(allocation!$I$4:$I$30,allocation!$B$4:$B$30,B247,allocation!$C$4:$C$30,B248),SUMIFS(allocation!$J$4:$J$30,allocation!$B$4:$B$30,B247,allocation!$C$4:$C$30,B248))</f>
        <v>0.13587506510399097</v>
      </c>
    </row>
    <row r="270" spans="1:4" x14ac:dyDescent="0.2">
      <c r="A270" t="s">
        <v>1050</v>
      </c>
      <c r="B270" s="51">
        <f>INDEX(parameters!$D$4:$AB$20,MATCH(B245&amp;B247,parameters!$A$4:$A$20,0),MATCH(A270,parameters!$D$3:$AB$3,0))</f>
        <v>1153.1249999999998</v>
      </c>
    </row>
    <row r="272" spans="1:4" x14ac:dyDescent="0.2">
      <c r="A272" s="3" t="s">
        <v>57</v>
      </c>
    </row>
    <row r="273" spans="1:22" x14ac:dyDescent="0.2">
      <c r="A273" s="2" t="s">
        <v>58</v>
      </c>
      <c r="B273" s="44" t="s">
        <v>59</v>
      </c>
      <c r="C273" s="2" t="s">
        <v>55</v>
      </c>
      <c r="D273" s="2" t="s">
        <v>60</v>
      </c>
      <c r="E273" s="2" t="s">
        <v>52</v>
      </c>
      <c r="F273" s="2" t="s">
        <v>61</v>
      </c>
      <c r="G273" s="2" t="s">
        <v>54</v>
      </c>
      <c r="H273" s="2" t="s">
        <v>87</v>
      </c>
      <c r="I273" s="2" t="s">
        <v>51</v>
      </c>
      <c r="J273" s="2" t="s">
        <v>138</v>
      </c>
      <c r="K273" s="2" t="s">
        <v>136</v>
      </c>
      <c r="L273" s="2" t="s">
        <v>221</v>
      </c>
      <c r="M273" s="2" t="s">
        <v>379</v>
      </c>
      <c r="N273" s="2" t="s">
        <v>1059</v>
      </c>
      <c r="O273" s="2" t="s">
        <v>1060</v>
      </c>
      <c r="P273" s="2" t="s">
        <v>1061</v>
      </c>
      <c r="Q273" s="2" t="s">
        <v>1062</v>
      </c>
      <c r="R273" s="2" t="s">
        <v>1063</v>
      </c>
      <c r="S273" s="2" t="s">
        <v>1064</v>
      </c>
      <c r="T273" s="2" t="s">
        <v>1065</v>
      </c>
      <c r="U273" s="2" t="s">
        <v>380</v>
      </c>
      <c r="V273" s="2" t="s">
        <v>1128</v>
      </c>
    </row>
    <row r="274" spans="1:22" x14ac:dyDescent="0.2">
      <c r="A274" t="str">
        <f>B235</f>
        <v>heat, residential, by conversion of hydrogen using fuel cell, SOFC, allocated by exergy, transported by pipeline, produced by Electrolysis, Alkaline using water and electricity from grid</v>
      </c>
      <c r="B274" s="45">
        <v>1</v>
      </c>
      <c r="C274" t="str">
        <f>B241</f>
        <v>megajoule</v>
      </c>
      <c r="E274" t="str">
        <f>B238</f>
        <v>CH</v>
      </c>
      <c r="F274" t="s">
        <v>62</v>
      </c>
      <c r="G274" t="str">
        <f>B240</f>
        <v>heat, from residential heating system</v>
      </c>
      <c r="K274" t="str">
        <f>B235</f>
        <v>heat, residential, by conversion of hydrogen using fuel cell, SOFC, allocated by exergy, transported by pipeline, produced by Electrolysis, Alkaline using water and electricity from grid</v>
      </c>
    </row>
    <row r="275" spans="1:22" x14ac:dyDescent="0.2">
      <c r="A275" t="str">
        <f>VLOOKUP(J275,'dataset mapping'!$A$4:$E$69,2,0)</f>
        <v>fuel cell production, stack solid oxide, 125kW electrical, future</v>
      </c>
      <c r="B275" s="52">
        <f>(1/(B264*B268*B267*3.6))*B269</f>
        <v>6.8189834941278219E-9</v>
      </c>
      <c r="C275" t="str">
        <f>VLOOKUP(J275,'dataset mapping'!$A$4:$E$69,5,0)</f>
        <v>unit</v>
      </c>
      <c r="E275" t="str">
        <f>VLOOKUP(J275,'dataset mapping'!$A$4:$E$69,4,0)</f>
        <v>CH</v>
      </c>
      <c r="F275" t="s">
        <v>86</v>
      </c>
      <c r="G275" t="str">
        <f>VLOOKUP(J275,'dataset mapping'!$A$4:$E$69,3,0)</f>
        <v>fuel cell, stack solid oxide, 125kW electrical, future</v>
      </c>
      <c r="H275" t="s">
        <v>88</v>
      </c>
      <c r="I275" t="s">
        <v>277</v>
      </c>
      <c r="J275" t="s">
        <v>274</v>
      </c>
      <c r="K275" t="str">
        <f>B235</f>
        <v>heat, residential, by conversion of hydrogen using fuel cell, SOFC, allocated by exergy, transported by pipeline, produced by Electrolysis, Alkaline using water and electricity from grid</v>
      </c>
      <c r="L275">
        <f>IF(OR(B275&lt;0,B275=0),1,2)</f>
        <v>2</v>
      </c>
      <c r="M275">
        <f>IF(L275=2,LN(B275),"")</f>
        <v>-18.80355542398161</v>
      </c>
      <c r="N275">
        <v>1</v>
      </c>
      <c r="O275" s="15">
        <v>1.2</v>
      </c>
      <c r="P275">
        <v>1</v>
      </c>
      <c r="Q275">
        <v>1.01</v>
      </c>
      <c r="R275">
        <v>1.2</v>
      </c>
      <c r="S275">
        <v>1.2</v>
      </c>
      <c r="T275">
        <v>3</v>
      </c>
      <c r="U275">
        <f>LN(SQRT(EXP(
SQRT(
+POWER(LN(N275),2)
+POWER(LN(O275),2)
+POWER(LN(P275),2)
+POWER(LN(Q275),2)
+POWER(LN(R275),2)
+POWER(LN(S275),2)
+POWER(LN(T275),2)
)
)))</f>
        <v>0.57157051623399524</v>
      </c>
    </row>
    <row r="276" spans="1:22" x14ac:dyDescent="0.2">
      <c r="A276" t="s">
        <v>283</v>
      </c>
      <c r="B276" s="52">
        <f>(1/(B264*B268*B267*3.6))*B269</f>
        <v>6.8189834941278219E-9</v>
      </c>
      <c r="C276" t="s">
        <v>55</v>
      </c>
      <c r="E276" t="s">
        <v>64</v>
      </c>
      <c r="F276" t="s">
        <v>86</v>
      </c>
      <c r="G276" t="s">
        <v>284</v>
      </c>
      <c r="H276" t="s">
        <v>88</v>
      </c>
      <c r="I276" t="s">
        <v>277</v>
      </c>
      <c r="K276" t="str">
        <f>B235</f>
        <v>heat, residential, by conversion of hydrogen using fuel cell, SOFC, allocated by exergy, transported by pipeline, produced by Electrolysis, Alkaline using water and electricity from grid</v>
      </c>
      <c r="L276">
        <f>IF(OR(B276&lt;0,B276=0),1,2)</f>
        <v>2</v>
      </c>
      <c r="M276">
        <f>IF(L276=2,LN(B276),"")</f>
        <v>-18.80355542398161</v>
      </c>
      <c r="N276">
        <v>1</v>
      </c>
      <c r="O276" s="15">
        <v>1.2</v>
      </c>
      <c r="P276">
        <v>1</v>
      </c>
      <c r="Q276">
        <v>1.01</v>
      </c>
      <c r="R276">
        <v>1.2</v>
      </c>
      <c r="S276">
        <v>1.2</v>
      </c>
      <c r="T276">
        <v>3</v>
      </c>
      <c r="U276">
        <f>LN(SQRT(EXP(
SQRT(
+POWER(LN(N276),2)
+POWER(LN(O276),2)
+POWER(LN(P276),2)
+POWER(LN(Q276),2)
+POWER(LN(R276),2)
+POWER(LN(S276),2)
+POWER(LN(T276),2)
)
)))</f>
        <v>0.57157051623399524</v>
      </c>
    </row>
    <row r="277" spans="1:22" x14ac:dyDescent="0.2">
      <c r="A277" t="s">
        <v>288</v>
      </c>
      <c r="B277" s="52">
        <f>0.000024*B269</f>
        <v>3.2610015624957834E-6</v>
      </c>
      <c r="C277" t="s">
        <v>56</v>
      </c>
      <c r="E277" t="s">
        <v>64</v>
      </c>
      <c r="F277" t="s">
        <v>86</v>
      </c>
      <c r="G277" t="s">
        <v>287</v>
      </c>
      <c r="H277" t="s">
        <v>88</v>
      </c>
      <c r="K277" t="str">
        <f>B235</f>
        <v>heat, residential, by conversion of hydrogen using fuel cell, SOFC, allocated by exergy, transported by pipeline, produced by Electrolysis, Alkaline using water and electricity from grid</v>
      </c>
      <c r="L277">
        <f>IF(OR(B277&lt;0,B277=0),1,2)</f>
        <v>2</v>
      </c>
      <c r="M277">
        <f>IF(L277=2,LN(B277),"")</f>
        <v>-12.633476182011</v>
      </c>
      <c r="N277">
        <v>1</v>
      </c>
      <c r="O277" s="15">
        <v>1.2</v>
      </c>
      <c r="P277">
        <v>1</v>
      </c>
      <c r="Q277">
        <v>1.01</v>
      </c>
      <c r="R277">
        <v>1.2</v>
      </c>
      <c r="S277">
        <v>1.2</v>
      </c>
      <c r="T277">
        <v>1.05</v>
      </c>
      <c r="U277">
        <f>LN(SQRT(EXP(
SQRT(
+POWER(LN(N277),2)
+POWER(LN(O277),2)
+POWER(LN(P277),2)
+POWER(LN(Q277),2)
+POWER(LN(R277),2)
+POWER(LN(S277),2)
+POWER(LN(T277),2)
)
)))</f>
        <v>0.15984597228197622</v>
      </c>
    </row>
    <row r="278" spans="1:22" x14ac:dyDescent="0.2">
      <c r="A278" t="s">
        <v>1134</v>
      </c>
      <c r="B278" s="53">
        <f>(B274/B258)/B257*B269</f>
        <v>2.1364003947168392E-3</v>
      </c>
      <c r="C278" t="str">
        <f>VLOOKUP(J278,'dataset mapping'!$A$4:$E$69,5,0)</f>
        <v>kilogram</v>
      </c>
      <c r="E278" t="str">
        <f>VLOOKUP(J278,'dataset mapping'!$A$4:$E$69,4,0)</f>
        <v>CH</v>
      </c>
      <c r="F278" t="s">
        <v>86</v>
      </c>
      <c r="G278" t="s">
        <v>1129</v>
      </c>
      <c r="H278" t="s">
        <v>76</v>
      </c>
      <c r="I278" t="s">
        <v>1054</v>
      </c>
      <c r="J278" t="s">
        <v>231</v>
      </c>
      <c r="K278" t="str">
        <f>B235</f>
        <v>heat, residential, by conversion of hydrogen using fuel cell, SOFC, allocated by exergy, transported by pipeline, produced by Electrolysis, Alkaline using water and electricity from grid</v>
      </c>
      <c r="L278">
        <f>IF(OR(B278&lt;0,B278=0),1,2)</f>
        <v>2</v>
      </c>
      <c r="M278">
        <f>IF(L278=2,LN(B278),"")</f>
        <v>-6.1486329247407472</v>
      </c>
      <c r="N278">
        <v>1</v>
      </c>
      <c r="O278" s="15">
        <v>1.2</v>
      </c>
      <c r="P278">
        <v>1</v>
      </c>
      <c r="Q278">
        <v>1.01</v>
      </c>
      <c r="R278">
        <v>1.2</v>
      </c>
      <c r="S278">
        <v>1.2</v>
      </c>
      <c r="T278">
        <v>1.05</v>
      </c>
      <c r="U278">
        <f>LN(SQRT(EXP(
SQRT(
+POWER(LN(N278),2)
+POWER(LN(O278),2)
+POWER(LN(P278),2)
+POWER(LN(Q278),2)
+POWER(LN(R278),2)
+POWER(LN(S278),2)
+POWER(LN(T278),2)
)
)))</f>
        <v>0.15984597228197622</v>
      </c>
    </row>
    <row r="279" spans="1:22" x14ac:dyDescent="0.2">
      <c r="A279" t="s">
        <v>134</v>
      </c>
      <c r="B279" s="45">
        <f>B278*9</f>
        <v>1.9227603552451553E-2</v>
      </c>
      <c r="C279" t="s">
        <v>56</v>
      </c>
      <c r="D279" t="s">
        <v>100</v>
      </c>
      <c r="F279" t="s">
        <v>99</v>
      </c>
      <c r="H279" t="s">
        <v>131</v>
      </c>
      <c r="I279" t="s">
        <v>1057</v>
      </c>
      <c r="K279" t="str">
        <f>B235</f>
        <v>heat, residential, by conversion of hydrogen using fuel cell, SOFC, allocated by exergy, transported by pipeline, produced by Electrolysis, Alkaline using water and electricity from grid</v>
      </c>
      <c r="L279">
        <f>IF(OR(B279&lt;0,B279=0),1,2)</f>
        <v>2</v>
      </c>
      <c r="M279">
        <f>IF(L279=2,LN(B279),"")</f>
        <v>-3.9514083474045276</v>
      </c>
      <c r="N279">
        <v>1</v>
      </c>
      <c r="O279" s="15">
        <v>1.2</v>
      </c>
      <c r="P279">
        <v>1</v>
      </c>
      <c r="Q279">
        <v>1.01</v>
      </c>
      <c r="R279">
        <v>1.2</v>
      </c>
      <c r="S279">
        <v>1.2</v>
      </c>
      <c r="T279">
        <v>1.05</v>
      </c>
      <c r="U279">
        <f>LN(SQRT(EXP(
SQRT(
+POWER(LN(N279),2)
+POWER(LN(O279),2)
+POWER(LN(P279),2)
+POWER(LN(Q279),2)
+POWER(LN(R279),2)
+POWER(LN(S279),2)
+POWER(LN(T279),2)
)
)))</f>
        <v>0.15984597228197622</v>
      </c>
    </row>
    <row r="281" spans="1:22" x14ac:dyDescent="0.2">
      <c r="A281" s="2" t="s">
        <v>50</v>
      </c>
      <c r="B281" s="44" t="str">
        <f>IF(B287="megajoule","heat","electricity")&amp;", residential, by "&amp;B292&amp;" of "&amp;B291&amp;" using "&amp;B293&amp;IF(B294&lt;&gt;0,", allocated by "&amp;B294,"")&amp;", transported by "&amp;B295&amp;", produced by "&amp;B299&amp;" using "&amp;B300&amp;" from "&amp;B301</f>
        <v>electricity, residential, by conversion of hydrogen using fuel cell, SOFC, allocated by exergy, transported by pipeline, produced by Electrolysis, Alkaline using water and electricity from grid</v>
      </c>
    </row>
    <row r="282" spans="1:22" x14ac:dyDescent="0.2">
      <c r="A282" t="s">
        <v>51</v>
      </c>
      <c r="B282" s="45" t="str">
        <f>"This dataset represents the supply of 1 "&amp;IF(B287="megajoule","megajoule of heat","kilowatt hour of electricity")&amp;" in a residence, by "&amp;B291&amp;" "&amp;B292&amp;" in a "&amp;B293&amp;". "&amp;" The hydrogen is transported by "&amp;B295&amp;" over "&amp;B296&amp;" km from regional storage. "&amp;" The "&amp;B291&amp;" is produced by  "&amp;B299&amp;", with "&amp;B300&amp;" from "&amp;B301&amp;" as feedstock. "&amp;A303&amp;": "&amp;(B303*100)&amp;"%. "&amp;A304&amp;": "&amp;B304&amp;". "&amp;A305&amp;": "&amp;B305&amp;". "&amp;A306&amp;": "&amp;(B306*100)&amp;"%. "&amp;A307&amp;": "&amp;(B307*100)&amp;"%. "&amp;A308&amp;": "&amp;(B308*100)&amp;"%. "&amp;A309&amp;": "&amp;B309&amp;". "&amp;A310&amp;": "&amp;B310&amp;". "&amp;A311&amp;": "&amp;(B311*100)&amp;"%. "&amp;A312&amp;": "&amp;B312&amp;". "&amp;A313&amp;": "&amp;B313&amp;". "&amp;A314&amp;": "&amp;B314&amp;". "&amp;A315&amp;": "&amp;B315&amp;".  For more information, refer to: "&amp;B283</f>
        <v>This dataset represents the supply of 1 kilowatt hour of electricity in a residence, by hydrogen conversion in a fuel cell, SOFC.  The hydrogen is transported by pipeline over 500 km from regional storage.  The hydrogen is produced by  Electrolysis, Alkaline,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283" spans="1:22" x14ac:dyDescent="0.2">
      <c r="A283" t="s">
        <v>63</v>
      </c>
      <c r="B283" s="45" t="s">
        <v>1223</v>
      </c>
    </row>
    <row r="284" spans="1:22" x14ac:dyDescent="0.2">
      <c r="A284" t="s">
        <v>52</v>
      </c>
      <c r="B284" s="45" t="s">
        <v>64</v>
      </c>
    </row>
    <row r="285" spans="1:22" x14ac:dyDescent="0.2">
      <c r="A285" t="s">
        <v>48</v>
      </c>
      <c r="B285" s="45" t="s">
        <v>867</v>
      </c>
    </row>
    <row r="286" spans="1:22" x14ac:dyDescent="0.2">
      <c r="A286" t="s">
        <v>54</v>
      </c>
      <c r="B286" s="45" t="str">
        <f>INDEX(overview!$B$4:$R$338,MATCH('hydrogen - electrolysis'!B285,overview!$A$4:$A$338,0),MATCH('hydrogen - electrolysis'!A286,overview!$B$3:$R$3,0))</f>
        <v>electricity, from residential heating system</v>
      </c>
    </row>
    <row r="287" spans="1:22" x14ac:dyDescent="0.2">
      <c r="A287" t="s">
        <v>55</v>
      </c>
      <c r="B287" s="45" t="str">
        <f>INDEX(overview!$B$4:$R$338,MATCH('hydrogen - electrolysis'!B285,overview!$A$4:$A$338,0),MATCH('hydrogen - electrolysis'!A287,overview!$B$3:$R$3,0))</f>
        <v>kilowatt hour</v>
      </c>
    </row>
    <row r="288" spans="1:22" x14ac:dyDescent="0.2">
      <c r="A288" t="s">
        <v>0</v>
      </c>
      <c r="B288" s="45" t="str">
        <f>INDEX(overview!$B$4:$R$338,MATCH('hydrogen - electrolysis'!B285,overview!$A$4:$A$338,0),MATCH('hydrogen - electrolysis'!A288,overview!$B$3:$R$3,0))</f>
        <v>Switzerland</v>
      </c>
    </row>
    <row r="289" spans="1:2" x14ac:dyDescent="0.2">
      <c r="A289" t="s">
        <v>1</v>
      </c>
      <c r="B289" s="45">
        <f>INDEX(overview!$B$4:$R$338,MATCH('hydrogen - electrolysis'!B285,overview!$A$4:$A$338,0),MATCH('hydrogen - electrolysis'!A289,overview!$B$3:$R$3,0))</f>
        <v>2020</v>
      </c>
    </row>
    <row r="290" spans="1:2" x14ac:dyDescent="0.2">
      <c r="A290" t="s">
        <v>2</v>
      </c>
      <c r="B290" s="45" t="str">
        <f>INDEX(overview!$B$4:$R$338,MATCH('hydrogen - electrolysis'!B285,overview!$A$4:$A$338,0),MATCH('hydrogen - electrolysis'!A290,overview!$B$3:$R$3,0))</f>
        <v>1 kWh electricity</v>
      </c>
    </row>
    <row r="291" spans="1:2" x14ac:dyDescent="0.2">
      <c r="A291" t="s">
        <v>5</v>
      </c>
      <c r="B291" s="45" t="str">
        <f>INDEX(overview!$B$4:$R$338,MATCH('hydrogen - electrolysis'!B285,overview!$A$4:$A$338,0),MATCH('hydrogen - electrolysis'!A291,overview!$B$3:$R$3,0))</f>
        <v>hydrogen</v>
      </c>
    </row>
    <row r="292" spans="1:2" x14ac:dyDescent="0.2">
      <c r="A292" t="s">
        <v>3</v>
      </c>
      <c r="B292" s="45" t="str">
        <f>INDEX(overview!$B$4:$R$338,MATCH('hydrogen - electrolysis'!B285,overview!$A$4:$A$338,0),MATCH('hydrogen - electrolysis'!A292,overview!$B$3:$R$3,0))</f>
        <v>conversion</v>
      </c>
    </row>
    <row r="293" spans="1:2" x14ac:dyDescent="0.2">
      <c r="A293" t="s">
        <v>6</v>
      </c>
      <c r="B293" s="45" t="str">
        <f>INDEX(overview!$B$4:$R$338,MATCH('hydrogen - electrolysis'!B285,overview!$A$4:$A$338,0),MATCH('hydrogen - electrolysis'!A293,overview!$B$3:$R$3,0))</f>
        <v>fuel cell, SOFC</v>
      </c>
    </row>
    <row r="294" spans="1:2" x14ac:dyDescent="0.2">
      <c r="A294" t="s">
        <v>39</v>
      </c>
      <c r="B294" s="45" t="str">
        <f>INDEX(overview!$B$4:$R$338,MATCH('hydrogen - electrolysis'!B285,overview!$A$4:$A$338,0),MATCH('hydrogen - electrolysis'!A294,overview!$B$3:$R$3,0))</f>
        <v>exergy</v>
      </c>
    </row>
    <row r="295" spans="1:2" x14ac:dyDescent="0.2">
      <c r="A295" t="s">
        <v>4</v>
      </c>
      <c r="B295" s="45" t="str">
        <f>INDEX(overview!$B$4:$R$338,MATCH('hydrogen - electrolysis'!B285,overview!$A$4:$A$338,0),MATCH('hydrogen - electrolysis'!A295,overview!$B$3:$R$3,0))</f>
        <v>pipeline</v>
      </c>
    </row>
    <row r="296" spans="1:2" x14ac:dyDescent="0.2">
      <c r="A296" t="s">
        <v>38</v>
      </c>
      <c r="B296" s="45">
        <f>INDEX(overview!$B$4:$R$338,MATCH('hydrogen - electrolysis'!B285,overview!$A$4:$A$338,0),MATCH('hydrogen - electrolysis'!A296,overview!$B$3:$R$3,0))</f>
        <v>500</v>
      </c>
    </row>
    <row r="297" spans="1:2" x14ac:dyDescent="0.2">
      <c r="A297" t="s">
        <v>12</v>
      </c>
      <c r="B297" s="45" t="str">
        <f>INDEX(overview!$B$4:$R$338,MATCH('hydrogen - electrolysis'!B285,overview!$A$4:$A$338,0),MATCH('hydrogen - electrolysis'!A297,overview!$B$3:$R$3,0))</f>
        <v>Pressure vessel for stationary storage</v>
      </c>
    </row>
    <row r="298" spans="1:2" x14ac:dyDescent="0.2">
      <c r="A298" t="s">
        <v>34</v>
      </c>
      <c r="B298" s="45">
        <f>INDEX(overview!$B$4:$R$338,MATCH('hydrogen - electrolysis'!B285,overview!$A$4:$A$338,0),MATCH('hydrogen - electrolysis'!A298,overview!$B$3:$R$3,0))</f>
        <v>0</v>
      </c>
    </row>
    <row r="299" spans="1:2" x14ac:dyDescent="0.2">
      <c r="A299" t="s">
        <v>15</v>
      </c>
      <c r="B299" s="45" t="str">
        <f>INDEX(overview!$B$4:$R$338,MATCH('hydrogen - electrolysis'!B285,overview!$A$4:$A$338,0),MATCH('hydrogen - electrolysis'!A299,overview!$B$3:$R$3,0))</f>
        <v>Electrolysis, Alkaline</v>
      </c>
    </row>
    <row r="300" spans="1:2" x14ac:dyDescent="0.2">
      <c r="A300" t="s">
        <v>14</v>
      </c>
      <c r="B300" s="45" t="str">
        <f>INDEX(overview!$B$4:$R$338,MATCH('hydrogen - electrolysis'!B285,overview!$A$4:$A$338,0),MATCH('hydrogen - electrolysis'!A300,overview!$B$3:$R$3,0))</f>
        <v>water and electricity</v>
      </c>
    </row>
    <row r="301" spans="1:2" x14ac:dyDescent="0.2">
      <c r="A301" t="s">
        <v>26</v>
      </c>
      <c r="B301" s="45" t="str">
        <f>INDEX(overview!$B$4:$R$338,MATCH('hydrogen - electrolysis'!B285,overview!$A$4:$A$338,0),MATCH('hydrogen - electrolysis'!A301,overview!$B$3:$R$3,0))</f>
        <v>grid</v>
      </c>
    </row>
    <row r="302" spans="1:2" x14ac:dyDescent="0.2">
      <c r="A302" t="s">
        <v>29</v>
      </c>
      <c r="B302" s="45">
        <f>INDEX(overview!$B$4:$R$338,MATCH('hydrogen - electrolysis'!B285,overview!$A$4:$A$338,0),MATCH('hydrogen - electrolysis'!A302,overview!$B$3:$R$3,0))</f>
        <v>0</v>
      </c>
    </row>
    <row r="303" spans="1:2" x14ac:dyDescent="0.2">
      <c r="A303" t="str">
        <f>IF(B287="megajoule","Heat","Electricity")&amp;" conversion efficiency [% LHV input]"</f>
        <v>Electricity conversion efficiency [% LHV input]</v>
      </c>
      <c r="B303" s="46">
        <f>INDEX(parameters!$D$4:$N$20,MATCH('hydrogen - electrolysis'!B291&amp;'hydrogen - electrolysis'!B293,parameters!$A$4:$A$20,0),MATCH('hydrogen - electrolysis'!A303,parameters!$D$3:$N$3,0))</f>
        <v>0.47</v>
      </c>
    </row>
    <row r="304" spans="1:2" x14ac:dyDescent="0.2">
      <c r="A304" t="str">
        <f>IF(B287="megajoule","LHV [MJ/kg]","LHV [kWh/kg]")</f>
        <v>LHV [kWh/kg]</v>
      </c>
      <c r="B304" s="47">
        <f>INDEX(parameters!$D$4:$N$20,MATCH('hydrogen - electrolysis'!B291&amp;'hydrogen - electrolysis'!B293,parameters!$A$4:$A$20,0),MATCH('hydrogen - electrolysis'!A304,parameters!$D$3:$N$3,0))</f>
        <v>33.333333333333336</v>
      </c>
    </row>
    <row r="305" spans="1:22" x14ac:dyDescent="0.2">
      <c r="A305" t="s">
        <v>41</v>
      </c>
      <c r="B305" s="48">
        <f>INDEX(parameters!$D$4:$N$20,MATCH('hydrogen - electrolysis'!B291&amp;'hydrogen - electrolysis'!B293,parameters!$A$4:$A$20,0),MATCH('hydrogen - electrolysis'!A305,parameters!$D$3:$N$3,0))</f>
        <v>2.6666666666666665E-2</v>
      </c>
    </row>
    <row r="306" spans="1:22" x14ac:dyDescent="0.2">
      <c r="A306" t="s">
        <v>45</v>
      </c>
      <c r="B306" s="46">
        <f>INDEX(parameters!$D$4:$N$20,MATCH('hydrogen - electrolysis'!B291&amp;'hydrogen - electrolysis'!B293,parameters!$A$4:$A$20,0),MATCH('hydrogen - electrolysis'!A306,parameters!$D$3:$N$3,0))</f>
        <v>0</v>
      </c>
    </row>
    <row r="307" spans="1:22" x14ac:dyDescent="0.2">
      <c r="A307" t="s">
        <v>46</v>
      </c>
      <c r="B307" s="46">
        <f>INDEX(parameters!$D$4:$N$20,MATCH('hydrogen - electrolysis'!B291&amp;'hydrogen - electrolysis'!B293,parameters!$A$4:$A$20,0),MATCH('hydrogen - electrolysis'!A307,parameters!$D$3:$N$3,0))</f>
        <v>1.4999999999999999E-2</v>
      </c>
    </row>
    <row r="308" spans="1:22" x14ac:dyDescent="0.2">
      <c r="A308" t="s">
        <v>43</v>
      </c>
      <c r="B308" s="46">
        <f>INDEX(parameters!$D$4:$N$20,MATCH('hydrogen - electrolysis'!B291&amp;'hydrogen - electrolysis'!B293,parameters!$A$4:$A$20,0),MATCH('hydrogen - electrolysis'!A308,parameters!$D$3:$N$3,0))</f>
        <v>0</v>
      </c>
    </row>
    <row r="309" spans="1:22" x14ac:dyDescent="0.2">
      <c r="A309" t="s">
        <v>44</v>
      </c>
      <c r="B309" s="46">
        <f>INDEX(parameters!$D$4:$N$20,MATCH('hydrogen - electrolysis'!B291&amp;'hydrogen - electrolysis'!B293,parameters!$A$4:$A$20,0),MATCH('hydrogen - electrolysis'!A309,parameters!$D$3:$N$3,0))</f>
        <v>0</v>
      </c>
    </row>
    <row r="310" spans="1:22" x14ac:dyDescent="0.2">
      <c r="A310" t="s">
        <v>634</v>
      </c>
      <c r="B310" s="51">
        <f>INDEX(parameters!$D$4:$Y$20,MATCH('hydrogen - electrolysis'!B291&amp;'hydrogen - electrolysis'!B293,parameters!$A$4:$A$20,0),MATCH('hydrogen - electrolysis'!A310,parameters!$D$3:$Y$3,0))</f>
        <v>225</v>
      </c>
      <c r="D310" s="8"/>
    </row>
    <row r="311" spans="1:22" x14ac:dyDescent="0.2">
      <c r="A311" t="s">
        <v>82</v>
      </c>
      <c r="B311" s="46">
        <f>IF(B302&lt;&gt;0,VLOOKUP(B302,parameters!A253:B255,2,0),0)</f>
        <v>0</v>
      </c>
    </row>
    <row r="312" spans="1:22" x14ac:dyDescent="0.2">
      <c r="A312" t="s">
        <v>548</v>
      </c>
      <c r="B312" s="50">
        <f>INDEX(parameters!$D$4:$P$20,MATCH(B291&amp;B293,parameters!$A$4:$A$20,0),MATCH(A312,parameters!$D$3:$P$3,0))</f>
        <v>100</v>
      </c>
    </row>
    <row r="313" spans="1:22" x14ac:dyDescent="0.2">
      <c r="A313" t="s">
        <v>547</v>
      </c>
      <c r="B313" s="51">
        <f>INDEX(parameters!$D$4:$P$20,MATCH(B291&amp;B293,parameters!$A$4:$A$20,0),MATCH(A313,parameters!$D$3:$P$3,0))</f>
        <v>6</v>
      </c>
    </row>
    <row r="314" spans="1:22" x14ac:dyDescent="0.2">
      <c r="A314" t="s">
        <v>630</v>
      </c>
      <c r="B314" s="51">
        <f>INDEX(parameters!$D$4:$T$20,MATCH(B291&amp;B293,parameters!$A$4:$A$20,0),MATCH(A314,parameters!$D$3:$T$3,0))</f>
        <v>4100</v>
      </c>
    </row>
    <row r="315" spans="1:22" x14ac:dyDescent="0.2">
      <c r="A315" t="s">
        <v>1005</v>
      </c>
      <c r="B315" s="50">
        <f>IF(B287="megajoule",SUMIFS(allocation!$I$4:$I$30,allocation!$B$4:$B$30,B293,allocation!$C$4:$C$30,B294),SUMIFS(allocation!$J$4:$J$30,allocation!$B$4:$B$30,B293,allocation!$C$4:$C$30,B294))</f>
        <v>0.86412493489600906</v>
      </c>
    </row>
    <row r="316" spans="1:22" x14ac:dyDescent="0.2">
      <c r="A316" t="s">
        <v>1050</v>
      </c>
      <c r="B316" s="51">
        <f>INDEX(parameters!$D$4:$AB$20,MATCH(B291&amp;B293,parameters!$A$4:$A$20,0),MATCH(A316,parameters!$D$3:$AB$3,0))</f>
        <v>1153.1249999999998</v>
      </c>
    </row>
    <row r="318" spans="1:22" x14ac:dyDescent="0.2">
      <c r="A318" s="3" t="s">
        <v>57</v>
      </c>
    </row>
    <row r="319" spans="1:22" x14ac:dyDescent="0.2">
      <c r="A319" s="2" t="s">
        <v>58</v>
      </c>
      <c r="B319" s="44" t="s">
        <v>59</v>
      </c>
      <c r="C319" s="2" t="s">
        <v>55</v>
      </c>
      <c r="D319" s="2" t="s">
        <v>60</v>
      </c>
      <c r="E319" s="2" t="s">
        <v>52</v>
      </c>
      <c r="F319" s="2" t="s">
        <v>61</v>
      </c>
      <c r="G319" s="2" t="s">
        <v>54</v>
      </c>
      <c r="H319" s="2" t="s">
        <v>87</v>
      </c>
      <c r="I319" s="2" t="s">
        <v>51</v>
      </c>
      <c r="J319" s="2" t="s">
        <v>138</v>
      </c>
      <c r="K319" s="2" t="s">
        <v>136</v>
      </c>
      <c r="L319" s="2" t="s">
        <v>221</v>
      </c>
      <c r="M319" s="2" t="s">
        <v>379</v>
      </c>
      <c r="N319" s="2" t="s">
        <v>1059</v>
      </c>
      <c r="O319" s="2" t="s">
        <v>1060</v>
      </c>
      <c r="P319" s="2" t="s">
        <v>1061</v>
      </c>
      <c r="Q319" s="2" t="s">
        <v>1062</v>
      </c>
      <c r="R319" s="2" t="s">
        <v>1063</v>
      </c>
      <c r="S319" s="2" t="s">
        <v>1064</v>
      </c>
      <c r="T319" s="2" t="s">
        <v>1065</v>
      </c>
      <c r="U319" s="2" t="s">
        <v>380</v>
      </c>
      <c r="V319" s="2" t="s">
        <v>1128</v>
      </c>
    </row>
    <row r="320" spans="1:22" x14ac:dyDescent="0.2">
      <c r="A320" t="str">
        <f>B281</f>
        <v>electricity, residential, by conversion of hydrogen using fuel cell, SOFC, allocated by exergy, transported by pipeline, produced by Electrolysis, Alkaline using water and electricity from grid</v>
      </c>
      <c r="B320" s="45">
        <v>1</v>
      </c>
      <c r="C320" t="str">
        <f>B287</f>
        <v>kilowatt hour</v>
      </c>
      <c r="E320" t="str">
        <f>B284</f>
        <v>CH</v>
      </c>
      <c r="F320" t="s">
        <v>62</v>
      </c>
      <c r="G320" t="str">
        <f>B286</f>
        <v>electricity, from residential heating system</v>
      </c>
      <c r="K320" t="str">
        <f>B281</f>
        <v>electricity, residential, by conversion of hydrogen using fuel cell, SOFC, allocated by exergy, transported by pipeline, produced by Electrolysis, Alkaline using water and electricity from grid</v>
      </c>
    </row>
    <row r="321" spans="1:21" x14ac:dyDescent="0.2">
      <c r="A321" t="str">
        <f>VLOOKUP(J321,'dataset mapping'!$A$4:$E$69,2,0)</f>
        <v>fuel cell production, stack solid oxide, 125kW electrical, future</v>
      </c>
      <c r="B321" s="52">
        <f>(1/(B310*B314*B313))*B315</f>
        <v>1.5612013277254003E-7</v>
      </c>
      <c r="C321" t="str">
        <f>VLOOKUP(J321,'dataset mapping'!$A$4:$E$69,5,0)</f>
        <v>unit</v>
      </c>
      <c r="E321" t="str">
        <f>VLOOKUP(J321,'dataset mapping'!$A$4:$E$69,4,0)</f>
        <v>CH</v>
      </c>
      <c r="F321" t="s">
        <v>86</v>
      </c>
      <c r="G321" t="str">
        <f>VLOOKUP(J321,'dataset mapping'!$A$4:$E$69,3,0)</f>
        <v>fuel cell, stack solid oxide, 125kW electrical, future</v>
      </c>
      <c r="H321" t="s">
        <v>88</v>
      </c>
      <c r="I321" t="s">
        <v>277</v>
      </c>
      <c r="J321" t="s">
        <v>274</v>
      </c>
      <c r="K321" t="str">
        <f>B281</f>
        <v>electricity, residential, by conversion of hydrogen using fuel cell, SOFC, allocated by exergy, transported by pipeline, produced by Electrolysis, Alkaline using water and electricity from grid</v>
      </c>
      <c r="L321">
        <f>IF(OR(B321&lt;0,B321=0),1,2)</f>
        <v>2</v>
      </c>
      <c r="M321">
        <f>IF(L321=2,LN(B321),"")</f>
        <v>-15.672640044182527</v>
      </c>
      <c r="N321">
        <v>1</v>
      </c>
      <c r="O321" s="15">
        <v>1.2</v>
      </c>
      <c r="P321">
        <v>1</v>
      </c>
      <c r="Q321">
        <v>1.01</v>
      </c>
      <c r="R321">
        <v>1.2</v>
      </c>
      <c r="S321">
        <v>1.2</v>
      </c>
      <c r="T321">
        <v>3</v>
      </c>
      <c r="U321">
        <f>LN(SQRT(EXP(
SQRT(
+POWER(LN(N321),2)
+POWER(LN(O321),2)
+POWER(LN(P321),2)
+POWER(LN(Q321),2)
+POWER(LN(R321),2)
+POWER(LN(S321),2)
+POWER(LN(T321),2)
)
)))</f>
        <v>0.57157051623399524</v>
      </c>
    </row>
    <row r="322" spans="1:21" x14ac:dyDescent="0.2">
      <c r="A322" t="s">
        <v>283</v>
      </c>
      <c r="B322" s="52">
        <f>(1/(B310*B314*B313))*B315</f>
        <v>1.5612013277254003E-7</v>
      </c>
      <c r="C322" t="s">
        <v>55</v>
      </c>
      <c r="E322" t="s">
        <v>64</v>
      </c>
      <c r="F322" t="s">
        <v>86</v>
      </c>
      <c r="G322" t="s">
        <v>284</v>
      </c>
      <c r="H322" t="s">
        <v>88</v>
      </c>
      <c r="I322" t="s">
        <v>277</v>
      </c>
      <c r="K322" t="str">
        <f>B281</f>
        <v>electricity, residential, by conversion of hydrogen using fuel cell, SOFC, allocated by exergy, transported by pipeline, produced by Electrolysis, Alkaline using water and electricity from grid</v>
      </c>
      <c r="L322">
        <f>IF(OR(B322&lt;0,B322=0),1,2)</f>
        <v>2</v>
      </c>
      <c r="M322">
        <f>IF(L322=2,LN(B322),"")</f>
        <v>-15.672640044182527</v>
      </c>
      <c r="N322">
        <v>1</v>
      </c>
      <c r="O322" s="15">
        <v>1.2</v>
      </c>
      <c r="P322">
        <v>1</v>
      </c>
      <c r="Q322">
        <v>1.01</v>
      </c>
      <c r="R322">
        <v>1.2</v>
      </c>
      <c r="S322">
        <v>1.2</v>
      </c>
      <c r="T322">
        <v>3</v>
      </c>
      <c r="U322">
        <f>LN(SQRT(EXP(
SQRT(
+POWER(LN(N322),2)
+POWER(LN(O322),2)
+POWER(LN(P322),2)
+POWER(LN(Q322),2)
+POWER(LN(R322),2)
+POWER(LN(S322),2)
+POWER(LN(T322),2)
)
)))</f>
        <v>0.57157051623399524</v>
      </c>
    </row>
    <row r="323" spans="1:21" x14ac:dyDescent="0.2">
      <c r="A323" t="s">
        <v>288</v>
      </c>
      <c r="B323" s="52">
        <f>0.000024*B315</f>
        <v>2.0738998437504217E-5</v>
      </c>
      <c r="C323" t="s">
        <v>56</v>
      </c>
      <c r="E323" t="s">
        <v>64</v>
      </c>
      <c r="F323" t="s">
        <v>86</v>
      </c>
      <c r="G323" t="s">
        <v>287</v>
      </c>
      <c r="H323" t="s">
        <v>88</v>
      </c>
      <c r="K323" t="str">
        <f>B281</f>
        <v>electricity, residential, by conversion of hydrogen using fuel cell, SOFC, allocated by exergy, transported by pipeline, produced by Electrolysis, Alkaline using water and electricity from grid</v>
      </c>
      <c r="L323">
        <f>IF(OR(B323&lt;0,B323=0),1,2)</f>
        <v>2</v>
      </c>
      <c r="M323">
        <f>IF(L323=2,LN(B323),"")</f>
        <v>-10.783494647673981</v>
      </c>
      <c r="N323">
        <v>1</v>
      </c>
      <c r="O323" s="15">
        <v>1.2</v>
      </c>
      <c r="P323">
        <v>1</v>
      </c>
      <c r="Q323">
        <v>1.01</v>
      </c>
      <c r="R323">
        <v>1.2</v>
      </c>
      <c r="S323">
        <v>1.2</v>
      </c>
      <c r="T323">
        <v>1.05</v>
      </c>
      <c r="U323">
        <f>LN(SQRT(EXP(
SQRT(
+POWER(LN(N323),2)
+POWER(LN(O323),2)
+POWER(LN(P323),2)
+POWER(LN(Q323),2)
+POWER(LN(R323),2)
+POWER(LN(S323),2)
+POWER(LN(T323),2)
)
)))</f>
        <v>0.15984597228197622</v>
      </c>
    </row>
    <row r="324" spans="1:21" x14ac:dyDescent="0.2">
      <c r="A324" t="s">
        <v>1134</v>
      </c>
      <c r="B324" s="53">
        <f>(B320/B304)/B303*B315</f>
        <v>5.515691073804313E-2</v>
      </c>
      <c r="C324" t="str">
        <f>VLOOKUP(J324,'dataset mapping'!$A$4:$E$69,5,0)</f>
        <v>kilogram</v>
      </c>
      <c r="E324" t="str">
        <f>VLOOKUP(J324,'dataset mapping'!$A$4:$E$69,4,0)</f>
        <v>CH</v>
      </c>
      <c r="F324" t="s">
        <v>86</v>
      </c>
      <c r="G324" t="s">
        <v>1129</v>
      </c>
      <c r="H324" t="s">
        <v>76</v>
      </c>
      <c r="I324" t="s">
        <v>1054</v>
      </c>
      <c r="J324" t="s">
        <v>231</v>
      </c>
      <c r="K324" t="str">
        <f>B281</f>
        <v>electricity, residential, by conversion of hydrogen using fuel cell, SOFC, allocated by exergy, transported by pipeline, produced by Electrolysis, Alkaline using water and electricity from grid</v>
      </c>
      <c r="L324">
        <f>IF(OR(B324&lt;0,B324=0),1,2)</f>
        <v>2</v>
      </c>
      <c r="M324">
        <f>IF(L324=2,LN(B324),"")</f>
        <v>-2.8975732330996009</v>
      </c>
      <c r="N324">
        <v>1</v>
      </c>
      <c r="O324" s="15">
        <v>1.2</v>
      </c>
      <c r="P324">
        <v>1</v>
      </c>
      <c r="Q324">
        <v>1.01</v>
      </c>
      <c r="R324">
        <v>1.2</v>
      </c>
      <c r="S324">
        <v>1.2</v>
      </c>
      <c r="T324">
        <v>1.05</v>
      </c>
      <c r="U324">
        <f>LN(SQRT(EXP(
SQRT(
+POWER(LN(N324),2)
+POWER(LN(O324),2)
+POWER(LN(P324),2)
+POWER(LN(Q324),2)
+POWER(LN(R324),2)
+POWER(LN(S324),2)
+POWER(LN(T324),2)
)
)))</f>
        <v>0.15984597228197622</v>
      </c>
    </row>
    <row r="325" spans="1:21" x14ac:dyDescent="0.2">
      <c r="A325" t="s">
        <v>134</v>
      </c>
      <c r="B325" s="45">
        <f>B324*9</f>
        <v>0.49641219664238817</v>
      </c>
      <c r="C325" t="s">
        <v>56</v>
      </c>
      <c r="D325" t="s">
        <v>100</v>
      </c>
      <c r="F325" t="s">
        <v>99</v>
      </c>
      <c r="H325" t="s">
        <v>131</v>
      </c>
      <c r="I325" t="s">
        <v>1057</v>
      </c>
      <c r="K325" t="str">
        <f>B281</f>
        <v>electricity, residential, by conversion of hydrogen using fuel cell, SOFC, allocated by exergy, transported by pipeline, produced by Electrolysis, Alkaline using water and electricity from grid</v>
      </c>
      <c r="L325">
        <f>IF(OR(B325&lt;0,B325=0),1,2)</f>
        <v>2</v>
      </c>
      <c r="M325">
        <f>IF(L325=2,LN(B325),"")</f>
        <v>-0.70034865576338168</v>
      </c>
      <c r="N325">
        <v>1</v>
      </c>
      <c r="O325" s="15">
        <v>1.2</v>
      </c>
      <c r="P325">
        <v>1</v>
      </c>
      <c r="Q325">
        <v>1.01</v>
      </c>
      <c r="R325">
        <v>1.2</v>
      </c>
      <c r="S325">
        <v>1.2</v>
      </c>
      <c r="T325">
        <v>1.05</v>
      </c>
      <c r="U325">
        <f>LN(SQRT(EXP(
SQRT(
+POWER(LN(N325),2)
+POWER(LN(O325),2)
+POWER(LN(P325),2)
+POWER(LN(Q325),2)
+POWER(LN(R325),2)
+POWER(LN(S325),2)
+POWER(LN(T325),2)
)
)))</f>
        <v>0.15984597228197622</v>
      </c>
    </row>
    <row r="327" spans="1:21" x14ac:dyDescent="0.2">
      <c r="A327" s="2" t="s">
        <v>50</v>
      </c>
      <c r="B327" s="44" t="str">
        <f>IF(B333="megajoule","heat","electricity")&amp;", residential, by "&amp;B338&amp;" of "&amp;B337&amp;" using "&amp;B339&amp;IF(B340&lt;&gt;0,", allocated by "&amp;B340,"")&amp;", transported by "&amp;B341&amp;", produced by "&amp;B345&amp;" using "&amp;B346&amp;" from "&amp;B347</f>
        <v>heat, residential, by combustion of hydrogen using boiler, transported by truck, produced by Electrolysis, Alkaline using water and electricity from grid</v>
      </c>
    </row>
    <row r="328" spans="1:21" x14ac:dyDescent="0.2">
      <c r="A328" t="s">
        <v>51</v>
      </c>
      <c r="B328" s="45" t="str">
        <f>"This dataset represents the supply of 1 "&amp;IF(B333="megajoule","megajoule of heat","kilowatt hour of electricity")&amp;" in a residence, by "&amp;B337&amp;" "&amp;B338&amp;" in a "&amp;B339&amp;". "&amp;" The hydrogen is transported by "&amp;B341&amp;" over "&amp;B342&amp;" km from regional storage. "&amp;" The "&amp;B337&amp;" is produced by  "&amp;B345&amp;", with "&amp;B346&amp;" from "&amp;B347&amp;" as feedstock. "&amp;A349&amp;": "&amp;(B349*100)&amp;"%. "&amp;A350&amp;": "&amp;B350&amp;". "&amp;A351&amp;": "&amp;B351&amp;". "&amp;A352&amp;": "&amp;(B352*100)&amp;"%. "&amp;A353&amp;": "&amp;(B353*100)&amp;"%. "&amp;A354&amp;": "&amp;(B354*100)&amp;"%. "&amp;A355&amp;": "&amp;B355&amp;". "&amp;A356&amp;": "&amp;B356&amp;". "&amp;A357&amp;": "&amp;(B357*100)&amp;"%. "&amp;A358&amp;": "&amp;B358&amp;". "&amp;A359&amp;": "&amp;B359&amp;". "&amp;A360&amp;": "&amp;B360&amp;". "&amp;A361&amp;": "&amp;B361&amp;".  For more information, refer to: "&amp;B329</f>
        <v>This dataset represents the supply of 1 megajoule of heat in a residence, by hydrogen combustion in a boiler.  The hydrogen is transported by truck over 200 km from regional storage.  The hydrogen is produced by  Electrolysis, Alkaline,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329" spans="1:21" x14ac:dyDescent="0.2">
      <c r="A329" t="s">
        <v>63</v>
      </c>
      <c r="B329" s="45" t="s">
        <v>1223</v>
      </c>
    </row>
    <row r="330" spans="1:21" x14ac:dyDescent="0.2">
      <c r="A330" t="s">
        <v>52</v>
      </c>
      <c r="B330" s="45" t="s">
        <v>64</v>
      </c>
    </row>
    <row r="331" spans="1:21" x14ac:dyDescent="0.2">
      <c r="A331" t="s">
        <v>48</v>
      </c>
      <c r="B331" s="45">
        <v>5</v>
      </c>
    </row>
    <row r="332" spans="1:21" x14ac:dyDescent="0.2">
      <c r="A332" t="s">
        <v>54</v>
      </c>
      <c r="B332" s="45" t="str">
        <f>INDEX(overview!$B$4:$R$338,MATCH('hydrogen - electrolysis'!B331,overview!$A$4:$A$338,0),MATCH('hydrogen - electrolysis'!A332,overview!$B$3:$R$3,0))</f>
        <v>heat, from residential heating system</v>
      </c>
    </row>
    <row r="333" spans="1:21" x14ac:dyDescent="0.2">
      <c r="A333" t="s">
        <v>55</v>
      </c>
      <c r="B333" s="45" t="str">
        <f>INDEX(overview!$B$4:$R$338,MATCH('hydrogen - electrolysis'!B331,overview!$A$4:$A$338,0),MATCH('hydrogen - electrolysis'!A333,overview!$B$3:$R$3,0))</f>
        <v>megajoule</v>
      </c>
    </row>
    <row r="334" spans="1:21" x14ac:dyDescent="0.2">
      <c r="A334" t="s">
        <v>0</v>
      </c>
      <c r="B334" s="45" t="str">
        <f>INDEX(overview!$B$4:$R$338,MATCH('hydrogen - electrolysis'!B331,overview!$A$4:$A$338,0),MATCH('hydrogen - electrolysis'!A334,overview!$B$3:$R$3,0))</f>
        <v>Switzerland</v>
      </c>
    </row>
    <row r="335" spans="1:21" x14ac:dyDescent="0.2">
      <c r="A335" t="s">
        <v>1</v>
      </c>
      <c r="B335" s="45">
        <f>INDEX(overview!$B$4:$R$338,MATCH('hydrogen - electrolysis'!B331,overview!$A$4:$A$338,0),MATCH('hydrogen - electrolysis'!A335,overview!$B$3:$R$3,0))</f>
        <v>2020</v>
      </c>
    </row>
    <row r="336" spans="1:21" x14ac:dyDescent="0.2">
      <c r="A336" t="s">
        <v>2</v>
      </c>
      <c r="B336" s="45" t="str">
        <f>INDEX(overview!$B$4:$R$338,MATCH('hydrogen - electrolysis'!B331,overview!$A$4:$A$338,0),MATCH('hydrogen - electrolysis'!A336,overview!$B$3:$R$3,0))</f>
        <v>1 MJ heat</v>
      </c>
    </row>
    <row r="337" spans="1:2" x14ac:dyDescent="0.2">
      <c r="A337" t="s">
        <v>5</v>
      </c>
      <c r="B337" s="45" t="str">
        <f>INDEX(overview!$B$4:$R$338,MATCH('hydrogen - electrolysis'!B331,overview!$A$4:$A$338,0),MATCH('hydrogen - electrolysis'!A337,overview!$B$3:$R$3,0))</f>
        <v>hydrogen</v>
      </c>
    </row>
    <row r="338" spans="1:2" x14ac:dyDescent="0.2">
      <c r="A338" t="s">
        <v>3</v>
      </c>
      <c r="B338" s="45" t="str">
        <f>INDEX(overview!$B$4:$R$338,MATCH('hydrogen - electrolysis'!B331,overview!$A$4:$A$338,0),MATCH('hydrogen - electrolysis'!A338,overview!$B$3:$R$3,0))</f>
        <v>combustion</v>
      </c>
    </row>
    <row r="339" spans="1:2" x14ac:dyDescent="0.2">
      <c r="A339" t="s">
        <v>6</v>
      </c>
      <c r="B339" s="45" t="str">
        <f>INDEX(overview!$B$4:$R$338,MATCH('hydrogen - electrolysis'!B331,overview!$A$4:$A$338,0),MATCH('hydrogen - electrolysis'!A339,overview!$B$3:$R$3,0))</f>
        <v>boiler</v>
      </c>
    </row>
    <row r="340" spans="1:2" x14ac:dyDescent="0.2">
      <c r="A340" t="s">
        <v>39</v>
      </c>
      <c r="B340" s="45">
        <f>INDEX(overview!$B$4:$R$338,MATCH('hydrogen - electrolysis'!B331,overview!$A$4:$A$338,0),MATCH('hydrogen - electrolysis'!A340,overview!$B$3:$R$3,0))</f>
        <v>0</v>
      </c>
    </row>
    <row r="341" spans="1:2" x14ac:dyDescent="0.2">
      <c r="A341" t="s">
        <v>4</v>
      </c>
      <c r="B341" s="45" t="str">
        <f>INDEX(overview!$B$4:$R$338,MATCH('hydrogen - electrolysis'!B331,overview!$A$4:$A$338,0),MATCH('hydrogen - electrolysis'!A341,overview!$B$3:$R$3,0))</f>
        <v>truck</v>
      </c>
    </row>
    <row r="342" spans="1:2" x14ac:dyDescent="0.2">
      <c r="A342" t="s">
        <v>38</v>
      </c>
      <c r="B342" s="45">
        <f>INDEX(overview!$B$4:$R$338,MATCH('hydrogen - electrolysis'!B331,overview!$A$4:$A$338,0),MATCH('hydrogen - electrolysis'!A342,overview!$B$3:$R$3,0))</f>
        <v>200</v>
      </c>
    </row>
    <row r="343" spans="1:2" x14ac:dyDescent="0.2">
      <c r="A343" t="s">
        <v>12</v>
      </c>
      <c r="B343" s="45" t="str">
        <f>INDEX(overview!$B$4:$R$338,MATCH('hydrogen - electrolysis'!B331,overview!$A$4:$A$338,0),MATCH('hydrogen - electrolysis'!A343,overview!$B$3:$R$3,0))</f>
        <v>Pressure vessel for stationary storage</v>
      </c>
    </row>
    <row r="344" spans="1:2" x14ac:dyDescent="0.2">
      <c r="A344" t="s">
        <v>34</v>
      </c>
      <c r="B344" s="45">
        <f>INDEX(overview!$B$4:$R$338,MATCH('hydrogen - electrolysis'!B331,overview!$A$4:$A$338,0),MATCH('hydrogen - electrolysis'!A344,overview!$B$3:$R$3,0))</f>
        <v>0</v>
      </c>
    </row>
    <row r="345" spans="1:2" x14ac:dyDescent="0.2">
      <c r="A345" t="s">
        <v>15</v>
      </c>
      <c r="B345" s="45" t="str">
        <f>INDEX(overview!$B$4:$R$338,MATCH('hydrogen - electrolysis'!B331,overview!$A$4:$A$338,0),MATCH('hydrogen - electrolysis'!A345,overview!$B$3:$R$3,0))</f>
        <v>Electrolysis, Alkaline</v>
      </c>
    </row>
    <row r="346" spans="1:2" x14ac:dyDescent="0.2">
      <c r="A346" t="s">
        <v>14</v>
      </c>
      <c r="B346" s="45" t="str">
        <f>INDEX(overview!$B$4:$R$338,MATCH('hydrogen - electrolysis'!B331,overview!$A$4:$A$338,0),MATCH('hydrogen - electrolysis'!A346,overview!$B$3:$R$3,0))</f>
        <v>water and electricity</v>
      </c>
    </row>
    <row r="347" spans="1:2" x14ac:dyDescent="0.2">
      <c r="A347" t="s">
        <v>26</v>
      </c>
      <c r="B347" s="45" t="str">
        <f>INDEX(overview!$B$4:$R$338,MATCH('hydrogen - electrolysis'!B331,overview!$A$4:$A$338,0),MATCH('hydrogen - electrolysis'!A347,overview!$B$3:$R$3,0))</f>
        <v>grid</v>
      </c>
    </row>
    <row r="348" spans="1:2" x14ac:dyDescent="0.2">
      <c r="A348" t="s">
        <v>29</v>
      </c>
      <c r="B348" s="45">
        <f>INDEX(overview!$B$4:$R$338,MATCH('hydrogen - electrolysis'!B331,overview!$A$4:$A$338,0),MATCH('hydrogen - electrolysis'!A348,overview!$B$3:$R$3,0))</f>
        <v>0</v>
      </c>
    </row>
    <row r="349" spans="1:2" x14ac:dyDescent="0.2">
      <c r="A349" t="str">
        <f>IF(B333="megajoule","Heat","Electricity")&amp;" conversion efficiency [% LHV input]"</f>
        <v>Heat conversion efficiency [% LHV input]</v>
      </c>
      <c r="B349" s="46">
        <f>INDEX(parameters!$D$4:$N$20,MATCH('hydrogen - electrolysis'!B337&amp;'hydrogen - electrolysis'!B339,parameters!$A$4:$A$20,0),MATCH('hydrogen - electrolysis'!A349,parameters!$D$3:$N$3,0))</f>
        <v>0.94</v>
      </c>
    </row>
    <row r="350" spans="1:2" x14ac:dyDescent="0.2">
      <c r="A350" t="str">
        <f>IF(B333="megajoule","LHV [MJ/kg]","LHV [kWh/kg]")</f>
        <v>LHV [MJ/kg]</v>
      </c>
      <c r="B350" s="47">
        <f>INDEX(parameters!$D$4:$N$20,MATCH('hydrogen - electrolysis'!B337&amp;'hydrogen - electrolysis'!B339,parameters!$A$4:$A$20,0),MATCH('hydrogen - electrolysis'!A350,parameters!$D$3:$N$3,0))</f>
        <v>120</v>
      </c>
    </row>
    <row r="351" spans="1:2" x14ac:dyDescent="0.2">
      <c r="A351" t="s">
        <v>41</v>
      </c>
      <c r="B351" s="48">
        <f>INDEX(parameters!$D$4:$N$20,MATCH('hydrogen - electrolysis'!B337&amp;'hydrogen - electrolysis'!B339,parameters!$A$4:$A$20,0),MATCH('hydrogen - electrolysis'!A351,parameters!$D$3:$N$3,0))</f>
        <v>2.6666666666666665E-2</v>
      </c>
    </row>
    <row r="352" spans="1:2" x14ac:dyDescent="0.2">
      <c r="A352" t="s">
        <v>45</v>
      </c>
      <c r="B352" s="49">
        <f>INDEX(parameters!$D$4:$N$20,MATCH('hydrogen - electrolysis'!B337&amp;'hydrogen - electrolysis'!B339,parameters!$A$4:$A$20,0),MATCH('hydrogen - electrolysis'!A352,parameters!$D$3:$N$3,0))</f>
        <v>0</v>
      </c>
    </row>
    <row r="353" spans="1:22" x14ac:dyDescent="0.2">
      <c r="A353" t="s">
        <v>46</v>
      </c>
      <c r="B353" s="49">
        <f>INDEX(parameters!$D$4:$N$20,MATCH('hydrogen - electrolysis'!B337&amp;'hydrogen - electrolysis'!B339,parameters!$A$4:$A$20,0),MATCH('hydrogen - electrolysis'!A353,parameters!$D$3:$N$3,0))</f>
        <v>1.4999999999999999E-2</v>
      </c>
    </row>
    <row r="354" spans="1:22" x14ac:dyDescent="0.2">
      <c r="A354" t="s">
        <v>43</v>
      </c>
      <c r="B354" s="49">
        <f>INDEX(parameters!$D$4:$N$20,MATCH('hydrogen - electrolysis'!B337&amp;'hydrogen - electrolysis'!B339,parameters!$A$4:$A$20,0),MATCH('hydrogen - electrolysis'!A354,parameters!$D$3:$N$3,0))</f>
        <v>0</v>
      </c>
    </row>
    <row r="355" spans="1:22" x14ac:dyDescent="0.2">
      <c r="A355" t="s">
        <v>44</v>
      </c>
      <c r="B355" s="49">
        <f>INDEX(parameters!$D$4:$N$20,MATCH('hydrogen - electrolysis'!B337&amp;'hydrogen - electrolysis'!B339,parameters!$A$4:$A$20,0),MATCH('hydrogen - electrolysis'!A355,parameters!$D$3:$N$3,0))</f>
        <v>0</v>
      </c>
    </row>
    <row r="356" spans="1:22" x14ac:dyDescent="0.2">
      <c r="A356" t="s">
        <v>634</v>
      </c>
      <c r="B356" s="51">
        <f>INDEX(parameters!$D$4:$Y$20,MATCH('hydrogen - electrolysis'!B337&amp;'hydrogen - electrolysis'!B339,parameters!$A$4:$A$20,0),MATCH('hydrogen - electrolysis'!A356,parameters!$D$3:$Y$3,0))</f>
        <v>15.957446808510639</v>
      </c>
    </row>
    <row r="357" spans="1:22" x14ac:dyDescent="0.2">
      <c r="A357" t="s">
        <v>82</v>
      </c>
      <c r="B357" s="46">
        <f>IF(B348&lt;&gt;0,VLOOKUP(B348,parameters!A253:B255,2,0),0)</f>
        <v>0</v>
      </c>
    </row>
    <row r="358" spans="1:22" x14ac:dyDescent="0.2">
      <c r="A358" t="s">
        <v>548</v>
      </c>
      <c r="B358" s="50">
        <f>INDEX(parameters!$D$4:$P$20,MATCH(B337&amp;B339,parameters!$A$4:$A$20,0),MATCH(A358,parameters!$D$3:$P$3,0))</f>
        <v>15</v>
      </c>
    </row>
    <row r="359" spans="1:22" x14ac:dyDescent="0.2">
      <c r="A359" t="s">
        <v>547</v>
      </c>
      <c r="B359" s="51">
        <f>INDEX(parameters!$D$4:$P$20,MATCH(B337&amp;B339,parameters!$A$4:$A$20,0),MATCH(A359,parameters!$D$3:$P$3,0))</f>
        <v>20</v>
      </c>
    </row>
    <row r="360" spans="1:22" x14ac:dyDescent="0.2">
      <c r="A360" t="s">
        <v>630</v>
      </c>
      <c r="B360" s="51">
        <f>INDEX(parameters!$D$4:$T$20,MATCH(B337&amp;B339,parameters!$A$4:$A$20,0),MATCH(A360,parameters!$D$3:$T$3,0))</f>
        <v>2100</v>
      </c>
    </row>
    <row r="361" spans="1:22" x14ac:dyDescent="0.2">
      <c r="A361" t="s">
        <v>1005</v>
      </c>
      <c r="B361" s="50">
        <f>IF(B333="megajoule",SUMIFS(allocation!$I$4:$I$30,allocation!$B$4:$B$30,B339,allocation!$C$4:$C$30,B340),SUMIFS(allocation!$J$4:$J$30,allocation!$B$4:$B$30,B339,allocation!$C$4:$C$30,B340))</f>
        <v>0</v>
      </c>
    </row>
    <row r="362" spans="1:22" x14ac:dyDescent="0.2">
      <c r="A362" t="s">
        <v>1050</v>
      </c>
      <c r="B362" s="51">
        <f>INDEX(parameters!$D$4:$AB$20,MATCH(B337&amp;B339,parameters!$A$4:$A$20,0),MATCH(A362,parameters!$D$3:$AB$3,0))</f>
        <v>44.562019013128115</v>
      </c>
    </row>
    <row r="364" spans="1:22" x14ac:dyDescent="0.2">
      <c r="A364" s="3" t="s">
        <v>57</v>
      </c>
    </row>
    <row r="365" spans="1:22" x14ac:dyDescent="0.2">
      <c r="A365" s="2" t="s">
        <v>58</v>
      </c>
      <c r="B365" s="44" t="s">
        <v>59</v>
      </c>
      <c r="C365" s="2" t="s">
        <v>55</v>
      </c>
      <c r="D365" s="2" t="s">
        <v>60</v>
      </c>
      <c r="E365" s="2" t="s">
        <v>52</v>
      </c>
      <c r="F365" s="2" t="s">
        <v>61</v>
      </c>
      <c r="G365" s="2" t="s">
        <v>54</v>
      </c>
      <c r="H365" s="2" t="s">
        <v>87</v>
      </c>
      <c r="I365" s="2" t="s">
        <v>51</v>
      </c>
      <c r="J365" s="2" t="s">
        <v>138</v>
      </c>
      <c r="K365" s="2" t="s">
        <v>136</v>
      </c>
      <c r="L365" s="2" t="s">
        <v>221</v>
      </c>
      <c r="M365" s="2" t="s">
        <v>379</v>
      </c>
      <c r="N365" s="2" t="s">
        <v>1059</v>
      </c>
      <c r="O365" s="2" t="s">
        <v>1060</v>
      </c>
      <c r="P365" s="2" t="s">
        <v>1061</v>
      </c>
      <c r="Q365" s="2" t="s">
        <v>1062</v>
      </c>
      <c r="R365" s="2" t="s">
        <v>1063</v>
      </c>
      <c r="S365" s="2" t="s">
        <v>1064</v>
      </c>
      <c r="T365" s="2" t="s">
        <v>1065</v>
      </c>
      <c r="U365" s="2" t="s">
        <v>380</v>
      </c>
      <c r="V365" s="2" t="s">
        <v>1128</v>
      </c>
    </row>
    <row r="366" spans="1:22" x14ac:dyDescent="0.2">
      <c r="A366" t="str">
        <f>B327</f>
        <v>heat, residential, by combustion of hydrogen using boiler, transported by truck, produced by Electrolysis, Alkaline using water and electricity from grid</v>
      </c>
      <c r="B366" s="45">
        <v>1</v>
      </c>
      <c r="C366" t="str">
        <f>B333</f>
        <v>megajoule</v>
      </c>
      <c r="E366" t="str">
        <f>B330</f>
        <v>CH</v>
      </c>
      <c r="F366" t="s">
        <v>62</v>
      </c>
      <c r="G366" t="str">
        <f>B332</f>
        <v>heat, from residential heating system</v>
      </c>
      <c r="K366" t="str">
        <f>B327</f>
        <v>heat, residential, by combustion of hydrogen using boiler, transported by truck, produced by Electrolysis, Alkaline using water and electricity from grid</v>
      </c>
    </row>
    <row r="367" spans="1:22" x14ac:dyDescent="0.2">
      <c r="A367" t="s">
        <v>83</v>
      </c>
      <c r="B367" s="52">
        <f>1/(B358*B360*B359*3.6)</f>
        <v>4.4091710758377425E-7</v>
      </c>
      <c r="C367" t="s">
        <v>55</v>
      </c>
      <c r="E367" t="s">
        <v>85</v>
      </c>
      <c r="F367" t="s">
        <v>86</v>
      </c>
      <c r="G367" t="s">
        <v>84</v>
      </c>
      <c r="H367" t="s">
        <v>88</v>
      </c>
      <c r="K367" t="str">
        <f>B327</f>
        <v>heat, residential, by combustion of hydrogen using boiler, transported by truck, produced by Electrolysis, Alkaline using water and electricity from grid</v>
      </c>
      <c r="L367">
        <f t="shared" ref="L367:L372" si="5">IF(OR(B367&lt;0,B367=0),1,2)</f>
        <v>2</v>
      </c>
      <c r="M367">
        <f t="shared" ref="M367:M372" si="6">IF(L367=2,LN(B367),"")</f>
        <v>-14.634408943829779</v>
      </c>
      <c r="N367">
        <v>1.05</v>
      </c>
      <c r="O367" s="15">
        <v>1.2</v>
      </c>
      <c r="P367">
        <v>1</v>
      </c>
      <c r="Q367">
        <v>1.01</v>
      </c>
      <c r="R367">
        <v>1.2</v>
      </c>
      <c r="S367">
        <v>1.2</v>
      </c>
      <c r="T367">
        <v>3</v>
      </c>
      <c r="U367">
        <f t="shared" ref="U367:U372" si="7">LN(SQRT(EXP(
SQRT(
+POWER(LN(N367),2)
+POWER(LN(O367),2)
+POWER(LN(P367),2)
+POWER(LN(Q367),2)
+POWER(LN(R367),2)
+POWER(LN(S367),2)
+POWER(LN(T367),2)
)
)))</f>
        <v>0.57209088006881903</v>
      </c>
    </row>
    <row r="368" spans="1:22" x14ac:dyDescent="0.2">
      <c r="A368" t="s">
        <v>500</v>
      </c>
      <c r="B368" s="52">
        <f>B367*2</f>
        <v>8.8183421516754851E-7</v>
      </c>
      <c r="C368" t="s">
        <v>267</v>
      </c>
      <c r="E368" t="s">
        <v>85</v>
      </c>
      <c r="F368" t="s">
        <v>86</v>
      </c>
      <c r="G368" t="s">
        <v>501</v>
      </c>
      <c r="H368" t="s">
        <v>88</v>
      </c>
      <c r="I368" t="s">
        <v>621</v>
      </c>
      <c r="K368" t="str">
        <f>B327</f>
        <v>heat, residential, by combustion of hydrogen using boiler, transported by truck, produced by Electrolysis, Alkaline using water and electricity from grid</v>
      </c>
      <c r="L368">
        <f t="shared" si="5"/>
        <v>2</v>
      </c>
      <c r="M368">
        <f t="shared" si="6"/>
        <v>-13.941261763269834</v>
      </c>
      <c r="N368">
        <v>1.05</v>
      </c>
      <c r="O368" s="15">
        <v>1.2</v>
      </c>
      <c r="P368">
        <v>1</v>
      </c>
      <c r="Q368">
        <v>1.01</v>
      </c>
      <c r="R368">
        <v>1.2</v>
      </c>
      <c r="S368">
        <v>1.2</v>
      </c>
      <c r="T368">
        <v>3</v>
      </c>
      <c r="U368">
        <f t="shared" si="7"/>
        <v>0.57209088006881903</v>
      </c>
    </row>
    <row r="369" spans="1:21" x14ac:dyDescent="0.2">
      <c r="A369" t="s">
        <v>1136</v>
      </c>
      <c r="B369" s="53">
        <f>(B366/B350)/B349</f>
        <v>8.8652482269503553E-3</v>
      </c>
      <c r="C369" t="str">
        <f>VLOOKUP(J369,'dataset mapping'!$A$4:$E$69,5,0)</f>
        <v>kilogram</v>
      </c>
      <c r="E369" t="str">
        <f>VLOOKUP(J369,'dataset mapping'!$A$4:$E$69,4,0)</f>
        <v>CH</v>
      </c>
      <c r="F369" t="s">
        <v>86</v>
      </c>
      <c r="G369" t="s">
        <v>1137</v>
      </c>
      <c r="H369" t="s">
        <v>76</v>
      </c>
      <c r="I369" t="s">
        <v>1054</v>
      </c>
      <c r="J369" t="s">
        <v>231</v>
      </c>
      <c r="K369" t="str">
        <f>B327</f>
        <v>heat, residential, by combustion of hydrogen using boiler, transported by truck, produced by Electrolysis, Alkaline using water and electricity from grid</v>
      </c>
      <c r="L369">
        <f t="shared" si="5"/>
        <v>2</v>
      </c>
      <c r="M369">
        <f t="shared" si="6"/>
        <v>-4.7256163390639587</v>
      </c>
      <c r="N369">
        <v>1.05</v>
      </c>
      <c r="O369" s="15">
        <v>1.2</v>
      </c>
      <c r="P369">
        <v>1</v>
      </c>
      <c r="Q369">
        <v>1.01</v>
      </c>
      <c r="R369">
        <v>1.2</v>
      </c>
      <c r="S369">
        <v>1.2</v>
      </c>
      <c r="T369">
        <v>1.05</v>
      </c>
      <c r="U369">
        <f t="shared" si="7"/>
        <v>0.16169679924070957</v>
      </c>
    </row>
    <row r="370" spans="1:21" x14ac:dyDescent="0.2">
      <c r="A370" t="str">
        <f>VLOOKUP(J370,'dataset mapping'!$A$4:$E$69,2,0)</f>
        <v>high pressure hydrogen storage tank</v>
      </c>
      <c r="B370" s="52">
        <f>((B362/10)/(B360*B356*20*3.6))*IF(B361&lt;&gt;0,B361,1)</f>
        <v>1.8469267139479905E-6</v>
      </c>
      <c r="C370" t="str">
        <f>VLOOKUP(J370,'dataset mapping'!$A$4:$E$69,5,0)</f>
        <v>kilogram</v>
      </c>
      <c r="E370" t="str">
        <f>VLOOKUP(J370,'dataset mapping'!$A$4:$E$69,4,0)</f>
        <v>GLO</v>
      </c>
      <c r="F370" t="s">
        <v>86</v>
      </c>
      <c r="G370" t="str">
        <f>VLOOKUP(J370,'dataset mapping'!$A$4:$E$69,3,0)</f>
        <v>high pressure hydrogen storage tank</v>
      </c>
      <c r="H370" t="s">
        <v>88</v>
      </c>
      <c r="I370" t="s">
        <v>230</v>
      </c>
      <c r="J370" t="s">
        <v>229</v>
      </c>
      <c r="K370" t="str">
        <f>B327</f>
        <v>heat, residential, by combustion of hydrogen using boiler, transported by truck, produced by Electrolysis, Alkaline using water and electricity from grid</v>
      </c>
      <c r="L370">
        <f t="shared" si="5"/>
        <v>2</v>
      </c>
      <c r="M370">
        <f t="shared" si="6"/>
        <v>-13.20198753595994</v>
      </c>
      <c r="N370">
        <v>1.05</v>
      </c>
      <c r="O370" s="15">
        <v>1.2</v>
      </c>
      <c r="P370">
        <v>1</v>
      </c>
      <c r="Q370">
        <v>1.01</v>
      </c>
      <c r="R370">
        <v>1.2</v>
      </c>
      <c r="S370">
        <v>1.2</v>
      </c>
      <c r="T370">
        <v>3</v>
      </c>
      <c r="U370">
        <f t="shared" si="7"/>
        <v>0.57209088006881903</v>
      </c>
    </row>
    <row r="371" spans="1:21" x14ac:dyDescent="0.2">
      <c r="A371" t="s">
        <v>134</v>
      </c>
      <c r="B371" s="45">
        <f>B369*9</f>
        <v>7.9787234042553196E-2</v>
      </c>
      <c r="C371" t="s">
        <v>56</v>
      </c>
      <c r="D371" t="s">
        <v>100</v>
      </c>
      <c r="F371" t="s">
        <v>99</v>
      </c>
      <c r="H371" t="s">
        <v>131</v>
      </c>
      <c r="I371" t="s">
        <v>1058</v>
      </c>
      <c r="K371" t="str">
        <f>B327</f>
        <v>heat, residential, by combustion of hydrogen using boiler, transported by truck, produced by Electrolysis, Alkaline using water and electricity from grid</v>
      </c>
      <c r="L371">
        <f t="shared" si="5"/>
        <v>2</v>
      </c>
      <c r="M371">
        <f t="shared" si="6"/>
        <v>-2.5283917617277392</v>
      </c>
      <c r="N371">
        <v>1.05</v>
      </c>
      <c r="O371" s="15">
        <v>1.2</v>
      </c>
      <c r="P371">
        <v>1</v>
      </c>
      <c r="Q371">
        <v>1.01</v>
      </c>
      <c r="R371">
        <v>1.2</v>
      </c>
      <c r="S371">
        <v>1.2</v>
      </c>
      <c r="T371">
        <v>1.05</v>
      </c>
      <c r="U371">
        <f t="shared" si="7"/>
        <v>0.16169679924070957</v>
      </c>
    </row>
    <row r="372" spans="1:21" x14ac:dyDescent="0.2">
      <c r="A372" t="s">
        <v>135</v>
      </c>
      <c r="B372" s="45">
        <f>912.5/1000000*B369</f>
        <v>8.0895390070921995E-6</v>
      </c>
      <c r="C372" t="s">
        <v>56</v>
      </c>
      <c r="D372" t="s">
        <v>100</v>
      </c>
      <c r="F372" t="s">
        <v>99</v>
      </c>
      <c r="H372" t="s">
        <v>131</v>
      </c>
      <c r="I372" t="s">
        <v>1217</v>
      </c>
      <c r="K372" t="str">
        <f>B327</f>
        <v>heat, residential, by combustion of hydrogen using boiler, transported by truck, produced by Electrolysis, Alkaline using water and electricity from grid</v>
      </c>
      <c r="L372">
        <f t="shared" si="5"/>
        <v>2</v>
      </c>
      <c r="M372">
        <f t="shared" si="6"/>
        <v>-11.724938811571587</v>
      </c>
      <c r="N372">
        <v>1.05</v>
      </c>
      <c r="O372" s="15">
        <v>1.2</v>
      </c>
      <c r="P372">
        <v>1</v>
      </c>
      <c r="Q372">
        <v>1.01</v>
      </c>
      <c r="R372">
        <v>1.2</v>
      </c>
      <c r="S372">
        <v>1.2</v>
      </c>
      <c r="T372">
        <v>1.5</v>
      </c>
      <c r="U372">
        <f t="shared" si="7"/>
        <v>0.25816898211842121</v>
      </c>
    </row>
    <row r="374" spans="1:21" x14ac:dyDescent="0.2">
      <c r="A374" s="2" t="s">
        <v>50</v>
      </c>
      <c r="B374" s="44" t="str">
        <f>IF(B380="megajoule","heat","electricity")&amp;", residential, by "&amp;B385&amp;" of "&amp;B384&amp;" using "&amp;B386&amp;IF(B387&lt;&gt;0,", allocated by "&amp;B387,"")&amp;", transported by "&amp;B388&amp;", produced by "&amp;B392&amp;" using "&amp;B393&amp;" from "&amp;B394</f>
        <v>heat, residential, by combustion of hydrogen using CHP, allocated by exergy, transported by truck, produced by Electrolysis, Alkaline using water and electricity from grid</v>
      </c>
    </row>
    <row r="375" spans="1:21" x14ac:dyDescent="0.2">
      <c r="A375" t="s">
        <v>51</v>
      </c>
      <c r="B375" s="45" t="str">
        <f>"This dataset represents the supply of 1 "&amp;IF(B380="megajoule","megajoule of heat","kilowatt hour of electricity")&amp;" in a residence, by "&amp;B384&amp;" "&amp;B385&amp;" in a "&amp;B386&amp;". "&amp;" The hydrogen is transported by "&amp;B388&amp;" over "&amp;B389&amp;" km from regional storage. "&amp;" The "&amp;B384&amp;" is produced by  "&amp;B392&amp;", with "&amp;B393&amp;" from "&amp;B394&amp;" as feedstock. "&amp;A396&amp;": "&amp;(B396*100)&amp;"%. "&amp;A397&amp;": "&amp;B397&amp;". "&amp;A398&amp;": "&amp;B398&amp;". "&amp;A399&amp;": "&amp;(B399*100)&amp;"%. "&amp;A400&amp;": "&amp;(B400*100)&amp;"%. "&amp;A401&amp;": "&amp;(B401*100)&amp;"%. "&amp;A402&amp;": "&amp;B402&amp;". "&amp;A403&amp;": "&amp;B403&amp;". "&amp;A404&amp;": "&amp;(B404*100)&amp;"%. "&amp;A405&amp;": "&amp;B405&amp;". "&amp;A406&amp;": "&amp;B406&amp;". "&amp;A407&amp;": "&amp;B407&amp;". "&amp;A408&amp;": "&amp;B408&amp;".  For more information, refer to: "&amp;B376</f>
        <v>This dataset represents the supply of 1 megajoule of heat in a residence, by hydrogen combustion in a CHP.  The hydrogen is transported by truck over 200 km from regional storage.  The hydrogen is produced by  Electrolysis, Alkaline,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376" spans="1:21" x14ac:dyDescent="0.2">
      <c r="A376" t="s">
        <v>63</v>
      </c>
      <c r="B376" s="45" t="s">
        <v>1223</v>
      </c>
    </row>
    <row r="377" spans="1:21" x14ac:dyDescent="0.2">
      <c r="A377" t="s">
        <v>52</v>
      </c>
      <c r="B377" s="45" t="s">
        <v>64</v>
      </c>
    </row>
    <row r="378" spans="1:21" x14ac:dyDescent="0.2">
      <c r="A378" t="s">
        <v>48</v>
      </c>
      <c r="B378" s="45">
        <v>6</v>
      </c>
    </row>
    <row r="379" spans="1:21" x14ac:dyDescent="0.2">
      <c r="A379" t="s">
        <v>54</v>
      </c>
      <c r="B379" s="45" t="str">
        <f>INDEX(overview!$B$4:$R$338,MATCH('hydrogen - electrolysis'!B378,overview!$A$4:$A$338,0),MATCH('hydrogen - electrolysis'!A379,overview!$B$3:$R$3,0))</f>
        <v>heat, from residential heating system</v>
      </c>
    </row>
    <row r="380" spans="1:21" x14ac:dyDescent="0.2">
      <c r="A380" t="s">
        <v>55</v>
      </c>
      <c r="B380" s="45" t="str">
        <f>INDEX(overview!$B$4:$R$338,MATCH('hydrogen - electrolysis'!B378,overview!$A$4:$A$338,0),MATCH('hydrogen - electrolysis'!A380,overview!$B$3:$R$3,0))</f>
        <v>megajoule</v>
      </c>
    </row>
    <row r="381" spans="1:21" x14ac:dyDescent="0.2">
      <c r="A381" t="s">
        <v>0</v>
      </c>
      <c r="B381" s="45" t="str">
        <f>INDEX(overview!$B$4:$R$338,MATCH('hydrogen - electrolysis'!B378,overview!$A$4:$A$338,0),MATCH('hydrogen - electrolysis'!A381,overview!$B$3:$R$3,0))</f>
        <v>Switzerland</v>
      </c>
    </row>
    <row r="382" spans="1:21" x14ac:dyDescent="0.2">
      <c r="A382" t="s">
        <v>1</v>
      </c>
      <c r="B382" s="45">
        <f>INDEX(overview!$B$4:$R$338,MATCH('hydrogen - electrolysis'!B378,overview!$A$4:$A$338,0),MATCH('hydrogen - electrolysis'!A382,overview!$B$3:$R$3,0))</f>
        <v>2020</v>
      </c>
    </row>
    <row r="383" spans="1:21" x14ac:dyDescent="0.2">
      <c r="A383" t="s">
        <v>2</v>
      </c>
      <c r="B383" s="45" t="str">
        <f>INDEX(overview!$B$4:$R$338,MATCH('hydrogen - electrolysis'!B378,overview!$A$4:$A$338,0),MATCH('hydrogen - electrolysis'!A383,overview!$B$3:$R$3,0))</f>
        <v>1 MJ heat</v>
      </c>
    </row>
    <row r="384" spans="1:21" x14ac:dyDescent="0.2">
      <c r="A384" t="s">
        <v>5</v>
      </c>
      <c r="B384" s="45" t="str">
        <f>INDEX(overview!$B$4:$R$338,MATCH('hydrogen - electrolysis'!B378,overview!$A$4:$A$338,0),MATCH('hydrogen - electrolysis'!A384,overview!$B$3:$R$3,0))</f>
        <v>hydrogen</v>
      </c>
    </row>
    <row r="385" spans="1:2" x14ac:dyDescent="0.2">
      <c r="A385" t="s">
        <v>3</v>
      </c>
      <c r="B385" s="45" t="str">
        <f>INDEX(overview!$B$4:$R$338,MATCH('hydrogen - electrolysis'!B378,overview!$A$4:$A$338,0),MATCH('hydrogen - electrolysis'!A385,overview!$B$3:$R$3,0))</f>
        <v>combustion</v>
      </c>
    </row>
    <row r="386" spans="1:2" x14ac:dyDescent="0.2">
      <c r="A386" t="s">
        <v>6</v>
      </c>
      <c r="B386" s="45" t="str">
        <f>INDEX(overview!$B$4:$R$338,MATCH('hydrogen - electrolysis'!B378,overview!$A$4:$A$338,0),MATCH('hydrogen - electrolysis'!A386,overview!$B$3:$R$3,0))</f>
        <v>CHP</v>
      </c>
    </row>
    <row r="387" spans="1:2" x14ac:dyDescent="0.2">
      <c r="A387" t="s">
        <v>39</v>
      </c>
      <c r="B387" s="45" t="str">
        <f>INDEX(overview!$B$4:$R$338,MATCH('hydrogen - electrolysis'!B378,overview!$A$4:$A$338,0),MATCH('hydrogen - electrolysis'!A387,overview!$B$3:$R$3,0))</f>
        <v>exergy</v>
      </c>
    </row>
    <row r="388" spans="1:2" x14ac:dyDescent="0.2">
      <c r="A388" t="s">
        <v>4</v>
      </c>
      <c r="B388" s="45" t="str">
        <f>INDEX(overview!$B$4:$R$338,MATCH('hydrogen - electrolysis'!B378,overview!$A$4:$A$338,0),MATCH('hydrogen - electrolysis'!A388,overview!$B$3:$R$3,0))</f>
        <v>truck</v>
      </c>
    </row>
    <row r="389" spans="1:2" x14ac:dyDescent="0.2">
      <c r="A389" t="s">
        <v>38</v>
      </c>
      <c r="B389" s="45">
        <f>INDEX(overview!$B$4:$R$338,MATCH('hydrogen - electrolysis'!B378,overview!$A$4:$A$338,0),MATCH('hydrogen - electrolysis'!A389,overview!$B$3:$R$3,0))</f>
        <v>200</v>
      </c>
    </row>
    <row r="390" spans="1:2" x14ac:dyDescent="0.2">
      <c r="A390" t="s">
        <v>12</v>
      </c>
      <c r="B390" s="45" t="str">
        <f>INDEX(overview!$B$4:$R$338,MATCH('hydrogen - electrolysis'!B378,overview!$A$4:$A$338,0),MATCH('hydrogen - electrolysis'!A390,overview!$B$3:$R$3,0))</f>
        <v>Pressure vessel for stationary storage</v>
      </c>
    </row>
    <row r="391" spans="1:2" x14ac:dyDescent="0.2">
      <c r="A391" t="s">
        <v>34</v>
      </c>
      <c r="B391" s="45">
        <f>INDEX(overview!$B$4:$R$338,MATCH('hydrogen - electrolysis'!B378,overview!$A$4:$A$338,0),MATCH('hydrogen - electrolysis'!A391,overview!$B$3:$R$3,0))</f>
        <v>0</v>
      </c>
    </row>
    <row r="392" spans="1:2" x14ac:dyDescent="0.2">
      <c r="A392" t="s">
        <v>15</v>
      </c>
      <c r="B392" s="45" t="str">
        <f>INDEX(overview!$B$4:$R$338,MATCH('hydrogen - electrolysis'!B378,overview!$A$4:$A$338,0),MATCH('hydrogen - electrolysis'!A392,overview!$B$3:$R$3,0))</f>
        <v>Electrolysis, Alkaline</v>
      </c>
    </row>
    <row r="393" spans="1:2" x14ac:dyDescent="0.2">
      <c r="A393" t="s">
        <v>14</v>
      </c>
      <c r="B393" s="45" t="str">
        <f>INDEX(overview!$B$4:$R$338,MATCH('hydrogen - electrolysis'!B378,overview!$A$4:$A$338,0),MATCH('hydrogen - electrolysis'!A393,overview!$B$3:$R$3,0))</f>
        <v>water and electricity</v>
      </c>
    </row>
    <row r="394" spans="1:2" x14ac:dyDescent="0.2">
      <c r="A394" t="s">
        <v>26</v>
      </c>
      <c r="B394" s="45" t="str">
        <f>INDEX(overview!$B$4:$R$338,MATCH('hydrogen - electrolysis'!B378,overview!$A$4:$A$338,0),MATCH('hydrogen - electrolysis'!A394,overview!$B$3:$R$3,0))</f>
        <v>grid</v>
      </c>
    </row>
    <row r="395" spans="1:2" x14ac:dyDescent="0.2">
      <c r="A395" t="s">
        <v>29</v>
      </c>
      <c r="B395" s="45">
        <f>INDEX(overview!$B$4:$R$338,MATCH('hydrogen - electrolysis'!B378,overview!$A$4:$A$338,0),MATCH('hydrogen - electrolysis'!A395,overview!$B$3:$R$3,0))</f>
        <v>0</v>
      </c>
    </row>
    <row r="396" spans="1:2" x14ac:dyDescent="0.2">
      <c r="A396" t="str">
        <f>IF(B380="megajoule","Heat","Electricity")&amp;" conversion efficiency [% LHV input]"</f>
        <v>Heat conversion efficiency [% LHV input]</v>
      </c>
      <c r="B396" s="46">
        <f>INDEX(parameters!$D$4:$N$20,MATCH('hydrogen - electrolysis'!B384&amp;'hydrogen - electrolysis'!B386,parameters!$A$4:$A$20,0),MATCH('hydrogen - electrolysis'!A396,parameters!$D$3:$N$3,0))</f>
        <v>0.41699999999999998</v>
      </c>
    </row>
    <row r="397" spans="1:2" x14ac:dyDescent="0.2">
      <c r="A397" t="str">
        <f>IF(B380="megajoule","LHV [MJ/kg]","LHV [kWh/kg]")</f>
        <v>LHV [MJ/kg]</v>
      </c>
      <c r="B397" s="47">
        <f>INDEX(parameters!$D$4:$N$20,MATCH('hydrogen - electrolysis'!B384&amp;'hydrogen - electrolysis'!B386,parameters!$A$4:$A$20,0),MATCH('hydrogen - electrolysis'!A397,parameters!$D$3:$N$3,0))</f>
        <v>120</v>
      </c>
    </row>
    <row r="398" spans="1:2" x14ac:dyDescent="0.2">
      <c r="A398" t="s">
        <v>41</v>
      </c>
      <c r="B398" s="48">
        <f>INDEX(parameters!$D$4:$N$20,MATCH('hydrogen - electrolysis'!B384&amp;'hydrogen - electrolysis'!B386,parameters!$A$4:$A$20,0),MATCH('hydrogen - electrolysis'!A398,parameters!$D$3:$N$3,0))</f>
        <v>2.6666666666666665E-2</v>
      </c>
    </row>
    <row r="399" spans="1:2" x14ac:dyDescent="0.2">
      <c r="A399" t="s">
        <v>45</v>
      </c>
      <c r="B399" s="46">
        <f>INDEX(parameters!$D$4:$N$20,MATCH('hydrogen - electrolysis'!B384&amp;'hydrogen - electrolysis'!B386,parameters!$A$4:$A$20,0),MATCH('hydrogen - electrolysis'!A399,parameters!$D$3:$N$3,0))</f>
        <v>0</v>
      </c>
    </row>
    <row r="400" spans="1:2" x14ac:dyDescent="0.2">
      <c r="A400" t="s">
        <v>46</v>
      </c>
      <c r="B400" s="46">
        <f>INDEX(parameters!$D$4:$N$20,MATCH('hydrogen - electrolysis'!B384&amp;'hydrogen - electrolysis'!B386,parameters!$A$4:$A$20,0),MATCH('hydrogen - electrolysis'!A400,parameters!$D$3:$N$3,0))</f>
        <v>1.4999999999999999E-2</v>
      </c>
    </row>
    <row r="401" spans="1:22" x14ac:dyDescent="0.2">
      <c r="A401" t="s">
        <v>43</v>
      </c>
      <c r="B401" s="46">
        <f>INDEX(parameters!$D$4:$N$20,MATCH('hydrogen - electrolysis'!B384&amp;'hydrogen - electrolysis'!B386,parameters!$A$4:$A$20,0),MATCH('hydrogen - electrolysis'!A401,parameters!$D$3:$N$3,0))</f>
        <v>0</v>
      </c>
    </row>
    <row r="402" spans="1:22" x14ac:dyDescent="0.2">
      <c r="A402" t="s">
        <v>44</v>
      </c>
      <c r="B402" s="46">
        <f>INDEX(parameters!$D$4:$N$20,MATCH('hydrogen - electrolysis'!B384&amp;'hydrogen - electrolysis'!B386,parameters!$A$4:$A$20,0),MATCH('hydrogen - electrolysis'!A402,parameters!$D$3:$N$3,0))</f>
        <v>0</v>
      </c>
    </row>
    <row r="403" spans="1:22" x14ac:dyDescent="0.2">
      <c r="A403" t="s">
        <v>634</v>
      </c>
      <c r="B403" s="51">
        <f>INDEX(parameters!$D$4:$Y$20,MATCH('hydrogen - electrolysis'!B384&amp;'hydrogen - electrolysis'!B386,parameters!$A$4:$A$20,0),MATCH('hydrogen - electrolysis'!A403,parameters!$D$3:$Y$3,0))</f>
        <v>351.41800246609125</v>
      </c>
    </row>
    <row r="404" spans="1:22" x14ac:dyDescent="0.2">
      <c r="A404" t="s">
        <v>82</v>
      </c>
      <c r="B404" s="46">
        <f>IF(B395&lt;&gt;0,VLOOKUP(B395,parameters!A304:B306,2,0),0)</f>
        <v>0</v>
      </c>
    </row>
    <row r="405" spans="1:22" x14ac:dyDescent="0.2">
      <c r="A405" t="s">
        <v>548</v>
      </c>
      <c r="B405" s="50">
        <f>INDEX(parameters!$D$4:$P$20,MATCH(B384&amp;B386,parameters!$A$4:$A$20,0),MATCH(A405,parameters!$D$3:$P$3,0))</f>
        <v>125</v>
      </c>
    </row>
    <row r="406" spans="1:22" x14ac:dyDescent="0.2">
      <c r="A406" t="s">
        <v>547</v>
      </c>
      <c r="B406" s="51">
        <f>INDEX(parameters!$D$4:$P$20,MATCH(B384&amp;B386,parameters!$A$4:$A$20,0),MATCH(A406,parameters!$D$3:$P$3,0))</f>
        <v>19.512195121951219</v>
      </c>
    </row>
    <row r="407" spans="1:22" x14ac:dyDescent="0.2">
      <c r="A407" t="s">
        <v>630</v>
      </c>
      <c r="B407" s="51">
        <f>INDEX(parameters!$D$4:$T$20,MATCH(B384&amp;B386,parameters!$A$4:$A$20,0),MATCH(A407,parameters!$D$3:$T$3,0))</f>
        <v>4100</v>
      </c>
    </row>
    <row r="408" spans="1:22" x14ac:dyDescent="0.2">
      <c r="A408" t="s">
        <v>1005</v>
      </c>
      <c r="B408" s="50">
        <f>IF(B380="megajoule",SUMIFS(allocation!$I$4:$I$30,allocation!$B$4:$B$30,B386,allocation!$C$4:$C$30,B387),SUMIFS(allocation!$J$4:$J$30,allocation!$B$4:$B$30,B386,allocation!$C$4:$C$30,B387))</f>
        <v>0.12860042227295038</v>
      </c>
    </row>
    <row r="409" spans="1:22" x14ac:dyDescent="0.2">
      <c r="A409" t="s">
        <v>1050</v>
      </c>
      <c r="B409" s="51">
        <f>INDEX(parameters!$D$4:$AB$20,MATCH(B384&amp;B386,parameters!$A$4:$A$20,0),MATCH(A409,parameters!$D$3:$AB$3,0))</f>
        <v>2220.7364520822662</v>
      </c>
    </row>
    <row r="411" spans="1:22" x14ac:dyDescent="0.2">
      <c r="A411" s="3" t="s">
        <v>57</v>
      </c>
    </row>
    <row r="412" spans="1:22" x14ac:dyDescent="0.2">
      <c r="A412" s="2" t="s">
        <v>58</v>
      </c>
      <c r="B412" s="44" t="s">
        <v>59</v>
      </c>
      <c r="C412" s="2" t="s">
        <v>55</v>
      </c>
      <c r="D412" s="2" t="s">
        <v>60</v>
      </c>
      <c r="E412" s="2" t="s">
        <v>52</v>
      </c>
      <c r="F412" s="2" t="s">
        <v>61</v>
      </c>
      <c r="G412" s="2" t="s">
        <v>54</v>
      </c>
      <c r="H412" s="2" t="s">
        <v>87</v>
      </c>
      <c r="I412" s="2" t="s">
        <v>51</v>
      </c>
      <c r="J412" s="2" t="s">
        <v>138</v>
      </c>
      <c r="K412" s="2" t="s">
        <v>136</v>
      </c>
      <c r="L412" s="2" t="s">
        <v>221</v>
      </c>
      <c r="M412" s="2" t="s">
        <v>379</v>
      </c>
      <c r="N412" s="2" t="s">
        <v>1059</v>
      </c>
      <c r="O412" s="2" t="s">
        <v>1060</v>
      </c>
      <c r="P412" s="2" t="s">
        <v>1061</v>
      </c>
      <c r="Q412" s="2" t="s">
        <v>1062</v>
      </c>
      <c r="R412" s="2" t="s">
        <v>1063</v>
      </c>
      <c r="S412" s="2" t="s">
        <v>1064</v>
      </c>
      <c r="T412" s="2" t="s">
        <v>1065</v>
      </c>
      <c r="U412" s="2" t="s">
        <v>380</v>
      </c>
      <c r="V412" s="2" t="s">
        <v>1128</v>
      </c>
    </row>
    <row r="413" spans="1:22" x14ac:dyDescent="0.2">
      <c r="A413" t="str">
        <f>B374</f>
        <v>heat, residential, by combustion of hydrogen using CHP, allocated by exergy, transported by truck, produced by Electrolysis, Alkaline using water and electricity from grid</v>
      </c>
      <c r="B413" s="45">
        <v>1</v>
      </c>
      <c r="C413" t="str">
        <f>B380</f>
        <v>megajoule</v>
      </c>
      <c r="E413" t="str">
        <f>B377</f>
        <v>CH</v>
      </c>
      <c r="F413" t="s">
        <v>62</v>
      </c>
      <c r="G413" t="str">
        <f>B379</f>
        <v>heat, from residential heating system</v>
      </c>
      <c r="K413" t="str">
        <f>B374</f>
        <v>heat, residential, by combustion of hydrogen using CHP, allocated by exergy, transported by truck, produced by Electrolysis, Alkaline using water and electricity from grid</v>
      </c>
    </row>
    <row r="414" spans="1:22" x14ac:dyDescent="0.2">
      <c r="A414" t="str">
        <f>VLOOKUP(J414,'dataset mapping'!$A$4:$E$69,2,0)</f>
        <v>heat and power co-generation unit construction, 160kW electrical, common components for heat+electricity</v>
      </c>
      <c r="B414" s="52">
        <f>(1/(B403*B407*B406*3.6))*B408</f>
        <v>1.270649883812899E-9</v>
      </c>
      <c r="C414" t="str">
        <f>VLOOKUP(J414,'dataset mapping'!$A$4:$E$69,5,0)</f>
        <v>unit</v>
      </c>
      <c r="E414" t="str">
        <f>VLOOKUP(J414,'dataset mapping'!$A$4:$E$69,4,0)</f>
        <v>RER</v>
      </c>
      <c r="F414" t="s">
        <v>86</v>
      </c>
      <c r="G414" t="str">
        <f>VLOOKUP(J414,'dataset mapping'!$A$4:$E$69,3,0)</f>
        <v>heat and power co-generation unit, 160kW electrical, common components for heat+electricity</v>
      </c>
      <c r="H414" t="s">
        <v>88</v>
      </c>
      <c r="J414" t="s">
        <v>145</v>
      </c>
      <c r="K414" t="str">
        <f>B374</f>
        <v>heat, residential, by combustion of hydrogen using CHP, allocated by exergy, transported by truck, produced by Electrolysis, Alkaline using water and electricity from grid</v>
      </c>
      <c r="L414">
        <f>IF(OR(B414&lt;0,B414=0),1,2)</f>
        <v>2</v>
      </c>
      <c r="M414">
        <f>IF(L414=2,LN(B414),"")</f>
        <v>-20.48373734782199</v>
      </c>
      <c r="N414">
        <v>1.05</v>
      </c>
      <c r="O414" s="15">
        <v>1.2</v>
      </c>
      <c r="P414">
        <v>1</v>
      </c>
      <c r="Q414">
        <v>1.01</v>
      </c>
      <c r="R414">
        <v>1.2</v>
      </c>
      <c r="S414">
        <v>1.2</v>
      </c>
      <c r="T414">
        <v>3</v>
      </c>
      <c r="U414">
        <f t="shared" ref="U414:U422" si="8">LN(SQRT(EXP(
SQRT(
+POWER(LN(N414),2)
+POWER(LN(O414),2)
+POWER(LN(P414),2)
+POWER(LN(Q414),2)
+POWER(LN(R414),2)
+POWER(LN(S414),2)
+POWER(LN(T414),2)
)
)))</f>
        <v>0.57209088006881903</v>
      </c>
    </row>
    <row r="415" spans="1:22" x14ac:dyDescent="0.2">
      <c r="A415" t="str">
        <f>VLOOKUP(J415,'dataset mapping'!$A$4:$E$69,2,0)</f>
        <v>heat and power co-generation unit construction, 160kW electrical, components for electricity only</v>
      </c>
      <c r="B415" s="52">
        <f>(1/(B403*B407*B406*3.6))*B408</f>
        <v>1.270649883812899E-9</v>
      </c>
      <c r="C415" t="str">
        <f>VLOOKUP(J415,'dataset mapping'!$A$4:$E$69,5,0)</f>
        <v>unit</v>
      </c>
      <c r="E415" t="str">
        <f>VLOOKUP(J415,'dataset mapping'!$A$4:$E$69,4,0)</f>
        <v>RER</v>
      </c>
      <c r="F415" t="s">
        <v>86</v>
      </c>
      <c r="G415" t="str">
        <f>VLOOKUP(J415,'dataset mapping'!$A$4:$E$69,3,0)</f>
        <v>heat and power co-generation unit, 160kW electrical, components for electricity only</v>
      </c>
      <c r="H415" t="s">
        <v>88</v>
      </c>
      <c r="J415" t="s">
        <v>146</v>
      </c>
      <c r="K415" t="str">
        <f>B374</f>
        <v>heat, residential, by combustion of hydrogen using CHP, allocated by exergy, transported by truck, produced by Electrolysis, Alkaline using water and electricity from grid</v>
      </c>
      <c r="L415">
        <f>IF(OR(B415&lt;0,B415=0),1,2)</f>
        <v>2</v>
      </c>
      <c r="M415">
        <f>IF(L415=2,LN(B415),"")</f>
        <v>-20.48373734782199</v>
      </c>
      <c r="N415">
        <v>1.05</v>
      </c>
      <c r="O415" s="15">
        <v>1.2</v>
      </c>
      <c r="P415">
        <v>1</v>
      </c>
      <c r="Q415">
        <v>1.01</v>
      </c>
      <c r="R415">
        <v>1.2</v>
      </c>
      <c r="S415">
        <v>1.2</v>
      </c>
      <c r="T415">
        <v>3</v>
      </c>
      <c r="U415">
        <f t="shared" si="8"/>
        <v>0.57209088006881903</v>
      </c>
    </row>
    <row r="416" spans="1:22" x14ac:dyDescent="0.2">
      <c r="A416" t="str">
        <f>VLOOKUP(J416,'dataset mapping'!$A$4:$E$69,2,0)</f>
        <v>heat and power co-generation unit construction, 160kW electrical, components for heat only</v>
      </c>
      <c r="B416" s="52">
        <f>(1/(B403*B407*B406*3.6))*B408</f>
        <v>1.270649883812899E-9</v>
      </c>
      <c r="C416" t="str">
        <f>VLOOKUP(J416,'dataset mapping'!$A$4:$E$69,5,0)</f>
        <v>unit</v>
      </c>
      <c r="E416" t="str">
        <f>VLOOKUP(J416,'dataset mapping'!$A$4:$E$69,4,0)</f>
        <v>RER</v>
      </c>
      <c r="F416" t="s">
        <v>86</v>
      </c>
      <c r="G416" t="str">
        <f>VLOOKUP(J416,'dataset mapping'!$A$4:$E$69,3,0)</f>
        <v>heat and power co-generation unit, 160kW electrical, components for heat only</v>
      </c>
      <c r="H416" t="s">
        <v>88</v>
      </c>
      <c r="J416" t="s">
        <v>147</v>
      </c>
      <c r="K416" t="str">
        <f>B374</f>
        <v>heat, residential, by combustion of hydrogen using CHP, allocated by exergy, transported by truck, produced by Electrolysis, Alkaline using water and electricity from grid</v>
      </c>
      <c r="L416">
        <f>IF(OR(B416&lt;0,B416=0),1,2)</f>
        <v>2</v>
      </c>
      <c r="M416">
        <f>IF(L416=2,LN(B416),"")</f>
        <v>-20.48373734782199</v>
      </c>
      <c r="N416">
        <v>1.05</v>
      </c>
      <c r="O416" s="15">
        <v>1.2</v>
      </c>
      <c r="P416">
        <v>1</v>
      </c>
      <c r="Q416">
        <v>1.01</v>
      </c>
      <c r="R416">
        <v>1.2</v>
      </c>
      <c r="S416">
        <v>1.2</v>
      </c>
      <c r="T416">
        <v>3</v>
      </c>
      <c r="U416">
        <f t="shared" si="8"/>
        <v>0.57209088006881903</v>
      </c>
    </row>
    <row r="417" spans="1:22" x14ac:dyDescent="0.2">
      <c r="A417" t="s">
        <v>156</v>
      </c>
      <c r="B417" s="52">
        <f>0.00000011366*B408</f>
        <v>1.461672399554354E-8</v>
      </c>
      <c r="C417" t="s">
        <v>56</v>
      </c>
      <c r="E417" t="s">
        <v>90</v>
      </c>
      <c r="F417" t="s">
        <v>86</v>
      </c>
      <c r="G417" t="s">
        <v>154</v>
      </c>
      <c r="H417" t="s">
        <v>155</v>
      </c>
      <c r="K417" t="str">
        <f>B374</f>
        <v>heat, residential, by combustion of hydrogen using CHP, allocated by exergy, transported by truck, produced by Electrolysis, Alkaline using water and electricity from grid</v>
      </c>
      <c r="L417">
        <f>IF(OR(B417&lt;0,B417=0),1,2)</f>
        <v>2</v>
      </c>
      <c r="M417">
        <f>IF(L417=2,LN(B417),"")</f>
        <v>-18.041099484645969</v>
      </c>
      <c r="N417">
        <v>1.05</v>
      </c>
      <c r="O417" s="15">
        <v>1.2</v>
      </c>
      <c r="P417">
        <v>1</v>
      </c>
      <c r="Q417">
        <v>1.01</v>
      </c>
      <c r="R417">
        <v>1.2</v>
      </c>
      <c r="S417">
        <v>1.2</v>
      </c>
      <c r="T417">
        <v>1.05</v>
      </c>
      <c r="U417">
        <f t="shared" si="8"/>
        <v>0.16169679924070957</v>
      </c>
    </row>
    <row r="418" spans="1:22" x14ac:dyDescent="0.2">
      <c r="A418" t="s">
        <v>157</v>
      </c>
      <c r="B418" s="52">
        <f>0.00000011366*B408*-1</f>
        <v>-1.461672399554354E-8</v>
      </c>
      <c r="C418" t="s">
        <v>56</v>
      </c>
      <c r="E418" t="s">
        <v>64</v>
      </c>
      <c r="F418" t="s">
        <v>86</v>
      </c>
      <c r="G418" t="s">
        <v>158</v>
      </c>
      <c r="H418" t="s">
        <v>155</v>
      </c>
      <c r="K418" t="str">
        <f>B374</f>
        <v>heat, residential, by combustion of hydrogen using CHP, allocated by exergy, transported by truck, produced by Electrolysis, Alkaline using water and electricity from grid</v>
      </c>
      <c r="L418">
        <v>2</v>
      </c>
      <c r="M418">
        <f>IF(L418=2,LN(B418*-1),"")</f>
        <v>-18.041099484645969</v>
      </c>
      <c r="N418">
        <v>1.05</v>
      </c>
      <c r="O418" s="15">
        <v>1.2</v>
      </c>
      <c r="P418">
        <v>1</v>
      </c>
      <c r="Q418">
        <v>1.01</v>
      </c>
      <c r="R418">
        <v>1.2</v>
      </c>
      <c r="S418">
        <v>1.2</v>
      </c>
      <c r="T418">
        <v>3</v>
      </c>
      <c r="U418">
        <f t="shared" si="8"/>
        <v>0.57209088006881903</v>
      </c>
      <c r="V418" t="b">
        <v>1</v>
      </c>
    </row>
    <row r="419" spans="1:22" x14ac:dyDescent="0.2">
      <c r="A419" t="s">
        <v>1136</v>
      </c>
      <c r="B419" s="53">
        <f>(B413/B397)/B396*B408</f>
        <v>2.56995248347223E-3</v>
      </c>
      <c r="C419" t="str">
        <f>VLOOKUP(J419,'dataset mapping'!$A$4:$E$69,5,0)</f>
        <v>kilogram</v>
      </c>
      <c r="E419" t="str">
        <f>VLOOKUP(J419,'dataset mapping'!$A$4:$E$69,4,0)</f>
        <v>CH</v>
      </c>
      <c r="F419" t="s">
        <v>86</v>
      </c>
      <c r="G419" t="s">
        <v>1137</v>
      </c>
      <c r="H419" t="s">
        <v>76</v>
      </c>
      <c r="I419" t="s">
        <v>1054</v>
      </c>
      <c r="J419" t="s">
        <v>231</v>
      </c>
      <c r="K419" t="str">
        <f>B374</f>
        <v>heat, residential, by combustion of hydrogen using CHP, allocated by exergy, transported by truck, produced by Electrolysis, Alkaline using water and electricity from grid</v>
      </c>
      <c r="L419">
        <f>IF(OR(B419&lt;0,B419=0),1,2)</f>
        <v>2</v>
      </c>
      <c r="M419">
        <f>IF(L419=2,LN(B419),"")</f>
        <v>-5.9638678691672418</v>
      </c>
      <c r="N419">
        <v>1.05</v>
      </c>
      <c r="O419" s="15">
        <v>1.2</v>
      </c>
      <c r="P419">
        <v>1</v>
      </c>
      <c r="Q419">
        <v>1.01</v>
      </c>
      <c r="R419">
        <v>1.2</v>
      </c>
      <c r="S419">
        <v>1.2</v>
      </c>
      <c r="T419">
        <v>1.05</v>
      </c>
      <c r="U419">
        <f t="shared" si="8"/>
        <v>0.16169679924070957</v>
      </c>
    </row>
    <row r="420" spans="1:22" x14ac:dyDescent="0.2">
      <c r="A420" t="str">
        <f>VLOOKUP(J420,'dataset mapping'!$A$4:$E$69,2,0)</f>
        <v>high pressure hydrogen storage tank</v>
      </c>
      <c r="B420" s="52">
        <f>((B409/10)/(B407*B403*20*3.6))*IF(B408&lt;&gt;0,B408,1)</f>
        <v>2.7529546486023421E-7</v>
      </c>
      <c r="C420" t="str">
        <f>VLOOKUP(J420,'dataset mapping'!$A$4:$E$69,5,0)</f>
        <v>kilogram</v>
      </c>
      <c r="E420" t="str">
        <f>VLOOKUP(J420,'dataset mapping'!$A$4:$E$69,4,0)</f>
        <v>GLO</v>
      </c>
      <c r="F420" t="s">
        <v>86</v>
      </c>
      <c r="G420" t="str">
        <f>VLOOKUP(J420,'dataset mapping'!$A$4:$E$69,3,0)</f>
        <v>high pressure hydrogen storage tank</v>
      </c>
      <c r="H420" t="s">
        <v>88</v>
      </c>
      <c r="I420" t="s">
        <v>279</v>
      </c>
      <c r="J420" t="s">
        <v>229</v>
      </c>
      <c r="K420" t="str">
        <f>B374</f>
        <v>heat, residential, by combustion of hydrogen using CHP, allocated by exergy, transported by truck, produced by Electrolysis, Alkaline using water and electricity from grid</v>
      </c>
      <c r="L420">
        <f>IF(OR(B420&lt;0,B420=0),1,2)</f>
        <v>2</v>
      </c>
      <c r="M420">
        <f>IF(L420=2,LN(B420),"")</f>
        <v>-15.105420898379837</v>
      </c>
      <c r="N420">
        <v>1.05</v>
      </c>
      <c r="O420" s="15">
        <v>1.2</v>
      </c>
      <c r="P420">
        <v>1</v>
      </c>
      <c r="Q420">
        <v>1.01</v>
      </c>
      <c r="R420">
        <v>1.2</v>
      </c>
      <c r="S420">
        <v>1.2</v>
      </c>
      <c r="T420">
        <v>3</v>
      </c>
      <c r="U420">
        <f t="shared" si="8"/>
        <v>0.57209088006881903</v>
      </c>
    </row>
    <row r="421" spans="1:22" x14ac:dyDescent="0.2">
      <c r="A421" t="s">
        <v>134</v>
      </c>
      <c r="B421" s="45">
        <f>B419*9</f>
        <v>2.3129572351250072E-2</v>
      </c>
      <c r="C421" t="s">
        <v>56</v>
      </c>
      <c r="D421" t="s">
        <v>100</v>
      </c>
      <c r="F421" t="s">
        <v>99</v>
      </c>
      <c r="H421" t="s">
        <v>131</v>
      </c>
      <c r="I421" t="s">
        <v>1058</v>
      </c>
      <c r="K421" t="str">
        <f>B374</f>
        <v>heat, residential, by combustion of hydrogen using CHP, allocated by exergy, transported by truck, produced by Electrolysis, Alkaline using water and electricity from grid</v>
      </c>
      <c r="L421">
        <f>IF(OR(B421&lt;0,B421=0),1,2)</f>
        <v>2</v>
      </c>
      <c r="M421">
        <f>IF(L421=2,LN(B421),"")</f>
        <v>-3.7666432918310226</v>
      </c>
      <c r="N421">
        <v>1.05</v>
      </c>
      <c r="O421" s="15">
        <v>1.2</v>
      </c>
      <c r="P421">
        <v>1</v>
      </c>
      <c r="Q421">
        <v>1.01</v>
      </c>
      <c r="R421">
        <v>1.2</v>
      </c>
      <c r="S421">
        <v>1.2</v>
      </c>
      <c r="T421">
        <v>1.05</v>
      </c>
      <c r="U421">
        <f t="shared" si="8"/>
        <v>0.16169679924070957</v>
      </c>
    </row>
    <row r="422" spans="1:22" x14ac:dyDescent="0.2">
      <c r="A422" t="s">
        <v>135</v>
      </c>
      <c r="B422" s="45">
        <f>912.5/1000000*B419</f>
        <v>2.3450816411684101E-6</v>
      </c>
      <c r="C422" t="s">
        <v>56</v>
      </c>
      <c r="D422" t="s">
        <v>100</v>
      </c>
      <c r="F422" t="s">
        <v>99</v>
      </c>
      <c r="H422" t="s">
        <v>131</v>
      </c>
      <c r="I422" t="s">
        <v>1217</v>
      </c>
      <c r="K422" t="str">
        <f>B374</f>
        <v>heat, residential, by combustion of hydrogen using CHP, allocated by exergy, transported by truck, produced by Electrolysis, Alkaline using water and electricity from grid</v>
      </c>
      <c r="L422">
        <f>IF(OR(B422&lt;0,B422=0),1,2)</f>
        <v>2</v>
      </c>
      <c r="M422">
        <f>IF(L422=2,LN(B422),"")</f>
        <v>-12.963190341674869</v>
      </c>
      <c r="N422">
        <v>1.05</v>
      </c>
      <c r="O422" s="15">
        <v>1.2</v>
      </c>
      <c r="P422">
        <v>1</v>
      </c>
      <c r="Q422">
        <v>1.01</v>
      </c>
      <c r="R422">
        <v>1.2</v>
      </c>
      <c r="S422">
        <v>1.2</v>
      </c>
      <c r="T422">
        <v>1.5</v>
      </c>
      <c r="U422">
        <f t="shared" si="8"/>
        <v>0.25816898211842121</v>
      </c>
    </row>
    <row r="424" spans="1:22" x14ac:dyDescent="0.2">
      <c r="A424" s="2" t="s">
        <v>50</v>
      </c>
      <c r="B424" s="44" t="str">
        <f>IF(B430="megajoule","heat","electricity")&amp;", residential, by "&amp;B435&amp;" of "&amp;B434&amp;" using "&amp;B436&amp;IF(B437&lt;&gt;0,", allocated by "&amp;B437,"")&amp;", transported by "&amp;B438&amp;", produced by "&amp;B442&amp;" using "&amp;B443&amp;" from "&amp;B444</f>
        <v>electricity, residential, by combustion of hydrogen using CHP, allocated by exergy, transported by truck, produced by Electrolysis, Alkaline using water and electricity from grid</v>
      </c>
    </row>
    <row r="425" spans="1:22" x14ac:dyDescent="0.2">
      <c r="A425" t="s">
        <v>51</v>
      </c>
      <c r="B425" s="45" t="str">
        <f>"This dataset represents the supply of 1 "&amp;IF(B430="megajoule","megajoule of heat","kilowatt hour of electricity")&amp;" in a residence, by "&amp;B434&amp;" "&amp;B435&amp;" in a "&amp;B436&amp;". "&amp;" The hydrogen is transported by "&amp;B438&amp;" over "&amp;B439&amp;" km from regional storage. "&amp;" The "&amp;B434&amp;" is produced by  "&amp;B442&amp;", with "&amp;B443&amp;" from "&amp;B444&amp;" as feedstock. "&amp;A446&amp;": "&amp;(B446*100)&amp;"%. "&amp;A447&amp;": "&amp;B447&amp;". "&amp;A448&amp;": "&amp;B448&amp;". "&amp;A449&amp;": "&amp;(B449*100)&amp;"%. "&amp;A450&amp;": "&amp;(B450*100)&amp;"%. "&amp;A451&amp;": "&amp;(B451*100)&amp;"%. "&amp;A452&amp;": "&amp;B452&amp;". "&amp;A453&amp;": "&amp;B453&amp;". "&amp;A454&amp;": "&amp;(B454*100)&amp;"%. "&amp;A455&amp;": "&amp;B455&amp;". "&amp;A456&amp;": "&amp;B456&amp;". "&amp;A457&amp;": "&amp;B457&amp;". "&amp;A458&amp;": "&amp;B458&amp;".  For more information, refer to: "&amp;B426</f>
        <v>This dataset represents the supply of 1 kilowatt hour of electricity in a residence, by hydrogen combustion in a CHP.  The hydrogen is transported by truck over 200 km from regional storage.  The hydrogen is produced by  Electrolysis, Alkaline,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426" spans="1:22" x14ac:dyDescent="0.2">
      <c r="A426" t="s">
        <v>63</v>
      </c>
      <c r="B426" s="45" t="s">
        <v>1223</v>
      </c>
    </row>
    <row r="427" spans="1:22" x14ac:dyDescent="0.2">
      <c r="A427" t="s">
        <v>52</v>
      </c>
      <c r="B427" s="45" t="s">
        <v>64</v>
      </c>
    </row>
    <row r="428" spans="1:22" x14ac:dyDescent="0.2">
      <c r="A428" t="s">
        <v>48</v>
      </c>
      <c r="B428" s="45" t="s">
        <v>868</v>
      </c>
    </row>
    <row r="429" spans="1:22" x14ac:dyDescent="0.2">
      <c r="A429" t="s">
        <v>54</v>
      </c>
      <c r="B429" s="45" t="str">
        <f>INDEX(overview!$B$4:$R$338,MATCH('hydrogen - electrolysis'!B428,overview!$A$4:$A$338,0),MATCH('hydrogen - electrolysis'!A429,overview!$B$3:$R$3,0))</f>
        <v>electricity, from residential heating system</v>
      </c>
    </row>
    <row r="430" spans="1:22" x14ac:dyDescent="0.2">
      <c r="A430" t="s">
        <v>55</v>
      </c>
      <c r="B430" s="45" t="str">
        <f>INDEX(overview!$B$4:$R$338,MATCH('hydrogen - electrolysis'!B428,overview!$A$4:$A$338,0),MATCH('hydrogen - electrolysis'!A430,overview!$B$3:$R$3,0))</f>
        <v>kilowatt hour</v>
      </c>
    </row>
    <row r="431" spans="1:22" x14ac:dyDescent="0.2">
      <c r="A431" t="s">
        <v>0</v>
      </c>
      <c r="B431" s="45" t="str">
        <f>INDEX(overview!$B$4:$R$338,MATCH('hydrogen - electrolysis'!B428,overview!$A$4:$A$338,0),MATCH('hydrogen - electrolysis'!A431,overview!$B$3:$R$3,0))</f>
        <v>Switzerland</v>
      </c>
    </row>
    <row r="432" spans="1:22" x14ac:dyDescent="0.2">
      <c r="A432" t="s">
        <v>1</v>
      </c>
      <c r="B432" s="45">
        <f>INDEX(overview!$B$4:$R$338,MATCH('hydrogen - electrolysis'!B428,overview!$A$4:$A$338,0),MATCH('hydrogen - electrolysis'!A432,overview!$B$3:$R$3,0))</f>
        <v>2020</v>
      </c>
    </row>
    <row r="433" spans="1:2" x14ac:dyDescent="0.2">
      <c r="A433" t="s">
        <v>2</v>
      </c>
      <c r="B433" s="45" t="str">
        <f>INDEX(overview!$B$4:$R$338,MATCH('hydrogen - electrolysis'!B428,overview!$A$4:$A$338,0),MATCH('hydrogen - electrolysis'!A433,overview!$B$3:$R$3,0))</f>
        <v>1 kWh electricity</v>
      </c>
    </row>
    <row r="434" spans="1:2" x14ac:dyDescent="0.2">
      <c r="A434" t="s">
        <v>5</v>
      </c>
      <c r="B434" s="45" t="str">
        <f>INDEX(overview!$B$4:$R$338,MATCH('hydrogen - electrolysis'!B428,overview!$A$4:$A$338,0),MATCH('hydrogen - electrolysis'!A434,overview!$B$3:$R$3,0))</f>
        <v>hydrogen</v>
      </c>
    </row>
    <row r="435" spans="1:2" x14ac:dyDescent="0.2">
      <c r="A435" t="s">
        <v>3</v>
      </c>
      <c r="B435" s="45" t="str">
        <f>INDEX(overview!$B$4:$R$338,MATCH('hydrogen - electrolysis'!B428,overview!$A$4:$A$338,0),MATCH('hydrogen - electrolysis'!A435,overview!$B$3:$R$3,0))</f>
        <v>combustion</v>
      </c>
    </row>
    <row r="436" spans="1:2" x14ac:dyDescent="0.2">
      <c r="A436" t="s">
        <v>6</v>
      </c>
      <c r="B436" s="45" t="str">
        <f>INDEX(overview!$B$4:$R$338,MATCH('hydrogen - electrolysis'!B428,overview!$A$4:$A$338,0),MATCH('hydrogen - electrolysis'!A436,overview!$B$3:$R$3,0))</f>
        <v>CHP</v>
      </c>
    </row>
    <row r="437" spans="1:2" x14ac:dyDescent="0.2">
      <c r="A437" t="s">
        <v>39</v>
      </c>
      <c r="B437" s="45" t="str">
        <f>INDEX(overview!$B$4:$R$338,MATCH('hydrogen - electrolysis'!B428,overview!$A$4:$A$338,0),MATCH('hydrogen - electrolysis'!A437,overview!$B$3:$R$3,0))</f>
        <v>exergy</v>
      </c>
    </row>
    <row r="438" spans="1:2" x14ac:dyDescent="0.2">
      <c r="A438" t="s">
        <v>4</v>
      </c>
      <c r="B438" s="45" t="str">
        <f>INDEX(overview!$B$4:$R$338,MATCH('hydrogen - electrolysis'!B428,overview!$A$4:$A$338,0),MATCH('hydrogen - electrolysis'!A438,overview!$B$3:$R$3,0))</f>
        <v>truck</v>
      </c>
    </row>
    <row r="439" spans="1:2" x14ac:dyDescent="0.2">
      <c r="A439" t="s">
        <v>38</v>
      </c>
      <c r="B439" s="45">
        <f>INDEX(overview!$B$4:$R$338,MATCH('hydrogen - electrolysis'!B428,overview!$A$4:$A$338,0),MATCH('hydrogen - electrolysis'!A439,overview!$B$3:$R$3,0))</f>
        <v>200</v>
      </c>
    </row>
    <row r="440" spans="1:2" x14ac:dyDescent="0.2">
      <c r="A440" t="s">
        <v>12</v>
      </c>
      <c r="B440" s="45" t="str">
        <f>INDEX(overview!$B$4:$R$338,MATCH('hydrogen - electrolysis'!B428,overview!$A$4:$A$338,0),MATCH('hydrogen - electrolysis'!A440,overview!$B$3:$R$3,0))</f>
        <v>Pressure vessel for stationary storage</v>
      </c>
    </row>
    <row r="441" spans="1:2" x14ac:dyDescent="0.2">
      <c r="A441" t="s">
        <v>34</v>
      </c>
      <c r="B441" s="45">
        <f>INDEX(overview!$B$4:$R$338,MATCH('hydrogen - electrolysis'!B428,overview!$A$4:$A$338,0),MATCH('hydrogen - electrolysis'!A441,overview!$B$3:$R$3,0))</f>
        <v>0</v>
      </c>
    </row>
    <row r="442" spans="1:2" x14ac:dyDescent="0.2">
      <c r="A442" t="s">
        <v>15</v>
      </c>
      <c r="B442" s="45" t="str">
        <f>INDEX(overview!$B$4:$R$338,MATCH('hydrogen - electrolysis'!B428,overview!$A$4:$A$338,0),MATCH('hydrogen - electrolysis'!A442,overview!$B$3:$R$3,0))</f>
        <v>Electrolysis, Alkaline</v>
      </c>
    </row>
    <row r="443" spans="1:2" x14ac:dyDescent="0.2">
      <c r="A443" t="s">
        <v>14</v>
      </c>
      <c r="B443" s="45" t="str">
        <f>INDEX(overview!$B$4:$R$338,MATCH('hydrogen - electrolysis'!B428,overview!$A$4:$A$338,0),MATCH('hydrogen - electrolysis'!A443,overview!$B$3:$R$3,0))</f>
        <v>water and electricity</v>
      </c>
    </row>
    <row r="444" spans="1:2" x14ac:dyDescent="0.2">
      <c r="A444" t="s">
        <v>26</v>
      </c>
      <c r="B444" s="45" t="str">
        <f>INDEX(overview!$B$4:$R$338,MATCH('hydrogen - electrolysis'!B428,overview!$A$4:$A$338,0),MATCH('hydrogen - electrolysis'!A444,overview!$B$3:$R$3,0))</f>
        <v>grid</v>
      </c>
    </row>
    <row r="445" spans="1:2" x14ac:dyDescent="0.2">
      <c r="A445" t="s">
        <v>29</v>
      </c>
      <c r="B445" s="45">
        <f>INDEX(overview!$B$4:$R$338,MATCH('hydrogen - electrolysis'!B428,overview!$A$4:$A$338,0),MATCH('hydrogen - electrolysis'!A445,overview!$B$3:$R$3,0))</f>
        <v>0</v>
      </c>
    </row>
    <row r="446" spans="1:2" x14ac:dyDescent="0.2">
      <c r="A446" t="str">
        <f>IF(B430="megajoule","Heat","Electricity")&amp;" conversion efficiency [% LHV input]"</f>
        <v>Electricity conversion efficiency [% LHV input]</v>
      </c>
      <c r="B446" s="46">
        <f>INDEX(parameters!$D$4:$N$20,MATCH('hydrogen - electrolysis'!B434&amp;'hydrogen - electrolysis'!B436,parameters!$A$4:$A$20,0),MATCH('hydrogen - electrolysis'!A446,parameters!$D$3:$N$3,0))</f>
        <v>0.39400000000000002</v>
      </c>
    </row>
    <row r="447" spans="1:2" x14ac:dyDescent="0.2">
      <c r="A447" t="str">
        <f>IF(B430="megajoule","LHV [MJ/kg]","LHV [kWh/kg]")</f>
        <v>LHV [kWh/kg]</v>
      </c>
      <c r="B447" s="47">
        <f>INDEX(parameters!$D$4:$N$20,MATCH('hydrogen - electrolysis'!B434&amp;'hydrogen - electrolysis'!B436,parameters!$A$4:$A$20,0),MATCH('hydrogen - electrolysis'!A447,parameters!$D$3:$N$3,0))</f>
        <v>33.333333333333336</v>
      </c>
    </row>
    <row r="448" spans="1:2" x14ac:dyDescent="0.2">
      <c r="A448" t="s">
        <v>41</v>
      </c>
      <c r="B448" s="48">
        <f>INDEX(parameters!$D$4:$N$20,MATCH('hydrogen - electrolysis'!B434&amp;'hydrogen - electrolysis'!B436,parameters!$A$4:$A$20,0),MATCH('hydrogen - electrolysis'!A448,parameters!$D$3:$N$3,0))</f>
        <v>2.6666666666666665E-2</v>
      </c>
    </row>
    <row r="449" spans="1:22" x14ac:dyDescent="0.2">
      <c r="A449" t="s">
        <v>45</v>
      </c>
      <c r="B449" s="46">
        <f>INDEX(parameters!$D$4:$N$20,MATCH('hydrogen - electrolysis'!B434&amp;'hydrogen - electrolysis'!B436,parameters!$A$4:$A$20,0),MATCH('hydrogen - electrolysis'!A449,parameters!$D$3:$N$3,0))</f>
        <v>0</v>
      </c>
    </row>
    <row r="450" spans="1:22" x14ac:dyDescent="0.2">
      <c r="A450" t="s">
        <v>46</v>
      </c>
      <c r="B450" s="46">
        <f>INDEX(parameters!$D$4:$N$20,MATCH('hydrogen - electrolysis'!B434&amp;'hydrogen - electrolysis'!B436,parameters!$A$4:$A$20,0),MATCH('hydrogen - electrolysis'!A450,parameters!$D$3:$N$3,0))</f>
        <v>1.4999999999999999E-2</v>
      </c>
    </row>
    <row r="451" spans="1:22" x14ac:dyDescent="0.2">
      <c r="A451" t="s">
        <v>43</v>
      </c>
      <c r="B451" s="46">
        <f>INDEX(parameters!$D$4:$N$20,MATCH('hydrogen - electrolysis'!B434&amp;'hydrogen - electrolysis'!B436,parameters!$A$4:$A$20,0),MATCH('hydrogen - electrolysis'!A451,parameters!$D$3:$N$3,0))</f>
        <v>0</v>
      </c>
    </row>
    <row r="452" spans="1:22" x14ac:dyDescent="0.2">
      <c r="A452" t="s">
        <v>44</v>
      </c>
      <c r="B452" s="46">
        <f>INDEX(parameters!$D$4:$N$20,MATCH('hydrogen - electrolysis'!B434&amp;'hydrogen - electrolysis'!B436,parameters!$A$4:$A$20,0),MATCH('hydrogen - electrolysis'!A452,parameters!$D$3:$N$3,0))</f>
        <v>0</v>
      </c>
    </row>
    <row r="453" spans="1:22" x14ac:dyDescent="0.2">
      <c r="A453" t="s">
        <v>634</v>
      </c>
      <c r="B453" s="51">
        <f>INDEX(parameters!$D$4:$Y$20,MATCH('hydrogen - electrolysis'!B434&amp;'hydrogen - electrolysis'!B436,parameters!$A$4:$A$20,0),MATCH('hydrogen - electrolysis'!A453,parameters!$D$3:$Y$3,0))</f>
        <v>351.41800246609125</v>
      </c>
    </row>
    <row r="454" spans="1:22" x14ac:dyDescent="0.2">
      <c r="A454" t="s">
        <v>82</v>
      </c>
      <c r="B454" s="46">
        <f>IF(B445&lt;&gt;0,VLOOKUP(B445,parameters!A357:B359,2,0),0)</f>
        <v>0</v>
      </c>
    </row>
    <row r="455" spans="1:22" x14ac:dyDescent="0.2">
      <c r="A455" t="s">
        <v>548</v>
      </c>
      <c r="B455" s="50">
        <f>INDEX(parameters!$D$4:$P$20,MATCH(B434&amp;B436,parameters!$A$4:$A$20,0),MATCH(A455,parameters!$D$3:$P$3,0))</f>
        <v>125</v>
      </c>
    </row>
    <row r="456" spans="1:22" x14ac:dyDescent="0.2">
      <c r="A456" t="s">
        <v>547</v>
      </c>
      <c r="B456" s="51">
        <f>INDEX(parameters!$D$4:$P$20,MATCH(B434&amp;B436,parameters!$A$4:$A$20,0),MATCH(A456,parameters!$D$3:$P$3,0))</f>
        <v>19.512195121951219</v>
      </c>
    </row>
    <row r="457" spans="1:22" x14ac:dyDescent="0.2">
      <c r="A457" t="s">
        <v>630</v>
      </c>
      <c r="B457" s="51">
        <f>INDEX(parameters!$D$4:$T$20,MATCH(B434&amp;B436,parameters!$A$4:$A$20,0),MATCH(A457,parameters!$D$3:$T$3,0))</f>
        <v>4100</v>
      </c>
    </row>
    <row r="458" spans="1:22" x14ac:dyDescent="0.2">
      <c r="A458" t="s">
        <v>1005</v>
      </c>
      <c r="B458" s="50">
        <f>IF(B430="megajoule",SUMIFS(allocation!$I$4:$I$30,allocation!$B$4:$B$30,B436,allocation!$C$4:$C$30,B437),SUMIFS(allocation!$J$4:$J$30,allocation!$B$4:$B$30,B436,allocation!$C$4:$C$30,B437))</f>
        <v>0.87139957772704957</v>
      </c>
    </row>
    <row r="459" spans="1:22" x14ac:dyDescent="0.2">
      <c r="A459" t="s">
        <v>1050</v>
      </c>
      <c r="B459" s="51">
        <f>INDEX(parameters!$D$4:$AB$20,MATCH(B434&amp;B436,parameters!$A$4:$A$20,0),MATCH(A459,parameters!$D$3:$AB$3,0))</f>
        <v>2220.7364520822662</v>
      </c>
    </row>
    <row r="461" spans="1:22" x14ac:dyDescent="0.2">
      <c r="A461" s="3" t="s">
        <v>57</v>
      </c>
    </row>
    <row r="462" spans="1:22" x14ac:dyDescent="0.2">
      <c r="A462" s="2" t="s">
        <v>58</v>
      </c>
      <c r="B462" s="44" t="s">
        <v>59</v>
      </c>
      <c r="C462" s="2" t="s">
        <v>55</v>
      </c>
      <c r="D462" s="2" t="s">
        <v>60</v>
      </c>
      <c r="E462" s="2" t="s">
        <v>52</v>
      </c>
      <c r="F462" s="2" t="s">
        <v>61</v>
      </c>
      <c r="G462" s="2" t="s">
        <v>54</v>
      </c>
      <c r="H462" s="2" t="s">
        <v>87</v>
      </c>
      <c r="I462" s="2" t="s">
        <v>51</v>
      </c>
      <c r="J462" s="2" t="s">
        <v>138</v>
      </c>
      <c r="K462" s="2" t="s">
        <v>136</v>
      </c>
      <c r="L462" s="2" t="s">
        <v>221</v>
      </c>
      <c r="M462" s="2" t="s">
        <v>379</v>
      </c>
      <c r="N462" s="2" t="s">
        <v>1059</v>
      </c>
      <c r="O462" s="2" t="s">
        <v>1060</v>
      </c>
      <c r="P462" s="2" t="s">
        <v>1061</v>
      </c>
      <c r="Q462" s="2" t="s">
        <v>1062</v>
      </c>
      <c r="R462" s="2" t="s">
        <v>1063</v>
      </c>
      <c r="S462" s="2" t="s">
        <v>1064</v>
      </c>
      <c r="T462" s="2" t="s">
        <v>1065</v>
      </c>
      <c r="U462" s="2" t="s">
        <v>380</v>
      </c>
      <c r="V462" s="2" t="s">
        <v>1128</v>
      </c>
    </row>
    <row r="463" spans="1:22" x14ac:dyDescent="0.2">
      <c r="A463" t="str">
        <f>B424</f>
        <v>electricity, residential, by combustion of hydrogen using CHP, allocated by exergy, transported by truck, produced by Electrolysis, Alkaline using water and electricity from grid</v>
      </c>
      <c r="B463" s="45">
        <v>1</v>
      </c>
      <c r="C463" t="str">
        <f>B430</f>
        <v>kilowatt hour</v>
      </c>
      <c r="E463" t="str">
        <f>B427</f>
        <v>CH</v>
      </c>
      <c r="F463" t="s">
        <v>62</v>
      </c>
      <c r="G463" t="str">
        <f>B429</f>
        <v>electricity, from residential heating system</v>
      </c>
      <c r="K463" t="str">
        <f>B424</f>
        <v>electricity, residential, by combustion of hydrogen using CHP, allocated by exergy, transported by truck, produced by Electrolysis, Alkaline using water and electricity from grid</v>
      </c>
    </row>
    <row r="464" spans="1:22" x14ac:dyDescent="0.2">
      <c r="A464" t="str">
        <f>VLOOKUP(J464,'dataset mapping'!$A$4:$E$69,2,0)</f>
        <v>heat and power co-generation unit construction, 160kW electrical, common components for heat+electricity</v>
      </c>
      <c r="B464" s="52">
        <f>(1/(B453*B457*B456))*B458</f>
        <v>3.0995835856870056E-8</v>
      </c>
      <c r="C464" t="str">
        <f>VLOOKUP(J464,'dataset mapping'!$A$4:$E$69,5,0)</f>
        <v>unit</v>
      </c>
      <c r="E464" t="str">
        <f>VLOOKUP(J464,'dataset mapping'!$A$4:$E$69,4,0)</f>
        <v>RER</v>
      </c>
      <c r="F464" t="s">
        <v>86</v>
      </c>
      <c r="G464" t="str">
        <f>VLOOKUP(J464,'dataset mapping'!$A$4:$E$69,3,0)</f>
        <v>heat and power co-generation unit, 160kW electrical, common components for heat+electricity</v>
      </c>
      <c r="H464" t="s">
        <v>88</v>
      </c>
      <c r="J464" t="s">
        <v>145</v>
      </c>
      <c r="K464" t="str">
        <f>B424</f>
        <v>electricity, residential, by combustion of hydrogen using CHP, allocated by exergy, transported by truck, produced by Electrolysis, Alkaline using water and electricity from grid</v>
      </c>
      <c r="L464">
        <f>IF(OR(B464&lt;0,B464=0),1,2)</f>
        <v>2</v>
      </c>
      <c r="M464">
        <f>IF(L464=2,LN(B464),"")</f>
        <v>-17.28941296868171</v>
      </c>
      <c r="N464">
        <v>1.05</v>
      </c>
      <c r="O464" s="15">
        <v>1.2</v>
      </c>
      <c r="P464">
        <v>1</v>
      </c>
      <c r="Q464">
        <v>1.01</v>
      </c>
      <c r="R464">
        <v>1.2</v>
      </c>
      <c r="S464">
        <v>1.2</v>
      </c>
      <c r="T464">
        <v>3</v>
      </c>
      <c r="U464">
        <f t="shared" ref="U464:U472" si="9">LN(SQRT(EXP(
SQRT(
+POWER(LN(N464),2)
+POWER(LN(O464),2)
+POWER(LN(P464),2)
+POWER(LN(Q464),2)
+POWER(LN(R464),2)
+POWER(LN(S464),2)
+POWER(LN(T464),2)
)
)))</f>
        <v>0.57209088006881903</v>
      </c>
    </row>
    <row r="465" spans="1:22" x14ac:dyDescent="0.2">
      <c r="A465" t="str">
        <f>VLOOKUP(J465,'dataset mapping'!$A$4:$E$69,2,0)</f>
        <v>heat and power co-generation unit construction, 160kW electrical, components for electricity only</v>
      </c>
      <c r="B465" s="52">
        <f>(1/(B453*B457*B456))*B458</f>
        <v>3.0995835856870056E-8</v>
      </c>
      <c r="C465" t="str">
        <f>VLOOKUP(J465,'dataset mapping'!$A$4:$E$69,5,0)</f>
        <v>unit</v>
      </c>
      <c r="E465" t="str">
        <f>VLOOKUP(J465,'dataset mapping'!$A$4:$E$69,4,0)</f>
        <v>RER</v>
      </c>
      <c r="F465" t="s">
        <v>86</v>
      </c>
      <c r="G465" t="str">
        <f>VLOOKUP(J465,'dataset mapping'!$A$4:$E$69,3,0)</f>
        <v>heat and power co-generation unit, 160kW electrical, components for electricity only</v>
      </c>
      <c r="H465" t="s">
        <v>88</v>
      </c>
      <c r="J465" t="s">
        <v>146</v>
      </c>
      <c r="K465" t="str">
        <f>B424</f>
        <v>electricity, residential, by combustion of hydrogen using CHP, allocated by exergy, transported by truck, produced by Electrolysis, Alkaline using water and electricity from grid</v>
      </c>
      <c r="L465">
        <f>IF(OR(B465&lt;0,B465=0),1,2)</f>
        <v>2</v>
      </c>
      <c r="M465">
        <f>IF(L465=2,LN(B465),"")</f>
        <v>-17.28941296868171</v>
      </c>
      <c r="N465">
        <v>1.05</v>
      </c>
      <c r="O465" s="15">
        <v>1.2</v>
      </c>
      <c r="P465">
        <v>1</v>
      </c>
      <c r="Q465">
        <v>1.01</v>
      </c>
      <c r="R465">
        <v>1.2</v>
      </c>
      <c r="S465">
        <v>1.2</v>
      </c>
      <c r="T465">
        <v>3</v>
      </c>
      <c r="U465">
        <f t="shared" si="9"/>
        <v>0.57209088006881903</v>
      </c>
    </row>
    <row r="466" spans="1:22" x14ac:dyDescent="0.2">
      <c r="A466" t="str">
        <f>VLOOKUP(J466,'dataset mapping'!$A$4:$E$69,2,0)</f>
        <v>heat and power co-generation unit construction, 160kW electrical, components for heat only</v>
      </c>
      <c r="B466" s="52">
        <f>(1/(B453*B457*B456))*B458</f>
        <v>3.0995835856870056E-8</v>
      </c>
      <c r="C466" t="str">
        <f>VLOOKUP(J466,'dataset mapping'!$A$4:$E$69,5,0)</f>
        <v>unit</v>
      </c>
      <c r="E466" t="str">
        <f>VLOOKUP(J466,'dataset mapping'!$A$4:$E$69,4,0)</f>
        <v>RER</v>
      </c>
      <c r="F466" t="s">
        <v>86</v>
      </c>
      <c r="G466" t="str">
        <f>VLOOKUP(J466,'dataset mapping'!$A$4:$E$69,3,0)</f>
        <v>heat and power co-generation unit, 160kW electrical, components for heat only</v>
      </c>
      <c r="H466" t="s">
        <v>88</v>
      </c>
      <c r="J466" t="s">
        <v>147</v>
      </c>
      <c r="K466" t="str">
        <f>B424</f>
        <v>electricity, residential, by combustion of hydrogen using CHP, allocated by exergy, transported by truck, produced by Electrolysis, Alkaline using water and electricity from grid</v>
      </c>
      <c r="L466">
        <f>IF(OR(B466&lt;0,B466=0),1,2)</f>
        <v>2</v>
      </c>
      <c r="M466">
        <f>IF(L466=2,LN(B466),"")</f>
        <v>-17.28941296868171</v>
      </c>
      <c r="N466">
        <v>1.05</v>
      </c>
      <c r="O466" s="15">
        <v>1.2</v>
      </c>
      <c r="P466">
        <v>1</v>
      </c>
      <c r="Q466">
        <v>1.01</v>
      </c>
      <c r="R466">
        <v>1.2</v>
      </c>
      <c r="S466">
        <v>1.2</v>
      </c>
      <c r="T466">
        <v>3</v>
      </c>
      <c r="U466">
        <f t="shared" si="9"/>
        <v>0.57209088006881903</v>
      </c>
    </row>
    <row r="467" spans="1:22" x14ac:dyDescent="0.2">
      <c r="A467" t="s">
        <v>156</v>
      </c>
      <c r="B467" s="52">
        <f>0.00000011366*B458</f>
        <v>9.9043276004456456E-8</v>
      </c>
      <c r="C467" t="s">
        <v>56</v>
      </c>
      <c r="E467" t="s">
        <v>90</v>
      </c>
      <c r="F467" t="s">
        <v>86</v>
      </c>
      <c r="G467" t="s">
        <v>154</v>
      </c>
      <c r="H467" t="s">
        <v>155</v>
      </c>
      <c r="K467" t="str">
        <f>B424</f>
        <v>electricity, residential, by combustion of hydrogen using CHP, allocated by exergy, transported by truck, produced by Electrolysis, Alkaline using water and electricity from grid</v>
      </c>
      <c r="L467">
        <f>IF(OR(B467&lt;0,B467=0),1,2)</f>
        <v>2</v>
      </c>
      <c r="M467">
        <f>IF(L467=2,LN(B467),"")</f>
        <v>-16.127708950967754</v>
      </c>
      <c r="N467">
        <v>1.05</v>
      </c>
      <c r="O467" s="15">
        <v>1.2</v>
      </c>
      <c r="P467">
        <v>1</v>
      </c>
      <c r="Q467">
        <v>1.01</v>
      </c>
      <c r="R467">
        <v>1.2</v>
      </c>
      <c r="S467">
        <v>1.2</v>
      </c>
      <c r="T467">
        <v>1.05</v>
      </c>
      <c r="U467">
        <f t="shared" si="9"/>
        <v>0.16169679924070957</v>
      </c>
    </row>
    <row r="468" spans="1:22" x14ac:dyDescent="0.2">
      <c r="A468" t="s">
        <v>157</v>
      </c>
      <c r="B468" s="52">
        <f>0.00000011366*B458*-1</f>
        <v>-9.9043276004456456E-8</v>
      </c>
      <c r="C468" t="s">
        <v>56</v>
      </c>
      <c r="E468" t="s">
        <v>64</v>
      </c>
      <c r="F468" t="s">
        <v>86</v>
      </c>
      <c r="G468" t="s">
        <v>158</v>
      </c>
      <c r="H468" t="s">
        <v>155</v>
      </c>
      <c r="K468" t="str">
        <f>B424</f>
        <v>electricity, residential, by combustion of hydrogen using CHP, allocated by exergy, transported by truck, produced by Electrolysis, Alkaline using water and electricity from grid</v>
      </c>
      <c r="L468">
        <v>2</v>
      </c>
      <c r="M468">
        <f>IF(L468=2,LN(B468*-1),"")</f>
        <v>-16.127708950967754</v>
      </c>
      <c r="N468">
        <v>1.05</v>
      </c>
      <c r="O468" s="15">
        <v>1.2</v>
      </c>
      <c r="P468">
        <v>1</v>
      </c>
      <c r="Q468">
        <v>1.01</v>
      </c>
      <c r="R468">
        <v>1.2</v>
      </c>
      <c r="S468">
        <v>1.2</v>
      </c>
      <c r="T468">
        <v>3</v>
      </c>
      <c r="U468">
        <f t="shared" si="9"/>
        <v>0.57209088006881903</v>
      </c>
      <c r="V468" t="b">
        <v>1</v>
      </c>
    </row>
    <row r="469" spans="1:22" x14ac:dyDescent="0.2">
      <c r="A469" t="s">
        <v>1136</v>
      </c>
      <c r="B469" s="53">
        <f>(B463/B447)/B446*B458</f>
        <v>6.6350221654343872E-2</v>
      </c>
      <c r="C469" t="str">
        <f>VLOOKUP(J469,'dataset mapping'!$A$4:$E$69,5,0)</f>
        <v>kilogram</v>
      </c>
      <c r="E469" t="str">
        <f>VLOOKUP(J469,'dataset mapping'!$A$4:$E$69,4,0)</f>
        <v>CH</v>
      </c>
      <c r="F469" t="s">
        <v>86</v>
      </c>
      <c r="G469" t="s">
        <v>1137</v>
      </c>
      <c r="H469" t="s">
        <v>76</v>
      </c>
      <c r="I469" t="s">
        <v>1054</v>
      </c>
      <c r="J469" t="s">
        <v>231</v>
      </c>
      <c r="K469" t="str">
        <f>B424</f>
        <v>electricity, residential, by combustion of hydrogen using CHP, allocated by exergy, transported by truck, produced by Electrolysis, Alkaline using water and electricity from grid</v>
      </c>
      <c r="L469">
        <f>IF(OR(B469&lt;0,B469=0),1,2)</f>
        <v>2</v>
      </c>
      <c r="M469">
        <f>IF(L469=2,LN(B469),"")</f>
        <v>-2.7128081775260964</v>
      </c>
      <c r="N469">
        <v>1.05</v>
      </c>
      <c r="O469" s="15">
        <v>1.2</v>
      </c>
      <c r="P469">
        <v>1</v>
      </c>
      <c r="Q469">
        <v>1.01</v>
      </c>
      <c r="R469">
        <v>1.2</v>
      </c>
      <c r="S469">
        <v>1.2</v>
      </c>
      <c r="T469">
        <v>1.05</v>
      </c>
      <c r="U469">
        <f t="shared" si="9"/>
        <v>0.16169679924070957</v>
      </c>
    </row>
    <row r="470" spans="1:22" x14ac:dyDescent="0.2">
      <c r="A470" t="str">
        <f>VLOOKUP(J470,'dataset mapping'!$A$4:$E$69,2,0)</f>
        <v>high pressure hydrogen storage tank</v>
      </c>
      <c r="B470" s="52">
        <f>((B459/10)/(B457*B453*20))*IF(B458&lt;&gt;0,B458,1)</f>
        <v>6.7154714683034044E-6</v>
      </c>
      <c r="C470" t="str">
        <f>VLOOKUP(J470,'dataset mapping'!$A$4:$E$69,5,0)</f>
        <v>kilogram</v>
      </c>
      <c r="E470" t="str">
        <f>VLOOKUP(J470,'dataset mapping'!$A$4:$E$69,4,0)</f>
        <v>GLO</v>
      </c>
      <c r="F470" t="s">
        <v>86</v>
      </c>
      <c r="G470" t="str">
        <f>VLOOKUP(J470,'dataset mapping'!$A$4:$E$69,3,0)</f>
        <v>high pressure hydrogen storage tank</v>
      </c>
      <c r="H470" t="s">
        <v>88</v>
      </c>
      <c r="I470" t="s">
        <v>279</v>
      </c>
      <c r="J470" t="s">
        <v>229</v>
      </c>
      <c r="K470" t="str">
        <f>B424</f>
        <v>electricity, residential, by combustion of hydrogen using CHP, allocated by exergy, transported by truck, produced by Electrolysis, Alkaline using water and electricity from grid</v>
      </c>
      <c r="L470">
        <f>IF(OR(B470&lt;0,B470=0),1,2)</f>
        <v>2</v>
      </c>
      <c r="M470">
        <f>IF(L470=2,LN(B470),"")</f>
        <v>-11.911096519239557</v>
      </c>
      <c r="N470">
        <v>1.05</v>
      </c>
      <c r="O470" s="15">
        <v>1.2</v>
      </c>
      <c r="P470">
        <v>1</v>
      </c>
      <c r="Q470">
        <v>1.01</v>
      </c>
      <c r="R470">
        <v>1.2</v>
      </c>
      <c r="S470">
        <v>1.2</v>
      </c>
      <c r="T470">
        <v>3</v>
      </c>
      <c r="U470">
        <f t="shared" si="9"/>
        <v>0.57209088006881903</v>
      </c>
    </row>
    <row r="471" spans="1:22" x14ac:dyDescent="0.2">
      <c r="A471" t="s">
        <v>134</v>
      </c>
      <c r="B471" s="45">
        <f>B469*9</f>
        <v>0.59715199488909487</v>
      </c>
      <c r="C471" t="s">
        <v>56</v>
      </c>
      <c r="D471" t="s">
        <v>100</v>
      </c>
      <c r="F471" t="s">
        <v>99</v>
      </c>
      <c r="H471" t="s">
        <v>131</v>
      </c>
      <c r="I471" t="s">
        <v>1058</v>
      </c>
      <c r="K471" t="str">
        <f>B424</f>
        <v>electricity, residential, by combustion of hydrogen using CHP, allocated by exergy, transported by truck, produced by Electrolysis, Alkaline using water and electricity from grid</v>
      </c>
      <c r="L471">
        <f>IF(OR(B471&lt;0,B471=0),1,2)</f>
        <v>2</v>
      </c>
      <c r="M471">
        <f>IF(L471=2,LN(B471),"")</f>
        <v>-0.51558360018987692</v>
      </c>
      <c r="N471">
        <v>1.05</v>
      </c>
      <c r="O471" s="15">
        <v>1.2</v>
      </c>
      <c r="P471">
        <v>1</v>
      </c>
      <c r="Q471">
        <v>1.01</v>
      </c>
      <c r="R471">
        <v>1.2</v>
      </c>
      <c r="S471">
        <v>1.2</v>
      </c>
      <c r="T471">
        <v>1.05</v>
      </c>
      <c r="U471">
        <f t="shared" si="9"/>
        <v>0.16169679924070957</v>
      </c>
    </row>
    <row r="472" spans="1:22" x14ac:dyDescent="0.2">
      <c r="A472" t="s">
        <v>135</v>
      </c>
      <c r="B472" s="45">
        <f>912.5/1000000*B469</f>
        <v>6.0544577259588785E-5</v>
      </c>
      <c r="C472" t="s">
        <v>56</v>
      </c>
      <c r="D472" t="s">
        <v>100</v>
      </c>
      <c r="F472" t="s">
        <v>99</v>
      </c>
      <c r="H472" t="s">
        <v>131</v>
      </c>
      <c r="I472" t="s">
        <v>1217</v>
      </c>
      <c r="K472" t="str">
        <f>B424</f>
        <v>electricity, residential, by combustion of hydrogen using CHP, allocated by exergy, transported by truck, produced by Electrolysis, Alkaline using water and electricity from grid</v>
      </c>
      <c r="L472">
        <f>IF(OR(B472&lt;0,B472=0),1,2)</f>
        <v>2</v>
      </c>
      <c r="M472">
        <f>IF(L472=2,LN(B472),"")</f>
        <v>-9.712130650033723</v>
      </c>
      <c r="N472">
        <v>1.05</v>
      </c>
      <c r="O472" s="15">
        <v>1.2</v>
      </c>
      <c r="P472">
        <v>1</v>
      </c>
      <c r="Q472">
        <v>1.01</v>
      </c>
      <c r="R472">
        <v>1.2</v>
      </c>
      <c r="S472">
        <v>1.2</v>
      </c>
      <c r="T472">
        <v>1.5</v>
      </c>
      <c r="U472">
        <f t="shared" si="9"/>
        <v>0.25816898211842121</v>
      </c>
    </row>
    <row r="474" spans="1:22" x14ac:dyDescent="0.2">
      <c r="A474" s="2" t="s">
        <v>50</v>
      </c>
      <c r="B474" s="44" t="str">
        <f>IF(B480="megajoule","heat","electricity")&amp;", residential, by "&amp;B485&amp;" of "&amp;B484&amp;" using "&amp;B486&amp;IF(B487&lt;&gt;0,", allocated by "&amp;B487,"")&amp;", transported by "&amp;B488&amp;", produced by "&amp;B492&amp;" using "&amp;B493&amp;" from "&amp;B494</f>
        <v>heat, residential, by conversion of hydrogen using fuel cell, PEM, allocated by exergy, transported by truck, produced by Electrolysis, Alkaline using water and electricity from grid</v>
      </c>
    </row>
    <row r="475" spans="1:22" x14ac:dyDescent="0.2">
      <c r="A475" t="s">
        <v>51</v>
      </c>
      <c r="B475" s="45" t="str">
        <f>"This dataset represents the supply of 1 "&amp;IF(B480="megajoule","megajoule of heat","kilowatt hour of electricity")&amp;" in a residence, by "&amp;B484&amp;" "&amp;B485&amp;" in a "&amp;B486&amp;". "&amp;" The hydrogen is transported by "&amp;B488&amp;" over "&amp;B489&amp;" km from regional storage. "&amp;" The "&amp;B484&amp;" is produced by  "&amp;B492&amp;", with "&amp;B493&amp;" from "&amp;B494&amp;" as feedstock. "&amp;A496&amp;": "&amp;(B496*100)&amp;"%. "&amp;A497&amp;": "&amp;B497&amp;". "&amp;A498&amp;": "&amp;B498&amp;". "&amp;A499&amp;": "&amp;(B499*100)&amp;"%. "&amp;A500&amp;": "&amp;(B500*100)&amp;"%. "&amp;A501&amp;": "&amp;(B501*100)&amp;"%. "&amp;A502&amp;": "&amp;B502&amp;". "&amp;A503&amp;": "&amp;B503&amp;". "&amp;A504&amp;": "&amp;(B504*100)&amp;"%. "&amp;A505&amp;": "&amp;B505&amp;". "&amp;A506&amp;": "&amp;B506&amp;". "&amp;A507&amp;": "&amp;B507&amp;". "&amp;A508&amp;": "&amp;B508&amp;".  For more information, refer to: "&amp;B476</f>
        <v>This dataset represents the supply of 1 megajoule of heat in a residence, by hydrogen conversion in a fuel cell, PEM.  The hydrogen is transported by truck over 200 km from regional storage.  The hydrogen is produced by  Electrolysis, Alkaline,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476" spans="1:22" x14ac:dyDescent="0.2">
      <c r="A476" t="s">
        <v>63</v>
      </c>
      <c r="B476" s="45" t="s">
        <v>1223</v>
      </c>
    </row>
    <row r="477" spans="1:22" x14ac:dyDescent="0.2">
      <c r="A477" t="s">
        <v>52</v>
      </c>
      <c r="B477" s="45" t="s">
        <v>64</v>
      </c>
    </row>
    <row r="478" spans="1:22" x14ac:dyDescent="0.2">
      <c r="A478" t="s">
        <v>48</v>
      </c>
      <c r="B478" s="45">
        <v>7</v>
      </c>
    </row>
    <row r="479" spans="1:22" x14ac:dyDescent="0.2">
      <c r="A479" t="s">
        <v>54</v>
      </c>
      <c r="B479" s="45" t="str">
        <f>INDEX(overview!$B$4:$R$338,MATCH('hydrogen - electrolysis'!B478,overview!$A$4:$A$338,0),MATCH('hydrogen - electrolysis'!A479,overview!$B$3:$R$3,0))</f>
        <v>heat, from residential heating system</v>
      </c>
    </row>
    <row r="480" spans="1:22" x14ac:dyDescent="0.2">
      <c r="A480" t="s">
        <v>55</v>
      </c>
      <c r="B480" s="45" t="str">
        <f>INDEX(overview!$B$4:$R$338,MATCH('hydrogen - electrolysis'!B478,overview!$A$4:$A$338,0),MATCH('hydrogen - electrolysis'!A480,overview!$B$3:$R$3,0))</f>
        <v>megajoule</v>
      </c>
    </row>
    <row r="481" spans="1:2" x14ac:dyDescent="0.2">
      <c r="A481" t="s">
        <v>0</v>
      </c>
      <c r="B481" s="45" t="str">
        <f>INDEX(overview!$B$4:$R$338,MATCH('hydrogen - electrolysis'!B478,overview!$A$4:$A$338,0),MATCH('hydrogen - electrolysis'!A481,overview!$B$3:$R$3,0))</f>
        <v>Switzerland</v>
      </c>
    </row>
    <row r="482" spans="1:2" x14ac:dyDescent="0.2">
      <c r="A482" t="s">
        <v>1</v>
      </c>
      <c r="B482" s="45">
        <f>INDEX(overview!$B$4:$R$338,MATCH('hydrogen - electrolysis'!B478,overview!$A$4:$A$338,0),MATCH('hydrogen - electrolysis'!A482,overview!$B$3:$R$3,0))</f>
        <v>2020</v>
      </c>
    </row>
    <row r="483" spans="1:2" x14ac:dyDescent="0.2">
      <c r="A483" t="s">
        <v>2</v>
      </c>
      <c r="B483" s="45" t="str">
        <f>INDEX(overview!$B$4:$R$338,MATCH('hydrogen - electrolysis'!B478,overview!$A$4:$A$338,0),MATCH('hydrogen - electrolysis'!A483,overview!$B$3:$R$3,0))</f>
        <v>1 MJ heat</v>
      </c>
    </row>
    <row r="484" spans="1:2" x14ac:dyDescent="0.2">
      <c r="A484" t="s">
        <v>5</v>
      </c>
      <c r="B484" s="45" t="str">
        <f>INDEX(overview!$B$4:$R$338,MATCH('hydrogen - electrolysis'!B478,overview!$A$4:$A$338,0),MATCH('hydrogen - electrolysis'!A484,overview!$B$3:$R$3,0))</f>
        <v>hydrogen</v>
      </c>
    </row>
    <row r="485" spans="1:2" x14ac:dyDescent="0.2">
      <c r="A485" t="s">
        <v>3</v>
      </c>
      <c r="B485" s="45" t="str">
        <f>INDEX(overview!$B$4:$R$338,MATCH('hydrogen - electrolysis'!B478,overview!$A$4:$A$338,0),MATCH('hydrogen - electrolysis'!A485,overview!$B$3:$R$3,0))</f>
        <v>conversion</v>
      </c>
    </row>
    <row r="486" spans="1:2" x14ac:dyDescent="0.2">
      <c r="A486" t="s">
        <v>6</v>
      </c>
      <c r="B486" s="45" t="str">
        <f>INDEX(overview!$B$4:$R$338,MATCH('hydrogen - electrolysis'!B478,overview!$A$4:$A$338,0),MATCH('hydrogen - electrolysis'!A486,overview!$B$3:$R$3,0))</f>
        <v>fuel cell, PEM</v>
      </c>
    </row>
    <row r="487" spans="1:2" x14ac:dyDescent="0.2">
      <c r="A487" t="s">
        <v>39</v>
      </c>
      <c r="B487" s="45" t="str">
        <f>INDEX(overview!$B$4:$R$338,MATCH('hydrogen - electrolysis'!B478,overview!$A$4:$A$338,0),MATCH('hydrogen - electrolysis'!A487,overview!$B$3:$R$3,0))</f>
        <v>exergy</v>
      </c>
    </row>
    <row r="488" spans="1:2" x14ac:dyDescent="0.2">
      <c r="A488" t="s">
        <v>4</v>
      </c>
      <c r="B488" s="45" t="str">
        <f>INDEX(overview!$B$4:$R$338,MATCH('hydrogen - electrolysis'!B478,overview!$A$4:$A$338,0),MATCH('hydrogen - electrolysis'!A488,overview!$B$3:$R$3,0))</f>
        <v>truck</v>
      </c>
    </row>
    <row r="489" spans="1:2" x14ac:dyDescent="0.2">
      <c r="A489" t="s">
        <v>38</v>
      </c>
      <c r="B489" s="45">
        <f>INDEX(overview!$B$4:$R$338,MATCH('hydrogen - electrolysis'!B478,overview!$A$4:$A$338,0),MATCH('hydrogen - electrolysis'!A489,overview!$B$3:$R$3,0))</f>
        <v>200</v>
      </c>
    </row>
    <row r="490" spans="1:2" x14ac:dyDescent="0.2">
      <c r="A490" t="s">
        <v>12</v>
      </c>
      <c r="B490" s="45" t="str">
        <f>INDEX(overview!$B$4:$R$338,MATCH('hydrogen - electrolysis'!B478,overview!$A$4:$A$338,0),MATCH('hydrogen - electrolysis'!A490,overview!$B$3:$R$3,0))</f>
        <v>Pressure vessel for stationary storage</v>
      </c>
    </row>
    <row r="491" spans="1:2" x14ac:dyDescent="0.2">
      <c r="A491" t="s">
        <v>34</v>
      </c>
      <c r="B491" s="45">
        <f>INDEX(overview!$B$4:$R$338,MATCH('hydrogen - electrolysis'!B478,overview!$A$4:$A$338,0),MATCH('hydrogen - electrolysis'!A491,overview!$B$3:$R$3,0))</f>
        <v>0</v>
      </c>
    </row>
    <row r="492" spans="1:2" x14ac:dyDescent="0.2">
      <c r="A492" t="s">
        <v>15</v>
      </c>
      <c r="B492" s="45" t="str">
        <f>INDEX(overview!$B$4:$R$338,MATCH('hydrogen - electrolysis'!B478,overview!$A$4:$A$338,0),MATCH('hydrogen - electrolysis'!A492,overview!$B$3:$R$3,0))</f>
        <v>Electrolysis, Alkaline</v>
      </c>
    </row>
    <row r="493" spans="1:2" x14ac:dyDescent="0.2">
      <c r="A493" t="s">
        <v>14</v>
      </c>
      <c r="B493" s="45" t="str">
        <f>INDEX(overview!$B$4:$R$338,MATCH('hydrogen - electrolysis'!B478,overview!$A$4:$A$338,0),MATCH('hydrogen - electrolysis'!A493,overview!$B$3:$R$3,0))</f>
        <v>water and electricity</v>
      </c>
    </row>
    <row r="494" spans="1:2" x14ac:dyDescent="0.2">
      <c r="A494" t="s">
        <v>26</v>
      </c>
      <c r="B494" s="45" t="str">
        <f>INDEX(overview!$B$4:$R$338,MATCH('hydrogen - electrolysis'!B478,overview!$A$4:$A$338,0),MATCH('hydrogen - electrolysis'!A494,overview!$B$3:$R$3,0))</f>
        <v>grid</v>
      </c>
    </row>
    <row r="495" spans="1:2" x14ac:dyDescent="0.2">
      <c r="A495" t="s">
        <v>29</v>
      </c>
      <c r="B495" s="45">
        <f>INDEX(overview!$B$4:$R$338,MATCH('hydrogen - electrolysis'!B478,overview!$A$4:$A$338,0),MATCH('hydrogen - electrolysis'!A495,overview!$B$3:$R$3,0))</f>
        <v>0</v>
      </c>
    </row>
    <row r="496" spans="1:2" x14ac:dyDescent="0.2">
      <c r="A496" t="str">
        <f>IF(B480="megajoule","Heat","Electricity")&amp;" conversion efficiency [% LHV input]"</f>
        <v>Heat conversion efficiency [% LHV input]</v>
      </c>
      <c r="B496" s="46">
        <f>INDEX(parameters!$D$4:$N$20,MATCH('hydrogen - electrolysis'!B484&amp;'hydrogen - electrolysis'!B486,parameters!$A$4:$A$20,0),MATCH('hydrogen - electrolysis'!A496,parameters!$D$3:$N$3,0))</f>
        <v>0.5</v>
      </c>
    </row>
    <row r="497" spans="1:22" x14ac:dyDescent="0.2">
      <c r="A497" t="str">
        <f>IF(B480="megajoule","LHV [MJ/kg]","LHV [kWh/kg]")</f>
        <v>LHV [MJ/kg]</v>
      </c>
      <c r="B497" s="47">
        <f>INDEX(parameters!$D$4:$N$20,MATCH('hydrogen - electrolysis'!B484&amp;'hydrogen - electrolysis'!B486,parameters!$A$4:$A$20,0),MATCH('hydrogen - electrolysis'!A497,parameters!$D$3:$N$3,0))</f>
        <v>120</v>
      </c>
    </row>
    <row r="498" spans="1:22" x14ac:dyDescent="0.2">
      <c r="A498" t="s">
        <v>41</v>
      </c>
      <c r="B498" s="48">
        <f>INDEX(parameters!$D$4:$N$20,MATCH('hydrogen - electrolysis'!B484&amp;'hydrogen - electrolysis'!B486,parameters!$A$4:$A$20,0),MATCH('hydrogen - electrolysis'!A498,parameters!$D$3:$N$3,0))</f>
        <v>2.6666666666666665E-2</v>
      </c>
    </row>
    <row r="499" spans="1:22" x14ac:dyDescent="0.2">
      <c r="A499" t="s">
        <v>45</v>
      </c>
      <c r="B499" s="46">
        <f>INDEX(parameters!$D$4:$N$20,MATCH('hydrogen - electrolysis'!B484&amp;'hydrogen - electrolysis'!B486,parameters!$A$4:$A$20,0),MATCH('hydrogen - electrolysis'!A499,parameters!$D$3:$N$3,0))</f>
        <v>0</v>
      </c>
    </row>
    <row r="500" spans="1:22" x14ac:dyDescent="0.2">
      <c r="A500" t="s">
        <v>46</v>
      </c>
      <c r="B500" s="46">
        <f>INDEX(parameters!$D$4:$N$20,MATCH('hydrogen - electrolysis'!B484&amp;'hydrogen - electrolysis'!B486,parameters!$A$4:$A$20,0),MATCH('hydrogen - electrolysis'!A500,parameters!$D$3:$N$3,0))</f>
        <v>1.4999999999999999E-2</v>
      </c>
    </row>
    <row r="501" spans="1:22" x14ac:dyDescent="0.2">
      <c r="A501" t="s">
        <v>43</v>
      </c>
      <c r="B501" s="46">
        <f>INDEX(parameters!$D$4:$N$20,MATCH('hydrogen - electrolysis'!B484&amp;'hydrogen - electrolysis'!B486,parameters!$A$4:$A$20,0),MATCH('hydrogen - electrolysis'!A501,parameters!$D$3:$N$3,0))</f>
        <v>0</v>
      </c>
    </row>
    <row r="502" spans="1:22" x14ac:dyDescent="0.2">
      <c r="A502" t="s">
        <v>44</v>
      </c>
      <c r="B502" s="46">
        <f>INDEX(parameters!$D$4:$N$20,MATCH('hydrogen - electrolysis'!B484&amp;'hydrogen - electrolysis'!B486,parameters!$A$4:$A$20,0),MATCH('hydrogen - electrolysis'!A502,parameters!$D$3:$N$3,0))</f>
        <v>0</v>
      </c>
    </row>
    <row r="503" spans="1:22" x14ac:dyDescent="0.2">
      <c r="A503" t="s">
        <v>634</v>
      </c>
      <c r="B503" s="51">
        <f>INDEX(parameters!$D$4:$Y$20,MATCH('hydrogen - electrolysis'!B484&amp;'hydrogen - electrolysis'!B486,parameters!$A$4:$A$20,0),MATCH('hydrogen - electrolysis'!A503,parameters!$D$3:$Y$3,0))</f>
        <v>1.8947368421052633</v>
      </c>
    </row>
    <row r="504" spans="1:22" x14ac:dyDescent="0.2">
      <c r="A504" t="s">
        <v>82</v>
      </c>
      <c r="B504" s="46">
        <f>IF(B495&lt;&gt;0,VLOOKUP(B495,parameters!A357:B359,2,0),0)</f>
        <v>0</v>
      </c>
    </row>
    <row r="505" spans="1:22" x14ac:dyDescent="0.2">
      <c r="A505" t="s">
        <v>548</v>
      </c>
      <c r="B505" s="50">
        <f>INDEX(parameters!$D$4:$P$20,MATCH(B484&amp;B486,parameters!$A$4:$A$20,0),MATCH(A505,parameters!$D$3:$P$3,0))</f>
        <v>0.8</v>
      </c>
    </row>
    <row r="506" spans="1:22" x14ac:dyDescent="0.2">
      <c r="A506" t="s">
        <v>547</v>
      </c>
      <c r="B506" s="51">
        <f>INDEX(parameters!$D$4:$P$20,MATCH(B484&amp;B486,parameters!$A$4:$A$20,0),MATCH(A506,parameters!$D$3:$P$3,0))</f>
        <v>4.8780487804878048</v>
      </c>
    </row>
    <row r="507" spans="1:22" x14ac:dyDescent="0.2">
      <c r="A507" t="s">
        <v>630</v>
      </c>
      <c r="B507" s="51">
        <f>INDEX(parameters!$D$4:$T$20,MATCH(B484&amp;B486,parameters!$A$4:$A$20,0),MATCH(A507,parameters!$D$3:$T$3,0))</f>
        <v>4100</v>
      </c>
    </row>
    <row r="508" spans="1:22" x14ac:dyDescent="0.2">
      <c r="A508" t="s">
        <v>1005</v>
      </c>
      <c r="B508" s="50">
        <f>IF(B480="megajoule",SUMIFS(allocation!$I$4:$I$30,allocation!$B$4:$B$30,B486,allocation!$C$4:$C$30,B487),SUMIFS(allocation!$J$4:$J$30,allocation!$B$4:$B$30,B486,allocation!$C$4:$C$30,B487))</f>
        <v>0.13933980798974457</v>
      </c>
    </row>
    <row r="509" spans="1:22" x14ac:dyDescent="0.2">
      <c r="A509" t="s">
        <v>1050</v>
      </c>
      <c r="B509" s="51">
        <f>INDEX(parameters!$D$4:$AB$20,MATCH(B484&amp;B486,parameters!$A$4:$A$20,0),MATCH(A509,parameters!$D$3:$AB$3,0))</f>
        <v>10.221606648199446</v>
      </c>
    </row>
    <row r="511" spans="1:22" x14ac:dyDescent="0.2">
      <c r="A511" s="3" t="s">
        <v>57</v>
      </c>
    </row>
    <row r="512" spans="1:22" x14ac:dyDescent="0.2">
      <c r="A512" s="2" t="s">
        <v>58</v>
      </c>
      <c r="B512" s="44" t="s">
        <v>59</v>
      </c>
      <c r="C512" s="2" t="s">
        <v>55</v>
      </c>
      <c r="D512" s="2" t="s">
        <v>60</v>
      </c>
      <c r="E512" s="2" t="s">
        <v>52</v>
      </c>
      <c r="F512" s="2" t="s">
        <v>61</v>
      </c>
      <c r="G512" s="2" t="s">
        <v>54</v>
      </c>
      <c r="H512" s="2" t="s">
        <v>87</v>
      </c>
      <c r="I512" s="2" t="s">
        <v>51</v>
      </c>
      <c r="J512" s="2" t="s">
        <v>138</v>
      </c>
      <c r="K512" s="2" t="s">
        <v>136</v>
      </c>
      <c r="L512" s="2" t="s">
        <v>221</v>
      </c>
      <c r="M512" s="2" t="s">
        <v>379</v>
      </c>
      <c r="N512" s="2" t="s">
        <v>1059</v>
      </c>
      <c r="O512" s="2" t="s">
        <v>1060</v>
      </c>
      <c r="P512" s="2" t="s">
        <v>1061</v>
      </c>
      <c r="Q512" s="2" t="s">
        <v>1062</v>
      </c>
      <c r="R512" s="2" t="s">
        <v>1063</v>
      </c>
      <c r="S512" s="2" t="s">
        <v>1064</v>
      </c>
      <c r="T512" s="2" t="s">
        <v>1065</v>
      </c>
      <c r="U512" s="2" t="s">
        <v>380</v>
      </c>
      <c r="V512" s="2" t="s">
        <v>1128</v>
      </c>
    </row>
    <row r="513" spans="1:21" x14ac:dyDescent="0.2">
      <c r="A513" t="str">
        <f>B474</f>
        <v>heat, residential, by conversion of hydrogen using fuel cell, PEM, allocated by exergy, transported by truck, produced by Electrolysis, Alkaline using water and electricity from grid</v>
      </c>
      <c r="B513" s="45">
        <v>1</v>
      </c>
      <c r="C513" t="str">
        <f>B480</f>
        <v>megajoule</v>
      </c>
      <c r="E513" t="str">
        <f>B477</f>
        <v>CH</v>
      </c>
      <c r="F513" t="s">
        <v>62</v>
      </c>
      <c r="G513" t="str">
        <f>B479</f>
        <v>heat, from residential heating system</v>
      </c>
      <c r="K513" t="str">
        <f>B474</f>
        <v>heat, residential, by conversion of hydrogen using fuel cell, PEM, allocated by exergy, transported by truck, produced by Electrolysis, Alkaline using water and electricity from grid</v>
      </c>
    </row>
    <row r="514" spans="1:21" x14ac:dyDescent="0.2">
      <c r="A514" t="str">
        <f>VLOOKUP(J514,'dataset mapping'!$A$4:$E$69,2,0)</f>
        <v>fuel cell system assembly, 1 kWe, proton exchange membrane (PEM)</v>
      </c>
      <c r="B514" s="52">
        <f>(1/(B503*B507*B506*3.6))*B508</f>
        <v>1.0213951974556892E-6</v>
      </c>
      <c r="C514" t="str">
        <f>VLOOKUP(J514,'dataset mapping'!$A$4:$E$69,5,0)</f>
        <v>unit</v>
      </c>
      <c r="E514" t="str">
        <f>VLOOKUP(J514,'dataset mapping'!$A$4:$E$69,4,0)</f>
        <v>GLO</v>
      </c>
      <c r="F514" t="s">
        <v>86</v>
      </c>
      <c r="G514" t="str">
        <f>VLOOKUP(J514,'dataset mapping'!$A$4:$E$69,3,0)</f>
        <v>fuel cell system, 1 kWe, proton exchange membrane (PEM)</v>
      </c>
      <c r="H514" t="s">
        <v>88</v>
      </c>
      <c r="I514" t="s">
        <v>272</v>
      </c>
      <c r="J514" t="s">
        <v>273</v>
      </c>
      <c r="K514" t="str">
        <f>B474</f>
        <v>heat, residential, by conversion of hydrogen using fuel cell, PEM, allocated by exergy, transported by truck, produced by Electrolysis, Alkaline using water and electricity from grid</v>
      </c>
      <c r="L514">
        <f>IF(OR(B514&lt;0,B514=0),1,2)</f>
        <v>2</v>
      </c>
      <c r="M514">
        <f>IF(L514=2,LN(B514),"")</f>
        <v>-13.794341024667077</v>
      </c>
      <c r="N514">
        <v>1</v>
      </c>
      <c r="O514" s="15">
        <v>1.2</v>
      </c>
      <c r="P514">
        <v>1</v>
      </c>
      <c r="Q514">
        <v>1.01</v>
      </c>
      <c r="R514">
        <v>1.2</v>
      </c>
      <c r="S514">
        <v>1.2</v>
      </c>
      <c r="T514">
        <v>3</v>
      </c>
      <c r="U514">
        <f>LN(SQRT(EXP(
SQRT(
+POWER(LN(N514),2)
+POWER(LN(O514),2)
+POWER(LN(P514),2)
+POWER(LN(Q514),2)
+POWER(LN(R514),2)
+POWER(LN(S514),2)
+POWER(LN(T514),2)
)
)))</f>
        <v>0.57157051623399524</v>
      </c>
    </row>
    <row r="515" spans="1:21" x14ac:dyDescent="0.2">
      <c r="A515" t="s">
        <v>1136</v>
      </c>
      <c r="B515" s="53">
        <f>(B513/B497)/B496*B508</f>
        <v>2.3223301331624095E-3</v>
      </c>
      <c r="C515" t="str">
        <f>VLOOKUP(J515,'dataset mapping'!$A$4:$E$69,5,0)</f>
        <v>kilogram</v>
      </c>
      <c r="E515" t="str">
        <f>VLOOKUP(J515,'dataset mapping'!$A$4:$E$69,4,0)</f>
        <v>CH</v>
      </c>
      <c r="F515" t="s">
        <v>86</v>
      </c>
      <c r="G515" t="s">
        <v>1137</v>
      </c>
      <c r="H515" t="s">
        <v>76</v>
      </c>
      <c r="I515" t="s">
        <v>1054</v>
      </c>
      <c r="J515" t="s">
        <v>231</v>
      </c>
      <c r="K515" t="str">
        <f>B474</f>
        <v>heat, residential, by conversion of hydrogen using fuel cell, PEM, allocated by exergy, transported by truck, produced by Electrolysis, Alkaline using water and electricity from grid</v>
      </c>
      <c r="L515">
        <f>IF(OR(B515&lt;0,B515=0),1,2)</f>
        <v>2</v>
      </c>
      <c r="M515">
        <f>IF(L515=2,LN(B515),"")</f>
        <v>-6.0651842296013152</v>
      </c>
      <c r="N515">
        <v>1</v>
      </c>
      <c r="O515" s="15">
        <v>1.2</v>
      </c>
      <c r="P515">
        <v>1</v>
      </c>
      <c r="Q515">
        <v>1.01</v>
      </c>
      <c r="R515">
        <v>1.2</v>
      </c>
      <c r="S515">
        <v>1.2</v>
      </c>
      <c r="T515">
        <v>1.05</v>
      </c>
      <c r="U515">
        <f>LN(SQRT(EXP(
SQRT(
+POWER(LN(N515),2)
+POWER(LN(O515),2)
+POWER(LN(P515),2)
+POWER(LN(Q515),2)
+POWER(LN(R515),2)
+POWER(LN(S515),2)
+POWER(LN(T515),2)
)
)))</f>
        <v>0.15984597228197622</v>
      </c>
    </row>
    <row r="516" spans="1:21" x14ac:dyDescent="0.2">
      <c r="A516" t="str">
        <f>VLOOKUP(J516,'dataset mapping'!$A$4:$E$69,2,0)</f>
        <v>high pressure hydrogen storage tank</v>
      </c>
      <c r="B516" s="52">
        <f>((B509/10)/(B507*B503*20*3.6))*IF(B508&lt;&gt;0,B508,1)</f>
        <v>2.5464146196956242E-7</v>
      </c>
      <c r="C516" t="str">
        <f>VLOOKUP(J516,'dataset mapping'!$A$4:$E$69,5,0)</f>
        <v>kilogram</v>
      </c>
      <c r="E516" t="str">
        <f>VLOOKUP(J516,'dataset mapping'!$A$4:$E$69,4,0)</f>
        <v>GLO</v>
      </c>
      <c r="F516" t="s">
        <v>86</v>
      </c>
      <c r="G516" t="str">
        <f>VLOOKUP(J516,'dataset mapping'!$A$4:$E$69,3,0)</f>
        <v>high pressure hydrogen storage tank</v>
      </c>
      <c r="H516" t="s">
        <v>88</v>
      </c>
      <c r="I516" t="s">
        <v>280</v>
      </c>
      <c r="J516" t="s">
        <v>229</v>
      </c>
      <c r="K516" t="str">
        <f>B474</f>
        <v>heat, residential, by conversion of hydrogen using fuel cell, PEM, allocated by exergy, transported by truck, produced by Electrolysis, Alkaline using water and electricity from grid</v>
      </c>
      <c r="L516">
        <f>IF(OR(B516&lt;0,B516=0),1,2)</f>
        <v>2</v>
      </c>
      <c r="M516">
        <f>IF(L516=2,LN(B516),"")</f>
        <v>-15.183409312669692</v>
      </c>
      <c r="N516">
        <v>1</v>
      </c>
      <c r="O516" s="15">
        <v>1.2</v>
      </c>
      <c r="P516">
        <v>1</v>
      </c>
      <c r="Q516">
        <v>1.01</v>
      </c>
      <c r="R516">
        <v>1.2</v>
      </c>
      <c r="S516">
        <v>1.2</v>
      </c>
      <c r="T516">
        <v>3</v>
      </c>
      <c r="U516">
        <f>LN(SQRT(EXP(
SQRT(
+POWER(LN(N516),2)
+POWER(LN(O516),2)
+POWER(LN(P516),2)
+POWER(LN(Q516),2)
+POWER(LN(R516),2)
+POWER(LN(S516),2)
+POWER(LN(T516),2)
)
)))</f>
        <v>0.57157051623399524</v>
      </c>
    </row>
    <row r="517" spans="1:21" x14ac:dyDescent="0.2">
      <c r="A517" t="s">
        <v>134</v>
      </c>
      <c r="B517" s="45">
        <f>B515*9</f>
        <v>2.0900971198461685E-2</v>
      </c>
      <c r="C517" t="s">
        <v>56</v>
      </c>
      <c r="D517" t="s">
        <v>100</v>
      </c>
      <c r="F517" t="s">
        <v>99</v>
      </c>
      <c r="H517" t="s">
        <v>131</v>
      </c>
      <c r="I517" t="s">
        <v>1057</v>
      </c>
      <c r="K517" t="str">
        <f>B474</f>
        <v>heat, residential, by conversion of hydrogen using fuel cell, PEM, allocated by exergy, transported by truck, produced by Electrolysis, Alkaline using water and electricity from grid</v>
      </c>
      <c r="L517">
        <f>IF(OR(B517&lt;0,B517=0),1,2)</f>
        <v>2</v>
      </c>
      <c r="M517">
        <f>IF(L517=2,LN(B517),"")</f>
        <v>-3.8679596522650961</v>
      </c>
      <c r="N517">
        <v>1</v>
      </c>
      <c r="O517" s="15">
        <v>1.2</v>
      </c>
      <c r="P517">
        <v>1</v>
      </c>
      <c r="Q517">
        <v>1.01</v>
      </c>
      <c r="R517">
        <v>1.2</v>
      </c>
      <c r="S517">
        <v>1.2</v>
      </c>
      <c r="T517">
        <v>1.05</v>
      </c>
      <c r="U517">
        <f>LN(SQRT(EXP(
SQRT(
+POWER(LN(N517),2)
+POWER(LN(O517),2)
+POWER(LN(P517),2)
+POWER(LN(Q517),2)
+POWER(LN(R517),2)
+POWER(LN(S517),2)
+POWER(LN(T517),2)
)
)))</f>
        <v>0.15984597228197622</v>
      </c>
    </row>
    <row r="519" spans="1:21" x14ac:dyDescent="0.2">
      <c r="A519" s="2" t="s">
        <v>50</v>
      </c>
      <c r="B519" s="44" t="str">
        <f>IF(B525="megajoule","heat","electricity")&amp;", residential, by "&amp;B530&amp;" of "&amp;B529&amp;" using "&amp;B531&amp;IF(B532&lt;&gt;0,", allocated by "&amp;B532,"")&amp;", transported by "&amp;B533&amp;", produced by "&amp;B537&amp;" using "&amp;B538&amp;" from "&amp;B539</f>
        <v>electricity, residential, by conversion of hydrogen using fuel cell, PEM, allocated by exergy, transported by truck, produced by Electrolysis, Alkaline using water and electricity from grid</v>
      </c>
    </row>
    <row r="520" spans="1:21" x14ac:dyDescent="0.2">
      <c r="A520" t="s">
        <v>51</v>
      </c>
      <c r="B520" s="45" t="str">
        <f>"This dataset represents the supply of 1 "&amp;IF(B525="megajoule","megajoule of heat","kilowatt hour of electricity")&amp;" in a residence, by "&amp;B529&amp;" "&amp;B530&amp;" in a "&amp;B531&amp;". "&amp;" The hydrogen is transported by "&amp;B533&amp;" over "&amp;B534&amp;" km from regional storage. "&amp;" The "&amp;B529&amp;" is produced by  "&amp;B537&amp;", with "&amp;B538&amp;" from "&amp;B539&amp;" as feedstock. "&amp;A541&amp;": "&amp;(B541*100)&amp;"%. "&amp;A542&amp;": "&amp;B542&amp;". "&amp;A543&amp;": "&amp;B543&amp;". "&amp;A544&amp;": "&amp;(B544*100)&amp;"%. "&amp;A545&amp;": "&amp;(B545*100)&amp;"%. "&amp;A546&amp;": "&amp;(B546*100)&amp;"%. "&amp;A547&amp;": "&amp;B547&amp;". "&amp;A548&amp;": "&amp;B548&amp;". "&amp;A549&amp;": "&amp;(B549*100)&amp;"%. "&amp;A550&amp;": "&amp;B550&amp;". "&amp;A551&amp;": "&amp;B551&amp;". "&amp;A552&amp;": "&amp;B552&amp;". "&amp;A553&amp;": "&amp;B553&amp;".  For more information, refer to: "&amp;B521</f>
        <v>This dataset represents the supply of 1 kilowatt hour of electricity in a residence, by hydrogen conversion in a fuel cell, PEM.  The hydrogen is transported by truck over 200 km from regional storage.  The hydrogen is produced by  Electrolysis, Alkaline,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521" spans="1:21" x14ac:dyDescent="0.2">
      <c r="A521" t="s">
        <v>63</v>
      </c>
      <c r="B521" s="45" t="s">
        <v>1223</v>
      </c>
    </row>
    <row r="522" spans="1:21" x14ac:dyDescent="0.2">
      <c r="A522" t="s">
        <v>52</v>
      </c>
      <c r="B522" s="45" t="s">
        <v>64</v>
      </c>
    </row>
    <row r="523" spans="1:21" x14ac:dyDescent="0.2">
      <c r="A523" t="s">
        <v>48</v>
      </c>
      <c r="B523" s="45" t="s">
        <v>869</v>
      </c>
    </row>
    <row r="524" spans="1:21" x14ac:dyDescent="0.2">
      <c r="A524" t="s">
        <v>54</v>
      </c>
      <c r="B524" s="45" t="str">
        <f>INDEX(overview!$B$4:$R$338,MATCH('hydrogen - electrolysis'!B523,overview!$A$4:$A$338,0),MATCH('hydrogen - electrolysis'!A524,overview!$B$3:$R$3,0))</f>
        <v>electricity, from residential heating system</v>
      </c>
    </row>
    <row r="525" spans="1:21" x14ac:dyDescent="0.2">
      <c r="A525" t="s">
        <v>55</v>
      </c>
      <c r="B525" s="45" t="str">
        <f>INDEX(overview!$B$4:$R$338,MATCH('hydrogen - electrolysis'!B523,overview!$A$4:$A$338,0),MATCH('hydrogen - electrolysis'!A525,overview!$B$3:$R$3,0))</f>
        <v>kilowatt hour</v>
      </c>
    </row>
    <row r="526" spans="1:21" x14ac:dyDescent="0.2">
      <c r="A526" t="s">
        <v>0</v>
      </c>
      <c r="B526" s="45" t="str">
        <f>INDEX(overview!$B$4:$R$338,MATCH('hydrogen - electrolysis'!B523,overview!$A$4:$A$338,0),MATCH('hydrogen - electrolysis'!A526,overview!$B$3:$R$3,0))</f>
        <v>Switzerland</v>
      </c>
    </row>
    <row r="527" spans="1:21" x14ac:dyDescent="0.2">
      <c r="A527" t="s">
        <v>1</v>
      </c>
      <c r="B527" s="45">
        <f>INDEX(overview!$B$4:$R$338,MATCH('hydrogen - electrolysis'!B523,overview!$A$4:$A$338,0),MATCH('hydrogen - electrolysis'!A527,overview!$B$3:$R$3,0))</f>
        <v>2020</v>
      </c>
    </row>
    <row r="528" spans="1:21" x14ac:dyDescent="0.2">
      <c r="A528" t="s">
        <v>2</v>
      </c>
      <c r="B528" s="45" t="str">
        <f>INDEX(overview!$B$4:$R$338,MATCH('hydrogen - electrolysis'!B523,overview!$A$4:$A$338,0),MATCH('hydrogen - electrolysis'!A528,overview!$B$3:$R$3,0))</f>
        <v>1 kWh electricity</v>
      </c>
    </row>
    <row r="529" spans="1:2" x14ac:dyDescent="0.2">
      <c r="A529" t="s">
        <v>5</v>
      </c>
      <c r="B529" s="45" t="str">
        <f>INDEX(overview!$B$4:$R$338,MATCH('hydrogen - electrolysis'!B523,overview!$A$4:$A$338,0),MATCH('hydrogen - electrolysis'!A529,overview!$B$3:$R$3,0))</f>
        <v>hydrogen</v>
      </c>
    </row>
    <row r="530" spans="1:2" x14ac:dyDescent="0.2">
      <c r="A530" t="s">
        <v>3</v>
      </c>
      <c r="B530" s="45" t="str">
        <f>INDEX(overview!$B$4:$R$338,MATCH('hydrogen - electrolysis'!B523,overview!$A$4:$A$338,0),MATCH('hydrogen - electrolysis'!A530,overview!$B$3:$R$3,0))</f>
        <v>conversion</v>
      </c>
    </row>
    <row r="531" spans="1:2" x14ac:dyDescent="0.2">
      <c r="A531" t="s">
        <v>6</v>
      </c>
      <c r="B531" s="45" t="str">
        <f>INDEX(overview!$B$4:$R$338,MATCH('hydrogen - electrolysis'!B523,overview!$A$4:$A$338,0),MATCH('hydrogen - electrolysis'!A531,overview!$B$3:$R$3,0))</f>
        <v>fuel cell, PEM</v>
      </c>
    </row>
    <row r="532" spans="1:2" x14ac:dyDescent="0.2">
      <c r="A532" t="s">
        <v>39</v>
      </c>
      <c r="B532" s="45" t="str">
        <f>INDEX(overview!$B$4:$R$338,MATCH('hydrogen - electrolysis'!B523,overview!$A$4:$A$338,0),MATCH('hydrogen - electrolysis'!A532,overview!$B$3:$R$3,0))</f>
        <v>exergy</v>
      </c>
    </row>
    <row r="533" spans="1:2" x14ac:dyDescent="0.2">
      <c r="A533" t="s">
        <v>4</v>
      </c>
      <c r="B533" s="45" t="str">
        <f>INDEX(overview!$B$4:$R$338,MATCH('hydrogen - electrolysis'!B523,overview!$A$4:$A$338,0),MATCH('hydrogen - electrolysis'!A533,overview!$B$3:$R$3,0))</f>
        <v>truck</v>
      </c>
    </row>
    <row r="534" spans="1:2" x14ac:dyDescent="0.2">
      <c r="A534" t="s">
        <v>38</v>
      </c>
      <c r="B534" s="45">
        <f>INDEX(overview!$B$4:$R$338,MATCH('hydrogen - electrolysis'!B523,overview!$A$4:$A$338,0),MATCH('hydrogen - electrolysis'!A534,overview!$B$3:$R$3,0))</f>
        <v>200</v>
      </c>
    </row>
    <row r="535" spans="1:2" x14ac:dyDescent="0.2">
      <c r="A535" t="s">
        <v>12</v>
      </c>
      <c r="B535" s="45" t="str">
        <f>INDEX(overview!$B$4:$R$338,MATCH('hydrogen - electrolysis'!B523,overview!$A$4:$A$338,0),MATCH('hydrogen - electrolysis'!A535,overview!$B$3:$R$3,0))</f>
        <v>Pressure vessel for stationary storage</v>
      </c>
    </row>
    <row r="536" spans="1:2" x14ac:dyDescent="0.2">
      <c r="A536" t="s">
        <v>34</v>
      </c>
      <c r="B536" s="45">
        <f>INDEX(overview!$B$4:$R$338,MATCH('hydrogen - electrolysis'!B523,overview!$A$4:$A$338,0),MATCH('hydrogen - electrolysis'!A536,overview!$B$3:$R$3,0))</f>
        <v>0</v>
      </c>
    </row>
    <row r="537" spans="1:2" x14ac:dyDescent="0.2">
      <c r="A537" t="s">
        <v>15</v>
      </c>
      <c r="B537" s="45" t="str">
        <f>INDEX(overview!$B$4:$R$338,MATCH('hydrogen - electrolysis'!B523,overview!$A$4:$A$338,0),MATCH('hydrogen - electrolysis'!A537,overview!$B$3:$R$3,0))</f>
        <v>Electrolysis, Alkaline</v>
      </c>
    </row>
    <row r="538" spans="1:2" x14ac:dyDescent="0.2">
      <c r="A538" t="s">
        <v>14</v>
      </c>
      <c r="B538" s="45" t="str">
        <f>INDEX(overview!$B$4:$R$338,MATCH('hydrogen - electrolysis'!B523,overview!$A$4:$A$338,0),MATCH('hydrogen - electrolysis'!A538,overview!$B$3:$R$3,0))</f>
        <v>water and electricity</v>
      </c>
    </row>
    <row r="539" spans="1:2" x14ac:dyDescent="0.2">
      <c r="A539" t="s">
        <v>26</v>
      </c>
      <c r="B539" s="45" t="str">
        <f>INDEX(overview!$B$4:$R$338,MATCH('hydrogen - electrolysis'!B523,overview!$A$4:$A$338,0),MATCH('hydrogen - electrolysis'!A539,overview!$B$3:$R$3,0))</f>
        <v>grid</v>
      </c>
    </row>
    <row r="540" spans="1:2" x14ac:dyDescent="0.2">
      <c r="A540" t="s">
        <v>29</v>
      </c>
      <c r="B540" s="45">
        <f>INDEX(overview!$B$4:$R$338,MATCH('hydrogen - electrolysis'!B523,overview!$A$4:$A$338,0),MATCH('hydrogen - electrolysis'!A540,overview!$B$3:$R$3,0))</f>
        <v>0</v>
      </c>
    </row>
    <row r="541" spans="1:2" x14ac:dyDescent="0.2">
      <c r="A541" t="str">
        <f>IF(B525="megajoule","Heat","Electricity")&amp;" conversion efficiency [% LHV input]"</f>
        <v>Electricity conversion efficiency [% LHV input]</v>
      </c>
      <c r="B541" s="46">
        <f>INDEX(parameters!$D$4:$N$20,MATCH('hydrogen - electrolysis'!B529&amp;'hydrogen - electrolysis'!B531,parameters!$A$4:$A$20,0),MATCH('hydrogen - electrolysis'!A541,parameters!$D$3:$N$3,0))</f>
        <v>0.45</v>
      </c>
    </row>
    <row r="542" spans="1:2" x14ac:dyDescent="0.2">
      <c r="A542" t="str">
        <f>IF(B525="megajoule","LHV [MJ/kg]","LHV [kWh/kg]")</f>
        <v>LHV [kWh/kg]</v>
      </c>
      <c r="B542" s="47">
        <f>INDEX(parameters!$D$4:$N$20,MATCH('hydrogen - electrolysis'!B529&amp;'hydrogen - electrolysis'!B531,parameters!$A$4:$A$20,0),MATCH('hydrogen - electrolysis'!A542,parameters!$D$3:$N$3,0))</f>
        <v>33.333333333333336</v>
      </c>
    </row>
    <row r="543" spans="1:2" x14ac:dyDescent="0.2">
      <c r="A543" t="s">
        <v>41</v>
      </c>
      <c r="B543" s="48">
        <f>INDEX(parameters!$D$4:$N$20,MATCH('hydrogen - electrolysis'!B529&amp;'hydrogen - electrolysis'!B531,parameters!$A$4:$A$20,0),MATCH('hydrogen - electrolysis'!A543,parameters!$D$3:$N$3,0))</f>
        <v>2.6666666666666665E-2</v>
      </c>
    </row>
    <row r="544" spans="1:2" x14ac:dyDescent="0.2">
      <c r="A544" t="s">
        <v>45</v>
      </c>
      <c r="B544" s="46">
        <f>INDEX(parameters!$D$4:$N$20,MATCH('hydrogen - electrolysis'!B529&amp;'hydrogen - electrolysis'!B531,parameters!$A$4:$A$20,0),MATCH('hydrogen - electrolysis'!A544,parameters!$D$3:$N$3,0))</f>
        <v>0</v>
      </c>
    </row>
    <row r="545" spans="1:22" x14ac:dyDescent="0.2">
      <c r="A545" t="s">
        <v>46</v>
      </c>
      <c r="B545" s="46">
        <f>INDEX(parameters!$D$4:$N$20,MATCH('hydrogen - electrolysis'!B529&amp;'hydrogen - electrolysis'!B531,parameters!$A$4:$A$20,0),MATCH('hydrogen - electrolysis'!A545,parameters!$D$3:$N$3,0))</f>
        <v>1.4999999999999999E-2</v>
      </c>
    </row>
    <row r="546" spans="1:22" x14ac:dyDescent="0.2">
      <c r="A546" t="s">
        <v>43</v>
      </c>
      <c r="B546" s="46">
        <f>INDEX(parameters!$D$4:$N$20,MATCH('hydrogen - electrolysis'!B529&amp;'hydrogen - electrolysis'!B531,parameters!$A$4:$A$20,0),MATCH('hydrogen - electrolysis'!A546,parameters!$D$3:$N$3,0))</f>
        <v>0</v>
      </c>
    </row>
    <row r="547" spans="1:22" x14ac:dyDescent="0.2">
      <c r="A547" t="s">
        <v>44</v>
      </c>
      <c r="B547" s="46">
        <f>INDEX(parameters!$D$4:$N$20,MATCH('hydrogen - electrolysis'!B529&amp;'hydrogen - electrolysis'!B531,parameters!$A$4:$A$20,0),MATCH('hydrogen - electrolysis'!A547,parameters!$D$3:$N$3,0))</f>
        <v>0</v>
      </c>
    </row>
    <row r="548" spans="1:22" x14ac:dyDescent="0.2">
      <c r="A548" t="s">
        <v>634</v>
      </c>
      <c r="B548" s="51">
        <f>INDEX(parameters!$D$4:$Y$20,MATCH('hydrogen - electrolysis'!B529&amp;'hydrogen - electrolysis'!B531,parameters!$A$4:$A$20,0),MATCH('hydrogen - electrolysis'!A548,parameters!$D$3:$Y$3,0))</f>
        <v>1.8947368421052633</v>
      </c>
    </row>
    <row r="549" spans="1:22" x14ac:dyDescent="0.2">
      <c r="A549" t="s">
        <v>82</v>
      </c>
      <c r="B549" s="46">
        <f>IF(B540&lt;&gt;0,VLOOKUP(B540,parameters!A405:B407,2,0),0)</f>
        <v>0</v>
      </c>
    </row>
    <row r="550" spans="1:22" x14ac:dyDescent="0.2">
      <c r="A550" t="s">
        <v>548</v>
      </c>
      <c r="B550" s="50">
        <f>INDEX(parameters!$D$4:$P$20,MATCH(B529&amp;B531,parameters!$A$4:$A$20,0),MATCH(A550,parameters!$D$3:$P$3,0))</f>
        <v>0.8</v>
      </c>
    </row>
    <row r="551" spans="1:22" x14ac:dyDescent="0.2">
      <c r="A551" t="s">
        <v>547</v>
      </c>
      <c r="B551" s="51">
        <f>INDEX(parameters!$D$4:$P$20,MATCH(B529&amp;B531,parameters!$A$4:$A$20,0),MATCH(A551,parameters!$D$3:$P$3,0))</f>
        <v>4.8780487804878048</v>
      </c>
    </row>
    <row r="552" spans="1:22" x14ac:dyDescent="0.2">
      <c r="A552" t="s">
        <v>630</v>
      </c>
      <c r="B552" s="51">
        <f>INDEX(parameters!$D$4:$T$20,MATCH(B529&amp;B531,parameters!$A$4:$A$20,0),MATCH(A552,parameters!$D$3:$T$3,0))</f>
        <v>4100</v>
      </c>
    </row>
    <row r="553" spans="1:22" x14ac:dyDescent="0.2">
      <c r="A553" t="s">
        <v>1005</v>
      </c>
      <c r="B553" s="50">
        <f>IF(B525="megajoule",SUMIFS(allocation!$I$4:$I$30,allocation!$B$4:$B$30,B531,allocation!$C$4:$C$30,B532),SUMIFS(allocation!$J$4:$J$30,allocation!$B$4:$B$30,B531,allocation!$C$4:$C$30,B532))</f>
        <v>0.86066019201025545</v>
      </c>
    </row>
    <row r="554" spans="1:22" x14ac:dyDescent="0.2">
      <c r="A554" t="s">
        <v>1050</v>
      </c>
      <c r="B554" s="51">
        <f>INDEX(parameters!$D$4:$AB$20,MATCH(B529&amp;B531,parameters!$A$4:$A$20,0),MATCH(A554,parameters!$D$3:$AB$3,0))</f>
        <v>10.221606648199446</v>
      </c>
    </row>
    <row r="556" spans="1:22" x14ac:dyDescent="0.2">
      <c r="A556" s="3" t="s">
        <v>57</v>
      </c>
    </row>
    <row r="557" spans="1:22" x14ac:dyDescent="0.2">
      <c r="A557" s="2" t="s">
        <v>58</v>
      </c>
      <c r="B557" s="44" t="s">
        <v>59</v>
      </c>
      <c r="C557" s="2" t="s">
        <v>55</v>
      </c>
      <c r="D557" s="2" t="s">
        <v>60</v>
      </c>
      <c r="E557" s="2" t="s">
        <v>52</v>
      </c>
      <c r="F557" s="2" t="s">
        <v>61</v>
      </c>
      <c r="G557" s="2" t="s">
        <v>54</v>
      </c>
      <c r="H557" s="2" t="s">
        <v>87</v>
      </c>
      <c r="I557" s="2" t="s">
        <v>51</v>
      </c>
      <c r="J557" s="2" t="s">
        <v>138</v>
      </c>
      <c r="K557" s="2" t="s">
        <v>136</v>
      </c>
      <c r="L557" s="2" t="s">
        <v>221</v>
      </c>
      <c r="M557" s="2" t="s">
        <v>379</v>
      </c>
      <c r="N557" s="2" t="s">
        <v>1059</v>
      </c>
      <c r="O557" s="2" t="s">
        <v>1060</v>
      </c>
      <c r="P557" s="2" t="s">
        <v>1061</v>
      </c>
      <c r="Q557" s="2" t="s">
        <v>1062</v>
      </c>
      <c r="R557" s="2" t="s">
        <v>1063</v>
      </c>
      <c r="S557" s="2" t="s">
        <v>1064</v>
      </c>
      <c r="T557" s="2" t="s">
        <v>1065</v>
      </c>
      <c r="U557" s="2" t="s">
        <v>380</v>
      </c>
      <c r="V557" s="2" t="s">
        <v>1128</v>
      </c>
    </row>
    <row r="558" spans="1:22" x14ac:dyDescent="0.2">
      <c r="A558" t="str">
        <f>B519</f>
        <v>electricity, residential, by conversion of hydrogen using fuel cell, PEM, allocated by exergy, transported by truck, produced by Electrolysis, Alkaline using water and electricity from grid</v>
      </c>
      <c r="B558" s="45">
        <v>1</v>
      </c>
      <c r="C558" t="str">
        <f>B525</f>
        <v>kilowatt hour</v>
      </c>
      <c r="E558" t="str">
        <f>B522</f>
        <v>CH</v>
      </c>
      <c r="F558" t="s">
        <v>62</v>
      </c>
      <c r="G558" t="str">
        <f>B524</f>
        <v>electricity, from residential heating system</v>
      </c>
      <c r="K558" t="str">
        <f>B519</f>
        <v>electricity, residential, by conversion of hydrogen using fuel cell, PEM, allocated by exergy, transported by truck, produced by Electrolysis, Alkaline using water and electricity from grid</v>
      </c>
    </row>
    <row r="559" spans="1:22" x14ac:dyDescent="0.2">
      <c r="A559" t="str">
        <f>VLOOKUP(J559,'dataset mapping'!$A$4:$E$69,2,0)</f>
        <v>fuel cell system assembly, 1 kWe, proton exchange membrane (PEM)</v>
      </c>
      <c r="B559" s="52">
        <f>(1/(B548*B552*B551))*B553</f>
        <v>2.2711866178048405E-5</v>
      </c>
      <c r="C559" t="str">
        <f>VLOOKUP(J559,'dataset mapping'!$A$4:$E$69,5,0)</f>
        <v>unit</v>
      </c>
      <c r="E559" t="str">
        <f>VLOOKUP(J559,'dataset mapping'!$A$4:$E$69,4,0)</f>
        <v>GLO</v>
      </c>
      <c r="F559" t="s">
        <v>86</v>
      </c>
      <c r="G559" t="str">
        <f>VLOOKUP(J559,'dataset mapping'!$A$4:$E$69,3,0)</f>
        <v>fuel cell system, 1 kWe, proton exchange membrane (PEM)</v>
      </c>
      <c r="H559" t="s">
        <v>88</v>
      </c>
      <c r="I559" t="s">
        <v>272</v>
      </c>
      <c r="J559" t="s">
        <v>273</v>
      </c>
      <c r="K559" t="str">
        <f>B519</f>
        <v>electricity, residential, by conversion of hydrogen using fuel cell, PEM, allocated by exergy, transported by truck, produced by Electrolysis, Alkaline using water and electricity from grid</v>
      </c>
      <c r="L559">
        <f>IF(OR(B559&lt;0,B559=0),1,2)</f>
        <v>2</v>
      </c>
      <c r="M559">
        <f>IF(L559=2,LN(B559),"")</f>
        <v>-10.692623030936341</v>
      </c>
      <c r="N559">
        <v>1</v>
      </c>
      <c r="O559" s="15">
        <v>1.2</v>
      </c>
      <c r="P559">
        <v>1</v>
      </c>
      <c r="Q559">
        <v>1.01</v>
      </c>
      <c r="R559">
        <v>1.2</v>
      </c>
      <c r="S559">
        <v>1.2</v>
      </c>
      <c r="T559">
        <v>3</v>
      </c>
      <c r="U559">
        <f>LN(SQRT(EXP(
SQRT(
+POWER(LN(N559),2)
+POWER(LN(O559),2)
+POWER(LN(P559),2)
+POWER(LN(Q559),2)
+POWER(LN(R559),2)
+POWER(LN(S559),2)
+POWER(LN(T559),2)
)
)))</f>
        <v>0.57157051623399524</v>
      </c>
    </row>
    <row r="560" spans="1:22" x14ac:dyDescent="0.2">
      <c r="A560" t="s">
        <v>1136</v>
      </c>
      <c r="B560" s="53">
        <f>(B558/B542)/B541*B553</f>
        <v>5.7377346134017029E-2</v>
      </c>
      <c r="C560" t="str">
        <f>VLOOKUP(J560,'dataset mapping'!$A$4:$E$69,5,0)</f>
        <v>kilogram</v>
      </c>
      <c r="E560" t="str">
        <f>VLOOKUP(J560,'dataset mapping'!$A$4:$E$69,4,0)</f>
        <v>CH</v>
      </c>
      <c r="F560" t="s">
        <v>86</v>
      </c>
      <c r="G560" t="s">
        <v>1137</v>
      </c>
      <c r="H560" t="s">
        <v>76</v>
      </c>
      <c r="I560" t="s">
        <v>1054</v>
      </c>
      <c r="J560" t="s">
        <v>231</v>
      </c>
      <c r="K560" t="str">
        <f>B519</f>
        <v>electricity, residential, by conversion of hydrogen using fuel cell, PEM, allocated by exergy, transported by truck, produced by Electrolysis, Alkaline using water and electricity from grid</v>
      </c>
      <c r="L560">
        <f>IF(OR(B560&lt;0,B560=0),1,2)</f>
        <v>2</v>
      </c>
      <c r="M560">
        <f>IF(L560=2,LN(B560),"")</f>
        <v>-2.8581057202127536</v>
      </c>
      <c r="N560">
        <v>1</v>
      </c>
      <c r="O560" s="15">
        <v>1.2</v>
      </c>
      <c r="P560">
        <v>1</v>
      </c>
      <c r="Q560">
        <v>1.01</v>
      </c>
      <c r="R560">
        <v>1.2</v>
      </c>
      <c r="S560">
        <v>1.2</v>
      </c>
      <c r="T560">
        <v>1.05</v>
      </c>
      <c r="U560">
        <f>LN(SQRT(EXP(
SQRT(
+POWER(LN(N560),2)
+POWER(LN(O560),2)
+POWER(LN(P560),2)
+POWER(LN(Q560),2)
+POWER(LN(R560),2)
+POWER(LN(S560),2)
+POWER(LN(T560),2)
)
)))</f>
        <v>0.15984597228197622</v>
      </c>
    </row>
    <row r="561" spans="1:21" x14ac:dyDescent="0.2">
      <c r="A561" t="str">
        <f>VLOOKUP(J561,'dataset mapping'!$A$4:$E$69,2,0)</f>
        <v>high pressure hydrogen storage tank</v>
      </c>
      <c r="B561" s="52">
        <f>((B554/10)/(B552*B548*20))*IF(B553&lt;&gt;0,B553,1)</f>
        <v>5.6622381053306285E-6</v>
      </c>
      <c r="C561" t="str">
        <f>VLOOKUP(J561,'dataset mapping'!$A$4:$E$69,5,0)</f>
        <v>kilogram</v>
      </c>
      <c r="E561" t="str">
        <f>VLOOKUP(J561,'dataset mapping'!$A$4:$E$69,4,0)</f>
        <v>GLO</v>
      </c>
      <c r="F561" t="s">
        <v>86</v>
      </c>
      <c r="G561" t="str">
        <f>VLOOKUP(J561,'dataset mapping'!$A$4:$E$69,3,0)</f>
        <v>high pressure hydrogen storage tank</v>
      </c>
      <c r="H561" t="s">
        <v>88</v>
      </c>
      <c r="I561" t="s">
        <v>280</v>
      </c>
      <c r="J561" t="s">
        <v>229</v>
      </c>
      <c r="K561" t="str">
        <f>B519</f>
        <v>electricity, residential, by conversion of hydrogen using fuel cell, PEM, allocated by exergy, transported by truck, produced by Electrolysis, Alkaline using water and electricity from grid</v>
      </c>
      <c r="L561">
        <f>IF(OR(B561&lt;0,B561=0),1,2)</f>
        <v>2</v>
      </c>
      <c r="M561">
        <f>IF(L561=2,LN(B561),"")</f>
        <v>-12.081691318938956</v>
      </c>
      <c r="N561">
        <v>1</v>
      </c>
      <c r="O561" s="15">
        <v>1.2</v>
      </c>
      <c r="P561">
        <v>1</v>
      </c>
      <c r="Q561">
        <v>1.01</v>
      </c>
      <c r="R561">
        <v>1.2</v>
      </c>
      <c r="S561">
        <v>1.2</v>
      </c>
      <c r="T561">
        <v>3</v>
      </c>
      <c r="U561">
        <f>LN(SQRT(EXP(
SQRT(
+POWER(LN(N561),2)
+POWER(LN(O561),2)
+POWER(LN(P561),2)
+POWER(LN(Q561),2)
+POWER(LN(R561),2)
+POWER(LN(S561),2)
+POWER(LN(T561),2)
)
)))</f>
        <v>0.57157051623399524</v>
      </c>
    </row>
    <row r="562" spans="1:21" x14ac:dyDescent="0.2">
      <c r="A562" t="s">
        <v>134</v>
      </c>
      <c r="B562" s="45">
        <f>B560*9</f>
        <v>0.51639611520615325</v>
      </c>
      <c r="C562" t="s">
        <v>56</v>
      </c>
      <c r="D562" t="s">
        <v>100</v>
      </c>
      <c r="F562" t="s">
        <v>99</v>
      </c>
      <c r="H562" t="s">
        <v>131</v>
      </c>
      <c r="I562" t="s">
        <v>1057</v>
      </c>
      <c r="K562" t="str">
        <f>B519</f>
        <v>electricity, residential, by conversion of hydrogen using fuel cell, PEM, allocated by exergy, transported by truck, produced by Electrolysis, Alkaline using water and electricity from grid</v>
      </c>
      <c r="L562">
        <f>IF(OR(B562&lt;0,B562=0),1,2)</f>
        <v>2</v>
      </c>
      <c r="M562">
        <f>IF(L562=2,LN(B562),"")</f>
        <v>-0.6608811428765341</v>
      </c>
      <c r="N562">
        <v>1</v>
      </c>
      <c r="O562" s="15">
        <v>1.2</v>
      </c>
      <c r="P562">
        <v>1</v>
      </c>
      <c r="Q562">
        <v>1.01</v>
      </c>
      <c r="R562">
        <v>1.2</v>
      </c>
      <c r="S562">
        <v>1.2</v>
      </c>
      <c r="T562">
        <v>1.05</v>
      </c>
      <c r="U562">
        <f>LN(SQRT(EXP(
SQRT(
+POWER(LN(N562),2)
+POWER(LN(O562),2)
+POWER(LN(P562),2)
+POWER(LN(Q562),2)
+POWER(LN(R562),2)
+POWER(LN(S562),2)
+POWER(LN(T562),2)
)
)))</f>
        <v>0.15984597228197622</v>
      </c>
    </row>
    <row r="564" spans="1:21" x14ac:dyDescent="0.2">
      <c r="A564" s="2" t="s">
        <v>50</v>
      </c>
      <c r="B564" s="44" t="str">
        <f>IF(B570="megajoule","heat","electricity")&amp;", residential, by "&amp;B575&amp;" of "&amp;B574&amp;" using "&amp;B576&amp;IF(B577&lt;&gt;0,", allocated by "&amp;B577,"")&amp;", transported by "&amp;B578&amp;", produced by "&amp;B582&amp;" using "&amp;B583&amp;" from "&amp;B584</f>
        <v>heat, residential, by conversion of hydrogen using fuel cell, SOFC, allocated by exergy, transported by truck, produced by Electrolysis, Alkaline using water and electricity from grid</v>
      </c>
    </row>
    <row r="565" spans="1:21" x14ac:dyDescent="0.2">
      <c r="A565" t="s">
        <v>51</v>
      </c>
      <c r="B565" s="45" t="str">
        <f>"This dataset represents the supply of 1 "&amp;IF(B570="megajoule","megajoule of heat","kilowatt hour of electricity")&amp;" in a residence, by "&amp;B574&amp;" "&amp;B575&amp;" in a "&amp;B576&amp;". "&amp;" The hydrogen is transported by "&amp;B578&amp;" over "&amp;B579&amp;" km from regional storage. "&amp;" The "&amp;B574&amp;" is produced by  "&amp;B582&amp;", with "&amp;B583&amp;" from "&amp;B584&amp;" as feedstock. "&amp;A586&amp;": "&amp;(B586*100)&amp;"%. "&amp;A587&amp;": "&amp;B587&amp;". "&amp;A588&amp;": "&amp;B588&amp;". "&amp;A589&amp;": "&amp;(B589*100)&amp;"%. "&amp;A590&amp;": "&amp;(B590*100)&amp;"%. "&amp;A591&amp;": "&amp;(B591*100)&amp;"%. "&amp;A592&amp;": "&amp;B592&amp;". "&amp;A593&amp;": "&amp;B593&amp;". "&amp;A594&amp;": "&amp;(B594*100)&amp;"%. "&amp;A595&amp;": "&amp;B595&amp;". "&amp;A596&amp;": "&amp;B596&amp;". "&amp;A597&amp;": "&amp;B597&amp;". "&amp;A598&amp;": "&amp;B598&amp;".  For more information, refer to: "&amp;B566</f>
        <v>This dataset represents the supply of 1 megajoule of heat in a residence, by hydrogen conversion in a fuel cell, SOFC.  The hydrogen is transported by truck over 200 km from regional storage.  The hydrogen is produced by  Electrolysis, Alkaline,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566" spans="1:21" x14ac:dyDescent="0.2">
      <c r="A566" t="s">
        <v>63</v>
      </c>
      <c r="B566" s="45" t="s">
        <v>1223</v>
      </c>
    </row>
    <row r="567" spans="1:21" x14ac:dyDescent="0.2">
      <c r="A567" t="s">
        <v>52</v>
      </c>
      <c r="B567" s="45" t="s">
        <v>64</v>
      </c>
    </row>
    <row r="568" spans="1:21" x14ac:dyDescent="0.2">
      <c r="A568" t="s">
        <v>48</v>
      </c>
      <c r="B568" s="45">
        <v>8</v>
      </c>
    </row>
    <row r="569" spans="1:21" x14ac:dyDescent="0.2">
      <c r="A569" t="s">
        <v>54</v>
      </c>
      <c r="B569" s="45" t="str">
        <f>INDEX(overview!$B$4:$R$338,MATCH('hydrogen - electrolysis'!B568,overview!$A$4:$A$338,0),MATCH('hydrogen - electrolysis'!A569,overview!$B$3:$R$3,0))</f>
        <v>heat, from residential heating system</v>
      </c>
    </row>
    <row r="570" spans="1:21" x14ac:dyDescent="0.2">
      <c r="A570" t="s">
        <v>55</v>
      </c>
      <c r="B570" s="45" t="str">
        <f>INDEX(overview!$B$4:$R$338,MATCH('hydrogen - electrolysis'!B568,overview!$A$4:$A$338,0),MATCH('hydrogen - electrolysis'!A570,overview!$B$3:$R$3,0))</f>
        <v>megajoule</v>
      </c>
    </row>
    <row r="571" spans="1:21" x14ac:dyDescent="0.2">
      <c r="A571" t="s">
        <v>0</v>
      </c>
      <c r="B571" s="45" t="str">
        <f>INDEX(overview!$B$4:$R$338,MATCH('hydrogen - electrolysis'!B568,overview!$A$4:$A$338,0),MATCH('hydrogen - electrolysis'!A571,overview!$B$3:$R$3,0))</f>
        <v>Switzerland</v>
      </c>
    </row>
    <row r="572" spans="1:21" x14ac:dyDescent="0.2">
      <c r="A572" t="s">
        <v>1</v>
      </c>
      <c r="B572" s="45">
        <f>INDEX(overview!$B$4:$R$338,MATCH('hydrogen - electrolysis'!B568,overview!$A$4:$A$338,0),MATCH('hydrogen - electrolysis'!A572,overview!$B$3:$R$3,0))</f>
        <v>2020</v>
      </c>
    </row>
    <row r="573" spans="1:21" x14ac:dyDescent="0.2">
      <c r="A573" t="s">
        <v>2</v>
      </c>
      <c r="B573" s="45" t="str">
        <f>INDEX(overview!$B$4:$R$338,MATCH('hydrogen - electrolysis'!B568,overview!$A$4:$A$338,0),MATCH('hydrogen - electrolysis'!A573,overview!$B$3:$R$3,0))</f>
        <v>1 MJ heat</v>
      </c>
    </row>
    <row r="574" spans="1:21" x14ac:dyDescent="0.2">
      <c r="A574" t="s">
        <v>5</v>
      </c>
      <c r="B574" s="45" t="str">
        <f>INDEX(overview!$B$4:$R$338,MATCH('hydrogen - electrolysis'!B568,overview!$A$4:$A$338,0),MATCH('hydrogen - electrolysis'!A574,overview!$B$3:$R$3,0))</f>
        <v>hydrogen</v>
      </c>
    </row>
    <row r="575" spans="1:21" x14ac:dyDescent="0.2">
      <c r="A575" t="s">
        <v>3</v>
      </c>
      <c r="B575" s="45" t="str">
        <f>INDEX(overview!$B$4:$R$338,MATCH('hydrogen - electrolysis'!B568,overview!$A$4:$A$338,0),MATCH('hydrogen - electrolysis'!A575,overview!$B$3:$R$3,0))</f>
        <v>conversion</v>
      </c>
    </row>
    <row r="576" spans="1:21" x14ac:dyDescent="0.2">
      <c r="A576" t="s">
        <v>6</v>
      </c>
      <c r="B576" s="45" t="str">
        <f>INDEX(overview!$B$4:$R$338,MATCH('hydrogen - electrolysis'!B568,overview!$A$4:$A$338,0),MATCH('hydrogen - electrolysis'!A576,overview!$B$3:$R$3,0))</f>
        <v>fuel cell, SOFC</v>
      </c>
    </row>
    <row r="577" spans="1:2" x14ac:dyDescent="0.2">
      <c r="A577" t="s">
        <v>39</v>
      </c>
      <c r="B577" s="45" t="str">
        <f>INDEX(overview!$B$4:$R$338,MATCH('hydrogen - electrolysis'!B568,overview!$A$4:$A$338,0),MATCH('hydrogen - electrolysis'!A577,overview!$B$3:$R$3,0))</f>
        <v>exergy</v>
      </c>
    </row>
    <row r="578" spans="1:2" x14ac:dyDescent="0.2">
      <c r="A578" t="s">
        <v>4</v>
      </c>
      <c r="B578" s="45" t="str">
        <f>INDEX(overview!$B$4:$R$338,MATCH('hydrogen - electrolysis'!B568,overview!$A$4:$A$338,0),MATCH('hydrogen - electrolysis'!A578,overview!$B$3:$R$3,0))</f>
        <v>truck</v>
      </c>
    </row>
    <row r="579" spans="1:2" x14ac:dyDescent="0.2">
      <c r="A579" t="s">
        <v>38</v>
      </c>
      <c r="B579" s="45">
        <f>INDEX(overview!$B$4:$R$338,MATCH('hydrogen - electrolysis'!B568,overview!$A$4:$A$338,0),MATCH('hydrogen - electrolysis'!A579,overview!$B$3:$R$3,0))</f>
        <v>200</v>
      </c>
    </row>
    <row r="580" spans="1:2" x14ac:dyDescent="0.2">
      <c r="A580" t="s">
        <v>12</v>
      </c>
      <c r="B580" s="45" t="str">
        <f>INDEX(overview!$B$4:$R$338,MATCH('hydrogen - electrolysis'!B568,overview!$A$4:$A$338,0),MATCH('hydrogen - electrolysis'!A580,overview!$B$3:$R$3,0))</f>
        <v>Pressure vessel for stationary storage</v>
      </c>
    </row>
    <row r="581" spans="1:2" x14ac:dyDescent="0.2">
      <c r="A581" t="s">
        <v>34</v>
      </c>
      <c r="B581" s="45">
        <f>INDEX(overview!$B$4:$R$338,MATCH('hydrogen - electrolysis'!B568,overview!$A$4:$A$338,0),MATCH('hydrogen - electrolysis'!A581,overview!$B$3:$R$3,0))</f>
        <v>0</v>
      </c>
    </row>
    <row r="582" spans="1:2" x14ac:dyDescent="0.2">
      <c r="A582" t="s">
        <v>15</v>
      </c>
      <c r="B582" s="45" t="str">
        <f>INDEX(overview!$B$4:$R$338,MATCH('hydrogen - electrolysis'!B568,overview!$A$4:$A$338,0),MATCH('hydrogen - electrolysis'!A582,overview!$B$3:$R$3,0))</f>
        <v>Electrolysis, Alkaline</v>
      </c>
    </row>
    <row r="583" spans="1:2" x14ac:dyDescent="0.2">
      <c r="A583" t="s">
        <v>14</v>
      </c>
      <c r="B583" s="45" t="str">
        <f>INDEX(overview!$B$4:$R$338,MATCH('hydrogen - electrolysis'!B568,overview!$A$4:$A$338,0),MATCH('hydrogen - electrolysis'!A583,overview!$B$3:$R$3,0))</f>
        <v>water and electricity</v>
      </c>
    </row>
    <row r="584" spans="1:2" x14ac:dyDescent="0.2">
      <c r="A584" t="s">
        <v>26</v>
      </c>
      <c r="B584" s="45" t="str">
        <f>INDEX(overview!$B$4:$R$338,MATCH('hydrogen - electrolysis'!B568,overview!$A$4:$A$338,0),MATCH('hydrogen - electrolysis'!A584,overview!$B$3:$R$3,0))</f>
        <v>grid</v>
      </c>
    </row>
    <row r="585" spans="1:2" x14ac:dyDescent="0.2">
      <c r="A585" t="s">
        <v>29</v>
      </c>
      <c r="B585" s="45">
        <f>INDEX(overview!$B$4:$R$338,MATCH('hydrogen - electrolysis'!B568,overview!$A$4:$A$338,0),MATCH('hydrogen - electrolysis'!A585,overview!$B$3:$R$3,0))</f>
        <v>0</v>
      </c>
    </row>
    <row r="586" spans="1:2" x14ac:dyDescent="0.2">
      <c r="A586" t="str">
        <f>IF(B570="megajoule","Heat","Electricity")&amp;" conversion efficiency [% LHV input]"</f>
        <v>Heat conversion efficiency [% LHV input]</v>
      </c>
      <c r="B586" s="46">
        <f>INDEX(parameters!$D$4:$N$20,MATCH('hydrogen - electrolysis'!B574&amp;'hydrogen - electrolysis'!B576,parameters!$A$4:$A$20,0),MATCH('hydrogen - electrolysis'!A586,parameters!$D$3:$N$3,0))</f>
        <v>0.53</v>
      </c>
    </row>
    <row r="587" spans="1:2" x14ac:dyDescent="0.2">
      <c r="A587" t="str">
        <f>IF(B570="megajoule","LHV [MJ/kg]","LHV [kWh/kg]")</f>
        <v>LHV [MJ/kg]</v>
      </c>
      <c r="B587" s="47">
        <f>INDEX(parameters!$D$4:$N$20,MATCH('hydrogen - electrolysis'!B574&amp;'hydrogen - electrolysis'!B576,parameters!$A$4:$A$20,0),MATCH('hydrogen - electrolysis'!A587,parameters!$D$3:$N$3,0))</f>
        <v>120</v>
      </c>
    </row>
    <row r="588" spans="1:2" x14ac:dyDescent="0.2">
      <c r="A588" t="s">
        <v>41</v>
      </c>
      <c r="B588" s="48">
        <f>INDEX(parameters!$D$4:$N$20,MATCH('hydrogen - electrolysis'!B574&amp;'hydrogen - electrolysis'!B576,parameters!$A$4:$A$20,0),MATCH('hydrogen - electrolysis'!A588,parameters!$D$3:$N$3,0))</f>
        <v>2.6666666666666665E-2</v>
      </c>
    </row>
    <row r="589" spans="1:2" x14ac:dyDescent="0.2">
      <c r="A589" t="s">
        <v>45</v>
      </c>
      <c r="B589" s="46">
        <f>INDEX(parameters!$D$4:$N$20,MATCH('hydrogen - electrolysis'!B574&amp;'hydrogen - electrolysis'!B576,parameters!$A$4:$A$20,0),MATCH('hydrogen - electrolysis'!A589,parameters!$D$3:$N$3,0))</f>
        <v>0</v>
      </c>
    </row>
    <row r="590" spans="1:2" x14ac:dyDescent="0.2">
      <c r="A590" t="s">
        <v>46</v>
      </c>
      <c r="B590" s="46">
        <f>INDEX(parameters!$D$4:$N$20,MATCH('hydrogen - electrolysis'!B574&amp;'hydrogen - electrolysis'!B576,parameters!$A$4:$A$20,0),MATCH('hydrogen - electrolysis'!A590,parameters!$D$3:$N$3,0))</f>
        <v>1.4999999999999999E-2</v>
      </c>
    </row>
    <row r="591" spans="1:2" x14ac:dyDescent="0.2">
      <c r="A591" t="s">
        <v>43</v>
      </c>
      <c r="B591" s="46">
        <f>INDEX(parameters!$D$4:$N$20,MATCH('hydrogen - electrolysis'!B574&amp;'hydrogen - electrolysis'!B576,parameters!$A$4:$A$20,0),MATCH('hydrogen - electrolysis'!A591,parameters!$D$3:$N$3,0))</f>
        <v>0</v>
      </c>
    </row>
    <row r="592" spans="1:2" x14ac:dyDescent="0.2">
      <c r="A592" t="s">
        <v>44</v>
      </c>
      <c r="B592" s="46">
        <f>INDEX(parameters!$D$4:$N$20,MATCH('hydrogen - electrolysis'!B574&amp;'hydrogen - electrolysis'!B576,parameters!$A$4:$A$20,0),MATCH('hydrogen - electrolysis'!A592,parameters!$D$3:$N$3,0))</f>
        <v>0</v>
      </c>
    </row>
    <row r="593" spans="1:22" x14ac:dyDescent="0.2">
      <c r="A593" t="s">
        <v>634</v>
      </c>
      <c r="B593" s="51">
        <f>INDEX(parameters!$D$4:$Y$20,MATCH('hydrogen - electrolysis'!B574&amp;'hydrogen - electrolysis'!B576,parameters!$A$4:$A$20,0),MATCH('hydrogen - electrolysis'!A593,parameters!$D$3:$Y$3,0))</f>
        <v>225</v>
      </c>
      <c r="D593" s="8"/>
    </row>
    <row r="594" spans="1:22" x14ac:dyDescent="0.2">
      <c r="A594" t="s">
        <v>82</v>
      </c>
      <c r="B594" s="46">
        <f>IF(B585&lt;&gt;0,VLOOKUP(B585,parameters!A405:B407,2,0),0)</f>
        <v>0</v>
      </c>
    </row>
    <row r="595" spans="1:22" x14ac:dyDescent="0.2">
      <c r="A595" t="s">
        <v>548</v>
      </c>
      <c r="B595" s="50">
        <f>INDEX(parameters!$D$4:$P$20,MATCH(B574&amp;B576,parameters!$A$4:$A$20,0),MATCH(A595,parameters!$D$3:$P$3,0))</f>
        <v>100</v>
      </c>
    </row>
    <row r="596" spans="1:22" x14ac:dyDescent="0.2">
      <c r="A596" t="s">
        <v>547</v>
      </c>
      <c r="B596" s="51">
        <f>INDEX(parameters!$D$4:$P$20,MATCH(B574&amp;B576,parameters!$A$4:$A$20,0),MATCH(A596,parameters!$D$3:$P$3,0))</f>
        <v>6</v>
      </c>
    </row>
    <row r="597" spans="1:22" x14ac:dyDescent="0.2">
      <c r="A597" t="s">
        <v>630</v>
      </c>
      <c r="B597" s="51">
        <f>INDEX(parameters!$D$4:$T$20,MATCH(B574&amp;B576,parameters!$A$4:$A$20,0),MATCH(A597,parameters!$D$3:$T$3,0))</f>
        <v>4100</v>
      </c>
    </row>
    <row r="598" spans="1:22" x14ac:dyDescent="0.2">
      <c r="A598" t="s">
        <v>1005</v>
      </c>
      <c r="B598" s="50">
        <f>IF(B570="megajoule",SUMIFS(allocation!$I$4:$I$30,allocation!$B$4:$B$30,B576,allocation!$C$4:$C$30,B577),SUMIFS(allocation!$J$4:$J$30,allocation!$B$4:$B$30,B576,allocation!$C$4:$C$30,B577))</f>
        <v>0.13587506510399097</v>
      </c>
    </row>
    <row r="599" spans="1:22" x14ac:dyDescent="0.2">
      <c r="A599" t="s">
        <v>1050</v>
      </c>
      <c r="B599" s="51">
        <f>INDEX(parameters!$D$4:$AB$20,MATCH(B574&amp;B576,parameters!$A$4:$A$20,0),MATCH(A599,parameters!$D$3:$AB$3,0))</f>
        <v>1153.1249999999998</v>
      </c>
    </row>
    <row r="601" spans="1:22" x14ac:dyDescent="0.2">
      <c r="A601" s="3" t="s">
        <v>57</v>
      </c>
    </row>
    <row r="602" spans="1:22" x14ac:dyDescent="0.2">
      <c r="A602" s="2" t="s">
        <v>58</v>
      </c>
      <c r="B602" s="44" t="s">
        <v>59</v>
      </c>
      <c r="C602" s="2" t="s">
        <v>55</v>
      </c>
      <c r="D602" s="2" t="s">
        <v>60</v>
      </c>
      <c r="E602" s="2" t="s">
        <v>52</v>
      </c>
      <c r="F602" s="2" t="s">
        <v>61</v>
      </c>
      <c r="G602" s="2" t="s">
        <v>54</v>
      </c>
      <c r="H602" s="2" t="s">
        <v>87</v>
      </c>
      <c r="I602" s="2" t="s">
        <v>51</v>
      </c>
      <c r="J602" s="2" t="s">
        <v>138</v>
      </c>
      <c r="K602" s="2" t="s">
        <v>136</v>
      </c>
      <c r="L602" s="2" t="s">
        <v>221</v>
      </c>
      <c r="M602" s="2" t="s">
        <v>379</v>
      </c>
      <c r="N602" s="2" t="s">
        <v>1059</v>
      </c>
      <c r="O602" s="2" t="s">
        <v>1060</v>
      </c>
      <c r="P602" s="2" t="s">
        <v>1061</v>
      </c>
      <c r="Q602" s="2" t="s">
        <v>1062</v>
      </c>
      <c r="R602" s="2" t="s">
        <v>1063</v>
      </c>
      <c r="S602" s="2" t="s">
        <v>1064</v>
      </c>
      <c r="T602" s="2" t="s">
        <v>1065</v>
      </c>
      <c r="U602" s="2" t="s">
        <v>380</v>
      </c>
      <c r="V602" s="2" t="s">
        <v>1128</v>
      </c>
    </row>
    <row r="603" spans="1:22" x14ac:dyDescent="0.2">
      <c r="A603" t="str">
        <f>B564</f>
        <v>heat, residential, by conversion of hydrogen using fuel cell, SOFC, allocated by exergy, transported by truck, produced by Electrolysis, Alkaline using water and electricity from grid</v>
      </c>
      <c r="B603" s="45">
        <v>1</v>
      </c>
      <c r="C603" t="str">
        <f>B570</f>
        <v>megajoule</v>
      </c>
      <c r="E603" t="str">
        <f>B567</f>
        <v>CH</v>
      </c>
      <c r="F603" t="s">
        <v>62</v>
      </c>
      <c r="G603" t="str">
        <f>B569</f>
        <v>heat, from residential heating system</v>
      </c>
      <c r="K603" t="str">
        <f>B564</f>
        <v>heat, residential, by conversion of hydrogen using fuel cell, SOFC, allocated by exergy, transported by truck, produced by Electrolysis, Alkaline using water and electricity from grid</v>
      </c>
    </row>
    <row r="604" spans="1:22" x14ac:dyDescent="0.2">
      <c r="A604" t="str">
        <f>VLOOKUP(J604,'dataset mapping'!$A$4:$E$69,2,0)</f>
        <v>fuel cell production, stack solid oxide, 125kW electrical, future</v>
      </c>
      <c r="B604" s="52">
        <f>(1/(B593*B597*B596*3.6))*B598</f>
        <v>6.8189834941278219E-9</v>
      </c>
      <c r="C604" t="str">
        <f>VLOOKUP(J604,'dataset mapping'!$A$4:$E$69,5,0)</f>
        <v>unit</v>
      </c>
      <c r="E604" t="str">
        <f>VLOOKUP(J604,'dataset mapping'!$A$4:$E$69,4,0)</f>
        <v>CH</v>
      </c>
      <c r="F604" t="s">
        <v>86</v>
      </c>
      <c r="G604" t="str">
        <f>VLOOKUP(J604,'dataset mapping'!$A$4:$E$69,3,0)</f>
        <v>fuel cell, stack solid oxide, 125kW electrical, future</v>
      </c>
      <c r="H604" t="s">
        <v>88</v>
      </c>
      <c r="I604" t="s">
        <v>277</v>
      </c>
      <c r="J604" t="s">
        <v>274</v>
      </c>
      <c r="K604" t="str">
        <f>B564</f>
        <v>heat, residential, by conversion of hydrogen using fuel cell, SOFC, allocated by exergy, transported by truck, produced by Electrolysis, Alkaline using water and electricity from grid</v>
      </c>
      <c r="L604">
        <f t="shared" ref="L604:L609" si="10">IF(OR(B604&lt;0,B604=0),1,2)</f>
        <v>2</v>
      </c>
      <c r="M604">
        <f t="shared" ref="M604:M609" si="11">IF(L604=2,LN(B604),"")</f>
        <v>-18.80355542398161</v>
      </c>
      <c r="N604">
        <v>1</v>
      </c>
      <c r="O604" s="15">
        <v>1.2</v>
      </c>
      <c r="P604">
        <v>1</v>
      </c>
      <c r="Q604">
        <v>1.01</v>
      </c>
      <c r="R604">
        <v>1.2</v>
      </c>
      <c r="S604">
        <v>1.2</v>
      </c>
      <c r="T604">
        <v>3</v>
      </c>
      <c r="U604">
        <f t="shared" ref="U604:U609" si="12">LN(SQRT(EXP(
SQRT(
+POWER(LN(N604),2)
+POWER(LN(O604),2)
+POWER(LN(P604),2)
+POWER(LN(Q604),2)
+POWER(LN(R604),2)
+POWER(LN(S604),2)
+POWER(LN(T604),2)
)
)))</f>
        <v>0.57157051623399524</v>
      </c>
    </row>
    <row r="605" spans="1:22" x14ac:dyDescent="0.2">
      <c r="A605" t="s">
        <v>283</v>
      </c>
      <c r="B605" s="52">
        <f>(1/(B593*B597*B596*3.6))*B598</f>
        <v>6.8189834941278219E-9</v>
      </c>
      <c r="C605" t="s">
        <v>55</v>
      </c>
      <c r="E605" t="s">
        <v>64</v>
      </c>
      <c r="F605" t="s">
        <v>86</v>
      </c>
      <c r="G605" t="s">
        <v>284</v>
      </c>
      <c r="H605" t="s">
        <v>88</v>
      </c>
      <c r="I605" t="s">
        <v>277</v>
      </c>
      <c r="K605" t="str">
        <f>B564</f>
        <v>heat, residential, by conversion of hydrogen using fuel cell, SOFC, allocated by exergy, transported by truck, produced by Electrolysis, Alkaline using water and electricity from grid</v>
      </c>
      <c r="L605">
        <f t="shared" si="10"/>
        <v>2</v>
      </c>
      <c r="M605">
        <f t="shared" si="11"/>
        <v>-18.80355542398161</v>
      </c>
      <c r="N605">
        <v>1</v>
      </c>
      <c r="O605" s="15">
        <v>1.2</v>
      </c>
      <c r="P605">
        <v>1</v>
      </c>
      <c r="Q605">
        <v>1.01</v>
      </c>
      <c r="R605">
        <v>1.2</v>
      </c>
      <c r="S605">
        <v>1.2</v>
      </c>
      <c r="T605">
        <v>3</v>
      </c>
      <c r="U605">
        <f t="shared" si="12"/>
        <v>0.57157051623399524</v>
      </c>
    </row>
    <row r="606" spans="1:22" x14ac:dyDescent="0.2">
      <c r="A606" t="s">
        <v>288</v>
      </c>
      <c r="B606" s="52">
        <f>0.000024*B598</f>
        <v>3.2610015624957834E-6</v>
      </c>
      <c r="C606" t="s">
        <v>56</v>
      </c>
      <c r="E606" t="s">
        <v>64</v>
      </c>
      <c r="F606" t="s">
        <v>86</v>
      </c>
      <c r="G606" t="s">
        <v>287</v>
      </c>
      <c r="H606" t="s">
        <v>88</v>
      </c>
      <c r="K606" t="str">
        <f>B564</f>
        <v>heat, residential, by conversion of hydrogen using fuel cell, SOFC, allocated by exergy, transported by truck, produced by Electrolysis, Alkaline using water and electricity from grid</v>
      </c>
      <c r="L606">
        <f t="shared" si="10"/>
        <v>2</v>
      </c>
      <c r="M606">
        <f t="shared" si="11"/>
        <v>-12.633476182011</v>
      </c>
      <c r="N606">
        <v>1</v>
      </c>
      <c r="O606" s="15">
        <v>1.2</v>
      </c>
      <c r="P606">
        <v>1</v>
      </c>
      <c r="Q606">
        <v>1.01</v>
      </c>
      <c r="R606">
        <v>1.2</v>
      </c>
      <c r="S606">
        <v>1.2</v>
      </c>
      <c r="T606">
        <v>1.05</v>
      </c>
      <c r="U606">
        <f t="shared" si="12"/>
        <v>0.15984597228197622</v>
      </c>
    </row>
    <row r="607" spans="1:22" x14ac:dyDescent="0.2">
      <c r="A607" t="s">
        <v>1136</v>
      </c>
      <c r="B607" s="53">
        <f>(B603/B587)/B586*B598</f>
        <v>2.1364003947168392E-3</v>
      </c>
      <c r="C607" t="str">
        <f>VLOOKUP(J607,'dataset mapping'!$A$4:$E$69,5,0)</f>
        <v>kilogram</v>
      </c>
      <c r="E607" t="str">
        <f>VLOOKUP(J607,'dataset mapping'!$A$4:$E$69,4,0)</f>
        <v>CH</v>
      </c>
      <c r="F607" t="s">
        <v>86</v>
      </c>
      <c r="G607" t="s">
        <v>1137</v>
      </c>
      <c r="H607" t="s">
        <v>76</v>
      </c>
      <c r="I607" t="s">
        <v>1054</v>
      </c>
      <c r="J607" t="s">
        <v>231</v>
      </c>
      <c r="K607" t="str">
        <f>B564</f>
        <v>heat, residential, by conversion of hydrogen using fuel cell, SOFC, allocated by exergy, transported by truck, produced by Electrolysis, Alkaline using water and electricity from grid</v>
      </c>
      <c r="L607">
        <f t="shared" si="10"/>
        <v>2</v>
      </c>
      <c r="M607">
        <f t="shared" si="11"/>
        <v>-6.1486329247407472</v>
      </c>
      <c r="N607">
        <v>1</v>
      </c>
      <c r="O607" s="15">
        <v>1.2</v>
      </c>
      <c r="P607">
        <v>1</v>
      </c>
      <c r="Q607">
        <v>1.01</v>
      </c>
      <c r="R607">
        <v>1.2</v>
      </c>
      <c r="S607">
        <v>1.2</v>
      </c>
      <c r="T607">
        <v>1.05</v>
      </c>
      <c r="U607">
        <f t="shared" si="12"/>
        <v>0.15984597228197622</v>
      </c>
    </row>
    <row r="608" spans="1:22" x14ac:dyDescent="0.2">
      <c r="A608" t="str">
        <f>VLOOKUP(J608,'dataset mapping'!$A$4:$E$69,2,0)</f>
        <v>high pressure hydrogen storage tank</v>
      </c>
      <c r="B608" s="52">
        <f>((B599/10)/(B597*B593*20*3.6))*IF(B598&lt;&gt;0,B598,1)</f>
        <v>2.3589421024998428E-7</v>
      </c>
      <c r="C608" t="str">
        <f>VLOOKUP(J608,'dataset mapping'!$A$4:$E$69,5,0)</f>
        <v>kilogram</v>
      </c>
      <c r="E608" t="str">
        <f>VLOOKUP(J608,'dataset mapping'!$A$4:$E$69,4,0)</f>
        <v>GLO</v>
      </c>
      <c r="F608" t="s">
        <v>86</v>
      </c>
      <c r="G608" t="str">
        <f>VLOOKUP(J608,'dataset mapping'!$A$4:$E$69,3,0)</f>
        <v>high pressure hydrogen storage tank</v>
      </c>
      <c r="H608" t="s">
        <v>88</v>
      </c>
      <c r="I608" t="s">
        <v>230</v>
      </c>
      <c r="J608" t="s">
        <v>229</v>
      </c>
      <c r="K608" t="str">
        <f>B564</f>
        <v>heat, residential, by conversion of hydrogen using fuel cell, SOFC, allocated by exergy, transported by truck, produced by Electrolysis, Alkaline using water and electricity from grid</v>
      </c>
      <c r="L608">
        <f t="shared" si="10"/>
        <v>2</v>
      </c>
      <c r="M608">
        <f t="shared" si="11"/>
        <v>-15.259882394072699</v>
      </c>
      <c r="N608">
        <v>1</v>
      </c>
      <c r="O608" s="15">
        <v>1.2</v>
      </c>
      <c r="P608">
        <v>1</v>
      </c>
      <c r="Q608">
        <v>1.01</v>
      </c>
      <c r="R608">
        <v>1.2</v>
      </c>
      <c r="S608">
        <v>1.2</v>
      </c>
      <c r="T608">
        <v>3</v>
      </c>
      <c r="U608">
        <f t="shared" si="12"/>
        <v>0.57157051623399524</v>
      </c>
    </row>
    <row r="609" spans="1:21" x14ac:dyDescent="0.2">
      <c r="A609" t="s">
        <v>134</v>
      </c>
      <c r="B609" s="45">
        <f>B607*9</f>
        <v>1.9227603552451553E-2</v>
      </c>
      <c r="C609" t="s">
        <v>56</v>
      </c>
      <c r="D609" t="s">
        <v>100</v>
      </c>
      <c r="F609" t="s">
        <v>99</v>
      </c>
      <c r="H609" t="s">
        <v>131</v>
      </c>
      <c r="I609" t="s">
        <v>1057</v>
      </c>
      <c r="K609" t="str">
        <f>B564</f>
        <v>heat, residential, by conversion of hydrogen using fuel cell, SOFC, allocated by exergy, transported by truck, produced by Electrolysis, Alkaline using water and electricity from grid</v>
      </c>
      <c r="L609">
        <f t="shared" si="10"/>
        <v>2</v>
      </c>
      <c r="M609">
        <f t="shared" si="11"/>
        <v>-3.9514083474045276</v>
      </c>
      <c r="N609">
        <v>1</v>
      </c>
      <c r="O609" s="15">
        <v>1.2</v>
      </c>
      <c r="P609">
        <v>1</v>
      </c>
      <c r="Q609">
        <v>1.01</v>
      </c>
      <c r="R609">
        <v>1.2</v>
      </c>
      <c r="S609">
        <v>1.2</v>
      </c>
      <c r="T609">
        <v>1.05</v>
      </c>
      <c r="U609">
        <f t="shared" si="12"/>
        <v>0.15984597228197622</v>
      </c>
    </row>
    <row r="611" spans="1:21" x14ac:dyDescent="0.2">
      <c r="A611" s="2" t="s">
        <v>50</v>
      </c>
      <c r="B611" s="44" t="str">
        <f>IF(B617="megajoule","heat","electricity")&amp;", residential, by "&amp;B622&amp;" of "&amp;B621&amp;" using "&amp;B623&amp;IF(B624&lt;&gt;0,", allocated by "&amp;B624,"")&amp;", transported by "&amp;B625&amp;", produced by "&amp;B629&amp;" using "&amp;B630&amp;" from "&amp;B631</f>
        <v>electricity, residential, by conversion of hydrogen using fuel cell, SOFC, allocated by exergy, transported by truck, produced by Electrolysis, Alkaline using water and electricity from grid</v>
      </c>
    </row>
    <row r="612" spans="1:21" x14ac:dyDescent="0.2">
      <c r="A612" t="s">
        <v>51</v>
      </c>
      <c r="B612" s="45" t="str">
        <f>"This dataset represents the supply of 1 "&amp;IF(B617="megajoule","megajoule of heat","kilowatt hour of electricity")&amp;" in a residence, by "&amp;B621&amp;" "&amp;B622&amp;" in a "&amp;B623&amp;". "&amp;" The hydrogen is transported by "&amp;B625&amp;" over "&amp;B626&amp;" km from regional storage. "&amp;" The "&amp;B621&amp;" is produced by  "&amp;B629&amp;", with "&amp;B630&amp;" from "&amp;B631&amp;" as feedstock. "&amp;A633&amp;": "&amp;(B633*100)&amp;"%. "&amp;A634&amp;": "&amp;B634&amp;". "&amp;A635&amp;": "&amp;B635&amp;". "&amp;A636&amp;": "&amp;(B636*100)&amp;"%. "&amp;A637&amp;": "&amp;(B637*100)&amp;"%. "&amp;A638&amp;": "&amp;(B638*100)&amp;"%. "&amp;A639&amp;": "&amp;B639&amp;". "&amp;A640&amp;": "&amp;B640&amp;". "&amp;A641&amp;": "&amp;(B641*100)&amp;"%. "&amp;A642&amp;": "&amp;B642&amp;". "&amp;A643&amp;": "&amp;B643&amp;". "&amp;A644&amp;": "&amp;B644&amp;". "&amp;A645&amp;": "&amp;B645&amp;".  For more information, refer to: "&amp;B613</f>
        <v>This dataset represents the supply of 1 kilowatt hour of electricity in a residence, by hydrogen conversion in a fuel cell, SOFC.  The hydrogen is transported by truck over 200 km from regional storage.  The hydrogen is produced by  Electrolysis, Alkaline,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613" spans="1:21" x14ac:dyDescent="0.2">
      <c r="A613" t="s">
        <v>63</v>
      </c>
      <c r="B613" s="45" t="s">
        <v>1223</v>
      </c>
    </row>
    <row r="614" spans="1:21" x14ac:dyDescent="0.2">
      <c r="A614" t="s">
        <v>52</v>
      </c>
      <c r="B614" s="45" t="s">
        <v>64</v>
      </c>
    </row>
    <row r="615" spans="1:21" x14ac:dyDescent="0.2">
      <c r="A615" t="s">
        <v>48</v>
      </c>
      <c r="B615" s="45" t="s">
        <v>870</v>
      </c>
    </row>
    <row r="616" spans="1:21" x14ac:dyDescent="0.2">
      <c r="A616" t="s">
        <v>54</v>
      </c>
      <c r="B616" s="45" t="str">
        <f>INDEX(overview!$B$4:$R$338,MATCH('hydrogen - electrolysis'!B615,overview!$A$4:$A$338,0),MATCH('hydrogen - electrolysis'!A616,overview!$B$3:$R$3,0))</f>
        <v>electricity, from residential heating system</v>
      </c>
    </row>
    <row r="617" spans="1:21" x14ac:dyDescent="0.2">
      <c r="A617" t="s">
        <v>55</v>
      </c>
      <c r="B617" s="45" t="str">
        <f>INDEX(overview!$B$4:$R$338,MATCH('hydrogen - electrolysis'!B615,overview!$A$4:$A$338,0),MATCH('hydrogen - electrolysis'!A617,overview!$B$3:$R$3,0))</f>
        <v>kilowatt hour</v>
      </c>
    </row>
    <row r="618" spans="1:21" x14ac:dyDescent="0.2">
      <c r="A618" t="s">
        <v>0</v>
      </c>
      <c r="B618" s="45" t="str">
        <f>INDEX(overview!$B$4:$R$338,MATCH('hydrogen - electrolysis'!B615,overview!$A$4:$A$338,0),MATCH('hydrogen - electrolysis'!A618,overview!$B$3:$R$3,0))</f>
        <v>Switzerland</v>
      </c>
    </row>
    <row r="619" spans="1:21" x14ac:dyDescent="0.2">
      <c r="A619" t="s">
        <v>1</v>
      </c>
      <c r="B619" s="45">
        <f>INDEX(overview!$B$4:$R$338,MATCH('hydrogen - electrolysis'!B615,overview!$A$4:$A$338,0),MATCH('hydrogen - electrolysis'!A619,overview!$B$3:$R$3,0))</f>
        <v>2020</v>
      </c>
    </row>
    <row r="620" spans="1:21" x14ac:dyDescent="0.2">
      <c r="A620" t="s">
        <v>2</v>
      </c>
      <c r="B620" s="45" t="str">
        <f>INDEX(overview!$B$4:$R$338,MATCH('hydrogen - electrolysis'!B615,overview!$A$4:$A$338,0),MATCH('hydrogen - electrolysis'!A620,overview!$B$3:$R$3,0))</f>
        <v>1 kWh electricity</v>
      </c>
    </row>
    <row r="621" spans="1:21" x14ac:dyDescent="0.2">
      <c r="A621" t="s">
        <v>5</v>
      </c>
      <c r="B621" s="45" t="str">
        <f>INDEX(overview!$B$4:$R$338,MATCH('hydrogen - electrolysis'!B615,overview!$A$4:$A$338,0),MATCH('hydrogen - electrolysis'!A621,overview!$B$3:$R$3,0))</f>
        <v>hydrogen</v>
      </c>
    </row>
    <row r="622" spans="1:21" x14ac:dyDescent="0.2">
      <c r="A622" t="s">
        <v>3</v>
      </c>
      <c r="B622" s="45" t="str">
        <f>INDEX(overview!$B$4:$R$338,MATCH('hydrogen - electrolysis'!B615,overview!$A$4:$A$338,0),MATCH('hydrogen - electrolysis'!A622,overview!$B$3:$R$3,0))</f>
        <v>conversion</v>
      </c>
    </row>
    <row r="623" spans="1:21" x14ac:dyDescent="0.2">
      <c r="A623" t="s">
        <v>6</v>
      </c>
      <c r="B623" s="45" t="str">
        <f>INDEX(overview!$B$4:$R$338,MATCH('hydrogen - electrolysis'!B615,overview!$A$4:$A$338,0),MATCH('hydrogen - electrolysis'!A623,overview!$B$3:$R$3,0))</f>
        <v>fuel cell, SOFC</v>
      </c>
    </row>
    <row r="624" spans="1:21" x14ac:dyDescent="0.2">
      <c r="A624" t="s">
        <v>39</v>
      </c>
      <c r="B624" s="45" t="str">
        <f>INDEX(overview!$B$4:$R$338,MATCH('hydrogen - electrolysis'!B615,overview!$A$4:$A$338,0),MATCH('hydrogen - electrolysis'!A624,overview!$B$3:$R$3,0))</f>
        <v>exergy</v>
      </c>
    </row>
    <row r="625" spans="1:4" x14ac:dyDescent="0.2">
      <c r="A625" t="s">
        <v>4</v>
      </c>
      <c r="B625" s="45" t="str">
        <f>INDEX(overview!$B$4:$R$338,MATCH('hydrogen - electrolysis'!B615,overview!$A$4:$A$338,0),MATCH('hydrogen - electrolysis'!A625,overview!$B$3:$R$3,0))</f>
        <v>truck</v>
      </c>
    </row>
    <row r="626" spans="1:4" x14ac:dyDescent="0.2">
      <c r="A626" t="s">
        <v>38</v>
      </c>
      <c r="B626" s="45">
        <f>INDEX(overview!$B$4:$R$338,MATCH('hydrogen - electrolysis'!B615,overview!$A$4:$A$338,0),MATCH('hydrogen - electrolysis'!A626,overview!$B$3:$R$3,0))</f>
        <v>200</v>
      </c>
    </row>
    <row r="627" spans="1:4" x14ac:dyDescent="0.2">
      <c r="A627" t="s">
        <v>12</v>
      </c>
      <c r="B627" s="45" t="str">
        <f>INDEX(overview!$B$4:$R$338,MATCH('hydrogen - electrolysis'!B615,overview!$A$4:$A$338,0),MATCH('hydrogen - electrolysis'!A627,overview!$B$3:$R$3,0))</f>
        <v>Pressure vessel for stationary storage</v>
      </c>
    </row>
    <row r="628" spans="1:4" x14ac:dyDescent="0.2">
      <c r="A628" t="s">
        <v>34</v>
      </c>
      <c r="B628" s="45">
        <f>INDEX(overview!$B$4:$R$338,MATCH('hydrogen - electrolysis'!B615,overview!$A$4:$A$338,0),MATCH('hydrogen - electrolysis'!A628,overview!$B$3:$R$3,0))</f>
        <v>0</v>
      </c>
    </row>
    <row r="629" spans="1:4" x14ac:dyDescent="0.2">
      <c r="A629" t="s">
        <v>15</v>
      </c>
      <c r="B629" s="45" t="str">
        <f>INDEX(overview!$B$4:$R$338,MATCH('hydrogen - electrolysis'!B615,overview!$A$4:$A$338,0),MATCH('hydrogen - electrolysis'!A629,overview!$B$3:$R$3,0))</f>
        <v>Electrolysis, Alkaline</v>
      </c>
    </row>
    <row r="630" spans="1:4" x14ac:dyDescent="0.2">
      <c r="A630" t="s">
        <v>14</v>
      </c>
      <c r="B630" s="45" t="str">
        <f>INDEX(overview!$B$4:$R$338,MATCH('hydrogen - electrolysis'!B615,overview!$A$4:$A$338,0),MATCH('hydrogen - electrolysis'!A630,overview!$B$3:$R$3,0))</f>
        <v>water and electricity</v>
      </c>
    </row>
    <row r="631" spans="1:4" x14ac:dyDescent="0.2">
      <c r="A631" t="s">
        <v>26</v>
      </c>
      <c r="B631" s="45" t="str">
        <f>INDEX(overview!$B$4:$R$338,MATCH('hydrogen - electrolysis'!B615,overview!$A$4:$A$338,0),MATCH('hydrogen - electrolysis'!A631,overview!$B$3:$R$3,0))</f>
        <v>grid</v>
      </c>
    </row>
    <row r="632" spans="1:4" x14ac:dyDescent="0.2">
      <c r="A632" t="s">
        <v>29</v>
      </c>
      <c r="B632" s="45">
        <f>INDEX(overview!$B$4:$R$338,MATCH('hydrogen - electrolysis'!B615,overview!$A$4:$A$338,0),MATCH('hydrogen - electrolysis'!A632,overview!$B$3:$R$3,0))</f>
        <v>0</v>
      </c>
    </row>
    <row r="633" spans="1:4" x14ac:dyDescent="0.2">
      <c r="A633" t="str">
        <f>IF(B617="megajoule","Heat","Electricity")&amp;" conversion efficiency [% LHV input]"</f>
        <v>Electricity conversion efficiency [% LHV input]</v>
      </c>
      <c r="B633" s="46">
        <f>INDEX(parameters!$D$4:$N$20,MATCH('hydrogen - electrolysis'!B621&amp;'hydrogen - electrolysis'!B623,parameters!$A$4:$A$20,0),MATCH('hydrogen - electrolysis'!A633,parameters!$D$3:$N$3,0))</f>
        <v>0.47</v>
      </c>
    </row>
    <row r="634" spans="1:4" x14ac:dyDescent="0.2">
      <c r="A634" t="str">
        <f>IF(B617="megajoule","LHV [MJ/kg]","LHV [kWh/kg]")</f>
        <v>LHV [kWh/kg]</v>
      </c>
      <c r="B634" s="47">
        <f>INDEX(parameters!$D$4:$N$20,MATCH('hydrogen - electrolysis'!B621&amp;'hydrogen - electrolysis'!B623,parameters!$A$4:$A$20,0),MATCH('hydrogen - electrolysis'!A634,parameters!$D$3:$N$3,0))</f>
        <v>33.333333333333336</v>
      </c>
    </row>
    <row r="635" spans="1:4" x14ac:dyDescent="0.2">
      <c r="A635" t="s">
        <v>41</v>
      </c>
      <c r="B635" s="48">
        <f>INDEX(parameters!$D$4:$N$20,MATCH('hydrogen - electrolysis'!B621&amp;'hydrogen - electrolysis'!B623,parameters!$A$4:$A$20,0),MATCH('hydrogen - electrolysis'!A635,parameters!$D$3:$N$3,0))</f>
        <v>2.6666666666666665E-2</v>
      </c>
    </row>
    <row r="636" spans="1:4" x14ac:dyDescent="0.2">
      <c r="A636" t="s">
        <v>45</v>
      </c>
      <c r="B636" s="46">
        <f>INDEX(parameters!$D$4:$N$20,MATCH('hydrogen - electrolysis'!B621&amp;'hydrogen - electrolysis'!B623,parameters!$A$4:$A$20,0),MATCH('hydrogen - electrolysis'!A636,parameters!$D$3:$N$3,0))</f>
        <v>0</v>
      </c>
    </row>
    <row r="637" spans="1:4" x14ac:dyDescent="0.2">
      <c r="A637" t="s">
        <v>46</v>
      </c>
      <c r="B637" s="46">
        <f>INDEX(parameters!$D$4:$N$20,MATCH('hydrogen - electrolysis'!B621&amp;'hydrogen - electrolysis'!B623,parameters!$A$4:$A$20,0),MATCH('hydrogen - electrolysis'!A637,parameters!$D$3:$N$3,0))</f>
        <v>1.4999999999999999E-2</v>
      </c>
    </row>
    <row r="638" spans="1:4" x14ac:dyDescent="0.2">
      <c r="A638" t="s">
        <v>43</v>
      </c>
      <c r="B638" s="46">
        <f>INDEX(parameters!$D$4:$N$20,MATCH('hydrogen - electrolysis'!B621&amp;'hydrogen - electrolysis'!B623,parameters!$A$4:$A$20,0),MATCH('hydrogen - electrolysis'!A638,parameters!$D$3:$N$3,0))</f>
        <v>0</v>
      </c>
    </row>
    <row r="639" spans="1:4" x14ac:dyDescent="0.2">
      <c r="A639" t="s">
        <v>44</v>
      </c>
      <c r="B639" s="46">
        <f>INDEX(parameters!$D$4:$N$20,MATCH('hydrogen - electrolysis'!B621&amp;'hydrogen - electrolysis'!B623,parameters!$A$4:$A$20,0),MATCH('hydrogen - electrolysis'!A639,parameters!$D$3:$N$3,0))</f>
        <v>0</v>
      </c>
    </row>
    <row r="640" spans="1:4" x14ac:dyDescent="0.2">
      <c r="A640" t="s">
        <v>634</v>
      </c>
      <c r="B640" s="51">
        <f>INDEX(parameters!$D$4:$Y$20,MATCH('hydrogen - electrolysis'!B621&amp;'hydrogen - electrolysis'!B623,parameters!$A$4:$A$20,0),MATCH('hydrogen - electrolysis'!A640,parameters!$D$3:$Y$3,0))</f>
        <v>225</v>
      </c>
      <c r="D640" s="8"/>
    </row>
    <row r="641" spans="1:22" x14ac:dyDescent="0.2">
      <c r="A641" t="s">
        <v>82</v>
      </c>
      <c r="B641" s="46">
        <f>IF(B632&lt;&gt;0,VLOOKUP(B632,parameters!A456:B458,2,0),0)</f>
        <v>0</v>
      </c>
    </row>
    <row r="642" spans="1:22" x14ac:dyDescent="0.2">
      <c r="A642" t="s">
        <v>548</v>
      </c>
      <c r="B642" s="50">
        <f>INDEX(parameters!$D$4:$P$20,MATCH(B621&amp;B623,parameters!$A$4:$A$20,0),MATCH(A642,parameters!$D$3:$P$3,0))</f>
        <v>100</v>
      </c>
    </row>
    <row r="643" spans="1:22" x14ac:dyDescent="0.2">
      <c r="A643" t="s">
        <v>547</v>
      </c>
      <c r="B643" s="51">
        <f>INDEX(parameters!$D$4:$P$20,MATCH(B621&amp;B623,parameters!$A$4:$A$20,0),MATCH(A643,parameters!$D$3:$P$3,0))</f>
        <v>6</v>
      </c>
    </row>
    <row r="644" spans="1:22" x14ac:dyDescent="0.2">
      <c r="A644" t="s">
        <v>630</v>
      </c>
      <c r="B644" s="51">
        <f>INDEX(parameters!$D$4:$T$20,MATCH(B621&amp;B623,parameters!$A$4:$A$20,0),MATCH(A644,parameters!$D$3:$T$3,0))</f>
        <v>4100</v>
      </c>
    </row>
    <row r="645" spans="1:22" x14ac:dyDescent="0.2">
      <c r="A645" t="s">
        <v>1005</v>
      </c>
      <c r="B645" s="50">
        <f>IF(B617="megajoule",SUMIFS(allocation!$I$4:$I$30,allocation!$B$4:$B$30,B623,allocation!$C$4:$C$30,B624),SUMIFS(allocation!$J$4:$J$30,allocation!$B$4:$B$30,B623,allocation!$C$4:$C$30,B624))</f>
        <v>0.86412493489600906</v>
      </c>
    </row>
    <row r="646" spans="1:22" x14ac:dyDescent="0.2">
      <c r="A646" t="s">
        <v>1050</v>
      </c>
      <c r="B646" s="51">
        <f>INDEX(parameters!$D$4:$AB$20,MATCH(B621&amp;B623,parameters!$A$4:$A$20,0),MATCH(A646,parameters!$D$3:$AB$3,0))</f>
        <v>1153.1249999999998</v>
      </c>
    </row>
    <row r="648" spans="1:22" x14ac:dyDescent="0.2">
      <c r="A648" s="3" t="s">
        <v>57</v>
      </c>
    </row>
    <row r="649" spans="1:22" x14ac:dyDescent="0.2">
      <c r="A649" s="2" t="s">
        <v>58</v>
      </c>
      <c r="B649" s="44" t="s">
        <v>59</v>
      </c>
      <c r="C649" s="2" t="s">
        <v>55</v>
      </c>
      <c r="D649" s="2" t="s">
        <v>60</v>
      </c>
      <c r="E649" s="2" t="s">
        <v>52</v>
      </c>
      <c r="F649" s="2" t="s">
        <v>61</v>
      </c>
      <c r="G649" s="2" t="s">
        <v>54</v>
      </c>
      <c r="H649" s="2" t="s">
        <v>87</v>
      </c>
      <c r="I649" s="2" t="s">
        <v>51</v>
      </c>
      <c r="J649" s="2" t="s">
        <v>138</v>
      </c>
      <c r="K649" s="2" t="s">
        <v>136</v>
      </c>
      <c r="L649" s="2" t="s">
        <v>221</v>
      </c>
      <c r="M649" s="2" t="s">
        <v>379</v>
      </c>
      <c r="N649" s="2" t="s">
        <v>1059</v>
      </c>
      <c r="O649" s="2" t="s">
        <v>1060</v>
      </c>
      <c r="P649" s="2" t="s">
        <v>1061</v>
      </c>
      <c r="Q649" s="2" t="s">
        <v>1062</v>
      </c>
      <c r="R649" s="2" t="s">
        <v>1063</v>
      </c>
      <c r="S649" s="2" t="s">
        <v>1064</v>
      </c>
      <c r="T649" s="2" t="s">
        <v>1065</v>
      </c>
      <c r="U649" s="2" t="s">
        <v>380</v>
      </c>
      <c r="V649" s="2" t="s">
        <v>1128</v>
      </c>
    </row>
    <row r="650" spans="1:22" x14ac:dyDescent="0.2">
      <c r="A650" t="str">
        <f>B611</f>
        <v>electricity, residential, by conversion of hydrogen using fuel cell, SOFC, allocated by exergy, transported by truck, produced by Electrolysis, Alkaline using water and electricity from grid</v>
      </c>
      <c r="B650" s="45">
        <v>1</v>
      </c>
      <c r="C650" t="str">
        <f>B617</f>
        <v>kilowatt hour</v>
      </c>
      <c r="E650" t="str">
        <f>B614</f>
        <v>CH</v>
      </c>
      <c r="F650" t="s">
        <v>62</v>
      </c>
      <c r="G650" t="str">
        <f>B616</f>
        <v>electricity, from residential heating system</v>
      </c>
      <c r="K650" t="str">
        <f>B611</f>
        <v>electricity, residential, by conversion of hydrogen using fuel cell, SOFC, allocated by exergy, transported by truck, produced by Electrolysis, Alkaline using water and electricity from grid</v>
      </c>
    </row>
    <row r="651" spans="1:22" x14ac:dyDescent="0.2">
      <c r="A651" t="str">
        <f>VLOOKUP(J651,'dataset mapping'!$A$4:$E$69,2,0)</f>
        <v>fuel cell production, stack solid oxide, 125kW electrical, future</v>
      </c>
      <c r="B651" s="52">
        <f>(1/(B640*B644*B643))*B645</f>
        <v>1.5612013277254003E-7</v>
      </c>
      <c r="C651" t="str">
        <f>VLOOKUP(J651,'dataset mapping'!$A$4:$E$69,5,0)</f>
        <v>unit</v>
      </c>
      <c r="E651" t="str">
        <f>VLOOKUP(J651,'dataset mapping'!$A$4:$E$69,4,0)</f>
        <v>CH</v>
      </c>
      <c r="F651" t="s">
        <v>86</v>
      </c>
      <c r="G651" t="str">
        <f>VLOOKUP(J651,'dataset mapping'!$A$4:$E$69,3,0)</f>
        <v>fuel cell, stack solid oxide, 125kW electrical, future</v>
      </c>
      <c r="H651" t="s">
        <v>88</v>
      </c>
      <c r="I651" t="s">
        <v>277</v>
      </c>
      <c r="J651" t="s">
        <v>274</v>
      </c>
      <c r="K651" t="str">
        <f>B611</f>
        <v>electricity, residential, by conversion of hydrogen using fuel cell, SOFC, allocated by exergy, transported by truck, produced by Electrolysis, Alkaline using water and electricity from grid</v>
      </c>
      <c r="L651">
        <f t="shared" ref="L651:L656" si="13">IF(OR(B651&lt;0,B651=0),1,2)</f>
        <v>2</v>
      </c>
      <c r="M651">
        <f t="shared" ref="M651:M656" si="14">IF(L651=2,LN(B651),"")</f>
        <v>-15.672640044182527</v>
      </c>
      <c r="N651">
        <v>1</v>
      </c>
      <c r="O651" s="15">
        <v>1.2</v>
      </c>
      <c r="P651">
        <v>1</v>
      </c>
      <c r="Q651">
        <v>1.01</v>
      </c>
      <c r="R651">
        <v>1.2</v>
      </c>
      <c r="S651">
        <v>1.2</v>
      </c>
      <c r="T651">
        <v>3</v>
      </c>
      <c r="U651">
        <f t="shared" ref="U651:U656" si="15">LN(SQRT(EXP(
SQRT(
+POWER(LN(N651),2)
+POWER(LN(O651),2)
+POWER(LN(P651),2)
+POWER(LN(Q651),2)
+POWER(LN(R651),2)
+POWER(LN(S651),2)
+POWER(LN(T651),2)
)
)))</f>
        <v>0.57157051623399524</v>
      </c>
    </row>
    <row r="652" spans="1:22" x14ac:dyDescent="0.2">
      <c r="A652" t="s">
        <v>283</v>
      </c>
      <c r="B652" s="52">
        <f>(1/(B640*B644*B643))*B645</f>
        <v>1.5612013277254003E-7</v>
      </c>
      <c r="C652" t="s">
        <v>55</v>
      </c>
      <c r="E652" t="s">
        <v>64</v>
      </c>
      <c r="F652" t="s">
        <v>86</v>
      </c>
      <c r="G652" t="s">
        <v>284</v>
      </c>
      <c r="H652" t="s">
        <v>88</v>
      </c>
      <c r="I652" t="s">
        <v>277</v>
      </c>
      <c r="K652" t="str">
        <f>B611</f>
        <v>electricity, residential, by conversion of hydrogen using fuel cell, SOFC, allocated by exergy, transported by truck, produced by Electrolysis, Alkaline using water and electricity from grid</v>
      </c>
      <c r="L652">
        <f t="shared" si="13"/>
        <v>2</v>
      </c>
      <c r="M652">
        <f t="shared" si="14"/>
        <v>-15.672640044182527</v>
      </c>
      <c r="N652">
        <v>1</v>
      </c>
      <c r="O652" s="15">
        <v>1.2</v>
      </c>
      <c r="P652">
        <v>1</v>
      </c>
      <c r="Q652">
        <v>1.01</v>
      </c>
      <c r="R652">
        <v>1.2</v>
      </c>
      <c r="S652">
        <v>1.2</v>
      </c>
      <c r="T652">
        <v>3</v>
      </c>
      <c r="U652">
        <f t="shared" si="15"/>
        <v>0.57157051623399524</v>
      </c>
    </row>
    <row r="653" spans="1:22" x14ac:dyDescent="0.2">
      <c r="A653" t="s">
        <v>288</v>
      </c>
      <c r="B653" s="52">
        <f>0.000024*B645</f>
        <v>2.0738998437504217E-5</v>
      </c>
      <c r="C653" t="s">
        <v>56</v>
      </c>
      <c r="E653" t="s">
        <v>64</v>
      </c>
      <c r="F653" t="s">
        <v>86</v>
      </c>
      <c r="G653" t="s">
        <v>287</v>
      </c>
      <c r="H653" t="s">
        <v>88</v>
      </c>
      <c r="K653" t="str">
        <f>B611</f>
        <v>electricity, residential, by conversion of hydrogen using fuel cell, SOFC, allocated by exergy, transported by truck, produced by Electrolysis, Alkaline using water and electricity from grid</v>
      </c>
      <c r="L653">
        <f t="shared" si="13"/>
        <v>2</v>
      </c>
      <c r="M653">
        <f t="shared" si="14"/>
        <v>-10.783494647673981</v>
      </c>
      <c r="N653">
        <v>1</v>
      </c>
      <c r="O653" s="15">
        <v>1.2</v>
      </c>
      <c r="P653">
        <v>1</v>
      </c>
      <c r="Q653">
        <v>1.01</v>
      </c>
      <c r="R653">
        <v>1.2</v>
      </c>
      <c r="S653">
        <v>1.2</v>
      </c>
      <c r="T653">
        <v>1.05</v>
      </c>
      <c r="U653">
        <f t="shared" si="15"/>
        <v>0.15984597228197622</v>
      </c>
    </row>
    <row r="654" spans="1:22" x14ac:dyDescent="0.2">
      <c r="A654" t="s">
        <v>1136</v>
      </c>
      <c r="B654" s="53">
        <f>(B650/B634)/B633*B645</f>
        <v>5.515691073804313E-2</v>
      </c>
      <c r="C654" t="str">
        <f>VLOOKUP(J654,'dataset mapping'!$A$4:$E$69,5,0)</f>
        <v>kilogram</v>
      </c>
      <c r="E654" t="str">
        <f>VLOOKUP(J654,'dataset mapping'!$A$4:$E$69,4,0)</f>
        <v>CH</v>
      </c>
      <c r="F654" t="s">
        <v>86</v>
      </c>
      <c r="G654" t="s">
        <v>1137</v>
      </c>
      <c r="H654" t="s">
        <v>76</v>
      </c>
      <c r="I654" t="s">
        <v>1054</v>
      </c>
      <c r="J654" t="s">
        <v>231</v>
      </c>
      <c r="K654" t="str">
        <f>B611</f>
        <v>electricity, residential, by conversion of hydrogen using fuel cell, SOFC, allocated by exergy, transported by truck, produced by Electrolysis, Alkaline using water and electricity from grid</v>
      </c>
      <c r="L654">
        <f t="shared" si="13"/>
        <v>2</v>
      </c>
      <c r="M654">
        <f t="shared" si="14"/>
        <v>-2.8975732330996009</v>
      </c>
      <c r="N654">
        <v>1</v>
      </c>
      <c r="O654" s="15">
        <v>1.2</v>
      </c>
      <c r="P654">
        <v>1</v>
      </c>
      <c r="Q654">
        <v>1.01</v>
      </c>
      <c r="R654">
        <v>1.2</v>
      </c>
      <c r="S654">
        <v>1.2</v>
      </c>
      <c r="T654">
        <v>1.05</v>
      </c>
      <c r="U654">
        <f t="shared" si="15"/>
        <v>0.15984597228197622</v>
      </c>
    </row>
    <row r="655" spans="1:22" x14ac:dyDescent="0.2">
      <c r="A655" t="str">
        <f>VLOOKUP(J655,'dataset mapping'!$A$4:$E$69,2,0)</f>
        <v>high pressure hydrogen storage tank</v>
      </c>
      <c r="B655" s="52">
        <f>((B646/10)/(B644*B640*20))*IF(B645&lt;&gt;0,B645,1)</f>
        <v>5.400780843100055E-6</v>
      </c>
      <c r="C655" t="str">
        <f>VLOOKUP(J655,'dataset mapping'!$A$4:$E$69,5,0)</f>
        <v>kilogram</v>
      </c>
      <c r="E655" t="str">
        <f>VLOOKUP(J655,'dataset mapping'!$A$4:$E$69,4,0)</f>
        <v>GLO</v>
      </c>
      <c r="F655" t="s">
        <v>86</v>
      </c>
      <c r="G655" t="str">
        <f>VLOOKUP(J655,'dataset mapping'!$A$4:$E$69,3,0)</f>
        <v>high pressure hydrogen storage tank</v>
      </c>
      <c r="H655" t="s">
        <v>88</v>
      </c>
      <c r="I655" t="s">
        <v>230</v>
      </c>
      <c r="J655" t="s">
        <v>229</v>
      </c>
      <c r="K655" t="str">
        <f>B611</f>
        <v>electricity, residential, by conversion of hydrogen using fuel cell, SOFC, allocated by exergy, transported by truck, produced by Electrolysis, Alkaline using water and electricity from grid</v>
      </c>
      <c r="L655">
        <f t="shared" si="13"/>
        <v>2</v>
      </c>
      <c r="M655">
        <f t="shared" si="14"/>
        <v>-12.128967014273616</v>
      </c>
      <c r="N655">
        <v>1</v>
      </c>
      <c r="O655" s="15">
        <v>1.2</v>
      </c>
      <c r="P655">
        <v>1</v>
      </c>
      <c r="Q655">
        <v>1.01</v>
      </c>
      <c r="R655">
        <v>1.2</v>
      </c>
      <c r="S655">
        <v>1.2</v>
      </c>
      <c r="T655">
        <v>3</v>
      </c>
      <c r="U655">
        <f t="shared" si="15"/>
        <v>0.57157051623399524</v>
      </c>
    </row>
    <row r="656" spans="1:22" x14ac:dyDescent="0.2">
      <c r="A656" t="s">
        <v>134</v>
      </c>
      <c r="B656" s="45">
        <f>B654*9</f>
        <v>0.49641219664238817</v>
      </c>
      <c r="C656" t="s">
        <v>56</v>
      </c>
      <c r="D656" t="s">
        <v>100</v>
      </c>
      <c r="F656" t="s">
        <v>99</v>
      </c>
      <c r="H656" t="s">
        <v>131</v>
      </c>
      <c r="I656" t="s">
        <v>1057</v>
      </c>
      <c r="K656" t="str">
        <f>B611</f>
        <v>electricity, residential, by conversion of hydrogen using fuel cell, SOFC, allocated by exergy, transported by truck, produced by Electrolysis, Alkaline using water and electricity from grid</v>
      </c>
      <c r="L656">
        <f t="shared" si="13"/>
        <v>2</v>
      </c>
      <c r="M656">
        <f t="shared" si="14"/>
        <v>-0.70034865576338168</v>
      </c>
      <c r="N656">
        <v>1</v>
      </c>
      <c r="O656" s="15">
        <v>1.2</v>
      </c>
      <c r="P656">
        <v>1</v>
      </c>
      <c r="Q656">
        <v>1.01</v>
      </c>
      <c r="R656">
        <v>1.2</v>
      </c>
      <c r="S656">
        <v>1.2</v>
      </c>
      <c r="T656">
        <v>1.05</v>
      </c>
      <c r="U656">
        <f t="shared" si="15"/>
        <v>0.15984597228197622</v>
      </c>
    </row>
    <row r="658" spans="1:2" x14ac:dyDescent="0.2">
      <c r="A658" s="2" t="s">
        <v>50</v>
      </c>
      <c r="B658" s="44" t="str">
        <f>IF(B664="megajoule","heat","electricity")&amp;", residential, by "&amp;B669&amp;" of "&amp;B668&amp;" using "&amp;B670&amp;IF(B671&lt;&gt;0,", allocated by "&amp;B671,"")&amp;", transported by "&amp;B672&amp;", produced by "&amp;B676&amp;" using "&amp;B677&amp;" from "&amp;B678</f>
        <v>heat, residential, by combustion of hydrogen using boiler, transported by pipeline, produced by Electrolysis, PEM using water and electricity from grid</v>
      </c>
    </row>
    <row r="659" spans="1:2" x14ac:dyDescent="0.2">
      <c r="A659" t="s">
        <v>51</v>
      </c>
      <c r="B659" s="45" t="str">
        <f>"This dataset represents the supply of 1 "&amp;IF(B664="megajoule","megajoule of heat","kilowatt hour of electricity")&amp;" in a residence, by "&amp;B668&amp;" "&amp;B669&amp;" in a "&amp;B670&amp;". "&amp;" The hydrogen is transported by "&amp;B672&amp;" over "&amp;B673&amp;" km from regional storage. "&amp;" The "&amp;B668&amp;" is produced by  "&amp;B676&amp;", with "&amp;B677&amp;" from "&amp;B678&amp;" as feedstock. "&amp;A680&amp;": "&amp;(B680*100)&amp;"%. "&amp;A681&amp;": "&amp;B681&amp;". "&amp;A682&amp;": "&amp;B682&amp;". "&amp;A683&amp;": "&amp;(B683*100)&amp;"%. "&amp;A684&amp;": "&amp;(B684*100)&amp;"%. "&amp;A685&amp;": "&amp;(B685*100)&amp;"%. "&amp;A686&amp;": "&amp;B686&amp;". "&amp;A687&amp;": "&amp;B687&amp;". "&amp;A688&amp;": "&amp;(B688*100)&amp;"%. "&amp;A689&amp;": "&amp;B689&amp;". "&amp;A690&amp;": "&amp;B690&amp;". "&amp;A691&amp;": "&amp;B691&amp;". "&amp;A692&amp;": "&amp;B692&amp;".  For more information, refer to: "&amp;B660</f>
        <v>This dataset represents the supply of 1 megajoule of heat in a residence, by hydrogen combustion in a boiler.  The hydrogen is transported by pipeline over 500 km from regional storage.  The hydrogen is produced by  Electrolysis, PEM,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660" spans="1:2" x14ac:dyDescent="0.2">
      <c r="A660" t="s">
        <v>63</v>
      </c>
      <c r="B660" s="45" t="s">
        <v>1223</v>
      </c>
    </row>
    <row r="661" spans="1:2" x14ac:dyDescent="0.2">
      <c r="A661" t="s">
        <v>52</v>
      </c>
      <c r="B661" s="45" t="s">
        <v>64</v>
      </c>
    </row>
    <row r="662" spans="1:2" x14ac:dyDescent="0.2">
      <c r="A662" t="s">
        <v>48</v>
      </c>
      <c r="B662" s="45">
        <v>9</v>
      </c>
    </row>
    <row r="663" spans="1:2" x14ac:dyDescent="0.2">
      <c r="A663" t="s">
        <v>54</v>
      </c>
      <c r="B663" s="45" t="str">
        <f>INDEX(overview!$B$4:$R$338,MATCH('hydrogen - electrolysis'!B662,overview!$A$4:$A$338,0),MATCH('hydrogen - electrolysis'!A663,overview!$B$3:$R$3,0))</f>
        <v>heat, from residential heating system</v>
      </c>
    </row>
    <row r="664" spans="1:2" x14ac:dyDescent="0.2">
      <c r="A664" t="s">
        <v>55</v>
      </c>
      <c r="B664" s="45" t="str">
        <f>INDEX(overview!$B$4:$R$338,MATCH('hydrogen - electrolysis'!B662,overview!$A$4:$A$338,0),MATCH('hydrogen - electrolysis'!A664,overview!$B$3:$R$3,0))</f>
        <v>megajoule</v>
      </c>
    </row>
    <row r="665" spans="1:2" x14ac:dyDescent="0.2">
      <c r="A665" t="s">
        <v>0</v>
      </c>
      <c r="B665" s="45" t="str">
        <f>INDEX(overview!$B$4:$R$338,MATCH('hydrogen - electrolysis'!B662,overview!$A$4:$A$338,0),MATCH('hydrogen - electrolysis'!A665,overview!$B$3:$R$3,0))</f>
        <v>Switzerland</v>
      </c>
    </row>
    <row r="666" spans="1:2" x14ac:dyDescent="0.2">
      <c r="A666" t="s">
        <v>1</v>
      </c>
      <c r="B666" s="45">
        <f>INDEX(overview!$B$4:$R$338,MATCH('hydrogen - electrolysis'!B662,overview!$A$4:$A$338,0),MATCH('hydrogen - electrolysis'!A666,overview!$B$3:$R$3,0))</f>
        <v>2020</v>
      </c>
    </row>
    <row r="667" spans="1:2" x14ac:dyDescent="0.2">
      <c r="A667" t="s">
        <v>2</v>
      </c>
      <c r="B667" s="45" t="str">
        <f>INDEX(overview!$B$4:$R$338,MATCH('hydrogen - electrolysis'!B662,overview!$A$4:$A$338,0),MATCH('hydrogen - electrolysis'!A667,overview!$B$3:$R$3,0))</f>
        <v>1 MJ heat</v>
      </c>
    </row>
    <row r="668" spans="1:2" x14ac:dyDescent="0.2">
      <c r="A668" t="s">
        <v>5</v>
      </c>
      <c r="B668" s="45" t="str">
        <f>INDEX(overview!$B$4:$R$338,MATCH('hydrogen - electrolysis'!B662,overview!$A$4:$A$338,0),MATCH('hydrogen - electrolysis'!A668,overview!$B$3:$R$3,0))</f>
        <v>hydrogen</v>
      </c>
    </row>
    <row r="669" spans="1:2" x14ac:dyDescent="0.2">
      <c r="A669" t="s">
        <v>3</v>
      </c>
      <c r="B669" s="45" t="str">
        <f>INDEX(overview!$B$4:$R$338,MATCH('hydrogen - electrolysis'!B662,overview!$A$4:$A$338,0),MATCH('hydrogen - electrolysis'!A669,overview!$B$3:$R$3,0))</f>
        <v>combustion</v>
      </c>
    </row>
    <row r="670" spans="1:2" x14ac:dyDescent="0.2">
      <c r="A670" t="s">
        <v>6</v>
      </c>
      <c r="B670" s="45" t="str">
        <f>INDEX(overview!$B$4:$R$338,MATCH('hydrogen - electrolysis'!B662,overview!$A$4:$A$338,0),MATCH('hydrogen - electrolysis'!A670,overview!$B$3:$R$3,0))</f>
        <v>boiler</v>
      </c>
    </row>
    <row r="671" spans="1:2" x14ac:dyDescent="0.2">
      <c r="A671" t="s">
        <v>39</v>
      </c>
      <c r="B671" s="45">
        <f>INDEX(overview!$B$4:$R$338,MATCH('hydrogen - electrolysis'!B662,overview!$A$4:$A$338,0),MATCH('hydrogen - electrolysis'!A671,overview!$B$3:$R$3,0))</f>
        <v>0</v>
      </c>
    </row>
    <row r="672" spans="1:2" x14ac:dyDescent="0.2">
      <c r="A672" t="s">
        <v>4</v>
      </c>
      <c r="B672" s="45" t="str">
        <f>INDEX(overview!$B$4:$R$338,MATCH('hydrogen - electrolysis'!B662,overview!$A$4:$A$338,0),MATCH('hydrogen - electrolysis'!A672,overview!$B$3:$R$3,0))</f>
        <v>pipeline</v>
      </c>
    </row>
    <row r="673" spans="1:2" x14ac:dyDescent="0.2">
      <c r="A673" t="s">
        <v>38</v>
      </c>
      <c r="B673" s="45">
        <f>INDEX(overview!$B$4:$R$338,MATCH('hydrogen - electrolysis'!B662,overview!$A$4:$A$338,0),MATCH('hydrogen - electrolysis'!A673,overview!$B$3:$R$3,0))</f>
        <v>500</v>
      </c>
    </row>
    <row r="674" spans="1:2" x14ac:dyDescent="0.2">
      <c r="A674" t="s">
        <v>12</v>
      </c>
      <c r="B674" s="45" t="str">
        <f>INDEX(overview!$B$4:$R$338,MATCH('hydrogen - electrolysis'!B662,overview!$A$4:$A$338,0),MATCH('hydrogen - electrolysis'!A674,overview!$B$3:$R$3,0))</f>
        <v>Pressure vessel for stationary storage</v>
      </c>
    </row>
    <row r="675" spans="1:2" x14ac:dyDescent="0.2">
      <c r="A675" t="s">
        <v>34</v>
      </c>
      <c r="B675" s="45">
        <f>INDEX(overview!$B$4:$R$338,MATCH('hydrogen - electrolysis'!B662,overview!$A$4:$A$338,0),MATCH('hydrogen - electrolysis'!A675,overview!$B$3:$R$3,0))</f>
        <v>0</v>
      </c>
    </row>
    <row r="676" spans="1:2" x14ac:dyDescent="0.2">
      <c r="A676" t="s">
        <v>15</v>
      </c>
      <c r="B676" s="45" t="str">
        <f>INDEX(overview!$B$4:$R$338,MATCH('hydrogen - electrolysis'!B662,overview!$A$4:$A$338,0),MATCH('hydrogen - electrolysis'!A676,overview!$B$3:$R$3,0))</f>
        <v>Electrolysis, PEM</v>
      </c>
    </row>
    <row r="677" spans="1:2" x14ac:dyDescent="0.2">
      <c r="A677" t="s">
        <v>14</v>
      </c>
      <c r="B677" s="45" t="str">
        <f>INDEX(overview!$B$4:$R$338,MATCH('hydrogen - electrolysis'!B662,overview!$A$4:$A$338,0),MATCH('hydrogen - electrolysis'!A677,overview!$B$3:$R$3,0))</f>
        <v>water and electricity</v>
      </c>
    </row>
    <row r="678" spans="1:2" x14ac:dyDescent="0.2">
      <c r="A678" t="s">
        <v>26</v>
      </c>
      <c r="B678" s="45" t="str">
        <f>INDEX(overview!$B$4:$R$338,MATCH('hydrogen - electrolysis'!B662,overview!$A$4:$A$338,0),MATCH('hydrogen - electrolysis'!A678,overview!$B$3:$R$3,0))</f>
        <v>grid</v>
      </c>
    </row>
    <row r="679" spans="1:2" x14ac:dyDescent="0.2">
      <c r="A679" t="s">
        <v>29</v>
      </c>
      <c r="B679" s="45">
        <f>INDEX(overview!$B$4:$R$338,MATCH('hydrogen - electrolysis'!B662,overview!$A$4:$A$338,0),MATCH('hydrogen - electrolysis'!A679,overview!$B$3:$R$3,0))</f>
        <v>0</v>
      </c>
    </row>
    <row r="680" spans="1:2" x14ac:dyDescent="0.2">
      <c r="A680" t="str">
        <f>IF(B664="megajoule","Heat","Electricity")&amp;" conversion efficiency [% LHV input]"</f>
        <v>Heat conversion efficiency [% LHV input]</v>
      </c>
      <c r="B680" s="46">
        <f>INDEX(parameters!$D$4:$N$20,MATCH('hydrogen - electrolysis'!B668&amp;'hydrogen - electrolysis'!B670,parameters!$A$4:$A$20,0),MATCH('hydrogen - electrolysis'!A680,parameters!$D$3:$N$3,0))</f>
        <v>0.94</v>
      </c>
    </row>
    <row r="681" spans="1:2" x14ac:dyDescent="0.2">
      <c r="A681" t="str">
        <f>IF(B664="megajoule","LHV [MJ/kg]","LHV [kWh/kg]")</f>
        <v>LHV [MJ/kg]</v>
      </c>
      <c r="B681" s="47">
        <f>INDEX(parameters!$D$4:$N$20,MATCH('hydrogen - electrolysis'!B668&amp;'hydrogen - electrolysis'!B670,parameters!$A$4:$A$20,0),MATCH('hydrogen - electrolysis'!A681,parameters!$D$3:$N$3,0))</f>
        <v>120</v>
      </c>
    </row>
    <row r="682" spans="1:2" x14ac:dyDescent="0.2">
      <c r="A682" t="s">
        <v>41</v>
      </c>
      <c r="B682" s="48">
        <f>INDEX(parameters!$D$4:$N$20,MATCH('hydrogen - electrolysis'!B668&amp;'hydrogen - electrolysis'!B670,parameters!$A$4:$A$20,0),MATCH('hydrogen - electrolysis'!A682,parameters!$D$3:$N$3,0))</f>
        <v>2.6666666666666665E-2</v>
      </c>
    </row>
    <row r="683" spans="1:2" x14ac:dyDescent="0.2">
      <c r="A683" t="s">
        <v>45</v>
      </c>
      <c r="B683" s="49">
        <f>INDEX(parameters!$D$4:$N$20,MATCH('hydrogen - electrolysis'!B668&amp;'hydrogen - electrolysis'!B670,parameters!$A$4:$A$20,0),MATCH('hydrogen - electrolysis'!A683,parameters!$D$3:$N$3,0))</f>
        <v>0</v>
      </c>
    </row>
    <row r="684" spans="1:2" x14ac:dyDescent="0.2">
      <c r="A684" t="s">
        <v>46</v>
      </c>
      <c r="B684" s="49">
        <f>INDEX(parameters!$D$4:$N$20,MATCH('hydrogen - electrolysis'!B668&amp;'hydrogen - electrolysis'!B670,parameters!$A$4:$A$20,0),MATCH('hydrogen - electrolysis'!A684,parameters!$D$3:$N$3,0))</f>
        <v>1.4999999999999999E-2</v>
      </c>
    </row>
    <row r="685" spans="1:2" x14ac:dyDescent="0.2">
      <c r="A685" t="s">
        <v>43</v>
      </c>
      <c r="B685" s="49">
        <f>INDEX(parameters!$D$4:$N$20,MATCH('hydrogen - electrolysis'!B668&amp;'hydrogen - electrolysis'!B670,parameters!$A$4:$A$20,0),MATCH('hydrogen - electrolysis'!A685,parameters!$D$3:$N$3,0))</f>
        <v>0</v>
      </c>
    </row>
    <row r="686" spans="1:2" x14ac:dyDescent="0.2">
      <c r="A686" t="s">
        <v>44</v>
      </c>
      <c r="B686" s="49">
        <f>INDEX(parameters!$D$4:$N$20,MATCH('hydrogen - electrolysis'!B668&amp;'hydrogen - electrolysis'!B670,parameters!$A$4:$A$20,0),MATCH('hydrogen - electrolysis'!A686,parameters!$D$3:$N$3,0))</f>
        <v>0</v>
      </c>
    </row>
    <row r="687" spans="1:2" x14ac:dyDescent="0.2">
      <c r="A687" t="s">
        <v>634</v>
      </c>
      <c r="B687" s="51">
        <f>INDEX(parameters!$D$4:$Y$20,MATCH('hydrogen - electrolysis'!B668&amp;'hydrogen - electrolysis'!B670,parameters!$A$4:$A$20,0),MATCH('hydrogen - electrolysis'!A687,parameters!$D$3:$Y$3,0))</f>
        <v>15.957446808510639</v>
      </c>
    </row>
    <row r="688" spans="1:2" x14ac:dyDescent="0.2">
      <c r="A688" t="s">
        <v>82</v>
      </c>
      <c r="B688" s="46">
        <f>IF(B679&lt;&gt;0,VLOOKUP(B679,parameters!A456:B458,2,0),0)</f>
        <v>0</v>
      </c>
    </row>
    <row r="689" spans="1:22" x14ac:dyDescent="0.2">
      <c r="A689" t="s">
        <v>548</v>
      </c>
      <c r="B689" s="50">
        <f>INDEX(parameters!$D$4:$P$20,MATCH(B668&amp;B670,parameters!$A$4:$A$20,0),MATCH(A689,parameters!$D$3:$P$3,0))</f>
        <v>15</v>
      </c>
    </row>
    <row r="690" spans="1:22" x14ac:dyDescent="0.2">
      <c r="A690" t="s">
        <v>547</v>
      </c>
      <c r="B690" s="51">
        <f>INDEX(parameters!$D$4:$P$20,MATCH(B668&amp;B670,parameters!$A$4:$A$20,0),MATCH(A690,parameters!$D$3:$P$3,0))</f>
        <v>20</v>
      </c>
    </row>
    <row r="691" spans="1:22" x14ac:dyDescent="0.2">
      <c r="A691" t="s">
        <v>630</v>
      </c>
      <c r="B691" s="51">
        <f>INDEX(parameters!$D$4:$T$20,MATCH(B668&amp;B670,parameters!$A$4:$A$20,0),MATCH(A691,parameters!$D$3:$T$3,0))</f>
        <v>2100</v>
      </c>
    </row>
    <row r="692" spans="1:22" x14ac:dyDescent="0.2">
      <c r="A692" t="s">
        <v>1005</v>
      </c>
      <c r="B692" s="50">
        <f>IF(B664="megajoule",SUMIFS(allocation!$I$4:$I$30,allocation!$B$4:$B$30,B670,allocation!$C$4:$C$30,B671),SUMIFS(allocation!$J$4:$J$30,allocation!$B$4:$B$30,B670,allocation!$C$4:$C$30,B671))</f>
        <v>0</v>
      </c>
    </row>
    <row r="693" spans="1:22" x14ac:dyDescent="0.2">
      <c r="A693" t="s">
        <v>1050</v>
      </c>
      <c r="B693" s="51">
        <f>INDEX(parameters!$D$4:$AB$20,MATCH(B668&amp;B670,parameters!$A$4:$A$20,0),MATCH(A693,parameters!$D$3:$AB$3,0))</f>
        <v>44.562019013128115</v>
      </c>
    </row>
    <row r="695" spans="1:22" x14ac:dyDescent="0.2">
      <c r="A695" s="3" t="s">
        <v>57</v>
      </c>
    </row>
    <row r="696" spans="1:22" x14ac:dyDescent="0.2">
      <c r="A696" s="2" t="s">
        <v>58</v>
      </c>
      <c r="B696" s="44" t="s">
        <v>59</v>
      </c>
      <c r="C696" s="2" t="s">
        <v>55</v>
      </c>
      <c r="D696" s="2" t="s">
        <v>60</v>
      </c>
      <c r="E696" s="2" t="s">
        <v>52</v>
      </c>
      <c r="F696" s="2" t="s">
        <v>61</v>
      </c>
      <c r="G696" s="2" t="s">
        <v>54</v>
      </c>
      <c r="H696" s="2" t="s">
        <v>87</v>
      </c>
      <c r="I696" s="2" t="s">
        <v>51</v>
      </c>
      <c r="J696" s="2" t="s">
        <v>138</v>
      </c>
      <c r="K696" s="2" t="s">
        <v>136</v>
      </c>
      <c r="L696" s="2" t="s">
        <v>221</v>
      </c>
      <c r="M696" s="2" t="s">
        <v>379</v>
      </c>
      <c r="N696" s="2" t="s">
        <v>1059</v>
      </c>
      <c r="O696" s="2" t="s">
        <v>1060</v>
      </c>
      <c r="P696" s="2" t="s">
        <v>1061</v>
      </c>
      <c r="Q696" s="2" t="s">
        <v>1062</v>
      </c>
      <c r="R696" s="2" t="s">
        <v>1063</v>
      </c>
      <c r="S696" s="2" t="s">
        <v>1064</v>
      </c>
      <c r="T696" s="2" t="s">
        <v>1065</v>
      </c>
      <c r="U696" s="2" t="s">
        <v>380</v>
      </c>
      <c r="V696" s="2" t="s">
        <v>1128</v>
      </c>
    </row>
    <row r="697" spans="1:22" x14ac:dyDescent="0.2">
      <c r="A697" t="str">
        <f>B658</f>
        <v>heat, residential, by combustion of hydrogen using boiler, transported by pipeline, produced by Electrolysis, PEM using water and electricity from grid</v>
      </c>
      <c r="B697" s="45">
        <v>1</v>
      </c>
      <c r="C697" t="str">
        <f>B664</f>
        <v>megajoule</v>
      </c>
      <c r="E697" t="str">
        <f>B661</f>
        <v>CH</v>
      </c>
      <c r="F697" t="s">
        <v>62</v>
      </c>
      <c r="G697" t="str">
        <f>B663</f>
        <v>heat, from residential heating system</v>
      </c>
      <c r="K697" t="str">
        <f>B658</f>
        <v>heat, residential, by combustion of hydrogen using boiler, transported by pipeline, produced by Electrolysis, PEM using water and electricity from grid</v>
      </c>
    </row>
    <row r="698" spans="1:22" x14ac:dyDescent="0.2">
      <c r="A698" t="s">
        <v>83</v>
      </c>
      <c r="B698" s="52">
        <f>1/(B689*B691*B690*3.6)</f>
        <v>4.4091710758377425E-7</v>
      </c>
      <c r="C698" t="s">
        <v>55</v>
      </c>
      <c r="E698" t="s">
        <v>85</v>
      </c>
      <c r="F698" t="s">
        <v>86</v>
      </c>
      <c r="G698" t="s">
        <v>84</v>
      </c>
      <c r="H698" t="s">
        <v>88</v>
      </c>
      <c r="K698" t="str">
        <f>B658</f>
        <v>heat, residential, by combustion of hydrogen using boiler, transported by pipeline, produced by Electrolysis, PEM using water and electricity from grid</v>
      </c>
      <c r="L698">
        <f t="shared" ref="L698:L703" si="16">IF(OR(B698&lt;0,B698=0),1,2)</f>
        <v>2</v>
      </c>
      <c r="M698">
        <f t="shared" ref="M698:M703" si="17">IF(L698=2,LN(B698),"")</f>
        <v>-14.634408943829779</v>
      </c>
      <c r="N698">
        <v>1.05</v>
      </c>
      <c r="O698" s="15">
        <v>1.2</v>
      </c>
      <c r="P698">
        <v>1</v>
      </c>
      <c r="Q698">
        <v>1.01</v>
      </c>
      <c r="R698">
        <v>1.2</v>
      </c>
      <c r="S698">
        <v>1.2</v>
      </c>
      <c r="T698">
        <v>3</v>
      </c>
      <c r="U698">
        <f t="shared" ref="U698:U703" si="18">LN(SQRT(EXP(
SQRT(
+POWER(LN(N698),2)
+POWER(LN(O698),2)
+POWER(LN(P698),2)
+POWER(LN(Q698),2)
+POWER(LN(R698),2)
+POWER(LN(S698),2)
+POWER(LN(T698),2)
)
)))</f>
        <v>0.57209088006881903</v>
      </c>
    </row>
    <row r="699" spans="1:22" x14ac:dyDescent="0.2">
      <c r="A699" t="s">
        <v>500</v>
      </c>
      <c r="B699" s="52">
        <f>B698*2</f>
        <v>8.8183421516754851E-7</v>
      </c>
      <c r="C699" t="s">
        <v>267</v>
      </c>
      <c r="E699" t="s">
        <v>85</v>
      </c>
      <c r="F699" t="s">
        <v>86</v>
      </c>
      <c r="G699" t="s">
        <v>501</v>
      </c>
      <c r="H699" t="s">
        <v>88</v>
      </c>
      <c r="I699" t="s">
        <v>621</v>
      </c>
      <c r="K699" t="str">
        <f>B658</f>
        <v>heat, residential, by combustion of hydrogen using boiler, transported by pipeline, produced by Electrolysis, PEM using water and electricity from grid</v>
      </c>
      <c r="L699">
        <f t="shared" si="16"/>
        <v>2</v>
      </c>
      <c r="M699">
        <f t="shared" si="17"/>
        <v>-13.941261763269834</v>
      </c>
      <c r="N699">
        <v>1.05</v>
      </c>
      <c r="O699" s="15">
        <v>1.2</v>
      </c>
      <c r="P699">
        <v>1</v>
      </c>
      <c r="Q699">
        <v>1.01</v>
      </c>
      <c r="R699">
        <v>1.2</v>
      </c>
      <c r="S699">
        <v>1.2</v>
      </c>
      <c r="T699">
        <v>3</v>
      </c>
      <c r="U699">
        <f t="shared" si="18"/>
        <v>0.57209088006881903</v>
      </c>
    </row>
    <row r="700" spans="1:22" x14ac:dyDescent="0.2">
      <c r="A700" t="s">
        <v>130</v>
      </c>
      <c r="B700" s="52">
        <v>2.64E-3</v>
      </c>
      <c r="C700" t="s">
        <v>92</v>
      </c>
      <c r="E700" t="s">
        <v>64</v>
      </c>
      <c r="F700" t="s">
        <v>86</v>
      </c>
      <c r="G700" t="s">
        <v>93</v>
      </c>
      <c r="H700" t="s">
        <v>78</v>
      </c>
      <c r="I700" t="s">
        <v>270</v>
      </c>
      <c r="J700" t="s">
        <v>67</v>
      </c>
      <c r="K700" t="str">
        <f>B658</f>
        <v>heat, residential, by combustion of hydrogen using boiler, transported by pipeline, produced by Electrolysis, PEM using water and electricity from grid</v>
      </c>
      <c r="L700">
        <f t="shared" si="16"/>
        <v>2</v>
      </c>
      <c r="M700">
        <f t="shared" si="17"/>
        <v>-5.9369763618239126</v>
      </c>
      <c r="N700">
        <v>1.05</v>
      </c>
      <c r="O700" s="15">
        <v>1.2</v>
      </c>
      <c r="P700">
        <v>1</v>
      </c>
      <c r="Q700">
        <v>1.01</v>
      </c>
      <c r="R700">
        <v>1.2</v>
      </c>
      <c r="S700">
        <v>1.2</v>
      </c>
      <c r="T700">
        <v>1.05</v>
      </c>
      <c r="U700">
        <f t="shared" si="18"/>
        <v>0.16169679924070957</v>
      </c>
    </row>
    <row r="701" spans="1:22" x14ac:dyDescent="0.2">
      <c r="A701" t="s">
        <v>1138</v>
      </c>
      <c r="B701" s="53">
        <f>(B697/B681)/B680</f>
        <v>8.8652482269503553E-3</v>
      </c>
      <c r="C701" t="str">
        <f>VLOOKUP(J701,'dataset mapping'!$A$4:$E$69,5,0)</f>
        <v>kilogram</v>
      </c>
      <c r="E701" t="str">
        <f>VLOOKUP(J701,'dataset mapping'!$A$4:$E$69,4,0)</f>
        <v>CH</v>
      </c>
      <c r="F701" t="s">
        <v>86</v>
      </c>
      <c r="G701" t="s">
        <v>1129</v>
      </c>
      <c r="H701" t="s">
        <v>76</v>
      </c>
      <c r="I701" t="s">
        <v>1054</v>
      </c>
      <c r="J701" t="s">
        <v>281</v>
      </c>
      <c r="K701" t="str">
        <f>B658</f>
        <v>heat, residential, by combustion of hydrogen using boiler, transported by pipeline, produced by Electrolysis, PEM using water and electricity from grid</v>
      </c>
      <c r="L701">
        <f t="shared" si="16"/>
        <v>2</v>
      </c>
      <c r="M701">
        <f t="shared" si="17"/>
        <v>-4.7256163390639587</v>
      </c>
      <c r="N701">
        <v>1.05</v>
      </c>
      <c r="O701" s="15">
        <v>1.2</v>
      </c>
      <c r="P701">
        <v>1</v>
      </c>
      <c r="Q701">
        <v>1.01</v>
      </c>
      <c r="R701">
        <v>1.2</v>
      </c>
      <c r="S701">
        <v>1.2</v>
      </c>
      <c r="T701">
        <v>1.05</v>
      </c>
      <c r="U701">
        <f t="shared" si="18"/>
        <v>0.16169679924070957</v>
      </c>
    </row>
    <row r="702" spans="1:22" x14ac:dyDescent="0.2">
      <c r="A702" t="s">
        <v>134</v>
      </c>
      <c r="B702" s="45">
        <f>B701*9</f>
        <v>7.9787234042553196E-2</v>
      </c>
      <c r="C702" t="s">
        <v>56</v>
      </c>
      <c r="D702" t="s">
        <v>100</v>
      </c>
      <c r="F702" t="s">
        <v>99</v>
      </c>
      <c r="H702" t="s">
        <v>131</v>
      </c>
      <c r="I702" t="s">
        <v>1058</v>
      </c>
      <c r="K702" t="str">
        <f>B658</f>
        <v>heat, residential, by combustion of hydrogen using boiler, transported by pipeline, produced by Electrolysis, PEM using water and electricity from grid</v>
      </c>
      <c r="L702">
        <f t="shared" si="16"/>
        <v>2</v>
      </c>
      <c r="M702">
        <f t="shared" si="17"/>
        <v>-2.5283917617277392</v>
      </c>
      <c r="N702">
        <v>1.05</v>
      </c>
      <c r="O702" s="15">
        <v>1.2</v>
      </c>
      <c r="P702">
        <v>1</v>
      </c>
      <c r="Q702">
        <v>1.01</v>
      </c>
      <c r="R702">
        <v>1.2</v>
      </c>
      <c r="S702">
        <v>1.2</v>
      </c>
      <c r="T702">
        <v>1.05</v>
      </c>
      <c r="U702">
        <f t="shared" si="18"/>
        <v>0.16169679924070957</v>
      </c>
    </row>
    <row r="703" spans="1:22" x14ac:dyDescent="0.2">
      <c r="A703" t="s">
        <v>135</v>
      </c>
      <c r="B703" s="45">
        <f>912.5/1000000*B701</f>
        <v>8.0895390070921995E-6</v>
      </c>
      <c r="C703" t="s">
        <v>56</v>
      </c>
      <c r="D703" t="s">
        <v>100</v>
      </c>
      <c r="F703" t="s">
        <v>99</v>
      </c>
      <c r="H703" t="s">
        <v>131</v>
      </c>
      <c r="I703" t="s">
        <v>1217</v>
      </c>
      <c r="K703" t="str">
        <f>B658</f>
        <v>heat, residential, by combustion of hydrogen using boiler, transported by pipeline, produced by Electrolysis, PEM using water and electricity from grid</v>
      </c>
      <c r="L703">
        <f t="shared" si="16"/>
        <v>2</v>
      </c>
      <c r="M703">
        <f t="shared" si="17"/>
        <v>-11.724938811571587</v>
      </c>
      <c r="N703">
        <v>1.05</v>
      </c>
      <c r="O703" s="15">
        <v>1.2</v>
      </c>
      <c r="P703">
        <v>1</v>
      </c>
      <c r="Q703">
        <v>1.01</v>
      </c>
      <c r="R703">
        <v>1.2</v>
      </c>
      <c r="S703">
        <v>1.2</v>
      </c>
      <c r="T703">
        <v>1.5</v>
      </c>
      <c r="U703">
        <f t="shared" si="18"/>
        <v>0.25816898211842121</v>
      </c>
    </row>
    <row r="705" spans="1:2" x14ac:dyDescent="0.2">
      <c r="A705" s="2" t="s">
        <v>50</v>
      </c>
      <c r="B705" s="44" t="str">
        <f>IF(B711="megajoule","heat","electricity")&amp;", residential, by "&amp;B716&amp;" of "&amp;B715&amp;" using "&amp;B717&amp;IF(B718&lt;&gt;0,", allocated by "&amp;B718,"")&amp;", transported by "&amp;B719&amp;", produced by "&amp;B723&amp;" using "&amp;B724&amp;" from "&amp;B725</f>
        <v>heat, residential, by combustion of hydrogen using CHP, allocated by exergy, transported by pipeline, produced by Electrolysis, PEM using water and electricity from grid</v>
      </c>
    </row>
    <row r="706" spans="1:2" x14ac:dyDescent="0.2">
      <c r="A706" t="s">
        <v>51</v>
      </c>
      <c r="B706" s="45" t="str">
        <f>"This dataset represents the supply of 1 "&amp;IF(B711="megajoule","megajoule of heat","kilowatt hour of electricity")&amp;" in a residence, by "&amp;B715&amp;" "&amp;B716&amp;" in a "&amp;B717&amp;". "&amp;" The hydrogen is transported by "&amp;B719&amp;" over "&amp;B720&amp;" km from regional storage. "&amp;" The "&amp;B715&amp;" is produced by  "&amp;B723&amp;", with "&amp;B724&amp;" from "&amp;B725&amp;" as feedstock. "&amp;A727&amp;": "&amp;(B727*100)&amp;"%. "&amp;A728&amp;": "&amp;B728&amp;". "&amp;A729&amp;": "&amp;B729&amp;". "&amp;A730&amp;": "&amp;(B730*100)&amp;"%. "&amp;A731&amp;": "&amp;(B731*100)&amp;"%. "&amp;A732&amp;": "&amp;(B732*100)&amp;"%. "&amp;A733&amp;": "&amp;B733&amp;". "&amp;A734&amp;": "&amp;B734&amp;". "&amp;A735&amp;": "&amp;(B735*100)&amp;"%. "&amp;A736&amp;": "&amp;B736&amp;". "&amp;A737&amp;": "&amp;B737&amp;". "&amp;A738&amp;": "&amp;B738&amp;". "&amp;A739&amp;": "&amp;B739&amp;".  For more information, refer to: "&amp;B707</f>
        <v>This dataset represents the supply of 1 megajoule of heat in a residence, by hydrogen combustion in a CHP.  The hydrogen is transported by pipeline over 500 km from regional storage.  The hydrogen is produced by  Electrolysis, PEM,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707" spans="1:2" x14ac:dyDescent="0.2">
      <c r="A707" t="s">
        <v>63</v>
      </c>
      <c r="B707" s="45" t="s">
        <v>1223</v>
      </c>
    </row>
    <row r="708" spans="1:2" x14ac:dyDescent="0.2">
      <c r="A708" t="s">
        <v>52</v>
      </c>
      <c r="B708" s="45" t="s">
        <v>64</v>
      </c>
    </row>
    <row r="709" spans="1:2" x14ac:dyDescent="0.2">
      <c r="A709" t="s">
        <v>48</v>
      </c>
      <c r="B709" s="45">
        <v>10</v>
      </c>
    </row>
    <row r="710" spans="1:2" x14ac:dyDescent="0.2">
      <c r="A710" t="s">
        <v>54</v>
      </c>
      <c r="B710" s="45" t="str">
        <f>INDEX(overview!$B$4:$R$338,MATCH('hydrogen - electrolysis'!B709,overview!$A$4:$A$338,0),MATCH('hydrogen - electrolysis'!A710,overview!$B$3:$R$3,0))</f>
        <v>heat, from residential heating system</v>
      </c>
    </row>
    <row r="711" spans="1:2" x14ac:dyDescent="0.2">
      <c r="A711" t="s">
        <v>55</v>
      </c>
      <c r="B711" s="45" t="str">
        <f>INDEX(overview!$B$4:$R$338,MATCH('hydrogen - electrolysis'!B709,overview!$A$4:$A$338,0),MATCH('hydrogen - electrolysis'!A711,overview!$B$3:$R$3,0))</f>
        <v>megajoule</v>
      </c>
    </row>
    <row r="712" spans="1:2" x14ac:dyDescent="0.2">
      <c r="A712" t="s">
        <v>0</v>
      </c>
      <c r="B712" s="45" t="str">
        <f>INDEX(overview!$B$4:$R$338,MATCH('hydrogen - electrolysis'!B709,overview!$A$4:$A$338,0),MATCH('hydrogen - electrolysis'!A712,overview!$B$3:$R$3,0))</f>
        <v>Switzerland</v>
      </c>
    </row>
    <row r="713" spans="1:2" x14ac:dyDescent="0.2">
      <c r="A713" t="s">
        <v>1</v>
      </c>
      <c r="B713" s="45">
        <f>INDEX(overview!$B$4:$R$338,MATCH('hydrogen - electrolysis'!B709,overview!$A$4:$A$338,0),MATCH('hydrogen - electrolysis'!A713,overview!$B$3:$R$3,0))</f>
        <v>2020</v>
      </c>
    </row>
    <row r="714" spans="1:2" x14ac:dyDescent="0.2">
      <c r="A714" t="s">
        <v>2</v>
      </c>
      <c r="B714" s="45" t="str">
        <f>INDEX(overview!$B$4:$R$338,MATCH('hydrogen - electrolysis'!B709,overview!$A$4:$A$338,0),MATCH('hydrogen - electrolysis'!A714,overview!$B$3:$R$3,0))</f>
        <v>1 MJ heat</v>
      </c>
    </row>
    <row r="715" spans="1:2" x14ac:dyDescent="0.2">
      <c r="A715" t="s">
        <v>5</v>
      </c>
      <c r="B715" s="45" t="str">
        <f>INDEX(overview!$B$4:$R$338,MATCH('hydrogen - electrolysis'!B709,overview!$A$4:$A$338,0),MATCH('hydrogen - electrolysis'!A715,overview!$B$3:$R$3,0))</f>
        <v>hydrogen</v>
      </c>
    </row>
    <row r="716" spans="1:2" x14ac:dyDescent="0.2">
      <c r="A716" t="s">
        <v>3</v>
      </c>
      <c r="B716" s="45" t="str">
        <f>INDEX(overview!$B$4:$R$338,MATCH('hydrogen - electrolysis'!B709,overview!$A$4:$A$338,0),MATCH('hydrogen - electrolysis'!A716,overview!$B$3:$R$3,0))</f>
        <v>combustion</v>
      </c>
    </row>
    <row r="717" spans="1:2" x14ac:dyDescent="0.2">
      <c r="A717" t="s">
        <v>6</v>
      </c>
      <c r="B717" s="45" t="str">
        <f>INDEX(overview!$B$4:$R$338,MATCH('hydrogen - electrolysis'!B709,overview!$A$4:$A$338,0),MATCH('hydrogen - electrolysis'!A717,overview!$B$3:$R$3,0))</f>
        <v>CHP</v>
      </c>
    </row>
    <row r="718" spans="1:2" x14ac:dyDescent="0.2">
      <c r="A718" t="s">
        <v>39</v>
      </c>
      <c r="B718" s="45" t="str">
        <f>INDEX(overview!$B$4:$R$338,MATCH('hydrogen - electrolysis'!B709,overview!$A$4:$A$338,0),MATCH('hydrogen - electrolysis'!A718,overview!$B$3:$R$3,0))</f>
        <v>exergy</v>
      </c>
    </row>
    <row r="719" spans="1:2" x14ac:dyDescent="0.2">
      <c r="A719" t="s">
        <v>4</v>
      </c>
      <c r="B719" s="45" t="str">
        <f>INDEX(overview!$B$4:$R$338,MATCH('hydrogen - electrolysis'!B709,overview!$A$4:$A$338,0),MATCH('hydrogen - electrolysis'!A719,overview!$B$3:$R$3,0))</f>
        <v>pipeline</v>
      </c>
    </row>
    <row r="720" spans="1:2" x14ac:dyDescent="0.2">
      <c r="A720" t="s">
        <v>38</v>
      </c>
      <c r="B720" s="45">
        <f>INDEX(overview!$B$4:$R$338,MATCH('hydrogen - electrolysis'!B709,overview!$A$4:$A$338,0),MATCH('hydrogen - electrolysis'!A720,overview!$B$3:$R$3,0))</f>
        <v>500</v>
      </c>
    </row>
    <row r="721" spans="1:2" x14ac:dyDescent="0.2">
      <c r="A721" t="s">
        <v>12</v>
      </c>
      <c r="B721" s="45" t="str">
        <f>INDEX(overview!$B$4:$R$338,MATCH('hydrogen - electrolysis'!B709,overview!$A$4:$A$338,0),MATCH('hydrogen - electrolysis'!A721,overview!$B$3:$R$3,0))</f>
        <v>Pressure vessel for stationary storage</v>
      </c>
    </row>
    <row r="722" spans="1:2" x14ac:dyDescent="0.2">
      <c r="A722" t="s">
        <v>34</v>
      </c>
      <c r="B722" s="45">
        <f>INDEX(overview!$B$4:$R$338,MATCH('hydrogen - electrolysis'!B709,overview!$A$4:$A$338,0),MATCH('hydrogen - electrolysis'!A722,overview!$B$3:$R$3,0))</f>
        <v>0</v>
      </c>
    </row>
    <row r="723" spans="1:2" x14ac:dyDescent="0.2">
      <c r="A723" t="s">
        <v>15</v>
      </c>
      <c r="B723" s="45" t="str">
        <f>INDEX(overview!$B$4:$R$338,MATCH('hydrogen - electrolysis'!B709,overview!$A$4:$A$338,0),MATCH('hydrogen - electrolysis'!A723,overview!$B$3:$R$3,0))</f>
        <v>Electrolysis, PEM</v>
      </c>
    </row>
    <row r="724" spans="1:2" x14ac:dyDescent="0.2">
      <c r="A724" t="s">
        <v>14</v>
      </c>
      <c r="B724" s="45" t="str">
        <f>INDEX(overview!$B$4:$R$338,MATCH('hydrogen - electrolysis'!B709,overview!$A$4:$A$338,0),MATCH('hydrogen - electrolysis'!A724,overview!$B$3:$R$3,0))</f>
        <v>water and electricity</v>
      </c>
    </row>
    <row r="725" spans="1:2" x14ac:dyDescent="0.2">
      <c r="A725" t="s">
        <v>26</v>
      </c>
      <c r="B725" s="45" t="str">
        <f>INDEX(overview!$B$4:$R$338,MATCH('hydrogen - electrolysis'!B709,overview!$A$4:$A$338,0),MATCH('hydrogen - electrolysis'!A725,overview!$B$3:$R$3,0))</f>
        <v>grid</v>
      </c>
    </row>
    <row r="726" spans="1:2" x14ac:dyDescent="0.2">
      <c r="A726" t="s">
        <v>29</v>
      </c>
      <c r="B726" s="45">
        <f>INDEX(overview!$B$4:$R$338,MATCH('hydrogen - electrolysis'!B709,overview!$A$4:$A$338,0),MATCH('hydrogen - electrolysis'!A726,overview!$B$3:$R$3,0))</f>
        <v>0</v>
      </c>
    </row>
    <row r="727" spans="1:2" x14ac:dyDescent="0.2">
      <c r="A727" t="str">
        <f>IF(B711="megajoule","Heat","Electricity")&amp;" conversion efficiency [% LHV input]"</f>
        <v>Heat conversion efficiency [% LHV input]</v>
      </c>
      <c r="B727" s="46">
        <f>INDEX(parameters!$D$4:$N$20,MATCH('hydrogen - electrolysis'!B715&amp;'hydrogen - electrolysis'!B717,parameters!$A$4:$A$20,0),MATCH('hydrogen - electrolysis'!A727,parameters!$D$3:$N$3,0))</f>
        <v>0.41699999999999998</v>
      </c>
    </row>
    <row r="728" spans="1:2" x14ac:dyDescent="0.2">
      <c r="A728" t="str">
        <f>IF(B711="megajoule","LHV [MJ/kg]","LHV [kWh/kg]")</f>
        <v>LHV [MJ/kg]</v>
      </c>
      <c r="B728" s="47">
        <f>INDEX(parameters!$D$4:$N$20,MATCH('hydrogen - electrolysis'!B715&amp;'hydrogen - electrolysis'!B717,parameters!$A$4:$A$20,0),MATCH('hydrogen - electrolysis'!A728,parameters!$D$3:$N$3,0))</f>
        <v>120</v>
      </c>
    </row>
    <row r="729" spans="1:2" x14ac:dyDescent="0.2">
      <c r="A729" t="s">
        <v>41</v>
      </c>
      <c r="B729" s="48">
        <f>INDEX(parameters!$D$4:$N$20,MATCH('hydrogen - electrolysis'!B715&amp;'hydrogen - electrolysis'!B717,parameters!$A$4:$A$20,0),MATCH('hydrogen - electrolysis'!A729,parameters!$D$3:$N$3,0))</f>
        <v>2.6666666666666665E-2</v>
      </c>
    </row>
    <row r="730" spans="1:2" x14ac:dyDescent="0.2">
      <c r="A730" t="s">
        <v>45</v>
      </c>
      <c r="B730" s="46">
        <f>INDEX(parameters!$D$4:$N$20,MATCH('hydrogen - electrolysis'!B715&amp;'hydrogen - electrolysis'!B717,parameters!$A$4:$A$20,0),MATCH('hydrogen - electrolysis'!A730,parameters!$D$3:$N$3,0))</f>
        <v>0</v>
      </c>
    </row>
    <row r="731" spans="1:2" x14ac:dyDescent="0.2">
      <c r="A731" t="s">
        <v>46</v>
      </c>
      <c r="B731" s="46">
        <f>INDEX(parameters!$D$4:$N$20,MATCH('hydrogen - electrolysis'!B715&amp;'hydrogen - electrolysis'!B717,parameters!$A$4:$A$20,0),MATCH('hydrogen - electrolysis'!A731,parameters!$D$3:$N$3,0))</f>
        <v>1.4999999999999999E-2</v>
      </c>
    </row>
    <row r="732" spans="1:2" x14ac:dyDescent="0.2">
      <c r="A732" t="s">
        <v>43</v>
      </c>
      <c r="B732" s="46">
        <f>INDEX(parameters!$D$4:$N$20,MATCH('hydrogen - electrolysis'!B715&amp;'hydrogen - electrolysis'!B717,parameters!$A$4:$A$20,0),MATCH('hydrogen - electrolysis'!A732,parameters!$D$3:$N$3,0))</f>
        <v>0</v>
      </c>
    </row>
    <row r="733" spans="1:2" x14ac:dyDescent="0.2">
      <c r="A733" t="s">
        <v>44</v>
      </c>
      <c r="B733" s="46">
        <f>INDEX(parameters!$D$4:$N$20,MATCH('hydrogen - electrolysis'!B715&amp;'hydrogen - electrolysis'!B717,parameters!$A$4:$A$20,0),MATCH('hydrogen - electrolysis'!A733,parameters!$D$3:$N$3,0))</f>
        <v>0</v>
      </c>
    </row>
    <row r="734" spans="1:2" x14ac:dyDescent="0.2">
      <c r="A734" t="s">
        <v>634</v>
      </c>
      <c r="B734" s="51">
        <f>INDEX(parameters!$D$4:$Y$20,MATCH('hydrogen - electrolysis'!B715&amp;'hydrogen - electrolysis'!B717,parameters!$A$4:$A$20,0),MATCH('hydrogen - electrolysis'!A734,parameters!$D$3:$Y$3,0))</f>
        <v>351.41800246609125</v>
      </c>
    </row>
    <row r="735" spans="1:2" x14ac:dyDescent="0.2">
      <c r="A735" t="s">
        <v>82</v>
      </c>
      <c r="B735" s="46">
        <f>IF(B726&lt;&gt;0,VLOOKUP(B726,parameters!A508:B510,2,0),0)</f>
        <v>0</v>
      </c>
    </row>
    <row r="736" spans="1:2" x14ac:dyDescent="0.2">
      <c r="A736" t="s">
        <v>548</v>
      </c>
      <c r="B736" s="50">
        <f>INDEX(parameters!$D$4:$P$20,MATCH(B715&amp;B717,parameters!$A$4:$A$20,0),MATCH(A736,parameters!$D$3:$P$3,0))</f>
        <v>125</v>
      </c>
    </row>
    <row r="737" spans="1:22" x14ac:dyDescent="0.2">
      <c r="A737" t="s">
        <v>547</v>
      </c>
      <c r="B737" s="51">
        <f>INDEX(parameters!$D$4:$P$20,MATCH(B715&amp;B717,parameters!$A$4:$A$20,0),MATCH(A737,parameters!$D$3:$P$3,0))</f>
        <v>19.512195121951219</v>
      </c>
    </row>
    <row r="738" spans="1:22" x14ac:dyDescent="0.2">
      <c r="A738" t="s">
        <v>630</v>
      </c>
      <c r="B738" s="51">
        <f>INDEX(parameters!$D$4:$T$20,MATCH(B715&amp;B717,parameters!$A$4:$A$20,0),MATCH(A738,parameters!$D$3:$T$3,0))</f>
        <v>4100</v>
      </c>
    </row>
    <row r="739" spans="1:22" x14ac:dyDescent="0.2">
      <c r="A739" t="s">
        <v>1005</v>
      </c>
      <c r="B739" s="50">
        <f>IF(B711="megajoule",SUMIFS(allocation!$I$4:$I$30,allocation!$B$4:$B$30,B717,allocation!$C$4:$C$30,B718),SUMIFS(allocation!$J$4:$J$30,allocation!$B$4:$B$30,B717,allocation!$C$4:$C$30,B718))</f>
        <v>0.12860042227295038</v>
      </c>
    </row>
    <row r="740" spans="1:22" x14ac:dyDescent="0.2">
      <c r="A740" t="s">
        <v>1050</v>
      </c>
      <c r="B740" s="51">
        <f>INDEX(parameters!$D$4:$AB$20,MATCH(B715&amp;B717,parameters!$A$4:$A$20,0),MATCH(A740,parameters!$D$3:$AB$3,0))</f>
        <v>2220.7364520822662</v>
      </c>
    </row>
    <row r="742" spans="1:22" x14ac:dyDescent="0.2">
      <c r="A742" s="3" t="s">
        <v>57</v>
      </c>
    </row>
    <row r="743" spans="1:22" x14ac:dyDescent="0.2">
      <c r="A743" s="2" t="s">
        <v>58</v>
      </c>
      <c r="B743" s="44" t="s">
        <v>59</v>
      </c>
      <c r="C743" s="2" t="s">
        <v>55</v>
      </c>
      <c r="D743" s="2" t="s">
        <v>60</v>
      </c>
      <c r="E743" s="2" t="s">
        <v>52</v>
      </c>
      <c r="F743" s="2" t="s">
        <v>61</v>
      </c>
      <c r="G743" s="2" t="s">
        <v>54</v>
      </c>
      <c r="H743" s="2" t="s">
        <v>87</v>
      </c>
      <c r="I743" s="2" t="s">
        <v>51</v>
      </c>
      <c r="J743" s="2" t="s">
        <v>138</v>
      </c>
      <c r="K743" s="2" t="s">
        <v>136</v>
      </c>
      <c r="L743" s="2" t="s">
        <v>221</v>
      </c>
      <c r="M743" s="2" t="s">
        <v>379</v>
      </c>
      <c r="N743" s="2" t="s">
        <v>1059</v>
      </c>
      <c r="O743" s="2" t="s">
        <v>1060</v>
      </c>
      <c r="P743" s="2" t="s">
        <v>1061</v>
      </c>
      <c r="Q743" s="2" t="s">
        <v>1062</v>
      </c>
      <c r="R743" s="2" t="s">
        <v>1063</v>
      </c>
      <c r="S743" s="2" t="s">
        <v>1064</v>
      </c>
      <c r="T743" s="2" t="s">
        <v>1065</v>
      </c>
      <c r="U743" s="2" t="s">
        <v>380</v>
      </c>
      <c r="V743" s="2" t="s">
        <v>1128</v>
      </c>
    </row>
    <row r="744" spans="1:22" x14ac:dyDescent="0.2">
      <c r="A744" t="str">
        <f>B705</f>
        <v>heat, residential, by combustion of hydrogen using CHP, allocated by exergy, transported by pipeline, produced by Electrolysis, PEM using water and electricity from grid</v>
      </c>
      <c r="B744" s="45">
        <v>1</v>
      </c>
      <c r="C744" t="str">
        <f>B711</f>
        <v>megajoule</v>
      </c>
      <c r="E744" t="str">
        <f>B708</f>
        <v>CH</v>
      </c>
      <c r="F744" t="s">
        <v>62</v>
      </c>
      <c r="G744" t="str">
        <f>B710</f>
        <v>heat, from residential heating system</v>
      </c>
      <c r="K744" t="str">
        <f>B705</f>
        <v>heat, residential, by combustion of hydrogen using CHP, allocated by exergy, transported by pipeline, produced by Electrolysis, PEM using water and electricity from grid</v>
      </c>
    </row>
    <row r="745" spans="1:22" x14ac:dyDescent="0.2">
      <c r="A745" t="str">
        <f>VLOOKUP(J745,'dataset mapping'!$A$4:$E$69,2,0)</f>
        <v>heat and power co-generation unit construction, 160kW electrical, common components for heat+electricity</v>
      </c>
      <c r="B745" s="52">
        <f>(1/(B734*B738*B737*3.6))*B739</f>
        <v>1.270649883812899E-9</v>
      </c>
      <c r="C745" t="str">
        <f>VLOOKUP(J745,'dataset mapping'!$A$4:$E$69,5,0)</f>
        <v>unit</v>
      </c>
      <c r="E745" t="str">
        <f>VLOOKUP(J745,'dataset mapping'!$A$4:$E$69,4,0)</f>
        <v>RER</v>
      </c>
      <c r="F745" t="s">
        <v>86</v>
      </c>
      <c r="G745" t="str">
        <f>VLOOKUP(J745,'dataset mapping'!$A$4:$E$69,3,0)</f>
        <v>heat and power co-generation unit, 160kW electrical, common components for heat+electricity</v>
      </c>
      <c r="H745" t="s">
        <v>88</v>
      </c>
      <c r="J745" t="s">
        <v>145</v>
      </c>
      <c r="K745" t="str">
        <f>B705</f>
        <v>heat, residential, by combustion of hydrogen using CHP, allocated by exergy, transported by pipeline, produced by Electrolysis, PEM using water and electricity from grid</v>
      </c>
      <c r="L745">
        <f t="shared" ref="L745:L752" si="19">IF(OR(B745&lt;0,B745=0),1,2)</f>
        <v>2</v>
      </c>
      <c r="M745">
        <f t="shared" ref="M745:M752" si="20">IF(L745=2,LN(B745),"")</f>
        <v>-20.48373734782199</v>
      </c>
      <c r="N745">
        <v>1.05</v>
      </c>
      <c r="O745" s="15">
        <v>1.2</v>
      </c>
      <c r="P745">
        <v>1</v>
      </c>
      <c r="Q745">
        <v>1.01</v>
      </c>
      <c r="R745">
        <v>1.2</v>
      </c>
      <c r="S745">
        <v>1.2</v>
      </c>
      <c r="T745">
        <v>3</v>
      </c>
      <c r="U745">
        <f t="shared" ref="U745:U752" si="21">LN(SQRT(EXP(
SQRT(
+POWER(LN(N745),2)
+POWER(LN(O745),2)
+POWER(LN(P745),2)
+POWER(LN(Q745),2)
+POWER(LN(R745),2)
+POWER(LN(S745),2)
+POWER(LN(T745),2)
)
)))</f>
        <v>0.57209088006881903</v>
      </c>
    </row>
    <row r="746" spans="1:22" x14ac:dyDescent="0.2">
      <c r="A746" t="str">
        <f>VLOOKUP(J746,'dataset mapping'!$A$4:$E$69,2,0)</f>
        <v>heat and power co-generation unit construction, 160kW electrical, components for electricity only</v>
      </c>
      <c r="B746" s="52">
        <f>(1/(B734*B738*B737*3.6))*B739</f>
        <v>1.270649883812899E-9</v>
      </c>
      <c r="C746" t="str">
        <f>VLOOKUP(J746,'dataset mapping'!$A$4:$E$69,5,0)</f>
        <v>unit</v>
      </c>
      <c r="E746" t="str">
        <f>VLOOKUP(J746,'dataset mapping'!$A$4:$E$69,4,0)</f>
        <v>RER</v>
      </c>
      <c r="F746" t="s">
        <v>86</v>
      </c>
      <c r="G746" t="str">
        <f>VLOOKUP(J746,'dataset mapping'!$A$4:$E$69,3,0)</f>
        <v>heat and power co-generation unit, 160kW electrical, components for electricity only</v>
      </c>
      <c r="H746" t="s">
        <v>88</v>
      </c>
      <c r="J746" t="s">
        <v>146</v>
      </c>
      <c r="K746" t="str">
        <f>B705</f>
        <v>heat, residential, by combustion of hydrogen using CHP, allocated by exergy, transported by pipeline, produced by Electrolysis, PEM using water and electricity from grid</v>
      </c>
      <c r="L746">
        <f t="shared" si="19"/>
        <v>2</v>
      </c>
      <c r="M746">
        <f t="shared" si="20"/>
        <v>-20.48373734782199</v>
      </c>
      <c r="N746">
        <v>1.05</v>
      </c>
      <c r="O746" s="15">
        <v>1.2</v>
      </c>
      <c r="P746">
        <v>1</v>
      </c>
      <c r="Q746">
        <v>1.01</v>
      </c>
      <c r="R746">
        <v>1.2</v>
      </c>
      <c r="S746">
        <v>1.2</v>
      </c>
      <c r="T746">
        <v>3</v>
      </c>
      <c r="U746">
        <f t="shared" si="21"/>
        <v>0.57209088006881903</v>
      </c>
    </row>
    <row r="747" spans="1:22" x14ac:dyDescent="0.2">
      <c r="A747" t="str">
        <f>VLOOKUP(J747,'dataset mapping'!$A$4:$E$69,2,0)</f>
        <v>heat and power co-generation unit construction, 160kW electrical, components for heat only</v>
      </c>
      <c r="B747" s="52">
        <f>(1/(B734*B738*B737*3.6))*B739</f>
        <v>1.270649883812899E-9</v>
      </c>
      <c r="C747" t="str">
        <f>VLOOKUP(J747,'dataset mapping'!$A$4:$E$69,5,0)</f>
        <v>unit</v>
      </c>
      <c r="E747" t="str">
        <f>VLOOKUP(J747,'dataset mapping'!$A$4:$E$69,4,0)</f>
        <v>RER</v>
      </c>
      <c r="F747" t="s">
        <v>86</v>
      </c>
      <c r="G747" t="str">
        <f>VLOOKUP(J747,'dataset mapping'!$A$4:$E$69,3,0)</f>
        <v>heat and power co-generation unit, 160kW electrical, components for heat only</v>
      </c>
      <c r="H747" t="s">
        <v>88</v>
      </c>
      <c r="J747" t="s">
        <v>147</v>
      </c>
      <c r="K747" t="str">
        <f>B705</f>
        <v>heat, residential, by combustion of hydrogen using CHP, allocated by exergy, transported by pipeline, produced by Electrolysis, PEM using water and electricity from grid</v>
      </c>
      <c r="L747">
        <f t="shared" si="19"/>
        <v>2</v>
      </c>
      <c r="M747">
        <f t="shared" si="20"/>
        <v>-20.48373734782199</v>
      </c>
      <c r="N747">
        <v>1.05</v>
      </c>
      <c r="O747" s="15">
        <v>1.2</v>
      </c>
      <c r="P747">
        <v>1</v>
      </c>
      <c r="Q747">
        <v>1.01</v>
      </c>
      <c r="R747">
        <v>1.2</v>
      </c>
      <c r="S747">
        <v>1.2</v>
      </c>
      <c r="T747">
        <v>3</v>
      </c>
      <c r="U747">
        <f t="shared" si="21"/>
        <v>0.57209088006881903</v>
      </c>
    </row>
    <row r="748" spans="1:22" x14ac:dyDescent="0.2">
      <c r="A748" t="s">
        <v>156</v>
      </c>
      <c r="B748" s="52">
        <f>0.00000011366*B739</f>
        <v>1.461672399554354E-8</v>
      </c>
      <c r="C748" t="s">
        <v>56</v>
      </c>
      <c r="E748" t="s">
        <v>90</v>
      </c>
      <c r="F748" t="s">
        <v>86</v>
      </c>
      <c r="G748" t="s">
        <v>154</v>
      </c>
      <c r="H748" t="s">
        <v>155</v>
      </c>
      <c r="K748" t="str">
        <f>B705</f>
        <v>heat, residential, by combustion of hydrogen using CHP, allocated by exergy, transported by pipeline, produced by Electrolysis, PEM using water and electricity from grid</v>
      </c>
      <c r="L748">
        <f t="shared" si="19"/>
        <v>2</v>
      </c>
      <c r="M748">
        <f t="shared" si="20"/>
        <v>-18.041099484645969</v>
      </c>
      <c r="N748">
        <v>1.05</v>
      </c>
      <c r="O748" s="15">
        <v>1.2</v>
      </c>
      <c r="P748">
        <v>1</v>
      </c>
      <c r="Q748">
        <v>1.01</v>
      </c>
      <c r="R748">
        <v>1.2</v>
      </c>
      <c r="S748">
        <v>1.2</v>
      </c>
      <c r="T748">
        <v>1.05</v>
      </c>
      <c r="U748">
        <f t="shared" si="21"/>
        <v>0.16169679924070957</v>
      </c>
    </row>
    <row r="749" spans="1:22" x14ac:dyDescent="0.2">
      <c r="A749" t="s">
        <v>157</v>
      </c>
      <c r="B749" s="52">
        <f>0.00000011366*B739*-1</f>
        <v>-1.461672399554354E-8</v>
      </c>
      <c r="C749" t="s">
        <v>56</v>
      </c>
      <c r="E749" t="s">
        <v>64</v>
      </c>
      <c r="F749" t="s">
        <v>86</v>
      </c>
      <c r="G749" t="s">
        <v>158</v>
      </c>
      <c r="H749" t="s">
        <v>155</v>
      </c>
      <c r="K749" t="str">
        <f>B705</f>
        <v>heat, residential, by combustion of hydrogen using CHP, allocated by exergy, transported by pipeline, produced by Electrolysis, PEM using water and electricity from grid</v>
      </c>
      <c r="L749">
        <v>2</v>
      </c>
      <c r="M749">
        <f>IF(L749=2,LN(B749*-1),"")</f>
        <v>-18.041099484645969</v>
      </c>
      <c r="N749">
        <v>1.05</v>
      </c>
      <c r="O749" s="15">
        <v>1.2</v>
      </c>
      <c r="P749">
        <v>1</v>
      </c>
      <c r="Q749">
        <v>1.01</v>
      </c>
      <c r="R749">
        <v>1.2</v>
      </c>
      <c r="S749">
        <v>1.2</v>
      </c>
      <c r="T749">
        <v>3</v>
      </c>
      <c r="U749">
        <f>LN(SQRT(EXP(
SQRT(
+POWER(LN(N749),2)
+POWER(LN(O749),2)
+POWER(LN(P749),2)
+POWER(LN(Q749),2)
+POWER(LN(R749),2)
+POWER(LN(S749),2)
+POWER(LN(T749),2)
)
)))</f>
        <v>0.57209088006881903</v>
      </c>
      <c r="V749" t="b">
        <v>1</v>
      </c>
    </row>
    <row r="750" spans="1:22" x14ac:dyDescent="0.2">
      <c r="A750" t="s">
        <v>1138</v>
      </c>
      <c r="B750" s="53">
        <f>(B744/B728)/B727*B739</f>
        <v>2.56995248347223E-3</v>
      </c>
      <c r="C750" t="str">
        <f>VLOOKUP(J750,'dataset mapping'!$A$4:$E$69,5,0)</f>
        <v>kilogram</v>
      </c>
      <c r="E750" t="str">
        <f>VLOOKUP(J750,'dataset mapping'!$A$4:$E$69,4,0)</f>
        <v>CH</v>
      </c>
      <c r="F750" t="s">
        <v>86</v>
      </c>
      <c r="G750" t="s">
        <v>1129</v>
      </c>
      <c r="H750" t="s">
        <v>76</v>
      </c>
      <c r="I750" t="s">
        <v>1054</v>
      </c>
      <c r="J750" t="s">
        <v>281</v>
      </c>
      <c r="K750" t="str">
        <f>B705</f>
        <v>heat, residential, by combustion of hydrogen using CHP, allocated by exergy, transported by pipeline, produced by Electrolysis, PEM using water and electricity from grid</v>
      </c>
      <c r="L750">
        <f t="shared" si="19"/>
        <v>2</v>
      </c>
      <c r="M750">
        <f t="shared" si="20"/>
        <v>-5.9638678691672418</v>
      </c>
      <c r="N750">
        <v>1.05</v>
      </c>
      <c r="O750" s="15">
        <v>1.2</v>
      </c>
      <c r="P750">
        <v>1</v>
      </c>
      <c r="Q750">
        <v>1.01</v>
      </c>
      <c r="R750">
        <v>1.2</v>
      </c>
      <c r="S750">
        <v>1.2</v>
      </c>
      <c r="T750">
        <v>1.05</v>
      </c>
      <c r="U750">
        <f t="shared" si="21"/>
        <v>0.16169679924070957</v>
      </c>
    </row>
    <row r="751" spans="1:22" x14ac:dyDescent="0.2">
      <c r="A751" t="s">
        <v>134</v>
      </c>
      <c r="B751" s="45">
        <f>B750*9</f>
        <v>2.3129572351250072E-2</v>
      </c>
      <c r="C751" t="s">
        <v>56</v>
      </c>
      <c r="D751" t="s">
        <v>100</v>
      </c>
      <c r="F751" t="s">
        <v>99</v>
      </c>
      <c r="H751" t="s">
        <v>131</v>
      </c>
      <c r="I751" t="s">
        <v>1058</v>
      </c>
      <c r="K751" t="str">
        <f>B705</f>
        <v>heat, residential, by combustion of hydrogen using CHP, allocated by exergy, transported by pipeline, produced by Electrolysis, PEM using water and electricity from grid</v>
      </c>
      <c r="L751">
        <f t="shared" si="19"/>
        <v>2</v>
      </c>
      <c r="M751">
        <f t="shared" si="20"/>
        <v>-3.7666432918310226</v>
      </c>
      <c r="N751">
        <v>1.05</v>
      </c>
      <c r="O751" s="15">
        <v>1.2</v>
      </c>
      <c r="P751">
        <v>1</v>
      </c>
      <c r="Q751">
        <v>1.01</v>
      </c>
      <c r="R751">
        <v>1.2</v>
      </c>
      <c r="S751">
        <v>1.2</v>
      </c>
      <c r="T751">
        <v>1.05</v>
      </c>
      <c r="U751">
        <f t="shared" si="21"/>
        <v>0.16169679924070957</v>
      </c>
    </row>
    <row r="752" spans="1:22" x14ac:dyDescent="0.2">
      <c r="A752" t="s">
        <v>135</v>
      </c>
      <c r="B752" s="45">
        <f>912.5/1000000*B750</f>
        <v>2.3450816411684101E-6</v>
      </c>
      <c r="C752" t="s">
        <v>56</v>
      </c>
      <c r="D752" t="s">
        <v>100</v>
      </c>
      <c r="F752" t="s">
        <v>99</v>
      </c>
      <c r="H752" t="s">
        <v>131</v>
      </c>
      <c r="I752" t="s">
        <v>1217</v>
      </c>
      <c r="K752" t="str">
        <f>B705</f>
        <v>heat, residential, by combustion of hydrogen using CHP, allocated by exergy, transported by pipeline, produced by Electrolysis, PEM using water and electricity from grid</v>
      </c>
      <c r="L752">
        <f t="shared" si="19"/>
        <v>2</v>
      </c>
      <c r="M752">
        <f t="shared" si="20"/>
        <v>-12.963190341674869</v>
      </c>
      <c r="N752">
        <v>1.05</v>
      </c>
      <c r="O752" s="15">
        <v>1.2</v>
      </c>
      <c r="P752">
        <v>1</v>
      </c>
      <c r="Q752">
        <v>1.01</v>
      </c>
      <c r="R752">
        <v>1.2</v>
      </c>
      <c r="S752">
        <v>1.2</v>
      </c>
      <c r="T752">
        <v>1.5</v>
      </c>
      <c r="U752">
        <f t="shared" si="21"/>
        <v>0.25816898211842121</v>
      </c>
    </row>
    <row r="754" spans="1:2" x14ac:dyDescent="0.2">
      <c r="A754" s="2" t="s">
        <v>50</v>
      </c>
      <c r="B754" s="44" t="str">
        <f>IF(B760="megajoule","heat","electricity")&amp;", residential, by "&amp;B765&amp;" of "&amp;B764&amp;" using "&amp;B766&amp;IF(B767&lt;&gt;0,", allocated by "&amp;B767,"")&amp;", transported by "&amp;B768&amp;", produced by "&amp;B772&amp;" using "&amp;B773&amp;" from "&amp;B774</f>
        <v>heat, residential, by conversion of hydrogen using fuel cell, PEM, allocated by exergy, transported by pipeline, produced by Electrolysis, PEM using water and electricity from grid</v>
      </c>
    </row>
    <row r="755" spans="1:2" x14ac:dyDescent="0.2">
      <c r="A755" t="s">
        <v>51</v>
      </c>
      <c r="B755" s="45" t="str">
        <f>"This dataset represents the supply of 1 "&amp;IF(B760="megajoule","megajoule of heat","kilowatt hour of electricity")&amp;" in a residence, by "&amp;B764&amp;" "&amp;B765&amp;" in a "&amp;B766&amp;". "&amp;" The hydrogen is transported by "&amp;B768&amp;" over "&amp;B769&amp;" km from regional storage. "&amp;" The "&amp;B764&amp;" is produced by  "&amp;B772&amp;", with "&amp;B773&amp;" from "&amp;B774&amp;" as feedstock. "&amp;A776&amp;": "&amp;(B776*100)&amp;"%. "&amp;A777&amp;": "&amp;B777&amp;". "&amp;A778&amp;": "&amp;B778&amp;". "&amp;A779&amp;": "&amp;(B779*100)&amp;"%. "&amp;A780&amp;": "&amp;(B780*100)&amp;"%. "&amp;A781&amp;": "&amp;(B781*100)&amp;"%. "&amp;A782&amp;": "&amp;B782&amp;". "&amp;A783&amp;": "&amp;B783&amp;". "&amp;A784&amp;": "&amp;(B784*100)&amp;"%. "&amp;A785&amp;": "&amp;B785&amp;". "&amp;A786&amp;": "&amp;B786&amp;". "&amp;A787&amp;": "&amp;B787&amp;". "&amp;A788&amp;": "&amp;B788&amp;".  For more information, refer to: "&amp;B756</f>
        <v>This dataset represents the supply of 1 megajoule of heat in a residence, by hydrogen conversion in a fuel cell, PEM.  The hydrogen is transported by pipeline over 500 km from regional storage.  The hydrogen is produced by  Electrolysis, PEM,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756" spans="1:2" x14ac:dyDescent="0.2">
      <c r="A756" t="s">
        <v>63</v>
      </c>
      <c r="B756" s="45" t="s">
        <v>1223</v>
      </c>
    </row>
    <row r="757" spans="1:2" x14ac:dyDescent="0.2">
      <c r="A757" t="s">
        <v>52</v>
      </c>
      <c r="B757" s="45" t="s">
        <v>64</v>
      </c>
    </row>
    <row r="758" spans="1:2" x14ac:dyDescent="0.2">
      <c r="A758" t="s">
        <v>48</v>
      </c>
      <c r="B758" s="45">
        <v>11</v>
      </c>
    </row>
    <row r="759" spans="1:2" x14ac:dyDescent="0.2">
      <c r="A759" t="s">
        <v>54</v>
      </c>
      <c r="B759" s="45" t="str">
        <f>INDEX(overview!$B$4:$R$338,MATCH('hydrogen - electrolysis'!B758,overview!$A$4:$A$338,0),MATCH('hydrogen - electrolysis'!A759,overview!$B$3:$R$3,0))</f>
        <v>heat, from residential heating system</v>
      </c>
    </row>
    <row r="760" spans="1:2" x14ac:dyDescent="0.2">
      <c r="A760" t="s">
        <v>55</v>
      </c>
      <c r="B760" s="45" t="str">
        <f>INDEX(overview!$B$4:$R$338,MATCH('hydrogen - electrolysis'!B758,overview!$A$4:$A$338,0),MATCH('hydrogen - electrolysis'!A760,overview!$B$3:$R$3,0))</f>
        <v>megajoule</v>
      </c>
    </row>
    <row r="761" spans="1:2" x14ac:dyDescent="0.2">
      <c r="A761" t="s">
        <v>0</v>
      </c>
      <c r="B761" s="45" t="str">
        <f>INDEX(overview!$B$4:$R$338,MATCH('hydrogen - electrolysis'!B758,overview!$A$4:$A$338,0),MATCH('hydrogen - electrolysis'!A761,overview!$B$3:$R$3,0))</f>
        <v>Switzerland</v>
      </c>
    </row>
    <row r="762" spans="1:2" x14ac:dyDescent="0.2">
      <c r="A762" t="s">
        <v>1</v>
      </c>
      <c r="B762" s="45">
        <f>INDEX(overview!$B$4:$R$338,MATCH('hydrogen - electrolysis'!B758,overview!$A$4:$A$338,0),MATCH('hydrogen - electrolysis'!A762,overview!$B$3:$R$3,0))</f>
        <v>2020</v>
      </c>
    </row>
    <row r="763" spans="1:2" x14ac:dyDescent="0.2">
      <c r="A763" t="s">
        <v>2</v>
      </c>
      <c r="B763" s="45" t="str">
        <f>INDEX(overview!$B$4:$R$338,MATCH('hydrogen - electrolysis'!B758,overview!$A$4:$A$338,0),MATCH('hydrogen - electrolysis'!A763,overview!$B$3:$R$3,0))</f>
        <v>1 MJ heat</v>
      </c>
    </row>
    <row r="764" spans="1:2" x14ac:dyDescent="0.2">
      <c r="A764" t="s">
        <v>5</v>
      </c>
      <c r="B764" s="45" t="str">
        <f>INDEX(overview!$B$4:$R$338,MATCH('hydrogen - electrolysis'!B758,overview!$A$4:$A$338,0),MATCH('hydrogen - electrolysis'!A764,overview!$B$3:$R$3,0))</f>
        <v>hydrogen</v>
      </c>
    </row>
    <row r="765" spans="1:2" x14ac:dyDescent="0.2">
      <c r="A765" t="s">
        <v>3</v>
      </c>
      <c r="B765" s="45" t="str">
        <f>INDEX(overview!$B$4:$R$338,MATCH('hydrogen - electrolysis'!B758,overview!$A$4:$A$338,0),MATCH('hydrogen - electrolysis'!A765,overview!$B$3:$R$3,0))</f>
        <v>conversion</v>
      </c>
    </row>
    <row r="766" spans="1:2" x14ac:dyDescent="0.2">
      <c r="A766" t="s">
        <v>6</v>
      </c>
      <c r="B766" s="45" t="str">
        <f>INDEX(overview!$B$4:$R$338,MATCH('hydrogen - electrolysis'!B758,overview!$A$4:$A$338,0),MATCH('hydrogen - electrolysis'!A766,overview!$B$3:$R$3,0))</f>
        <v>fuel cell, PEM</v>
      </c>
    </row>
    <row r="767" spans="1:2" x14ac:dyDescent="0.2">
      <c r="A767" t="s">
        <v>39</v>
      </c>
      <c r="B767" s="45" t="str">
        <f>INDEX(overview!$B$4:$R$338,MATCH('hydrogen - electrolysis'!B758,overview!$A$4:$A$338,0),MATCH('hydrogen - electrolysis'!A767,overview!$B$3:$R$3,0))</f>
        <v>exergy</v>
      </c>
    </row>
    <row r="768" spans="1:2" x14ac:dyDescent="0.2">
      <c r="A768" t="s">
        <v>4</v>
      </c>
      <c r="B768" s="45" t="str">
        <f>INDEX(overview!$B$4:$R$338,MATCH('hydrogen - electrolysis'!B758,overview!$A$4:$A$338,0),MATCH('hydrogen - electrolysis'!A768,overview!$B$3:$R$3,0))</f>
        <v>pipeline</v>
      </c>
    </row>
    <row r="769" spans="1:2" x14ac:dyDescent="0.2">
      <c r="A769" t="s">
        <v>38</v>
      </c>
      <c r="B769" s="45">
        <f>INDEX(overview!$B$4:$R$338,MATCH('hydrogen - electrolysis'!B758,overview!$A$4:$A$338,0),MATCH('hydrogen - electrolysis'!A769,overview!$B$3:$R$3,0))</f>
        <v>500</v>
      </c>
    </row>
    <row r="770" spans="1:2" x14ac:dyDescent="0.2">
      <c r="A770" t="s">
        <v>12</v>
      </c>
      <c r="B770" s="45" t="str">
        <f>INDEX(overview!$B$4:$R$338,MATCH('hydrogen - electrolysis'!B758,overview!$A$4:$A$338,0),MATCH('hydrogen - electrolysis'!A770,overview!$B$3:$R$3,0))</f>
        <v>Pressure vessel for stationary storage</v>
      </c>
    </row>
    <row r="771" spans="1:2" x14ac:dyDescent="0.2">
      <c r="A771" t="s">
        <v>34</v>
      </c>
      <c r="B771" s="45">
        <f>INDEX(overview!$B$4:$R$338,MATCH('hydrogen - electrolysis'!B758,overview!$A$4:$A$338,0),MATCH('hydrogen - electrolysis'!A771,overview!$B$3:$R$3,0))</f>
        <v>0</v>
      </c>
    </row>
    <row r="772" spans="1:2" x14ac:dyDescent="0.2">
      <c r="A772" t="s">
        <v>15</v>
      </c>
      <c r="B772" s="45" t="str">
        <f>INDEX(overview!$B$4:$R$338,MATCH('hydrogen - electrolysis'!B758,overview!$A$4:$A$338,0),MATCH('hydrogen - electrolysis'!A772,overview!$B$3:$R$3,0))</f>
        <v>Electrolysis, PEM</v>
      </c>
    </row>
    <row r="773" spans="1:2" x14ac:dyDescent="0.2">
      <c r="A773" t="s">
        <v>14</v>
      </c>
      <c r="B773" s="45" t="str">
        <f>INDEX(overview!$B$4:$R$338,MATCH('hydrogen - electrolysis'!B758,overview!$A$4:$A$338,0),MATCH('hydrogen - electrolysis'!A773,overview!$B$3:$R$3,0))</f>
        <v>water and electricity</v>
      </c>
    </row>
    <row r="774" spans="1:2" x14ac:dyDescent="0.2">
      <c r="A774" t="s">
        <v>26</v>
      </c>
      <c r="B774" s="45" t="str">
        <f>INDEX(overview!$B$4:$R$338,MATCH('hydrogen - electrolysis'!B758,overview!$A$4:$A$338,0),MATCH('hydrogen - electrolysis'!A774,overview!$B$3:$R$3,0))</f>
        <v>grid</v>
      </c>
    </row>
    <row r="775" spans="1:2" x14ac:dyDescent="0.2">
      <c r="A775" t="s">
        <v>29</v>
      </c>
      <c r="B775" s="45">
        <f>INDEX(overview!$B$4:$R$338,MATCH('hydrogen - electrolysis'!B758,overview!$A$4:$A$338,0),MATCH('hydrogen - electrolysis'!A775,overview!$B$3:$R$3,0))</f>
        <v>0</v>
      </c>
    </row>
    <row r="776" spans="1:2" x14ac:dyDescent="0.2">
      <c r="A776" t="str">
        <f>IF(B760="megajoule","Heat","Electricity")&amp;" conversion efficiency [% LHV input]"</f>
        <v>Heat conversion efficiency [% LHV input]</v>
      </c>
      <c r="B776" s="46">
        <f>INDEX(parameters!$D$4:$N$20,MATCH('hydrogen - electrolysis'!B764&amp;'hydrogen - electrolysis'!B766,parameters!$A$4:$A$20,0),MATCH('hydrogen - electrolysis'!A776,parameters!$D$3:$N$3,0))</f>
        <v>0.5</v>
      </c>
    </row>
    <row r="777" spans="1:2" x14ac:dyDescent="0.2">
      <c r="A777" t="str">
        <f>IF(B760="megajoule","LHV [MJ/kg]","LHV [kWh/kg]")</f>
        <v>LHV [MJ/kg]</v>
      </c>
      <c r="B777" s="47">
        <f>INDEX(parameters!$D$4:$N$20,MATCH('hydrogen - electrolysis'!B764&amp;'hydrogen - electrolysis'!B766,parameters!$A$4:$A$20,0),MATCH('hydrogen - electrolysis'!A777,parameters!$D$3:$N$3,0))</f>
        <v>120</v>
      </c>
    </row>
    <row r="778" spans="1:2" x14ac:dyDescent="0.2">
      <c r="A778" t="s">
        <v>41</v>
      </c>
      <c r="B778" s="48">
        <f>INDEX(parameters!$D$4:$N$20,MATCH('hydrogen - electrolysis'!B764&amp;'hydrogen - electrolysis'!B766,parameters!$A$4:$A$20,0),MATCH('hydrogen - electrolysis'!A778,parameters!$D$3:$N$3,0))</f>
        <v>2.6666666666666665E-2</v>
      </c>
    </row>
    <row r="779" spans="1:2" x14ac:dyDescent="0.2">
      <c r="A779" t="s">
        <v>45</v>
      </c>
      <c r="B779" s="46">
        <f>INDEX(parameters!$D$4:$N$20,MATCH('hydrogen - electrolysis'!B764&amp;'hydrogen - electrolysis'!B766,parameters!$A$4:$A$20,0),MATCH('hydrogen - electrolysis'!A779,parameters!$D$3:$N$3,0))</f>
        <v>0</v>
      </c>
    </row>
    <row r="780" spans="1:2" x14ac:dyDescent="0.2">
      <c r="A780" t="s">
        <v>46</v>
      </c>
      <c r="B780" s="46">
        <f>INDEX(parameters!$D$4:$N$20,MATCH('hydrogen - electrolysis'!B764&amp;'hydrogen - electrolysis'!B766,parameters!$A$4:$A$20,0),MATCH('hydrogen - electrolysis'!A780,parameters!$D$3:$N$3,0))</f>
        <v>1.4999999999999999E-2</v>
      </c>
    </row>
    <row r="781" spans="1:2" x14ac:dyDescent="0.2">
      <c r="A781" t="s">
        <v>43</v>
      </c>
      <c r="B781" s="46">
        <f>INDEX(parameters!$D$4:$N$20,MATCH('hydrogen - electrolysis'!B764&amp;'hydrogen - electrolysis'!B766,parameters!$A$4:$A$20,0),MATCH('hydrogen - electrolysis'!A781,parameters!$D$3:$N$3,0))</f>
        <v>0</v>
      </c>
    </row>
    <row r="782" spans="1:2" x14ac:dyDescent="0.2">
      <c r="A782" t="s">
        <v>44</v>
      </c>
      <c r="B782" s="46">
        <f>INDEX(parameters!$D$4:$N$20,MATCH('hydrogen - electrolysis'!B764&amp;'hydrogen - electrolysis'!B766,parameters!$A$4:$A$20,0),MATCH('hydrogen - electrolysis'!A782,parameters!$D$3:$N$3,0))</f>
        <v>0</v>
      </c>
    </row>
    <row r="783" spans="1:2" x14ac:dyDescent="0.2">
      <c r="A783" t="s">
        <v>634</v>
      </c>
      <c r="B783" s="51">
        <f>INDEX(parameters!$D$4:$Y$20,MATCH('hydrogen - electrolysis'!B764&amp;'hydrogen - electrolysis'!B766,parameters!$A$4:$A$20,0),MATCH('hydrogen - electrolysis'!A783,parameters!$D$3:$Y$3,0))</f>
        <v>1.8947368421052633</v>
      </c>
    </row>
    <row r="784" spans="1:2" x14ac:dyDescent="0.2">
      <c r="A784" t="s">
        <v>82</v>
      </c>
      <c r="B784" s="46">
        <f>IF(B775&lt;&gt;0,VLOOKUP(B775,parameters!A562:B564,2,0),0)</f>
        <v>0</v>
      </c>
    </row>
    <row r="785" spans="1:22" x14ac:dyDescent="0.2">
      <c r="A785" t="s">
        <v>548</v>
      </c>
      <c r="B785" s="50">
        <f>INDEX(parameters!$D$4:$P$20,MATCH(B764&amp;B766,parameters!$A$4:$A$20,0),MATCH(A785,parameters!$D$3:$P$3,0))</f>
        <v>0.8</v>
      </c>
    </row>
    <row r="786" spans="1:22" x14ac:dyDescent="0.2">
      <c r="A786" t="s">
        <v>547</v>
      </c>
      <c r="B786" s="51">
        <f>INDEX(parameters!$D$4:$P$20,MATCH(B764&amp;B766,parameters!$A$4:$A$20,0),MATCH(A786,parameters!$D$3:$P$3,0))</f>
        <v>4.8780487804878048</v>
      </c>
    </row>
    <row r="787" spans="1:22" x14ac:dyDescent="0.2">
      <c r="A787" t="s">
        <v>630</v>
      </c>
      <c r="B787" s="51">
        <f>INDEX(parameters!$D$4:$T$20,MATCH(B764&amp;B766,parameters!$A$4:$A$20,0),MATCH(A787,parameters!$D$3:$T$3,0))</f>
        <v>4100</v>
      </c>
    </row>
    <row r="788" spans="1:22" x14ac:dyDescent="0.2">
      <c r="A788" t="s">
        <v>1005</v>
      </c>
      <c r="B788" s="50">
        <f>IF(B760="megajoule",SUMIFS(allocation!$I$4:$I$30,allocation!$B$4:$B$30,B766,allocation!$C$4:$C$30,B767),SUMIFS(allocation!$J$4:$J$30,allocation!$B$4:$B$30,B766,allocation!$C$4:$C$30,B767))</f>
        <v>0.13933980798974457</v>
      </c>
    </row>
    <row r="789" spans="1:22" x14ac:dyDescent="0.2">
      <c r="A789" t="s">
        <v>1050</v>
      </c>
      <c r="B789" s="51">
        <f>INDEX(parameters!$D$4:$AB$20,MATCH(B764&amp;B766,parameters!$A$4:$A$20,0),MATCH(A789,parameters!$D$3:$AB$3,0))</f>
        <v>10.221606648199446</v>
      </c>
    </row>
    <row r="791" spans="1:22" x14ac:dyDescent="0.2">
      <c r="A791" s="3" t="s">
        <v>57</v>
      </c>
    </row>
    <row r="792" spans="1:22" x14ac:dyDescent="0.2">
      <c r="A792" s="2" t="s">
        <v>58</v>
      </c>
      <c r="B792" s="44" t="s">
        <v>59</v>
      </c>
      <c r="C792" s="2" t="s">
        <v>55</v>
      </c>
      <c r="D792" s="2" t="s">
        <v>60</v>
      </c>
      <c r="E792" s="2" t="s">
        <v>52</v>
      </c>
      <c r="F792" s="2" t="s">
        <v>61</v>
      </c>
      <c r="G792" s="2" t="s">
        <v>54</v>
      </c>
      <c r="H792" s="2" t="s">
        <v>87</v>
      </c>
      <c r="I792" s="2" t="s">
        <v>51</v>
      </c>
      <c r="J792" s="2" t="s">
        <v>138</v>
      </c>
      <c r="K792" s="2" t="s">
        <v>136</v>
      </c>
      <c r="L792" s="2" t="s">
        <v>221</v>
      </c>
      <c r="M792" s="2" t="s">
        <v>379</v>
      </c>
      <c r="N792" s="2" t="s">
        <v>1059</v>
      </c>
      <c r="O792" s="2" t="s">
        <v>1060</v>
      </c>
      <c r="P792" s="2" t="s">
        <v>1061</v>
      </c>
      <c r="Q792" s="2" t="s">
        <v>1062</v>
      </c>
      <c r="R792" s="2" t="s">
        <v>1063</v>
      </c>
      <c r="S792" s="2" t="s">
        <v>1064</v>
      </c>
      <c r="T792" s="2" t="s">
        <v>1065</v>
      </c>
      <c r="U792" s="2" t="s">
        <v>380</v>
      </c>
      <c r="V792" s="2" t="s">
        <v>1128</v>
      </c>
    </row>
    <row r="793" spans="1:22" x14ac:dyDescent="0.2">
      <c r="A793" t="str">
        <f>B754</f>
        <v>heat, residential, by conversion of hydrogen using fuel cell, PEM, allocated by exergy, transported by pipeline, produced by Electrolysis, PEM using water and electricity from grid</v>
      </c>
      <c r="B793" s="45">
        <v>1</v>
      </c>
      <c r="C793" t="str">
        <f>B760</f>
        <v>megajoule</v>
      </c>
      <c r="E793" t="str">
        <f>B757</f>
        <v>CH</v>
      </c>
      <c r="F793" t="s">
        <v>62</v>
      </c>
      <c r="G793" t="str">
        <f>B759</f>
        <v>heat, from residential heating system</v>
      </c>
      <c r="K793" t="str">
        <f>B754</f>
        <v>heat, residential, by conversion of hydrogen using fuel cell, PEM, allocated by exergy, transported by pipeline, produced by Electrolysis, PEM using water and electricity from grid</v>
      </c>
    </row>
    <row r="794" spans="1:22" x14ac:dyDescent="0.2">
      <c r="A794" t="str">
        <f>VLOOKUP(J794,'dataset mapping'!$A$4:$E$69,2,0)</f>
        <v>fuel cell system assembly, 1 kWe, proton exchange membrane (PEM)</v>
      </c>
      <c r="B794" s="52">
        <f>(1/(B783*B787*B786*3.6))*B788</f>
        <v>1.0213951974556892E-6</v>
      </c>
      <c r="C794" t="str">
        <f>VLOOKUP(J794,'dataset mapping'!$A$4:$E$69,5,0)</f>
        <v>unit</v>
      </c>
      <c r="E794" t="str">
        <f>VLOOKUP(J794,'dataset mapping'!$A$4:$E$69,4,0)</f>
        <v>GLO</v>
      </c>
      <c r="F794" t="s">
        <v>86</v>
      </c>
      <c r="G794" t="str">
        <f>VLOOKUP(J794,'dataset mapping'!$A$4:$E$69,3,0)</f>
        <v>fuel cell system, 1 kWe, proton exchange membrane (PEM)</v>
      </c>
      <c r="H794" t="s">
        <v>88</v>
      </c>
      <c r="I794" t="s">
        <v>272</v>
      </c>
      <c r="J794" t="s">
        <v>273</v>
      </c>
      <c r="K794" t="str">
        <f>B754</f>
        <v>heat, residential, by conversion of hydrogen using fuel cell, PEM, allocated by exergy, transported by pipeline, produced by Electrolysis, PEM using water and electricity from grid</v>
      </c>
      <c r="L794">
        <f t="shared" ref="L794:L796" si="22">IF(OR(B794&lt;0,B794=0),1,2)</f>
        <v>2</v>
      </c>
      <c r="M794">
        <f t="shared" ref="M794:M796" si="23">IF(L794=2,LN(B794),"")</f>
        <v>-13.794341024667077</v>
      </c>
      <c r="N794">
        <v>1</v>
      </c>
      <c r="O794" s="15">
        <v>1.2</v>
      </c>
      <c r="P794">
        <v>1</v>
      </c>
      <c r="Q794">
        <v>1.01</v>
      </c>
      <c r="R794">
        <v>1.2</v>
      </c>
      <c r="S794">
        <v>1.2</v>
      </c>
      <c r="T794">
        <v>3</v>
      </c>
      <c r="U794">
        <f t="shared" ref="U794:U796" si="24">LN(SQRT(EXP(
SQRT(
+POWER(LN(N794),2)
+POWER(LN(O794),2)
+POWER(LN(P794),2)
+POWER(LN(Q794),2)
+POWER(LN(R794),2)
+POWER(LN(S794),2)
+POWER(LN(T794),2)
)
)))</f>
        <v>0.57157051623399524</v>
      </c>
    </row>
    <row r="795" spans="1:22" x14ac:dyDescent="0.2">
      <c r="A795" t="s">
        <v>1138</v>
      </c>
      <c r="B795" s="53">
        <f>(B793/B777)/B776*B788</f>
        <v>2.3223301331624095E-3</v>
      </c>
      <c r="C795" t="str">
        <f>VLOOKUP(J795,'dataset mapping'!$A$4:$E$69,5,0)</f>
        <v>kilogram</v>
      </c>
      <c r="E795" t="str">
        <f>VLOOKUP(J795,'dataset mapping'!$A$4:$E$69,4,0)</f>
        <v>CH</v>
      </c>
      <c r="F795" t="s">
        <v>86</v>
      </c>
      <c r="G795" t="s">
        <v>1129</v>
      </c>
      <c r="H795" t="s">
        <v>76</v>
      </c>
      <c r="I795" t="s">
        <v>1054</v>
      </c>
      <c r="J795" t="s">
        <v>281</v>
      </c>
      <c r="K795" t="str">
        <f>B754</f>
        <v>heat, residential, by conversion of hydrogen using fuel cell, PEM, allocated by exergy, transported by pipeline, produced by Electrolysis, PEM using water and electricity from grid</v>
      </c>
      <c r="L795">
        <f t="shared" si="22"/>
        <v>2</v>
      </c>
      <c r="M795">
        <f t="shared" si="23"/>
        <v>-6.0651842296013152</v>
      </c>
      <c r="N795">
        <v>1</v>
      </c>
      <c r="O795" s="15">
        <v>1.2</v>
      </c>
      <c r="P795">
        <v>1</v>
      </c>
      <c r="Q795">
        <v>1.01</v>
      </c>
      <c r="R795">
        <v>1.2</v>
      </c>
      <c r="S795">
        <v>1.2</v>
      </c>
      <c r="T795">
        <v>1.05</v>
      </c>
      <c r="U795">
        <f t="shared" si="24"/>
        <v>0.15984597228197622</v>
      </c>
    </row>
    <row r="796" spans="1:22" x14ac:dyDescent="0.2">
      <c r="A796" t="s">
        <v>134</v>
      </c>
      <c r="B796" s="53">
        <f>B795*9</f>
        <v>2.0900971198461685E-2</v>
      </c>
      <c r="C796" t="s">
        <v>56</v>
      </c>
      <c r="D796" t="s">
        <v>100</v>
      </c>
      <c r="F796" t="s">
        <v>99</v>
      </c>
      <c r="H796" t="s">
        <v>131</v>
      </c>
      <c r="I796" t="s">
        <v>1057</v>
      </c>
      <c r="K796" t="str">
        <f>B754</f>
        <v>heat, residential, by conversion of hydrogen using fuel cell, PEM, allocated by exergy, transported by pipeline, produced by Electrolysis, PEM using water and electricity from grid</v>
      </c>
      <c r="L796">
        <f t="shared" si="22"/>
        <v>2</v>
      </c>
      <c r="M796">
        <f t="shared" si="23"/>
        <v>-3.8679596522650961</v>
      </c>
      <c r="N796">
        <v>1</v>
      </c>
      <c r="O796" s="15">
        <v>1.2</v>
      </c>
      <c r="P796">
        <v>1</v>
      </c>
      <c r="Q796">
        <v>1.01</v>
      </c>
      <c r="R796">
        <v>1.2</v>
      </c>
      <c r="S796">
        <v>1.2</v>
      </c>
      <c r="T796">
        <v>1.05</v>
      </c>
      <c r="U796">
        <f t="shared" si="24"/>
        <v>0.15984597228197622</v>
      </c>
    </row>
    <row r="798" spans="1:22" x14ac:dyDescent="0.2">
      <c r="A798" s="2" t="s">
        <v>50</v>
      </c>
      <c r="B798" s="44" t="str">
        <f>IF(B804="megajoule","heat","electricity")&amp;", residential, by "&amp;B809&amp;" of "&amp;B808&amp;" using "&amp;B810&amp;IF(B811&lt;&gt;0,", allocated by "&amp;B811,"")&amp;", transported by "&amp;B812&amp;", produced by "&amp;B816&amp;" using "&amp;B817&amp;" from "&amp;B818</f>
        <v>heat, residential, by conversion of hydrogen using fuel cell, SOFC, allocated by exergy, transported by pipeline, produced by Electrolysis, PEM using water and electricity from grid</v>
      </c>
    </row>
    <row r="799" spans="1:22" x14ac:dyDescent="0.2">
      <c r="A799" t="s">
        <v>51</v>
      </c>
      <c r="B799" s="45" t="str">
        <f>"This dataset represents the supply of 1 "&amp;IF(B804="megajoule","megajoule of heat","kilowatt hour of electricity")&amp;" in a residence, by "&amp;B808&amp;" "&amp;B809&amp;" in a "&amp;B810&amp;". "&amp;" The hydrogen is transported by "&amp;B812&amp;" over "&amp;B813&amp;" km from regional storage. "&amp;" The "&amp;B808&amp;" is produced by  "&amp;B816&amp;", with "&amp;B817&amp;" from "&amp;B818&amp;" as feedstock. "&amp;A820&amp;": "&amp;(B820*100)&amp;"%. "&amp;A821&amp;": "&amp;B821&amp;". "&amp;A822&amp;": "&amp;B822&amp;". "&amp;A823&amp;": "&amp;(B823*100)&amp;"%. "&amp;A824&amp;": "&amp;(B824*100)&amp;"%. "&amp;A825&amp;": "&amp;(B825*100)&amp;"%. "&amp;A826&amp;": "&amp;B826&amp;". "&amp;A827&amp;": "&amp;B827&amp;". "&amp;A828&amp;": "&amp;(B828*100)&amp;"%. "&amp;A829&amp;": "&amp;B829&amp;". "&amp;A830&amp;": "&amp;B830&amp;". "&amp;A831&amp;": "&amp;B831&amp;". "&amp;A832&amp;": "&amp;B832&amp;".  For more information, refer to: "&amp;B800</f>
        <v>This dataset represents the supply of 1 megajoule of heat in a residence, by hydrogen conversion in a fuel cell, SOFC.  The hydrogen is transported by pipeline over 500 km from regional storage.  The hydrogen is produced by  Electrolysis, PEM,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800" spans="1:22" x14ac:dyDescent="0.2">
      <c r="A800" t="s">
        <v>63</v>
      </c>
      <c r="B800" s="45" t="s">
        <v>1223</v>
      </c>
    </row>
    <row r="801" spans="1:2" x14ac:dyDescent="0.2">
      <c r="A801" t="s">
        <v>52</v>
      </c>
      <c r="B801" s="45" t="s">
        <v>64</v>
      </c>
    </row>
    <row r="802" spans="1:2" x14ac:dyDescent="0.2">
      <c r="A802" t="s">
        <v>48</v>
      </c>
      <c r="B802" s="45">
        <v>12</v>
      </c>
    </row>
    <row r="803" spans="1:2" x14ac:dyDescent="0.2">
      <c r="A803" t="s">
        <v>54</v>
      </c>
      <c r="B803" s="45" t="str">
        <f>INDEX(overview!$B$4:$R$338,MATCH('hydrogen - electrolysis'!B802,overview!$A$4:$A$338,0),MATCH('hydrogen - electrolysis'!A803,overview!$B$3:$R$3,0))</f>
        <v>heat, from residential heating system</v>
      </c>
    </row>
    <row r="804" spans="1:2" x14ac:dyDescent="0.2">
      <c r="A804" t="s">
        <v>55</v>
      </c>
      <c r="B804" s="45" t="str">
        <f>INDEX(overview!$B$4:$R$338,MATCH('hydrogen - electrolysis'!B802,overview!$A$4:$A$338,0),MATCH('hydrogen - electrolysis'!A804,overview!$B$3:$R$3,0))</f>
        <v>megajoule</v>
      </c>
    </row>
    <row r="805" spans="1:2" x14ac:dyDescent="0.2">
      <c r="A805" t="s">
        <v>0</v>
      </c>
      <c r="B805" s="45" t="str">
        <f>INDEX(overview!$B$4:$R$338,MATCH('hydrogen - electrolysis'!B802,overview!$A$4:$A$338,0),MATCH('hydrogen - electrolysis'!A805,overview!$B$3:$R$3,0))</f>
        <v>Switzerland</v>
      </c>
    </row>
    <row r="806" spans="1:2" x14ac:dyDescent="0.2">
      <c r="A806" t="s">
        <v>1</v>
      </c>
      <c r="B806" s="45">
        <f>INDEX(overview!$B$4:$R$338,MATCH('hydrogen - electrolysis'!B802,overview!$A$4:$A$338,0),MATCH('hydrogen - electrolysis'!A806,overview!$B$3:$R$3,0))</f>
        <v>2020</v>
      </c>
    </row>
    <row r="807" spans="1:2" x14ac:dyDescent="0.2">
      <c r="A807" t="s">
        <v>2</v>
      </c>
      <c r="B807" s="45" t="str">
        <f>INDEX(overview!$B$4:$R$338,MATCH('hydrogen - electrolysis'!B802,overview!$A$4:$A$338,0),MATCH('hydrogen - electrolysis'!A807,overview!$B$3:$R$3,0))</f>
        <v>1 MJ heat</v>
      </c>
    </row>
    <row r="808" spans="1:2" x14ac:dyDescent="0.2">
      <c r="A808" t="s">
        <v>5</v>
      </c>
      <c r="B808" s="45" t="str">
        <f>INDEX(overview!$B$4:$R$338,MATCH('hydrogen - electrolysis'!B802,overview!$A$4:$A$338,0),MATCH('hydrogen - electrolysis'!A808,overview!$B$3:$R$3,0))</f>
        <v>hydrogen</v>
      </c>
    </row>
    <row r="809" spans="1:2" x14ac:dyDescent="0.2">
      <c r="A809" t="s">
        <v>3</v>
      </c>
      <c r="B809" s="45" t="str">
        <f>INDEX(overview!$B$4:$R$338,MATCH('hydrogen - electrolysis'!B802,overview!$A$4:$A$338,0),MATCH('hydrogen - electrolysis'!A809,overview!$B$3:$R$3,0))</f>
        <v>conversion</v>
      </c>
    </row>
    <row r="810" spans="1:2" x14ac:dyDescent="0.2">
      <c r="A810" t="s">
        <v>6</v>
      </c>
      <c r="B810" s="45" t="str">
        <f>INDEX(overview!$B$4:$R$338,MATCH('hydrogen - electrolysis'!B802,overview!$A$4:$A$338,0),MATCH('hydrogen - electrolysis'!A810,overview!$B$3:$R$3,0))</f>
        <v>fuel cell, SOFC</v>
      </c>
    </row>
    <row r="811" spans="1:2" x14ac:dyDescent="0.2">
      <c r="A811" t="s">
        <v>39</v>
      </c>
      <c r="B811" s="45" t="str">
        <f>INDEX(overview!$B$4:$R$338,MATCH('hydrogen - electrolysis'!B802,overview!$A$4:$A$338,0),MATCH('hydrogen - electrolysis'!A811,overview!$B$3:$R$3,0))</f>
        <v>exergy</v>
      </c>
    </row>
    <row r="812" spans="1:2" x14ac:dyDescent="0.2">
      <c r="A812" t="s">
        <v>4</v>
      </c>
      <c r="B812" s="45" t="str">
        <f>INDEX(overview!$B$4:$R$338,MATCH('hydrogen - electrolysis'!B802,overview!$A$4:$A$338,0),MATCH('hydrogen - electrolysis'!A812,overview!$B$3:$R$3,0))</f>
        <v>pipeline</v>
      </c>
    </row>
    <row r="813" spans="1:2" x14ac:dyDescent="0.2">
      <c r="A813" t="s">
        <v>38</v>
      </c>
      <c r="B813" s="45">
        <f>INDEX(overview!$B$4:$R$338,MATCH('hydrogen - electrolysis'!B802,overview!$A$4:$A$338,0),MATCH('hydrogen - electrolysis'!A813,overview!$B$3:$R$3,0))</f>
        <v>500</v>
      </c>
    </row>
    <row r="814" spans="1:2" x14ac:dyDescent="0.2">
      <c r="A814" t="s">
        <v>12</v>
      </c>
      <c r="B814" s="45" t="str">
        <f>INDEX(overview!$B$4:$R$338,MATCH('hydrogen - electrolysis'!B802,overview!$A$4:$A$338,0),MATCH('hydrogen - electrolysis'!A814,overview!$B$3:$R$3,0))</f>
        <v>Pressure vessel for stationary storage</v>
      </c>
    </row>
    <row r="815" spans="1:2" x14ac:dyDescent="0.2">
      <c r="A815" t="s">
        <v>34</v>
      </c>
      <c r="B815" s="45">
        <f>INDEX(overview!$B$4:$R$338,MATCH('hydrogen - electrolysis'!B802,overview!$A$4:$A$338,0),MATCH('hydrogen - electrolysis'!A815,overview!$B$3:$R$3,0))</f>
        <v>0</v>
      </c>
    </row>
    <row r="816" spans="1:2" x14ac:dyDescent="0.2">
      <c r="A816" t="s">
        <v>15</v>
      </c>
      <c r="B816" s="45" t="str">
        <f>INDEX(overview!$B$4:$R$338,MATCH('hydrogen - electrolysis'!B802,overview!$A$4:$A$338,0),MATCH('hydrogen - electrolysis'!A816,overview!$B$3:$R$3,0))</f>
        <v>Electrolysis, PEM</v>
      </c>
    </row>
    <row r="817" spans="1:4" x14ac:dyDescent="0.2">
      <c r="A817" t="s">
        <v>14</v>
      </c>
      <c r="B817" s="45" t="str">
        <f>INDEX(overview!$B$4:$R$338,MATCH('hydrogen - electrolysis'!B802,overview!$A$4:$A$338,0),MATCH('hydrogen - electrolysis'!A817,overview!$B$3:$R$3,0))</f>
        <v>water and electricity</v>
      </c>
    </row>
    <row r="818" spans="1:4" x14ac:dyDescent="0.2">
      <c r="A818" t="s">
        <v>26</v>
      </c>
      <c r="B818" s="45" t="str">
        <f>INDEX(overview!$B$4:$R$338,MATCH('hydrogen - electrolysis'!B802,overview!$A$4:$A$338,0),MATCH('hydrogen - electrolysis'!A818,overview!$B$3:$R$3,0))</f>
        <v>grid</v>
      </c>
    </row>
    <row r="819" spans="1:4" x14ac:dyDescent="0.2">
      <c r="A819" t="s">
        <v>29</v>
      </c>
      <c r="B819" s="45">
        <f>INDEX(overview!$B$4:$R$338,MATCH('hydrogen - electrolysis'!B802,overview!$A$4:$A$338,0),MATCH('hydrogen - electrolysis'!A819,overview!$B$3:$R$3,0))</f>
        <v>0</v>
      </c>
    </row>
    <row r="820" spans="1:4" x14ac:dyDescent="0.2">
      <c r="A820" t="str">
        <f>IF(B804="megajoule","Heat","Electricity")&amp;" conversion efficiency [% LHV input]"</f>
        <v>Heat conversion efficiency [% LHV input]</v>
      </c>
      <c r="B820" s="46">
        <f>INDEX(parameters!$D$4:$N$20,MATCH('hydrogen - electrolysis'!B808&amp;'hydrogen - electrolysis'!B810,parameters!$A$4:$A$20,0),MATCH('hydrogen - electrolysis'!A820,parameters!$D$3:$N$3,0))</f>
        <v>0.53</v>
      </c>
    </row>
    <row r="821" spans="1:4" x14ac:dyDescent="0.2">
      <c r="A821" t="str">
        <f>IF(B804="megajoule","LHV [MJ/kg]","LHV [kWh/kg]")</f>
        <v>LHV [MJ/kg]</v>
      </c>
      <c r="B821" s="47">
        <f>INDEX(parameters!$D$4:$N$20,MATCH('hydrogen - electrolysis'!B808&amp;'hydrogen - electrolysis'!B810,parameters!$A$4:$A$20,0),MATCH('hydrogen - electrolysis'!A821,parameters!$D$3:$N$3,0))</f>
        <v>120</v>
      </c>
    </row>
    <row r="822" spans="1:4" x14ac:dyDescent="0.2">
      <c r="A822" t="s">
        <v>41</v>
      </c>
      <c r="B822" s="48">
        <f>INDEX(parameters!$D$4:$N$20,MATCH('hydrogen - electrolysis'!B808&amp;'hydrogen - electrolysis'!B810,parameters!$A$4:$A$20,0),MATCH('hydrogen - electrolysis'!A822,parameters!$D$3:$N$3,0))</f>
        <v>2.6666666666666665E-2</v>
      </c>
    </row>
    <row r="823" spans="1:4" x14ac:dyDescent="0.2">
      <c r="A823" t="s">
        <v>45</v>
      </c>
      <c r="B823" s="46">
        <f>INDEX(parameters!$D$4:$N$20,MATCH('hydrogen - electrolysis'!B808&amp;'hydrogen - electrolysis'!B810,parameters!$A$4:$A$20,0),MATCH('hydrogen - electrolysis'!A823,parameters!$D$3:$N$3,0))</f>
        <v>0</v>
      </c>
    </row>
    <row r="824" spans="1:4" x14ac:dyDescent="0.2">
      <c r="A824" t="s">
        <v>46</v>
      </c>
      <c r="B824" s="46">
        <f>INDEX(parameters!$D$4:$N$20,MATCH('hydrogen - electrolysis'!B808&amp;'hydrogen - electrolysis'!B810,parameters!$A$4:$A$20,0),MATCH('hydrogen - electrolysis'!A824,parameters!$D$3:$N$3,0))</f>
        <v>1.4999999999999999E-2</v>
      </c>
    </row>
    <row r="825" spans="1:4" x14ac:dyDescent="0.2">
      <c r="A825" t="s">
        <v>43</v>
      </c>
      <c r="B825" s="46">
        <f>INDEX(parameters!$D$4:$N$20,MATCH('hydrogen - electrolysis'!B808&amp;'hydrogen - electrolysis'!B810,parameters!$A$4:$A$20,0),MATCH('hydrogen - electrolysis'!A825,parameters!$D$3:$N$3,0))</f>
        <v>0</v>
      </c>
    </row>
    <row r="826" spans="1:4" x14ac:dyDescent="0.2">
      <c r="A826" t="s">
        <v>44</v>
      </c>
      <c r="B826" s="46">
        <f>INDEX(parameters!$D$4:$N$20,MATCH('hydrogen - electrolysis'!B808&amp;'hydrogen - electrolysis'!B810,parameters!$A$4:$A$20,0),MATCH('hydrogen - electrolysis'!A826,parameters!$D$3:$N$3,0))</f>
        <v>0</v>
      </c>
    </row>
    <row r="827" spans="1:4" x14ac:dyDescent="0.2">
      <c r="A827" t="s">
        <v>634</v>
      </c>
      <c r="B827" s="51">
        <f>INDEX(parameters!$D$4:$Y$20,MATCH('hydrogen - electrolysis'!B808&amp;'hydrogen - electrolysis'!B810,parameters!$A$4:$A$20,0),MATCH('hydrogen - electrolysis'!A827,parameters!$D$3:$Y$3,0))</f>
        <v>225</v>
      </c>
      <c r="D827" s="8"/>
    </row>
    <row r="828" spans="1:4" x14ac:dyDescent="0.2">
      <c r="A828" t="s">
        <v>82</v>
      </c>
      <c r="B828" s="46">
        <f>IF(B819&lt;&gt;0,VLOOKUP(B819,parameters!A611:B613,2,0),0)</f>
        <v>0</v>
      </c>
    </row>
    <row r="829" spans="1:4" x14ac:dyDescent="0.2">
      <c r="A829" t="s">
        <v>548</v>
      </c>
      <c r="B829" s="50">
        <f>INDEX(parameters!$D$4:$P$20,MATCH(B808&amp;B810,parameters!$A$4:$A$20,0),MATCH(A829,parameters!$D$3:$P$3,0))</f>
        <v>100</v>
      </c>
    </row>
    <row r="830" spans="1:4" x14ac:dyDescent="0.2">
      <c r="A830" t="s">
        <v>547</v>
      </c>
      <c r="B830" s="51">
        <f>INDEX(parameters!$D$4:$P$20,MATCH(B808&amp;B810,parameters!$A$4:$A$20,0),MATCH(A830,parameters!$D$3:$P$3,0))</f>
        <v>6</v>
      </c>
    </row>
    <row r="831" spans="1:4" x14ac:dyDescent="0.2">
      <c r="A831" t="s">
        <v>630</v>
      </c>
      <c r="B831" s="51">
        <f>INDEX(parameters!$D$4:$T$20,MATCH(B808&amp;B810,parameters!$A$4:$A$20,0),MATCH(A831,parameters!$D$3:$T$3,0))</f>
        <v>4100</v>
      </c>
    </row>
    <row r="832" spans="1:4" x14ac:dyDescent="0.2">
      <c r="A832" t="s">
        <v>1005</v>
      </c>
      <c r="B832" s="50">
        <f>IF(B804="megajoule",SUMIFS(allocation!$I$4:$I$30,allocation!$B$4:$B$30,B810,allocation!$C$4:$C$30,B811),SUMIFS(allocation!$J$4:$J$30,allocation!$B$4:$B$30,B810,allocation!$C$4:$C$30,B811))</f>
        <v>0.13587506510399097</v>
      </c>
    </row>
    <row r="833" spans="1:22" x14ac:dyDescent="0.2">
      <c r="A833" t="s">
        <v>1050</v>
      </c>
      <c r="B833" s="51">
        <f>INDEX(parameters!$D$4:$AB$20,MATCH(B808&amp;B810,parameters!$A$4:$A$20,0),MATCH(A833,parameters!$D$3:$AB$3,0))</f>
        <v>1153.1249999999998</v>
      </c>
    </row>
    <row r="835" spans="1:22" x14ac:dyDescent="0.2">
      <c r="A835" s="3" t="s">
        <v>57</v>
      </c>
    </row>
    <row r="836" spans="1:22" x14ac:dyDescent="0.2">
      <c r="A836" s="2" t="s">
        <v>58</v>
      </c>
      <c r="B836" s="44" t="s">
        <v>59</v>
      </c>
      <c r="C836" s="2" t="s">
        <v>55</v>
      </c>
      <c r="D836" s="2" t="s">
        <v>60</v>
      </c>
      <c r="E836" s="2" t="s">
        <v>52</v>
      </c>
      <c r="F836" s="2" t="s">
        <v>61</v>
      </c>
      <c r="G836" s="2" t="s">
        <v>54</v>
      </c>
      <c r="H836" s="2" t="s">
        <v>87</v>
      </c>
      <c r="I836" s="2" t="s">
        <v>51</v>
      </c>
      <c r="J836" s="2" t="s">
        <v>138</v>
      </c>
      <c r="K836" s="2" t="s">
        <v>136</v>
      </c>
      <c r="L836" s="2" t="s">
        <v>221</v>
      </c>
      <c r="M836" s="2" t="s">
        <v>379</v>
      </c>
      <c r="N836" s="2" t="s">
        <v>1059</v>
      </c>
      <c r="O836" s="2" t="s">
        <v>1060</v>
      </c>
      <c r="P836" s="2" t="s">
        <v>1061</v>
      </c>
      <c r="Q836" s="2" t="s">
        <v>1062</v>
      </c>
      <c r="R836" s="2" t="s">
        <v>1063</v>
      </c>
      <c r="S836" s="2" t="s">
        <v>1064</v>
      </c>
      <c r="T836" s="2" t="s">
        <v>1065</v>
      </c>
      <c r="U836" s="2" t="s">
        <v>380</v>
      </c>
      <c r="V836" s="2" t="s">
        <v>1128</v>
      </c>
    </row>
    <row r="837" spans="1:22" x14ac:dyDescent="0.2">
      <c r="A837" t="str">
        <f>B798</f>
        <v>heat, residential, by conversion of hydrogen using fuel cell, SOFC, allocated by exergy, transported by pipeline, produced by Electrolysis, PEM using water and electricity from grid</v>
      </c>
      <c r="B837" s="45">
        <v>1</v>
      </c>
      <c r="C837" t="str">
        <f>B804</f>
        <v>megajoule</v>
      </c>
      <c r="E837" t="str">
        <f>B801</f>
        <v>CH</v>
      </c>
      <c r="F837" t="s">
        <v>62</v>
      </c>
      <c r="G837" t="str">
        <f>B803</f>
        <v>heat, from residential heating system</v>
      </c>
      <c r="K837" t="str">
        <f>B798</f>
        <v>heat, residential, by conversion of hydrogen using fuel cell, SOFC, allocated by exergy, transported by pipeline, produced by Electrolysis, PEM using water and electricity from grid</v>
      </c>
    </row>
    <row r="838" spans="1:22" x14ac:dyDescent="0.2">
      <c r="A838" t="str">
        <f>VLOOKUP(J838,'dataset mapping'!$A$4:$E$69,2,0)</f>
        <v>fuel cell production, stack solid oxide, 125kW electrical, future</v>
      </c>
      <c r="B838" s="52">
        <f>(1/(B827*B831*B830*3.6))*B832</f>
        <v>6.8189834941278219E-9</v>
      </c>
      <c r="C838" t="str">
        <f>VLOOKUP(J838,'dataset mapping'!$A$4:$E$69,5,0)</f>
        <v>unit</v>
      </c>
      <c r="E838" t="str">
        <f>VLOOKUP(J838,'dataset mapping'!$A$4:$E$69,4,0)</f>
        <v>CH</v>
      </c>
      <c r="F838" t="s">
        <v>86</v>
      </c>
      <c r="G838" t="str">
        <f>VLOOKUP(J838,'dataset mapping'!$A$4:$E$69,3,0)</f>
        <v>fuel cell, stack solid oxide, 125kW electrical, future</v>
      </c>
      <c r="H838" t="s">
        <v>88</v>
      </c>
      <c r="I838" t="s">
        <v>277</v>
      </c>
      <c r="J838" t="s">
        <v>274</v>
      </c>
      <c r="K838" t="str">
        <f>B798</f>
        <v>heat, residential, by conversion of hydrogen using fuel cell, SOFC, allocated by exergy, transported by pipeline, produced by Electrolysis, PEM using water and electricity from grid</v>
      </c>
      <c r="L838">
        <f t="shared" ref="L838:L842" si="25">IF(OR(B838&lt;0,B838=0),1,2)</f>
        <v>2</v>
      </c>
      <c r="M838">
        <f t="shared" ref="M838:M842" si="26">IF(L838=2,LN(B838),"")</f>
        <v>-18.80355542398161</v>
      </c>
      <c r="N838">
        <v>1</v>
      </c>
      <c r="O838" s="15">
        <v>1.2</v>
      </c>
      <c r="P838">
        <v>1</v>
      </c>
      <c r="Q838">
        <v>1.01</v>
      </c>
      <c r="R838">
        <v>1.2</v>
      </c>
      <c r="S838">
        <v>1.2</v>
      </c>
      <c r="T838">
        <v>3</v>
      </c>
      <c r="U838">
        <f t="shared" ref="U838:U842" si="27">LN(SQRT(EXP(
SQRT(
+POWER(LN(N838),2)
+POWER(LN(O838),2)
+POWER(LN(P838),2)
+POWER(LN(Q838),2)
+POWER(LN(R838),2)
+POWER(LN(S838),2)
+POWER(LN(T838),2)
)
)))</f>
        <v>0.57157051623399524</v>
      </c>
    </row>
    <row r="839" spans="1:22" x14ac:dyDescent="0.2">
      <c r="A839" t="s">
        <v>283</v>
      </c>
      <c r="B839" s="52">
        <f>(1/(B827*B831*B830*3.6))*B832</f>
        <v>6.8189834941278219E-9</v>
      </c>
      <c r="C839" t="s">
        <v>55</v>
      </c>
      <c r="E839" t="s">
        <v>64</v>
      </c>
      <c r="F839" t="s">
        <v>86</v>
      </c>
      <c r="G839" t="s">
        <v>284</v>
      </c>
      <c r="H839" t="s">
        <v>88</v>
      </c>
      <c r="I839" t="s">
        <v>277</v>
      </c>
      <c r="K839" t="str">
        <f>B798</f>
        <v>heat, residential, by conversion of hydrogen using fuel cell, SOFC, allocated by exergy, transported by pipeline, produced by Electrolysis, PEM using water and electricity from grid</v>
      </c>
      <c r="L839">
        <f t="shared" si="25"/>
        <v>2</v>
      </c>
      <c r="M839">
        <f t="shared" si="26"/>
        <v>-18.80355542398161</v>
      </c>
      <c r="N839">
        <v>1</v>
      </c>
      <c r="O839" s="15">
        <v>1.2</v>
      </c>
      <c r="P839">
        <v>1</v>
      </c>
      <c r="Q839">
        <v>1.01</v>
      </c>
      <c r="R839">
        <v>1.2</v>
      </c>
      <c r="S839">
        <v>1.2</v>
      </c>
      <c r="T839">
        <v>3</v>
      </c>
      <c r="U839">
        <f t="shared" si="27"/>
        <v>0.57157051623399524</v>
      </c>
    </row>
    <row r="840" spans="1:22" x14ac:dyDescent="0.2">
      <c r="A840" t="s">
        <v>288</v>
      </c>
      <c r="B840" s="52">
        <f>0.000024*B832</f>
        <v>3.2610015624957834E-6</v>
      </c>
      <c r="C840" t="s">
        <v>56</v>
      </c>
      <c r="E840" t="s">
        <v>64</v>
      </c>
      <c r="F840" t="s">
        <v>86</v>
      </c>
      <c r="G840" t="s">
        <v>287</v>
      </c>
      <c r="H840" t="s">
        <v>88</v>
      </c>
      <c r="K840" t="str">
        <f>B798</f>
        <v>heat, residential, by conversion of hydrogen using fuel cell, SOFC, allocated by exergy, transported by pipeline, produced by Electrolysis, PEM using water and electricity from grid</v>
      </c>
      <c r="L840">
        <f t="shared" si="25"/>
        <v>2</v>
      </c>
      <c r="M840">
        <f t="shared" si="26"/>
        <v>-12.633476182011</v>
      </c>
      <c r="N840">
        <v>1</v>
      </c>
      <c r="O840" s="15">
        <v>1.2</v>
      </c>
      <c r="P840">
        <v>1</v>
      </c>
      <c r="Q840">
        <v>1.01</v>
      </c>
      <c r="R840">
        <v>1.2</v>
      </c>
      <c r="S840">
        <v>1.2</v>
      </c>
      <c r="T840">
        <v>1.05</v>
      </c>
      <c r="U840">
        <f t="shared" si="27"/>
        <v>0.15984597228197622</v>
      </c>
    </row>
    <row r="841" spans="1:22" x14ac:dyDescent="0.2">
      <c r="A841" t="s">
        <v>1138</v>
      </c>
      <c r="B841" s="53">
        <f>(B837/B821)/B820*B832</f>
        <v>2.1364003947168392E-3</v>
      </c>
      <c r="C841" t="str">
        <f>VLOOKUP(J841,'dataset mapping'!$A$4:$E$69,5,0)</f>
        <v>kilogram</v>
      </c>
      <c r="E841" t="str">
        <f>VLOOKUP(J841,'dataset mapping'!$A$4:$E$69,4,0)</f>
        <v>CH</v>
      </c>
      <c r="F841" t="s">
        <v>86</v>
      </c>
      <c r="G841" t="s">
        <v>1129</v>
      </c>
      <c r="H841" t="s">
        <v>76</v>
      </c>
      <c r="I841" t="s">
        <v>1054</v>
      </c>
      <c r="J841" t="s">
        <v>281</v>
      </c>
      <c r="K841" t="str">
        <f>B798</f>
        <v>heat, residential, by conversion of hydrogen using fuel cell, SOFC, allocated by exergy, transported by pipeline, produced by Electrolysis, PEM using water and electricity from grid</v>
      </c>
      <c r="L841">
        <f t="shared" si="25"/>
        <v>2</v>
      </c>
      <c r="M841">
        <f t="shared" si="26"/>
        <v>-6.1486329247407472</v>
      </c>
      <c r="N841">
        <v>1</v>
      </c>
      <c r="O841" s="15">
        <v>1.2</v>
      </c>
      <c r="P841">
        <v>1</v>
      </c>
      <c r="Q841">
        <v>1.01</v>
      </c>
      <c r="R841">
        <v>1.2</v>
      </c>
      <c r="S841">
        <v>1.2</v>
      </c>
      <c r="T841">
        <v>1.05</v>
      </c>
      <c r="U841">
        <f t="shared" si="27"/>
        <v>0.15984597228197622</v>
      </c>
    </row>
    <row r="842" spans="1:22" x14ac:dyDescent="0.2">
      <c r="A842" t="s">
        <v>134</v>
      </c>
      <c r="B842" s="45">
        <f>B841*9</f>
        <v>1.9227603552451553E-2</v>
      </c>
      <c r="C842" t="s">
        <v>56</v>
      </c>
      <c r="D842" t="s">
        <v>100</v>
      </c>
      <c r="F842" t="s">
        <v>99</v>
      </c>
      <c r="H842" t="s">
        <v>131</v>
      </c>
      <c r="I842" t="s">
        <v>1057</v>
      </c>
      <c r="K842" t="str">
        <f>B798</f>
        <v>heat, residential, by conversion of hydrogen using fuel cell, SOFC, allocated by exergy, transported by pipeline, produced by Electrolysis, PEM using water and electricity from grid</v>
      </c>
      <c r="L842">
        <f t="shared" si="25"/>
        <v>2</v>
      </c>
      <c r="M842">
        <f t="shared" si="26"/>
        <v>-3.9514083474045276</v>
      </c>
      <c r="N842">
        <v>1</v>
      </c>
      <c r="O842" s="15">
        <v>1.2</v>
      </c>
      <c r="P842">
        <v>1</v>
      </c>
      <c r="Q842">
        <v>1.01</v>
      </c>
      <c r="R842">
        <v>1.2</v>
      </c>
      <c r="S842">
        <v>1.2</v>
      </c>
      <c r="T842">
        <v>1.05</v>
      </c>
      <c r="U842">
        <f t="shared" si="27"/>
        <v>0.15984597228197622</v>
      </c>
    </row>
    <row r="844" spans="1:22" x14ac:dyDescent="0.2">
      <c r="A844" s="2" t="s">
        <v>50</v>
      </c>
      <c r="B844" s="44" t="str">
        <f>IF(B850="megajoule","heat","electricity")&amp;", residential, by "&amp;B855&amp;" of "&amp;B854&amp;" using "&amp;B856&amp;IF(B857&lt;&gt;0,", allocated by "&amp;B857,"")&amp;", transported by "&amp;B858&amp;", produced by "&amp;B862&amp;" using "&amp;B863&amp;" from "&amp;B864</f>
        <v>electricity, residential, by combustion of hydrogen using CHP, allocated by exergy, transported by pipeline, produced by Electrolysis, PEM using water and electricity from grid</v>
      </c>
    </row>
    <row r="845" spans="1:22" x14ac:dyDescent="0.2">
      <c r="A845" t="s">
        <v>51</v>
      </c>
      <c r="B845" s="45" t="str">
        <f>"This dataset represents the supply of 1 "&amp;IF(B850="megajoule","megajoule of heat","kilowatt hour of electricity")&amp;" in a residence, by "&amp;B854&amp;" "&amp;B855&amp;" in a "&amp;B856&amp;". "&amp;" The hydrogen is transported by "&amp;B858&amp;" over "&amp;B859&amp;" km from regional storage. "&amp;" The "&amp;B854&amp;" is produced by  "&amp;B862&amp;", with "&amp;B863&amp;" from "&amp;B864&amp;" as feedstock. "&amp;A866&amp;": "&amp;(B866*100)&amp;"%. "&amp;A867&amp;": "&amp;B867&amp;". "&amp;A868&amp;": "&amp;B868&amp;". "&amp;A869&amp;": "&amp;(B869*100)&amp;"%. "&amp;A870&amp;": "&amp;(B870*100)&amp;"%. "&amp;A871&amp;": "&amp;(B871*100)&amp;"%. "&amp;A872&amp;": "&amp;B872&amp;". "&amp;A873&amp;": "&amp;B873&amp;". "&amp;A874&amp;": "&amp;(B874*100)&amp;"%. "&amp;A875&amp;": "&amp;B875&amp;". "&amp;A876&amp;": "&amp;B876&amp;". "&amp;A877&amp;": "&amp;B877&amp;". "&amp;A878&amp;": "&amp;B878&amp;".  For more information, refer to: "&amp;B846</f>
        <v>This dataset represents the supply of 1 kilowatt hour of electricity in a residence, by hydrogen combustion in a CHP.  The hydrogen is transported by pipeline over 500 km from regional storage.  The hydrogen is produced by  Electrolysis, PEM,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846" spans="1:22" x14ac:dyDescent="0.2">
      <c r="A846" t="s">
        <v>63</v>
      </c>
      <c r="B846" s="45" t="s">
        <v>1223</v>
      </c>
    </row>
    <row r="847" spans="1:22" x14ac:dyDescent="0.2">
      <c r="A847" t="s">
        <v>52</v>
      </c>
      <c r="B847" s="45" t="s">
        <v>64</v>
      </c>
    </row>
    <row r="848" spans="1:22" x14ac:dyDescent="0.2">
      <c r="A848" t="s">
        <v>48</v>
      </c>
      <c r="B848" s="45" t="s">
        <v>871</v>
      </c>
    </row>
    <row r="849" spans="1:2" x14ac:dyDescent="0.2">
      <c r="A849" t="s">
        <v>54</v>
      </c>
      <c r="B849" s="45" t="str">
        <f>INDEX(overview!$B$4:$R$338,MATCH('hydrogen - electrolysis'!B848,overview!$A$4:$A$338,0),MATCH('hydrogen - electrolysis'!A849,overview!$B$3:$R$3,0))</f>
        <v>electricity, from residential heating system</v>
      </c>
    </row>
    <row r="850" spans="1:2" x14ac:dyDescent="0.2">
      <c r="A850" t="s">
        <v>55</v>
      </c>
      <c r="B850" s="45" t="str">
        <f>INDEX(overview!$B$4:$R$338,MATCH('hydrogen - electrolysis'!B848,overview!$A$4:$A$338,0),MATCH('hydrogen - electrolysis'!A850,overview!$B$3:$R$3,0))</f>
        <v>kilowatt hour</v>
      </c>
    </row>
    <row r="851" spans="1:2" x14ac:dyDescent="0.2">
      <c r="A851" t="s">
        <v>0</v>
      </c>
      <c r="B851" s="45" t="str">
        <f>INDEX(overview!$B$4:$R$338,MATCH('hydrogen - electrolysis'!B848,overview!$A$4:$A$338,0),MATCH('hydrogen - electrolysis'!A851,overview!$B$3:$R$3,0))</f>
        <v>Switzerland</v>
      </c>
    </row>
    <row r="852" spans="1:2" x14ac:dyDescent="0.2">
      <c r="A852" t="s">
        <v>1</v>
      </c>
      <c r="B852" s="45">
        <f>INDEX(overview!$B$4:$R$338,MATCH('hydrogen - electrolysis'!B848,overview!$A$4:$A$338,0),MATCH('hydrogen - electrolysis'!A852,overview!$B$3:$R$3,0))</f>
        <v>2020</v>
      </c>
    </row>
    <row r="853" spans="1:2" x14ac:dyDescent="0.2">
      <c r="A853" t="s">
        <v>2</v>
      </c>
      <c r="B853" s="45" t="str">
        <f>INDEX(overview!$B$4:$R$338,MATCH('hydrogen - electrolysis'!B848,overview!$A$4:$A$338,0),MATCH('hydrogen - electrolysis'!A853,overview!$B$3:$R$3,0))</f>
        <v>1 kWh electricity</v>
      </c>
    </row>
    <row r="854" spans="1:2" x14ac:dyDescent="0.2">
      <c r="A854" t="s">
        <v>5</v>
      </c>
      <c r="B854" s="45" t="str">
        <f>INDEX(overview!$B$4:$R$338,MATCH('hydrogen - electrolysis'!B848,overview!$A$4:$A$338,0),MATCH('hydrogen - electrolysis'!A854,overview!$B$3:$R$3,0))</f>
        <v>hydrogen</v>
      </c>
    </row>
    <row r="855" spans="1:2" x14ac:dyDescent="0.2">
      <c r="A855" t="s">
        <v>3</v>
      </c>
      <c r="B855" s="45" t="str">
        <f>INDEX(overview!$B$4:$R$338,MATCH('hydrogen - electrolysis'!B848,overview!$A$4:$A$338,0),MATCH('hydrogen - electrolysis'!A855,overview!$B$3:$R$3,0))</f>
        <v>combustion</v>
      </c>
    </row>
    <row r="856" spans="1:2" x14ac:dyDescent="0.2">
      <c r="A856" t="s">
        <v>6</v>
      </c>
      <c r="B856" s="45" t="str">
        <f>INDEX(overview!$B$4:$R$338,MATCH('hydrogen - electrolysis'!B848,overview!$A$4:$A$338,0),MATCH('hydrogen - electrolysis'!A856,overview!$B$3:$R$3,0))</f>
        <v>CHP</v>
      </c>
    </row>
    <row r="857" spans="1:2" x14ac:dyDescent="0.2">
      <c r="A857" t="s">
        <v>39</v>
      </c>
      <c r="B857" s="45" t="str">
        <f>INDEX(overview!$B$4:$R$338,MATCH('hydrogen - electrolysis'!B848,overview!$A$4:$A$338,0),MATCH('hydrogen - electrolysis'!A857,overview!$B$3:$R$3,0))</f>
        <v>exergy</v>
      </c>
    </row>
    <row r="858" spans="1:2" x14ac:dyDescent="0.2">
      <c r="A858" t="s">
        <v>4</v>
      </c>
      <c r="B858" s="45" t="str">
        <f>INDEX(overview!$B$4:$R$338,MATCH('hydrogen - electrolysis'!B848,overview!$A$4:$A$338,0),MATCH('hydrogen - electrolysis'!A858,overview!$B$3:$R$3,0))</f>
        <v>pipeline</v>
      </c>
    </row>
    <row r="859" spans="1:2" x14ac:dyDescent="0.2">
      <c r="A859" t="s">
        <v>38</v>
      </c>
      <c r="B859" s="45">
        <f>INDEX(overview!$B$4:$R$338,MATCH('hydrogen - electrolysis'!B848,overview!$A$4:$A$338,0),MATCH('hydrogen - electrolysis'!A859,overview!$B$3:$R$3,0))</f>
        <v>500</v>
      </c>
    </row>
    <row r="860" spans="1:2" x14ac:dyDescent="0.2">
      <c r="A860" t="s">
        <v>12</v>
      </c>
      <c r="B860" s="45" t="str">
        <f>INDEX(overview!$B$4:$R$338,MATCH('hydrogen - electrolysis'!B848,overview!$A$4:$A$338,0),MATCH('hydrogen - electrolysis'!A860,overview!$B$3:$R$3,0))</f>
        <v>Pressure vessel for stationary storage</v>
      </c>
    </row>
    <row r="861" spans="1:2" x14ac:dyDescent="0.2">
      <c r="A861" t="s">
        <v>34</v>
      </c>
      <c r="B861" s="45">
        <f>INDEX(overview!$B$4:$R$338,MATCH('hydrogen - electrolysis'!B848,overview!$A$4:$A$338,0),MATCH('hydrogen - electrolysis'!A861,overview!$B$3:$R$3,0))</f>
        <v>0</v>
      </c>
    </row>
    <row r="862" spans="1:2" x14ac:dyDescent="0.2">
      <c r="A862" t="s">
        <v>15</v>
      </c>
      <c r="B862" s="45" t="str">
        <f>INDEX(overview!$B$4:$R$338,MATCH('hydrogen - electrolysis'!B848,overview!$A$4:$A$338,0),MATCH('hydrogen - electrolysis'!A862,overview!$B$3:$R$3,0))</f>
        <v>Electrolysis, PEM</v>
      </c>
    </row>
    <row r="863" spans="1:2" x14ac:dyDescent="0.2">
      <c r="A863" t="s">
        <v>14</v>
      </c>
      <c r="B863" s="45" t="str">
        <f>INDEX(overview!$B$4:$R$338,MATCH('hydrogen - electrolysis'!B848,overview!$A$4:$A$338,0),MATCH('hydrogen - electrolysis'!A863,overview!$B$3:$R$3,0))</f>
        <v>water and electricity</v>
      </c>
    </row>
    <row r="864" spans="1:2" x14ac:dyDescent="0.2">
      <c r="A864" t="s">
        <v>26</v>
      </c>
      <c r="B864" s="45" t="str">
        <f>INDEX(overview!$B$4:$R$338,MATCH('hydrogen - electrolysis'!B848,overview!$A$4:$A$338,0),MATCH('hydrogen - electrolysis'!A864,overview!$B$3:$R$3,0))</f>
        <v>grid</v>
      </c>
    </row>
    <row r="865" spans="1:2" x14ac:dyDescent="0.2">
      <c r="A865" t="s">
        <v>29</v>
      </c>
      <c r="B865" s="45">
        <f>INDEX(overview!$B$4:$R$338,MATCH('hydrogen - electrolysis'!B848,overview!$A$4:$A$338,0),MATCH('hydrogen - electrolysis'!A865,overview!$B$3:$R$3,0))</f>
        <v>0</v>
      </c>
    </row>
    <row r="866" spans="1:2" x14ac:dyDescent="0.2">
      <c r="A866" t="str">
        <f>IF(B850="megajoule","Heat","Electricity")&amp;" conversion efficiency [% LHV input]"</f>
        <v>Electricity conversion efficiency [% LHV input]</v>
      </c>
      <c r="B866" s="46">
        <f>INDEX(parameters!$D$4:$N$20,MATCH('hydrogen - electrolysis'!B854&amp;'hydrogen - electrolysis'!B856,parameters!$A$4:$A$20,0),MATCH('hydrogen - electrolysis'!A866,parameters!$D$3:$N$3,0))</f>
        <v>0.39400000000000002</v>
      </c>
    </row>
    <row r="867" spans="1:2" x14ac:dyDescent="0.2">
      <c r="A867" t="str">
        <f>IF(B850="megajoule","LHV [MJ/kg]","LHV [kWh/kg]")</f>
        <v>LHV [kWh/kg]</v>
      </c>
      <c r="B867" s="47">
        <f>INDEX(parameters!$D$4:$N$20,MATCH('hydrogen - electrolysis'!B854&amp;'hydrogen - electrolysis'!B856,parameters!$A$4:$A$20,0),MATCH('hydrogen - electrolysis'!A867,parameters!$D$3:$N$3,0))</f>
        <v>33.333333333333336</v>
      </c>
    </row>
    <row r="868" spans="1:2" x14ac:dyDescent="0.2">
      <c r="A868" t="s">
        <v>41</v>
      </c>
      <c r="B868" s="48">
        <f>INDEX(parameters!$D$4:$N$20,MATCH('hydrogen - electrolysis'!B854&amp;'hydrogen - electrolysis'!B856,parameters!$A$4:$A$20,0),MATCH('hydrogen - electrolysis'!A868,parameters!$D$3:$N$3,0))</f>
        <v>2.6666666666666665E-2</v>
      </c>
    </row>
    <row r="869" spans="1:2" x14ac:dyDescent="0.2">
      <c r="A869" t="s">
        <v>45</v>
      </c>
      <c r="B869" s="46">
        <f>INDEX(parameters!$D$4:$N$20,MATCH('hydrogen - electrolysis'!B854&amp;'hydrogen - electrolysis'!B856,parameters!$A$4:$A$20,0),MATCH('hydrogen - electrolysis'!A869,parameters!$D$3:$N$3,0))</f>
        <v>0</v>
      </c>
    </row>
    <row r="870" spans="1:2" x14ac:dyDescent="0.2">
      <c r="A870" t="s">
        <v>46</v>
      </c>
      <c r="B870" s="46">
        <f>INDEX(parameters!$D$4:$N$20,MATCH('hydrogen - electrolysis'!B854&amp;'hydrogen - electrolysis'!B856,parameters!$A$4:$A$20,0),MATCH('hydrogen - electrolysis'!A870,parameters!$D$3:$N$3,0))</f>
        <v>1.4999999999999999E-2</v>
      </c>
    </row>
    <row r="871" spans="1:2" x14ac:dyDescent="0.2">
      <c r="A871" t="s">
        <v>43</v>
      </c>
      <c r="B871" s="46">
        <f>INDEX(parameters!$D$4:$N$20,MATCH('hydrogen - electrolysis'!B854&amp;'hydrogen - electrolysis'!B856,parameters!$A$4:$A$20,0),MATCH('hydrogen - electrolysis'!A871,parameters!$D$3:$N$3,0))</f>
        <v>0</v>
      </c>
    </row>
    <row r="872" spans="1:2" x14ac:dyDescent="0.2">
      <c r="A872" t="s">
        <v>44</v>
      </c>
      <c r="B872" s="46">
        <f>INDEX(parameters!$D$4:$N$20,MATCH('hydrogen - electrolysis'!B854&amp;'hydrogen - electrolysis'!B856,parameters!$A$4:$A$20,0),MATCH('hydrogen - electrolysis'!A872,parameters!$D$3:$N$3,0))</f>
        <v>0</v>
      </c>
    </row>
    <row r="873" spans="1:2" x14ac:dyDescent="0.2">
      <c r="A873" t="s">
        <v>634</v>
      </c>
      <c r="B873" s="51">
        <f>INDEX(parameters!$D$4:$Y$20,MATCH('hydrogen - electrolysis'!B854&amp;'hydrogen - electrolysis'!B856,parameters!$A$4:$A$20,0),MATCH('hydrogen - electrolysis'!A873,parameters!$D$3:$Y$3,0))</f>
        <v>351.41800246609125</v>
      </c>
    </row>
    <row r="874" spans="1:2" x14ac:dyDescent="0.2">
      <c r="A874" t="s">
        <v>82</v>
      </c>
      <c r="B874" s="46">
        <f>IF(B865&lt;&gt;0,VLOOKUP(B865,parameters!A663:B665,2,0),0)</f>
        <v>0</v>
      </c>
    </row>
    <row r="875" spans="1:2" x14ac:dyDescent="0.2">
      <c r="A875" t="s">
        <v>548</v>
      </c>
      <c r="B875" s="50">
        <f>INDEX(parameters!$D$4:$P$20,MATCH(B854&amp;B856,parameters!$A$4:$A$20,0),MATCH(A875,parameters!$D$3:$P$3,0))</f>
        <v>125</v>
      </c>
    </row>
    <row r="876" spans="1:2" x14ac:dyDescent="0.2">
      <c r="A876" t="s">
        <v>547</v>
      </c>
      <c r="B876" s="51">
        <f>INDEX(parameters!$D$4:$P$20,MATCH(B854&amp;B856,parameters!$A$4:$A$20,0),MATCH(A876,parameters!$D$3:$P$3,0))</f>
        <v>19.512195121951219</v>
      </c>
    </row>
    <row r="877" spans="1:2" x14ac:dyDescent="0.2">
      <c r="A877" t="s">
        <v>630</v>
      </c>
      <c r="B877" s="51">
        <f>INDEX(parameters!$D$4:$T$20,MATCH(B854&amp;B856,parameters!$A$4:$A$20,0),MATCH(A877,parameters!$D$3:$T$3,0))</f>
        <v>4100</v>
      </c>
    </row>
    <row r="878" spans="1:2" x14ac:dyDescent="0.2">
      <c r="A878" t="s">
        <v>1005</v>
      </c>
      <c r="B878" s="50">
        <f>IF(B850="megajoule",SUMIFS(allocation!$I$4:$I$30,allocation!$B$4:$B$30,B856,allocation!$C$4:$C$30,B857),SUMIFS(allocation!$J$4:$J$30,allocation!$B$4:$B$30,B856,allocation!$C$4:$C$30,B857))</f>
        <v>0.87139957772704957</v>
      </c>
    </row>
    <row r="879" spans="1:2" x14ac:dyDescent="0.2">
      <c r="A879" t="s">
        <v>1050</v>
      </c>
      <c r="B879" s="51">
        <f>INDEX(parameters!$D$4:$AB$20,MATCH(B854&amp;B856,parameters!$A$4:$A$20,0),MATCH(A879,parameters!$D$3:$AB$3,0))</f>
        <v>2220.7364520822662</v>
      </c>
    </row>
    <row r="881" spans="1:22" x14ac:dyDescent="0.2">
      <c r="A881" s="3" t="s">
        <v>57</v>
      </c>
    </row>
    <row r="882" spans="1:22" x14ac:dyDescent="0.2">
      <c r="A882" s="2" t="s">
        <v>58</v>
      </c>
      <c r="B882" s="44" t="s">
        <v>59</v>
      </c>
      <c r="C882" s="2" t="s">
        <v>55</v>
      </c>
      <c r="D882" s="2" t="s">
        <v>60</v>
      </c>
      <c r="E882" s="2" t="s">
        <v>52</v>
      </c>
      <c r="F882" s="2" t="s">
        <v>61</v>
      </c>
      <c r="G882" s="2" t="s">
        <v>54</v>
      </c>
      <c r="H882" s="2" t="s">
        <v>87</v>
      </c>
      <c r="I882" s="2" t="s">
        <v>51</v>
      </c>
      <c r="J882" s="2" t="s">
        <v>138</v>
      </c>
      <c r="K882" s="2" t="s">
        <v>136</v>
      </c>
      <c r="L882" s="2" t="s">
        <v>221</v>
      </c>
      <c r="M882" s="2" t="s">
        <v>379</v>
      </c>
      <c r="N882" s="2" t="s">
        <v>1059</v>
      </c>
      <c r="O882" s="2" t="s">
        <v>1060</v>
      </c>
      <c r="P882" s="2" t="s">
        <v>1061</v>
      </c>
      <c r="Q882" s="2" t="s">
        <v>1062</v>
      </c>
      <c r="R882" s="2" t="s">
        <v>1063</v>
      </c>
      <c r="S882" s="2" t="s">
        <v>1064</v>
      </c>
      <c r="T882" s="2" t="s">
        <v>1065</v>
      </c>
      <c r="U882" s="2" t="s">
        <v>380</v>
      </c>
      <c r="V882" s="2" t="s">
        <v>1128</v>
      </c>
    </row>
    <row r="883" spans="1:22" x14ac:dyDescent="0.2">
      <c r="A883" t="str">
        <f>B844</f>
        <v>electricity, residential, by combustion of hydrogen using CHP, allocated by exergy, transported by pipeline, produced by Electrolysis, PEM using water and electricity from grid</v>
      </c>
      <c r="B883" s="45">
        <v>1</v>
      </c>
      <c r="C883" t="str">
        <f>B850</f>
        <v>kilowatt hour</v>
      </c>
      <c r="E883" t="str">
        <f>B847</f>
        <v>CH</v>
      </c>
      <c r="F883" t="s">
        <v>62</v>
      </c>
      <c r="G883" t="str">
        <f>B849</f>
        <v>electricity, from residential heating system</v>
      </c>
      <c r="K883" t="str">
        <f>B844</f>
        <v>electricity, residential, by combustion of hydrogen using CHP, allocated by exergy, transported by pipeline, produced by Electrolysis, PEM using water and electricity from grid</v>
      </c>
    </row>
    <row r="884" spans="1:22" x14ac:dyDescent="0.2">
      <c r="A884" t="str">
        <f>VLOOKUP(J884,'dataset mapping'!$A$4:$E$69,2,0)</f>
        <v>heat and power co-generation unit construction, 160kW electrical, common components for heat+electricity</v>
      </c>
      <c r="B884" s="52">
        <f>(1/(B873*B877*B876))*B878</f>
        <v>3.0995835856870056E-8</v>
      </c>
      <c r="C884" t="str">
        <f>VLOOKUP(J884,'dataset mapping'!$A$4:$E$69,5,0)</f>
        <v>unit</v>
      </c>
      <c r="E884" t="str">
        <f>VLOOKUP(J884,'dataset mapping'!$A$4:$E$69,4,0)</f>
        <v>RER</v>
      </c>
      <c r="F884" t="s">
        <v>86</v>
      </c>
      <c r="G884" t="str">
        <f>VLOOKUP(J884,'dataset mapping'!$A$4:$E$69,3,0)</f>
        <v>heat and power co-generation unit, 160kW electrical, common components for heat+electricity</v>
      </c>
      <c r="H884" t="s">
        <v>88</v>
      </c>
      <c r="J884" t="s">
        <v>145</v>
      </c>
      <c r="K884" t="str">
        <f>B844</f>
        <v>electricity, residential, by combustion of hydrogen using CHP, allocated by exergy, transported by pipeline, produced by Electrolysis, PEM using water and electricity from grid</v>
      </c>
      <c r="L884">
        <f t="shared" ref="L884:L891" si="28">IF(OR(B884&lt;0,B884=0),1,2)</f>
        <v>2</v>
      </c>
      <c r="M884">
        <f t="shared" ref="M884:M891" si="29">IF(L884=2,LN(B884),"")</f>
        <v>-17.28941296868171</v>
      </c>
      <c r="N884">
        <v>1.05</v>
      </c>
      <c r="O884" s="15">
        <v>1.2</v>
      </c>
      <c r="P884">
        <v>1</v>
      </c>
      <c r="Q884">
        <v>1.01</v>
      </c>
      <c r="R884">
        <v>1.2</v>
      </c>
      <c r="S884">
        <v>1.2</v>
      </c>
      <c r="T884">
        <v>3</v>
      </c>
      <c r="U884">
        <f t="shared" ref="U884:U891" si="30">LN(SQRT(EXP(
SQRT(
+POWER(LN(N884),2)
+POWER(LN(O884),2)
+POWER(LN(P884),2)
+POWER(LN(Q884),2)
+POWER(LN(R884),2)
+POWER(LN(S884),2)
+POWER(LN(T884),2)
)
)))</f>
        <v>0.57209088006881903</v>
      </c>
    </row>
    <row r="885" spans="1:22" x14ac:dyDescent="0.2">
      <c r="A885" t="str">
        <f>VLOOKUP(J885,'dataset mapping'!$A$4:$E$69,2,0)</f>
        <v>heat and power co-generation unit construction, 160kW electrical, components for electricity only</v>
      </c>
      <c r="B885" s="52">
        <f>(1/(B873*B877*B876))*B878</f>
        <v>3.0995835856870056E-8</v>
      </c>
      <c r="C885" t="str">
        <f>VLOOKUP(J885,'dataset mapping'!$A$4:$E$69,5,0)</f>
        <v>unit</v>
      </c>
      <c r="E885" t="str">
        <f>VLOOKUP(J885,'dataset mapping'!$A$4:$E$69,4,0)</f>
        <v>RER</v>
      </c>
      <c r="F885" t="s">
        <v>86</v>
      </c>
      <c r="G885" t="str">
        <f>VLOOKUP(J885,'dataset mapping'!$A$4:$E$69,3,0)</f>
        <v>heat and power co-generation unit, 160kW electrical, components for electricity only</v>
      </c>
      <c r="H885" t="s">
        <v>88</v>
      </c>
      <c r="J885" t="s">
        <v>146</v>
      </c>
      <c r="K885" t="str">
        <f>B844</f>
        <v>electricity, residential, by combustion of hydrogen using CHP, allocated by exergy, transported by pipeline, produced by Electrolysis, PEM using water and electricity from grid</v>
      </c>
      <c r="L885">
        <f t="shared" si="28"/>
        <v>2</v>
      </c>
      <c r="M885">
        <f t="shared" si="29"/>
        <v>-17.28941296868171</v>
      </c>
      <c r="N885">
        <v>1.05</v>
      </c>
      <c r="O885" s="15">
        <v>1.2</v>
      </c>
      <c r="P885">
        <v>1</v>
      </c>
      <c r="Q885">
        <v>1.01</v>
      </c>
      <c r="R885">
        <v>1.2</v>
      </c>
      <c r="S885">
        <v>1.2</v>
      </c>
      <c r="T885">
        <v>3</v>
      </c>
      <c r="U885">
        <f t="shared" si="30"/>
        <v>0.57209088006881903</v>
      </c>
    </row>
    <row r="886" spans="1:22" x14ac:dyDescent="0.2">
      <c r="A886" t="str">
        <f>VLOOKUP(J886,'dataset mapping'!$A$4:$E$69,2,0)</f>
        <v>heat and power co-generation unit construction, 160kW electrical, components for heat only</v>
      </c>
      <c r="B886" s="52">
        <f>(1/(B873*B877*B876))*B878</f>
        <v>3.0995835856870056E-8</v>
      </c>
      <c r="C886" t="str">
        <f>VLOOKUP(J886,'dataset mapping'!$A$4:$E$69,5,0)</f>
        <v>unit</v>
      </c>
      <c r="E886" t="str">
        <f>VLOOKUP(J886,'dataset mapping'!$A$4:$E$69,4,0)</f>
        <v>RER</v>
      </c>
      <c r="F886" t="s">
        <v>86</v>
      </c>
      <c r="G886" t="str">
        <f>VLOOKUP(J886,'dataset mapping'!$A$4:$E$69,3,0)</f>
        <v>heat and power co-generation unit, 160kW electrical, components for heat only</v>
      </c>
      <c r="H886" t="s">
        <v>88</v>
      </c>
      <c r="J886" t="s">
        <v>147</v>
      </c>
      <c r="K886" t="str">
        <f>B844</f>
        <v>electricity, residential, by combustion of hydrogen using CHP, allocated by exergy, transported by pipeline, produced by Electrolysis, PEM using water and electricity from grid</v>
      </c>
      <c r="L886">
        <f t="shared" si="28"/>
        <v>2</v>
      </c>
      <c r="M886">
        <f t="shared" si="29"/>
        <v>-17.28941296868171</v>
      </c>
      <c r="N886">
        <v>1.05</v>
      </c>
      <c r="O886" s="15">
        <v>1.2</v>
      </c>
      <c r="P886">
        <v>1</v>
      </c>
      <c r="Q886">
        <v>1.01</v>
      </c>
      <c r="R886">
        <v>1.2</v>
      </c>
      <c r="S886">
        <v>1.2</v>
      </c>
      <c r="T886">
        <v>3</v>
      </c>
      <c r="U886">
        <f t="shared" si="30"/>
        <v>0.57209088006881903</v>
      </c>
    </row>
    <row r="887" spans="1:22" x14ac:dyDescent="0.2">
      <c r="A887" t="s">
        <v>156</v>
      </c>
      <c r="B887" s="52">
        <f>0.00000011366*B878</f>
        <v>9.9043276004456456E-8</v>
      </c>
      <c r="C887" t="s">
        <v>56</v>
      </c>
      <c r="E887" t="s">
        <v>90</v>
      </c>
      <c r="F887" t="s">
        <v>86</v>
      </c>
      <c r="G887" t="s">
        <v>154</v>
      </c>
      <c r="H887" t="s">
        <v>155</v>
      </c>
      <c r="K887" t="str">
        <f>B844</f>
        <v>electricity, residential, by combustion of hydrogen using CHP, allocated by exergy, transported by pipeline, produced by Electrolysis, PEM using water and electricity from grid</v>
      </c>
      <c r="L887">
        <f t="shared" si="28"/>
        <v>2</v>
      </c>
      <c r="M887">
        <f t="shared" si="29"/>
        <v>-16.127708950967754</v>
      </c>
      <c r="N887">
        <v>1.05</v>
      </c>
      <c r="O887" s="15">
        <v>1.2</v>
      </c>
      <c r="P887">
        <v>1</v>
      </c>
      <c r="Q887">
        <v>1.01</v>
      </c>
      <c r="R887">
        <v>1.2</v>
      </c>
      <c r="S887">
        <v>1.2</v>
      </c>
      <c r="T887">
        <v>1.05</v>
      </c>
      <c r="U887">
        <f t="shared" si="30"/>
        <v>0.16169679924070957</v>
      </c>
    </row>
    <row r="888" spans="1:22" x14ac:dyDescent="0.2">
      <c r="A888" t="s">
        <v>157</v>
      </c>
      <c r="B888" s="52">
        <f>0.00000011366*B878*-1</f>
        <v>-9.9043276004456456E-8</v>
      </c>
      <c r="C888" t="s">
        <v>56</v>
      </c>
      <c r="E888" t="s">
        <v>64</v>
      </c>
      <c r="F888" t="s">
        <v>86</v>
      </c>
      <c r="G888" t="s">
        <v>158</v>
      </c>
      <c r="H888" t="s">
        <v>155</v>
      </c>
      <c r="K888" t="str">
        <f>B844</f>
        <v>electricity, residential, by combustion of hydrogen using CHP, allocated by exergy, transported by pipeline, produced by Electrolysis, PEM using water and electricity from grid</v>
      </c>
      <c r="L888">
        <v>2</v>
      </c>
      <c r="M888">
        <f>IF(L888=2,LN(B888*-1),"")</f>
        <v>-16.127708950967754</v>
      </c>
      <c r="N888">
        <v>1.05</v>
      </c>
      <c r="O888" s="15">
        <v>1.2</v>
      </c>
      <c r="P888">
        <v>1</v>
      </c>
      <c r="Q888">
        <v>1.01</v>
      </c>
      <c r="R888">
        <v>1.2</v>
      </c>
      <c r="S888">
        <v>1.2</v>
      </c>
      <c r="T888">
        <v>3</v>
      </c>
      <c r="U888">
        <f>LN(SQRT(EXP(
SQRT(
+POWER(LN(N888),2)
+POWER(LN(O888),2)
+POWER(LN(P888),2)
+POWER(LN(Q888),2)
+POWER(LN(R888),2)
+POWER(LN(S888),2)
+POWER(LN(T888),2)
)
)))</f>
        <v>0.57209088006881903</v>
      </c>
      <c r="V888" t="b">
        <v>1</v>
      </c>
    </row>
    <row r="889" spans="1:22" x14ac:dyDescent="0.2">
      <c r="A889" t="s">
        <v>1138</v>
      </c>
      <c r="B889" s="53">
        <f>(B883/B867)/B866*B878</f>
        <v>6.6350221654343872E-2</v>
      </c>
      <c r="C889" t="str">
        <f>VLOOKUP(J889,'dataset mapping'!$A$4:$E$69,5,0)</f>
        <v>kilogram</v>
      </c>
      <c r="E889" t="str">
        <f>VLOOKUP(J889,'dataset mapping'!$A$4:$E$69,4,0)</f>
        <v>CH</v>
      </c>
      <c r="F889" t="s">
        <v>86</v>
      </c>
      <c r="G889" t="s">
        <v>1129</v>
      </c>
      <c r="H889" t="s">
        <v>76</v>
      </c>
      <c r="I889" t="s">
        <v>1054</v>
      </c>
      <c r="J889" t="s">
        <v>281</v>
      </c>
      <c r="K889" t="str">
        <f>B844</f>
        <v>electricity, residential, by combustion of hydrogen using CHP, allocated by exergy, transported by pipeline, produced by Electrolysis, PEM using water and electricity from grid</v>
      </c>
      <c r="L889">
        <f t="shared" si="28"/>
        <v>2</v>
      </c>
      <c r="M889">
        <f t="shared" si="29"/>
        <v>-2.7128081775260964</v>
      </c>
      <c r="N889">
        <v>1.05</v>
      </c>
      <c r="O889" s="15">
        <v>1.2</v>
      </c>
      <c r="P889">
        <v>1</v>
      </c>
      <c r="Q889">
        <v>1.01</v>
      </c>
      <c r="R889">
        <v>1.2</v>
      </c>
      <c r="S889">
        <v>1.2</v>
      </c>
      <c r="T889">
        <v>1.05</v>
      </c>
      <c r="U889">
        <f t="shared" si="30"/>
        <v>0.16169679924070957</v>
      </c>
    </row>
    <row r="890" spans="1:22" x14ac:dyDescent="0.2">
      <c r="A890" t="s">
        <v>134</v>
      </c>
      <c r="B890" s="45">
        <f>B889*9</f>
        <v>0.59715199488909487</v>
      </c>
      <c r="C890" t="s">
        <v>56</v>
      </c>
      <c r="D890" t="s">
        <v>100</v>
      </c>
      <c r="F890" t="s">
        <v>99</v>
      </c>
      <c r="H890" t="s">
        <v>131</v>
      </c>
      <c r="I890" t="s">
        <v>1058</v>
      </c>
      <c r="K890" t="str">
        <f>B844</f>
        <v>electricity, residential, by combustion of hydrogen using CHP, allocated by exergy, transported by pipeline, produced by Electrolysis, PEM using water and electricity from grid</v>
      </c>
      <c r="L890">
        <f t="shared" si="28"/>
        <v>2</v>
      </c>
      <c r="M890">
        <f t="shared" si="29"/>
        <v>-0.51558360018987692</v>
      </c>
      <c r="N890">
        <v>1.05</v>
      </c>
      <c r="O890" s="15">
        <v>1.2</v>
      </c>
      <c r="P890">
        <v>1</v>
      </c>
      <c r="Q890">
        <v>1.01</v>
      </c>
      <c r="R890">
        <v>1.2</v>
      </c>
      <c r="S890">
        <v>1.2</v>
      </c>
      <c r="T890">
        <v>1.05</v>
      </c>
      <c r="U890">
        <f t="shared" si="30"/>
        <v>0.16169679924070957</v>
      </c>
    </row>
    <row r="891" spans="1:22" x14ac:dyDescent="0.2">
      <c r="A891" t="s">
        <v>135</v>
      </c>
      <c r="B891" s="45">
        <f>912.5/1000000*B889</f>
        <v>6.0544577259588785E-5</v>
      </c>
      <c r="C891" t="s">
        <v>56</v>
      </c>
      <c r="D891" t="s">
        <v>100</v>
      </c>
      <c r="F891" t="s">
        <v>99</v>
      </c>
      <c r="H891" t="s">
        <v>131</v>
      </c>
      <c r="I891" t="s">
        <v>1217</v>
      </c>
      <c r="K891" t="str">
        <f>B844</f>
        <v>electricity, residential, by combustion of hydrogen using CHP, allocated by exergy, transported by pipeline, produced by Electrolysis, PEM using water and electricity from grid</v>
      </c>
      <c r="L891">
        <f t="shared" si="28"/>
        <v>2</v>
      </c>
      <c r="M891">
        <f t="shared" si="29"/>
        <v>-9.712130650033723</v>
      </c>
      <c r="N891">
        <v>1.05</v>
      </c>
      <c r="O891" s="15">
        <v>1.2</v>
      </c>
      <c r="P891">
        <v>1</v>
      </c>
      <c r="Q891">
        <v>1.01</v>
      </c>
      <c r="R891">
        <v>1.2</v>
      </c>
      <c r="S891">
        <v>1.2</v>
      </c>
      <c r="T891">
        <v>1.5</v>
      </c>
      <c r="U891">
        <f t="shared" si="30"/>
        <v>0.25816898211842121</v>
      </c>
    </row>
    <row r="893" spans="1:22" x14ac:dyDescent="0.2">
      <c r="A893" s="2" t="s">
        <v>50</v>
      </c>
      <c r="B893" s="44" t="str">
        <f>IF(B899="megajoule","heat","electricity")&amp;", residential, by "&amp;B904&amp;" of "&amp;B903&amp;" using "&amp;B905&amp;IF(B906&lt;&gt;0,", allocated by "&amp;B906,"")&amp;", transported by "&amp;B907&amp;", produced by "&amp;B911&amp;" using "&amp;B912&amp;" from "&amp;B913</f>
        <v>electricity, residential, by conversion of hydrogen using fuel cell, PEM, allocated by exergy, transported by pipeline, produced by Electrolysis, PEM using water and electricity from grid</v>
      </c>
    </row>
    <row r="894" spans="1:22" x14ac:dyDescent="0.2">
      <c r="A894" t="s">
        <v>51</v>
      </c>
      <c r="B894" s="45" t="str">
        <f>"This dataset represents the supply of 1 "&amp;IF(B899="megajoule","megajoule of heat","kilowatt hour of electricity")&amp;" in a residence, by "&amp;B903&amp;" "&amp;B904&amp;" in a "&amp;B905&amp;". "&amp;" The hydrogen is transported by "&amp;B907&amp;" over "&amp;B908&amp;" km from regional storage. "&amp;" The "&amp;B903&amp;" is produced by  "&amp;B911&amp;", with "&amp;B912&amp;" from "&amp;B913&amp;" as feedstock. "&amp;A915&amp;": "&amp;(B915*100)&amp;"%. "&amp;A916&amp;": "&amp;B916&amp;". "&amp;A917&amp;": "&amp;B917&amp;". "&amp;A918&amp;": "&amp;(B918*100)&amp;"%. "&amp;A919&amp;": "&amp;(B919*100)&amp;"%. "&amp;A920&amp;": "&amp;(B920*100)&amp;"%. "&amp;A921&amp;": "&amp;B921&amp;". "&amp;A922&amp;": "&amp;B922&amp;". "&amp;A923&amp;": "&amp;(B923*100)&amp;"%. "&amp;A924&amp;": "&amp;B924&amp;". "&amp;A925&amp;": "&amp;B925&amp;". "&amp;A926&amp;": "&amp;B926&amp;". "&amp;A927&amp;": "&amp;B927&amp;".  For more information, refer to: "&amp;B895</f>
        <v>This dataset represents the supply of 1 kilowatt hour of electricity in a residence, by hydrogen conversion in a fuel cell, PEM.  The hydrogen is transported by pipeline over 500 km from regional storage.  The hydrogen is produced by  Electrolysis, PEM,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895" spans="1:22" x14ac:dyDescent="0.2">
      <c r="A895" t="s">
        <v>63</v>
      </c>
      <c r="B895" s="45" t="s">
        <v>1223</v>
      </c>
    </row>
    <row r="896" spans="1:22" x14ac:dyDescent="0.2">
      <c r="A896" t="s">
        <v>52</v>
      </c>
      <c r="B896" s="45" t="s">
        <v>64</v>
      </c>
    </row>
    <row r="897" spans="1:2" x14ac:dyDescent="0.2">
      <c r="A897" t="s">
        <v>48</v>
      </c>
      <c r="B897" s="45" t="s">
        <v>872</v>
      </c>
    </row>
    <row r="898" spans="1:2" x14ac:dyDescent="0.2">
      <c r="A898" t="s">
        <v>54</v>
      </c>
      <c r="B898" s="45" t="str">
        <f>INDEX(overview!$B$4:$R$338,MATCH('hydrogen - electrolysis'!B897,overview!$A$4:$A$338,0),MATCH('hydrogen - electrolysis'!A898,overview!$B$3:$R$3,0))</f>
        <v>electricity, from residential heating system</v>
      </c>
    </row>
    <row r="899" spans="1:2" x14ac:dyDescent="0.2">
      <c r="A899" t="s">
        <v>55</v>
      </c>
      <c r="B899" s="45" t="str">
        <f>INDEX(overview!$B$4:$R$338,MATCH('hydrogen - electrolysis'!B897,overview!$A$4:$A$338,0),MATCH('hydrogen - electrolysis'!A899,overview!$B$3:$R$3,0))</f>
        <v>kilowatt hour</v>
      </c>
    </row>
    <row r="900" spans="1:2" x14ac:dyDescent="0.2">
      <c r="A900" t="s">
        <v>0</v>
      </c>
      <c r="B900" s="45" t="str">
        <f>INDEX(overview!$B$4:$R$338,MATCH('hydrogen - electrolysis'!B897,overview!$A$4:$A$338,0),MATCH('hydrogen - electrolysis'!A900,overview!$B$3:$R$3,0))</f>
        <v>Switzerland</v>
      </c>
    </row>
    <row r="901" spans="1:2" x14ac:dyDescent="0.2">
      <c r="A901" t="s">
        <v>1</v>
      </c>
      <c r="B901" s="45">
        <f>INDEX(overview!$B$4:$R$338,MATCH('hydrogen - electrolysis'!B897,overview!$A$4:$A$338,0),MATCH('hydrogen - electrolysis'!A901,overview!$B$3:$R$3,0))</f>
        <v>2020</v>
      </c>
    </row>
    <row r="902" spans="1:2" x14ac:dyDescent="0.2">
      <c r="A902" t="s">
        <v>2</v>
      </c>
      <c r="B902" s="45" t="str">
        <f>INDEX(overview!$B$4:$R$338,MATCH('hydrogen - electrolysis'!B897,overview!$A$4:$A$338,0),MATCH('hydrogen - electrolysis'!A902,overview!$B$3:$R$3,0))</f>
        <v>1 kWh electricity</v>
      </c>
    </row>
    <row r="903" spans="1:2" x14ac:dyDescent="0.2">
      <c r="A903" t="s">
        <v>5</v>
      </c>
      <c r="B903" s="45" t="str">
        <f>INDEX(overview!$B$4:$R$338,MATCH('hydrogen - electrolysis'!B897,overview!$A$4:$A$338,0),MATCH('hydrogen - electrolysis'!A903,overview!$B$3:$R$3,0))</f>
        <v>hydrogen</v>
      </c>
    </row>
    <row r="904" spans="1:2" x14ac:dyDescent="0.2">
      <c r="A904" t="s">
        <v>3</v>
      </c>
      <c r="B904" s="45" t="str">
        <f>INDEX(overview!$B$4:$R$338,MATCH('hydrogen - electrolysis'!B897,overview!$A$4:$A$338,0),MATCH('hydrogen - electrolysis'!A904,overview!$B$3:$R$3,0))</f>
        <v>conversion</v>
      </c>
    </row>
    <row r="905" spans="1:2" x14ac:dyDescent="0.2">
      <c r="A905" t="s">
        <v>6</v>
      </c>
      <c r="B905" s="45" t="str">
        <f>INDEX(overview!$B$4:$R$338,MATCH('hydrogen - electrolysis'!B897,overview!$A$4:$A$338,0),MATCH('hydrogen - electrolysis'!A905,overview!$B$3:$R$3,0))</f>
        <v>fuel cell, PEM</v>
      </c>
    </row>
    <row r="906" spans="1:2" x14ac:dyDescent="0.2">
      <c r="A906" t="s">
        <v>39</v>
      </c>
      <c r="B906" s="45" t="str">
        <f>INDEX(overview!$B$4:$R$338,MATCH('hydrogen - electrolysis'!B897,overview!$A$4:$A$338,0),MATCH('hydrogen - electrolysis'!A906,overview!$B$3:$R$3,0))</f>
        <v>exergy</v>
      </c>
    </row>
    <row r="907" spans="1:2" x14ac:dyDescent="0.2">
      <c r="A907" t="s">
        <v>4</v>
      </c>
      <c r="B907" s="45" t="str">
        <f>INDEX(overview!$B$4:$R$338,MATCH('hydrogen - electrolysis'!B897,overview!$A$4:$A$338,0),MATCH('hydrogen - electrolysis'!A907,overview!$B$3:$R$3,0))</f>
        <v>pipeline</v>
      </c>
    </row>
    <row r="908" spans="1:2" x14ac:dyDescent="0.2">
      <c r="A908" t="s">
        <v>38</v>
      </c>
      <c r="B908" s="45">
        <f>INDEX(overview!$B$4:$R$338,MATCH('hydrogen - electrolysis'!B897,overview!$A$4:$A$338,0),MATCH('hydrogen - electrolysis'!A908,overview!$B$3:$R$3,0))</f>
        <v>500</v>
      </c>
    </row>
    <row r="909" spans="1:2" x14ac:dyDescent="0.2">
      <c r="A909" t="s">
        <v>12</v>
      </c>
      <c r="B909" s="45" t="str">
        <f>INDEX(overview!$B$4:$R$338,MATCH('hydrogen - electrolysis'!B897,overview!$A$4:$A$338,0),MATCH('hydrogen - electrolysis'!A909,overview!$B$3:$R$3,0))</f>
        <v>Pressure vessel for stationary storage</v>
      </c>
    </row>
    <row r="910" spans="1:2" x14ac:dyDescent="0.2">
      <c r="A910" t="s">
        <v>34</v>
      </c>
      <c r="B910" s="45">
        <f>INDEX(overview!$B$4:$R$338,MATCH('hydrogen - electrolysis'!B897,overview!$A$4:$A$338,0),MATCH('hydrogen - electrolysis'!A910,overview!$B$3:$R$3,0))</f>
        <v>0</v>
      </c>
    </row>
    <row r="911" spans="1:2" x14ac:dyDescent="0.2">
      <c r="A911" t="s">
        <v>15</v>
      </c>
      <c r="B911" s="45" t="str">
        <f>INDEX(overview!$B$4:$R$338,MATCH('hydrogen - electrolysis'!B897,overview!$A$4:$A$338,0),MATCH('hydrogen - electrolysis'!A911,overview!$B$3:$R$3,0))</f>
        <v>Electrolysis, PEM</v>
      </c>
    </row>
    <row r="912" spans="1:2" x14ac:dyDescent="0.2">
      <c r="A912" t="s">
        <v>14</v>
      </c>
      <c r="B912" s="45" t="str">
        <f>INDEX(overview!$B$4:$R$338,MATCH('hydrogen - electrolysis'!B897,overview!$A$4:$A$338,0),MATCH('hydrogen - electrolysis'!A912,overview!$B$3:$R$3,0))</f>
        <v>water and electricity</v>
      </c>
    </row>
    <row r="913" spans="1:2" x14ac:dyDescent="0.2">
      <c r="A913" t="s">
        <v>26</v>
      </c>
      <c r="B913" s="45" t="str">
        <f>INDEX(overview!$B$4:$R$338,MATCH('hydrogen - electrolysis'!B897,overview!$A$4:$A$338,0),MATCH('hydrogen - electrolysis'!A913,overview!$B$3:$R$3,0))</f>
        <v>grid</v>
      </c>
    </row>
    <row r="914" spans="1:2" x14ac:dyDescent="0.2">
      <c r="A914" t="s">
        <v>29</v>
      </c>
      <c r="B914" s="45">
        <f>INDEX(overview!$B$4:$R$338,MATCH('hydrogen - electrolysis'!B897,overview!$A$4:$A$338,0),MATCH('hydrogen - electrolysis'!A914,overview!$B$3:$R$3,0))</f>
        <v>0</v>
      </c>
    </row>
    <row r="915" spans="1:2" x14ac:dyDescent="0.2">
      <c r="A915" t="str">
        <f>IF(B899="megajoule","Heat","Electricity")&amp;" conversion efficiency [% LHV input]"</f>
        <v>Electricity conversion efficiency [% LHV input]</v>
      </c>
      <c r="B915" s="46">
        <f>INDEX(parameters!$D$4:$N$20,MATCH('hydrogen - electrolysis'!B903&amp;'hydrogen - electrolysis'!B905,parameters!$A$4:$A$20,0),MATCH('hydrogen - electrolysis'!A915,parameters!$D$3:$N$3,0))</f>
        <v>0.45</v>
      </c>
    </row>
    <row r="916" spans="1:2" x14ac:dyDescent="0.2">
      <c r="A916" t="str">
        <f>IF(B899="megajoule","LHV [MJ/kg]","LHV [kWh/kg]")</f>
        <v>LHV [kWh/kg]</v>
      </c>
      <c r="B916" s="47">
        <f>INDEX(parameters!$D$4:$N$20,MATCH('hydrogen - electrolysis'!B903&amp;'hydrogen - electrolysis'!B905,parameters!$A$4:$A$20,0),MATCH('hydrogen - electrolysis'!A916,parameters!$D$3:$N$3,0))</f>
        <v>33.333333333333336</v>
      </c>
    </row>
    <row r="917" spans="1:2" x14ac:dyDescent="0.2">
      <c r="A917" t="s">
        <v>41</v>
      </c>
      <c r="B917" s="48">
        <f>INDEX(parameters!$D$4:$N$20,MATCH('hydrogen - electrolysis'!B903&amp;'hydrogen - electrolysis'!B905,parameters!$A$4:$A$20,0),MATCH('hydrogen - electrolysis'!A917,parameters!$D$3:$N$3,0))</f>
        <v>2.6666666666666665E-2</v>
      </c>
    </row>
    <row r="918" spans="1:2" x14ac:dyDescent="0.2">
      <c r="A918" t="s">
        <v>45</v>
      </c>
      <c r="B918" s="46">
        <f>INDEX(parameters!$D$4:$N$20,MATCH('hydrogen - electrolysis'!B903&amp;'hydrogen - electrolysis'!B905,parameters!$A$4:$A$20,0),MATCH('hydrogen - electrolysis'!A918,parameters!$D$3:$N$3,0))</f>
        <v>0</v>
      </c>
    </row>
    <row r="919" spans="1:2" x14ac:dyDescent="0.2">
      <c r="A919" t="s">
        <v>46</v>
      </c>
      <c r="B919" s="46">
        <f>INDEX(parameters!$D$4:$N$20,MATCH('hydrogen - electrolysis'!B903&amp;'hydrogen - electrolysis'!B905,parameters!$A$4:$A$20,0),MATCH('hydrogen - electrolysis'!A919,parameters!$D$3:$N$3,0))</f>
        <v>1.4999999999999999E-2</v>
      </c>
    </row>
    <row r="920" spans="1:2" x14ac:dyDescent="0.2">
      <c r="A920" t="s">
        <v>43</v>
      </c>
      <c r="B920" s="46">
        <f>INDEX(parameters!$D$4:$N$20,MATCH('hydrogen - electrolysis'!B903&amp;'hydrogen - electrolysis'!B905,parameters!$A$4:$A$20,0),MATCH('hydrogen - electrolysis'!A920,parameters!$D$3:$N$3,0))</f>
        <v>0</v>
      </c>
    </row>
    <row r="921" spans="1:2" x14ac:dyDescent="0.2">
      <c r="A921" t="s">
        <v>44</v>
      </c>
      <c r="B921" s="46">
        <f>INDEX(parameters!$D$4:$N$20,MATCH('hydrogen - electrolysis'!B903&amp;'hydrogen - electrolysis'!B905,parameters!$A$4:$A$20,0),MATCH('hydrogen - electrolysis'!A921,parameters!$D$3:$N$3,0))</f>
        <v>0</v>
      </c>
    </row>
    <row r="922" spans="1:2" x14ac:dyDescent="0.2">
      <c r="A922" t="s">
        <v>634</v>
      </c>
      <c r="B922" s="51">
        <f>INDEX(parameters!$D$4:$Y$20,MATCH('hydrogen - electrolysis'!B903&amp;'hydrogen - electrolysis'!B905,parameters!$A$4:$A$20,0),MATCH('hydrogen - electrolysis'!A922,parameters!$D$3:$Y$3,0))</f>
        <v>1.8947368421052633</v>
      </c>
    </row>
    <row r="923" spans="1:2" x14ac:dyDescent="0.2">
      <c r="A923" t="s">
        <v>82</v>
      </c>
      <c r="B923" s="46">
        <f>IF(B914&lt;&gt;0,VLOOKUP(B914,parameters!A717:B719,2,0),0)</f>
        <v>0</v>
      </c>
    </row>
    <row r="924" spans="1:2" x14ac:dyDescent="0.2">
      <c r="A924" t="s">
        <v>548</v>
      </c>
      <c r="B924" s="50">
        <f>INDEX(parameters!$D$4:$P$20,MATCH(B903&amp;B905,parameters!$A$4:$A$20,0),MATCH(A924,parameters!$D$3:$P$3,0))</f>
        <v>0.8</v>
      </c>
    </row>
    <row r="925" spans="1:2" x14ac:dyDescent="0.2">
      <c r="A925" t="s">
        <v>547</v>
      </c>
      <c r="B925" s="51">
        <f>INDEX(parameters!$D$4:$P$20,MATCH(B903&amp;B905,parameters!$A$4:$A$20,0),MATCH(A925,parameters!$D$3:$P$3,0))</f>
        <v>4.8780487804878048</v>
      </c>
    </row>
    <row r="926" spans="1:2" x14ac:dyDescent="0.2">
      <c r="A926" t="s">
        <v>630</v>
      </c>
      <c r="B926" s="51">
        <f>INDEX(parameters!$D$4:$T$20,MATCH(B903&amp;B905,parameters!$A$4:$A$20,0),MATCH(A926,parameters!$D$3:$T$3,0))</f>
        <v>4100</v>
      </c>
    </row>
    <row r="927" spans="1:2" x14ac:dyDescent="0.2">
      <c r="A927" t="s">
        <v>1005</v>
      </c>
      <c r="B927" s="50">
        <f>IF(B899="megajoule",SUMIFS(allocation!$I$4:$I$30,allocation!$B$4:$B$30,B905,allocation!$C$4:$C$30,B906),SUMIFS(allocation!$J$4:$J$30,allocation!$B$4:$B$30,B905,allocation!$C$4:$C$30,B906))</f>
        <v>0.86066019201025545</v>
      </c>
    </row>
    <row r="928" spans="1:2" x14ac:dyDescent="0.2">
      <c r="A928" t="s">
        <v>1050</v>
      </c>
      <c r="B928" s="51">
        <f>INDEX(parameters!$D$4:$AB$20,MATCH(B903&amp;B905,parameters!$A$4:$A$20,0),MATCH(A928,parameters!$D$3:$AB$3,0))</f>
        <v>10.221606648199446</v>
      </c>
    </row>
    <row r="930" spans="1:22" x14ac:dyDescent="0.2">
      <c r="A930" s="3" t="s">
        <v>57</v>
      </c>
    </row>
    <row r="931" spans="1:22" x14ac:dyDescent="0.2">
      <c r="A931" s="2" t="s">
        <v>58</v>
      </c>
      <c r="B931" s="44" t="s">
        <v>59</v>
      </c>
      <c r="C931" s="2" t="s">
        <v>55</v>
      </c>
      <c r="D931" s="2" t="s">
        <v>60</v>
      </c>
      <c r="E931" s="2" t="s">
        <v>52</v>
      </c>
      <c r="F931" s="2" t="s">
        <v>61</v>
      </c>
      <c r="G931" s="2" t="s">
        <v>54</v>
      </c>
      <c r="H931" s="2" t="s">
        <v>87</v>
      </c>
      <c r="I931" s="2" t="s">
        <v>51</v>
      </c>
      <c r="J931" s="2" t="s">
        <v>138</v>
      </c>
      <c r="K931" s="2" t="s">
        <v>136</v>
      </c>
      <c r="L931" s="2" t="s">
        <v>221</v>
      </c>
      <c r="M931" s="2" t="s">
        <v>379</v>
      </c>
      <c r="N931" s="2" t="s">
        <v>1059</v>
      </c>
      <c r="O931" s="2" t="s">
        <v>1060</v>
      </c>
      <c r="P931" s="2" t="s">
        <v>1061</v>
      </c>
      <c r="Q931" s="2" t="s">
        <v>1062</v>
      </c>
      <c r="R931" s="2" t="s">
        <v>1063</v>
      </c>
      <c r="S931" s="2" t="s">
        <v>1064</v>
      </c>
      <c r="T931" s="2" t="s">
        <v>1065</v>
      </c>
      <c r="U931" s="2" t="s">
        <v>380</v>
      </c>
      <c r="V931" s="2" t="s">
        <v>1128</v>
      </c>
    </row>
    <row r="932" spans="1:22" x14ac:dyDescent="0.2">
      <c r="A932" t="str">
        <f>B893</f>
        <v>electricity, residential, by conversion of hydrogen using fuel cell, PEM, allocated by exergy, transported by pipeline, produced by Electrolysis, PEM using water and electricity from grid</v>
      </c>
      <c r="B932" s="45">
        <v>1</v>
      </c>
      <c r="C932" t="str">
        <f>B899</f>
        <v>kilowatt hour</v>
      </c>
      <c r="E932" t="str">
        <f>B896</f>
        <v>CH</v>
      </c>
      <c r="F932" t="s">
        <v>62</v>
      </c>
      <c r="G932" t="str">
        <f>B898</f>
        <v>electricity, from residential heating system</v>
      </c>
      <c r="K932" t="str">
        <f>B893</f>
        <v>electricity, residential, by conversion of hydrogen using fuel cell, PEM, allocated by exergy, transported by pipeline, produced by Electrolysis, PEM using water and electricity from grid</v>
      </c>
    </row>
    <row r="933" spans="1:22" x14ac:dyDescent="0.2">
      <c r="A933" t="str">
        <f>VLOOKUP(J933,'dataset mapping'!$A$4:$E$69,2,0)</f>
        <v>fuel cell system assembly, 1 kWe, proton exchange membrane (PEM)</v>
      </c>
      <c r="B933" s="52">
        <f>(1/(B922*B926*B925))*B927</f>
        <v>2.2711866178048405E-5</v>
      </c>
      <c r="C933" t="str">
        <f>VLOOKUP(J933,'dataset mapping'!$A$4:$E$69,5,0)</f>
        <v>unit</v>
      </c>
      <c r="E933" t="str">
        <f>VLOOKUP(J933,'dataset mapping'!$A$4:$E$69,4,0)</f>
        <v>GLO</v>
      </c>
      <c r="F933" t="s">
        <v>86</v>
      </c>
      <c r="G933" t="str">
        <f>VLOOKUP(J933,'dataset mapping'!$A$4:$E$69,3,0)</f>
        <v>fuel cell system, 1 kWe, proton exchange membrane (PEM)</v>
      </c>
      <c r="H933" t="s">
        <v>88</v>
      </c>
      <c r="I933" t="s">
        <v>272</v>
      </c>
      <c r="J933" t="s">
        <v>273</v>
      </c>
      <c r="K933" t="str">
        <f>B893</f>
        <v>electricity, residential, by conversion of hydrogen using fuel cell, PEM, allocated by exergy, transported by pipeline, produced by Electrolysis, PEM using water and electricity from grid</v>
      </c>
      <c r="L933">
        <f t="shared" ref="L933:L935" si="31">IF(OR(B933&lt;0,B933=0),1,2)</f>
        <v>2</v>
      </c>
      <c r="M933">
        <f t="shared" ref="M933:M935" si="32">IF(L933=2,LN(B933),"")</f>
        <v>-10.692623030936341</v>
      </c>
      <c r="N933">
        <v>1</v>
      </c>
      <c r="O933" s="15">
        <v>1.2</v>
      </c>
      <c r="P933">
        <v>1</v>
      </c>
      <c r="Q933">
        <v>1.01</v>
      </c>
      <c r="R933">
        <v>1.2</v>
      </c>
      <c r="S933">
        <v>1.2</v>
      </c>
      <c r="T933">
        <v>3</v>
      </c>
      <c r="U933">
        <f t="shared" ref="U933:U935" si="33">LN(SQRT(EXP(
SQRT(
+POWER(LN(N933),2)
+POWER(LN(O933),2)
+POWER(LN(P933),2)
+POWER(LN(Q933),2)
+POWER(LN(R933),2)
+POWER(LN(S933),2)
+POWER(LN(T933),2)
)
)))</f>
        <v>0.57157051623399524</v>
      </c>
    </row>
    <row r="934" spans="1:22" x14ac:dyDescent="0.2">
      <c r="A934" t="s">
        <v>1138</v>
      </c>
      <c r="B934" s="53">
        <f>(B932/B916)/B915*B927</f>
        <v>5.7377346134017029E-2</v>
      </c>
      <c r="C934" t="str">
        <f>VLOOKUP(J934,'dataset mapping'!$A$4:$E$69,5,0)</f>
        <v>kilogram</v>
      </c>
      <c r="E934" t="str">
        <f>VLOOKUP(J934,'dataset mapping'!$A$4:$E$69,4,0)</f>
        <v>CH</v>
      </c>
      <c r="F934" t="s">
        <v>86</v>
      </c>
      <c r="G934" t="s">
        <v>1129</v>
      </c>
      <c r="H934" t="s">
        <v>76</v>
      </c>
      <c r="I934" t="s">
        <v>1054</v>
      </c>
      <c r="J934" t="s">
        <v>281</v>
      </c>
      <c r="K934" t="str">
        <f>B893</f>
        <v>electricity, residential, by conversion of hydrogen using fuel cell, PEM, allocated by exergy, transported by pipeline, produced by Electrolysis, PEM using water and electricity from grid</v>
      </c>
      <c r="L934">
        <f t="shared" si="31"/>
        <v>2</v>
      </c>
      <c r="M934">
        <f t="shared" si="32"/>
        <v>-2.8581057202127536</v>
      </c>
      <c r="N934">
        <v>1</v>
      </c>
      <c r="O934" s="15">
        <v>1.2</v>
      </c>
      <c r="P934">
        <v>1</v>
      </c>
      <c r="Q934">
        <v>1.01</v>
      </c>
      <c r="R934">
        <v>1.2</v>
      </c>
      <c r="S934">
        <v>1.2</v>
      </c>
      <c r="T934">
        <v>1.05</v>
      </c>
      <c r="U934">
        <f t="shared" si="33"/>
        <v>0.15984597228197622</v>
      </c>
    </row>
    <row r="935" spans="1:22" x14ac:dyDescent="0.2">
      <c r="A935" t="s">
        <v>134</v>
      </c>
      <c r="B935" s="53">
        <f>B934*9</f>
        <v>0.51639611520615325</v>
      </c>
      <c r="C935" t="s">
        <v>56</v>
      </c>
      <c r="D935" t="s">
        <v>100</v>
      </c>
      <c r="F935" t="s">
        <v>99</v>
      </c>
      <c r="H935" t="s">
        <v>131</v>
      </c>
      <c r="I935" t="s">
        <v>1057</v>
      </c>
      <c r="K935" t="str">
        <f>B893</f>
        <v>electricity, residential, by conversion of hydrogen using fuel cell, PEM, allocated by exergy, transported by pipeline, produced by Electrolysis, PEM using water and electricity from grid</v>
      </c>
      <c r="L935">
        <f t="shared" si="31"/>
        <v>2</v>
      </c>
      <c r="M935">
        <f t="shared" si="32"/>
        <v>-0.6608811428765341</v>
      </c>
      <c r="N935">
        <v>1</v>
      </c>
      <c r="O935" s="15">
        <v>1.2</v>
      </c>
      <c r="P935">
        <v>1</v>
      </c>
      <c r="Q935">
        <v>1.01</v>
      </c>
      <c r="R935">
        <v>1.2</v>
      </c>
      <c r="S935">
        <v>1.2</v>
      </c>
      <c r="T935">
        <v>1.05</v>
      </c>
      <c r="U935">
        <f t="shared" si="33"/>
        <v>0.15984597228197622</v>
      </c>
    </row>
    <row r="937" spans="1:22" x14ac:dyDescent="0.2">
      <c r="A937" s="2" t="s">
        <v>50</v>
      </c>
      <c r="B937" s="44" t="str">
        <f>IF(B943="megajoule","heat","electricity")&amp;", residential, by "&amp;B948&amp;" of "&amp;B947&amp;" using "&amp;B949&amp;IF(B950&lt;&gt;0,", allocated by "&amp;B950,"")&amp;", transported by "&amp;B951&amp;", produced by "&amp;B955&amp;" using "&amp;B956&amp;" from "&amp;B957</f>
        <v>electricity, residential, by conversion of hydrogen using fuel cell, SOFC, allocated by exergy, transported by pipeline, produced by Electrolysis, PEM using water and electricity from grid</v>
      </c>
    </row>
    <row r="938" spans="1:22" x14ac:dyDescent="0.2">
      <c r="A938" t="s">
        <v>51</v>
      </c>
      <c r="B938" s="45" t="str">
        <f>"This dataset represents the supply of 1 "&amp;IF(B943="megajoule","megajoule of heat","kilowatt hour of electricity")&amp;" in a residence, by "&amp;B947&amp;" "&amp;B948&amp;" in a "&amp;B949&amp;". "&amp;" The hydrogen is transported by "&amp;B951&amp;" over "&amp;B952&amp;" km from regional storage. "&amp;" The "&amp;B947&amp;" is produced by  "&amp;B955&amp;", with "&amp;B956&amp;" from "&amp;B957&amp;" as feedstock. "&amp;A959&amp;": "&amp;(B959*100)&amp;"%. "&amp;A960&amp;": "&amp;B960&amp;". "&amp;A961&amp;": "&amp;B961&amp;". "&amp;A962&amp;": "&amp;(B962*100)&amp;"%. "&amp;A963&amp;": "&amp;(B963*100)&amp;"%. "&amp;A964&amp;": "&amp;(B964*100)&amp;"%. "&amp;A965&amp;": "&amp;B965&amp;". "&amp;A966&amp;": "&amp;B966&amp;". "&amp;A967&amp;": "&amp;(B967*100)&amp;"%. "&amp;A968&amp;": "&amp;B968&amp;". "&amp;A969&amp;": "&amp;B969&amp;". "&amp;A970&amp;": "&amp;B970&amp;". "&amp;A971&amp;": "&amp;B971&amp;".  For more information, refer to: "&amp;B939</f>
        <v>This dataset represents the supply of 1 kilowatt hour of electricity in a residence, by hydrogen conversion in a fuel cell, SOFC.  The hydrogen is transported by pipeline over 500 km from regional storage.  The hydrogen is produced by  Electrolysis, PEM,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939" spans="1:22" x14ac:dyDescent="0.2">
      <c r="A939" t="s">
        <v>63</v>
      </c>
      <c r="B939" s="45" t="s">
        <v>1223</v>
      </c>
    </row>
    <row r="940" spans="1:22" x14ac:dyDescent="0.2">
      <c r="A940" t="s">
        <v>52</v>
      </c>
      <c r="B940" s="45" t="s">
        <v>64</v>
      </c>
    </row>
    <row r="941" spans="1:22" x14ac:dyDescent="0.2">
      <c r="A941" t="s">
        <v>48</v>
      </c>
      <c r="B941" s="45" t="s">
        <v>873</v>
      </c>
    </row>
    <row r="942" spans="1:22" x14ac:dyDescent="0.2">
      <c r="A942" t="s">
        <v>54</v>
      </c>
      <c r="B942" s="45" t="str">
        <f>INDEX(overview!$B$4:$R$338,MATCH('hydrogen - electrolysis'!B941,overview!$A$4:$A$338,0),MATCH('hydrogen - electrolysis'!A942,overview!$B$3:$R$3,0))</f>
        <v>electricity, from residential heating system</v>
      </c>
    </row>
    <row r="943" spans="1:22" x14ac:dyDescent="0.2">
      <c r="A943" t="s">
        <v>55</v>
      </c>
      <c r="B943" s="45" t="str">
        <f>INDEX(overview!$B$4:$R$338,MATCH('hydrogen - electrolysis'!B941,overview!$A$4:$A$338,0),MATCH('hydrogen - electrolysis'!A943,overview!$B$3:$R$3,0))</f>
        <v>kilowatt hour</v>
      </c>
    </row>
    <row r="944" spans="1:22" x14ac:dyDescent="0.2">
      <c r="A944" t="s">
        <v>0</v>
      </c>
      <c r="B944" s="45" t="str">
        <f>INDEX(overview!$B$4:$R$338,MATCH('hydrogen - electrolysis'!B941,overview!$A$4:$A$338,0),MATCH('hydrogen - electrolysis'!A944,overview!$B$3:$R$3,0))</f>
        <v>Switzerland</v>
      </c>
    </row>
    <row r="945" spans="1:2" x14ac:dyDescent="0.2">
      <c r="A945" t="s">
        <v>1</v>
      </c>
      <c r="B945" s="45">
        <f>INDEX(overview!$B$4:$R$338,MATCH('hydrogen - electrolysis'!B941,overview!$A$4:$A$338,0),MATCH('hydrogen - electrolysis'!A945,overview!$B$3:$R$3,0))</f>
        <v>2020</v>
      </c>
    </row>
    <row r="946" spans="1:2" x14ac:dyDescent="0.2">
      <c r="A946" t="s">
        <v>2</v>
      </c>
      <c r="B946" s="45" t="str">
        <f>INDEX(overview!$B$4:$R$338,MATCH('hydrogen - electrolysis'!B941,overview!$A$4:$A$338,0),MATCH('hydrogen - electrolysis'!A946,overview!$B$3:$R$3,0))</f>
        <v>1 kWh electricity</v>
      </c>
    </row>
    <row r="947" spans="1:2" x14ac:dyDescent="0.2">
      <c r="A947" t="s">
        <v>5</v>
      </c>
      <c r="B947" s="45" t="str">
        <f>INDEX(overview!$B$4:$R$338,MATCH('hydrogen - electrolysis'!B941,overview!$A$4:$A$338,0),MATCH('hydrogen - electrolysis'!A947,overview!$B$3:$R$3,0))</f>
        <v>hydrogen</v>
      </c>
    </row>
    <row r="948" spans="1:2" x14ac:dyDescent="0.2">
      <c r="A948" t="s">
        <v>3</v>
      </c>
      <c r="B948" s="45" t="str">
        <f>INDEX(overview!$B$4:$R$338,MATCH('hydrogen - electrolysis'!B941,overview!$A$4:$A$338,0),MATCH('hydrogen - electrolysis'!A948,overview!$B$3:$R$3,0))</f>
        <v>conversion</v>
      </c>
    </row>
    <row r="949" spans="1:2" x14ac:dyDescent="0.2">
      <c r="A949" t="s">
        <v>6</v>
      </c>
      <c r="B949" s="45" t="str">
        <f>INDEX(overview!$B$4:$R$338,MATCH('hydrogen - electrolysis'!B941,overview!$A$4:$A$338,0),MATCH('hydrogen - electrolysis'!A949,overview!$B$3:$R$3,0))</f>
        <v>fuel cell, SOFC</v>
      </c>
    </row>
    <row r="950" spans="1:2" x14ac:dyDescent="0.2">
      <c r="A950" t="s">
        <v>39</v>
      </c>
      <c r="B950" s="45" t="str">
        <f>INDEX(overview!$B$4:$R$338,MATCH('hydrogen - electrolysis'!B941,overview!$A$4:$A$338,0),MATCH('hydrogen - electrolysis'!A950,overview!$B$3:$R$3,0))</f>
        <v>exergy</v>
      </c>
    </row>
    <row r="951" spans="1:2" x14ac:dyDescent="0.2">
      <c r="A951" t="s">
        <v>4</v>
      </c>
      <c r="B951" s="45" t="str">
        <f>INDEX(overview!$B$4:$R$338,MATCH('hydrogen - electrolysis'!B941,overview!$A$4:$A$338,0),MATCH('hydrogen - electrolysis'!A951,overview!$B$3:$R$3,0))</f>
        <v>pipeline</v>
      </c>
    </row>
    <row r="952" spans="1:2" x14ac:dyDescent="0.2">
      <c r="A952" t="s">
        <v>38</v>
      </c>
      <c r="B952" s="45">
        <f>INDEX(overview!$B$4:$R$338,MATCH('hydrogen - electrolysis'!B941,overview!$A$4:$A$338,0),MATCH('hydrogen - electrolysis'!A952,overview!$B$3:$R$3,0))</f>
        <v>500</v>
      </c>
    </row>
    <row r="953" spans="1:2" x14ac:dyDescent="0.2">
      <c r="A953" t="s">
        <v>12</v>
      </c>
      <c r="B953" s="45" t="str">
        <f>INDEX(overview!$B$4:$R$338,MATCH('hydrogen - electrolysis'!B941,overview!$A$4:$A$338,0),MATCH('hydrogen - electrolysis'!A953,overview!$B$3:$R$3,0))</f>
        <v>Pressure vessel for stationary storage</v>
      </c>
    </row>
    <row r="954" spans="1:2" x14ac:dyDescent="0.2">
      <c r="A954" t="s">
        <v>34</v>
      </c>
      <c r="B954" s="45">
        <f>INDEX(overview!$B$4:$R$338,MATCH('hydrogen - electrolysis'!B941,overview!$A$4:$A$338,0),MATCH('hydrogen - electrolysis'!A954,overview!$B$3:$R$3,0))</f>
        <v>0</v>
      </c>
    </row>
    <row r="955" spans="1:2" x14ac:dyDescent="0.2">
      <c r="A955" t="s">
        <v>15</v>
      </c>
      <c r="B955" s="45" t="str">
        <f>INDEX(overview!$B$4:$R$338,MATCH('hydrogen - electrolysis'!B941,overview!$A$4:$A$338,0),MATCH('hydrogen - electrolysis'!A955,overview!$B$3:$R$3,0))</f>
        <v>Electrolysis, PEM</v>
      </c>
    </row>
    <row r="956" spans="1:2" x14ac:dyDescent="0.2">
      <c r="A956" t="s">
        <v>14</v>
      </c>
      <c r="B956" s="45" t="str">
        <f>INDEX(overview!$B$4:$R$338,MATCH('hydrogen - electrolysis'!B941,overview!$A$4:$A$338,0),MATCH('hydrogen - electrolysis'!A956,overview!$B$3:$R$3,0))</f>
        <v>water and electricity</v>
      </c>
    </row>
    <row r="957" spans="1:2" x14ac:dyDescent="0.2">
      <c r="A957" t="s">
        <v>26</v>
      </c>
      <c r="B957" s="45" t="str">
        <f>INDEX(overview!$B$4:$R$338,MATCH('hydrogen - electrolysis'!B941,overview!$A$4:$A$338,0),MATCH('hydrogen - electrolysis'!A957,overview!$B$3:$R$3,0))</f>
        <v>grid</v>
      </c>
    </row>
    <row r="958" spans="1:2" x14ac:dyDescent="0.2">
      <c r="A958" t="s">
        <v>29</v>
      </c>
      <c r="B958" s="45">
        <f>INDEX(overview!$B$4:$R$338,MATCH('hydrogen - electrolysis'!B941,overview!$A$4:$A$338,0),MATCH('hydrogen - electrolysis'!A958,overview!$B$3:$R$3,0))</f>
        <v>0</v>
      </c>
    </row>
    <row r="959" spans="1:2" x14ac:dyDescent="0.2">
      <c r="A959" t="str">
        <f>IF(B943="megajoule","Heat","Electricity")&amp;" conversion efficiency [% LHV input]"</f>
        <v>Electricity conversion efficiency [% LHV input]</v>
      </c>
      <c r="B959" s="46">
        <f>INDEX(parameters!$D$4:$N$20,MATCH('hydrogen - electrolysis'!B947&amp;'hydrogen - electrolysis'!B949,parameters!$A$4:$A$20,0),MATCH('hydrogen - electrolysis'!A959,parameters!$D$3:$N$3,0))</f>
        <v>0.47</v>
      </c>
    </row>
    <row r="960" spans="1:2" x14ac:dyDescent="0.2">
      <c r="A960" t="str">
        <f>IF(B943="megajoule","LHV [MJ/kg]","LHV [kWh/kg]")</f>
        <v>LHV [kWh/kg]</v>
      </c>
      <c r="B960" s="47">
        <f>INDEX(parameters!$D$4:$N$20,MATCH('hydrogen - electrolysis'!B947&amp;'hydrogen - electrolysis'!B949,parameters!$A$4:$A$20,0),MATCH('hydrogen - electrolysis'!A960,parameters!$D$3:$N$3,0))</f>
        <v>33.333333333333336</v>
      </c>
    </row>
    <row r="961" spans="1:22" x14ac:dyDescent="0.2">
      <c r="A961" t="s">
        <v>41</v>
      </c>
      <c r="B961" s="48">
        <f>INDEX(parameters!$D$4:$N$20,MATCH('hydrogen - electrolysis'!B947&amp;'hydrogen - electrolysis'!B949,parameters!$A$4:$A$20,0),MATCH('hydrogen - electrolysis'!A961,parameters!$D$3:$N$3,0))</f>
        <v>2.6666666666666665E-2</v>
      </c>
    </row>
    <row r="962" spans="1:22" x14ac:dyDescent="0.2">
      <c r="A962" t="s">
        <v>45</v>
      </c>
      <c r="B962" s="46">
        <f>INDEX(parameters!$D$4:$N$20,MATCH('hydrogen - electrolysis'!B947&amp;'hydrogen - electrolysis'!B949,parameters!$A$4:$A$20,0),MATCH('hydrogen - electrolysis'!A962,parameters!$D$3:$N$3,0))</f>
        <v>0</v>
      </c>
    </row>
    <row r="963" spans="1:22" x14ac:dyDescent="0.2">
      <c r="A963" t="s">
        <v>46</v>
      </c>
      <c r="B963" s="46">
        <f>INDEX(parameters!$D$4:$N$20,MATCH('hydrogen - electrolysis'!B947&amp;'hydrogen - electrolysis'!B949,parameters!$A$4:$A$20,0),MATCH('hydrogen - electrolysis'!A963,parameters!$D$3:$N$3,0))</f>
        <v>1.4999999999999999E-2</v>
      </c>
    </row>
    <row r="964" spans="1:22" x14ac:dyDescent="0.2">
      <c r="A964" t="s">
        <v>43</v>
      </c>
      <c r="B964" s="46">
        <f>INDEX(parameters!$D$4:$N$20,MATCH('hydrogen - electrolysis'!B947&amp;'hydrogen - electrolysis'!B949,parameters!$A$4:$A$20,0),MATCH('hydrogen - electrolysis'!A964,parameters!$D$3:$N$3,0))</f>
        <v>0</v>
      </c>
    </row>
    <row r="965" spans="1:22" x14ac:dyDescent="0.2">
      <c r="A965" t="s">
        <v>44</v>
      </c>
      <c r="B965" s="46">
        <f>INDEX(parameters!$D$4:$N$20,MATCH('hydrogen - electrolysis'!B947&amp;'hydrogen - electrolysis'!B949,parameters!$A$4:$A$20,0),MATCH('hydrogen - electrolysis'!A965,parameters!$D$3:$N$3,0))</f>
        <v>0</v>
      </c>
    </row>
    <row r="966" spans="1:22" x14ac:dyDescent="0.2">
      <c r="A966" t="s">
        <v>634</v>
      </c>
      <c r="B966" s="51">
        <f>INDEX(parameters!$D$4:$Y$20,MATCH('hydrogen - electrolysis'!B947&amp;'hydrogen - electrolysis'!B949,parameters!$A$4:$A$20,0),MATCH('hydrogen - electrolysis'!A966,parameters!$D$3:$Y$3,0))</f>
        <v>225</v>
      </c>
      <c r="D966" s="8"/>
    </row>
    <row r="967" spans="1:22" x14ac:dyDescent="0.2">
      <c r="A967" t="s">
        <v>82</v>
      </c>
      <c r="B967" s="46">
        <f>IF(B958&lt;&gt;0,VLOOKUP(B958,parameters!A766:B768,2,0),0)</f>
        <v>0</v>
      </c>
    </row>
    <row r="968" spans="1:22" x14ac:dyDescent="0.2">
      <c r="A968" t="s">
        <v>548</v>
      </c>
      <c r="B968" s="50">
        <f>INDEX(parameters!$D$4:$P$20,MATCH(B947&amp;B949,parameters!$A$4:$A$20,0),MATCH(A968,parameters!$D$3:$P$3,0))</f>
        <v>100</v>
      </c>
    </row>
    <row r="969" spans="1:22" x14ac:dyDescent="0.2">
      <c r="A969" t="s">
        <v>547</v>
      </c>
      <c r="B969" s="51">
        <f>INDEX(parameters!$D$4:$P$20,MATCH(B947&amp;B949,parameters!$A$4:$A$20,0),MATCH(A969,parameters!$D$3:$P$3,0))</f>
        <v>6</v>
      </c>
    </row>
    <row r="970" spans="1:22" x14ac:dyDescent="0.2">
      <c r="A970" t="s">
        <v>630</v>
      </c>
      <c r="B970" s="51">
        <f>INDEX(parameters!$D$4:$T$20,MATCH(B947&amp;B949,parameters!$A$4:$A$20,0),MATCH(A970,parameters!$D$3:$T$3,0))</f>
        <v>4100</v>
      </c>
    </row>
    <row r="971" spans="1:22" x14ac:dyDescent="0.2">
      <c r="A971" t="s">
        <v>1005</v>
      </c>
      <c r="B971" s="50">
        <f>IF(B943="megajoule",SUMIFS(allocation!$I$4:$I$30,allocation!$B$4:$B$30,B949,allocation!$C$4:$C$30,B950),SUMIFS(allocation!$J$4:$J$30,allocation!$B$4:$B$30,B949,allocation!$C$4:$C$30,B950))</f>
        <v>0.86412493489600906</v>
      </c>
    </row>
    <row r="972" spans="1:22" x14ac:dyDescent="0.2">
      <c r="A972" t="s">
        <v>1050</v>
      </c>
      <c r="B972" s="51">
        <f>INDEX(parameters!$D$4:$AB$20,MATCH(B947&amp;B949,parameters!$A$4:$A$20,0),MATCH(A972,parameters!$D$3:$AB$3,0))</f>
        <v>1153.1249999999998</v>
      </c>
    </row>
    <row r="974" spans="1:22" x14ac:dyDescent="0.2">
      <c r="A974" s="3" t="s">
        <v>57</v>
      </c>
    </row>
    <row r="975" spans="1:22" x14ac:dyDescent="0.2">
      <c r="A975" s="2" t="s">
        <v>58</v>
      </c>
      <c r="B975" s="44" t="s">
        <v>59</v>
      </c>
      <c r="C975" s="2" t="s">
        <v>55</v>
      </c>
      <c r="D975" s="2" t="s">
        <v>60</v>
      </c>
      <c r="E975" s="2" t="s">
        <v>52</v>
      </c>
      <c r="F975" s="2" t="s">
        <v>61</v>
      </c>
      <c r="G975" s="2" t="s">
        <v>54</v>
      </c>
      <c r="H975" s="2" t="s">
        <v>87</v>
      </c>
      <c r="I975" s="2" t="s">
        <v>51</v>
      </c>
      <c r="J975" s="2" t="s">
        <v>138</v>
      </c>
      <c r="K975" s="2" t="s">
        <v>136</v>
      </c>
      <c r="L975" s="2" t="s">
        <v>221</v>
      </c>
      <c r="M975" s="2" t="s">
        <v>379</v>
      </c>
      <c r="N975" s="2" t="s">
        <v>1059</v>
      </c>
      <c r="O975" s="2" t="s">
        <v>1060</v>
      </c>
      <c r="P975" s="2" t="s">
        <v>1061</v>
      </c>
      <c r="Q975" s="2" t="s">
        <v>1062</v>
      </c>
      <c r="R975" s="2" t="s">
        <v>1063</v>
      </c>
      <c r="S975" s="2" t="s">
        <v>1064</v>
      </c>
      <c r="T975" s="2" t="s">
        <v>1065</v>
      </c>
      <c r="U975" s="2" t="s">
        <v>380</v>
      </c>
      <c r="V975" s="2" t="s">
        <v>1128</v>
      </c>
    </row>
    <row r="976" spans="1:22" x14ac:dyDescent="0.2">
      <c r="A976" t="str">
        <f>B937</f>
        <v>electricity, residential, by conversion of hydrogen using fuel cell, SOFC, allocated by exergy, transported by pipeline, produced by Electrolysis, PEM using water and electricity from grid</v>
      </c>
      <c r="B976" s="45">
        <v>1</v>
      </c>
      <c r="C976" t="str">
        <f>B943</f>
        <v>kilowatt hour</v>
      </c>
      <c r="E976" t="str">
        <f>B940</f>
        <v>CH</v>
      </c>
      <c r="F976" t="s">
        <v>62</v>
      </c>
      <c r="G976" t="str">
        <f>B942</f>
        <v>electricity, from residential heating system</v>
      </c>
      <c r="K976" t="str">
        <f>B937</f>
        <v>electricity, residential, by conversion of hydrogen using fuel cell, SOFC, allocated by exergy, transported by pipeline, produced by Electrolysis, PEM using water and electricity from grid</v>
      </c>
    </row>
    <row r="977" spans="1:21" x14ac:dyDescent="0.2">
      <c r="A977" t="str">
        <f>VLOOKUP(J977,'dataset mapping'!$A$4:$E$69,2,0)</f>
        <v>fuel cell production, stack solid oxide, 125kW electrical, future</v>
      </c>
      <c r="B977" s="52">
        <f>(1/(B966*B970*B969))*B971</f>
        <v>1.5612013277254003E-7</v>
      </c>
      <c r="C977" t="str">
        <f>VLOOKUP(J977,'dataset mapping'!$A$4:$E$69,5,0)</f>
        <v>unit</v>
      </c>
      <c r="E977" t="str">
        <f>VLOOKUP(J977,'dataset mapping'!$A$4:$E$69,4,0)</f>
        <v>CH</v>
      </c>
      <c r="F977" t="s">
        <v>86</v>
      </c>
      <c r="G977" t="str">
        <f>VLOOKUP(J977,'dataset mapping'!$A$4:$E$69,3,0)</f>
        <v>fuel cell, stack solid oxide, 125kW electrical, future</v>
      </c>
      <c r="H977" t="s">
        <v>88</v>
      </c>
      <c r="I977" t="s">
        <v>277</v>
      </c>
      <c r="J977" t="s">
        <v>274</v>
      </c>
      <c r="K977" t="str">
        <f>B937</f>
        <v>electricity, residential, by conversion of hydrogen using fuel cell, SOFC, allocated by exergy, transported by pipeline, produced by Electrolysis, PEM using water and electricity from grid</v>
      </c>
      <c r="L977">
        <f t="shared" ref="L977:L981" si="34">IF(OR(B977&lt;0,B977=0),1,2)</f>
        <v>2</v>
      </c>
      <c r="M977">
        <f t="shared" ref="M977:M981" si="35">IF(L977=2,LN(B977),"")</f>
        <v>-15.672640044182527</v>
      </c>
      <c r="N977">
        <v>1</v>
      </c>
      <c r="O977" s="15">
        <v>1.2</v>
      </c>
      <c r="P977">
        <v>1</v>
      </c>
      <c r="Q977">
        <v>1.01</v>
      </c>
      <c r="R977">
        <v>1.2</v>
      </c>
      <c r="S977">
        <v>1.2</v>
      </c>
      <c r="T977">
        <v>3</v>
      </c>
      <c r="U977">
        <f t="shared" ref="U977:U981" si="36">LN(SQRT(EXP(
SQRT(
+POWER(LN(N977),2)
+POWER(LN(O977),2)
+POWER(LN(P977),2)
+POWER(LN(Q977),2)
+POWER(LN(R977),2)
+POWER(LN(S977),2)
+POWER(LN(T977),2)
)
)))</f>
        <v>0.57157051623399524</v>
      </c>
    </row>
    <row r="978" spans="1:21" x14ac:dyDescent="0.2">
      <c r="A978" t="s">
        <v>283</v>
      </c>
      <c r="B978" s="52">
        <f>(1/(B966*B970*B969))*B971</f>
        <v>1.5612013277254003E-7</v>
      </c>
      <c r="C978" t="s">
        <v>55</v>
      </c>
      <c r="E978" t="s">
        <v>64</v>
      </c>
      <c r="F978" t="s">
        <v>86</v>
      </c>
      <c r="G978" t="s">
        <v>284</v>
      </c>
      <c r="H978" t="s">
        <v>88</v>
      </c>
      <c r="I978" t="s">
        <v>277</v>
      </c>
      <c r="K978" t="str">
        <f>B937</f>
        <v>electricity, residential, by conversion of hydrogen using fuel cell, SOFC, allocated by exergy, transported by pipeline, produced by Electrolysis, PEM using water and electricity from grid</v>
      </c>
      <c r="L978">
        <f t="shared" si="34"/>
        <v>2</v>
      </c>
      <c r="M978">
        <f t="shared" si="35"/>
        <v>-15.672640044182527</v>
      </c>
      <c r="N978">
        <v>1</v>
      </c>
      <c r="O978" s="15">
        <v>1.2</v>
      </c>
      <c r="P978">
        <v>1</v>
      </c>
      <c r="Q978">
        <v>1.01</v>
      </c>
      <c r="R978">
        <v>1.2</v>
      </c>
      <c r="S978">
        <v>1.2</v>
      </c>
      <c r="T978">
        <v>3</v>
      </c>
      <c r="U978">
        <f t="shared" si="36"/>
        <v>0.57157051623399524</v>
      </c>
    </row>
    <row r="979" spans="1:21" x14ac:dyDescent="0.2">
      <c r="A979" t="s">
        <v>288</v>
      </c>
      <c r="B979" s="52">
        <f>0.000024*B971</f>
        <v>2.0738998437504217E-5</v>
      </c>
      <c r="C979" t="s">
        <v>56</v>
      </c>
      <c r="E979" t="s">
        <v>64</v>
      </c>
      <c r="F979" t="s">
        <v>86</v>
      </c>
      <c r="G979" t="s">
        <v>287</v>
      </c>
      <c r="H979" t="s">
        <v>88</v>
      </c>
      <c r="K979" t="str">
        <f>B937</f>
        <v>electricity, residential, by conversion of hydrogen using fuel cell, SOFC, allocated by exergy, transported by pipeline, produced by Electrolysis, PEM using water and electricity from grid</v>
      </c>
      <c r="L979">
        <f t="shared" si="34"/>
        <v>2</v>
      </c>
      <c r="M979">
        <f t="shared" si="35"/>
        <v>-10.783494647673981</v>
      </c>
      <c r="N979">
        <v>1</v>
      </c>
      <c r="O979" s="15">
        <v>1.2</v>
      </c>
      <c r="P979">
        <v>1</v>
      </c>
      <c r="Q979">
        <v>1.01</v>
      </c>
      <c r="R979">
        <v>1.2</v>
      </c>
      <c r="S979">
        <v>1.2</v>
      </c>
      <c r="T979">
        <v>1.05</v>
      </c>
      <c r="U979">
        <f t="shared" si="36"/>
        <v>0.15984597228197622</v>
      </c>
    </row>
    <row r="980" spans="1:21" x14ac:dyDescent="0.2">
      <c r="A980" t="s">
        <v>1138</v>
      </c>
      <c r="B980" s="53">
        <f>(B976/B960)/B959*B971</f>
        <v>5.515691073804313E-2</v>
      </c>
      <c r="C980" t="str">
        <f>VLOOKUP(J980,'dataset mapping'!$A$4:$E$69,5,0)</f>
        <v>kilogram</v>
      </c>
      <c r="E980" t="str">
        <f>VLOOKUP(J980,'dataset mapping'!$A$4:$E$69,4,0)</f>
        <v>CH</v>
      </c>
      <c r="F980" t="s">
        <v>86</v>
      </c>
      <c r="G980" t="s">
        <v>1129</v>
      </c>
      <c r="H980" t="s">
        <v>76</v>
      </c>
      <c r="I980" t="s">
        <v>1054</v>
      </c>
      <c r="J980" t="s">
        <v>281</v>
      </c>
      <c r="K980" t="str">
        <f>B937</f>
        <v>electricity, residential, by conversion of hydrogen using fuel cell, SOFC, allocated by exergy, transported by pipeline, produced by Electrolysis, PEM using water and electricity from grid</v>
      </c>
      <c r="L980">
        <f t="shared" si="34"/>
        <v>2</v>
      </c>
      <c r="M980">
        <f t="shared" si="35"/>
        <v>-2.8975732330996009</v>
      </c>
      <c r="N980">
        <v>1</v>
      </c>
      <c r="O980" s="15">
        <v>1.2</v>
      </c>
      <c r="P980">
        <v>1</v>
      </c>
      <c r="Q980">
        <v>1.01</v>
      </c>
      <c r="R980">
        <v>1.2</v>
      </c>
      <c r="S980">
        <v>1.2</v>
      </c>
      <c r="T980">
        <v>1.05</v>
      </c>
      <c r="U980">
        <f t="shared" si="36"/>
        <v>0.15984597228197622</v>
      </c>
    </row>
    <row r="981" spans="1:21" x14ac:dyDescent="0.2">
      <c r="A981" t="s">
        <v>134</v>
      </c>
      <c r="B981" s="45">
        <f>B980*9</f>
        <v>0.49641219664238817</v>
      </c>
      <c r="C981" t="s">
        <v>56</v>
      </c>
      <c r="D981" t="s">
        <v>100</v>
      </c>
      <c r="F981" t="s">
        <v>99</v>
      </c>
      <c r="H981" t="s">
        <v>131</v>
      </c>
      <c r="I981" t="s">
        <v>1057</v>
      </c>
      <c r="K981" t="str">
        <f>B937</f>
        <v>electricity, residential, by conversion of hydrogen using fuel cell, SOFC, allocated by exergy, transported by pipeline, produced by Electrolysis, PEM using water and electricity from grid</v>
      </c>
      <c r="L981">
        <f t="shared" si="34"/>
        <v>2</v>
      </c>
      <c r="M981">
        <f t="shared" si="35"/>
        <v>-0.70034865576338168</v>
      </c>
      <c r="N981">
        <v>1</v>
      </c>
      <c r="O981" s="15">
        <v>1.2</v>
      </c>
      <c r="P981">
        <v>1</v>
      </c>
      <c r="Q981">
        <v>1.01</v>
      </c>
      <c r="R981">
        <v>1.2</v>
      </c>
      <c r="S981">
        <v>1.2</v>
      </c>
      <c r="T981">
        <v>1.05</v>
      </c>
      <c r="U981">
        <f t="shared" si="36"/>
        <v>0.15984597228197622</v>
      </c>
    </row>
    <row r="983" spans="1:21" x14ac:dyDescent="0.2">
      <c r="A983" s="2" t="s">
        <v>50</v>
      </c>
      <c r="B983" s="44" t="str">
        <f>IF(B989="megajoule","heat","electricity")&amp;", residential, by "&amp;B994&amp;" of "&amp;B993&amp;" using "&amp;B995&amp;IF(B996&lt;&gt;0,", allocated by "&amp;B996,"")&amp;", transported by "&amp;B997&amp;", produced by "&amp;B1001&amp;" using "&amp;B1002&amp;" from "&amp;B1003</f>
        <v>heat, residential, by combustion of hydrogen using boiler, transported by truck, produced by Electrolysis, PEM using water and electricity from grid</v>
      </c>
    </row>
    <row r="984" spans="1:21" x14ac:dyDescent="0.2">
      <c r="A984" t="s">
        <v>51</v>
      </c>
      <c r="B984" s="45" t="str">
        <f>"This dataset represents the supply of 1 "&amp;IF(B989="megajoule","megajoule of heat","kilowatt hour of electricity")&amp;" in a residence, by "&amp;B993&amp;" "&amp;B994&amp;" in a "&amp;B995&amp;". "&amp;" The hydrogen is transported by "&amp;B997&amp;" over "&amp;B998&amp;" km from regional storage. "&amp;" The "&amp;B993&amp;" is produced by  "&amp;B1001&amp;", with "&amp;B1002&amp;" from "&amp;B1003&amp;" as feedstock. "&amp;A1005&amp;": "&amp;(B1005*100)&amp;"%. "&amp;A1006&amp;": "&amp;B1006&amp;". "&amp;A1007&amp;": "&amp;B1007&amp;". "&amp;A1008&amp;": "&amp;(B1008*100)&amp;"%. "&amp;A1009&amp;": "&amp;(B1009*100)&amp;"%. "&amp;A1010&amp;": "&amp;(B1010*100)&amp;"%. "&amp;A1011&amp;": "&amp;B1011&amp;". "&amp;A1012&amp;": "&amp;B1012&amp;". "&amp;A1013&amp;": "&amp;(B1013*100)&amp;"%. "&amp;A1014&amp;": "&amp;B1014&amp;". "&amp;A1015&amp;": "&amp;B1015&amp;". "&amp;A1016&amp;": "&amp;B1016&amp;". "&amp;A1017&amp;": "&amp;B1017&amp;".  For more information, refer to: "&amp;B985</f>
        <v>This dataset represents the supply of 1 megajoule of heat in a residence, by hydrogen combustion in a boiler.  The hydrogen is transported by truck over 200 km from regional storage.  The hydrogen is produced by  Electrolysis, PEM,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985" spans="1:21" x14ac:dyDescent="0.2">
      <c r="A985" t="s">
        <v>63</v>
      </c>
      <c r="B985" s="45" t="s">
        <v>1223</v>
      </c>
    </row>
    <row r="986" spans="1:21" x14ac:dyDescent="0.2">
      <c r="A986" t="s">
        <v>52</v>
      </c>
      <c r="B986" s="45" t="s">
        <v>64</v>
      </c>
    </row>
    <row r="987" spans="1:21" x14ac:dyDescent="0.2">
      <c r="A987" t="s">
        <v>48</v>
      </c>
      <c r="B987" s="45">
        <v>13</v>
      </c>
    </row>
    <row r="988" spans="1:21" x14ac:dyDescent="0.2">
      <c r="A988" t="s">
        <v>54</v>
      </c>
      <c r="B988" s="45" t="str">
        <f>INDEX(overview!$B$4:$R$338,MATCH('hydrogen - electrolysis'!B987,overview!$A$4:$A$338,0),MATCH('hydrogen - electrolysis'!A988,overview!$B$3:$R$3,0))</f>
        <v>heat, from residential heating system</v>
      </c>
    </row>
    <row r="989" spans="1:21" x14ac:dyDescent="0.2">
      <c r="A989" t="s">
        <v>55</v>
      </c>
      <c r="B989" s="45" t="str">
        <f>INDEX(overview!$B$4:$R$338,MATCH('hydrogen - electrolysis'!B987,overview!$A$4:$A$338,0),MATCH('hydrogen - electrolysis'!A989,overview!$B$3:$R$3,0))</f>
        <v>megajoule</v>
      </c>
    </row>
    <row r="990" spans="1:21" x14ac:dyDescent="0.2">
      <c r="A990" t="s">
        <v>0</v>
      </c>
      <c r="B990" s="45" t="str">
        <f>INDEX(overview!$B$4:$R$338,MATCH('hydrogen - electrolysis'!B987,overview!$A$4:$A$338,0),MATCH('hydrogen - electrolysis'!A990,overview!$B$3:$R$3,0))</f>
        <v>Switzerland</v>
      </c>
    </row>
    <row r="991" spans="1:21" x14ac:dyDescent="0.2">
      <c r="A991" t="s">
        <v>1</v>
      </c>
      <c r="B991" s="45">
        <f>INDEX(overview!$B$4:$R$338,MATCH('hydrogen - electrolysis'!B987,overview!$A$4:$A$338,0),MATCH('hydrogen - electrolysis'!A991,overview!$B$3:$R$3,0))</f>
        <v>2020</v>
      </c>
    </row>
    <row r="992" spans="1:21" x14ac:dyDescent="0.2">
      <c r="A992" t="s">
        <v>2</v>
      </c>
      <c r="B992" s="45" t="str">
        <f>INDEX(overview!$B$4:$R$338,MATCH('hydrogen - electrolysis'!B987,overview!$A$4:$A$338,0),MATCH('hydrogen - electrolysis'!A992,overview!$B$3:$R$3,0))</f>
        <v>1 MJ heat</v>
      </c>
    </row>
    <row r="993" spans="1:2" x14ac:dyDescent="0.2">
      <c r="A993" t="s">
        <v>5</v>
      </c>
      <c r="B993" s="45" t="str">
        <f>INDEX(overview!$B$4:$R$338,MATCH('hydrogen - electrolysis'!B987,overview!$A$4:$A$338,0),MATCH('hydrogen - electrolysis'!A993,overview!$B$3:$R$3,0))</f>
        <v>hydrogen</v>
      </c>
    </row>
    <row r="994" spans="1:2" x14ac:dyDescent="0.2">
      <c r="A994" t="s">
        <v>3</v>
      </c>
      <c r="B994" s="45" t="str">
        <f>INDEX(overview!$B$4:$R$338,MATCH('hydrogen - electrolysis'!B987,overview!$A$4:$A$338,0),MATCH('hydrogen - electrolysis'!A994,overview!$B$3:$R$3,0))</f>
        <v>combustion</v>
      </c>
    </row>
    <row r="995" spans="1:2" x14ac:dyDescent="0.2">
      <c r="A995" t="s">
        <v>6</v>
      </c>
      <c r="B995" s="45" t="str">
        <f>INDEX(overview!$B$4:$R$338,MATCH('hydrogen - electrolysis'!B987,overview!$A$4:$A$338,0),MATCH('hydrogen - electrolysis'!A995,overview!$B$3:$R$3,0))</f>
        <v>boiler</v>
      </c>
    </row>
    <row r="996" spans="1:2" x14ac:dyDescent="0.2">
      <c r="A996" t="s">
        <v>39</v>
      </c>
      <c r="B996" s="45">
        <f>INDEX(overview!$B$4:$R$338,MATCH('hydrogen - electrolysis'!B987,overview!$A$4:$A$338,0),MATCH('hydrogen - electrolysis'!A996,overview!$B$3:$R$3,0))</f>
        <v>0</v>
      </c>
    </row>
    <row r="997" spans="1:2" x14ac:dyDescent="0.2">
      <c r="A997" t="s">
        <v>4</v>
      </c>
      <c r="B997" s="45" t="str">
        <f>INDEX(overview!$B$4:$R$338,MATCH('hydrogen - electrolysis'!B987,overview!$A$4:$A$338,0),MATCH('hydrogen - electrolysis'!A997,overview!$B$3:$R$3,0))</f>
        <v>truck</v>
      </c>
    </row>
    <row r="998" spans="1:2" x14ac:dyDescent="0.2">
      <c r="A998" t="s">
        <v>38</v>
      </c>
      <c r="B998" s="45">
        <f>INDEX(overview!$B$4:$R$338,MATCH('hydrogen - electrolysis'!B987,overview!$A$4:$A$338,0),MATCH('hydrogen - electrolysis'!A998,overview!$B$3:$R$3,0))</f>
        <v>200</v>
      </c>
    </row>
    <row r="999" spans="1:2" x14ac:dyDescent="0.2">
      <c r="A999" t="s">
        <v>12</v>
      </c>
      <c r="B999" s="45" t="str">
        <f>INDEX(overview!$B$4:$R$338,MATCH('hydrogen - electrolysis'!B987,overview!$A$4:$A$338,0),MATCH('hydrogen - electrolysis'!A999,overview!$B$3:$R$3,0))</f>
        <v>Pressure vessel for stationary storage</v>
      </c>
    </row>
    <row r="1000" spans="1:2" x14ac:dyDescent="0.2">
      <c r="A1000" t="s">
        <v>34</v>
      </c>
      <c r="B1000" s="45">
        <f>INDEX(overview!$B$4:$R$338,MATCH('hydrogen - electrolysis'!B987,overview!$A$4:$A$338,0),MATCH('hydrogen - electrolysis'!A1000,overview!$B$3:$R$3,0))</f>
        <v>0</v>
      </c>
    </row>
    <row r="1001" spans="1:2" x14ac:dyDescent="0.2">
      <c r="A1001" t="s">
        <v>15</v>
      </c>
      <c r="B1001" s="45" t="str">
        <f>INDEX(overview!$B$4:$R$338,MATCH('hydrogen - electrolysis'!B987,overview!$A$4:$A$338,0),MATCH('hydrogen - electrolysis'!A1001,overview!$B$3:$R$3,0))</f>
        <v>Electrolysis, PEM</v>
      </c>
    </row>
    <row r="1002" spans="1:2" x14ac:dyDescent="0.2">
      <c r="A1002" t="s">
        <v>14</v>
      </c>
      <c r="B1002" s="45" t="str">
        <f>INDEX(overview!$B$4:$R$338,MATCH('hydrogen - electrolysis'!B987,overview!$A$4:$A$338,0),MATCH('hydrogen - electrolysis'!A1002,overview!$B$3:$R$3,0))</f>
        <v>water and electricity</v>
      </c>
    </row>
    <row r="1003" spans="1:2" x14ac:dyDescent="0.2">
      <c r="A1003" t="s">
        <v>26</v>
      </c>
      <c r="B1003" s="45" t="str">
        <f>INDEX(overview!$B$4:$R$338,MATCH('hydrogen - electrolysis'!B987,overview!$A$4:$A$338,0),MATCH('hydrogen - electrolysis'!A1003,overview!$B$3:$R$3,0))</f>
        <v>grid</v>
      </c>
    </row>
    <row r="1004" spans="1:2" x14ac:dyDescent="0.2">
      <c r="A1004" t="s">
        <v>29</v>
      </c>
      <c r="B1004" s="45">
        <f>INDEX(overview!$B$4:$R$338,MATCH('hydrogen - electrolysis'!B987,overview!$A$4:$A$338,0),MATCH('hydrogen - electrolysis'!A1004,overview!$B$3:$R$3,0))</f>
        <v>0</v>
      </c>
    </row>
    <row r="1005" spans="1:2" x14ac:dyDescent="0.2">
      <c r="A1005" t="str">
        <f>IF(B989="megajoule","Heat","Electricity")&amp;" conversion efficiency [% LHV input]"</f>
        <v>Heat conversion efficiency [% LHV input]</v>
      </c>
      <c r="B1005" s="46">
        <f>INDEX(parameters!$D$4:$N$20,MATCH('hydrogen - electrolysis'!B993&amp;'hydrogen - electrolysis'!B995,parameters!$A$4:$A$20,0),MATCH('hydrogen - electrolysis'!A1005,parameters!$D$3:$N$3,0))</f>
        <v>0.94</v>
      </c>
    </row>
    <row r="1006" spans="1:2" x14ac:dyDescent="0.2">
      <c r="A1006" t="str">
        <f>IF(B989="megajoule","LHV [MJ/kg]","LHV [kWh/kg]")</f>
        <v>LHV [MJ/kg]</v>
      </c>
      <c r="B1006" s="47">
        <f>INDEX(parameters!$D$4:$N$20,MATCH('hydrogen - electrolysis'!B993&amp;'hydrogen - electrolysis'!B995,parameters!$A$4:$A$20,0),MATCH('hydrogen - electrolysis'!A1006,parameters!$D$3:$N$3,0))</f>
        <v>120</v>
      </c>
    </row>
    <row r="1007" spans="1:2" x14ac:dyDescent="0.2">
      <c r="A1007" t="s">
        <v>41</v>
      </c>
      <c r="B1007" s="48">
        <f>INDEX(parameters!$D$4:$N$20,MATCH('hydrogen - electrolysis'!B993&amp;'hydrogen - electrolysis'!B995,parameters!$A$4:$A$20,0),MATCH('hydrogen - electrolysis'!A1007,parameters!$D$3:$N$3,0))</f>
        <v>2.6666666666666665E-2</v>
      </c>
    </row>
    <row r="1008" spans="1:2" x14ac:dyDescent="0.2">
      <c r="A1008" t="s">
        <v>45</v>
      </c>
      <c r="B1008" s="49">
        <f>INDEX(parameters!$D$4:$N$20,MATCH('hydrogen - electrolysis'!B993&amp;'hydrogen - electrolysis'!B995,parameters!$A$4:$A$20,0),MATCH('hydrogen - electrolysis'!A1008,parameters!$D$3:$N$3,0))</f>
        <v>0</v>
      </c>
    </row>
    <row r="1009" spans="1:22" x14ac:dyDescent="0.2">
      <c r="A1009" t="s">
        <v>46</v>
      </c>
      <c r="B1009" s="49">
        <f>INDEX(parameters!$D$4:$N$20,MATCH('hydrogen - electrolysis'!B993&amp;'hydrogen - electrolysis'!B995,parameters!$A$4:$A$20,0),MATCH('hydrogen - electrolysis'!A1009,parameters!$D$3:$N$3,0))</f>
        <v>1.4999999999999999E-2</v>
      </c>
    </row>
    <row r="1010" spans="1:22" x14ac:dyDescent="0.2">
      <c r="A1010" t="s">
        <v>43</v>
      </c>
      <c r="B1010" s="49">
        <f>INDEX(parameters!$D$4:$N$20,MATCH('hydrogen - electrolysis'!B993&amp;'hydrogen - electrolysis'!B995,parameters!$A$4:$A$20,0),MATCH('hydrogen - electrolysis'!A1010,parameters!$D$3:$N$3,0))</f>
        <v>0</v>
      </c>
    </row>
    <row r="1011" spans="1:22" x14ac:dyDescent="0.2">
      <c r="A1011" t="s">
        <v>44</v>
      </c>
      <c r="B1011" s="49">
        <f>INDEX(parameters!$D$4:$N$20,MATCH('hydrogen - electrolysis'!B993&amp;'hydrogen - electrolysis'!B995,parameters!$A$4:$A$20,0),MATCH('hydrogen - electrolysis'!A1011,parameters!$D$3:$N$3,0))</f>
        <v>0</v>
      </c>
    </row>
    <row r="1012" spans="1:22" x14ac:dyDescent="0.2">
      <c r="A1012" t="s">
        <v>634</v>
      </c>
      <c r="B1012" s="51">
        <f>INDEX(parameters!$D$4:$Y$20,MATCH('hydrogen - electrolysis'!B993&amp;'hydrogen - electrolysis'!B995,parameters!$A$4:$A$20,0),MATCH('hydrogen - electrolysis'!A1012,parameters!$D$3:$Y$3,0))</f>
        <v>15.957446808510639</v>
      </c>
    </row>
    <row r="1013" spans="1:22" x14ac:dyDescent="0.2">
      <c r="A1013" t="s">
        <v>82</v>
      </c>
      <c r="B1013" s="46">
        <f>IF(B1004&lt;&gt;0,VLOOKUP(B1004,parameters!A663:B665,2,0),0)</f>
        <v>0</v>
      </c>
    </row>
    <row r="1014" spans="1:22" x14ac:dyDescent="0.2">
      <c r="A1014" t="s">
        <v>548</v>
      </c>
      <c r="B1014" s="50">
        <f>INDEX(parameters!$D$4:$P$20,MATCH(B993&amp;B995,parameters!$A$4:$A$20,0),MATCH(A1014,parameters!$D$3:$P$3,0))</f>
        <v>15</v>
      </c>
    </row>
    <row r="1015" spans="1:22" x14ac:dyDescent="0.2">
      <c r="A1015" t="s">
        <v>547</v>
      </c>
      <c r="B1015" s="51">
        <f>INDEX(parameters!$D$4:$P$20,MATCH(B993&amp;B995,parameters!$A$4:$A$20,0),MATCH(A1015,parameters!$D$3:$P$3,0))</f>
        <v>20</v>
      </c>
    </row>
    <row r="1016" spans="1:22" x14ac:dyDescent="0.2">
      <c r="A1016" t="s">
        <v>630</v>
      </c>
      <c r="B1016" s="51">
        <f>INDEX(parameters!$D$4:$T$20,MATCH(B993&amp;B995,parameters!$A$4:$A$20,0),MATCH(A1016,parameters!$D$3:$T$3,0))</f>
        <v>2100</v>
      </c>
    </row>
    <row r="1017" spans="1:22" x14ac:dyDescent="0.2">
      <c r="A1017" t="s">
        <v>1005</v>
      </c>
      <c r="B1017" s="50">
        <f>IF(B989="megajoule",SUMIFS(allocation!$I$4:$I$30,allocation!$B$4:$B$30,B995,allocation!$C$4:$C$30,B996),SUMIFS(allocation!$J$4:$J$30,allocation!$B$4:$B$30,B995,allocation!$C$4:$C$30,B996))</f>
        <v>0</v>
      </c>
    </row>
    <row r="1018" spans="1:22" x14ac:dyDescent="0.2">
      <c r="A1018" t="s">
        <v>1050</v>
      </c>
      <c r="B1018" s="51">
        <f>INDEX(parameters!$D$4:$AB$20,MATCH(B993&amp;B995,parameters!$A$4:$A$20,0),MATCH(A1018,parameters!$D$3:$AB$3,0))</f>
        <v>44.562019013128115</v>
      </c>
    </row>
    <row r="1020" spans="1:22" x14ac:dyDescent="0.2">
      <c r="A1020" s="3" t="s">
        <v>57</v>
      </c>
    </row>
    <row r="1021" spans="1:22" x14ac:dyDescent="0.2">
      <c r="A1021" s="2" t="s">
        <v>58</v>
      </c>
      <c r="B1021" s="44" t="s">
        <v>59</v>
      </c>
      <c r="C1021" s="2" t="s">
        <v>55</v>
      </c>
      <c r="D1021" s="2" t="s">
        <v>60</v>
      </c>
      <c r="E1021" s="2" t="s">
        <v>52</v>
      </c>
      <c r="F1021" s="2" t="s">
        <v>61</v>
      </c>
      <c r="G1021" s="2" t="s">
        <v>54</v>
      </c>
      <c r="H1021" s="2" t="s">
        <v>87</v>
      </c>
      <c r="I1021" s="2" t="s">
        <v>51</v>
      </c>
      <c r="J1021" s="2" t="s">
        <v>138</v>
      </c>
      <c r="K1021" s="2" t="s">
        <v>136</v>
      </c>
      <c r="L1021" s="2" t="s">
        <v>221</v>
      </c>
      <c r="M1021" s="2" t="s">
        <v>379</v>
      </c>
      <c r="N1021" s="2" t="s">
        <v>1059</v>
      </c>
      <c r="O1021" s="2" t="s">
        <v>1060</v>
      </c>
      <c r="P1021" s="2" t="s">
        <v>1061</v>
      </c>
      <c r="Q1021" s="2" t="s">
        <v>1062</v>
      </c>
      <c r="R1021" s="2" t="s">
        <v>1063</v>
      </c>
      <c r="S1021" s="2" t="s">
        <v>1064</v>
      </c>
      <c r="T1021" s="2" t="s">
        <v>1065</v>
      </c>
      <c r="U1021" s="2" t="s">
        <v>380</v>
      </c>
      <c r="V1021" s="2" t="s">
        <v>1128</v>
      </c>
    </row>
    <row r="1022" spans="1:22" x14ac:dyDescent="0.2">
      <c r="A1022" t="str">
        <f>B983</f>
        <v>heat, residential, by combustion of hydrogen using boiler, transported by truck, produced by Electrolysis, PEM using water and electricity from grid</v>
      </c>
      <c r="B1022" s="45">
        <v>1</v>
      </c>
      <c r="C1022" t="str">
        <f>B989</f>
        <v>megajoule</v>
      </c>
      <c r="E1022" t="str">
        <f>B986</f>
        <v>CH</v>
      </c>
      <c r="F1022" t="s">
        <v>62</v>
      </c>
      <c r="G1022" t="str">
        <f>B988</f>
        <v>heat, from residential heating system</v>
      </c>
      <c r="K1022" t="str">
        <f>B983</f>
        <v>heat, residential, by combustion of hydrogen using boiler, transported by truck, produced by Electrolysis, PEM using water and electricity from grid</v>
      </c>
    </row>
    <row r="1023" spans="1:22" x14ac:dyDescent="0.2">
      <c r="A1023" t="s">
        <v>83</v>
      </c>
      <c r="B1023" s="52">
        <f>1/(B1014*B1016*B1015*3.6)</f>
        <v>4.4091710758377425E-7</v>
      </c>
      <c r="C1023" t="s">
        <v>55</v>
      </c>
      <c r="E1023" t="s">
        <v>85</v>
      </c>
      <c r="F1023" t="s">
        <v>86</v>
      </c>
      <c r="G1023" t="s">
        <v>84</v>
      </c>
      <c r="H1023" t="s">
        <v>88</v>
      </c>
      <c r="K1023" t="str">
        <f>B983</f>
        <v>heat, residential, by combustion of hydrogen using boiler, transported by truck, produced by Electrolysis, PEM using water and electricity from grid</v>
      </c>
      <c r="L1023">
        <f t="shared" ref="L1023:L1028" si="37">IF(OR(B1023&lt;0,B1023=0),1,2)</f>
        <v>2</v>
      </c>
      <c r="M1023">
        <f t="shared" ref="M1023:M1028" si="38">IF(L1023=2,LN(B1023),"")</f>
        <v>-14.634408943829779</v>
      </c>
      <c r="N1023">
        <v>1.05</v>
      </c>
      <c r="O1023" s="15">
        <v>1.2</v>
      </c>
      <c r="P1023">
        <v>1</v>
      </c>
      <c r="Q1023">
        <v>1.01</v>
      </c>
      <c r="R1023">
        <v>1.2</v>
      </c>
      <c r="S1023">
        <v>1.2</v>
      </c>
      <c r="T1023">
        <v>3</v>
      </c>
      <c r="U1023">
        <f t="shared" ref="U1023:U1028" si="39">LN(SQRT(EXP(
SQRT(
+POWER(LN(N1023),2)
+POWER(LN(O1023),2)
+POWER(LN(P1023),2)
+POWER(LN(Q1023),2)
+POWER(LN(R1023),2)
+POWER(LN(S1023),2)
+POWER(LN(T1023),2)
)
)))</f>
        <v>0.57209088006881903</v>
      </c>
    </row>
    <row r="1024" spans="1:22" x14ac:dyDescent="0.2">
      <c r="A1024" t="s">
        <v>500</v>
      </c>
      <c r="B1024" s="52">
        <f>B1023*2</f>
        <v>8.8183421516754851E-7</v>
      </c>
      <c r="C1024" t="s">
        <v>267</v>
      </c>
      <c r="E1024" t="s">
        <v>85</v>
      </c>
      <c r="F1024" t="s">
        <v>86</v>
      </c>
      <c r="G1024" t="s">
        <v>501</v>
      </c>
      <c r="H1024" t="s">
        <v>88</v>
      </c>
      <c r="I1024" t="s">
        <v>621</v>
      </c>
      <c r="K1024" t="str">
        <f>B983</f>
        <v>heat, residential, by combustion of hydrogen using boiler, transported by truck, produced by Electrolysis, PEM using water and electricity from grid</v>
      </c>
      <c r="L1024">
        <f t="shared" si="37"/>
        <v>2</v>
      </c>
      <c r="M1024">
        <f t="shared" si="38"/>
        <v>-13.941261763269834</v>
      </c>
      <c r="N1024">
        <v>1.05</v>
      </c>
      <c r="O1024" s="15">
        <v>1.2</v>
      </c>
      <c r="P1024">
        <v>1</v>
      </c>
      <c r="Q1024">
        <v>1.01</v>
      </c>
      <c r="R1024">
        <v>1.2</v>
      </c>
      <c r="S1024">
        <v>1.2</v>
      </c>
      <c r="T1024">
        <v>3</v>
      </c>
      <c r="U1024">
        <f t="shared" si="39"/>
        <v>0.57209088006881903</v>
      </c>
    </row>
    <row r="1025" spans="1:21" x14ac:dyDescent="0.2">
      <c r="A1025" t="s">
        <v>1139</v>
      </c>
      <c r="B1025" s="53">
        <f>(B1022/B1006)/B1005</f>
        <v>8.8652482269503553E-3</v>
      </c>
      <c r="C1025" t="str">
        <f>VLOOKUP(J1025,'dataset mapping'!$A$4:$E$69,5,0)</f>
        <v>kilogram</v>
      </c>
      <c r="E1025" t="str">
        <f>VLOOKUP(J1025,'dataset mapping'!$A$4:$E$69,4,0)</f>
        <v>CH</v>
      </c>
      <c r="F1025" t="s">
        <v>86</v>
      </c>
      <c r="G1025" t="s">
        <v>1137</v>
      </c>
      <c r="H1025" t="s">
        <v>76</v>
      </c>
      <c r="I1025" t="s">
        <v>1054</v>
      </c>
      <c r="J1025" t="s">
        <v>281</v>
      </c>
      <c r="K1025" t="str">
        <f>B983</f>
        <v>heat, residential, by combustion of hydrogen using boiler, transported by truck, produced by Electrolysis, PEM using water and electricity from grid</v>
      </c>
      <c r="L1025">
        <f t="shared" si="37"/>
        <v>2</v>
      </c>
      <c r="M1025">
        <f t="shared" si="38"/>
        <v>-4.7256163390639587</v>
      </c>
      <c r="N1025">
        <v>1.05</v>
      </c>
      <c r="O1025" s="15">
        <v>1.2</v>
      </c>
      <c r="P1025">
        <v>1</v>
      </c>
      <c r="Q1025">
        <v>1.01</v>
      </c>
      <c r="R1025">
        <v>1.2</v>
      </c>
      <c r="S1025">
        <v>1.2</v>
      </c>
      <c r="T1025">
        <v>1.05</v>
      </c>
      <c r="U1025">
        <f t="shared" si="39"/>
        <v>0.16169679924070957</v>
      </c>
    </row>
    <row r="1026" spans="1:21" x14ac:dyDescent="0.2">
      <c r="A1026" t="str">
        <f>VLOOKUP(J1026,'dataset mapping'!$A$4:$E$69,2,0)</f>
        <v>high pressure hydrogen storage tank</v>
      </c>
      <c r="B1026" s="52">
        <f>((B1018/10)/(B1016*B1012*20*3.6))*IF(B1017&lt;&gt;0,B1017,1)</f>
        <v>1.8469267139479905E-6</v>
      </c>
      <c r="C1026" t="str">
        <f>VLOOKUP(J1026,'dataset mapping'!$A$4:$E$69,5,0)</f>
        <v>kilogram</v>
      </c>
      <c r="E1026" t="str">
        <f>VLOOKUP(J1026,'dataset mapping'!$A$4:$E$69,4,0)</f>
        <v>GLO</v>
      </c>
      <c r="F1026" t="s">
        <v>86</v>
      </c>
      <c r="G1026" t="str">
        <f>VLOOKUP(J1026,'dataset mapping'!$A$4:$E$69,3,0)</f>
        <v>high pressure hydrogen storage tank</v>
      </c>
      <c r="H1026" t="s">
        <v>88</v>
      </c>
      <c r="I1026" t="s">
        <v>230</v>
      </c>
      <c r="J1026" t="s">
        <v>229</v>
      </c>
      <c r="K1026" t="str">
        <f>B983</f>
        <v>heat, residential, by combustion of hydrogen using boiler, transported by truck, produced by Electrolysis, PEM using water and electricity from grid</v>
      </c>
      <c r="L1026">
        <f t="shared" si="37"/>
        <v>2</v>
      </c>
      <c r="M1026">
        <f t="shared" si="38"/>
        <v>-13.20198753595994</v>
      </c>
      <c r="N1026">
        <v>1.05</v>
      </c>
      <c r="O1026" s="15">
        <v>1.2</v>
      </c>
      <c r="P1026">
        <v>1</v>
      </c>
      <c r="Q1026">
        <v>1.01</v>
      </c>
      <c r="R1026">
        <v>1.2</v>
      </c>
      <c r="S1026">
        <v>1.2</v>
      </c>
      <c r="T1026">
        <v>3</v>
      </c>
      <c r="U1026">
        <f t="shared" si="39"/>
        <v>0.57209088006881903</v>
      </c>
    </row>
    <row r="1027" spans="1:21" x14ac:dyDescent="0.2">
      <c r="A1027" t="s">
        <v>134</v>
      </c>
      <c r="B1027" s="45">
        <f>B1025*9</f>
        <v>7.9787234042553196E-2</v>
      </c>
      <c r="C1027" t="s">
        <v>56</v>
      </c>
      <c r="D1027" t="s">
        <v>100</v>
      </c>
      <c r="F1027" t="s">
        <v>99</v>
      </c>
      <c r="H1027" t="s">
        <v>131</v>
      </c>
      <c r="I1027" t="s">
        <v>1058</v>
      </c>
      <c r="K1027" t="str">
        <f>B983</f>
        <v>heat, residential, by combustion of hydrogen using boiler, transported by truck, produced by Electrolysis, PEM using water and electricity from grid</v>
      </c>
      <c r="L1027">
        <f t="shared" si="37"/>
        <v>2</v>
      </c>
      <c r="M1027">
        <f t="shared" si="38"/>
        <v>-2.5283917617277392</v>
      </c>
      <c r="N1027">
        <v>1.05</v>
      </c>
      <c r="O1027" s="15">
        <v>1.2</v>
      </c>
      <c r="P1027">
        <v>1</v>
      </c>
      <c r="Q1027">
        <v>1.01</v>
      </c>
      <c r="R1027">
        <v>1.2</v>
      </c>
      <c r="S1027">
        <v>1.2</v>
      </c>
      <c r="T1027">
        <v>1.05</v>
      </c>
      <c r="U1027">
        <f t="shared" si="39"/>
        <v>0.16169679924070957</v>
      </c>
    </row>
    <row r="1028" spans="1:21" x14ac:dyDescent="0.2">
      <c r="A1028" t="s">
        <v>135</v>
      </c>
      <c r="B1028" s="45">
        <f>912.5/1000000*B1025</f>
        <v>8.0895390070921995E-6</v>
      </c>
      <c r="C1028" t="s">
        <v>56</v>
      </c>
      <c r="D1028" t="s">
        <v>100</v>
      </c>
      <c r="F1028" t="s">
        <v>99</v>
      </c>
      <c r="H1028" t="s">
        <v>131</v>
      </c>
      <c r="I1028" t="s">
        <v>1217</v>
      </c>
      <c r="K1028" t="str">
        <f>B983</f>
        <v>heat, residential, by combustion of hydrogen using boiler, transported by truck, produced by Electrolysis, PEM using water and electricity from grid</v>
      </c>
      <c r="L1028">
        <f t="shared" si="37"/>
        <v>2</v>
      </c>
      <c r="M1028">
        <f t="shared" si="38"/>
        <v>-11.724938811571587</v>
      </c>
      <c r="N1028">
        <v>1.05</v>
      </c>
      <c r="O1028" s="15">
        <v>1.2</v>
      </c>
      <c r="P1028">
        <v>1</v>
      </c>
      <c r="Q1028">
        <v>1.01</v>
      </c>
      <c r="R1028">
        <v>1.2</v>
      </c>
      <c r="S1028">
        <v>1.2</v>
      </c>
      <c r="T1028">
        <v>1.5</v>
      </c>
      <c r="U1028">
        <f t="shared" si="39"/>
        <v>0.25816898211842121</v>
      </c>
    </row>
    <row r="1030" spans="1:21" x14ac:dyDescent="0.2">
      <c r="A1030" s="2" t="s">
        <v>50</v>
      </c>
      <c r="B1030" s="44" t="str">
        <f>IF(B1036="megajoule","heat","electricity")&amp;", residential, by "&amp;B1041&amp;" of "&amp;B1040&amp;" using "&amp;B1042&amp;IF(B1043&lt;&gt;0,", allocated by "&amp;B1043,"")&amp;", transported by "&amp;B1044&amp;", produced by "&amp;B1048&amp;" using "&amp;B1049&amp;" from "&amp;B1050</f>
        <v>heat, residential, by combustion of hydrogen using CHP, allocated by exergy, transported by truck, produced by Electrolysis, PEM using water and electricity from grid</v>
      </c>
    </row>
    <row r="1031" spans="1:21" x14ac:dyDescent="0.2">
      <c r="A1031" t="s">
        <v>51</v>
      </c>
      <c r="B1031" s="45" t="str">
        <f>"This dataset represents the supply of 1 "&amp;IF(B1036="megajoule","megajoule of heat","kilowatt hour of electricity")&amp;" in a residence, by "&amp;B1040&amp;" "&amp;B1041&amp;" in a "&amp;B1042&amp;". "&amp;" The hydrogen is transported by "&amp;B1044&amp;" over "&amp;B1045&amp;" km from regional storage. "&amp;" The "&amp;B1040&amp;" is produced by  "&amp;B1048&amp;", with "&amp;B1049&amp;" from "&amp;B1050&amp;" as feedstock. "&amp;A1052&amp;": "&amp;(B1052*100)&amp;"%. "&amp;A1053&amp;": "&amp;B1053&amp;". "&amp;A1054&amp;": "&amp;B1054&amp;". "&amp;A1055&amp;": "&amp;(B1055*100)&amp;"%. "&amp;A1056&amp;": "&amp;(B1056*100)&amp;"%. "&amp;A1057&amp;": "&amp;(B1057*100)&amp;"%. "&amp;A1058&amp;": "&amp;B1058&amp;". "&amp;A1059&amp;": "&amp;B1059&amp;". "&amp;A1060&amp;": "&amp;(B1060*100)&amp;"%. "&amp;A1061&amp;": "&amp;B1061&amp;". "&amp;A1062&amp;": "&amp;B1062&amp;". "&amp;A1063&amp;": "&amp;B1063&amp;". "&amp;A1064&amp;": "&amp;B1064&amp;".  For more information, refer to: "&amp;B1032</f>
        <v>This dataset represents the supply of 1 megajoule of heat in a residence, by hydrogen combustion in a CHP.  The hydrogen is transported by truck over 200 km from regional storage.  The hydrogen is produced by  Electrolysis, PEM,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1032" spans="1:21" x14ac:dyDescent="0.2">
      <c r="A1032" t="s">
        <v>63</v>
      </c>
      <c r="B1032" s="45" t="s">
        <v>1223</v>
      </c>
    </row>
    <row r="1033" spans="1:21" x14ac:dyDescent="0.2">
      <c r="A1033" t="s">
        <v>52</v>
      </c>
      <c r="B1033" s="45" t="s">
        <v>64</v>
      </c>
    </row>
    <row r="1034" spans="1:21" x14ac:dyDescent="0.2">
      <c r="A1034" t="s">
        <v>48</v>
      </c>
      <c r="B1034" s="45">
        <v>14</v>
      </c>
    </row>
    <row r="1035" spans="1:21" x14ac:dyDescent="0.2">
      <c r="A1035" t="s">
        <v>54</v>
      </c>
      <c r="B1035" s="45" t="str">
        <f>INDEX(overview!$B$4:$R$338,MATCH('hydrogen - electrolysis'!B1034,overview!$A$4:$A$338,0),MATCH('hydrogen - electrolysis'!A1035,overview!$B$3:$R$3,0))</f>
        <v>heat, from residential heating system</v>
      </c>
    </row>
    <row r="1036" spans="1:21" x14ac:dyDescent="0.2">
      <c r="A1036" t="s">
        <v>55</v>
      </c>
      <c r="B1036" s="45" t="str">
        <f>INDEX(overview!$B$4:$R$338,MATCH('hydrogen - electrolysis'!B1034,overview!$A$4:$A$338,0),MATCH('hydrogen - electrolysis'!A1036,overview!$B$3:$R$3,0))</f>
        <v>megajoule</v>
      </c>
    </row>
    <row r="1037" spans="1:21" x14ac:dyDescent="0.2">
      <c r="A1037" t="s">
        <v>0</v>
      </c>
      <c r="B1037" s="45" t="str">
        <f>INDEX(overview!$B$4:$R$338,MATCH('hydrogen - electrolysis'!B1034,overview!$A$4:$A$338,0),MATCH('hydrogen - electrolysis'!A1037,overview!$B$3:$R$3,0))</f>
        <v>Switzerland</v>
      </c>
    </row>
    <row r="1038" spans="1:21" x14ac:dyDescent="0.2">
      <c r="A1038" t="s">
        <v>1</v>
      </c>
      <c r="B1038" s="45">
        <f>INDEX(overview!$B$4:$R$338,MATCH('hydrogen - electrolysis'!B1034,overview!$A$4:$A$338,0),MATCH('hydrogen - electrolysis'!A1038,overview!$B$3:$R$3,0))</f>
        <v>2020</v>
      </c>
    </row>
    <row r="1039" spans="1:21" x14ac:dyDescent="0.2">
      <c r="A1039" t="s">
        <v>2</v>
      </c>
      <c r="B1039" s="45" t="str">
        <f>INDEX(overview!$B$4:$R$338,MATCH('hydrogen - electrolysis'!B1034,overview!$A$4:$A$338,0),MATCH('hydrogen - electrolysis'!A1039,overview!$B$3:$R$3,0))</f>
        <v>1 MJ heat</v>
      </c>
    </row>
    <row r="1040" spans="1:21" x14ac:dyDescent="0.2">
      <c r="A1040" t="s">
        <v>5</v>
      </c>
      <c r="B1040" s="45" t="str">
        <f>INDEX(overview!$B$4:$R$338,MATCH('hydrogen - electrolysis'!B1034,overview!$A$4:$A$338,0),MATCH('hydrogen - electrolysis'!A1040,overview!$B$3:$R$3,0))</f>
        <v>hydrogen</v>
      </c>
    </row>
    <row r="1041" spans="1:2" x14ac:dyDescent="0.2">
      <c r="A1041" t="s">
        <v>3</v>
      </c>
      <c r="B1041" s="45" t="str">
        <f>INDEX(overview!$B$4:$R$338,MATCH('hydrogen - electrolysis'!B1034,overview!$A$4:$A$338,0),MATCH('hydrogen - electrolysis'!A1041,overview!$B$3:$R$3,0))</f>
        <v>combustion</v>
      </c>
    </row>
    <row r="1042" spans="1:2" x14ac:dyDescent="0.2">
      <c r="A1042" t="s">
        <v>6</v>
      </c>
      <c r="B1042" s="45" t="str">
        <f>INDEX(overview!$B$4:$R$338,MATCH('hydrogen - electrolysis'!B1034,overview!$A$4:$A$338,0),MATCH('hydrogen - electrolysis'!A1042,overview!$B$3:$R$3,0))</f>
        <v>CHP</v>
      </c>
    </row>
    <row r="1043" spans="1:2" x14ac:dyDescent="0.2">
      <c r="A1043" t="s">
        <v>39</v>
      </c>
      <c r="B1043" s="45" t="str">
        <f>INDEX(overview!$B$4:$R$338,MATCH('hydrogen - electrolysis'!B1034,overview!$A$4:$A$338,0),MATCH('hydrogen - electrolysis'!A1043,overview!$B$3:$R$3,0))</f>
        <v>exergy</v>
      </c>
    </row>
    <row r="1044" spans="1:2" x14ac:dyDescent="0.2">
      <c r="A1044" t="s">
        <v>4</v>
      </c>
      <c r="B1044" s="45" t="str">
        <f>INDEX(overview!$B$4:$R$338,MATCH('hydrogen - electrolysis'!B1034,overview!$A$4:$A$338,0),MATCH('hydrogen - electrolysis'!A1044,overview!$B$3:$R$3,0))</f>
        <v>truck</v>
      </c>
    </row>
    <row r="1045" spans="1:2" x14ac:dyDescent="0.2">
      <c r="A1045" t="s">
        <v>38</v>
      </c>
      <c r="B1045" s="45">
        <f>INDEX(overview!$B$4:$R$338,MATCH('hydrogen - electrolysis'!B1034,overview!$A$4:$A$338,0),MATCH('hydrogen - electrolysis'!A1045,overview!$B$3:$R$3,0))</f>
        <v>200</v>
      </c>
    </row>
    <row r="1046" spans="1:2" x14ac:dyDescent="0.2">
      <c r="A1046" t="s">
        <v>12</v>
      </c>
      <c r="B1046" s="45" t="str">
        <f>INDEX(overview!$B$4:$R$338,MATCH('hydrogen - electrolysis'!B1034,overview!$A$4:$A$338,0),MATCH('hydrogen - electrolysis'!A1046,overview!$B$3:$R$3,0))</f>
        <v>Pressure vessel for stationary storage</v>
      </c>
    </row>
    <row r="1047" spans="1:2" x14ac:dyDescent="0.2">
      <c r="A1047" t="s">
        <v>34</v>
      </c>
      <c r="B1047" s="45">
        <f>INDEX(overview!$B$4:$R$338,MATCH('hydrogen - electrolysis'!B1034,overview!$A$4:$A$338,0),MATCH('hydrogen - electrolysis'!A1047,overview!$B$3:$R$3,0))</f>
        <v>0</v>
      </c>
    </row>
    <row r="1048" spans="1:2" x14ac:dyDescent="0.2">
      <c r="A1048" t="s">
        <v>15</v>
      </c>
      <c r="B1048" s="45" t="str">
        <f>INDEX(overview!$B$4:$R$338,MATCH('hydrogen - electrolysis'!B1034,overview!$A$4:$A$338,0),MATCH('hydrogen - electrolysis'!A1048,overview!$B$3:$R$3,0))</f>
        <v>Electrolysis, PEM</v>
      </c>
    </row>
    <row r="1049" spans="1:2" x14ac:dyDescent="0.2">
      <c r="A1049" t="s">
        <v>14</v>
      </c>
      <c r="B1049" s="45" t="str">
        <f>INDEX(overview!$B$4:$R$338,MATCH('hydrogen - electrolysis'!B1034,overview!$A$4:$A$338,0),MATCH('hydrogen - electrolysis'!A1049,overview!$B$3:$R$3,0))</f>
        <v>water and electricity</v>
      </c>
    </row>
    <row r="1050" spans="1:2" x14ac:dyDescent="0.2">
      <c r="A1050" t="s">
        <v>26</v>
      </c>
      <c r="B1050" s="45" t="str">
        <f>INDEX(overview!$B$4:$R$338,MATCH('hydrogen - electrolysis'!B1034,overview!$A$4:$A$338,0),MATCH('hydrogen - electrolysis'!A1050,overview!$B$3:$R$3,0))</f>
        <v>grid</v>
      </c>
    </row>
    <row r="1051" spans="1:2" x14ac:dyDescent="0.2">
      <c r="A1051" t="s">
        <v>29</v>
      </c>
      <c r="B1051" s="45">
        <f>INDEX(overview!$B$4:$R$338,MATCH('hydrogen - electrolysis'!B1034,overview!$A$4:$A$338,0),MATCH('hydrogen - electrolysis'!A1051,overview!$B$3:$R$3,0))</f>
        <v>0</v>
      </c>
    </row>
    <row r="1052" spans="1:2" x14ac:dyDescent="0.2">
      <c r="A1052" t="str">
        <f>IF(B1036="megajoule","Heat","Electricity")&amp;" conversion efficiency [% LHV input]"</f>
        <v>Heat conversion efficiency [% LHV input]</v>
      </c>
      <c r="B1052" s="46">
        <f>INDEX(parameters!$D$4:$N$20,MATCH('hydrogen - electrolysis'!B1040&amp;'hydrogen - electrolysis'!B1042,parameters!$A$4:$A$20,0),MATCH('hydrogen - electrolysis'!A1052,parameters!$D$3:$N$3,0))</f>
        <v>0.41699999999999998</v>
      </c>
    </row>
    <row r="1053" spans="1:2" x14ac:dyDescent="0.2">
      <c r="A1053" t="str">
        <f>IF(B1036="megajoule","LHV [MJ/kg]","LHV [kWh/kg]")</f>
        <v>LHV [MJ/kg]</v>
      </c>
      <c r="B1053" s="47">
        <f>INDEX(parameters!$D$4:$N$20,MATCH('hydrogen - electrolysis'!B1040&amp;'hydrogen - electrolysis'!B1042,parameters!$A$4:$A$20,0),MATCH('hydrogen - electrolysis'!A1053,parameters!$D$3:$N$3,0))</f>
        <v>120</v>
      </c>
    </row>
    <row r="1054" spans="1:2" x14ac:dyDescent="0.2">
      <c r="A1054" t="s">
        <v>41</v>
      </c>
      <c r="B1054" s="48">
        <f>INDEX(parameters!$D$4:$N$20,MATCH('hydrogen - electrolysis'!B1040&amp;'hydrogen - electrolysis'!B1042,parameters!$A$4:$A$20,0),MATCH('hydrogen - electrolysis'!A1054,parameters!$D$3:$N$3,0))</f>
        <v>2.6666666666666665E-2</v>
      </c>
    </row>
    <row r="1055" spans="1:2" x14ac:dyDescent="0.2">
      <c r="A1055" t="s">
        <v>45</v>
      </c>
      <c r="B1055" s="46">
        <f>INDEX(parameters!$D$4:$N$20,MATCH('hydrogen - electrolysis'!B1040&amp;'hydrogen - electrolysis'!B1042,parameters!$A$4:$A$20,0),MATCH('hydrogen - electrolysis'!A1055,parameters!$D$3:$N$3,0))</f>
        <v>0</v>
      </c>
    </row>
    <row r="1056" spans="1:2" x14ac:dyDescent="0.2">
      <c r="A1056" t="s">
        <v>46</v>
      </c>
      <c r="B1056" s="46">
        <f>INDEX(parameters!$D$4:$N$20,MATCH('hydrogen - electrolysis'!B1040&amp;'hydrogen - electrolysis'!B1042,parameters!$A$4:$A$20,0),MATCH('hydrogen - electrolysis'!A1056,parameters!$D$3:$N$3,0))</f>
        <v>1.4999999999999999E-2</v>
      </c>
    </row>
    <row r="1057" spans="1:22" x14ac:dyDescent="0.2">
      <c r="A1057" t="s">
        <v>43</v>
      </c>
      <c r="B1057" s="46">
        <f>INDEX(parameters!$D$4:$N$20,MATCH('hydrogen - electrolysis'!B1040&amp;'hydrogen - electrolysis'!B1042,parameters!$A$4:$A$20,0),MATCH('hydrogen - electrolysis'!A1057,parameters!$D$3:$N$3,0))</f>
        <v>0</v>
      </c>
    </row>
    <row r="1058" spans="1:22" x14ac:dyDescent="0.2">
      <c r="A1058" t="s">
        <v>44</v>
      </c>
      <c r="B1058" s="46">
        <f>INDEX(parameters!$D$4:$N$20,MATCH('hydrogen - electrolysis'!B1040&amp;'hydrogen - electrolysis'!B1042,parameters!$A$4:$A$20,0),MATCH('hydrogen - electrolysis'!A1058,parameters!$D$3:$N$3,0))</f>
        <v>0</v>
      </c>
    </row>
    <row r="1059" spans="1:22" x14ac:dyDescent="0.2">
      <c r="A1059" t="s">
        <v>634</v>
      </c>
      <c r="B1059" s="51">
        <f>INDEX(parameters!$D$4:$Y$20,MATCH('hydrogen - electrolysis'!B1040&amp;'hydrogen - electrolysis'!B1042,parameters!$A$4:$A$20,0),MATCH('hydrogen - electrolysis'!A1059,parameters!$D$3:$Y$3,0))</f>
        <v>351.41800246609125</v>
      </c>
    </row>
    <row r="1060" spans="1:22" x14ac:dyDescent="0.2">
      <c r="A1060" t="s">
        <v>82</v>
      </c>
      <c r="B1060" s="46">
        <f>IF(B1051&lt;&gt;0,VLOOKUP(B1051,parameters!A714:B716,2,0),0)</f>
        <v>0</v>
      </c>
    </row>
    <row r="1061" spans="1:22" x14ac:dyDescent="0.2">
      <c r="A1061" t="s">
        <v>548</v>
      </c>
      <c r="B1061" s="50">
        <f>INDEX(parameters!$D$4:$P$20,MATCH(B1040&amp;B1042,parameters!$A$4:$A$20,0),MATCH(A1061,parameters!$D$3:$P$3,0))</f>
        <v>125</v>
      </c>
    </row>
    <row r="1062" spans="1:22" x14ac:dyDescent="0.2">
      <c r="A1062" t="s">
        <v>547</v>
      </c>
      <c r="B1062" s="51">
        <f>INDEX(parameters!$D$4:$P$20,MATCH(B1040&amp;B1042,parameters!$A$4:$A$20,0),MATCH(A1062,parameters!$D$3:$P$3,0))</f>
        <v>19.512195121951219</v>
      </c>
    </row>
    <row r="1063" spans="1:22" x14ac:dyDescent="0.2">
      <c r="A1063" t="s">
        <v>630</v>
      </c>
      <c r="B1063" s="51">
        <f>INDEX(parameters!$D$4:$T$20,MATCH(B1040&amp;B1042,parameters!$A$4:$A$20,0),MATCH(A1063,parameters!$D$3:$T$3,0))</f>
        <v>4100</v>
      </c>
    </row>
    <row r="1064" spans="1:22" x14ac:dyDescent="0.2">
      <c r="A1064" t="s">
        <v>1005</v>
      </c>
      <c r="B1064" s="50">
        <f>IF(B1036="megajoule",SUMIFS(allocation!$I$4:$I$30,allocation!$B$4:$B$30,B1042,allocation!$C$4:$C$30,B1043),SUMIFS(allocation!$J$4:$J$30,allocation!$B$4:$B$30,B1042,allocation!$C$4:$C$30,B1043))</f>
        <v>0.12860042227295038</v>
      </c>
    </row>
    <row r="1065" spans="1:22" x14ac:dyDescent="0.2">
      <c r="A1065" t="s">
        <v>1050</v>
      </c>
      <c r="B1065" s="51">
        <f>INDEX(parameters!$D$4:$AB$20,MATCH(B1040&amp;B1042,parameters!$A$4:$A$20,0),MATCH(A1065,parameters!$D$3:$AB$3,0))</f>
        <v>2220.7364520822662</v>
      </c>
    </row>
    <row r="1067" spans="1:22" x14ac:dyDescent="0.2">
      <c r="A1067" s="3" t="s">
        <v>57</v>
      </c>
    </row>
    <row r="1068" spans="1:22" x14ac:dyDescent="0.2">
      <c r="A1068" s="2" t="s">
        <v>58</v>
      </c>
      <c r="B1068" s="44" t="s">
        <v>59</v>
      </c>
      <c r="C1068" s="2" t="s">
        <v>55</v>
      </c>
      <c r="D1068" s="2" t="s">
        <v>60</v>
      </c>
      <c r="E1068" s="2" t="s">
        <v>52</v>
      </c>
      <c r="F1068" s="2" t="s">
        <v>61</v>
      </c>
      <c r="G1068" s="2" t="s">
        <v>54</v>
      </c>
      <c r="H1068" s="2" t="s">
        <v>87</v>
      </c>
      <c r="I1068" s="2" t="s">
        <v>51</v>
      </c>
      <c r="J1068" s="2" t="s">
        <v>138</v>
      </c>
      <c r="K1068" s="2" t="s">
        <v>136</v>
      </c>
      <c r="L1068" s="2" t="s">
        <v>221</v>
      </c>
      <c r="M1068" s="2" t="s">
        <v>379</v>
      </c>
      <c r="N1068" s="2" t="s">
        <v>1059</v>
      </c>
      <c r="O1068" s="2" t="s">
        <v>1060</v>
      </c>
      <c r="P1068" s="2" t="s">
        <v>1061</v>
      </c>
      <c r="Q1068" s="2" t="s">
        <v>1062</v>
      </c>
      <c r="R1068" s="2" t="s">
        <v>1063</v>
      </c>
      <c r="S1068" s="2" t="s">
        <v>1064</v>
      </c>
      <c r="T1068" s="2" t="s">
        <v>1065</v>
      </c>
      <c r="U1068" s="2" t="s">
        <v>380</v>
      </c>
      <c r="V1068" s="2" t="s">
        <v>1128</v>
      </c>
    </row>
    <row r="1069" spans="1:22" x14ac:dyDescent="0.2">
      <c r="A1069" t="str">
        <f>B1030</f>
        <v>heat, residential, by combustion of hydrogen using CHP, allocated by exergy, transported by truck, produced by Electrolysis, PEM using water and electricity from grid</v>
      </c>
      <c r="B1069" s="45">
        <v>1</v>
      </c>
      <c r="C1069" t="str">
        <f>B1036</f>
        <v>megajoule</v>
      </c>
      <c r="E1069" t="str">
        <f>B1033</f>
        <v>CH</v>
      </c>
      <c r="F1069" t="s">
        <v>62</v>
      </c>
      <c r="G1069" t="str">
        <f>B1035</f>
        <v>heat, from residential heating system</v>
      </c>
      <c r="K1069" t="str">
        <f>B1030</f>
        <v>heat, residential, by combustion of hydrogen using CHP, allocated by exergy, transported by truck, produced by Electrolysis, PEM using water and electricity from grid</v>
      </c>
    </row>
    <row r="1070" spans="1:22" x14ac:dyDescent="0.2">
      <c r="A1070" t="str">
        <f>VLOOKUP(J1070,'dataset mapping'!$A$4:$E$69,2,0)</f>
        <v>heat and power co-generation unit construction, 160kW electrical, common components for heat+electricity</v>
      </c>
      <c r="B1070" s="52">
        <f>(1/(B1059*B1063*B1062*3.6))*B1064</f>
        <v>1.270649883812899E-9</v>
      </c>
      <c r="C1070" t="str">
        <f>VLOOKUP(J1070,'dataset mapping'!$A$4:$E$69,5,0)</f>
        <v>unit</v>
      </c>
      <c r="E1070" t="str">
        <f>VLOOKUP(J1070,'dataset mapping'!$A$4:$E$69,4,0)</f>
        <v>RER</v>
      </c>
      <c r="F1070" t="s">
        <v>86</v>
      </c>
      <c r="G1070" t="str">
        <f>VLOOKUP(J1070,'dataset mapping'!$A$4:$E$69,3,0)</f>
        <v>heat and power co-generation unit, 160kW electrical, common components for heat+electricity</v>
      </c>
      <c r="H1070" t="s">
        <v>88</v>
      </c>
      <c r="J1070" t="s">
        <v>145</v>
      </c>
      <c r="K1070" t="str">
        <f>B1030</f>
        <v>heat, residential, by combustion of hydrogen using CHP, allocated by exergy, transported by truck, produced by Electrolysis, PEM using water and electricity from grid</v>
      </c>
      <c r="L1070">
        <f>IF(OR(B1070&lt;0,B1070=0),1,2)</f>
        <v>2</v>
      </c>
      <c r="M1070">
        <f>IF(L1070=2,LN(B1070),"")</f>
        <v>-20.48373734782199</v>
      </c>
      <c r="N1070">
        <v>1.05</v>
      </c>
      <c r="O1070" s="15">
        <v>1.2</v>
      </c>
      <c r="P1070">
        <v>1</v>
      </c>
      <c r="Q1070">
        <v>1.01</v>
      </c>
      <c r="R1070">
        <v>1.2</v>
      </c>
      <c r="S1070">
        <v>1.2</v>
      </c>
      <c r="T1070">
        <v>3</v>
      </c>
      <c r="U1070">
        <f t="shared" ref="U1070:U1078" si="40">LN(SQRT(EXP(
SQRT(
+POWER(LN(N1070),2)
+POWER(LN(O1070),2)
+POWER(LN(P1070),2)
+POWER(LN(Q1070),2)
+POWER(LN(R1070),2)
+POWER(LN(S1070),2)
+POWER(LN(T1070),2)
)
)))</f>
        <v>0.57209088006881903</v>
      </c>
    </row>
    <row r="1071" spans="1:22" x14ac:dyDescent="0.2">
      <c r="A1071" t="str">
        <f>VLOOKUP(J1071,'dataset mapping'!$A$4:$E$69,2,0)</f>
        <v>heat and power co-generation unit construction, 160kW electrical, components for electricity only</v>
      </c>
      <c r="B1071" s="52">
        <f>(1/(B1059*B1063*B1062*3.6))*B1064</f>
        <v>1.270649883812899E-9</v>
      </c>
      <c r="C1071" t="str">
        <f>VLOOKUP(J1071,'dataset mapping'!$A$4:$E$69,5,0)</f>
        <v>unit</v>
      </c>
      <c r="E1071" t="str">
        <f>VLOOKUP(J1071,'dataset mapping'!$A$4:$E$69,4,0)</f>
        <v>RER</v>
      </c>
      <c r="F1071" t="s">
        <v>86</v>
      </c>
      <c r="G1071" t="str">
        <f>VLOOKUP(J1071,'dataset mapping'!$A$4:$E$69,3,0)</f>
        <v>heat and power co-generation unit, 160kW electrical, components for electricity only</v>
      </c>
      <c r="H1071" t="s">
        <v>88</v>
      </c>
      <c r="J1071" t="s">
        <v>146</v>
      </c>
      <c r="K1071" t="str">
        <f>B1030</f>
        <v>heat, residential, by combustion of hydrogen using CHP, allocated by exergy, transported by truck, produced by Electrolysis, PEM using water and electricity from grid</v>
      </c>
      <c r="L1071">
        <f>IF(OR(B1071&lt;0,B1071=0),1,2)</f>
        <v>2</v>
      </c>
      <c r="M1071">
        <f>IF(L1071=2,LN(B1071),"")</f>
        <v>-20.48373734782199</v>
      </c>
      <c r="N1071">
        <v>1.05</v>
      </c>
      <c r="O1071" s="15">
        <v>1.2</v>
      </c>
      <c r="P1071">
        <v>1</v>
      </c>
      <c r="Q1071">
        <v>1.01</v>
      </c>
      <c r="R1071">
        <v>1.2</v>
      </c>
      <c r="S1071">
        <v>1.2</v>
      </c>
      <c r="T1071">
        <v>3</v>
      </c>
      <c r="U1071">
        <f t="shared" si="40"/>
        <v>0.57209088006881903</v>
      </c>
    </row>
    <row r="1072" spans="1:22" x14ac:dyDescent="0.2">
      <c r="A1072" t="str">
        <f>VLOOKUP(J1072,'dataset mapping'!$A$4:$E$69,2,0)</f>
        <v>heat and power co-generation unit construction, 160kW electrical, components for heat only</v>
      </c>
      <c r="B1072" s="52">
        <f>(1/(B1059*B1063*B1062*3.6))*B1064</f>
        <v>1.270649883812899E-9</v>
      </c>
      <c r="C1072" t="str">
        <f>VLOOKUP(J1072,'dataset mapping'!$A$4:$E$69,5,0)</f>
        <v>unit</v>
      </c>
      <c r="E1072" t="str">
        <f>VLOOKUP(J1072,'dataset mapping'!$A$4:$E$69,4,0)</f>
        <v>RER</v>
      </c>
      <c r="F1072" t="s">
        <v>86</v>
      </c>
      <c r="G1072" t="str">
        <f>VLOOKUP(J1072,'dataset mapping'!$A$4:$E$69,3,0)</f>
        <v>heat and power co-generation unit, 160kW electrical, components for heat only</v>
      </c>
      <c r="H1072" t="s">
        <v>88</v>
      </c>
      <c r="J1072" t="s">
        <v>147</v>
      </c>
      <c r="K1072" t="str">
        <f>B1030</f>
        <v>heat, residential, by combustion of hydrogen using CHP, allocated by exergy, transported by truck, produced by Electrolysis, PEM using water and electricity from grid</v>
      </c>
      <c r="L1072">
        <f>IF(OR(B1072&lt;0,B1072=0),1,2)</f>
        <v>2</v>
      </c>
      <c r="M1072">
        <f>IF(L1072=2,LN(B1072),"")</f>
        <v>-20.48373734782199</v>
      </c>
      <c r="N1072">
        <v>1.05</v>
      </c>
      <c r="O1072" s="15">
        <v>1.2</v>
      </c>
      <c r="P1072">
        <v>1</v>
      </c>
      <c r="Q1072">
        <v>1.01</v>
      </c>
      <c r="R1072">
        <v>1.2</v>
      </c>
      <c r="S1072">
        <v>1.2</v>
      </c>
      <c r="T1072">
        <v>3</v>
      </c>
      <c r="U1072">
        <f t="shared" si="40"/>
        <v>0.57209088006881903</v>
      </c>
    </row>
    <row r="1073" spans="1:22" x14ac:dyDescent="0.2">
      <c r="A1073" t="s">
        <v>156</v>
      </c>
      <c r="B1073" s="52">
        <f>0.00000011366*B1064</f>
        <v>1.461672399554354E-8</v>
      </c>
      <c r="C1073" t="s">
        <v>56</v>
      </c>
      <c r="E1073" t="s">
        <v>90</v>
      </c>
      <c r="F1073" t="s">
        <v>86</v>
      </c>
      <c r="G1073" t="s">
        <v>154</v>
      </c>
      <c r="H1073" t="s">
        <v>155</v>
      </c>
      <c r="K1073" t="str">
        <f>B1030</f>
        <v>heat, residential, by combustion of hydrogen using CHP, allocated by exergy, transported by truck, produced by Electrolysis, PEM using water and electricity from grid</v>
      </c>
      <c r="L1073">
        <f>IF(OR(B1073&lt;0,B1073=0),1,2)</f>
        <v>2</v>
      </c>
      <c r="M1073">
        <f>IF(L1073=2,LN(B1073),"")</f>
        <v>-18.041099484645969</v>
      </c>
      <c r="N1073">
        <v>1.05</v>
      </c>
      <c r="O1073" s="15">
        <v>1.2</v>
      </c>
      <c r="P1073">
        <v>1</v>
      </c>
      <c r="Q1073">
        <v>1.01</v>
      </c>
      <c r="R1073">
        <v>1.2</v>
      </c>
      <c r="S1073">
        <v>1.2</v>
      </c>
      <c r="T1073">
        <v>1.05</v>
      </c>
      <c r="U1073">
        <f t="shared" si="40"/>
        <v>0.16169679924070957</v>
      </c>
    </row>
    <row r="1074" spans="1:22" x14ac:dyDescent="0.2">
      <c r="A1074" t="s">
        <v>157</v>
      </c>
      <c r="B1074" s="52">
        <f>0.00000011366*B1064*-1</f>
        <v>-1.461672399554354E-8</v>
      </c>
      <c r="C1074" t="s">
        <v>56</v>
      </c>
      <c r="E1074" t="s">
        <v>64</v>
      </c>
      <c r="F1074" t="s">
        <v>86</v>
      </c>
      <c r="G1074" t="s">
        <v>158</v>
      </c>
      <c r="H1074" t="s">
        <v>155</v>
      </c>
      <c r="K1074" t="str">
        <f>B1030</f>
        <v>heat, residential, by combustion of hydrogen using CHP, allocated by exergy, transported by truck, produced by Electrolysis, PEM using water and electricity from grid</v>
      </c>
      <c r="L1074">
        <v>2</v>
      </c>
      <c r="M1074">
        <f>IF(L1074=2,LN(B1074*-1),"")</f>
        <v>-18.041099484645969</v>
      </c>
      <c r="N1074">
        <v>1.05</v>
      </c>
      <c r="O1074" s="15">
        <v>1.2</v>
      </c>
      <c r="P1074">
        <v>1</v>
      </c>
      <c r="Q1074">
        <v>1.01</v>
      </c>
      <c r="R1074">
        <v>1.2</v>
      </c>
      <c r="S1074">
        <v>1.2</v>
      </c>
      <c r="T1074">
        <v>3</v>
      </c>
      <c r="U1074">
        <f t="shared" si="40"/>
        <v>0.57209088006881903</v>
      </c>
      <c r="V1074" t="b">
        <v>1</v>
      </c>
    </row>
    <row r="1075" spans="1:22" x14ac:dyDescent="0.2">
      <c r="A1075" t="s">
        <v>1139</v>
      </c>
      <c r="B1075" s="53">
        <f>(B1069/B1053)/B1052*B1064</f>
        <v>2.56995248347223E-3</v>
      </c>
      <c r="C1075" t="str">
        <f>VLOOKUP(J1075,'dataset mapping'!$A$4:$E$69,5,0)</f>
        <v>kilogram</v>
      </c>
      <c r="E1075" t="str">
        <f>VLOOKUP(J1075,'dataset mapping'!$A$4:$E$69,4,0)</f>
        <v>CH</v>
      </c>
      <c r="F1075" t="s">
        <v>86</v>
      </c>
      <c r="G1075" t="s">
        <v>1137</v>
      </c>
      <c r="H1075" t="s">
        <v>76</v>
      </c>
      <c r="I1075" t="s">
        <v>1054</v>
      </c>
      <c r="J1075" t="s">
        <v>281</v>
      </c>
      <c r="K1075" t="str">
        <f>B1030</f>
        <v>heat, residential, by combustion of hydrogen using CHP, allocated by exergy, transported by truck, produced by Electrolysis, PEM using water and electricity from grid</v>
      </c>
      <c r="L1075">
        <f>IF(OR(B1075&lt;0,B1075=0),1,2)</f>
        <v>2</v>
      </c>
      <c r="M1075">
        <f>IF(L1075=2,LN(B1075),"")</f>
        <v>-5.9638678691672418</v>
      </c>
      <c r="N1075">
        <v>1.05</v>
      </c>
      <c r="O1075" s="15">
        <v>1.2</v>
      </c>
      <c r="P1075">
        <v>1</v>
      </c>
      <c r="Q1075">
        <v>1.01</v>
      </c>
      <c r="R1075">
        <v>1.2</v>
      </c>
      <c r="S1075">
        <v>1.2</v>
      </c>
      <c r="T1075">
        <v>1.05</v>
      </c>
      <c r="U1075">
        <f t="shared" si="40"/>
        <v>0.16169679924070957</v>
      </c>
    </row>
    <row r="1076" spans="1:22" x14ac:dyDescent="0.2">
      <c r="A1076" t="str">
        <f>VLOOKUP(J1076,'dataset mapping'!$A$4:$E$69,2,0)</f>
        <v>high pressure hydrogen storage tank</v>
      </c>
      <c r="B1076" s="52">
        <f>((B1065/10)/(B1063*B1059*20*3.6))*IF(B1064&lt;&gt;0,B1064,1)</f>
        <v>2.7529546486023421E-7</v>
      </c>
      <c r="C1076" t="str">
        <f>VLOOKUP(J1076,'dataset mapping'!$A$4:$E$69,5,0)</f>
        <v>kilogram</v>
      </c>
      <c r="E1076" t="str">
        <f>VLOOKUP(J1076,'dataset mapping'!$A$4:$E$69,4,0)</f>
        <v>GLO</v>
      </c>
      <c r="F1076" t="s">
        <v>86</v>
      </c>
      <c r="G1076" t="str">
        <f>VLOOKUP(J1076,'dataset mapping'!$A$4:$E$69,3,0)</f>
        <v>high pressure hydrogen storage tank</v>
      </c>
      <c r="H1076" t="s">
        <v>88</v>
      </c>
      <c r="I1076" t="s">
        <v>279</v>
      </c>
      <c r="J1076" t="s">
        <v>229</v>
      </c>
      <c r="K1076" t="str">
        <f>B1030</f>
        <v>heat, residential, by combustion of hydrogen using CHP, allocated by exergy, transported by truck, produced by Electrolysis, PEM using water and electricity from grid</v>
      </c>
      <c r="L1076">
        <f>IF(OR(B1076&lt;0,B1076=0),1,2)</f>
        <v>2</v>
      </c>
      <c r="M1076">
        <f>IF(L1076=2,LN(B1076),"")</f>
        <v>-15.105420898379837</v>
      </c>
      <c r="N1076">
        <v>1.05</v>
      </c>
      <c r="O1076" s="15">
        <v>1.2</v>
      </c>
      <c r="P1076">
        <v>1</v>
      </c>
      <c r="Q1076">
        <v>1.01</v>
      </c>
      <c r="R1076">
        <v>1.2</v>
      </c>
      <c r="S1076">
        <v>1.2</v>
      </c>
      <c r="T1076">
        <v>3</v>
      </c>
      <c r="U1076">
        <f t="shared" si="40"/>
        <v>0.57209088006881903</v>
      </c>
    </row>
    <row r="1077" spans="1:22" x14ac:dyDescent="0.2">
      <c r="A1077" t="s">
        <v>134</v>
      </c>
      <c r="B1077" s="45">
        <f>B1075*9</f>
        <v>2.3129572351250072E-2</v>
      </c>
      <c r="C1077" t="s">
        <v>56</v>
      </c>
      <c r="D1077" t="s">
        <v>100</v>
      </c>
      <c r="F1077" t="s">
        <v>99</v>
      </c>
      <c r="H1077" t="s">
        <v>131</v>
      </c>
      <c r="I1077" t="s">
        <v>1058</v>
      </c>
      <c r="K1077" t="str">
        <f>B1030</f>
        <v>heat, residential, by combustion of hydrogen using CHP, allocated by exergy, transported by truck, produced by Electrolysis, PEM using water and electricity from grid</v>
      </c>
      <c r="L1077">
        <f>IF(OR(B1077&lt;0,B1077=0),1,2)</f>
        <v>2</v>
      </c>
      <c r="M1077">
        <f>IF(L1077=2,LN(B1077),"")</f>
        <v>-3.7666432918310226</v>
      </c>
      <c r="N1077">
        <v>1.05</v>
      </c>
      <c r="O1077" s="15">
        <v>1.2</v>
      </c>
      <c r="P1077">
        <v>1</v>
      </c>
      <c r="Q1077">
        <v>1.01</v>
      </c>
      <c r="R1077">
        <v>1.2</v>
      </c>
      <c r="S1077">
        <v>1.2</v>
      </c>
      <c r="T1077">
        <v>1.05</v>
      </c>
      <c r="U1077">
        <f t="shared" si="40"/>
        <v>0.16169679924070957</v>
      </c>
    </row>
    <row r="1078" spans="1:22" x14ac:dyDescent="0.2">
      <c r="A1078" t="s">
        <v>135</v>
      </c>
      <c r="B1078" s="45">
        <f>912.5/1000000*B1075</f>
        <v>2.3450816411684101E-6</v>
      </c>
      <c r="C1078" t="s">
        <v>56</v>
      </c>
      <c r="D1078" t="s">
        <v>100</v>
      </c>
      <c r="F1078" t="s">
        <v>99</v>
      </c>
      <c r="H1078" t="s">
        <v>131</v>
      </c>
      <c r="I1078" t="s">
        <v>1217</v>
      </c>
      <c r="K1078" t="str">
        <f>B1030</f>
        <v>heat, residential, by combustion of hydrogen using CHP, allocated by exergy, transported by truck, produced by Electrolysis, PEM using water and electricity from grid</v>
      </c>
      <c r="L1078">
        <f>IF(OR(B1078&lt;0,B1078=0),1,2)</f>
        <v>2</v>
      </c>
      <c r="M1078">
        <f>IF(L1078=2,LN(B1078),"")</f>
        <v>-12.963190341674869</v>
      </c>
      <c r="N1078">
        <v>1.05</v>
      </c>
      <c r="O1078" s="15">
        <v>1.2</v>
      </c>
      <c r="P1078">
        <v>1</v>
      </c>
      <c r="Q1078">
        <v>1.01</v>
      </c>
      <c r="R1078">
        <v>1.2</v>
      </c>
      <c r="S1078">
        <v>1.2</v>
      </c>
      <c r="T1078">
        <v>1.5</v>
      </c>
      <c r="U1078">
        <f t="shared" si="40"/>
        <v>0.25816898211842121</v>
      </c>
    </row>
    <row r="1080" spans="1:22" x14ac:dyDescent="0.2">
      <c r="A1080" s="2" t="s">
        <v>50</v>
      </c>
      <c r="B1080" s="44" t="str">
        <f>IF(B1086="megajoule","heat","electricity")&amp;", residential, by "&amp;B1091&amp;" of "&amp;B1090&amp;" using "&amp;B1092&amp;IF(B1093&lt;&gt;0,", allocated by "&amp;B1093,"")&amp;", transported by "&amp;B1094&amp;", produced by "&amp;B1098&amp;" using "&amp;B1099&amp;" from "&amp;B1100</f>
        <v>heat, residential, by conversion of hydrogen using fuel cell, PEM, allocated by exergy, transported by truck, produced by Electrolysis, PEM using water and electricity from grid</v>
      </c>
    </row>
    <row r="1081" spans="1:22" x14ac:dyDescent="0.2">
      <c r="A1081" t="s">
        <v>51</v>
      </c>
      <c r="B1081" s="45" t="str">
        <f>"This dataset represents the supply of 1 "&amp;IF(B1086="megajoule","megajoule of heat","kilowatt hour of electricity")&amp;" in a residence, by "&amp;B1090&amp;" "&amp;B1091&amp;" in a "&amp;B1092&amp;". "&amp;" The hydrogen is transported by "&amp;B1094&amp;" over "&amp;B1095&amp;" km from regional storage. "&amp;" The "&amp;B1090&amp;" is produced by  "&amp;B1098&amp;", with "&amp;B1099&amp;" from "&amp;B1100&amp;" as feedstock. "&amp;A1102&amp;": "&amp;(B1102*100)&amp;"%. "&amp;A1103&amp;": "&amp;B1103&amp;". "&amp;A1104&amp;": "&amp;B1104&amp;". "&amp;A1105&amp;": "&amp;(B1105*100)&amp;"%. "&amp;A1106&amp;": "&amp;(B1106*100)&amp;"%. "&amp;A1107&amp;": "&amp;(B1107*100)&amp;"%. "&amp;A1108&amp;": "&amp;B1108&amp;". "&amp;A1109&amp;": "&amp;B1109&amp;". "&amp;A1110&amp;": "&amp;(B1110*100)&amp;"%. "&amp;A1111&amp;": "&amp;B1111&amp;". "&amp;A1112&amp;": "&amp;B1112&amp;". "&amp;A1113&amp;": "&amp;B1113&amp;". "&amp;A1114&amp;": "&amp;B1114&amp;".  For more information, refer to: "&amp;B1082</f>
        <v>This dataset represents the supply of 1 megajoule of heat in a residence, by hydrogen conversion in a fuel cell, PEM.  The hydrogen is transported by truck over 200 km from regional storage.  The hydrogen is produced by  Electrolysis, PEM,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1082" spans="1:22" x14ac:dyDescent="0.2">
      <c r="A1082" t="s">
        <v>63</v>
      </c>
      <c r="B1082" s="45" t="s">
        <v>1223</v>
      </c>
    </row>
    <row r="1083" spans="1:22" x14ac:dyDescent="0.2">
      <c r="A1083" t="s">
        <v>52</v>
      </c>
      <c r="B1083" s="45" t="s">
        <v>64</v>
      </c>
    </row>
    <row r="1084" spans="1:22" x14ac:dyDescent="0.2">
      <c r="A1084" t="s">
        <v>48</v>
      </c>
      <c r="B1084" s="45">
        <v>15</v>
      </c>
    </row>
    <row r="1085" spans="1:22" x14ac:dyDescent="0.2">
      <c r="A1085" t="s">
        <v>54</v>
      </c>
      <c r="B1085" s="45" t="str">
        <f>INDEX(overview!$B$4:$R$338,MATCH('hydrogen - electrolysis'!B1084,overview!$A$4:$A$338,0),MATCH('hydrogen - electrolysis'!A1085,overview!$B$3:$R$3,0))</f>
        <v>heat, from residential heating system</v>
      </c>
    </row>
    <row r="1086" spans="1:22" x14ac:dyDescent="0.2">
      <c r="A1086" t="s">
        <v>55</v>
      </c>
      <c r="B1086" s="45" t="str">
        <f>INDEX(overview!$B$4:$R$338,MATCH('hydrogen - electrolysis'!B1084,overview!$A$4:$A$338,0),MATCH('hydrogen - electrolysis'!A1086,overview!$B$3:$R$3,0))</f>
        <v>megajoule</v>
      </c>
    </row>
    <row r="1087" spans="1:22" x14ac:dyDescent="0.2">
      <c r="A1087" t="s">
        <v>0</v>
      </c>
      <c r="B1087" s="45" t="str">
        <f>INDEX(overview!$B$4:$R$338,MATCH('hydrogen - electrolysis'!B1084,overview!$A$4:$A$338,0),MATCH('hydrogen - electrolysis'!A1087,overview!$B$3:$R$3,0))</f>
        <v>Switzerland</v>
      </c>
    </row>
    <row r="1088" spans="1:22" x14ac:dyDescent="0.2">
      <c r="A1088" t="s">
        <v>1</v>
      </c>
      <c r="B1088" s="45">
        <f>INDEX(overview!$B$4:$R$338,MATCH('hydrogen - electrolysis'!B1084,overview!$A$4:$A$338,0),MATCH('hydrogen - electrolysis'!A1088,overview!$B$3:$R$3,0))</f>
        <v>2020</v>
      </c>
    </row>
    <row r="1089" spans="1:2" x14ac:dyDescent="0.2">
      <c r="A1089" t="s">
        <v>2</v>
      </c>
      <c r="B1089" s="45" t="str">
        <f>INDEX(overview!$B$4:$R$338,MATCH('hydrogen - electrolysis'!B1084,overview!$A$4:$A$338,0),MATCH('hydrogen - electrolysis'!A1089,overview!$B$3:$R$3,0))</f>
        <v>1 MJ heat</v>
      </c>
    </row>
    <row r="1090" spans="1:2" x14ac:dyDescent="0.2">
      <c r="A1090" t="s">
        <v>5</v>
      </c>
      <c r="B1090" s="45" t="str">
        <f>INDEX(overview!$B$4:$R$338,MATCH('hydrogen - electrolysis'!B1084,overview!$A$4:$A$338,0),MATCH('hydrogen - electrolysis'!A1090,overview!$B$3:$R$3,0))</f>
        <v>hydrogen</v>
      </c>
    </row>
    <row r="1091" spans="1:2" x14ac:dyDescent="0.2">
      <c r="A1091" t="s">
        <v>3</v>
      </c>
      <c r="B1091" s="45" t="str">
        <f>INDEX(overview!$B$4:$R$338,MATCH('hydrogen - electrolysis'!B1084,overview!$A$4:$A$338,0),MATCH('hydrogen - electrolysis'!A1091,overview!$B$3:$R$3,0))</f>
        <v>conversion</v>
      </c>
    </row>
    <row r="1092" spans="1:2" x14ac:dyDescent="0.2">
      <c r="A1092" t="s">
        <v>6</v>
      </c>
      <c r="B1092" s="45" t="str">
        <f>INDEX(overview!$B$4:$R$338,MATCH('hydrogen - electrolysis'!B1084,overview!$A$4:$A$338,0),MATCH('hydrogen - electrolysis'!A1092,overview!$B$3:$R$3,0))</f>
        <v>fuel cell, PEM</v>
      </c>
    </row>
    <row r="1093" spans="1:2" x14ac:dyDescent="0.2">
      <c r="A1093" t="s">
        <v>39</v>
      </c>
      <c r="B1093" s="45" t="str">
        <f>INDEX(overview!$B$4:$R$338,MATCH('hydrogen - electrolysis'!B1084,overview!$A$4:$A$338,0),MATCH('hydrogen - electrolysis'!A1093,overview!$B$3:$R$3,0))</f>
        <v>exergy</v>
      </c>
    </row>
    <row r="1094" spans="1:2" x14ac:dyDescent="0.2">
      <c r="A1094" t="s">
        <v>4</v>
      </c>
      <c r="B1094" s="45" t="str">
        <f>INDEX(overview!$B$4:$R$338,MATCH('hydrogen - electrolysis'!B1084,overview!$A$4:$A$338,0),MATCH('hydrogen - electrolysis'!A1094,overview!$B$3:$R$3,0))</f>
        <v>truck</v>
      </c>
    </row>
    <row r="1095" spans="1:2" x14ac:dyDescent="0.2">
      <c r="A1095" t="s">
        <v>38</v>
      </c>
      <c r="B1095" s="45">
        <f>INDEX(overview!$B$4:$R$338,MATCH('hydrogen - electrolysis'!B1084,overview!$A$4:$A$338,0),MATCH('hydrogen - electrolysis'!A1095,overview!$B$3:$R$3,0))</f>
        <v>200</v>
      </c>
    </row>
    <row r="1096" spans="1:2" x14ac:dyDescent="0.2">
      <c r="A1096" t="s">
        <v>12</v>
      </c>
      <c r="B1096" s="45" t="str">
        <f>INDEX(overview!$B$4:$R$338,MATCH('hydrogen - electrolysis'!B1084,overview!$A$4:$A$338,0),MATCH('hydrogen - electrolysis'!A1096,overview!$B$3:$R$3,0))</f>
        <v>Pressure vessel for stationary storage</v>
      </c>
    </row>
    <row r="1097" spans="1:2" x14ac:dyDescent="0.2">
      <c r="A1097" t="s">
        <v>34</v>
      </c>
      <c r="B1097" s="45">
        <f>INDEX(overview!$B$4:$R$338,MATCH('hydrogen - electrolysis'!B1084,overview!$A$4:$A$338,0),MATCH('hydrogen - electrolysis'!A1097,overview!$B$3:$R$3,0))</f>
        <v>0</v>
      </c>
    </row>
    <row r="1098" spans="1:2" x14ac:dyDescent="0.2">
      <c r="A1098" t="s">
        <v>15</v>
      </c>
      <c r="B1098" s="45" t="str">
        <f>INDEX(overview!$B$4:$R$338,MATCH('hydrogen - electrolysis'!B1084,overview!$A$4:$A$338,0),MATCH('hydrogen - electrolysis'!A1098,overview!$B$3:$R$3,0))</f>
        <v>Electrolysis, PEM</v>
      </c>
    </row>
    <row r="1099" spans="1:2" x14ac:dyDescent="0.2">
      <c r="A1099" t="s">
        <v>14</v>
      </c>
      <c r="B1099" s="45" t="str">
        <f>INDEX(overview!$B$4:$R$338,MATCH('hydrogen - electrolysis'!B1084,overview!$A$4:$A$338,0),MATCH('hydrogen - electrolysis'!A1099,overview!$B$3:$R$3,0))</f>
        <v>water and electricity</v>
      </c>
    </row>
    <row r="1100" spans="1:2" x14ac:dyDescent="0.2">
      <c r="A1100" t="s">
        <v>26</v>
      </c>
      <c r="B1100" s="45" t="str">
        <f>INDEX(overview!$B$4:$R$338,MATCH('hydrogen - electrolysis'!B1084,overview!$A$4:$A$338,0),MATCH('hydrogen - electrolysis'!A1100,overview!$B$3:$R$3,0))</f>
        <v>grid</v>
      </c>
    </row>
    <row r="1101" spans="1:2" x14ac:dyDescent="0.2">
      <c r="A1101" t="s">
        <v>29</v>
      </c>
      <c r="B1101" s="45">
        <f>INDEX(overview!$B$4:$R$338,MATCH('hydrogen - electrolysis'!B1084,overview!$A$4:$A$338,0),MATCH('hydrogen - electrolysis'!A1101,overview!$B$3:$R$3,0))</f>
        <v>0</v>
      </c>
    </row>
    <row r="1102" spans="1:2" x14ac:dyDescent="0.2">
      <c r="A1102" t="str">
        <f>IF(B1086="megajoule","Heat","Electricity")&amp;" conversion efficiency [% LHV input]"</f>
        <v>Heat conversion efficiency [% LHV input]</v>
      </c>
      <c r="B1102" s="46">
        <f>INDEX(parameters!$D$4:$N$20,MATCH('hydrogen - electrolysis'!B1090&amp;'hydrogen - electrolysis'!B1092,parameters!$A$4:$A$20,0),MATCH('hydrogen - electrolysis'!A1102,parameters!$D$3:$N$3,0))</f>
        <v>0.5</v>
      </c>
    </row>
    <row r="1103" spans="1:2" x14ac:dyDescent="0.2">
      <c r="A1103" t="str">
        <f>IF(B1086="megajoule","LHV [MJ/kg]","LHV [kWh/kg]")</f>
        <v>LHV [MJ/kg]</v>
      </c>
      <c r="B1103" s="47">
        <f>INDEX(parameters!$D$4:$N$20,MATCH('hydrogen - electrolysis'!B1090&amp;'hydrogen - electrolysis'!B1092,parameters!$A$4:$A$20,0),MATCH('hydrogen - electrolysis'!A1103,parameters!$D$3:$N$3,0))</f>
        <v>120</v>
      </c>
    </row>
    <row r="1104" spans="1:2" x14ac:dyDescent="0.2">
      <c r="A1104" t="s">
        <v>41</v>
      </c>
      <c r="B1104" s="48">
        <f>INDEX(parameters!$D$4:$N$20,MATCH('hydrogen - electrolysis'!B1090&amp;'hydrogen - electrolysis'!B1092,parameters!$A$4:$A$20,0),MATCH('hydrogen - electrolysis'!A1104,parameters!$D$3:$N$3,0))</f>
        <v>2.6666666666666665E-2</v>
      </c>
    </row>
    <row r="1105" spans="1:22" x14ac:dyDescent="0.2">
      <c r="A1105" t="s">
        <v>45</v>
      </c>
      <c r="B1105" s="46">
        <f>INDEX(parameters!$D$4:$N$20,MATCH('hydrogen - electrolysis'!B1090&amp;'hydrogen - electrolysis'!B1092,parameters!$A$4:$A$20,0),MATCH('hydrogen - electrolysis'!A1105,parameters!$D$3:$N$3,0))</f>
        <v>0</v>
      </c>
    </row>
    <row r="1106" spans="1:22" x14ac:dyDescent="0.2">
      <c r="A1106" t="s">
        <v>46</v>
      </c>
      <c r="B1106" s="46">
        <f>INDEX(parameters!$D$4:$N$20,MATCH('hydrogen - electrolysis'!B1090&amp;'hydrogen - electrolysis'!B1092,parameters!$A$4:$A$20,0),MATCH('hydrogen - electrolysis'!A1106,parameters!$D$3:$N$3,0))</f>
        <v>1.4999999999999999E-2</v>
      </c>
    </row>
    <row r="1107" spans="1:22" x14ac:dyDescent="0.2">
      <c r="A1107" t="s">
        <v>43</v>
      </c>
      <c r="B1107" s="46">
        <f>INDEX(parameters!$D$4:$N$20,MATCH('hydrogen - electrolysis'!B1090&amp;'hydrogen - electrolysis'!B1092,parameters!$A$4:$A$20,0),MATCH('hydrogen - electrolysis'!A1107,parameters!$D$3:$N$3,0))</f>
        <v>0</v>
      </c>
    </row>
    <row r="1108" spans="1:22" x14ac:dyDescent="0.2">
      <c r="A1108" t="s">
        <v>44</v>
      </c>
      <c r="B1108" s="46">
        <f>INDEX(parameters!$D$4:$N$20,MATCH('hydrogen - electrolysis'!B1090&amp;'hydrogen - electrolysis'!B1092,parameters!$A$4:$A$20,0),MATCH('hydrogen - electrolysis'!A1108,parameters!$D$3:$N$3,0))</f>
        <v>0</v>
      </c>
    </row>
    <row r="1109" spans="1:22" x14ac:dyDescent="0.2">
      <c r="A1109" t="s">
        <v>634</v>
      </c>
      <c r="B1109" s="51">
        <f>INDEX(parameters!$D$4:$Y$20,MATCH('hydrogen - electrolysis'!B1090&amp;'hydrogen - electrolysis'!B1092,parameters!$A$4:$A$20,0),MATCH('hydrogen - electrolysis'!A1109,parameters!$D$3:$Y$3,0))</f>
        <v>1.8947368421052633</v>
      </c>
    </row>
    <row r="1110" spans="1:22" x14ac:dyDescent="0.2">
      <c r="A1110" t="s">
        <v>82</v>
      </c>
      <c r="B1110" s="46">
        <f>IF(B1101&lt;&gt;0,VLOOKUP(B1101,parameters!A767:B769,2,0),0)</f>
        <v>0</v>
      </c>
    </row>
    <row r="1111" spans="1:22" x14ac:dyDescent="0.2">
      <c r="A1111" t="s">
        <v>548</v>
      </c>
      <c r="B1111" s="50">
        <f>INDEX(parameters!$D$4:$P$20,MATCH(B1090&amp;B1092,parameters!$A$4:$A$20,0),MATCH(A1111,parameters!$D$3:$P$3,0))</f>
        <v>0.8</v>
      </c>
    </row>
    <row r="1112" spans="1:22" x14ac:dyDescent="0.2">
      <c r="A1112" t="s">
        <v>547</v>
      </c>
      <c r="B1112" s="51">
        <f>INDEX(parameters!$D$4:$P$20,MATCH(B1090&amp;B1092,parameters!$A$4:$A$20,0),MATCH(A1112,parameters!$D$3:$P$3,0))</f>
        <v>4.8780487804878048</v>
      </c>
    </row>
    <row r="1113" spans="1:22" x14ac:dyDescent="0.2">
      <c r="A1113" t="s">
        <v>630</v>
      </c>
      <c r="B1113" s="51">
        <f>INDEX(parameters!$D$4:$T$20,MATCH(B1090&amp;B1092,parameters!$A$4:$A$20,0),MATCH(A1113,parameters!$D$3:$T$3,0))</f>
        <v>4100</v>
      </c>
    </row>
    <row r="1114" spans="1:22" x14ac:dyDescent="0.2">
      <c r="A1114" t="s">
        <v>1005</v>
      </c>
      <c r="B1114" s="50">
        <f>IF(B1086="megajoule",SUMIFS(allocation!$I$4:$I$30,allocation!$B$4:$B$30,B1092,allocation!$C$4:$C$30,B1093),SUMIFS(allocation!$J$4:$J$30,allocation!$B$4:$B$30,B1092,allocation!$C$4:$C$30,B1093))</f>
        <v>0.13933980798974457</v>
      </c>
    </row>
    <row r="1115" spans="1:22" x14ac:dyDescent="0.2">
      <c r="A1115" t="s">
        <v>1050</v>
      </c>
      <c r="B1115" s="51">
        <f>INDEX(parameters!$D$4:$AB$20,MATCH(B1090&amp;B1092,parameters!$A$4:$A$20,0),MATCH(A1115,parameters!$D$3:$AB$3,0))</f>
        <v>10.221606648199446</v>
      </c>
    </row>
    <row r="1117" spans="1:22" x14ac:dyDescent="0.2">
      <c r="A1117" s="3" t="s">
        <v>57</v>
      </c>
    </row>
    <row r="1118" spans="1:22" x14ac:dyDescent="0.2">
      <c r="A1118" s="2" t="s">
        <v>58</v>
      </c>
      <c r="B1118" s="44" t="s">
        <v>59</v>
      </c>
      <c r="C1118" s="2" t="s">
        <v>55</v>
      </c>
      <c r="D1118" s="2" t="s">
        <v>60</v>
      </c>
      <c r="E1118" s="2" t="s">
        <v>52</v>
      </c>
      <c r="F1118" s="2" t="s">
        <v>61</v>
      </c>
      <c r="G1118" s="2" t="s">
        <v>54</v>
      </c>
      <c r="H1118" s="2" t="s">
        <v>87</v>
      </c>
      <c r="I1118" s="2" t="s">
        <v>51</v>
      </c>
      <c r="J1118" s="2" t="s">
        <v>138</v>
      </c>
      <c r="K1118" s="2" t="s">
        <v>136</v>
      </c>
      <c r="L1118" s="2" t="s">
        <v>221</v>
      </c>
      <c r="M1118" s="2" t="s">
        <v>379</v>
      </c>
      <c r="N1118" s="2" t="s">
        <v>1059</v>
      </c>
      <c r="O1118" s="2" t="s">
        <v>1060</v>
      </c>
      <c r="P1118" s="2" t="s">
        <v>1061</v>
      </c>
      <c r="Q1118" s="2" t="s">
        <v>1062</v>
      </c>
      <c r="R1118" s="2" t="s">
        <v>1063</v>
      </c>
      <c r="S1118" s="2" t="s">
        <v>1064</v>
      </c>
      <c r="T1118" s="2" t="s">
        <v>1065</v>
      </c>
      <c r="U1118" s="2" t="s">
        <v>380</v>
      </c>
      <c r="V1118" s="2" t="s">
        <v>1128</v>
      </c>
    </row>
    <row r="1119" spans="1:22" x14ac:dyDescent="0.2">
      <c r="A1119" t="str">
        <f>B1080</f>
        <v>heat, residential, by conversion of hydrogen using fuel cell, PEM, allocated by exergy, transported by truck, produced by Electrolysis, PEM using water and electricity from grid</v>
      </c>
      <c r="B1119" s="45">
        <v>1</v>
      </c>
      <c r="C1119" t="str">
        <f>B1086</f>
        <v>megajoule</v>
      </c>
      <c r="E1119" t="str">
        <f>B1083</f>
        <v>CH</v>
      </c>
      <c r="F1119" t="s">
        <v>62</v>
      </c>
      <c r="G1119" t="str">
        <f>B1085</f>
        <v>heat, from residential heating system</v>
      </c>
      <c r="K1119" t="str">
        <f>B1080</f>
        <v>heat, residential, by conversion of hydrogen using fuel cell, PEM, allocated by exergy, transported by truck, produced by Electrolysis, PEM using water and electricity from grid</v>
      </c>
    </row>
    <row r="1120" spans="1:22" x14ac:dyDescent="0.2">
      <c r="A1120" t="str">
        <f>VLOOKUP(J1120,'dataset mapping'!$A$4:$E$69,2,0)</f>
        <v>fuel cell system assembly, 1 kWe, proton exchange membrane (PEM)</v>
      </c>
      <c r="B1120" s="52">
        <f>(1/(B1109*B1113*B1112*3.6))*B1114</f>
        <v>1.0213951974556892E-6</v>
      </c>
      <c r="C1120" t="str">
        <f>VLOOKUP(J1120,'dataset mapping'!$A$4:$E$69,5,0)</f>
        <v>unit</v>
      </c>
      <c r="E1120" t="str">
        <f>VLOOKUP(J1120,'dataset mapping'!$A$4:$E$69,4,0)</f>
        <v>GLO</v>
      </c>
      <c r="F1120" t="s">
        <v>86</v>
      </c>
      <c r="G1120" t="str">
        <f>VLOOKUP(J1120,'dataset mapping'!$A$4:$E$69,3,0)</f>
        <v>fuel cell system, 1 kWe, proton exchange membrane (PEM)</v>
      </c>
      <c r="H1120" t="s">
        <v>88</v>
      </c>
      <c r="I1120" t="s">
        <v>272</v>
      </c>
      <c r="J1120" t="s">
        <v>273</v>
      </c>
      <c r="K1120" t="str">
        <f>B1080</f>
        <v>heat, residential, by conversion of hydrogen using fuel cell, PEM, allocated by exergy, transported by truck, produced by Electrolysis, PEM using water and electricity from grid</v>
      </c>
      <c r="L1120">
        <f>IF(OR(B1120&lt;0,B1120=0),1,2)</f>
        <v>2</v>
      </c>
      <c r="M1120">
        <f>IF(L1120=2,LN(B1120),"")</f>
        <v>-13.794341024667077</v>
      </c>
      <c r="N1120">
        <v>1</v>
      </c>
      <c r="O1120" s="15">
        <v>1.2</v>
      </c>
      <c r="P1120">
        <v>1</v>
      </c>
      <c r="Q1120">
        <v>1.01</v>
      </c>
      <c r="R1120">
        <v>1.2</v>
      </c>
      <c r="S1120">
        <v>1.2</v>
      </c>
      <c r="T1120">
        <v>3</v>
      </c>
      <c r="U1120">
        <f>LN(SQRT(EXP(
SQRT(
+POWER(LN(N1120),2)
+POWER(LN(O1120),2)
+POWER(LN(P1120),2)
+POWER(LN(Q1120),2)
+POWER(LN(R1120),2)
+POWER(LN(S1120),2)
+POWER(LN(T1120),2)
)
)))</f>
        <v>0.57157051623399524</v>
      </c>
    </row>
    <row r="1121" spans="1:21" x14ac:dyDescent="0.2">
      <c r="A1121" t="s">
        <v>1139</v>
      </c>
      <c r="B1121" s="53">
        <f>(B1119/B1103)/B1102*B1114</f>
        <v>2.3223301331624095E-3</v>
      </c>
      <c r="C1121" t="str">
        <f>VLOOKUP(J1121,'dataset mapping'!$A$4:$E$69,5,0)</f>
        <v>kilogram</v>
      </c>
      <c r="E1121" t="str">
        <f>VLOOKUP(J1121,'dataset mapping'!$A$4:$E$69,4,0)</f>
        <v>CH</v>
      </c>
      <c r="F1121" t="s">
        <v>86</v>
      </c>
      <c r="G1121" t="s">
        <v>1137</v>
      </c>
      <c r="H1121" t="s">
        <v>76</v>
      </c>
      <c r="I1121" t="s">
        <v>1054</v>
      </c>
      <c r="J1121" t="s">
        <v>281</v>
      </c>
      <c r="K1121" t="str">
        <f>B1080</f>
        <v>heat, residential, by conversion of hydrogen using fuel cell, PEM, allocated by exergy, transported by truck, produced by Electrolysis, PEM using water and electricity from grid</v>
      </c>
      <c r="L1121">
        <f>IF(OR(B1121&lt;0,B1121=0),1,2)</f>
        <v>2</v>
      </c>
      <c r="M1121">
        <f>IF(L1121=2,LN(B1121),"")</f>
        <v>-6.0651842296013152</v>
      </c>
      <c r="N1121">
        <v>1</v>
      </c>
      <c r="O1121" s="15">
        <v>1.2</v>
      </c>
      <c r="P1121">
        <v>1</v>
      </c>
      <c r="Q1121">
        <v>1.01</v>
      </c>
      <c r="R1121">
        <v>1.2</v>
      </c>
      <c r="S1121">
        <v>1.2</v>
      </c>
      <c r="T1121">
        <v>1.05</v>
      </c>
      <c r="U1121">
        <f>LN(SQRT(EXP(
SQRT(
+POWER(LN(N1121),2)
+POWER(LN(O1121),2)
+POWER(LN(P1121),2)
+POWER(LN(Q1121),2)
+POWER(LN(R1121),2)
+POWER(LN(S1121),2)
+POWER(LN(T1121),2)
)
)))</f>
        <v>0.15984597228197622</v>
      </c>
    </row>
    <row r="1122" spans="1:21" x14ac:dyDescent="0.2">
      <c r="A1122" t="str">
        <f>VLOOKUP(J1122,'dataset mapping'!$A$4:$E$69,2,0)</f>
        <v>high pressure hydrogen storage tank</v>
      </c>
      <c r="B1122" s="52">
        <f>((B1115/10)/(B1113*B1109*20*3.6))*IF(B1114&lt;&gt;0,B1114,1)</f>
        <v>2.5464146196956242E-7</v>
      </c>
      <c r="C1122" t="str">
        <f>VLOOKUP(J1122,'dataset mapping'!$A$4:$E$69,5,0)</f>
        <v>kilogram</v>
      </c>
      <c r="E1122" t="str">
        <f>VLOOKUP(J1122,'dataset mapping'!$A$4:$E$69,4,0)</f>
        <v>GLO</v>
      </c>
      <c r="F1122" t="s">
        <v>86</v>
      </c>
      <c r="G1122" t="str">
        <f>VLOOKUP(J1122,'dataset mapping'!$A$4:$E$69,3,0)</f>
        <v>high pressure hydrogen storage tank</v>
      </c>
      <c r="H1122" t="s">
        <v>88</v>
      </c>
      <c r="I1122" t="s">
        <v>280</v>
      </c>
      <c r="J1122" t="s">
        <v>229</v>
      </c>
      <c r="K1122" t="str">
        <f>B1080</f>
        <v>heat, residential, by conversion of hydrogen using fuel cell, PEM, allocated by exergy, transported by truck, produced by Electrolysis, PEM using water and electricity from grid</v>
      </c>
      <c r="L1122">
        <f>IF(OR(B1122&lt;0,B1122=0),1,2)</f>
        <v>2</v>
      </c>
      <c r="M1122">
        <f>IF(L1122=2,LN(B1122),"")</f>
        <v>-15.183409312669692</v>
      </c>
      <c r="N1122">
        <v>1</v>
      </c>
      <c r="O1122" s="15">
        <v>1.2</v>
      </c>
      <c r="P1122">
        <v>1</v>
      </c>
      <c r="Q1122">
        <v>1.01</v>
      </c>
      <c r="R1122">
        <v>1.2</v>
      </c>
      <c r="S1122">
        <v>1.2</v>
      </c>
      <c r="T1122">
        <v>3</v>
      </c>
      <c r="U1122">
        <f>LN(SQRT(EXP(
SQRT(
+POWER(LN(N1122),2)
+POWER(LN(O1122),2)
+POWER(LN(P1122),2)
+POWER(LN(Q1122),2)
+POWER(LN(R1122),2)
+POWER(LN(S1122),2)
+POWER(LN(T1122),2)
)
)))</f>
        <v>0.57157051623399524</v>
      </c>
    </row>
    <row r="1123" spans="1:21" x14ac:dyDescent="0.2">
      <c r="A1123" t="s">
        <v>134</v>
      </c>
      <c r="B1123" s="45">
        <f>B1121*9</f>
        <v>2.0900971198461685E-2</v>
      </c>
      <c r="C1123" t="s">
        <v>56</v>
      </c>
      <c r="D1123" t="s">
        <v>100</v>
      </c>
      <c r="F1123" t="s">
        <v>99</v>
      </c>
      <c r="H1123" t="s">
        <v>131</v>
      </c>
      <c r="I1123" t="s">
        <v>1057</v>
      </c>
      <c r="K1123" t="str">
        <f>B1080</f>
        <v>heat, residential, by conversion of hydrogen using fuel cell, PEM, allocated by exergy, transported by truck, produced by Electrolysis, PEM using water and electricity from grid</v>
      </c>
      <c r="L1123">
        <f>IF(OR(B1123&lt;0,B1123=0),1,2)</f>
        <v>2</v>
      </c>
      <c r="M1123">
        <f>IF(L1123=2,LN(B1123),"")</f>
        <v>-3.8679596522650961</v>
      </c>
      <c r="N1123">
        <v>1</v>
      </c>
      <c r="O1123" s="15">
        <v>1.2</v>
      </c>
      <c r="P1123">
        <v>1</v>
      </c>
      <c r="Q1123">
        <v>1.01</v>
      </c>
      <c r="R1123">
        <v>1.2</v>
      </c>
      <c r="S1123">
        <v>1.2</v>
      </c>
      <c r="T1123">
        <v>1.05</v>
      </c>
      <c r="U1123">
        <f>LN(SQRT(EXP(
SQRT(
+POWER(LN(N1123),2)
+POWER(LN(O1123),2)
+POWER(LN(P1123),2)
+POWER(LN(Q1123),2)
+POWER(LN(R1123),2)
+POWER(LN(S1123),2)
+POWER(LN(T1123),2)
)
)))</f>
        <v>0.15984597228197622</v>
      </c>
    </row>
    <row r="1125" spans="1:21" x14ac:dyDescent="0.2">
      <c r="A1125" s="2" t="s">
        <v>50</v>
      </c>
      <c r="B1125" s="44" t="str">
        <f>IF(B1131="megajoule","heat","electricity")&amp;", residential, by "&amp;B1136&amp;" of "&amp;B1135&amp;" using "&amp;B1137&amp;IF(B1138&lt;&gt;0,", allocated by "&amp;B1138,"")&amp;", transported by "&amp;B1139&amp;", produced by "&amp;B1143&amp;" using "&amp;B1144&amp;" from "&amp;B1145</f>
        <v>heat, residential, by conversion of hydrogen using fuel cell, SOFC, allocated by exergy, transported by truck, produced by Electrolysis, PEM using water and electricity from grid</v>
      </c>
    </row>
    <row r="1126" spans="1:21" x14ac:dyDescent="0.2">
      <c r="A1126" t="s">
        <v>51</v>
      </c>
      <c r="B1126" s="45" t="str">
        <f>"This dataset represents the supply of 1 "&amp;IF(B1131="megajoule","megajoule of heat","kilowatt hour of electricity")&amp;" in a residence, by "&amp;B1135&amp;" "&amp;B1136&amp;" in a "&amp;B1137&amp;". "&amp;" The hydrogen is transported by "&amp;B1139&amp;" over "&amp;B1140&amp;" km from regional storage. "&amp;" The "&amp;B1135&amp;" is produced by  "&amp;B1143&amp;", with "&amp;B1144&amp;" from "&amp;B1145&amp;" as feedstock. "&amp;A1147&amp;": "&amp;(B1147*100)&amp;"%. "&amp;A1148&amp;": "&amp;B1148&amp;". "&amp;A1149&amp;": "&amp;B1149&amp;". "&amp;A1150&amp;": "&amp;(B1150*100)&amp;"%. "&amp;A1151&amp;": "&amp;(B1151*100)&amp;"%. "&amp;A1152&amp;": "&amp;(B1152*100)&amp;"%. "&amp;A1153&amp;": "&amp;B1153&amp;". "&amp;A1154&amp;": "&amp;B1154&amp;". "&amp;A1155&amp;": "&amp;(B1155*100)&amp;"%. "&amp;A1156&amp;": "&amp;B1156&amp;". "&amp;A1157&amp;": "&amp;B1157&amp;". "&amp;A1158&amp;": "&amp;B1158&amp;". "&amp;A1159&amp;": "&amp;B1159&amp;".  For more information, refer to: "&amp;B1127</f>
        <v>This dataset represents the supply of 1 megajoule of heat in a residence, by hydrogen conversion in a fuel cell, SOFC.  The hydrogen is transported by truck over 200 km from regional storage.  The hydrogen is produced by  Electrolysis, PEM,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1127" spans="1:21" x14ac:dyDescent="0.2">
      <c r="A1127" t="s">
        <v>63</v>
      </c>
      <c r="B1127" s="45" t="s">
        <v>1223</v>
      </c>
    </row>
    <row r="1128" spans="1:21" x14ac:dyDescent="0.2">
      <c r="A1128" t="s">
        <v>52</v>
      </c>
      <c r="B1128" s="45" t="s">
        <v>64</v>
      </c>
    </row>
    <row r="1129" spans="1:21" x14ac:dyDescent="0.2">
      <c r="A1129" t="s">
        <v>48</v>
      </c>
      <c r="B1129" s="45">
        <v>16</v>
      </c>
    </row>
    <row r="1130" spans="1:21" x14ac:dyDescent="0.2">
      <c r="A1130" t="s">
        <v>54</v>
      </c>
      <c r="B1130" s="45" t="str">
        <f>INDEX(overview!$B$4:$R$338,MATCH('hydrogen - electrolysis'!B1129,overview!$A$4:$A$338,0),MATCH('hydrogen - electrolysis'!A1130,overview!$B$3:$R$3,0))</f>
        <v>heat, from residential heating system</v>
      </c>
    </row>
    <row r="1131" spans="1:21" x14ac:dyDescent="0.2">
      <c r="A1131" t="s">
        <v>55</v>
      </c>
      <c r="B1131" s="45" t="str">
        <f>INDEX(overview!$B$4:$R$338,MATCH('hydrogen - electrolysis'!B1129,overview!$A$4:$A$338,0),MATCH('hydrogen - electrolysis'!A1131,overview!$B$3:$R$3,0))</f>
        <v>megajoule</v>
      </c>
    </row>
    <row r="1132" spans="1:21" x14ac:dyDescent="0.2">
      <c r="A1132" t="s">
        <v>0</v>
      </c>
      <c r="B1132" s="45" t="str">
        <f>INDEX(overview!$B$4:$R$338,MATCH('hydrogen - electrolysis'!B1129,overview!$A$4:$A$338,0),MATCH('hydrogen - electrolysis'!A1132,overview!$B$3:$R$3,0))</f>
        <v>Switzerland</v>
      </c>
    </row>
    <row r="1133" spans="1:21" x14ac:dyDescent="0.2">
      <c r="A1133" t="s">
        <v>1</v>
      </c>
      <c r="B1133" s="45">
        <f>INDEX(overview!$B$4:$R$338,MATCH('hydrogen - electrolysis'!B1129,overview!$A$4:$A$338,0),MATCH('hydrogen - electrolysis'!A1133,overview!$B$3:$R$3,0))</f>
        <v>2020</v>
      </c>
    </row>
    <row r="1134" spans="1:21" x14ac:dyDescent="0.2">
      <c r="A1134" t="s">
        <v>2</v>
      </c>
      <c r="B1134" s="45" t="str">
        <f>INDEX(overview!$B$4:$R$338,MATCH('hydrogen - electrolysis'!B1129,overview!$A$4:$A$338,0),MATCH('hydrogen - electrolysis'!A1134,overview!$B$3:$R$3,0))</f>
        <v>1 MJ heat</v>
      </c>
    </row>
    <row r="1135" spans="1:21" x14ac:dyDescent="0.2">
      <c r="A1135" t="s">
        <v>5</v>
      </c>
      <c r="B1135" s="45" t="str">
        <f>INDEX(overview!$B$4:$R$338,MATCH('hydrogen - electrolysis'!B1129,overview!$A$4:$A$338,0),MATCH('hydrogen - electrolysis'!A1135,overview!$B$3:$R$3,0))</f>
        <v>hydrogen</v>
      </c>
    </row>
    <row r="1136" spans="1:21" x14ac:dyDescent="0.2">
      <c r="A1136" t="s">
        <v>3</v>
      </c>
      <c r="B1136" s="45" t="str">
        <f>INDEX(overview!$B$4:$R$338,MATCH('hydrogen - electrolysis'!B1129,overview!$A$4:$A$338,0),MATCH('hydrogen - electrolysis'!A1136,overview!$B$3:$R$3,0))</f>
        <v>conversion</v>
      </c>
    </row>
    <row r="1137" spans="1:2" x14ac:dyDescent="0.2">
      <c r="A1137" t="s">
        <v>6</v>
      </c>
      <c r="B1137" s="45" t="str">
        <f>INDEX(overview!$B$4:$R$338,MATCH('hydrogen - electrolysis'!B1129,overview!$A$4:$A$338,0),MATCH('hydrogen - electrolysis'!A1137,overview!$B$3:$R$3,0))</f>
        <v>fuel cell, SOFC</v>
      </c>
    </row>
    <row r="1138" spans="1:2" x14ac:dyDescent="0.2">
      <c r="A1138" t="s">
        <v>39</v>
      </c>
      <c r="B1138" s="45" t="str">
        <f>INDEX(overview!$B$4:$R$338,MATCH('hydrogen - electrolysis'!B1129,overview!$A$4:$A$338,0),MATCH('hydrogen - electrolysis'!A1138,overview!$B$3:$R$3,0))</f>
        <v>exergy</v>
      </c>
    </row>
    <row r="1139" spans="1:2" x14ac:dyDescent="0.2">
      <c r="A1139" t="s">
        <v>4</v>
      </c>
      <c r="B1139" s="45" t="str">
        <f>INDEX(overview!$B$4:$R$338,MATCH('hydrogen - electrolysis'!B1129,overview!$A$4:$A$338,0),MATCH('hydrogen - electrolysis'!A1139,overview!$B$3:$R$3,0))</f>
        <v>truck</v>
      </c>
    </row>
    <row r="1140" spans="1:2" x14ac:dyDescent="0.2">
      <c r="A1140" t="s">
        <v>38</v>
      </c>
      <c r="B1140" s="45">
        <f>INDEX(overview!$B$4:$R$338,MATCH('hydrogen - electrolysis'!B1129,overview!$A$4:$A$338,0),MATCH('hydrogen - electrolysis'!A1140,overview!$B$3:$R$3,0))</f>
        <v>200</v>
      </c>
    </row>
    <row r="1141" spans="1:2" x14ac:dyDescent="0.2">
      <c r="A1141" t="s">
        <v>12</v>
      </c>
      <c r="B1141" s="45" t="str">
        <f>INDEX(overview!$B$4:$R$338,MATCH('hydrogen - electrolysis'!B1129,overview!$A$4:$A$338,0),MATCH('hydrogen - electrolysis'!A1141,overview!$B$3:$R$3,0))</f>
        <v>Pressure vessel for stationary storage</v>
      </c>
    </row>
    <row r="1142" spans="1:2" x14ac:dyDescent="0.2">
      <c r="A1142" t="s">
        <v>34</v>
      </c>
      <c r="B1142" s="45">
        <f>INDEX(overview!$B$4:$R$338,MATCH('hydrogen - electrolysis'!B1129,overview!$A$4:$A$338,0),MATCH('hydrogen - electrolysis'!A1142,overview!$B$3:$R$3,0))</f>
        <v>0</v>
      </c>
    </row>
    <row r="1143" spans="1:2" x14ac:dyDescent="0.2">
      <c r="A1143" t="s">
        <v>15</v>
      </c>
      <c r="B1143" s="45" t="str">
        <f>INDEX(overview!$B$4:$R$338,MATCH('hydrogen - electrolysis'!B1129,overview!$A$4:$A$338,0),MATCH('hydrogen - electrolysis'!A1143,overview!$B$3:$R$3,0))</f>
        <v>Electrolysis, PEM</v>
      </c>
    </row>
    <row r="1144" spans="1:2" x14ac:dyDescent="0.2">
      <c r="A1144" t="s">
        <v>14</v>
      </c>
      <c r="B1144" s="45" t="str">
        <f>INDEX(overview!$B$4:$R$338,MATCH('hydrogen - electrolysis'!B1129,overview!$A$4:$A$338,0),MATCH('hydrogen - electrolysis'!A1144,overview!$B$3:$R$3,0))</f>
        <v>water and electricity</v>
      </c>
    </row>
    <row r="1145" spans="1:2" x14ac:dyDescent="0.2">
      <c r="A1145" t="s">
        <v>26</v>
      </c>
      <c r="B1145" s="45" t="str">
        <f>INDEX(overview!$B$4:$R$338,MATCH('hydrogen - electrolysis'!B1129,overview!$A$4:$A$338,0),MATCH('hydrogen - electrolysis'!A1145,overview!$B$3:$R$3,0))</f>
        <v>grid</v>
      </c>
    </row>
    <row r="1146" spans="1:2" x14ac:dyDescent="0.2">
      <c r="A1146" t="s">
        <v>29</v>
      </c>
      <c r="B1146" s="45">
        <f>INDEX(overview!$B$4:$R$338,MATCH('hydrogen - electrolysis'!B1129,overview!$A$4:$A$338,0),MATCH('hydrogen - electrolysis'!A1146,overview!$B$3:$R$3,0))</f>
        <v>0</v>
      </c>
    </row>
    <row r="1147" spans="1:2" x14ac:dyDescent="0.2">
      <c r="A1147" t="str">
        <f>IF(B1131="megajoule","Heat","Electricity")&amp;" conversion efficiency [% LHV input]"</f>
        <v>Heat conversion efficiency [% LHV input]</v>
      </c>
      <c r="B1147" s="46">
        <f>INDEX(parameters!$D$4:$N$20,MATCH('hydrogen - electrolysis'!B1135&amp;'hydrogen - electrolysis'!B1137,parameters!$A$4:$A$20,0),MATCH('hydrogen - electrolysis'!A1147,parameters!$D$3:$N$3,0))</f>
        <v>0.53</v>
      </c>
    </row>
    <row r="1148" spans="1:2" x14ac:dyDescent="0.2">
      <c r="A1148" t="str">
        <f>IF(B1131="megajoule","LHV [MJ/kg]","LHV [kWh/kg]")</f>
        <v>LHV [MJ/kg]</v>
      </c>
      <c r="B1148" s="47">
        <f>INDEX(parameters!$D$4:$N$20,MATCH('hydrogen - electrolysis'!B1135&amp;'hydrogen - electrolysis'!B1137,parameters!$A$4:$A$20,0),MATCH('hydrogen - electrolysis'!A1148,parameters!$D$3:$N$3,0))</f>
        <v>120</v>
      </c>
    </row>
    <row r="1149" spans="1:2" x14ac:dyDescent="0.2">
      <c r="A1149" t="s">
        <v>41</v>
      </c>
      <c r="B1149" s="48">
        <f>INDEX(parameters!$D$4:$N$20,MATCH('hydrogen - electrolysis'!B1135&amp;'hydrogen - electrolysis'!B1137,parameters!$A$4:$A$20,0),MATCH('hydrogen - electrolysis'!A1149,parameters!$D$3:$N$3,0))</f>
        <v>2.6666666666666665E-2</v>
      </c>
    </row>
    <row r="1150" spans="1:2" x14ac:dyDescent="0.2">
      <c r="A1150" t="s">
        <v>45</v>
      </c>
      <c r="B1150" s="46">
        <f>INDEX(parameters!$D$4:$N$20,MATCH('hydrogen - electrolysis'!B1135&amp;'hydrogen - electrolysis'!B1137,parameters!$A$4:$A$20,0),MATCH('hydrogen - electrolysis'!A1150,parameters!$D$3:$N$3,0))</f>
        <v>0</v>
      </c>
    </row>
    <row r="1151" spans="1:2" x14ac:dyDescent="0.2">
      <c r="A1151" t="s">
        <v>46</v>
      </c>
      <c r="B1151" s="46">
        <f>INDEX(parameters!$D$4:$N$20,MATCH('hydrogen - electrolysis'!B1135&amp;'hydrogen - electrolysis'!B1137,parameters!$A$4:$A$20,0),MATCH('hydrogen - electrolysis'!A1151,parameters!$D$3:$N$3,0))</f>
        <v>1.4999999999999999E-2</v>
      </c>
    </row>
    <row r="1152" spans="1:2" x14ac:dyDescent="0.2">
      <c r="A1152" t="s">
        <v>43</v>
      </c>
      <c r="B1152" s="46">
        <f>INDEX(parameters!$D$4:$N$20,MATCH('hydrogen - electrolysis'!B1135&amp;'hydrogen - electrolysis'!B1137,parameters!$A$4:$A$20,0),MATCH('hydrogen - electrolysis'!A1152,parameters!$D$3:$N$3,0))</f>
        <v>0</v>
      </c>
    </row>
    <row r="1153" spans="1:22" x14ac:dyDescent="0.2">
      <c r="A1153" t="s">
        <v>44</v>
      </c>
      <c r="B1153" s="46">
        <f>INDEX(parameters!$D$4:$N$20,MATCH('hydrogen - electrolysis'!B1135&amp;'hydrogen - electrolysis'!B1137,parameters!$A$4:$A$20,0),MATCH('hydrogen - electrolysis'!A1153,parameters!$D$3:$N$3,0))</f>
        <v>0</v>
      </c>
    </row>
    <row r="1154" spans="1:22" x14ac:dyDescent="0.2">
      <c r="A1154" t="s">
        <v>634</v>
      </c>
      <c r="B1154" s="51">
        <f>INDEX(parameters!$D$4:$Y$20,MATCH('hydrogen - electrolysis'!B1135&amp;'hydrogen - electrolysis'!B1137,parameters!$A$4:$A$20,0),MATCH('hydrogen - electrolysis'!A1154,parameters!$D$3:$Y$3,0))</f>
        <v>225</v>
      </c>
      <c r="D1154" s="8"/>
    </row>
    <row r="1155" spans="1:22" x14ac:dyDescent="0.2">
      <c r="A1155" t="s">
        <v>82</v>
      </c>
      <c r="B1155" s="46">
        <f>IF(B1146&lt;&gt;0,VLOOKUP(B1146,parameters!A815:B817,2,0),0)</f>
        <v>0</v>
      </c>
    </row>
    <row r="1156" spans="1:22" x14ac:dyDescent="0.2">
      <c r="A1156" t="s">
        <v>548</v>
      </c>
      <c r="B1156" s="50">
        <f>INDEX(parameters!$D$4:$P$20,MATCH(B1135&amp;B1137,parameters!$A$4:$A$20,0),MATCH(A1156,parameters!$D$3:$P$3,0))</f>
        <v>100</v>
      </c>
    </row>
    <row r="1157" spans="1:22" x14ac:dyDescent="0.2">
      <c r="A1157" t="s">
        <v>547</v>
      </c>
      <c r="B1157" s="51">
        <f>INDEX(parameters!$D$4:$P$20,MATCH(B1135&amp;B1137,parameters!$A$4:$A$20,0),MATCH(A1157,parameters!$D$3:$P$3,0))</f>
        <v>6</v>
      </c>
    </row>
    <row r="1158" spans="1:22" x14ac:dyDescent="0.2">
      <c r="A1158" t="s">
        <v>630</v>
      </c>
      <c r="B1158" s="51">
        <f>INDEX(parameters!$D$4:$T$20,MATCH(B1135&amp;B1137,parameters!$A$4:$A$20,0),MATCH(A1158,parameters!$D$3:$T$3,0))</f>
        <v>4100</v>
      </c>
    </row>
    <row r="1159" spans="1:22" x14ac:dyDescent="0.2">
      <c r="A1159" t="s">
        <v>1005</v>
      </c>
      <c r="B1159" s="50">
        <f>IF(B1131="megajoule",SUMIFS(allocation!$I$4:$I$30,allocation!$B$4:$B$30,B1137,allocation!$C$4:$C$30,B1138),SUMIFS(allocation!$J$4:$J$30,allocation!$B$4:$B$30,B1137,allocation!$C$4:$C$30,B1138))</f>
        <v>0.13587506510399097</v>
      </c>
    </row>
    <row r="1160" spans="1:22" x14ac:dyDescent="0.2">
      <c r="A1160" t="s">
        <v>1050</v>
      </c>
      <c r="B1160" s="51">
        <f>INDEX(parameters!$D$4:$AB$20,MATCH(B1135&amp;B1137,parameters!$A$4:$A$20,0),MATCH(A1160,parameters!$D$3:$AB$3,0))</f>
        <v>1153.1249999999998</v>
      </c>
    </row>
    <row r="1162" spans="1:22" x14ac:dyDescent="0.2">
      <c r="A1162" s="3" t="s">
        <v>57</v>
      </c>
    </row>
    <row r="1163" spans="1:22" x14ac:dyDescent="0.2">
      <c r="A1163" s="2" t="s">
        <v>58</v>
      </c>
      <c r="B1163" s="44" t="s">
        <v>59</v>
      </c>
      <c r="C1163" s="2" t="s">
        <v>55</v>
      </c>
      <c r="D1163" s="2" t="s">
        <v>60</v>
      </c>
      <c r="E1163" s="2" t="s">
        <v>52</v>
      </c>
      <c r="F1163" s="2" t="s">
        <v>61</v>
      </c>
      <c r="G1163" s="2" t="s">
        <v>54</v>
      </c>
      <c r="H1163" s="2" t="s">
        <v>87</v>
      </c>
      <c r="I1163" s="2" t="s">
        <v>51</v>
      </c>
      <c r="J1163" s="2" t="s">
        <v>138</v>
      </c>
      <c r="K1163" s="2" t="s">
        <v>136</v>
      </c>
      <c r="L1163" s="2" t="s">
        <v>221</v>
      </c>
      <c r="M1163" s="2" t="s">
        <v>379</v>
      </c>
      <c r="N1163" s="2" t="s">
        <v>1059</v>
      </c>
      <c r="O1163" s="2" t="s">
        <v>1060</v>
      </c>
      <c r="P1163" s="2" t="s">
        <v>1061</v>
      </c>
      <c r="Q1163" s="2" t="s">
        <v>1062</v>
      </c>
      <c r="R1163" s="2" t="s">
        <v>1063</v>
      </c>
      <c r="S1163" s="2" t="s">
        <v>1064</v>
      </c>
      <c r="T1163" s="2" t="s">
        <v>1065</v>
      </c>
      <c r="U1163" s="2" t="s">
        <v>380</v>
      </c>
      <c r="V1163" s="2" t="s">
        <v>1128</v>
      </c>
    </row>
    <row r="1164" spans="1:22" x14ac:dyDescent="0.2">
      <c r="A1164" t="str">
        <f>B1125</f>
        <v>heat, residential, by conversion of hydrogen using fuel cell, SOFC, allocated by exergy, transported by truck, produced by Electrolysis, PEM using water and electricity from grid</v>
      </c>
      <c r="B1164" s="45">
        <v>1</v>
      </c>
      <c r="C1164" t="str">
        <f>B1131</f>
        <v>megajoule</v>
      </c>
      <c r="E1164" t="str">
        <f>B1128</f>
        <v>CH</v>
      </c>
      <c r="F1164" t="s">
        <v>62</v>
      </c>
      <c r="G1164" t="str">
        <f>B1130</f>
        <v>heat, from residential heating system</v>
      </c>
      <c r="K1164" t="str">
        <f>B1125</f>
        <v>heat, residential, by conversion of hydrogen using fuel cell, SOFC, allocated by exergy, transported by truck, produced by Electrolysis, PEM using water and electricity from grid</v>
      </c>
    </row>
    <row r="1165" spans="1:22" x14ac:dyDescent="0.2">
      <c r="A1165" t="str">
        <f>VLOOKUP(J1165,'dataset mapping'!$A$4:$E$69,2,0)</f>
        <v>fuel cell production, stack solid oxide, 125kW electrical, future</v>
      </c>
      <c r="B1165" s="52">
        <f>(1/(B1154*B1158*B1157*3.6))*B1159</f>
        <v>6.8189834941278219E-9</v>
      </c>
      <c r="C1165" t="str">
        <f>VLOOKUP(J1165,'dataset mapping'!$A$4:$E$69,5,0)</f>
        <v>unit</v>
      </c>
      <c r="E1165" t="str">
        <f>VLOOKUP(J1165,'dataset mapping'!$A$4:$E$69,4,0)</f>
        <v>CH</v>
      </c>
      <c r="F1165" t="s">
        <v>86</v>
      </c>
      <c r="G1165" t="str">
        <f>VLOOKUP(J1165,'dataset mapping'!$A$4:$E$69,3,0)</f>
        <v>fuel cell, stack solid oxide, 125kW electrical, future</v>
      </c>
      <c r="H1165" t="s">
        <v>88</v>
      </c>
      <c r="I1165" t="s">
        <v>277</v>
      </c>
      <c r="J1165" t="s">
        <v>274</v>
      </c>
      <c r="K1165" t="str">
        <f>B1125</f>
        <v>heat, residential, by conversion of hydrogen using fuel cell, SOFC, allocated by exergy, transported by truck, produced by Electrolysis, PEM using water and electricity from grid</v>
      </c>
      <c r="L1165">
        <f t="shared" ref="L1165:L1170" si="41">IF(OR(B1165&lt;0,B1165=0),1,2)</f>
        <v>2</v>
      </c>
      <c r="M1165">
        <f t="shared" ref="M1165:M1170" si="42">IF(L1165=2,LN(B1165),"")</f>
        <v>-18.80355542398161</v>
      </c>
      <c r="N1165">
        <v>1</v>
      </c>
      <c r="O1165" s="15">
        <v>1.2</v>
      </c>
      <c r="P1165">
        <v>1</v>
      </c>
      <c r="Q1165">
        <v>1.01</v>
      </c>
      <c r="R1165">
        <v>1.2</v>
      </c>
      <c r="S1165">
        <v>1.2</v>
      </c>
      <c r="T1165">
        <v>3</v>
      </c>
      <c r="U1165">
        <f t="shared" ref="U1165:U1170" si="43">LN(SQRT(EXP(
SQRT(
+POWER(LN(N1165),2)
+POWER(LN(O1165),2)
+POWER(LN(P1165),2)
+POWER(LN(Q1165),2)
+POWER(LN(R1165),2)
+POWER(LN(S1165),2)
+POWER(LN(T1165),2)
)
)))</f>
        <v>0.57157051623399524</v>
      </c>
    </row>
    <row r="1166" spans="1:22" x14ac:dyDescent="0.2">
      <c r="A1166" t="s">
        <v>283</v>
      </c>
      <c r="B1166" s="52">
        <f>(1/(B1154*B1158*B1157*3.6))*B1159</f>
        <v>6.8189834941278219E-9</v>
      </c>
      <c r="C1166" t="s">
        <v>55</v>
      </c>
      <c r="E1166" t="s">
        <v>64</v>
      </c>
      <c r="F1166" t="s">
        <v>86</v>
      </c>
      <c r="G1166" t="s">
        <v>284</v>
      </c>
      <c r="H1166" t="s">
        <v>88</v>
      </c>
      <c r="I1166" t="s">
        <v>277</v>
      </c>
      <c r="K1166" t="str">
        <f>B1125</f>
        <v>heat, residential, by conversion of hydrogen using fuel cell, SOFC, allocated by exergy, transported by truck, produced by Electrolysis, PEM using water and electricity from grid</v>
      </c>
      <c r="L1166">
        <f t="shared" si="41"/>
        <v>2</v>
      </c>
      <c r="M1166">
        <f t="shared" si="42"/>
        <v>-18.80355542398161</v>
      </c>
      <c r="N1166">
        <v>1</v>
      </c>
      <c r="O1166" s="15">
        <v>1.2</v>
      </c>
      <c r="P1166">
        <v>1</v>
      </c>
      <c r="Q1166">
        <v>1.01</v>
      </c>
      <c r="R1166">
        <v>1.2</v>
      </c>
      <c r="S1166">
        <v>1.2</v>
      </c>
      <c r="T1166">
        <v>3</v>
      </c>
      <c r="U1166">
        <f t="shared" si="43"/>
        <v>0.57157051623399524</v>
      </c>
    </row>
    <row r="1167" spans="1:22" x14ac:dyDescent="0.2">
      <c r="A1167" t="s">
        <v>288</v>
      </c>
      <c r="B1167" s="52">
        <f>0.000024*B1159</f>
        <v>3.2610015624957834E-6</v>
      </c>
      <c r="C1167" t="s">
        <v>56</v>
      </c>
      <c r="E1167" t="s">
        <v>64</v>
      </c>
      <c r="F1167" t="s">
        <v>86</v>
      </c>
      <c r="G1167" t="s">
        <v>287</v>
      </c>
      <c r="H1167" t="s">
        <v>88</v>
      </c>
      <c r="K1167" t="str">
        <f>B1125</f>
        <v>heat, residential, by conversion of hydrogen using fuel cell, SOFC, allocated by exergy, transported by truck, produced by Electrolysis, PEM using water and electricity from grid</v>
      </c>
      <c r="L1167">
        <f t="shared" si="41"/>
        <v>2</v>
      </c>
      <c r="M1167">
        <f t="shared" si="42"/>
        <v>-12.633476182011</v>
      </c>
      <c r="N1167">
        <v>1</v>
      </c>
      <c r="O1167" s="15">
        <v>1.2</v>
      </c>
      <c r="P1167">
        <v>1</v>
      </c>
      <c r="Q1167">
        <v>1.01</v>
      </c>
      <c r="R1167">
        <v>1.2</v>
      </c>
      <c r="S1167">
        <v>1.2</v>
      </c>
      <c r="T1167">
        <v>1.05</v>
      </c>
      <c r="U1167">
        <f t="shared" si="43"/>
        <v>0.15984597228197622</v>
      </c>
    </row>
    <row r="1168" spans="1:22" x14ac:dyDescent="0.2">
      <c r="A1168" t="s">
        <v>1139</v>
      </c>
      <c r="B1168" s="53">
        <f>(B1164/B1148)/B1147*B1159</f>
        <v>2.1364003947168392E-3</v>
      </c>
      <c r="C1168" t="str">
        <f>VLOOKUP(J1168,'dataset mapping'!$A$4:$E$69,5,0)</f>
        <v>kilogram</v>
      </c>
      <c r="E1168" t="str">
        <f>VLOOKUP(J1168,'dataset mapping'!$A$4:$E$69,4,0)</f>
        <v>CH</v>
      </c>
      <c r="F1168" t="s">
        <v>86</v>
      </c>
      <c r="G1168" t="s">
        <v>1137</v>
      </c>
      <c r="H1168" t="s">
        <v>76</v>
      </c>
      <c r="I1168" t="s">
        <v>1054</v>
      </c>
      <c r="J1168" t="s">
        <v>281</v>
      </c>
      <c r="K1168" t="str">
        <f>B1125</f>
        <v>heat, residential, by conversion of hydrogen using fuel cell, SOFC, allocated by exergy, transported by truck, produced by Electrolysis, PEM using water and electricity from grid</v>
      </c>
      <c r="L1168">
        <f t="shared" si="41"/>
        <v>2</v>
      </c>
      <c r="M1168">
        <f t="shared" si="42"/>
        <v>-6.1486329247407472</v>
      </c>
      <c r="N1168">
        <v>1</v>
      </c>
      <c r="O1168" s="15">
        <v>1.2</v>
      </c>
      <c r="P1168">
        <v>1</v>
      </c>
      <c r="Q1168">
        <v>1.01</v>
      </c>
      <c r="R1168">
        <v>1.2</v>
      </c>
      <c r="S1168">
        <v>1.2</v>
      </c>
      <c r="T1168">
        <v>1.05</v>
      </c>
      <c r="U1168">
        <f t="shared" si="43"/>
        <v>0.15984597228197622</v>
      </c>
    </row>
    <row r="1169" spans="1:21" x14ac:dyDescent="0.2">
      <c r="A1169" t="str">
        <f>VLOOKUP(J1169,'dataset mapping'!$A$4:$E$69,2,0)</f>
        <v>high pressure hydrogen storage tank</v>
      </c>
      <c r="B1169" s="52">
        <f>((B1160/10)/(B1158*B1154*20*3.6))*IF(B1159&lt;&gt;0,B1159,1)</f>
        <v>2.3589421024998428E-7</v>
      </c>
      <c r="C1169" t="str">
        <f>VLOOKUP(J1169,'dataset mapping'!$A$4:$E$69,5,0)</f>
        <v>kilogram</v>
      </c>
      <c r="E1169" t="str">
        <f>VLOOKUP(J1169,'dataset mapping'!$A$4:$E$69,4,0)</f>
        <v>GLO</v>
      </c>
      <c r="F1169" t="s">
        <v>86</v>
      </c>
      <c r="G1169" t="str">
        <f>VLOOKUP(J1169,'dataset mapping'!$A$4:$E$69,3,0)</f>
        <v>high pressure hydrogen storage tank</v>
      </c>
      <c r="H1169" t="s">
        <v>88</v>
      </c>
      <c r="I1169" t="s">
        <v>230</v>
      </c>
      <c r="J1169" t="s">
        <v>229</v>
      </c>
      <c r="K1169" t="str">
        <f>B1125</f>
        <v>heat, residential, by conversion of hydrogen using fuel cell, SOFC, allocated by exergy, transported by truck, produced by Electrolysis, PEM using water and electricity from grid</v>
      </c>
      <c r="L1169">
        <f t="shared" si="41"/>
        <v>2</v>
      </c>
      <c r="M1169">
        <f t="shared" si="42"/>
        <v>-15.259882394072699</v>
      </c>
      <c r="N1169">
        <v>1</v>
      </c>
      <c r="O1169" s="15">
        <v>1.2</v>
      </c>
      <c r="P1169">
        <v>1</v>
      </c>
      <c r="Q1169">
        <v>1.01</v>
      </c>
      <c r="R1169">
        <v>1.2</v>
      </c>
      <c r="S1169">
        <v>1.2</v>
      </c>
      <c r="T1169">
        <v>3</v>
      </c>
      <c r="U1169">
        <f t="shared" si="43"/>
        <v>0.57157051623399524</v>
      </c>
    </row>
    <row r="1170" spans="1:21" x14ac:dyDescent="0.2">
      <c r="A1170" t="s">
        <v>134</v>
      </c>
      <c r="B1170" s="45">
        <f>B1168*9</f>
        <v>1.9227603552451553E-2</v>
      </c>
      <c r="C1170" t="s">
        <v>56</v>
      </c>
      <c r="D1170" t="s">
        <v>100</v>
      </c>
      <c r="F1170" t="s">
        <v>99</v>
      </c>
      <c r="H1170" t="s">
        <v>131</v>
      </c>
      <c r="I1170" t="s">
        <v>1057</v>
      </c>
      <c r="K1170" t="str">
        <f>B1125</f>
        <v>heat, residential, by conversion of hydrogen using fuel cell, SOFC, allocated by exergy, transported by truck, produced by Electrolysis, PEM using water and electricity from grid</v>
      </c>
      <c r="L1170">
        <f t="shared" si="41"/>
        <v>2</v>
      </c>
      <c r="M1170">
        <f t="shared" si="42"/>
        <v>-3.9514083474045276</v>
      </c>
      <c r="N1170">
        <v>1</v>
      </c>
      <c r="O1170" s="15">
        <v>1.2</v>
      </c>
      <c r="P1170">
        <v>1</v>
      </c>
      <c r="Q1170">
        <v>1.01</v>
      </c>
      <c r="R1170">
        <v>1.2</v>
      </c>
      <c r="S1170">
        <v>1.2</v>
      </c>
      <c r="T1170">
        <v>1.05</v>
      </c>
      <c r="U1170">
        <f t="shared" si="43"/>
        <v>0.15984597228197622</v>
      </c>
    </row>
    <row r="1172" spans="1:21" x14ac:dyDescent="0.2">
      <c r="A1172" s="2" t="s">
        <v>50</v>
      </c>
      <c r="B1172" s="44" t="str">
        <f>IF(B1178="megajoule","heat","electricity")&amp;", residential, by "&amp;B1183&amp;" of "&amp;B1182&amp;" using "&amp;B1184&amp;IF(B1185&lt;&gt;0,", allocated by "&amp;B1185,"")&amp;", transported by "&amp;B1186&amp;", produced by "&amp;B1190&amp;" using "&amp;B1191&amp;" from "&amp;B1192</f>
        <v>electricity, residential, by combustion of hydrogen using CHP, allocated by exergy, transported by truck, produced by Electrolysis, PEM using water and electricity from grid</v>
      </c>
    </row>
    <row r="1173" spans="1:21" x14ac:dyDescent="0.2">
      <c r="A1173" t="s">
        <v>51</v>
      </c>
      <c r="B1173" s="45" t="str">
        <f>"This dataset represents the supply of 1 "&amp;IF(B1178="megajoule","megajoule of heat","kilowatt hour of electricity")&amp;" in a residence, by "&amp;B1182&amp;" "&amp;B1183&amp;" in a "&amp;B1184&amp;". "&amp;" The hydrogen is transported by "&amp;B1186&amp;" over "&amp;B1187&amp;" km from regional storage. "&amp;" The "&amp;B1182&amp;" is produced by  "&amp;B1190&amp;", with "&amp;B1191&amp;" from "&amp;B1192&amp;" as feedstock. "&amp;A1194&amp;": "&amp;(B1194*100)&amp;"%. "&amp;A1195&amp;": "&amp;B1195&amp;". "&amp;A1196&amp;": "&amp;B1196&amp;". "&amp;A1197&amp;": "&amp;(B1197*100)&amp;"%. "&amp;A1198&amp;": "&amp;(B1198*100)&amp;"%. "&amp;A1199&amp;": "&amp;(B1199*100)&amp;"%. "&amp;A1200&amp;": "&amp;B1200&amp;". "&amp;A1201&amp;": "&amp;B1201&amp;". "&amp;A1202&amp;": "&amp;(B1202*100)&amp;"%. "&amp;A1203&amp;": "&amp;B1203&amp;". "&amp;A1204&amp;": "&amp;B1204&amp;". "&amp;A1205&amp;": "&amp;B1205&amp;". "&amp;A1206&amp;": "&amp;B1206&amp;".  For more information, refer to: "&amp;B1174</f>
        <v>This dataset represents the supply of 1 kilowatt hour of electricity in a residence, by hydrogen combustion in a CHP.  The hydrogen is transported by truck over 200 km from regional storage.  The hydrogen is produced by  Electrolysis, PEM,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1174" spans="1:21" x14ac:dyDescent="0.2">
      <c r="A1174" t="s">
        <v>63</v>
      </c>
      <c r="B1174" s="45" t="s">
        <v>1223</v>
      </c>
    </row>
    <row r="1175" spans="1:21" x14ac:dyDescent="0.2">
      <c r="A1175" t="s">
        <v>52</v>
      </c>
      <c r="B1175" s="45" t="s">
        <v>64</v>
      </c>
    </row>
    <row r="1176" spans="1:21" x14ac:dyDescent="0.2">
      <c r="A1176" t="s">
        <v>48</v>
      </c>
      <c r="B1176" s="45" t="s">
        <v>874</v>
      </c>
    </row>
    <row r="1177" spans="1:21" x14ac:dyDescent="0.2">
      <c r="A1177" t="s">
        <v>54</v>
      </c>
      <c r="B1177" s="45" t="str">
        <f>INDEX(overview!$B$4:$R$338,MATCH('hydrogen - electrolysis'!B1176,overview!$A$4:$A$338,0),MATCH('hydrogen - electrolysis'!A1177,overview!$B$3:$R$3,0))</f>
        <v>electricity, from residential heating system</v>
      </c>
    </row>
    <row r="1178" spans="1:21" x14ac:dyDescent="0.2">
      <c r="A1178" t="s">
        <v>55</v>
      </c>
      <c r="B1178" s="45" t="str">
        <f>INDEX(overview!$B$4:$R$338,MATCH('hydrogen - electrolysis'!B1176,overview!$A$4:$A$338,0),MATCH('hydrogen - electrolysis'!A1178,overview!$B$3:$R$3,0))</f>
        <v>kilowatt hour</v>
      </c>
    </row>
    <row r="1179" spans="1:21" x14ac:dyDescent="0.2">
      <c r="A1179" t="s">
        <v>0</v>
      </c>
      <c r="B1179" s="45" t="str">
        <f>INDEX(overview!$B$4:$R$338,MATCH('hydrogen - electrolysis'!B1176,overview!$A$4:$A$338,0),MATCH('hydrogen - electrolysis'!A1179,overview!$B$3:$R$3,0))</f>
        <v>Switzerland</v>
      </c>
    </row>
    <row r="1180" spans="1:21" x14ac:dyDescent="0.2">
      <c r="A1180" t="s">
        <v>1</v>
      </c>
      <c r="B1180" s="45">
        <f>INDEX(overview!$B$4:$R$338,MATCH('hydrogen - electrolysis'!B1176,overview!$A$4:$A$338,0),MATCH('hydrogen - electrolysis'!A1180,overview!$B$3:$R$3,0))</f>
        <v>2020</v>
      </c>
    </row>
    <row r="1181" spans="1:21" x14ac:dyDescent="0.2">
      <c r="A1181" t="s">
        <v>2</v>
      </c>
      <c r="B1181" s="45" t="str">
        <f>INDEX(overview!$B$4:$R$338,MATCH('hydrogen - electrolysis'!B1176,overview!$A$4:$A$338,0),MATCH('hydrogen - electrolysis'!A1181,overview!$B$3:$R$3,0))</f>
        <v>1 kWh electricity</v>
      </c>
    </row>
    <row r="1182" spans="1:21" x14ac:dyDescent="0.2">
      <c r="A1182" t="s">
        <v>5</v>
      </c>
      <c r="B1182" s="45" t="str">
        <f>INDEX(overview!$B$4:$R$338,MATCH('hydrogen - electrolysis'!B1176,overview!$A$4:$A$338,0),MATCH('hydrogen - electrolysis'!A1182,overview!$B$3:$R$3,0))</f>
        <v>hydrogen</v>
      </c>
    </row>
    <row r="1183" spans="1:21" x14ac:dyDescent="0.2">
      <c r="A1183" t="s">
        <v>3</v>
      </c>
      <c r="B1183" s="45" t="str">
        <f>INDEX(overview!$B$4:$R$338,MATCH('hydrogen - electrolysis'!B1176,overview!$A$4:$A$338,0),MATCH('hydrogen - electrolysis'!A1183,overview!$B$3:$R$3,0))</f>
        <v>combustion</v>
      </c>
    </row>
    <row r="1184" spans="1:21" x14ac:dyDescent="0.2">
      <c r="A1184" t="s">
        <v>6</v>
      </c>
      <c r="B1184" s="45" t="str">
        <f>INDEX(overview!$B$4:$R$338,MATCH('hydrogen - electrolysis'!B1176,overview!$A$4:$A$338,0),MATCH('hydrogen - electrolysis'!A1184,overview!$B$3:$R$3,0))</f>
        <v>CHP</v>
      </c>
    </row>
    <row r="1185" spans="1:2" x14ac:dyDescent="0.2">
      <c r="A1185" t="s">
        <v>39</v>
      </c>
      <c r="B1185" s="45" t="str">
        <f>INDEX(overview!$B$4:$R$338,MATCH('hydrogen - electrolysis'!B1176,overview!$A$4:$A$338,0),MATCH('hydrogen - electrolysis'!A1185,overview!$B$3:$R$3,0))</f>
        <v>exergy</v>
      </c>
    </row>
    <row r="1186" spans="1:2" x14ac:dyDescent="0.2">
      <c r="A1186" t="s">
        <v>4</v>
      </c>
      <c r="B1186" s="45" t="str">
        <f>INDEX(overview!$B$4:$R$338,MATCH('hydrogen - electrolysis'!B1176,overview!$A$4:$A$338,0),MATCH('hydrogen - electrolysis'!A1186,overview!$B$3:$R$3,0))</f>
        <v>truck</v>
      </c>
    </row>
    <row r="1187" spans="1:2" x14ac:dyDescent="0.2">
      <c r="A1187" t="s">
        <v>38</v>
      </c>
      <c r="B1187" s="45">
        <f>INDEX(overview!$B$4:$R$338,MATCH('hydrogen - electrolysis'!B1176,overview!$A$4:$A$338,0),MATCH('hydrogen - electrolysis'!A1187,overview!$B$3:$R$3,0))</f>
        <v>200</v>
      </c>
    </row>
    <row r="1188" spans="1:2" x14ac:dyDescent="0.2">
      <c r="A1188" t="s">
        <v>12</v>
      </c>
      <c r="B1188" s="45" t="str">
        <f>INDEX(overview!$B$4:$R$338,MATCH('hydrogen - electrolysis'!B1176,overview!$A$4:$A$338,0),MATCH('hydrogen - electrolysis'!A1188,overview!$B$3:$R$3,0))</f>
        <v>Pressure vessel for stationary storage</v>
      </c>
    </row>
    <row r="1189" spans="1:2" x14ac:dyDescent="0.2">
      <c r="A1189" t="s">
        <v>34</v>
      </c>
      <c r="B1189" s="45">
        <f>INDEX(overview!$B$4:$R$338,MATCH('hydrogen - electrolysis'!B1176,overview!$A$4:$A$338,0),MATCH('hydrogen - electrolysis'!A1189,overview!$B$3:$R$3,0))</f>
        <v>0</v>
      </c>
    </row>
    <row r="1190" spans="1:2" x14ac:dyDescent="0.2">
      <c r="A1190" t="s">
        <v>15</v>
      </c>
      <c r="B1190" s="45" t="str">
        <f>INDEX(overview!$B$4:$R$338,MATCH('hydrogen - electrolysis'!B1176,overview!$A$4:$A$338,0),MATCH('hydrogen - electrolysis'!A1190,overview!$B$3:$R$3,0))</f>
        <v>Electrolysis, PEM</v>
      </c>
    </row>
    <row r="1191" spans="1:2" x14ac:dyDescent="0.2">
      <c r="A1191" t="s">
        <v>14</v>
      </c>
      <c r="B1191" s="45" t="str">
        <f>INDEX(overview!$B$4:$R$338,MATCH('hydrogen - electrolysis'!B1176,overview!$A$4:$A$338,0),MATCH('hydrogen - electrolysis'!A1191,overview!$B$3:$R$3,0))</f>
        <v>water and electricity</v>
      </c>
    </row>
    <row r="1192" spans="1:2" x14ac:dyDescent="0.2">
      <c r="A1192" t="s">
        <v>26</v>
      </c>
      <c r="B1192" s="45" t="str">
        <f>INDEX(overview!$B$4:$R$338,MATCH('hydrogen - electrolysis'!B1176,overview!$A$4:$A$338,0),MATCH('hydrogen - electrolysis'!A1192,overview!$B$3:$R$3,0))</f>
        <v>grid</v>
      </c>
    </row>
    <row r="1193" spans="1:2" x14ac:dyDescent="0.2">
      <c r="A1193" t="s">
        <v>29</v>
      </c>
      <c r="B1193" s="45">
        <f>INDEX(overview!$B$4:$R$338,MATCH('hydrogen - electrolysis'!B1176,overview!$A$4:$A$338,0),MATCH('hydrogen - electrolysis'!A1193,overview!$B$3:$R$3,0))</f>
        <v>0</v>
      </c>
    </row>
    <row r="1194" spans="1:2" x14ac:dyDescent="0.2">
      <c r="A1194" t="str">
        <f>IF(B1178="megajoule","Heat","Electricity")&amp;" conversion efficiency [% LHV input]"</f>
        <v>Electricity conversion efficiency [% LHV input]</v>
      </c>
      <c r="B1194" s="46">
        <f>INDEX(parameters!$D$4:$N$20,MATCH('hydrogen - electrolysis'!B1182&amp;'hydrogen - electrolysis'!B1184,parameters!$A$4:$A$20,0),MATCH('hydrogen - electrolysis'!A1194,parameters!$D$3:$N$3,0))</f>
        <v>0.39400000000000002</v>
      </c>
    </row>
    <row r="1195" spans="1:2" x14ac:dyDescent="0.2">
      <c r="A1195" t="str">
        <f>IF(B1178="megajoule","LHV [MJ/kg]","LHV [kWh/kg]")</f>
        <v>LHV [kWh/kg]</v>
      </c>
      <c r="B1195" s="47">
        <f>INDEX(parameters!$D$4:$N$20,MATCH('hydrogen - electrolysis'!B1182&amp;'hydrogen - electrolysis'!B1184,parameters!$A$4:$A$20,0),MATCH('hydrogen - electrolysis'!A1195,parameters!$D$3:$N$3,0))</f>
        <v>33.333333333333336</v>
      </c>
    </row>
    <row r="1196" spans="1:2" x14ac:dyDescent="0.2">
      <c r="A1196" t="s">
        <v>41</v>
      </c>
      <c r="B1196" s="48">
        <f>INDEX(parameters!$D$4:$N$20,MATCH('hydrogen - electrolysis'!B1182&amp;'hydrogen - electrolysis'!B1184,parameters!$A$4:$A$20,0),MATCH('hydrogen - electrolysis'!A1196,parameters!$D$3:$N$3,0))</f>
        <v>2.6666666666666665E-2</v>
      </c>
    </row>
    <row r="1197" spans="1:2" x14ac:dyDescent="0.2">
      <c r="A1197" t="s">
        <v>45</v>
      </c>
      <c r="B1197" s="46">
        <f>INDEX(parameters!$D$4:$N$20,MATCH('hydrogen - electrolysis'!B1182&amp;'hydrogen - electrolysis'!B1184,parameters!$A$4:$A$20,0),MATCH('hydrogen - electrolysis'!A1197,parameters!$D$3:$N$3,0))</f>
        <v>0</v>
      </c>
    </row>
    <row r="1198" spans="1:2" x14ac:dyDescent="0.2">
      <c r="A1198" t="s">
        <v>46</v>
      </c>
      <c r="B1198" s="46">
        <f>INDEX(parameters!$D$4:$N$20,MATCH('hydrogen - electrolysis'!B1182&amp;'hydrogen - electrolysis'!B1184,parameters!$A$4:$A$20,0),MATCH('hydrogen - electrolysis'!A1198,parameters!$D$3:$N$3,0))</f>
        <v>1.4999999999999999E-2</v>
      </c>
    </row>
    <row r="1199" spans="1:2" x14ac:dyDescent="0.2">
      <c r="A1199" t="s">
        <v>43</v>
      </c>
      <c r="B1199" s="46">
        <f>INDEX(parameters!$D$4:$N$20,MATCH('hydrogen - electrolysis'!B1182&amp;'hydrogen - electrolysis'!B1184,parameters!$A$4:$A$20,0),MATCH('hydrogen - electrolysis'!A1199,parameters!$D$3:$N$3,0))</f>
        <v>0</v>
      </c>
    </row>
    <row r="1200" spans="1:2" x14ac:dyDescent="0.2">
      <c r="A1200" t="s">
        <v>44</v>
      </c>
      <c r="B1200" s="46">
        <f>INDEX(parameters!$D$4:$N$20,MATCH('hydrogen - electrolysis'!B1182&amp;'hydrogen - electrolysis'!B1184,parameters!$A$4:$A$20,0),MATCH('hydrogen - electrolysis'!A1200,parameters!$D$3:$N$3,0))</f>
        <v>0</v>
      </c>
    </row>
    <row r="1201" spans="1:22" x14ac:dyDescent="0.2">
      <c r="A1201" t="s">
        <v>634</v>
      </c>
      <c r="B1201" s="51">
        <f>INDEX(parameters!$D$4:$Y$20,MATCH('hydrogen - electrolysis'!B1182&amp;'hydrogen - electrolysis'!B1184,parameters!$A$4:$A$20,0),MATCH('hydrogen - electrolysis'!A1201,parameters!$D$3:$Y$3,0))</f>
        <v>351.41800246609125</v>
      </c>
    </row>
    <row r="1202" spans="1:22" x14ac:dyDescent="0.2">
      <c r="A1202" t="s">
        <v>82</v>
      </c>
      <c r="B1202" s="46">
        <f>IF(B1193&lt;&gt;0,VLOOKUP(B1193,parameters!A866:B868,2,0),0)</f>
        <v>0</v>
      </c>
    </row>
    <row r="1203" spans="1:22" x14ac:dyDescent="0.2">
      <c r="A1203" t="s">
        <v>548</v>
      </c>
      <c r="B1203" s="50">
        <f>INDEX(parameters!$D$4:$P$20,MATCH(B1182&amp;B1184,parameters!$A$4:$A$20,0),MATCH(A1203,parameters!$D$3:$P$3,0))</f>
        <v>125</v>
      </c>
    </row>
    <row r="1204" spans="1:22" x14ac:dyDescent="0.2">
      <c r="A1204" t="s">
        <v>547</v>
      </c>
      <c r="B1204" s="51">
        <f>INDEX(parameters!$D$4:$P$20,MATCH(B1182&amp;B1184,parameters!$A$4:$A$20,0),MATCH(A1204,parameters!$D$3:$P$3,0))</f>
        <v>19.512195121951219</v>
      </c>
    </row>
    <row r="1205" spans="1:22" x14ac:dyDescent="0.2">
      <c r="A1205" t="s">
        <v>630</v>
      </c>
      <c r="B1205" s="51">
        <f>INDEX(parameters!$D$4:$T$20,MATCH(B1182&amp;B1184,parameters!$A$4:$A$20,0),MATCH(A1205,parameters!$D$3:$T$3,0))</f>
        <v>4100</v>
      </c>
    </row>
    <row r="1206" spans="1:22" x14ac:dyDescent="0.2">
      <c r="A1206" t="s">
        <v>1005</v>
      </c>
      <c r="B1206" s="50">
        <f>IF(B1178="megajoule",SUMIFS(allocation!$I$4:$I$30,allocation!$B$4:$B$30,B1184,allocation!$C$4:$C$30,B1185),SUMIFS(allocation!$J$4:$J$30,allocation!$B$4:$B$30,B1184,allocation!$C$4:$C$30,B1185))</f>
        <v>0.87139957772704957</v>
      </c>
    </row>
    <row r="1207" spans="1:22" x14ac:dyDescent="0.2">
      <c r="A1207" t="s">
        <v>1050</v>
      </c>
      <c r="B1207" s="51">
        <f>INDEX(parameters!$D$4:$AB$20,MATCH(B1182&amp;B1184,parameters!$A$4:$A$20,0),MATCH(A1207,parameters!$D$3:$AB$3,0))</f>
        <v>2220.7364520822662</v>
      </c>
    </row>
    <row r="1209" spans="1:22" x14ac:dyDescent="0.2">
      <c r="A1209" s="3" t="s">
        <v>57</v>
      </c>
    </row>
    <row r="1210" spans="1:22" x14ac:dyDescent="0.2">
      <c r="A1210" s="2" t="s">
        <v>58</v>
      </c>
      <c r="B1210" s="44" t="s">
        <v>59</v>
      </c>
      <c r="C1210" s="2" t="s">
        <v>55</v>
      </c>
      <c r="D1210" s="2" t="s">
        <v>60</v>
      </c>
      <c r="E1210" s="2" t="s">
        <v>52</v>
      </c>
      <c r="F1210" s="2" t="s">
        <v>61</v>
      </c>
      <c r="G1210" s="2" t="s">
        <v>54</v>
      </c>
      <c r="H1210" s="2" t="s">
        <v>87</v>
      </c>
      <c r="I1210" s="2" t="s">
        <v>51</v>
      </c>
      <c r="J1210" s="2" t="s">
        <v>138</v>
      </c>
      <c r="K1210" s="2" t="s">
        <v>136</v>
      </c>
      <c r="L1210" s="2" t="s">
        <v>221</v>
      </c>
      <c r="M1210" s="2" t="s">
        <v>379</v>
      </c>
      <c r="N1210" s="2" t="s">
        <v>1059</v>
      </c>
      <c r="O1210" s="2" t="s">
        <v>1060</v>
      </c>
      <c r="P1210" s="2" t="s">
        <v>1061</v>
      </c>
      <c r="Q1210" s="2" t="s">
        <v>1062</v>
      </c>
      <c r="R1210" s="2" t="s">
        <v>1063</v>
      </c>
      <c r="S1210" s="2" t="s">
        <v>1064</v>
      </c>
      <c r="T1210" s="2" t="s">
        <v>1065</v>
      </c>
      <c r="U1210" s="2" t="s">
        <v>380</v>
      </c>
      <c r="V1210" s="2" t="s">
        <v>1128</v>
      </c>
    </row>
    <row r="1211" spans="1:22" x14ac:dyDescent="0.2">
      <c r="A1211" t="str">
        <f>B1172</f>
        <v>electricity, residential, by combustion of hydrogen using CHP, allocated by exergy, transported by truck, produced by Electrolysis, PEM using water and electricity from grid</v>
      </c>
      <c r="B1211" s="45">
        <v>1</v>
      </c>
      <c r="C1211" t="str">
        <f>B1178</f>
        <v>kilowatt hour</v>
      </c>
      <c r="E1211" t="str">
        <f>B1175</f>
        <v>CH</v>
      </c>
      <c r="F1211" t="s">
        <v>62</v>
      </c>
      <c r="G1211" t="str">
        <f>B1177</f>
        <v>electricity, from residential heating system</v>
      </c>
      <c r="K1211" t="str">
        <f>B1172</f>
        <v>electricity, residential, by combustion of hydrogen using CHP, allocated by exergy, transported by truck, produced by Electrolysis, PEM using water and electricity from grid</v>
      </c>
    </row>
    <row r="1212" spans="1:22" x14ac:dyDescent="0.2">
      <c r="A1212" t="str">
        <f>VLOOKUP(J1212,'dataset mapping'!$A$4:$E$69,2,0)</f>
        <v>heat and power co-generation unit construction, 160kW electrical, common components for heat+electricity</v>
      </c>
      <c r="B1212" s="52">
        <f>(1/(B1201*B1205*B1204))*B1206</f>
        <v>3.0995835856870056E-8</v>
      </c>
      <c r="C1212" t="str">
        <f>VLOOKUP(J1212,'dataset mapping'!$A$4:$E$69,5,0)</f>
        <v>unit</v>
      </c>
      <c r="E1212" t="str">
        <f>VLOOKUP(J1212,'dataset mapping'!$A$4:$E$69,4,0)</f>
        <v>RER</v>
      </c>
      <c r="F1212" t="s">
        <v>86</v>
      </c>
      <c r="G1212" t="str">
        <f>VLOOKUP(J1212,'dataset mapping'!$A$4:$E$69,3,0)</f>
        <v>heat and power co-generation unit, 160kW electrical, common components for heat+electricity</v>
      </c>
      <c r="H1212" t="s">
        <v>88</v>
      </c>
      <c r="J1212" t="s">
        <v>145</v>
      </c>
      <c r="K1212" t="str">
        <f>B1172</f>
        <v>electricity, residential, by combustion of hydrogen using CHP, allocated by exergy, transported by truck, produced by Electrolysis, PEM using water and electricity from grid</v>
      </c>
      <c r="L1212">
        <f>IF(OR(B1212&lt;0,B1212=0),1,2)</f>
        <v>2</v>
      </c>
      <c r="M1212">
        <f>IF(L1212=2,LN(B1212),"")</f>
        <v>-17.28941296868171</v>
      </c>
      <c r="N1212">
        <v>1.05</v>
      </c>
      <c r="O1212" s="15">
        <v>1.2</v>
      </c>
      <c r="P1212">
        <v>1</v>
      </c>
      <c r="Q1212">
        <v>1.01</v>
      </c>
      <c r="R1212">
        <v>1.2</v>
      </c>
      <c r="S1212">
        <v>1.2</v>
      </c>
      <c r="T1212">
        <v>3</v>
      </c>
      <c r="U1212">
        <f t="shared" ref="U1212:U1220" si="44">LN(SQRT(EXP(
SQRT(
+POWER(LN(N1212),2)
+POWER(LN(O1212),2)
+POWER(LN(P1212),2)
+POWER(LN(Q1212),2)
+POWER(LN(R1212),2)
+POWER(LN(S1212),2)
+POWER(LN(T1212),2)
)
)))</f>
        <v>0.57209088006881903</v>
      </c>
    </row>
    <row r="1213" spans="1:22" x14ac:dyDescent="0.2">
      <c r="A1213" t="str">
        <f>VLOOKUP(J1213,'dataset mapping'!$A$4:$E$69,2,0)</f>
        <v>heat and power co-generation unit construction, 160kW electrical, components for electricity only</v>
      </c>
      <c r="B1213" s="52">
        <f>(1/(B1201*B1205*B1204))*B1206</f>
        <v>3.0995835856870056E-8</v>
      </c>
      <c r="C1213" t="str">
        <f>VLOOKUP(J1213,'dataset mapping'!$A$4:$E$69,5,0)</f>
        <v>unit</v>
      </c>
      <c r="E1213" t="str">
        <f>VLOOKUP(J1213,'dataset mapping'!$A$4:$E$69,4,0)</f>
        <v>RER</v>
      </c>
      <c r="F1213" t="s">
        <v>86</v>
      </c>
      <c r="G1213" t="str">
        <f>VLOOKUP(J1213,'dataset mapping'!$A$4:$E$69,3,0)</f>
        <v>heat and power co-generation unit, 160kW electrical, components for electricity only</v>
      </c>
      <c r="H1213" t="s">
        <v>88</v>
      </c>
      <c r="J1213" t="s">
        <v>146</v>
      </c>
      <c r="K1213" t="str">
        <f>B1172</f>
        <v>electricity, residential, by combustion of hydrogen using CHP, allocated by exergy, transported by truck, produced by Electrolysis, PEM using water and electricity from grid</v>
      </c>
      <c r="L1213">
        <f>IF(OR(B1213&lt;0,B1213=0),1,2)</f>
        <v>2</v>
      </c>
      <c r="M1213">
        <f>IF(L1213=2,LN(B1213),"")</f>
        <v>-17.28941296868171</v>
      </c>
      <c r="N1213">
        <v>1.05</v>
      </c>
      <c r="O1213" s="15">
        <v>1.2</v>
      </c>
      <c r="P1213">
        <v>1</v>
      </c>
      <c r="Q1213">
        <v>1.01</v>
      </c>
      <c r="R1213">
        <v>1.2</v>
      </c>
      <c r="S1213">
        <v>1.2</v>
      </c>
      <c r="T1213">
        <v>3</v>
      </c>
      <c r="U1213">
        <f t="shared" si="44"/>
        <v>0.57209088006881903</v>
      </c>
    </row>
    <row r="1214" spans="1:22" x14ac:dyDescent="0.2">
      <c r="A1214" t="str">
        <f>VLOOKUP(J1214,'dataset mapping'!$A$4:$E$69,2,0)</f>
        <v>heat and power co-generation unit construction, 160kW electrical, components for heat only</v>
      </c>
      <c r="B1214" s="52">
        <f>(1/(B1201*B1205*B1204))*B1206</f>
        <v>3.0995835856870056E-8</v>
      </c>
      <c r="C1214" t="str">
        <f>VLOOKUP(J1214,'dataset mapping'!$A$4:$E$69,5,0)</f>
        <v>unit</v>
      </c>
      <c r="E1214" t="str">
        <f>VLOOKUP(J1214,'dataset mapping'!$A$4:$E$69,4,0)</f>
        <v>RER</v>
      </c>
      <c r="F1214" t="s">
        <v>86</v>
      </c>
      <c r="G1214" t="str">
        <f>VLOOKUP(J1214,'dataset mapping'!$A$4:$E$69,3,0)</f>
        <v>heat and power co-generation unit, 160kW electrical, components for heat only</v>
      </c>
      <c r="H1214" t="s">
        <v>88</v>
      </c>
      <c r="J1214" t="s">
        <v>147</v>
      </c>
      <c r="K1214" t="str">
        <f>B1172</f>
        <v>electricity, residential, by combustion of hydrogen using CHP, allocated by exergy, transported by truck, produced by Electrolysis, PEM using water and electricity from grid</v>
      </c>
      <c r="L1214">
        <f>IF(OR(B1214&lt;0,B1214=0),1,2)</f>
        <v>2</v>
      </c>
      <c r="M1214">
        <f>IF(L1214=2,LN(B1214),"")</f>
        <v>-17.28941296868171</v>
      </c>
      <c r="N1214">
        <v>1.05</v>
      </c>
      <c r="O1214" s="15">
        <v>1.2</v>
      </c>
      <c r="P1214">
        <v>1</v>
      </c>
      <c r="Q1214">
        <v>1.01</v>
      </c>
      <c r="R1214">
        <v>1.2</v>
      </c>
      <c r="S1214">
        <v>1.2</v>
      </c>
      <c r="T1214">
        <v>3</v>
      </c>
      <c r="U1214">
        <f t="shared" si="44"/>
        <v>0.57209088006881903</v>
      </c>
    </row>
    <row r="1215" spans="1:22" x14ac:dyDescent="0.2">
      <c r="A1215" t="s">
        <v>156</v>
      </c>
      <c r="B1215" s="52">
        <f>0.00000011366*B1206</f>
        <v>9.9043276004456456E-8</v>
      </c>
      <c r="C1215" t="s">
        <v>56</v>
      </c>
      <c r="E1215" t="s">
        <v>90</v>
      </c>
      <c r="F1215" t="s">
        <v>86</v>
      </c>
      <c r="G1215" t="s">
        <v>154</v>
      </c>
      <c r="H1215" t="s">
        <v>155</v>
      </c>
      <c r="K1215" t="str">
        <f>B1172</f>
        <v>electricity, residential, by combustion of hydrogen using CHP, allocated by exergy, transported by truck, produced by Electrolysis, PEM using water and electricity from grid</v>
      </c>
      <c r="L1215">
        <f>IF(OR(B1215&lt;0,B1215=0),1,2)</f>
        <v>2</v>
      </c>
      <c r="M1215">
        <f>IF(L1215=2,LN(B1215),"")</f>
        <v>-16.127708950967754</v>
      </c>
      <c r="N1215">
        <v>1.05</v>
      </c>
      <c r="O1215" s="15">
        <v>1.2</v>
      </c>
      <c r="P1215">
        <v>1</v>
      </c>
      <c r="Q1215">
        <v>1.01</v>
      </c>
      <c r="R1215">
        <v>1.2</v>
      </c>
      <c r="S1215">
        <v>1.2</v>
      </c>
      <c r="T1215">
        <v>1.05</v>
      </c>
      <c r="U1215">
        <f t="shared" si="44"/>
        <v>0.16169679924070957</v>
      </c>
    </row>
    <row r="1216" spans="1:22" x14ac:dyDescent="0.2">
      <c r="A1216" t="s">
        <v>157</v>
      </c>
      <c r="B1216" s="52">
        <f>0.00000011366*B1206*-1</f>
        <v>-9.9043276004456456E-8</v>
      </c>
      <c r="C1216" t="s">
        <v>56</v>
      </c>
      <c r="E1216" t="s">
        <v>64</v>
      </c>
      <c r="F1216" t="s">
        <v>86</v>
      </c>
      <c r="G1216" t="s">
        <v>158</v>
      </c>
      <c r="H1216" t="s">
        <v>155</v>
      </c>
      <c r="K1216" t="str">
        <f>B1172</f>
        <v>electricity, residential, by combustion of hydrogen using CHP, allocated by exergy, transported by truck, produced by Electrolysis, PEM using water and electricity from grid</v>
      </c>
      <c r="L1216">
        <v>2</v>
      </c>
      <c r="M1216">
        <f>IF(L1216=2,LN(B1216*-1),"")</f>
        <v>-16.127708950967754</v>
      </c>
      <c r="N1216">
        <v>1.05</v>
      </c>
      <c r="O1216" s="15">
        <v>1.2</v>
      </c>
      <c r="P1216">
        <v>1</v>
      </c>
      <c r="Q1216">
        <v>1.01</v>
      </c>
      <c r="R1216">
        <v>1.2</v>
      </c>
      <c r="S1216">
        <v>1.2</v>
      </c>
      <c r="T1216">
        <v>3</v>
      </c>
      <c r="U1216">
        <f t="shared" si="44"/>
        <v>0.57209088006881903</v>
      </c>
      <c r="V1216" t="b">
        <v>1</v>
      </c>
    </row>
    <row r="1217" spans="1:21" x14ac:dyDescent="0.2">
      <c r="A1217" t="s">
        <v>1139</v>
      </c>
      <c r="B1217" s="53">
        <f>(B1211/B1195)/B1194*B1206</f>
        <v>6.6350221654343872E-2</v>
      </c>
      <c r="C1217" t="str">
        <f>VLOOKUP(J1217,'dataset mapping'!$A$4:$E$69,5,0)</f>
        <v>kilogram</v>
      </c>
      <c r="E1217" t="str">
        <f>VLOOKUP(J1217,'dataset mapping'!$A$4:$E$69,4,0)</f>
        <v>CH</v>
      </c>
      <c r="F1217" t="s">
        <v>86</v>
      </c>
      <c r="G1217" t="s">
        <v>1137</v>
      </c>
      <c r="H1217" t="s">
        <v>76</v>
      </c>
      <c r="I1217" t="s">
        <v>1054</v>
      </c>
      <c r="J1217" t="s">
        <v>281</v>
      </c>
      <c r="K1217" t="str">
        <f>B1172</f>
        <v>electricity, residential, by combustion of hydrogen using CHP, allocated by exergy, transported by truck, produced by Electrolysis, PEM using water and electricity from grid</v>
      </c>
      <c r="L1217">
        <f>IF(OR(B1217&lt;0,B1217=0),1,2)</f>
        <v>2</v>
      </c>
      <c r="M1217">
        <f>IF(L1217=2,LN(B1217),"")</f>
        <v>-2.7128081775260964</v>
      </c>
      <c r="N1217">
        <v>1.05</v>
      </c>
      <c r="O1217" s="15">
        <v>1.2</v>
      </c>
      <c r="P1217">
        <v>1</v>
      </c>
      <c r="Q1217">
        <v>1.01</v>
      </c>
      <c r="R1217">
        <v>1.2</v>
      </c>
      <c r="S1217">
        <v>1.2</v>
      </c>
      <c r="T1217">
        <v>1.05</v>
      </c>
      <c r="U1217">
        <f t="shared" si="44"/>
        <v>0.16169679924070957</v>
      </c>
    </row>
    <row r="1218" spans="1:21" x14ac:dyDescent="0.2">
      <c r="A1218" t="str">
        <f>VLOOKUP(J1218,'dataset mapping'!$A$4:$E$69,2,0)</f>
        <v>high pressure hydrogen storage tank</v>
      </c>
      <c r="B1218" s="52">
        <f>((B1207/10)/(B1205*B1201*20))*IF(B1206&lt;&gt;0,B1206,1)</f>
        <v>6.7154714683034044E-6</v>
      </c>
      <c r="C1218" t="str">
        <f>VLOOKUP(J1218,'dataset mapping'!$A$4:$E$69,5,0)</f>
        <v>kilogram</v>
      </c>
      <c r="E1218" t="str">
        <f>VLOOKUP(J1218,'dataset mapping'!$A$4:$E$69,4,0)</f>
        <v>GLO</v>
      </c>
      <c r="F1218" t="s">
        <v>86</v>
      </c>
      <c r="G1218" t="str">
        <f>VLOOKUP(J1218,'dataset mapping'!$A$4:$E$69,3,0)</f>
        <v>high pressure hydrogen storage tank</v>
      </c>
      <c r="H1218" t="s">
        <v>88</v>
      </c>
      <c r="I1218" t="s">
        <v>279</v>
      </c>
      <c r="J1218" t="s">
        <v>229</v>
      </c>
      <c r="K1218" t="str">
        <f>B1172</f>
        <v>electricity, residential, by combustion of hydrogen using CHP, allocated by exergy, transported by truck, produced by Electrolysis, PEM using water and electricity from grid</v>
      </c>
      <c r="L1218">
        <f>IF(OR(B1218&lt;0,B1218=0),1,2)</f>
        <v>2</v>
      </c>
      <c r="M1218">
        <f>IF(L1218=2,LN(B1218),"")</f>
        <v>-11.911096519239557</v>
      </c>
      <c r="N1218">
        <v>1.05</v>
      </c>
      <c r="O1218" s="15">
        <v>1.2</v>
      </c>
      <c r="P1218">
        <v>1</v>
      </c>
      <c r="Q1218">
        <v>1.01</v>
      </c>
      <c r="R1218">
        <v>1.2</v>
      </c>
      <c r="S1218">
        <v>1.2</v>
      </c>
      <c r="T1218">
        <v>3</v>
      </c>
      <c r="U1218">
        <f t="shared" si="44"/>
        <v>0.57209088006881903</v>
      </c>
    </row>
    <row r="1219" spans="1:21" x14ac:dyDescent="0.2">
      <c r="A1219" t="s">
        <v>134</v>
      </c>
      <c r="B1219" s="45">
        <f>B1217*9</f>
        <v>0.59715199488909487</v>
      </c>
      <c r="C1219" t="s">
        <v>56</v>
      </c>
      <c r="D1219" t="s">
        <v>100</v>
      </c>
      <c r="F1219" t="s">
        <v>99</v>
      </c>
      <c r="H1219" t="s">
        <v>131</v>
      </c>
      <c r="I1219" t="s">
        <v>1058</v>
      </c>
      <c r="K1219" t="str">
        <f>B1172</f>
        <v>electricity, residential, by combustion of hydrogen using CHP, allocated by exergy, transported by truck, produced by Electrolysis, PEM using water and electricity from grid</v>
      </c>
      <c r="L1219">
        <f>IF(OR(B1219&lt;0,B1219=0),1,2)</f>
        <v>2</v>
      </c>
      <c r="M1219">
        <f>IF(L1219=2,LN(B1219),"")</f>
        <v>-0.51558360018987692</v>
      </c>
      <c r="N1219">
        <v>1.05</v>
      </c>
      <c r="O1219" s="15">
        <v>1.2</v>
      </c>
      <c r="P1219">
        <v>1</v>
      </c>
      <c r="Q1219">
        <v>1.01</v>
      </c>
      <c r="R1219">
        <v>1.2</v>
      </c>
      <c r="S1219">
        <v>1.2</v>
      </c>
      <c r="T1219">
        <v>1.05</v>
      </c>
      <c r="U1219">
        <f t="shared" si="44"/>
        <v>0.16169679924070957</v>
      </c>
    </row>
    <row r="1220" spans="1:21" x14ac:dyDescent="0.2">
      <c r="A1220" t="s">
        <v>135</v>
      </c>
      <c r="B1220" s="45">
        <f>912.5/1000000*B1217</f>
        <v>6.0544577259588785E-5</v>
      </c>
      <c r="C1220" t="s">
        <v>56</v>
      </c>
      <c r="D1220" t="s">
        <v>100</v>
      </c>
      <c r="F1220" t="s">
        <v>99</v>
      </c>
      <c r="H1220" t="s">
        <v>131</v>
      </c>
      <c r="I1220" t="s">
        <v>1217</v>
      </c>
      <c r="K1220" t="str">
        <f>B1172</f>
        <v>electricity, residential, by combustion of hydrogen using CHP, allocated by exergy, transported by truck, produced by Electrolysis, PEM using water and electricity from grid</v>
      </c>
      <c r="L1220">
        <f>IF(OR(B1220&lt;0,B1220=0),1,2)</f>
        <v>2</v>
      </c>
      <c r="M1220">
        <f>IF(L1220=2,LN(B1220),"")</f>
        <v>-9.712130650033723</v>
      </c>
      <c r="N1220">
        <v>1.05</v>
      </c>
      <c r="O1220" s="15">
        <v>1.2</v>
      </c>
      <c r="P1220">
        <v>1</v>
      </c>
      <c r="Q1220">
        <v>1.01</v>
      </c>
      <c r="R1220">
        <v>1.2</v>
      </c>
      <c r="S1220">
        <v>1.2</v>
      </c>
      <c r="T1220">
        <v>1.5</v>
      </c>
      <c r="U1220">
        <f t="shared" si="44"/>
        <v>0.25816898211842121</v>
      </c>
    </row>
    <row r="1222" spans="1:21" x14ac:dyDescent="0.2">
      <c r="A1222" s="2" t="s">
        <v>50</v>
      </c>
      <c r="B1222" s="44" t="str">
        <f>IF(B1228="megajoule","heat","electricity")&amp;", residential, by "&amp;B1233&amp;" of "&amp;B1232&amp;" using "&amp;B1234&amp;IF(B1235&lt;&gt;0,", allocated by "&amp;B1235,"")&amp;", transported by "&amp;B1236&amp;", produced by "&amp;B1240&amp;" using "&amp;B1241&amp;" from "&amp;B1242</f>
        <v>electricity, residential, by conversion of hydrogen using fuel cell, PEM, allocated by exergy, transported by truck, produced by Electrolysis, PEM using water and electricity from grid</v>
      </c>
    </row>
    <row r="1223" spans="1:21" x14ac:dyDescent="0.2">
      <c r="A1223" t="s">
        <v>51</v>
      </c>
      <c r="B1223" s="45" t="str">
        <f>"This dataset represents the supply of 1 "&amp;IF(B1228="megajoule","megajoule of heat","kilowatt hour of electricity")&amp;" in a residence, by "&amp;B1232&amp;" "&amp;B1233&amp;" in a "&amp;B1234&amp;". "&amp;" The hydrogen is transported by "&amp;B1236&amp;" over "&amp;B1237&amp;" km from regional storage. "&amp;" The "&amp;B1232&amp;" is produced by  "&amp;B1240&amp;", with "&amp;B1241&amp;" from "&amp;B1242&amp;" as feedstock. "&amp;A1244&amp;": "&amp;(B1244*100)&amp;"%. "&amp;A1245&amp;": "&amp;B1245&amp;". "&amp;A1246&amp;": "&amp;B1246&amp;". "&amp;A1247&amp;": "&amp;(B1247*100)&amp;"%. "&amp;A1248&amp;": "&amp;(B1248*100)&amp;"%. "&amp;A1249&amp;": "&amp;(B1249*100)&amp;"%. "&amp;A1250&amp;": "&amp;B1250&amp;". "&amp;A1251&amp;": "&amp;B1251&amp;". "&amp;A1252&amp;": "&amp;(B1252*100)&amp;"%. "&amp;A1253&amp;": "&amp;B1253&amp;". "&amp;A1254&amp;": "&amp;B1254&amp;". "&amp;A1255&amp;": "&amp;B1255&amp;". "&amp;A1256&amp;": "&amp;B1256&amp;".  For more information, refer to: "&amp;B1224</f>
        <v>This dataset represents the supply of 1 kilowatt hour of electricity in a residence, by hydrogen conversion in a fuel cell, PEM.  The hydrogen is transported by truck over 200 km from regional storage.  The hydrogen is produced by  Electrolysis, PEM,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1224" spans="1:21" x14ac:dyDescent="0.2">
      <c r="A1224" t="s">
        <v>63</v>
      </c>
      <c r="B1224" s="45" t="s">
        <v>1223</v>
      </c>
    </row>
    <row r="1225" spans="1:21" x14ac:dyDescent="0.2">
      <c r="A1225" t="s">
        <v>52</v>
      </c>
      <c r="B1225" s="45" t="s">
        <v>64</v>
      </c>
    </row>
    <row r="1226" spans="1:21" x14ac:dyDescent="0.2">
      <c r="A1226" t="s">
        <v>48</v>
      </c>
      <c r="B1226" s="45" t="s">
        <v>875</v>
      </c>
    </row>
    <row r="1227" spans="1:21" x14ac:dyDescent="0.2">
      <c r="A1227" t="s">
        <v>54</v>
      </c>
      <c r="B1227" s="45" t="str">
        <f>INDEX(overview!$B$4:$R$338,MATCH('hydrogen - electrolysis'!B1226,overview!$A$4:$A$338,0),MATCH('hydrogen - electrolysis'!A1227,overview!$B$3:$R$3,0))</f>
        <v>electricity, from residential heating system</v>
      </c>
    </row>
    <row r="1228" spans="1:21" x14ac:dyDescent="0.2">
      <c r="A1228" t="s">
        <v>55</v>
      </c>
      <c r="B1228" s="45" t="str">
        <f>INDEX(overview!$B$4:$R$338,MATCH('hydrogen - electrolysis'!B1226,overview!$A$4:$A$338,0),MATCH('hydrogen - electrolysis'!A1228,overview!$B$3:$R$3,0))</f>
        <v>kilowatt hour</v>
      </c>
    </row>
    <row r="1229" spans="1:21" x14ac:dyDescent="0.2">
      <c r="A1229" t="s">
        <v>0</v>
      </c>
      <c r="B1229" s="45" t="str">
        <f>INDEX(overview!$B$4:$R$338,MATCH('hydrogen - electrolysis'!B1226,overview!$A$4:$A$338,0),MATCH('hydrogen - electrolysis'!A1229,overview!$B$3:$R$3,0))</f>
        <v>Switzerland</v>
      </c>
    </row>
    <row r="1230" spans="1:21" x14ac:dyDescent="0.2">
      <c r="A1230" t="s">
        <v>1</v>
      </c>
      <c r="B1230" s="45">
        <f>INDEX(overview!$B$4:$R$338,MATCH('hydrogen - electrolysis'!B1226,overview!$A$4:$A$338,0),MATCH('hydrogen - electrolysis'!A1230,overview!$B$3:$R$3,0))</f>
        <v>2020</v>
      </c>
    </row>
    <row r="1231" spans="1:21" x14ac:dyDescent="0.2">
      <c r="A1231" t="s">
        <v>2</v>
      </c>
      <c r="B1231" s="45" t="str">
        <f>INDEX(overview!$B$4:$R$338,MATCH('hydrogen - electrolysis'!B1226,overview!$A$4:$A$338,0),MATCH('hydrogen - electrolysis'!A1231,overview!$B$3:$R$3,0))</f>
        <v>1 kWh electricity</v>
      </c>
    </row>
    <row r="1232" spans="1:21" x14ac:dyDescent="0.2">
      <c r="A1232" t="s">
        <v>5</v>
      </c>
      <c r="B1232" s="45" t="str">
        <f>INDEX(overview!$B$4:$R$338,MATCH('hydrogen - electrolysis'!B1226,overview!$A$4:$A$338,0),MATCH('hydrogen - electrolysis'!A1232,overview!$B$3:$R$3,0))</f>
        <v>hydrogen</v>
      </c>
    </row>
    <row r="1233" spans="1:2" x14ac:dyDescent="0.2">
      <c r="A1233" t="s">
        <v>3</v>
      </c>
      <c r="B1233" s="45" t="str">
        <f>INDEX(overview!$B$4:$R$338,MATCH('hydrogen - electrolysis'!B1226,overview!$A$4:$A$338,0),MATCH('hydrogen - electrolysis'!A1233,overview!$B$3:$R$3,0))</f>
        <v>conversion</v>
      </c>
    </row>
    <row r="1234" spans="1:2" x14ac:dyDescent="0.2">
      <c r="A1234" t="s">
        <v>6</v>
      </c>
      <c r="B1234" s="45" t="str">
        <f>INDEX(overview!$B$4:$R$338,MATCH('hydrogen - electrolysis'!B1226,overview!$A$4:$A$338,0),MATCH('hydrogen - electrolysis'!A1234,overview!$B$3:$R$3,0))</f>
        <v>fuel cell, PEM</v>
      </c>
    </row>
    <row r="1235" spans="1:2" x14ac:dyDescent="0.2">
      <c r="A1235" t="s">
        <v>39</v>
      </c>
      <c r="B1235" s="45" t="str">
        <f>INDEX(overview!$B$4:$R$338,MATCH('hydrogen - electrolysis'!B1226,overview!$A$4:$A$338,0),MATCH('hydrogen - electrolysis'!A1235,overview!$B$3:$R$3,0))</f>
        <v>exergy</v>
      </c>
    </row>
    <row r="1236" spans="1:2" x14ac:dyDescent="0.2">
      <c r="A1236" t="s">
        <v>4</v>
      </c>
      <c r="B1236" s="45" t="str">
        <f>INDEX(overview!$B$4:$R$338,MATCH('hydrogen - electrolysis'!B1226,overview!$A$4:$A$338,0),MATCH('hydrogen - electrolysis'!A1236,overview!$B$3:$R$3,0))</f>
        <v>truck</v>
      </c>
    </row>
    <row r="1237" spans="1:2" x14ac:dyDescent="0.2">
      <c r="A1237" t="s">
        <v>38</v>
      </c>
      <c r="B1237" s="45">
        <f>INDEX(overview!$B$4:$R$338,MATCH('hydrogen - electrolysis'!B1226,overview!$A$4:$A$338,0),MATCH('hydrogen - electrolysis'!A1237,overview!$B$3:$R$3,0))</f>
        <v>200</v>
      </c>
    </row>
    <row r="1238" spans="1:2" x14ac:dyDescent="0.2">
      <c r="A1238" t="s">
        <v>12</v>
      </c>
      <c r="B1238" s="45" t="str">
        <f>INDEX(overview!$B$4:$R$338,MATCH('hydrogen - electrolysis'!B1226,overview!$A$4:$A$338,0),MATCH('hydrogen - electrolysis'!A1238,overview!$B$3:$R$3,0))</f>
        <v>Pressure vessel for stationary storage</v>
      </c>
    </row>
    <row r="1239" spans="1:2" x14ac:dyDescent="0.2">
      <c r="A1239" t="s">
        <v>34</v>
      </c>
      <c r="B1239" s="45">
        <f>INDEX(overview!$B$4:$R$338,MATCH('hydrogen - electrolysis'!B1226,overview!$A$4:$A$338,0),MATCH('hydrogen - electrolysis'!A1239,overview!$B$3:$R$3,0))</f>
        <v>0</v>
      </c>
    </row>
    <row r="1240" spans="1:2" x14ac:dyDescent="0.2">
      <c r="A1240" t="s">
        <v>15</v>
      </c>
      <c r="B1240" s="45" t="str">
        <f>INDEX(overview!$B$4:$R$338,MATCH('hydrogen - electrolysis'!B1226,overview!$A$4:$A$338,0),MATCH('hydrogen - electrolysis'!A1240,overview!$B$3:$R$3,0))</f>
        <v>Electrolysis, PEM</v>
      </c>
    </row>
    <row r="1241" spans="1:2" x14ac:dyDescent="0.2">
      <c r="A1241" t="s">
        <v>14</v>
      </c>
      <c r="B1241" s="45" t="str">
        <f>INDEX(overview!$B$4:$R$338,MATCH('hydrogen - electrolysis'!B1226,overview!$A$4:$A$338,0),MATCH('hydrogen - electrolysis'!A1241,overview!$B$3:$R$3,0))</f>
        <v>water and electricity</v>
      </c>
    </row>
    <row r="1242" spans="1:2" x14ac:dyDescent="0.2">
      <c r="A1242" t="s">
        <v>26</v>
      </c>
      <c r="B1242" s="45" t="str">
        <f>INDEX(overview!$B$4:$R$338,MATCH('hydrogen - electrolysis'!B1226,overview!$A$4:$A$338,0),MATCH('hydrogen - electrolysis'!A1242,overview!$B$3:$R$3,0))</f>
        <v>grid</v>
      </c>
    </row>
    <row r="1243" spans="1:2" x14ac:dyDescent="0.2">
      <c r="A1243" t="s">
        <v>29</v>
      </c>
      <c r="B1243" s="45">
        <f>INDEX(overview!$B$4:$R$338,MATCH('hydrogen - electrolysis'!B1226,overview!$A$4:$A$338,0),MATCH('hydrogen - electrolysis'!A1243,overview!$B$3:$R$3,0))</f>
        <v>0</v>
      </c>
    </row>
    <row r="1244" spans="1:2" x14ac:dyDescent="0.2">
      <c r="A1244" t="str">
        <f>IF(B1228="megajoule","Heat","Electricity")&amp;" conversion efficiency [% LHV input]"</f>
        <v>Electricity conversion efficiency [% LHV input]</v>
      </c>
      <c r="B1244" s="46">
        <f>INDEX(parameters!$D$4:$N$20,MATCH('hydrogen - electrolysis'!B1232&amp;'hydrogen - electrolysis'!B1234,parameters!$A$4:$A$20,0),MATCH('hydrogen - electrolysis'!A1244,parameters!$D$3:$N$3,0))</f>
        <v>0.45</v>
      </c>
    </row>
    <row r="1245" spans="1:2" x14ac:dyDescent="0.2">
      <c r="A1245" t="str">
        <f>IF(B1228="megajoule","LHV [MJ/kg]","LHV [kWh/kg]")</f>
        <v>LHV [kWh/kg]</v>
      </c>
      <c r="B1245" s="47">
        <f>INDEX(parameters!$D$4:$N$20,MATCH('hydrogen - electrolysis'!B1232&amp;'hydrogen - electrolysis'!B1234,parameters!$A$4:$A$20,0),MATCH('hydrogen - electrolysis'!A1245,parameters!$D$3:$N$3,0))</f>
        <v>33.333333333333336</v>
      </c>
    </row>
    <row r="1246" spans="1:2" x14ac:dyDescent="0.2">
      <c r="A1246" t="s">
        <v>41</v>
      </c>
      <c r="B1246" s="48">
        <f>INDEX(parameters!$D$4:$N$20,MATCH('hydrogen - electrolysis'!B1232&amp;'hydrogen - electrolysis'!B1234,parameters!$A$4:$A$20,0),MATCH('hydrogen - electrolysis'!A1246,parameters!$D$3:$N$3,0))</f>
        <v>2.6666666666666665E-2</v>
      </c>
    </row>
    <row r="1247" spans="1:2" x14ac:dyDescent="0.2">
      <c r="A1247" t="s">
        <v>45</v>
      </c>
      <c r="B1247" s="46">
        <f>INDEX(parameters!$D$4:$N$20,MATCH('hydrogen - electrolysis'!B1232&amp;'hydrogen - electrolysis'!B1234,parameters!$A$4:$A$20,0),MATCH('hydrogen - electrolysis'!A1247,parameters!$D$3:$N$3,0))</f>
        <v>0</v>
      </c>
    </row>
    <row r="1248" spans="1:2" x14ac:dyDescent="0.2">
      <c r="A1248" t="s">
        <v>46</v>
      </c>
      <c r="B1248" s="46">
        <f>INDEX(parameters!$D$4:$N$20,MATCH('hydrogen - electrolysis'!B1232&amp;'hydrogen - electrolysis'!B1234,parameters!$A$4:$A$20,0),MATCH('hydrogen - electrolysis'!A1248,parameters!$D$3:$N$3,0))</f>
        <v>1.4999999999999999E-2</v>
      </c>
    </row>
    <row r="1249" spans="1:22" x14ac:dyDescent="0.2">
      <c r="A1249" t="s">
        <v>43</v>
      </c>
      <c r="B1249" s="46">
        <f>INDEX(parameters!$D$4:$N$20,MATCH('hydrogen - electrolysis'!B1232&amp;'hydrogen - electrolysis'!B1234,parameters!$A$4:$A$20,0),MATCH('hydrogen - electrolysis'!A1249,parameters!$D$3:$N$3,0))</f>
        <v>0</v>
      </c>
    </row>
    <row r="1250" spans="1:22" x14ac:dyDescent="0.2">
      <c r="A1250" t="s">
        <v>44</v>
      </c>
      <c r="B1250" s="46">
        <f>INDEX(parameters!$D$4:$N$20,MATCH('hydrogen - electrolysis'!B1232&amp;'hydrogen - electrolysis'!B1234,parameters!$A$4:$A$20,0),MATCH('hydrogen - electrolysis'!A1250,parameters!$D$3:$N$3,0))</f>
        <v>0</v>
      </c>
    </row>
    <row r="1251" spans="1:22" x14ac:dyDescent="0.2">
      <c r="A1251" t="s">
        <v>634</v>
      </c>
      <c r="B1251" s="51">
        <f>INDEX(parameters!$D$4:$Y$20,MATCH('hydrogen - electrolysis'!B1232&amp;'hydrogen - electrolysis'!B1234,parameters!$A$4:$A$20,0),MATCH('hydrogen - electrolysis'!A1251,parameters!$D$3:$Y$3,0))</f>
        <v>1.8947368421052633</v>
      </c>
    </row>
    <row r="1252" spans="1:22" x14ac:dyDescent="0.2">
      <c r="A1252" t="s">
        <v>82</v>
      </c>
      <c r="B1252" s="46">
        <f>IF(B1243&lt;&gt;0,VLOOKUP(B1243,parameters!A919:B921,2,0),0)</f>
        <v>0</v>
      </c>
    </row>
    <row r="1253" spans="1:22" x14ac:dyDescent="0.2">
      <c r="A1253" t="s">
        <v>548</v>
      </c>
      <c r="B1253" s="50">
        <f>INDEX(parameters!$D$4:$P$20,MATCH(B1232&amp;B1234,parameters!$A$4:$A$20,0),MATCH(A1253,parameters!$D$3:$P$3,0))</f>
        <v>0.8</v>
      </c>
    </row>
    <row r="1254" spans="1:22" x14ac:dyDescent="0.2">
      <c r="A1254" t="s">
        <v>547</v>
      </c>
      <c r="B1254" s="51">
        <f>INDEX(parameters!$D$4:$P$20,MATCH(B1232&amp;B1234,parameters!$A$4:$A$20,0),MATCH(A1254,parameters!$D$3:$P$3,0))</f>
        <v>4.8780487804878048</v>
      </c>
    </row>
    <row r="1255" spans="1:22" x14ac:dyDescent="0.2">
      <c r="A1255" t="s">
        <v>630</v>
      </c>
      <c r="B1255" s="51">
        <f>INDEX(parameters!$D$4:$T$20,MATCH(B1232&amp;B1234,parameters!$A$4:$A$20,0),MATCH(A1255,parameters!$D$3:$T$3,0))</f>
        <v>4100</v>
      </c>
    </row>
    <row r="1256" spans="1:22" x14ac:dyDescent="0.2">
      <c r="A1256" t="s">
        <v>1005</v>
      </c>
      <c r="B1256" s="50">
        <f>IF(B1228="megajoule",SUMIFS(allocation!$I$4:$I$30,allocation!$B$4:$B$30,B1234,allocation!$C$4:$C$30,B1235),SUMIFS(allocation!$J$4:$J$30,allocation!$B$4:$B$30,B1234,allocation!$C$4:$C$30,B1235))</f>
        <v>0.86066019201025545</v>
      </c>
    </row>
    <row r="1257" spans="1:22" x14ac:dyDescent="0.2">
      <c r="A1257" t="s">
        <v>1050</v>
      </c>
      <c r="B1257" s="51">
        <f>INDEX(parameters!$D$4:$AB$20,MATCH(B1232&amp;B1234,parameters!$A$4:$A$20,0),MATCH(A1257,parameters!$D$3:$AB$3,0))</f>
        <v>10.221606648199446</v>
      </c>
    </row>
    <row r="1259" spans="1:22" x14ac:dyDescent="0.2">
      <c r="A1259" s="3" t="s">
        <v>57</v>
      </c>
    </row>
    <row r="1260" spans="1:22" x14ac:dyDescent="0.2">
      <c r="A1260" s="2" t="s">
        <v>58</v>
      </c>
      <c r="B1260" s="44" t="s">
        <v>59</v>
      </c>
      <c r="C1260" s="2" t="s">
        <v>55</v>
      </c>
      <c r="D1260" s="2" t="s">
        <v>60</v>
      </c>
      <c r="E1260" s="2" t="s">
        <v>52</v>
      </c>
      <c r="F1260" s="2" t="s">
        <v>61</v>
      </c>
      <c r="G1260" s="2" t="s">
        <v>54</v>
      </c>
      <c r="H1260" s="2" t="s">
        <v>87</v>
      </c>
      <c r="I1260" s="2" t="s">
        <v>51</v>
      </c>
      <c r="J1260" s="2" t="s">
        <v>138</v>
      </c>
      <c r="K1260" s="2" t="s">
        <v>136</v>
      </c>
      <c r="L1260" s="2" t="s">
        <v>221</v>
      </c>
      <c r="M1260" s="2" t="s">
        <v>379</v>
      </c>
      <c r="N1260" s="2" t="s">
        <v>1059</v>
      </c>
      <c r="O1260" s="2" t="s">
        <v>1060</v>
      </c>
      <c r="P1260" s="2" t="s">
        <v>1061</v>
      </c>
      <c r="Q1260" s="2" t="s">
        <v>1062</v>
      </c>
      <c r="R1260" s="2" t="s">
        <v>1063</v>
      </c>
      <c r="S1260" s="2" t="s">
        <v>1064</v>
      </c>
      <c r="T1260" s="2" t="s">
        <v>1065</v>
      </c>
      <c r="U1260" s="2" t="s">
        <v>380</v>
      </c>
      <c r="V1260" s="2" t="s">
        <v>1128</v>
      </c>
    </row>
    <row r="1261" spans="1:22" x14ac:dyDescent="0.2">
      <c r="A1261" t="str">
        <f>B1222</f>
        <v>electricity, residential, by conversion of hydrogen using fuel cell, PEM, allocated by exergy, transported by truck, produced by Electrolysis, PEM using water and electricity from grid</v>
      </c>
      <c r="B1261" s="45">
        <v>1</v>
      </c>
      <c r="C1261" t="str">
        <f>B1228</f>
        <v>kilowatt hour</v>
      </c>
      <c r="E1261" t="str">
        <f>B1225</f>
        <v>CH</v>
      </c>
      <c r="F1261" t="s">
        <v>62</v>
      </c>
      <c r="G1261" t="str">
        <f>B1227</f>
        <v>electricity, from residential heating system</v>
      </c>
      <c r="K1261" t="str">
        <f>B1222</f>
        <v>electricity, residential, by conversion of hydrogen using fuel cell, PEM, allocated by exergy, transported by truck, produced by Electrolysis, PEM using water and electricity from grid</v>
      </c>
    </row>
    <row r="1262" spans="1:22" x14ac:dyDescent="0.2">
      <c r="A1262" t="str">
        <f>VLOOKUP(J1262,'dataset mapping'!$A$4:$E$69,2,0)</f>
        <v>fuel cell system assembly, 1 kWe, proton exchange membrane (PEM)</v>
      </c>
      <c r="B1262" s="52">
        <f>(1/(B1251*B1255*B1254))*B1256</f>
        <v>2.2711866178048405E-5</v>
      </c>
      <c r="C1262" t="str">
        <f>VLOOKUP(J1262,'dataset mapping'!$A$4:$E$69,5,0)</f>
        <v>unit</v>
      </c>
      <c r="E1262" t="str">
        <f>VLOOKUP(J1262,'dataset mapping'!$A$4:$E$69,4,0)</f>
        <v>GLO</v>
      </c>
      <c r="F1262" t="s">
        <v>86</v>
      </c>
      <c r="G1262" t="str">
        <f>VLOOKUP(J1262,'dataset mapping'!$A$4:$E$69,3,0)</f>
        <v>fuel cell system, 1 kWe, proton exchange membrane (PEM)</v>
      </c>
      <c r="H1262" t="s">
        <v>88</v>
      </c>
      <c r="I1262" t="s">
        <v>272</v>
      </c>
      <c r="J1262" t="s">
        <v>273</v>
      </c>
      <c r="K1262" t="str">
        <f>B1222</f>
        <v>electricity, residential, by conversion of hydrogen using fuel cell, PEM, allocated by exergy, transported by truck, produced by Electrolysis, PEM using water and electricity from grid</v>
      </c>
      <c r="L1262">
        <f>IF(OR(B1262&lt;0,B1262=0),1,2)</f>
        <v>2</v>
      </c>
      <c r="M1262">
        <f>IF(L1262=2,LN(B1262),"")</f>
        <v>-10.692623030936341</v>
      </c>
      <c r="N1262">
        <v>1</v>
      </c>
      <c r="O1262" s="15">
        <v>1.2</v>
      </c>
      <c r="P1262">
        <v>1</v>
      </c>
      <c r="Q1262">
        <v>1.01</v>
      </c>
      <c r="R1262">
        <v>1.2</v>
      </c>
      <c r="S1262">
        <v>1.2</v>
      </c>
      <c r="T1262">
        <v>3</v>
      </c>
      <c r="U1262">
        <f>LN(SQRT(EXP(
SQRT(
+POWER(LN(N1262),2)
+POWER(LN(O1262),2)
+POWER(LN(P1262),2)
+POWER(LN(Q1262),2)
+POWER(LN(R1262),2)
+POWER(LN(S1262),2)
+POWER(LN(T1262),2)
)
)))</f>
        <v>0.57157051623399524</v>
      </c>
    </row>
    <row r="1263" spans="1:22" x14ac:dyDescent="0.2">
      <c r="A1263" t="s">
        <v>1139</v>
      </c>
      <c r="B1263" s="53">
        <f>(B1261/B1245)/B1244*B1256</f>
        <v>5.7377346134017029E-2</v>
      </c>
      <c r="C1263" t="str">
        <f>VLOOKUP(J1263,'dataset mapping'!$A$4:$E$69,5,0)</f>
        <v>kilogram</v>
      </c>
      <c r="E1263" t="str">
        <f>VLOOKUP(J1263,'dataset mapping'!$A$4:$E$69,4,0)</f>
        <v>CH</v>
      </c>
      <c r="F1263" t="s">
        <v>86</v>
      </c>
      <c r="G1263" t="s">
        <v>1137</v>
      </c>
      <c r="H1263" t="s">
        <v>76</v>
      </c>
      <c r="I1263" t="s">
        <v>1054</v>
      </c>
      <c r="J1263" t="s">
        <v>281</v>
      </c>
      <c r="K1263" t="str">
        <f>B1222</f>
        <v>electricity, residential, by conversion of hydrogen using fuel cell, PEM, allocated by exergy, transported by truck, produced by Electrolysis, PEM using water and electricity from grid</v>
      </c>
      <c r="L1263">
        <f>IF(OR(B1263&lt;0,B1263=0),1,2)</f>
        <v>2</v>
      </c>
      <c r="M1263">
        <f>IF(L1263=2,LN(B1263),"")</f>
        <v>-2.8581057202127536</v>
      </c>
      <c r="N1263">
        <v>1</v>
      </c>
      <c r="O1263" s="15">
        <v>1.2</v>
      </c>
      <c r="P1263">
        <v>1</v>
      </c>
      <c r="Q1263">
        <v>1.01</v>
      </c>
      <c r="R1263">
        <v>1.2</v>
      </c>
      <c r="S1263">
        <v>1.2</v>
      </c>
      <c r="T1263">
        <v>1.05</v>
      </c>
      <c r="U1263">
        <f>LN(SQRT(EXP(
SQRT(
+POWER(LN(N1263),2)
+POWER(LN(O1263),2)
+POWER(LN(P1263),2)
+POWER(LN(Q1263),2)
+POWER(LN(R1263),2)
+POWER(LN(S1263),2)
+POWER(LN(T1263),2)
)
)))</f>
        <v>0.15984597228197622</v>
      </c>
    </row>
    <row r="1264" spans="1:22" x14ac:dyDescent="0.2">
      <c r="A1264" t="str">
        <f>VLOOKUP(J1264,'dataset mapping'!$A$4:$E$69,2,0)</f>
        <v>high pressure hydrogen storage tank</v>
      </c>
      <c r="B1264" s="52">
        <f>((B1257/10)/(B1255*B1251*20))*IF(B1256&lt;&gt;0,B1256,1)</f>
        <v>5.6622381053306285E-6</v>
      </c>
      <c r="C1264" t="str">
        <f>VLOOKUP(J1264,'dataset mapping'!$A$4:$E$69,5,0)</f>
        <v>kilogram</v>
      </c>
      <c r="E1264" t="str">
        <f>VLOOKUP(J1264,'dataset mapping'!$A$4:$E$69,4,0)</f>
        <v>GLO</v>
      </c>
      <c r="F1264" t="s">
        <v>86</v>
      </c>
      <c r="G1264" t="str">
        <f>VLOOKUP(J1264,'dataset mapping'!$A$4:$E$69,3,0)</f>
        <v>high pressure hydrogen storage tank</v>
      </c>
      <c r="H1264" t="s">
        <v>88</v>
      </c>
      <c r="I1264" t="s">
        <v>280</v>
      </c>
      <c r="J1264" t="s">
        <v>229</v>
      </c>
      <c r="K1264" t="str">
        <f>B1222</f>
        <v>electricity, residential, by conversion of hydrogen using fuel cell, PEM, allocated by exergy, transported by truck, produced by Electrolysis, PEM using water and electricity from grid</v>
      </c>
      <c r="L1264">
        <f>IF(OR(B1264&lt;0,B1264=0),1,2)</f>
        <v>2</v>
      </c>
      <c r="M1264">
        <f>IF(L1264=2,LN(B1264),"")</f>
        <v>-12.081691318938956</v>
      </c>
      <c r="N1264">
        <v>1</v>
      </c>
      <c r="O1264" s="15">
        <v>1.2</v>
      </c>
      <c r="P1264">
        <v>1</v>
      </c>
      <c r="Q1264">
        <v>1.01</v>
      </c>
      <c r="R1264">
        <v>1.2</v>
      </c>
      <c r="S1264">
        <v>1.2</v>
      </c>
      <c r="T1264">
        <v>3</v>
      </c>
      <c r="U1264">
        <f>LN(SQRT(EXP(
SQRT(
+POWER(LN(N1264),2)
+POWER(LN(O1264),2)
+POWER(LN(P1264),2)
+POWER(LN(Q1264),2)
+POWER(LN(R1264),2)
+POWER(LN(S1264),2)
+POWER(LN(T1264),2)
)
)))</f>
        <v>0.57157051623399524</v>
      </c>
    </row>
    <row r="1265" spans="1:21" x14ac:dyDescent="0.2">
      <c r="A1265" t="s">
        <v>134</v>
      </c>
      <c r="B1265" s="45">
        <f>B1263*9</f>
        <v>0.51639611520615325</v>
      </c>
      <c r="C1265" t="s">
        <v>56</v>
      </c>
      <c r="D1265" t="s">
        <v>100</v>
      </c>
      <c r="F1265" t="s">
        <v>99</v>
      </c>
      <c r="H1265" t="s">
        <v>131</v>
      </c>
      <c r="I1265" t="s">
        <v>1057</v>
      </c>
      <c r="K1265" t="str">
        <f>B1222</f>
        <v>electricity, residential, by conversion of hydrogen using fuel cell, PEM, allocated by exergy, transported by truck, produced by Electrolysis, PEM using water and electricity from grid</v>
      </c>
      <c r="L1265">
        <f>IF(OR(B1265&lt;0,B1265=0),1,2)</f>
        <v>2</v>
      </c>
      <c r="M1265">
        <f>IF(L1265=2,LN(B1265),"")</f>
        <v>-0.6608811428765341</v>
      </c>
      <c r="N1265">
        <v>1</v>
      </c>
      <c r="O1265" s="15">
        <v>1.2</v>
      </c>
      <c r="P1265">
        <v>1</v>
      </c>
      <c r="Q1265">
        <v>1.01</v>
      </c>
      <c r="R1265">
        <v>1.2</v>
      </c>
      <c r="S1265">
        <v>1.2</v>
      </c>
      <c r="T1265">
        <v>1.05</v>
      </c>
      <c r="U1265">
        <f>LN(SQRT(EXP(
SQRT(
+POWER(LN(N1265),2)
+POWER(LN(O1265),2)
+POWER(LN(P1265),2)
+POWER(LN(Q1265),2)
+POWER(LN(R1265),2)
+POWER(LN(S1265),2)
+POWER(LN(T1265),2)
)
)))</f>
        <v>0.15984597228197622</v>
      </c>
    </row>
    <row r="1267" spans="1:21" x14ac:dyDescent="0.2">
      <c r="A1267" s="2" t="s">
        <v>50</v>
      </c>
      <c r="B1267" s="44" t="str">
        <f>IF(B1273="megajoule","heat","electricity")&amp;", residential, by "&amp;B1278&amp;" of "&amp;B1277&amp;" using "&amp;B1279&amp;IF(B1280&lt;&gt;0,", allocated by "&amp;B1280,"")&amp;", transported by "&amp;B1281&amp;", produced by "&amp;B1285&amp;" using "&amp;B1286&amp;" from "&amp;B1287</f>
        <v>electricity, residential, by conversion of hydrogen using fuel cell, SOFC, allocated by exergy, transported by truck, produced by Electrolysis, PEM using water and electricity from grid</v>
      </c>
    </row>
    <row r="1268" spans="1:21" x14ac:dyDescent="0.2">
      <c r="A1268" t="s">
        <v>51</v>
      </c>
      <c r="B1268" s="45" t="str">
        <f>"This dataset represents the supply of 1 "&amp;IF(B1273="megajoule","megajoule of heat","kilowatt hour of electricity")&amp;" in a residence, by "&amp;B1277&amp;" "&amp;B1278&amp;" in a "&amp;B1279&amp;". "&amp;" The hydrogen is transported by "&amp;B1281&amp;" over "&amp;B1282&amp;" km from regional storage. "&amp;" The "&amp;B1277&amp;" is produced by  "&amp;B1285&amp;", with "&amp;B1286&amp;" from "&amp;B1287&amp;" as feedstock. "&amp;A1289&amp;": "&amp;(B1289*100)&amp;"%. "&amp;A1290&amp;": "&amp;B1290&amp;". "&amp;A1291&amp;": "&amp;B1291&amp;". "&amp;A1292&amp;": "&amp;(B1292*100)&amp;"%. "&amp;A1293&amp;": "&amp;(B1293*100)&amp;"%. "&amp;A1294&amp;": "&amp;(B1294*100)&amp;"%. "&amp;A1295&amp;": "&amp;B1295&amp;". "&amp;A1296&amp;": "&amp;B1296&amp;". "&amp;A1297&amp;": "&amp;(B1297*100)&amp;"%. "&amp;A1298&amp;": "&amp;B1298&amp;". "&amp;A1299&amp;": "&amp;B1299&amp;". "&amp;A1300&amp;": "&amp;B1300&amp;". "&amp;A1301&amp;": "&amp;B1301&amp;".  For more information, refer to: "&amp;B1269</f>
        <v>This dataset represents the supply of 1 kilowatt hour of electricity in a residence, by hydrogen conversion in a fuel cell, SOFC.  The hydrogen is transported by truck over 200 km from regional storage.  The hydrogen is produced by  Electrolysis, PEM,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1269" spans="1:21" x14ac:dyDescent="0.2">
      <c r="A1269" t="s">
        <v>63</v>
      </c>
      <c r="B1269" s="45" t="s">
        <v>1223</v>
      </c>
    </row>
    <row r="1270" spans="1:21" x14ac:dyDescent="0.2">
      <c r="A1270" t="s">
        <v>52</v>
      </c>
      <c r="B1270" s="45" t="s">
        <v>64</v>
      </c>
    </row>
    <row r="1271" spans="1:21" x14ac:dyDescent="0.2">
      <c r="A1271" t="s">
        <v>48</v>
      </c>
      <c r="B1271" s="45" t="s">
        <v>876</v>
      </c>
    </row>
    <row r="1272" spans="1:21" x14ac:dyDescent="0.2">
      <c r="A1272" t="s">
        <v>54</v>
      </c>
      <c r="B1272" s="45" t="str">
        <f>INDEX(overview!$B$4:$R$338,MATCH('hydrogen - electrolysis'!B1271,overview!$A$4:$A$338,0),MATCH('hydrogen - electrolysis'!A1272,overview!$B$3:$R$3,0))</f>
        <v>electricity, from residential heating system</v>
      </c>
    </row>
    <row r="1273" spans="1:21" x14ac:dyDescent="0.2">
      <c r="A1273" t="s">
        <v>55</v>
      </c>
      <c r="B1273" s="45" t="str">
        <f>INDEX(overview!$B$4:$R$338,MATCH('hydrogen - electrolysis'!B1271,overview!$A$4:$A$338,0),MATCH('hydrogen - electrolysis'!A1273,overview!$B$3:$R$3,0))</f>
        <v>kilowatt hour</v>
      </c>
    </row>
    <row r="1274" spans="1:21" x14ac:dyDescent="0.2">
      <c r="A1274" t="s">
        <v>0</v>
      </c>
      <c r="B1274" s="45" t="str">
        <f>INDEX(overview!$B$4:$R$338,MATCH('hydrogen - electrolysis'!B1271,overview!$A$4:$A$338,0),MATCH('hydrogen - electrolysis'!A1274,overview!$B$3:$R$3,0))</f>
        <v>Switzerland</v>
      </c>
    </row>
    <row r="1275" spans="1:21" x14ac:dyDescent="0.2">
      <c r="A1275" t="s">
        <v>1</v>
      </c>
      <c r="B1275" s="45">
        <f>INDEX(overview!$B$4:$R$338,MATCH('hydrogen - electrolysis'!B1271,overview!$A$4:$A$338,0),MATCH('hydrogen - electrolysis'!A1275,overview!$B$3:$R$3,0))</f>
        <v>2020</v>
      </c>
    </row>
    <row r="1276" spans="1:21" x14ac:dyDescent="0.2">
      <c r="A1276" t="s">
        <v>2</v>
      </c>
      <c r="B1276" s="45" t="str">
        <f>INDEX(overview!$B$4:$R$338,MATCH('hydrogen - electrolysis'!B1271,overview!$A$4:$A$338,0),MATCH('hydrogen - electrolysis'!A1276,overview!$B$3:$R$3,0))</f>
        <v>1 kWh electricity</v>
      </c>
    </row>
    <row r="1277" spans="1:21" x14ac:dyDescent="0.2">
      <c r="A1277" t="s">
        <v>5</v>
      </c>
      <c r="B1277" s="45" t="str">
        <f>INDEX(overview!$B$4:$R$338,MATCH('hydrogen - electrolysis'!B1271,overview!$A$4:$A$338,0),MATCH('hydrogen - electrolysis'!A1277,overview!$B$3:$R$3,0))</f>
        <v>hydrogen</v>
      </c>
    </row>
    <row r="1278" spans="1:21" x14ac:dyDescent="0.2">
      <c r="A1278" t="s">
        <v>3</v>
      </c>
      <c r="B1278" s="45" t="str">
        <f>INDEX(overview!$B$4:$R$338,MATCH('hydrogen - electrolysis'!B1271,overview!$A$4:$A$338,0),MATCH('hydrogen - electrolysis'!A1278,overview!$B$3:$R$3,0))</f>
        <v>conversion</v>
      </c>
    </row>
    <row r="1279" spans="1:21" x14ac:dyDescent="0.2">
      <c r="A1279" t="s">
        <v>6</v>
      </c>
      <c r="B1279" s="45" t="str">
        <f>INDEX(overview!$B$4:$R$338,MATCH('hydrogen - electrolysis'!B1271,overview!$A$4:$A$338,0),MATCH('hydrogen - electrolysis'!A1279,overview!$B$3:$R$3,0))</f>
        <v>fuel cell, SOFC</v>
      </c>
    </row>
    <row r="1280" spans="1:21" x14ac:dyDescent="0.2">
      <c r="A1280" t="s">
        <v>39</v>
      </c>
      <c r="B1280" s="45" t="str">
        <f>INDEX(overview!$B$4:$R$338,MATCH('hydrogen - electrolysis'!B1271,overview!$A$4:$A$338,0),MATCH('hydrogen - electrolysis'!A1280,overview!$B$3:$R$3,0))</f>
        <v>exergy</v>
      </c>
    </row>
    <row r="1281" spans="1:4" x14ac:dyDescent="0.2">
      <c r="A1281" t="s">
        <v>4</v>
      </c>
      <c r="B1281" s="45" t="str">
        <f>INDEX(overview!$B$4:$R$338,MATCH('hydrogen - electrolysis'!B1271,overview!$A$4:$A$338,0),MATCH('hydrogen - electrolysis'!A1281,overview!$B$3:$R$3,0))</f>
        <v>truck</v>
      </c>
    </row>
    <row r="1282" spans="1:4" x14ac:dyDescent="0.2">
      <c r="A1282" t="s">
        <v>38</v>
      </c>
      <c r="B1282" s="45">
        <f>INDEX(overview!$B$4:$R$338,MATCH('hydrogen - electrolysis'!B1271,overview!$A$4:$A$338,0),MATCH('hydrogen - electrolysis'!A1282,overview!$B$3:$R$3,0))</f>
        <v>200</v>
      </c>
    </row>
    <row r="1283" spans="1:4" x14ac:dyDescent="0.2">
      <c r="A1283" t="s">
        <v>12</v>
      </c>
      <c r="B1283" s="45" t="str">
        <f>INDEX(overview!$B$4:$R$338,MATCH('hydrogen - electrolysis'!B1271,overview!$A$4:$A$338,0),MATCH('hydrogen - electrolysis'!A1283,overview!$B$3:$R$3,0))</f>
        <v>Pressure vessel for stationary storage</v>
      </c>
    </row>
    <row r="1284" spans="1:4" x14ac:dyDescent="0.2">
      <c r="A1284" t="s">
        <v>34</v>
      </c>
      <c r="B1284" s="45">
        <f>INDEX(overview!$B$4:$R$338,MATCH('hydrogen - electrolysis'!B1271,overview!$A$4:$A$338,0),MATCH('hydrogen - electrolysis'!A1284,overview!$B$3:$R$3,0))</f>
        <v>0</v>
      </c>
    </row>
    <row r="1285" spans="1:4" x14ac:dyDescent="0.2">
      <c r="A1285" t="s">
        <v>15</v>
      </c>
      <c r="B1285" s="45" t="str">
        <f>INDEX(overview!$B$4:$R$338,MATCH('hydrogen - electrolysis'!B1271,overview!$A$4:$A$338,0),MATCH('hydrogen - electrolysis'!A1285,overview!$B$3:$R$3,0))</f>
        <v>Electrolysis, PEM</v>
      </c>
    </row>
    <row r="1286" spans="1:4" x14ac:dyDescent="0.2">
      <c r="A1286" t="s">
        <v>14</v>
      </c>
      <c r="B1286" s="45" t="str">
        <f>INDEX(overview!$B$4:$R$338,MATCH('hydrogen - electrolysis'!B1271,overview!$A$4:$A$338,0),MATCH('hydrogen - electrolysis'!A1286,overview!$B$3:$R$3,0))</f>
        <v>water and electricity</v>
      </c>
    </row>
    <row r="1287" spans="1:4" x14ac:dyDescent="0.2">
      <c r="A1287" t="s">
        <v>26</v>
      </c>
      <c r="B1287" s="45" t="str">
        <f>INDEX(overview!$B$4:$R$338,MATCH('hydrogen - electrolysis'!B1271,overview!$A$4:$A$338,0),MATCH('hydrogen - electrolysis'!A1287,overview!$B$3:$R$3,0))</f>
        <v>grid</v>
      </c>
    </row>
    <row r="1288" spans="1:4" x14ac:dyDescent="0.2">
      <c r="A1288" t="s">
        <v>29</v>
      </c>
      <c r="B1288" s="45">
        <f>INDEX(overview!$B$4:$R$338,MATCH('hydrogen - electrolysis'!B1271,overview!$A$4:$A$338,0),MATCH('hydrogen - electrolysis'!A1288,overview!$B$3:$R$3,0))</f>
        <v>0</v>
      </c>
    </row>
    <row r="1289" spans="1:4" x14ac:dyDescent="0.2">
      <c r="A1289" t="str">
        <f>IF(B1273="megajoule","Heat","Electricity")&amp;" conversion efficiency [% LHV input]"</f>
        <v>Electricity conversion efficiency [% LHV input]</v>
      </c>
      <c r="B1289" s="46">
        <f>INDEX(parameters!$D$4:$N$20,MATCH('hydrogen - electrolysis'!B1277&amp;'hydrogen - electrolysis'!B1279,parameters!$A$4:$A$20,0),MATCH('hydrogen - electrolysis'!A1289,parameters!$D$3:$N$3,0))</f>
        <v>0.47</v>
      </c>
    </row>
    <row r="1290" spans="1:4" x14ac:dyDescent="0.2">
      <c r="A1290" t="str">
        <f>IF(B1273="megajoule","LHV [MJ/kg]","LHV [kWh/kg]")</f>
        <v>LHV [kWh/kg]</v>
      </c>
      <c r="B1290" s="47">
        <f>INDEX(parameters!$D$4:$N$20,MATCH('hydrogen - electrolysis'!B1277&amp;'hydrogen - electrolysis'!B1279,parameters!$A$4:$A$20,0),MATCH('hydrogen - electrolysis'!A1290,parameters!$D$3:$N$3,0))</f>
        <v>33.333333333333336</v>
      </c>
    </row>
    <row r="1291" spans="1:4" x14ac:dyDescent="0.2">
      <c r="A1291" t="s">
        <v>41</v>
      </c>
      <c r="B1291" s="48">
        <f>INDEX(parameters!$D$4:$N$20,MATCH('hydrogen - electrolysis'!B1277&amp;'hydrogen - electrolysis'!B1279,parameters!$A$4:$A$20,0),MATCH('hydrogen - electrolysis'!A1291,parameters!$D$3:$N$3,0))</f>
        <v>2.6666666666666665E-2</v>
      </c>
    </row>
    <row r="1292" spans="1:4" x14ac:dyDescent="0.2">
      <c r="A1292" t="s">
        <v>45</v>
      </c>
      <c r="B1292" s="46">
        <f>INDEX(parameters!$D$4:$N$20,MATCH('hydrogen - electrolysis'!B1277&amp;'hydrogen - electrolysis'!B1279,parameters!$A$4:$A$20,0),MATCH('hydrogen - electrolysis'!A1292,parameters!$D$3:$N$3,0))</f>
        <v>0</v>
      </c>
    </row>
    <row r="1293" spans="1:4" x14ac:dyDescent="0.2">
      <c r="A1293" t="s">
        <v>46</v>
      </c>
      <c r="B1293" s="46">
        <f>INDEX(parameters!$D$4:$N$20,MATCH('hydrogen - electrolysis'!B1277&amp;'hydrogen - electrolysis'!B1279,parameters!$A$4:$A$20,0),MATCH('hydrogen - electrolysis'!A1293,parameters!$D$3:$N$3,0))</f>
        <v>1.4999999999999999E-2</v>
      </c>
    </row>
    <row r="1294" spans="1:4" x14ac:dyDescent="0.2">
      <c r="A1294" t="s">
        <v>43</v>
      </c>
      <c r="B1294" s="46">
        <f>INDEX(parameters!$D$4:$N$20,MATCH('hydrogen - electrolysis'!B1277&amp;'hydrogen - electrolysis'!B1279,parameters!$A$4:$A$20,0),MATCH('hydrogen - electrolysis'!A1294,parameters!$D$3:$N$3,0))</f>
        <v>0</v>
      </c>
    </row>
    <row r="1295" spans="1:4" x14ac:dyDescent="0.2">
      <c r="A1295" t="s">
        <v>44</v>
      </c>
      <c r="B1295" s="46">
        <f>INDEX(parameters!$D$4:$N$20,MATCH('hydrogen - electrolysis'!B1277&amp;'hydrogen - electrolysis'!B1279,parameters!$A$4:$A$20,0),MATCH('hydrogen - electrolysis'!A1295,parameters!$D$3:$N$3,0))</f>
        <v>0</v>
      </c>
    </row>
    <row r="1296" spans="1:4" x14ac:dyDescent="0.2">
      <c r="A1296" t="s">
        <v>634</v>
      </c>
      <c r="B1296" s="51">
        <f>INDEX(parameters!$D$4:$Y$20,MATCH('hydrogen - electrolysis'!B1277&amp;'hydrogen - electrolysis'!B1279,parameters!$A$4:$A$20,0),MATCH('hydrogen - electrolysis'!A1296,parameters!$D$3:$Y$3,0))</f>
        <v>225</v>
      </c>
      <c r="D1296" s="8"/>
    </row>
    <row r="1297" spans="1:22" x14ac:dyDescent="0.2">
      <c r="A1297" t="s">
        <v>82</v>
      </c>
      <c r="B1297" s="46">
        <f>IF(B1288&lt;&gt;0,VLOOKUP(B1288,parameters!A967:B969,2,0),0)</f>
        <v>0</v>
      </c>
    </row>
    <row r="1298" spans="1:22" x14ac:dyDescent="0.2">
      <c r="A1298" t="s">
        <v>548</v>
      </c>
      <c r="B1298" s="50">
        <f>INDEX(parameters!$D$4:$P$20,MATCH(B1277&amp;B1279,parameters!$A$4:$A$20,0),MATCH(A1298,parameters!$D$3:$P$3,0))</f>
        <v>100</v>
      </c>
    </row>
    <row r="1299" spans="1:22" x14ac:dyDescent="0.2">
      <c r="A1299" t="s">
        <v>547</v>
      </c>
      <c r="B1299" s="51">
        <f>INDEX(parameters!$D$4:$P$20,MATCH(B1277&amp;B1279,parameters!$A$4:$A$20,0),MATCH(A1299,parameters!$D$3:$P$3,0))</f>
        <v>6</v>
      </c>
    </row>
    <row r="1300" spans="1:22" x14ac:dyDescent="0.2">
      <c r="A1300" t="s">
        <v>630</v>
      </c>
      <c r="B1300" s="51">
        <f>INDEX(parameters!$D$4:$T$20,MATCH(B1277&amp;B1279,parameters!$A$4:$A$20,0),MATCH(A1300,parameters!$D$3:$T$3,0))</f>
        <v>4100</v>
      </c>
    </row>
    <row r="1301" spans="1:22" x14ac:dyDescent="0.2">
      <c r="A1301" t="s">
        <v>1005</v>
      </c>
      <c r="B1301" s="50">
        <f>IF(B1273="megajoule",SUMIFS(allocation!$I$4:$I$30,allocation!$B$4:$B$30,B1279,allocation!$C$4:$C$30,B1280),SUMIFS(allocation!$J$4:$J$30,allocation!$B$4:$B$30,B1279,allocation!$C$4:$C$30,B1280))</f>
        <v>0.86412493489600906</v>
      </c>
    </row>
    <row r="1302" spans="1:22" x14ac:dyDescent="0.2">
      <c r="A1302" t="s">
        <v>1050</v>
      </c>
      <c r="B1302" s="51">
        <f>INDEX(parameters!$D$4:$AB$20,MATCH(B1277&amp;B1279,parameters!$A$4:$A$20,0),MATCH(A1302,parameters!$D$3:$AB$3,0))</f>
        <v>1153.1249999999998</v>
      </c>
    </row>
    <row r="1304" spans="1:22" x14ac:dyDescent="0.2">
      <c r="A1304" s="3" t="s">
        <v>57</v>
      </c>
    </row>
    <row r="1305" spans="1:22" x14ac:dyDescent="0.2">
      <c r="A1305" s="2" t="s">
        <v>58</v>
      </c>
      <c r="B1305" s="44" t="s">
        <v>59</v>
      </c>
      <c r="C1305" s="2" t="s">
        <v>55</v>
      </c>
      <c r="D1305" s="2" t="s">
        <v>60</v>
      </c>
      <c r="E1305" s="2" t="s">
        <v>52</v>
      </c>
      <c r="F1305" s="2" t="s">
        <v>61</v>
      </c>
      <c r="G1305" s="2" t="s">
        <v>54</v>
      </c>
      <c r="H1305" s="2" t="s">
        <v>87</v>
      </c>
      <c r="I1305" s="2" t="s">
        <v>51</v>
      </c>
      <c r="J1305" s="2" t="s">
        <v>138</v>
      </c>
      <c r="K1305" s="2" t="s">
        <v>136</v>
      </c>
      <c r="L1305" s="2" t="s">
        <v>221</v>
      </c>
      <c r="M1305" s="2" t="s">
        <v>379</v>
      </c>
      <c r="N1305" s="2" t="s">
        <v>1059</v>
      </c>
      <c r="O1305" s="2" t="s">
        <v>1060</v>
      </c>
      <c r="P1305" s="2" t="s">
        <v>1061</v>
      </c>
      <c r="Q1305" s="2" t="s">
        <v>1062</v>
      </c>
      <c r="R1305" s="2" t="s">
        <v>1063</v>
      </c>
      <c r="S1305" s="2" t="s">
        <v>1064</v>
      </c>
      <c r="T1305" s="2" t="s">
        <v>1065</v>
      </c>
      <c r="U1305" s="2" t="s">
        <v>380</v>
      </c>
      <c r="V1305" s="2" t="s">
        <v>1128</v>
      </c>
    </row>
    <row r="1306" spans="1:22" x14ac:dyDescent="0.2">
      <c r="A1306" t="str">
        <f>B1267</f>
        <v>electricity, residential, by conversion of hydrogen using fuel cell, SOFC, allocated by exergy, transported by truck, produced by Electrolysis, PEM using water and electricity from grid</v>
      </c>
      <c r="B1306" s="45">
        <v>1</v>
      </c>
      <c r="C1306" t="str">
        <f>B1273</f>
        <v>kilowatt hour</v>
      </c>
      <c r="E1306" t="str">
        <f>B1270</f>
        <v>CH</v>
      </c>
      <c r="F1306" t="s">
        <v>62</v>
      </c>
      <c r="G1306" t="str">
        <f>B1272</f>
        <v>electricity, from residential heating system</v>
      </c>
      <c r="K1306" t="str">
        <f>B1267</f>
        <v>electricity, residential, by conversion of hydrogen using fuel cell, SOFC, allocated by exergy, transported by truck, produced by Electrolysis, PEM using water and electricity from grid</v>
      </c>
    </row>
    <row r="1307" spans="1:22" x14ac:dyDescent="0.2">
      <c r="A1307" t="str">
        <f>VLOOKUP(J1307,'dataset mapping'!$A$4:$E$69,2,0)</f>
        <v>fuel cell production, stack solid oxide, 125kW electrical, future</v>
      </c>
      <c r="B1307" s="52">
        <f>(1/(B1296*B1300*B1299))*B1301</f>
        <v>1.5612013277254003E-7</v>
      </c>
      <c r="C1307" t="str">
        <f>VLOOKUP(J1307,'dataset mapping'!$A$4:$E$69,5,0)</f>
        <v>unit</v>
      </c>
      <c r="E1307" t="str">
        <f>VLOOKUP(J1307,'dataset mapping'!$A$4:$E$69,4,0)</f>
        <v>CH</v>
      </c>
      <c r="F1307" t="s">
        <v>86</v>
      </c>
      <c r="G1307" t="str">
        <f>VLOOKUP(J1307,'dataset mapping'!$A$4:$E$69,3,0)</f>
        <v>fuel cell, stack solid oxide, 125kW electrical, future</v>
      </c>
      <c r="H1307" t="s">
        <v>88</v>
      </c>
      <c r="I1307" t="s">
        <v>277</v>
      </c>
      <c r="J1307" t="s">
        <v>274</v>
      </c>
      <c r="K1307" t="str">
        <f>B1267</f>
        <v>electricity, residential, by conversion of hydrogen using fuel cell, SOFC, allocated by exergy, transported by truck, produced by Electrolysis, PEM using water and electricity from grid</v>
      </c>
      <c r="L1307">
        <f t="shared" ref="L1307:L1312" si="45">IF(OR(B1307&lt;0,B1307=0),1,2)</f>
        <v>2</v>
      </c>
      <c r="M1307">
        <f t="shared" ref="M1307:M1312" si="46">IF(L1307=2,LN(B1307),"")</f>
        <v>-15.672640044182527</v>
      </c>
      <c r="N1307">
        <v>1</v>
      </c>
      <c r="O1307" s="15">
        <v>1.2</v>
      </c>
      <c r="P1307">
        <v>1</v>
      </c>
      <c r="Q1307">
        <v>1.01</v>
      </c>
      <c r="R1307">
        <v>1.2</v>
      </c>
      <c r="S1307">
        <v>1.2</v>
      </c>
      <c r="T1307">
        <v>3</v>
      </c>
      <c r="U1307">
        <f t="shared" ref="U1307:U1312" si="47">LN(SQRT(EXP(
SQRT(
+POWER(LN(N1307),2)
+POWER(LN(O1307),2)
+POWER(LN(P1307),2)
+POWER(LN(Q1307),2)
+POWER(LN(R1307),2)
+POWER(LN(S1307),2)
+POWER(LN(T1307),2)
)
)))</f>
        <v>0.57157051623399524</v>
      </c>
    </row>
    <row r="1308" spans="1:22" x14ac:dyDescent="0.2">
      <c r="A1308" t="s">
        <v>283</v>
      </c>
      <c r="B1308" s="52">
        <f>(1/(B1296*B1300*B1299))*B1301</f>
        <v>1.5612013277254003E-7</v>
      </c>
      <c r="C1308" t="s">
        <v>55</v>
      </c>
      <c r="E1308" t="s">
        <v>64</v>
      </c>
      <c r="F1308" t="s">
        <v>86</v>
      </c>
      <c r="G1308" t="s">
        <v>284</v>
      </c>
      <c r="H1308" t="s">
        <v>88</v>
      </c>
      <c r="I1308" t="s">
        <v>277</v>
      </c>
      <c r="K1308" t="str">
        <f>B1267</f>
        <v>electricity, residential, by conversion of hydrogen using fuel cell, SOFC, allocated by exergy, transported by truck, produced by Electrolysis, PEM using water and electricity from grid</v>
      </c>
      <c r="L1308">
        <f t="shared" si="45"/>
        <v>2</v>
      </c>
      <c r="M1308">
        <f t="shared" si="46"/>
        <v>-15.672640044182527</v>
      </c>
      <c r="N1308">
        <v>1</v>
      </c>
      <c r="O1308" s="15">
        <v>1.2</v>
      </c>
      <c r="P1308">
        <v>1</v>
      </c>
      <c r="Q1308">
        <v>1.01</v>
      </c>
      <c r="R1308">
        <v>1.2</v>
      </c>
      <c r="S1308">
        <v>1.2</v>
      </c>
      <c r="T1308">
        <v>3</v>
      </c>
      <c r="U1308">
        <f t="shared" si="47"/>
        <v>0.57157051623399524</v>
      </c>
    </row>
    <row r="1309" spans="1:22" x14ac:dyDescent="0.2">
      <c r="A1309" t="s">
        <v>288</v>
      </c>
      <c r="B1309" s="52">
        <f>0.000024*B1301</f>
        <v>2.0738998437504217E-5</v>
      </c>
      <c r="C1309" t="s">
        <v>56</v>
      </c>
      <c r="E1309" t="s">
        <v>64</v>
      </c>
      <c r="F1309" t="s">
        <v>86</v>
      </c>
      <c r="G1309" t="s">
        <v>287</v>
      </c>
      <c r="H1309" t="s">
        <v>88</v>
      </c>
      <c r="K1309" t="str">
        <f>B1267</f>
        <v>electricity, residential, by conversion of hydrogen using fuel cell, SOFC, allocated by exergy, transported by truck, produced by Electrolysis, PEM using water and electricity from grid</v>
      </c>
      <c r="L1309">
        <f t="shared" si="45"/>
        <v>2</v>
      </c>
      <c r="M1309">
        <f t="shared" si="46"/>
        <v>-10.783494647673981</v>
      </c>
      <c r="N1309">
        <v>1</v>
      </c>
      <c r="O1309" s="15">
        <v>1.2</v>
      </c>
      <c r="P1309">
        <v>1</v>
      </c>
      <c r="Q1309">
        <v>1.01</v>
      </c>
      <c r="R1309">
        <v>1.2</v>
      </c>
      <c r="S1309">
        <v>1.2</v>
      </c>
      <c r="T1309">
        <v>1.05</v>
      </c>
      <c r="U1309">
        <f t="shared" si="47"/>
        <v>0.15984597228197622</v>
      </c>
    </row>
    <row r="1310" spans="1:22" x14ac:dyDescent="0.2">
      <c r="A1310" t="s">
        <v>1139</v>
      </c>
      <c r="B1310" s="53">
        <f>(B1306/B1290)/B1289*B1301</f>
        <v>5.515691073804313E-2</v>
      </c>
      <c r="C1310" t="str">
        <f>VLOOKUP(J1310,'dataset mapping'!$A$4:$E$69,5,0)</f>
        <v>kilogram</v>
      </c>
      <c r="E1310" t="str">
        <f>VLOOKUP(J1310,'dataset mapping'!$A$4:$E$69,4,0)</f>
        <v>CH</v>
      </c>
      <c r="F1310" t="s">
        <v>86</v>
      </c>
      <c r="G1310" t="s">
        <v>1137</v>
      </c>
      <c r="H1310" t="s">
        <v>76</v>
      </c>
      <c r="I1310" t="s">
        <v>1054</v>
      </c>
      <c r="J1310" t="s">
        <v>281</v>
      </c>
      <c r="K1310" t="str">
        <f>B1267</f>
        <v>electricity, residential, by conversion of hydrogen using fuel cell, SOFC, allocated by exergy, transported by truck, produced by Electrolysis, PEM using water and electricity from grid</v>
      </c>
      <c r="L1310">
        <f t="shared" si="45"/>
        <v>2</v>
      </c>
      <c r="M1310">
        <f t="shared" si="46"/>
        <v>-2.8975732330996009</v>
      </c>
      <c r="N1310">
        <v>1</v>
      </c>
      <c r="O1310" s="15">
        <v>1.2</v>
      </c>
      <c r="P1310">
        <v>1</v>
      </c>
      <c r="Q1310">
        <v>1.01</v>
      </c>
      <c r="R1310">
        <v>1.2</v>
      </c>
      <c r="S1310">
        <v>1.2</v>
      </c>
      <c r="T1310">
        <v>1.05</v>
      </c>
      <c r="U1310">
        <f t="shared" si="47"/>
        <v>0.15984597228197622</v>
      </c>
    </row>
    <row r="1311" spans="1:22" x14ac:dyDescent="0.2">
      <c r="A1311" t="str">
        <f>VLOOKUP(J1311,'dataset mapping'!$A$4:$E$69,2,0)</f>
        <v>high pressure hydrogen storage tank</v>
      </c>
      <c r="B1311" s="52">
        <f>((B1302/10)/(B1300*B1296*20))*IF(B1301&lt;&gt;0,B1301,1)</f>
        <v>5.400780843100055E-6</v>
      </c>
      <c r="C1311" t="str">
        <f>VLOOKUP(J1311,'dataset mapping'!$A$4:$E$69,5,0)</f>
        <v>kilogram</v>
      </c>
      <c r="E1311" t="str">
        <f>VLOOKUP(J1311,'dataset mapping'!$A$4:$E$69,4,0)</f>
        <v>GLO</v>
      </c>
      <c r="F1311" t="s">
        <v>86</v>
      </c>
      <c r="G1311" t="str">
        <f>VLOOKUP(J1311,'dataset mapping'!$A$4:$E$69,3,0)</f>
        <v>high pressure hydrogen storage tank</v>
      </c>
      <c r="H1311" t="s">
        <v>88</v>
      </c>
      <c r="I1311" t="s">
        <v>230</v>
      </c>
      <c r="J1311" t="s">
        <v>229</v>
      </c>
      <c r="K1311" t="str">
        <f>B1267</f>
        <v>electricity, residential, by conversion of hydrogen using fuel cell, SOFC, allocated by exergy, transported by truck, produced by Electrolysis, PEM using water and electricity from grid</v>
      </c>
      <c r="L1311">
        <f t="shared" si="45"/>
        <v>2</v>
      </c>
      <c r="M1311">
        <f t="shared" si="46"/>
        <v>-12.128967014273616</v>
      </c>
      <c r="N1311">
        <v>1</v>
      </c>
      <c r="O1311" s="15">
        <v>1.2</v>
      </c>
      <c r="P1311">
        <v>1</v>
      </c>
      <c r="Q1311">
        <v>1.01</v>
      </c>
      <c r="R1311">
        <v>1.2</v>
      </c>
      <c r="S1311">
        <v>1.2</v>
      </c>
      <c r="T1311">
        <v>3</v>
      </c>
      <c r="U1311">
        <f t="shared" si="47"/>
        <v>0.57157051623399524</v>
      </c>
    </row>
    <row r="1312" spans="1:22" x14ac:dyDescent="0.2">
      <c r="A1312" t="s">
        <v>134</v>
      </c>
      <c r="B1312" s="45">
        <f>B1310*9</f>
        <v>0.49641219664238817</v>
      </c>
      <c r="C1312" t="s">
        <v>56</v>
      </c>
      <c r="D1312" t="s">
        <v>100</v>
      </c>
      <c r="F1312" t="s">
        <v>99</v>
      </c>
      <c r="H1312" t="s">
        <v>131</v>
      </c>
      <c r="I1312" t="s">
        <v>1057</v>
      </c>
      <c r="K1312" t="str">
        <f>B1267</f>
        <v>electricity, residential, by conversion of hydrogen using fuel cell, SOFC, allocated by exergy, transported by truck, produced by Electrolysis, PEM using water and electricity from grid</v>
      </c>
      <c r="L1312">
        <f t="shared" si="45"/>
        <v>2</v>
      </c>
      <c r="M1312">
        <f t="shared" si="46"/>
        <v>-0.70034865576338168</v>
      </c>
      <c r="N1312">
        <v>1</v>
      </c>
      <c r="O1312" s="15">
        <v>1.2</v>
      </c>
      <c r="P1312">
        <v>1</v>
      </c>
      <c r="Q1312">
        <v>1.01</v>
      </c>
      <c r="R1312">
        <v>1.2</v>
      </c>
      <c r="S1312">
        <v>1.2</v>
      </c>
      <c r="T1312">
        <v>1.05</v>
      </c>
      <c r="U1312">
        <f t="shared" si="47"/>
        <v>0.15984597228197622</v>
      </c>
    </row>
    <row r="1315" spans="1:2" x14ac:dyDescent="0.2">
      <c r="A1315" s="2" t="s">
        <v>50</v>
      </c>
      <c r="B1315" s="44" t="str">
        <f>IF(B1321="megajoule","heat","electricity")&amp;", residential, by "&amp;B1326&amp;" of "&amp;B1325&amp;" using "&amp;B1327&amp;IF(B1328&lt;&gt;0,", allocated by "&amp;B1328,"")&amp;", transported by "&amp;B1329&amp;", produced by "&amp;B1333&amp;" using "&amp;B1334&amp;" from "&amp;B1335</f>
        <v>heat, residential, by combustion of hydrogen using boiler, transported by pipeline, produced by Electrolysis, SOEC using water and electricity from grid</v>
      </c>
    </row>
    <row r="1316" spans="1:2" x14ac:dyDescent="0.2">
      <c r="A1316" t="s">
        <v>51</v>
      </c>
      <c r="B1316" s="45" t="str">
        <f>"This dataset represents the supply of 1 "&amp;IF(B1321="megajoule","megajoule of heat","kilowatt hour of electricity")&amp;" in a residence, by "&amp;B1325&amp;" "&amp;B1326&amp;" in a "&amp;B1327&amp;". "&amp;" The hydrogen is transported by "&amp;B1329&amp;" over "&amp;B1330&amp;" km from regional storage. "&amp;" The "&amp;B1325&amp;" is produced by  "&amp;B1333&amp;", with "&amp;B1334&amp;" from "&amp;B1335&amp;" as feedstock. "&amp;A1337&amp;": "&amp;(B1337*100)&amp;"%. "&amp;A1338&amp;": "&amp;B1338&amp;". "&amp;A1339&amp;": "&amp;B1339&amp;". "&amp;A1340&amp;": "&amp;(B1340*100)&amp;"%. "&amp;A1341&amp;": "&amp;(B1341*100)&amp;"%. "&amp;A1342&amp;": "&amp;(B1342*100)&amp;"%. "&amp;A1343&amp;": "&amp;B1343&amp;". "&amp;A1344&amp;": "&amp;B1344&amp;". "&amp;A1345&amp;": "&amp;(B1345*100)&amp;"%. "&amp;A1346&amp;": "&amp;B1346&amp;". "&amp;A1347&amp;": "&amp;B1347&amp;". "&amp;A1348&amp;": "&amp;B1348&amp;". "&amp;A1349&amp;": "&amp;B1349&amp;".  For more information, refer to: "&amp;B1317</f>
        <v>This dataset represents the supply of 1 megajoule of heat in a residence, by hydrogen combustion in a boiler.  The hydrogen is transported by pipeline over 500 km from regional storage.  The hydrogen is produced by  Electrolysis, SOEC,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1317" spans="1:2" x14ac:dyDescent="0.2">
      <c r="A1317" t="s">
        <v>63</v>
      </c>
      <c r="B1317" s="45" t="s">
        <v>1223</v>
      </c>
    </row>
    <row r="1318" spans="1:2" x14ac:dyDescent="0.2">
      <c r="A1318" t="s">
        <v>52</v>
      </c>
      <c r="B1318" s="45" t="s">
        <v>64</v>
      </c>
    </row>
    <row r="1319" spans="1:2" x14ac:dyDescent="0.2">
      <c r="A1319" t="s">
        <v>48</v>
      </c>
      <c r="B1319" s="45">
        <v>17</v>
      </c>
    </row>
    <row r="1320" spans="1:2" x14ac:dyDescent="0.2">
      <c r="A1320" t="s">
        <v>54</v>
      </c>
      <c r="B1320" s="45" t="str">
        <f>INDEX(overview!$B$4:$R$338,MATCH('hydrogen - electrolysis'!B1319,overview!$A$4:$A$338,0),MATCH('hydrogen - electrolysis'!A1320,overview!$B$3:$R$3,0))</f>
        <v>heat, from residential heating system</v>
      </c>
    </row>
    <row r="1321" spans="1:2" x14ac:dyDescent="0.2">
      <c r="A1321" t="s">
        <v>55</v>
      </c>
      <c r="B1321" s="45" t="str">
        <f>INDEX(overview!$B$4:$R$338,MATCH('hydrogen - electrolysis'!B1319,overview!$A$4:$A$338,0),MATCH('hydrogen - electrolysis'!A1321,overview!$B$3:$R$3,0))</f>
        <v>megajoule</v>
      </c>
    </row>
    <row r="1322" spans="1:2" x14ac:dyDescent="0.2">
      <c r="A1322" t="s">
        <v>0</v>
      </c>
      <c r="B1322" s="45" t="str">
        <f>INDEX(overview!$B$4:$R$338,MATCH('hydrogen - electrolysis'!B1319,overview!$A$4:$A$338,0),MATCH('hydrogen - electrolysis'!A1322,overview!$B$3:$R$3,0))</f>
        <v>Switzerland</v>
      </c>
    </row>
    <row r="1323" spans="1:2" x14ac:dyDescent="0.2">
      <c r="A1323" t="s">
        <v>1</v>
      </c>
      <c r="B1323" s="45">
        <f>INDEX(overview!$B$4:$R$338,MATCH('hydrogen - electrolysis'!B1319,overview!$A$4:$A$338,0),MATCH('hydrogen - electrolysis'!A1323,overview!$B$3:$R$3,0))</f>
        <v>2020</v>
      </c>
    </row>
    <row r="1324" spans="1:2" x14ac:dyDescent="0.2">
      <c r="A1324" t="s">
        <v>2</v>
      </c>
      <c r="B1324" s="45" t="str">
        <f>INDEX(overview!$B$4:$R$338,MATCH('hydrogen - electrolysis'!B1319,overview!$A$4:$A$338,0),MATCH('hydrogen - electrolysis'!A1324,overview!$B$3:$R$3,0))</f>
        <v>1 MJ heat</v>
      </c>
    </row>
    <row r="1325" spans="1:2" x14ac:dyDescent="0.2">
      <c r="A1325" t="s">
        <v>5</v>
      </c>
      <c r="B1325" s="45" t="str">
        <f>INDEX(overview!$B$4:$R$338,MATCH('hydrogen - electrolysis'!B1319,overview!$A$4:$A$338,0),MATCH('hydrogen - electrolysis'!A1325,overview!$B$3:$R$3,0))</f>
        <v>hydrogen</v>
      </c>
    </row>
    <row r="1326" spans="1:2" x14ac:dyDescent="0.2">
      <c r="A1326" t="s">
        <v>3</v>
      </c>
      <c r="B1326" s="45" t="str">
        <f>INDEX(overview!$B$4:$R$338,MATCH('hydrogen - electrolysis'!B1319,overview!$A$4:$A$338,0),MATCH('hydrogen - electrolysis'!A1326,overview!$B$3:$R$3,0))</f>
        <v>combustion</v>
      </c>
    </row>
    <row r="1327" spans="1:2" x14ac:dyDescent="0.2">
      <c r="A1327" t="s">
        <v>6</v>
      </c>
      <c r="B1327" s="45" t="str">
        <f>INDEX(overview!$B$4:$R$338,MATCH('hydrogen - electrolysis'!B1319,overview!$A$4:$A$338,0),MATCH('hydrogen - electrolysis'!A1327,overview!$B$3:$R$3,0))</f>
        <v>boiler</v>
      </c>
    </row>
    <row r="1328" spans="1:2" x14ac:dyDescent="0.2">
      <c r="A1328" t="s">
        <v>39</v>
      </c>
      <c r="B1328" s="45">
        <f>INDEX(overview!$B$4:$R$338,MATCH('hydrogen - electrolysis'!B1319,overview!$A$4:$A$338,0),MATCH('hydrogen - electrolysis'!A1328,overview!$B$3:$R$3,0))</f>
        <v>0</v>
      </c>
    </row>
    <row r="1329" spans="1:2" x14ac:dyDescent="0.2">
      <c r="A1329" t="s">
        <v>4</v>
      </c>
      <c r="B1329" s="45" t="str">
        <f>INDEX(overview!$B$4:$R$338,MATCH('hydrogen - electrolysis'!B1319,overview!$A$4:$A$338,0),MATCH('hydrogen - electrolysis'!A1329,overview!$B$3:$R$3,0))</f>
        <v>pipeline</v>
      </c>
    </row>
    <row r="1330" spans="1:2" x14ac:dyDescent="0.2">
      <c r="A1330" t="s">
        <v>38</v>
      </c>
      <c r="B1330" s="45">
        <f>INDEX(overview!$B$4:$R$338,MATCH('hydrogen - electrolysis'!B1319,overview!$A$4:$A$338,0),MATCH('hydrogen - electrolysis'!A1330,overview!$B$3:$R$3,0))</f>
        <v>500</v>
      </c>
    </row>
    <row r="1331" spans="1:2" x14ac:dyDescent="0.2">
      <c r="A1331" t="s">
        <v>12</v>
      </c>
      <c r="B1331" s="45" t="str">
        <f>INDEX(overview!$B$4:$R$338,MATCH('hydrogen - electrolysis'!B1319,overview!$A$4:$A$338,0),MATCH('hydrogen - electrolysis'!A1331,overview!$B$3:$R$3,0))</f>
        <v>Pressure vessel for stationary storage</v>
      </c>
    </row>
    <row r="1332" spans="1:2" x14ac:dyDescent="0.2">
      <c r="A1332" t="s">
        <v>34</v>
      </c>
      <c r="B1332" s="45">
        <f>INDEX(overview!$B$4:$R$338,MATCH('hydrogen - electrolysis'!B1319,overview!$A$4:$A$338,0),MATCH('hydrogen - electrolysis'!A1332,overview!$B$3:$R$3,0))</f>
        <v>0</v>
      </c>
    </row>
    <row r="1333" spans="1:2" x14ac:dyDescent="0.2">
      <c r="A1333" t="s">
        <v>15</v>
      </c>
      <c r="B1333" s="45" t="str">
        <f>INDEX(overview!$B$4:$R$338,MATCH('hydrogen - electrolysis'!B1319,overview!$A$4:$A$338,0),MATCH('hydrogen - electrolysis'!A1333,overview!$B$3:$R$3,0))</f>
        <v>Electrolysis, SOEC</v>
      </c>
    </row>
    <row r="1334" spans="1:2" x14ac:dyDescent="0.2">
      <c r="A1334" t="s">
        <v>14</v>
      </c>
      <c r="B1334" s="45" t="str">
        <f>INDEX(overview!$B$4:$R$338,MATCH('hydrogen - electrolysis'!B1319,overview!$A$4:$A$338,0),MATCH('hydrogen - electrolysis'!A1334,overview!$B$3:$R$3,0))</f>
        <v>water and electricity</v>
      </c>
    </row>
    <row r="1335" spans="1:2" x14ac:dyDescent="0.2">
      <c r="A1335" t="s">
        <v>26</v>
      </c>
      <c r="B1335" s="45" t="str">
        <f>INDEX(overview!$B$4:$R$338,MATCH('hydrogen - electrolysis'!B1319,overview!$A$4:$A$338,0),MATCH('hydrogen - electrolysis'!A1335,overview!$B$3:$R$3,0))</f>
        <v>grid</v>
      </c>
    </row>
    <row r="1336" spans="1:2" x14ac:dyDescent="0.2">
      <c r="A1336" t="s">
        <v>29</v>
      </c>
      <c r="B1336" s="45">
        <f>INDEX(overview!$B$4:$R$338,MATCH('hydrogen - electrolysis'!B1319,overview!$A$4:$A$338,0),MATCH('hydrogen - electrolysis'!A1336,overview!$B$3:$R$3,0))</f>
        <v>0</v>
      </c>
    </row>
    <row r="1337" spans="1:2" x14ac:dyDescent="0.2">
      <c r="A1337" t="str">
        <f>IF(B1321="megajoule","Heat","Electricity")&amp;" conversion efficiency [% LHV input]"</f>
        <v>Heat conversion efficiency [% LHV input]</v>
      </c>
      <c r="B1337" s="46">
        <f>INDEX(parameters!$D$4:$N$20,MATCH('hydrogen - electrolysis'!B1325&amp;'hydrogen - electrolysis'!B1327,parameters!$A$4:$A$20,0),MATCH('hydrogen - electrolysis'!A1337,parameters!$D$3:$N$3,0))</f>
        <v>0.94</v>
      </c>
    </row>
    <row r="1338" spans="1:2" x14ac:dyDescent="0.2">
      <c r="A1338" t="str">
        <f>IF(B1321="megajoule","LHV [MJ/kg]","LHV [kWh/kg]")</f>
        <v>LHV [MJ/kg]</v>
      </c>
      <c r="B1338" s="47">
        <f>INDEX(parameters!$D$4:$N$20,MATCH('hydrogen - electrolysis'!B1325&amp;'hydrogen - electrolysis'!B1327,parameters!$A$4:$A$20,0),MATCH('hydrogen - electrolysis'!A1338,parameters!$D$3:$N$3,0))</f>
        <v>120</v>
      </c>
    </row>
    <row r="1339" spans="1:2" x14ac:dyDescent="0.2">
      <c r="A1339" t="s">
        <v>41</v>
      </c>
      <c r="B1339" s="48">
        <f>INDEX(parameters!$D$4:$N$20,MATCH('hydrogen - electrolysis'!B1325&amp;'hydrogen - electrolysis'!B1327,parameters!$A$4:$A$20,0),MATCH('hydrogen - electrolysis'!A1339,parameters!$D$3:$N$3,0))</f>
        <v>2.6666666666666665E-2</v>
      </c>
    </row>
    <row r="1340" spans="1:2" x14ac:dyDescent="0.2">
      <c r="A1340" t="s">
        <v>45</v>
      </c>
      <c r="B1340" s="49">
        <f>INDEX(parameters!$D$4:$N$20,MATCH('hydrogen - electrolysis'!B1325&amp;'hydrogen - electrolysis'!B1327,parameters!$A$4:$A$20,0),MATCH('hydrogen - electrolysis'!A1340,parameters!$D$3:$N$3,0))</f>
        <v>0</v>
      </c>
    </row>
    <row r="1341" spans="1:2" x14ac:dyDescent="0.2">
      <c r="A1341" t="s">
        <v>46</v>
      </c>
      <c r="B1341" s="49">
        <f>INDEX(parameters!$D$4:$N$20,MATCH('hydrogen - electrolysis'!B1325&amp;'hydrogen - electrolysis'!B1327,parameters!$A$4:$A$20,0),MATCH('hydrogen - electrolysis'!A1341,parameters!$D$3:$N$3,0))</f>
        <v>1.4999999999999999E-2</v>
      </c>
    </row>
    <row r="1342" spans="1:2" x14ac:dyDescent="0.2">
      <c r="A1342" t="s">
        <v>43</v>
      </c>
      <c r="B1342" s="49">
        <f>INDEX(parameters!$D$4:$N$20,MATCH('hydrogen - electrolysis'!B1325&amp;'hydrogen - electrolysis'!B1327,parameters!$A$4:$A$20,0),MATCH('hydrogen - electrolysis'!A1342,parameters!$D$3:$N$3,0))</f>
        <v>0</v>
      </c>
    </row>
    <row r="1343" spans="1:2" x14ac:dyDescent="0.2">
      <c r="A1343" t="s">
        <v>44</v>
      </c>
      <c r="B1343" s="49">
        <f>INDEX(parameters!$D$4:$N$20,MATCH('hydrogen - electrolysis'!B1325&amp;'hydrogen - electrolysis'!B1327,parameters!$A$4:$A$20,0),MATCH('hydrogen - electrolysis'!A1343,parameters!$D$3:$N$3,0))</f>
        <v>0</v>
      </c>
    </row>
    <row r="1344" spans="1:2" x14ac:dyDescent="0.2">
      <c r="A1344" t="s">
        <v>634</v>
      </c>
      <c r="B1344" s="51">
        <f>INDEX(parameters!$D$4:$Y$20,MATCH('hydrogen - electrolysis'!B1325&amp;'hydrogen - electrolysis'!B1327,parameters!$A$4:$A$20,0),MATCH('hydrogen - electrolysis'!A1344,parameters!$D$3:$Y$3,0))</f>
        <v>15.957446808510639</v>
      </c>
    </row>
    <row r="1345" spans="1:22" x14ac:dyDescent="0.2">
      <c r="A1345" t="s">
        <v>82</v>
      </c>
      <c r="B1345" s="46">
        <f>IF(B1336&lt;&gt;0,VLOOKUP(B1336,parameters!A867:B869,2,0),0)</f>
        <v>0</v>
      </c>
    </row>
    <row r="1346" spans="1:22" x14ac:dyDescent="0.2">
      <c r="A1346" t="s">
        <v>548</v>
      </c>
      <c r="B1346" s="50">
        <f>INDEX(parameters!$D$4:$P$20,MATCH(B1325&amp;B1327,parameters!$A$4:$A$20,0),MATCH(A1346,parameters!$D$3:$P$3,0))</f>
        <v>15</v>
      </c>
    </row>
    <row r="1347" spans="1:22" x14ac:dyDescent="0.2">
      <c r="A1347" t="s">
        <v>547</v>
      </c>
      <c r="B1347" s="51">
        <f>INDEX(parameters!$D$4:$P$20,MATCH(B1325&amp;B1327,parameters!$A$4:$A$20,0),MATCH(A1347,parameters!$D$3:$P$3,0))</f>
        <v>20</v>
      </c>
    </row>
    <row r="1348" spans="1:22" x14ac:dyDescent="0.2">
      <c r="A1348" t="s">
        <v>630</v>
      </c>
      <c r="B1348" s="51">
        <f>INDEX(parameters!$D$4:$T$20,MATCH(B1325&amp;B1327,parameters!$A$4:$A$20,0),MATCH(A1348,parameters!$D$3:$T$3,0))</f>
        <v>2100</v>
      </c>
    </row>
    <row r="1349" spans="1:22" x14ac:dyDescent="0.2">
      <c r="A1349" t="s">
        <v>1005</v>
      </c>
      <c r="B1349" s="50">
        <f>IF(B1321="megajoule",SUMIFS(allocation!$I$4:$I$30,allocation!$B$4:$B$30,B1327,allocation!$C$4:$C$30,B1328),SUMIFS(allocation!$J$4:$J$30,allocation!$B$4:$B$30,B1327,allocation!$C$4:$C$30,B1328))</f>
        <v>0</v>
      </c>
    </row>
    <row r="1350" spans="1:22" x14ac:dyDescent="0.2">
      <c r="A1350" t="s">
        <v>1050</v>
      </c>
      <c r="B1350" s="51">
        <f>INDEX(parameters!$D$4:$AB$20,MATCH(B1325&amp;B1327,parameters!$A$4:$A$20,0),MATCH(A1350,parameters!$D$3:$AB$3,0))</f>
        <v>44.562019013128115</v>
      </c>
    </row>
    <row r="1352" spans="1:22" x14ac:dyDescent="0.2">
      <c r="A1352" s="3" t="s">
        <v>57</v>
      </c>
    </row>
    <row r="1353" spans="1:22" x14ac:dyDescent="0.2">
      <c r="A1353" s="2" t="s">
        <v>58</v>
      </c>
      <c r="B1353" s="44" t="s">
        <v>59</v>
      </c>
      <c r="C1353" s="2" t="s">
        <v>55</v>
      </c>
      <c r="D1353" s="2" t="s">
        <v>60</v>
      </c>
      <c r="E1353" s="2" t="s">
        <v>52</v>
      </c>
      <c r="F1353" s="2" t="s">
        <v>61</v>
      </c>
      <c r="G1353" s="2" t="s">
        <v>54</v>
      </c>
      <c r="H1353" s="2" t="s">
        <v>87</v>
      </c>
      <c r="I1353" s="2" t="s">
        <v>51</v>
      </c>
      <c r="J1353" s="2" t="s">
        <v>138</v>
      </c>
      <c r="K1353" s="2" t="s">
        <v>136</v>
      </c>
      <c r="L1353" s="2" t="s">
        <v>221</v>
      </c>
      <c r="M1353" s="2" t="s">
        <v>379</v>
      </c>
      <c r="N1353" s="2" t="s">
        <v>1059</v>
      </c>
      <c r="O1353" s="2" t="s">
        <v>1060</v>
      </c>
      <c r="P1353" s="2" t="s">
        <v>1061</v>
      </c>
      <c r="Q1353" s="2" t="s">
        <v>1062</v>
      </c>
      <c r="R1353" s="2" t="s">
        <v>1063</v>
      </c>
      <c r="S1353" s="2" t="s">
        <v>1064</v>
      </c>
      <c r="T1353" s="2" t="s">
        <v>1065</v>
      </c>
      <c r="U1353" s="2" t="s">
        <v>380</v>
      </c>
      <c r="V1353" s="2" t="s">
        <v>1128</v>
      </c>
    </row>
    <row r="1354" spans="1:22" x14ac:dyDescent="0.2">
      <c r="A1354" t="str">
        <f>B1315</f>
        <v>heat, residential, by combustion of hydrogen using boiler, transported by pipeline, produced by Electrolysis, SOEC using water and electricity from grid</v>
      </c>
      <c r="B1354" s="45">
        <v>1</v>
      </c>
      <c r="C1354" t="str">
        <f>B1321</f>
        <v>megajoule</v>
      </c>
      <c r="E1354" t="str">
        <f>B1318</f>
        <v>CH</v>
      </c>
      <c r="F1354" t="s">
        <v>62</v>
      </c>
      <c r="G1354" t="str">
        <f>B1320</f>
        <v>heat, from residential heating system</v>
      </c>
      <c r="K1354" t="str">
        <f>B1315</f>
        <v>heat, residential, by combustion of hydrogen using boiler, transported by pipeline, produced by Electrolysis, SOEC using water and electricity from grid</v>
      </c>
    </row>
    <row r="1355" spans="1:22" x14ac:dyDescent="0.2">
      <c r="A1355" t="s">
        <v>83</v>
      </c>
      <c r="B1355" s="52">
        <f>1/(B1346*B1348*B1347*3.6)</f>
        <v>4.4091710758377425E-7</v>
      </c>
      <c r="C1355" t="s">
        <v>55</v>
      </c>
      <c r="E1355" t="s">
        <v>85</v>
      </c>
      <c r="F1355" t="s">
        <v>86</v>
      </c>
      <c r="G1355" t="s">
        <v>84</v>
      </c>
      <c r="H1355" t="s">
        <v>88</v>
      </c>
      <c r="K1355" t="str">
        <f>B1315</f>
        <v>heat, residential, by combustion of hydrogen using boiler, transported by pipeline, produced by Electrolysis, SOEC using water and electricity from grid</v>
      </c>
      <c r="L1355">
        <f t="shared" ref="L1355:L1360" si="48">IF(OR(B1355&lt;0,B1355=0),1,2)</f>
        <v>2</v>
      </c>
      <c r="M1355">
        <f t="shared" ref="M1355:M1360" si="49">IF(L1355=2,LN(B1355),"")</f>
        <v>-14.634408943829779</v>
      </c>
      <c r="N1355">
        <v>1.05</v>
      </c>
      <c r="O1355" s="15">
        <v>1.2</v>
      </c>
      <c r="P1355">
        <v>1</v>
      </c>
      <c r="Q1355">
        <v>1.01</v>
      </c>
      <c r="R1355">
        <v>1.2</v>
      </c>
      <c r="S1355">
        <v>1.2</v>
      </c>
      <c r="T1355">
        <v>3</v>
      </c>
      <c r="U1355">
        <f t="shared" ref="U1355:U1360" si="50">LN(SQRT(EXP(
SQRT(
+POWER(LN(N1355),2)
+POWER(LN(O1355),2)
+POWER(LN(P1355),2)
+POWER(LN(Q1355),2)
+POWER(LN(R1355),2)
+POWER(LN(S1355),2)
+POWER(LN(T1355),2)
)
)))</f>
        <v>0.57209088006881903</v>
      </c>
    </row>
    <row r="1356" spans="1:22" x14ac:dyDescent="0.2">
      <c r="A1356" t="s">
        <v>500</v>
      </c>
      <c r="B1356" s="52">
        <f>B1355*2</f>
        <v>8.8183421516754851E-7</v>
      </c>
      <c r="C1356" t="s">
        <v>267</v>
      </c>
      <c r="E1356" t="s">
        <v>85</v>
      </c>
      <c r="F1356" t="s">
        <v>86</v>
      </c>
      <c r="G1356" t="s">
        <v>501</v>
      </c>
      <c r="H1356" t="s">
        <v>88</v>
      </c>
      <c r="I1356" t="s">
        <v>621</v>
      </c>
      <c r="K1356" t="str">
        <f>B1315</f>
        <v>heat, residential, by combustion of hydrogen using boiler, transported by pipeline, produced by Electrolysis, SOEC using water and electricity from grid</v>
      </c>
      <c r="L1356">
        <f t="shared" si="48"/>
        <v>2</v>
      </c>
      <c r="M1356">
        <f t="shared" si="49"/>
        <v>-13.941261763269834</v>
      </c>
      <c r="N1356">
        <v>1.05</v>
      </c>
      <c r="O1356" s="15">
        <v>1.2</v>
      </c>
      <c r="P1356">
        <v>1</v>
      </c>
      <c r="Q1356">
        <v>1.01</v>
      </c>
      <c r="R1356">
        <v>1.2</v>
      </c>
      <c r="S1356">
        <v>1.2</v>
      </c>
      <c r="T1356">
        <v>3</v>
      </c>
      <c r="U1356">
        <f t="shared" si="50"/>
        <v>0.57209088006881903</v>
      </c>
    </row>
    <row r="1357" spans="1:22" x14ac:dyDescent="0.2">
      <c r="A1357" t="s">
        <v>130</v>
      </c>
      <c r="B1357" s="52">
        <v>2.64E-3</v>
      </c>
      <c r="C1357" t="s">
        <v>92</v>
      </c>
      <c r="E1357" t="s">
        <v>64</v>
      </c>
      <c r="F1357" t="s">
        <v>86</v>
      </c>
      <c r="G1357" t="s">
        <v>93</v>
      </c>
      <c r="H1357" t="s">
        <v>78</v>
      </c>
      <c r="I1357" t="s">
        <v>270</v>
      </c>
      <c r="J1357" t="s">
        <v>67</v>
      </c>
      <c r="K1357" t="str">
        <f>B1315</f>
        <v>heat, residential, by combustion of hydrogen using boiler, transported by pipeline, produced by Electrolysis, SOEC using water and electricity from grid</v>
      </c>
      <c r="L1357">
        <f t="shared" si="48"/>
        <v>2</v>
      </c>
      <c r="M1357">
        <f t="shared" si="49"/>
        <v>-5.9369763618239126</v>
      </c>
      <c r="N1357">
        <v>1.05</v>
      </c>
      <c r="O1357" s="15">
        <v>1.2</v>
      </c>
      <c r="P1357">
        <v>1</v>
      </c>
      <c r="Q1357">
        <v>1.01</v>
      </c>
      <c r="R1357">
        <v>1.2</v>
      </c>
      <c r="S1357">
        <v>1.2</v>
      </c>
      <c r="T1357">
        <v>1.05</v>
      </c>
      <c r="U1357">
        <f t="shared" si="50"/>
        <v>0.16169679924070957</v>
      </c>
    </row>
    <row r="1358" spans="1:22" x14ac:dyDescent="0.2">
      <c r="A1358" s="45" t="str">
        <f>"hydrogen supply, transported by "&amp;B1329&amp;", produced by "&amp;B1333&amp;" using "&amp;B1334&amp;" from "&amp;B1335</f>
        <v>hydrogen supply, transported by pipeline, produced by Electrolysis, SOEC using water and electricity from grid</v>
      </c>
      <c r="B1358" s="53">
        <f>(B1354/B1338)/B1337</f>
        <v>8.8652482269503553E-3</v>
      </c>
      <c r="C1358" t="str">
        <f>VLOOKUP(J1358,'dataset mapping'!$A$4:$E$69,5,0)</f>
        <v>kilogram</v>
      </c>
      <c r="E1358" t="str">
        <f>VLOOKUP(J1358,'dataset mapping'!$A$4:$E$69,4,0)</f>
        <v>CH</v>
      </c>
      <c r="F1358" t="s">
        <v>86</v>
      </c>
      <c r="G1358" t="str">
        <f>"hydrogen, gaseous, from "&amp;B1329</f>
        <v>hydrogen, gaseous, from pipeline</v>
      </c>
      <c r="H1358" t="s">
        <v>76</v>
      </c>
      <c r="I1358" t="s">
        <v>1054</v>
      </c>
      <c r="J1358" t="s">
        <v>282</v>
      </c>
      <c r="K1358" t="str">
        <f>B1315</f>
        <v>heat, residential, by combustion of hydrogen using boiler, transported by pipeline, produced by Electrolysis, SOEC using water and electricity from grid</v>
      </c>
      <c r="L1358">
        <f t="shared" si="48"/>
        <v>2</v>
      </c>
      <c r="M1358">
        <f t="shared" si="49"/>
        <v>-4.7256163390639587</v>
      </c>
      <c r="N1358">
        <v>1.05</v>
      </c>
      <c r="O1358" s="15">
        <v>1.2</v>
      </c>
      <c r="P1358">
        <v>1</v>
      </c>
      <c r="Q1358">
        <v>1.01</v>
      </c>
      <c r="R1358">
        <v>1.2</v>
      </c>
      <c r="S1358">
        <v>1.2</v>
      </c>
      <c r="T1358">
        <v>1.05</v>
      </c>
      <c r="U1358">
        <f t="shared" si="50"/>
        <v>0.16169679924070957</v>
      </c>
    </row>
    <row r="1359" spans="1:22" x14ac:dyDescent="0.2">
      <c r="A1359" t="s">
        <v>134</v>
      </c>
      <c r="B1359" s="45">
        <f>B1358*9</f>
        <v>7.9787234042553196E-2</v>
      </c>
      <c r="C1359" t="s">
        <v>56</v>
      </c>
      <c r="D1359" t="s">
        <v>100</v>
      </c>
      <c r="F1359" t="s">
        <v>99</v>
      </c>
      <c r="H1359" t="s">
        <v>131</v>
      </c>
      <c r="I1359" t="s">
        <v>1058</v>
      </c>
      <c r="K1359" t="str">
        <f>B1315</f>
        <v>heat, residential, by combustion of hydrogen using boiler, transported by pipeline, produced by Electrolysis, SOEC using water and electricity from grid</v>
      </c>
      <c r="L1359">
        <f t="shared" si="48"/>
        <v>2</v>
      </c>
      <c r="M1359">
        <f t="shared" si="49"/>
        <v>-2.5283917617277392</v>
      </c>
      <c r="N1359">
        <v>1.05</v>
      </c>
      <c r="O1359" s="15">
        <v>1.2</v>
      </c>
      <c r="P1359">
        <v>1</v>
      </c>
      <c r="Q1359">
        <v>1.01</v>
      </c>
      <c r="R1359">
        <v>1.2</v>
      </c>
      <c r="S1359">
        <v>1.2</v>
      </c>
      <c r="T1359">
        <v>1.05</v>
      </c>
      <c r="U1359">
        <f t="shared" si="50"/>
        <v>0.16169679924070957</v>
      </c>
    </row>
    <row r="1360" spans="1:22" x14ac:dyDescent="0.2">
      <c r="A1360" t="s">
        <v>135</v>
      </c>
      <c r="B1360" s="45">
        <f>912.5/1000000*B1358</f>
        <v>8.0895390070921995E-6</v>
      </c>
      <c r="C1360" t="s">
        <v>56</v>
      </c>
      <c r="D1360" t="s">
        <v>100</v>
      </c>
      <c r="F1360" t="s">
        <v>99</v>
      </c>
      <c r="H1360" t="s">
        <v>131</v>
      </c>
      <c r="I1360" t="s">
        <v>1217</v>
      </c>
      <c r="K1360" t="str">
        <f>B1315</f>
        <v>heat, residential, by combustion of hydrogen using boiler, transported by pipeline, produced by Electrolysis, SOEC using water and electricity from grid</v>
      </c>
      <c r="L1360">
        <f t="shared" si="48"/>
        <v>2</v>
      </c>
      <c r="M1360">
        <f t="shared" si="49"/>
        <v>-11.724938811571587</v>
      </c>
      <c r="N1360">
        <v>1.05</v>
      </c>
      <c r="O1360" s="15">
        <v>1.2</v>
      </c>
      <c r="P1360">
        <v>1</v>
      </c>
      <c r="Q1360">
        <v>1.01</v>
      </c>
      <c r="R1360">
        <v>1.2</v>
      </c>
      <c r="S1360">
        <v>1.2</v>
      </c>
      <c r="T1360">
        <v>1.5</v>
      </c>
      <c r="U1360">
        <f t="shared" si="50"/>
        <v>0.25816898211842121</v>
      </c>
    </row>
    <row r="1362" spans="1:2" x14ac:dyDescent="0.2">
      <c r="A1362" s="2" t="s">
        <v>50</v>
      </c>
      <c r="B1362" s="44" t="str">
        <f>IF(B1368="megajoule","heat","electricity")&amp;", residential, by "&amp;B1373&amp;" of "&amp;B1372&amp;" using "&amp;B1374&amp;IF(B1375&lt;&gt;0,", allocated by "&amp;B1375,"")&amp;", transported by "&amp;B1376&amp;", produced by "&amp;B1380&amp;" using "&amp;B1381&amp;" from "&amp;B1382</f>
        <v>heat, residential, by combustion of hydrogen using CHP, allocated by exergy, transported by pipeline, produced by Electrolysis, SOEC using water and electricity from grid</v>
      </c>
    </row>
    <row r="1363" spans="1:2" x14ac:dyDescent="0.2">
      <c r="A1363" t="s">
        <v>51</v>
      </c>
      <c r="B1363" s="45" t="str">
        <f>"This dataset represents the supply of 1 "&amp;IF(B1368="megajoule","megajoule of heat","kilowatt hour of electricity")&amp;" in a residence, by "&amp;B1372&amp;" "&amp;B1373&amp;" in a "&amp;B1374&amp;". "&amp;" The hydrogen is transported by "&amp;B1376&amp;" over "&amp;B1377&amp;" km from regional storage. "&amp;" The "&amp;B1372&amp;" is produced by  "&amp;B1380&amp;", with "&amp;B1381&amp;" from "&amp;B1382&amp;" as feedstock. "&amp;A1384&amp;": "&amp;(B1384*100)&amp;"%. "&amp;A1385&amp;": "&amp;B1385&amp;". "&amp;A1386&amp;": "&amp;B1386&amp;". "&amp;A1387&amp;": "&amp;(B1387*100)&amp;"%. "&amp;A1388&amp;": "&amp;(B1388*100)&amp;"%. "&amp;A1389&amp;": "&amp;(B1389*100)&amp;"%. "&amp;A1390&amp;": "&amp;B1390&amp;". "&amp;A1391&amp;": "&amp;B1391&amp;". "&amp;A1392&amp;": "&amp;(B1392*100)&amp;"%. "&amp;A1393&amp;": "&amp;B1393&amp;". "&amp;A1394&amp;": "&amp;B1394&amp;". "&amp;A1395&amp;": "&amp;B1395&amp;". "&amp;A1396&amp;": "&amp;B1396&amp;".  For more information, refer to: "&amp;B1364</f>
        <v>This dataset represents the supply of 1 megajoule of heat in a residence, by hydrogen combustion in a CHP.  The hydrogen is transported by pipeline over 500 km from regional storage.  The hydrogen is produced by  Electrolysis, SOEC,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1364" spans="1:2" x14ac:dyDescent="0.2">
      <c r="A1364" t="s">
        <v>63</v>
      </c>
      <c r="B1364" s="45" t="s">
        <v>1223</v>
      </c>
    </row>
    <row r="1365" spans="1:2" x14ac:dyDescent="0.2">
      <c r="A1365" t="s">
        <v>52</v>
      </c>
      <c r="B1365" s="45" t="s">
        <v>64</v>
      </c>
    </row>
    <row r="1366" spans="1:2" x14ac:dyDescent="0.2">
      <c r="A1366" t="s">
        <v>48</v>
      </c>
      <c r="B1366" s="45">
        <v>18</v>
      </c>
    </row>
    <row r="1367" spans="1:2" x14ac:dyDescent="0.2">
      <c r="A1367" t="s">
        <v>54</v>
      </c>
      <c r="B1367" s="45" t="str">
        <f>INDEX(overview!$B$4:$R$338,MATCH('hydrogen - electrolysis'!B1366,overview!$A$4:$A$338,0),MATCH('hydrogen - electrolysis'!A1367,overview!$B$3:$R$3,0))</f>
        <v>heat, from residential heating system</v>
      </c>
    </row>
    <row r="1368" spans="1:2" x14ac:dyDescent="0.2">
      <c r="A1368" t="s">
        <v>55</v>
      </c>
      <c r="B1368" s="45" t="str">
        <f>INDEX(overview!$B$4:$R$338,MATCH('hydrogen - electrolysis'!B1366,overview!$A$4:$A$338,0),MATCH('hydrogen - electrolysis'!A1368,overview!$B$3:$R$3,0))</f>
        <v>megajoule</v>
      </c>
    </row>
    <row r="1369" spans="1:2" x14ac:dyDescent="0.2">
      <c r="A1369" t="s">
        <v>0</v>
      </c>
      <c r="B1369" s="45" t="str">
        <f>INDEX(overview!$B$4:$R$338,MATCH('hydrogen - electrolysis'!B1366,overview!$A$4:$A$338,0),MATCH('hydrogen - electrolysis'!A1369,overview!$B$3:$R$3,0))</f>
        <v>Switzerland</v>
      </c>
    </row>
    <row r="1370" spans="1:2" x14ac:dyDescent="0.2">
      <c r="A1370" t="s">
        <v>1</v>
      </c>
      <c r="B1370" s="45">
        <f>INDEX(overview!$B$4:$R$338,MATCH('hydrogen - electrolysis'!B1366,overview!$A$4:$A$338,0),MATCH('hydrogen - electrolysis'!A1370,overview!$B$3:$R$3,0))</f>
        <v>2020</v>
      </c>
    </row>
    <row r="1371" spans="1:2" x14ac:dyDescent="0.2">
      <c r="A1371" t="s">
        <v>2</v>
      </c>
      <c r="B1371" s="45" t="str">
        <f>INDEX(overview!$B$4:$R$338,MATCH('hydrogen - electrolysis'!B1366,overview!$A$4:$A$338,0),MATCH('hydrogen - electrolysis'!A1371,overview!$B$3:$R$3,0))</f>
        <v>1 MJ heat</v>
      </c>
    </row>
    <row r="1372" spans="1:2" x14ac:dyDescent="0.2">
      <c r="A1372" t="s">
        <v>5</v>
      </c>
      <c r="B1372" s="45" t="str">
        <f>INDEX(overview!$B$4:$R$338,MATCH('hydrogen - electrolysis'!B1366,overview!$A$4:$A$338,0),MATCH('hydrogen - electrolysis'!A1372,overview!$B$3:$R$3,0))</f>
        <v>hydrogen</v>
      </c>
    </row>
    <row r="1373" spans="1:2" x14ac:dyDescent="0.2">
      <c r="A1373" t="s">
        <v>3</v>
      </c>
      <c r="B1373" s="45" t="str">
        <f>INDEX(overview!$B$4:$R$338,MATCH('hydrogen - electrolysis'!B1366,overview!$A$4:$A$338,0),MATCH('hydrogen - electrolysis'!A1373,overview!$B$3:$R$3,0))</f>
        <v>combustion</v>
      </c>
    </row>
    <row r="1374" spans="1:2" x14ac:dyDescent="0.2">
      <c r="A1374" t="s">
        <v>6</v>
      </c>
      <c r="B1374" s="45" t="str">
        <f>INDEX(overview!$B$4:$R$338,MATCH('hydrogen - electrolysis'!B1366,overview!$A$4:$A$338,0),MATCH('hydrogen - electrolysis'!A1374,overview!$B$3:$R$3,0))</f>
        <v>CHP</v>
      </c>
    </row>
    <row r="1375" spans="1:2" x14ac:dyDescent="0.2">
      <c r="A1375" t="s">
        <v>39</v>
      </c>
      <c r="B1375" s="45" t="str">
        <f>INDEX(overview!$B$4:$R$338,MATCH('hydrogen - electrolysis'!B1366,overview!$A$4:$A$338,0),MATCH('hydrogen - electrolysis'!A1375,overview!$B$3:$R$3,0))</f>
        <v>exergy</v>
      </c>
    </row>
    <row r="1376" spans="1:2" x14ac:dyDescent="0.2">
      <c r="A1376" t="s">
        <v>4</v>
      </c>
      <c r="B1376" s="45" t="str">
        <f>INDEX(overview!$B$4:$R$338,MATCH('hydrogen - electrolysis'!B1366,overview!$A$4:$A$338,0),MATCH('hydrogen - electrolysis'!A1376,overview!$B$3:$R$3,0))</f>
        <v>pipeline</v>
      </c>
    </row>
    <row r="1377" spans="1:2" x14ac:dyDescent="0.2">
      <c r="A1377" t="s">
        <v>38</v>
      </c>
      <c r="B1377" s="45">
        <f>INDEX(overview!$B$4:$R$338,MATCH('hydrogen - electrolysis'!B1366,overview!$A$4:$A$338,0),MATCH('hydrogen - electrolysis'!A1377,overview!$B$3:$R$3,0))</f>
        <v>500</v>
      </c>
    </row>
    <row r="1378" spans="1:2" x14ac:dyDescent="0.2">
      <c r="A1378" t="s">
        <v>12</v>
      </c>
      <c r="B1378" s="45" t="str">
        <f>INDEX(overview!$B$4:$R$338,MATCH('hydrogen - electrolysis'!B1366,overview!$A$4:$A$338,0),MATCH('hydrogen - electrolysis'!A1378,overview!$B$3:$R$3,0))</f>
        <v>Pressure vessel for stationary storage</v>
      </c>
    </row>
    <row r="1379" spans="1:2" x14ac:dyDescent="0.2">
      <c r="A1379" t="s">
        <v>34</v>
      </c>
      <c r="B1379" s="45">
        <f>INDEX(overview!$B$4:$R$338,MATCH('hydrogen - electrolysis'!B1366,overview!$A$4:$A$338,0),MATCH('hydrogen - electrolysis'!A1379,overview!$B$3:$R$3,0))</f>
        <v>0</v>
      </c>
    </row>
    <row r="1380" spans="1:2" x14ac:dyDescent="0.2">
      <c r="A1380" t="s">
        <v>15</v>
      </c>
      <c r="B1380" s="45" t="str">
        <f>INDEX(overview!$B$4:$R$338,MATCH('hydrogen - electrolysis'!B1366,overview!$A$4:$A$338,0),MATCH('hydrogen - electrolysis'!A1380,overview!$B$3:$R$3,0))</f>
        <v>Electrolysis, SOEC</v>
      </c>
    </row>
    <row r="1381" spans="1:2" x14ac:dyDescent="0.2">
      <c r="A1381" t="s">
        <v>14</v>
      </c>
      <c r="B1381" s="45" t="str">
        <f>INDEX(overview!$B$4:$R$338,MATCH('hydrogen - electrolysis'!B1366,overview!$A$4:$A$338,0),MATCH('hydrogen - electrolysis'!A1381,overview!$B$3:$R$3,0))</f>
        <v>water and electricity</v>
      </c>
    </row>
    <row r="1382" spans="1:2" x14ac:dyDescent="0.2">
      <c r="A1382" t="s">
        <v>26</v>
      </c>
      <c r="B1382" s="45" t="str">
        <f>INDEX(overview!$B$4:$R$338,MATCH('hydrogen - electrolysis'!B1366,overview!$A$4:$A$338,0),MATCH('hydrogen - electrolysis'!A1382,overview!$B$3:$R$3,0))</f>
        <v>grid</v>
      </c>
    </row>
    <row r="1383" spans="1:2" x14ac:dyDescent="0.2">
      <c r="A1383" t="s">
        <v>29</v>
      </c>
      <c r="B1383" s="45">
        <f>INDEX(overview!$B$4:$R$338,MATCH('hydrogen - electrolysis'!B1366,overview!$A$4:$A$338,0),MATCH('hydrogen - electrolysis'!A1383,overview!$B$3:$R$3,0))</f>
        <v>0</v>
      </c>
    </row>
    <row r="1384" spans="1:2" x14ac:dyDescent="0.2">
      <c r="A1384" t="str">
        <f>IF(B1368="megajoule","Heat","Electricity")&amp;" conversion efficiency [% LHV input]"</f>
        <v>Heat conversion efficiency [% LHV input]</v>
      </c>
      <c r="B1384" s="46">
        <f>INDEX(parameters!$D$4:$N$20,MATCH('hydrogen - electrolysis'!B1372&amp;'hydrogen - electrolysis'!B1374,parameters!$A$4:$A$20,0),MATCH('hydrogen - electrolysis'!A1384,parameters!$D$3:$N$3,0))</f>
        <v>0.41699999999999998</v>
      </c>
    </row>
    <row r="1385" spans="1:2" x14ac:dyDescent="0.2">
      <c r="A1385" t="str">
        <f>IF(B1368="megajoule","LHV [MJ/kg]","LHV [kWh/kg]")</f>
        <v>LHV [MJ/kg]</v>
      </c>
      <c r="B1385" s="47">
        <f>INDEX(parameters!$D$4:$N$20,MATCH('hydrogen - electrolysis'!B1372&amp;'hydrogen - electrolysis'!B1374,parameters!$A$4:$A$20,0),MATCH('hydrogen - electrolysis'!A1385,parameters!$D$3:$N$3,0))</f>
        <v>120</v>
      </c>
    </row>
    <row r="1386" spans="1:2" x14ac:dyDescent="0.2">
      <c r="A1386" t="s">
        <v>41</v>
      </c>
      <c r="B1386" s="48">
        <f>INDEX(parameters!$D$4:$N$20,MATCH('hydrogen - electrolysis'!B1372&amp;'hydrogen - electrolysis'!B1374,parameters!$A$4:$A$20,0),MATCH('hydrogen - electrolysis'!A1386,parameters!$D$3:$N$3,0))</f>
        <v>2.6666666666666665E-2</v>
      </c>
    </row>
    <row r="1387" spans="1:2" x14ac:dyDescent="0.2">
      <c r="A1387" t="s">
        <v>45</v>
      </c>
      <c r="B1387" s="46">
        <f>INDEX(parameters!$D$4:$N$20,MATCH('hydrogen - electrolysis'!B1372&amp;'hydrogen - electrolysis'!B1374,parameters!$A$4:$A$20,0),MATCH('hydrogen - electrolysis'!A1387,parameters!$D$3:$N$3,0))</f>
        <v>0</v>
      </c>
    </row>
    <row r="1388" spans="1:2" x14ac:dyDescent="0.2">
      <c r="A1388" t="s">
        <v>46</v>
      </c>
      <c r="B1388" s="46">
        <f>INDEX(parameters!$D$4:$N$20,MATCH('hydrogen - electrolysis'!B1372&amp;'hydrogen - electrolysis'!B1374,parameters!$A$4:$A$20,0),MATCH('hydrogen - electrolysis'!A1388,parameters!$D$3:$N$3,0))</f>
        <v>1.4999999999999999E-2</v>
      </c>
    </row>
    <row r="1389" spans="1:2" x14ac:dyDescent="0.2">
      <c r="A1389" t="s">
        <v>43</v>
      </c>
      <c r="B1389" s="46">
        <f>INDEX(parameters!$D$4:$N$20,MATCH('hydrogen - electrolysis'!B1372&amp;'hydrogen - electrolysis'!B1374,parameters!$A$4:$A$20,0),MATCH('hydrogen - electrolysis'!A1389,parameters!$D$3:$N$3,0))</f>
        <v>0</v>
      </c>
    </row>
    <row r="1390" spans="1:2" x14ac:dyDescent="0.2">
      <c r="A1390" t="s">
        <v>44</v>
      </c>
      <c r="B1390" s="46">
        <f>INDEX(parameters!$D$4:$N$20,MATCH('hydrogen - electrolysis'!B1372&amp;'hydrogen - electrolysis'!B1374,parameters!$A$4:$A$20,0),MATCH('hydrogen - electrolysis'!A1390,parameters!$D$3:$N$3,0))</f>
        <v>0</v>
      </c>
    </row>
    <row r="1391" spans="1:2" x14ac:dyDescent="0.2">
      <c r="A1391" t="s">
        <v>634</v>
      </c>
      <c r="B1391" s="51">
        <f>INDEX(parameters!$D$4:$Y$20,MATCH('hydrogen - electrolysis'!B1372&amp;'hydrogen - electrolysis'!B1374,parameters!$A$4:$A$20,0),MATCH('hydrogen - electrolysis'!A1391,parameters!$D$3:$Y$3,0))</f>
        <v>351.41800246609125</v>
      </c>
    </row>
    <row r="1392" spans="1:2" x14ac:dyDescent="0.2">
      <c r="A1392" t="s">
        <v>82</v>
      </c>
      <c r="B1392" s="46">
        <f>IF(B1383&lt;&gt;0,VLOOKUP(B1383,parameters!A919:B921,2,0),0)</f>
        <v>0</v>
      </c>
    </row>
    <row r="1393" spans="1:22" x14ac:dyDescent="0.2">
      <c r="A1393" t="s">
        <v>548</v>
      </c>
      <c r="B1393" s="50">
        <f>INDEX(parameters!$D$4:$P$20,MATCH(B1372&amp;B1374,parameters!$A$4:$A$20,0),MATCH(A1393,parameters!$D$3:$P$3,0))</f>
        <v>125</v>
      </c>
    </row>
    <row r="1394" spans="1:22" x14ac:dyDescent="0.2">
      <c r="A1394" t="s">
        <v>547</v>
      </c>
      <c r="B1394" s="51">
        <f>INDEX(parameters!$D$4:$P$20,MATCH(B1372&amp;B1374,parameters!$A$4:$A$20,0),MATCH(A1394,parameters!$D$3:$P$3,0))</f>
        <v>19.512195121951219</v>
      </c>
    </row>
    <row r="1395" spans="1:22" x14ac:dyDescent="0.2">
      <c r="A1395" t="s">
        <v>630</v>
      </c>
      <c r="B1395" s="51">
        <f>INDEX(parameters!$D$4:$T$20,MATCH(B1372&amp;B1374,parameters!$A$4:$A$20,0),MATCH(A1395,parameters!$D$3:$T$3,0))</f>
        <v>4100</v>
      </c>
    </row>
    <row r="1396" spans="1:22" x14ac:dyDescent="0.2">
      <c r="A1396" t="s">
        <v>1005</v>
      </c>
      <c r="B1396" s="50">
        <f>IF(B1368="megajoule",SUMIFS(allocation!$I$4:$I$30,allocation!$B$4:$B$30,B1374,allocation!$C$4:$C$30,B1375),SUMIFS(allocation!$J$4:$J$30,allocation!$B$4:$B$30,B1374,allocation!$C$4:$C$30,B1375))</f>
        <v>0.12860042227295038</v>
      </c>
    </row>
    <row r="1397" spans="1:22" x14ac:dyDescent="0.2">
      <c r="A1397" t="s">
        <v>1050</v>
      </c>
      <c r="B1397" s="51">
        <f>INDEX(parameters!$D$4:$AB$20,MATCH(B1372&amp;B1374,parameters!$A$4:$A$20,0),MATCH(A1397,parameters!$D$3:$AB$3,0))</f>
        <v>2220.7364520822662</v>
      </c>
    </row>
    <row r="1399" spans="1:22" x14ac:dyDescent="0.2">
      <c r="A1399" s="3" t="s">
        <v>57</v>
      </c>
    </row>
    <row r="1400" spans="1:22" x14ac:dyDescent="0.2">
      <c r="A1400" s="2" t="s">
        <v>58</v>
      </c>
      <c r="B1400" s="44" t="s">
        <v>59</v>
      </c>
      <c r="C1400" s="2" t="s">
        <v>55</v>
      </c>
      <c r="D1400" s="2" t="s">
        <v>60</v>
      </c>
      <c r="E1400" s="2" t="s">
        <v>52</v>
      </c>
      <c r="F1400" s="2" t="s">
        <v>61</v>
      </c>
      <c r="G1400" s="2" t="s">
        <v>54</v>
      </c>
      <c r="H1400" s="2" t="s">
        <v>87</v>
      </c>
      <c r="I1400" s="2" t="s">
        <v>51</v>
      </c>
      <c r="J1400" s="2" t="s">
        <v>138</v>
      </c>
      <c r="K1400" s="2" t="s">
        <v>136</v>
      </c>
      <c r="L1400" s="2" t="s">
        <v>221</v>
      </c>
      <c r="M1400" s="2" t="s">
        <v>379</v>
      </c>
      <c r="N1400" s="2" t="s">
        <v>1059</v>
      </c>
      <c r="O1400" s="2" t="s">
        <v>1060</v>
      </c>
      <c r="P1400" s="2" t="s">
        <v>1061</v>
      </c>
      <c r="Q1400" s="2" t="s">
        <v>1062</v>
      </c>
      <c r="R1400" s="2" t="s">
        <v>1063</v>
      </c>
      <c r="S1400" s="2" t="s">
        <v>1064</v>
      </c>
      <c r="T1400" s="2" t="s">
        <v>1065</v>
      </c>
      <c r="U1400" s="2" t="s">
        <v>380</v>
      </c>
      <c r="V1400" s="2" t="s">
        <v>1128</v>
      </c>
    </row>
    <row r="1401" spans="1:22" x14ac:dyDescent="0.2">
      <c r="A1401" t="str">
        <f>B1362</f>
        <v>heat, residential, by combustion of hydrogen using CHP, allocated by exergy, transported by pipeline, produced by Electrolysis, SOEC using water and electricity from grid</v>
      </c>
      <c r="B1401" s="45">
        <v>1</v>
      </c>
      <c r="C1401" t="str">
        <f>B1368</f>
        <v>megajoule</v>
      </c>
      <c r="E1401" t="str">
        <f>B1365</f>
        <v>CH</v>
      </c>
      <c r="F1401" t="s">
        <v>62</v>
      </c>
      <c r="G1401" t="str">
        <f>B1367</f>
        <v>heat, from residential heating system</v>
      </c>
      <c r="K1401" t="str">
        <f>B1362</f>
        <v>heat, residential, by combustion of hydrogen using CHP, allocated by exergy, transported by pipeline, produced by Electrolysis, SOEC using water and electricity from grid</v>
      </c>
    </row>
    <row r="1402" spans="1:22" x14ac:dyDescent="0.2">
      <c r="A1402" t="str">
        <f>VLOOKUP(J1402,'dataset mapping'!$A$4:$E$69,2,0)</f>
        <v>heat and power co-generation unit construction, 160kW electrical, common components for heat+electricity</v>
      </c>
      <c r="B1402" s="52">
        <f>(1/(B1391*B1395*B1394*3.6))*B1396</f>
        <v>1.270649883812899E-9</v>
      </c>
      <c r="C1402" t="str">
        <f>VLOOKUP(J1402,'dataset mapping'!$A$4:$E$69,5,0)</f>
        <v>unit</v>
      </c>
      <c r="E1402" t="str">
        <f>VLOOKUP(J1402,'dataset mapping'!$A$4:$E$69,4,0)</f>
        <v>RER</v>
      </c>
      <c r="F1402" t="s">
        <v>86</v>
      </c>
      <c r="G1402" t="str">
        <f>VLOOKUP(J1402,'dataset mapping'!$A$4:$E$69,3,0)</f>
        <v>heat and power co-generation unit, 160kW electrical, common components for heat+electricity</v>
      </c>
      <c r="H1402" t="s">
        <v>88</v>
      </c>
      <c r="J1402" t="s">
        <v>145</v>
      </c>
      <c r="K1402" t="str">
        <f>B1362</f>
        <v>heat, residential, by combustion of hydrogen using CHP, allocated by exergy, transported by pipeline, produced by Electrolysis, SOEC using water and electricity from grid</v>
      </c>
      <c r="L1402">
        <f>IF(OR(B1402&lt;0,B1402=0),1,2)</f>
        <v>2</v>
      </c>
      <c r="M1402">
        <f>IF(L1402=2,LN(B1402),"")</f>
        <v>-20.48373734782199</v>
      </c>
      <c r="N1402">
        <v>1.05</v>
      </c>
      <c r="O1402" s="15">
        <v>1.2</v>
      </c>
      <c r="P1402">
        <v>1</v>
      </c>
      <c r="Q1402">
        <v>1.01</v>
      </c>
      <c r="R1402">
        <v>1.2</v>
      </c>
      <c r="S1402">
        <v>1.2</v>
      </c>
      <c r="T1402">
        <v>3</v>
      </c>
      <c r="U1402">
        <f t="shared" ref="U1402:U1409" si="51">LN(SQRT(EXP(
SQRT(
+POWER(LN(N1402),2)
+POWER(LN(O1402),2)
+POWER(LN(P1402),2)
+POWER(LN(Q1402),2)
+POWER(LN(R1402),2)
+POWER(LN(S1402),2)
+POWER(LN(T1402),2)
)
)))</f>
        <v>0.57209088006881903</v>
      </c>
    </row>
    <row r="1403" spans="1:22" x14ac:dyDescent="0.2">
      <c r="A1403" t="str">
        <f>VLOOKUP(J1403,'dataset mapping'!$A$4:$E$69,2,0)</f>
        <v>heat and power co-generation unit construction, 160kW electrical, components for electricity only</v>
      </c>
      <c r="B1403" s="52">
        <f>(1/(B1391*B1395*B1394*3.6))*B1396</f>
        <v>1.270649883812899E-9</v>
      </c>
      <c r="C1403" t="str">
        <f>VLOOKUP(J1403,'dataset mapping'!$A$4:$E$69,5,0)</f>
        <v>unit</v>
      </c>
      <c r="E1403" t="str">
        <f>VLOOKUP(J1403,'dataset mapping'!$A$4:$E$69,4,0)</f>
        <v>RER</v>
      </c>
      <c r="F1403" t="s">
        <v>86</v>
      </c>
      <c r="G1403" t="str">
        <f>VLOOKUP(J1403,'dataset mapping'!$A$4:$E$69,3,0)</f>
        <v>heat and power co-generation unit, 160kW electrical, components for electricity only</v>
      </c>
      <c r="H1403" t="s">
        <v>88</v>
      </c>
      <c r="J1403" t="s">
        <v>146</v>
      </c>
      <c r="K1403" t="str">
        <f>B1362</f>
        <v>heat, residential, by combustion of hydrogen using CHP, allocated by exergy, transported by pipeline, produced by Electrolysis, SOEC using water and electricity from grid</v>
      </c>
      <c r="L1403">
        <f>IF(OR(B1403&lt;0,B1403=0),1,2)</f>
        <v>2</v>
      </c>
      <c r="M1403">
        <f>IF(L1403=2,LN(B1403),"")</f>
        <v>-20.48373734782199</v>
      </c>
      <c r="N1403">
        <v>1.05</v>
      </c>
      <c r="O1403" s="15">
        <v>1.2</v>
      </c>
      <c r="P1403">
        <v>1</v>
      </c>
      <c r="Q1403">
        <v>1.01</v>
      </c>
      <c r="R1403">
        <v>1.2</v>
      </c>
      <c r="S1403">
        <v>1.2</v>
      </c>
      <c r="T1403">
        <v>3</v>
      </c>
      <c r="U1403">
        <f t="shared" si="51"/>
        <v>0.57209088006881903</v>
      </c>
    </row>
    <row r="1404" spans="1:22" x14ac:dyDescent="0.2">
      <c r="A1404" t="str">
        <f>VLOOKUP(J1404,'dataset mapping'!$A$4:$E$69,2,0)</f>
        <v>heat and power co-generation unit construction, 160kW electrical, components for heat only</v>
      </c>
      <c r="B1404" s="52">
        <f>(1/(B1391*B1395*B1394*3.6))*B1396</f>
        <v>1.270649883812899E-9</v>
      </c>
      <c r="C1404" t="str">
        <f>VLOOKUP(J1404,'dataset mapping'!$A$4:$E$69,5,0)</f>
        <v>unit</v>
      </c>
      <c r="E1404" t="str">
        <f>VLOOKUP(J1404,'dataset mapping'!$A$4:$E$69,4,0)</f>
        <v>RER</v>
      </c>
      <c r="F1404" t="s">
        <v>86</v>
      </c>
      <c r="G1404" t="str">
        <f>VLOOKUP(J1404,'dataset mapping'!$A$4:$E$69,3,0)</f>
        <v>heat and power co-generation unit, 160kW electrical, components for heat only</v>
      </c>
      <c r="H1404" t="s">
        <v>88</v>
      </c>
      <c r="J1404" t="s">
        <v>147</v>
      </c>
      <c r="K1404" t="str">
        <f>B1362</f>
        <v>heat, residential, by combustion of hydrogen using CHP, allocated by exergy, transported by pipeline, produced by Electrolysis, SOEC using water and electricity from grid</v>
      </c>
      <c r="L1404">
        <f>IF(OR(B1404&lt;0,B1404=0),1,2)</f>
        <v>2</v>
      </c>
      <c r="M1404">
        <f>IF(L1404=2,LN(B1404),"")</f>
        <v>-20.48373734782199</v>
      </c>
      <c r="N1404">
        <v>1.05</v>
      </c>
      <c r="O1404" s="15">
        <v>1.2</v>
      </c>
      <c r="P1404">
        <v>1</v>
      </c>
      <c r="Q1404">
        <v>1.01</v>
      </c>
      <c r="R1404">
        <v>1.2</v>
      </c>
      <c r="S1404">
        <v>1.2</v>
      </c>
      <c r="T1404">
        <v>3</v>
      </c>
      <c r="U1404">
        <f t="shared" si="51"/>
        <v>0.57209088006881903</v>
      </c>
    </row>
    <row r="1405" spans="1:22" x14ac:dyDescent="0.2">
      <c r="A1405" t="s">
        <v>156</v>
      </c>
      <c r="B1405" s="52">
        <f>0.00000011366*B1396</f>
        <v>1.461672399554354E-8</v>
      </c>
      <c r="C1405" t="s">
        <v>56</v>
      </c>
      <c r="E1405" t="s">
        <v>90</v>
      </c>
      <c r="F1405" t="s">
        <v>86</v>
      </c>
      <c r="G1405" t="s">
        <v>154</v>
      </c>
      <c r="H1405" t="s">
        <v>155</v>
      </c>
      <c r="K1405" t="str">
        <f>B1362</f>
        <v>heat, residential, by combustion of hydrogen using CHP, allocated by exergy, transported by pipeline, produced by Electrolysis, SOEC using water and electricity from grid</v>
      </c>
      <c r="L1405">
        <f>IF(OR(B1405&lt;0,B1405=0),1,2)</f>
        <v>2</v>
      </c>
      <c r="M1405">
        <f>IF(L1405=2,LN(B1405),"")</f>
        <v>-18.041099484645969</v>
      </c>
      <c r="N1405">
        <v>1.05</v>
      </c>
      <c r="O1405" s="15">
        <v>1.2</v>
      </c>
      <c r="P1405">
        <v>1</v>
      </c>
      <c r="Q1405">
        <v>1.01</v>
      </c>
      <c r="R1405">
        <v>1.2</v>
      </c>
      <c r="S1405">
        <v>1.2</v>
      </c>
      <c r="T1405">
        <v>1.05</v>
      </c>
      <c r="U1405">
        <f t="shared" si="51"/>
        <v>0.16169679924070957</v>
      </c>
    </row>
    <row r="1406" spans="1:22" x14ac:dyDescent="0.2">
      <c r="A1406" t="s">
        <v>157</v>
      </c>
      <c r="B1406" s="52">
        <f>0.00000011366*B1396*-1</f>
        <v>-1.461672399554354E-8</v>
      </c>
      <c r="C1406" t="s">
        <v>56</v>
      </c>
      <c r="E1406" t="s">
        <v>64</v>
      </c>
      <c r="F1406" t="s">
        <v>86</v>
      </c>
      <c r="G1406" t="s">
        <v>158</v>
      </c>
      <c r="H1406" t="s">
        <v>155</v>
      </c>
      <c r="K1406" t="str">
        <f>B1362</f>
        <v>heat, residential, by combustion of hydrogen using CHP, allocated by exergy, transported by pipeline, produced by Electrolysis, SOEC using water and electricity from grid</v>
      </c>
      <c r="L1406">
        <v>2</v>
      </c>
      <c r="M1406">
        <f>IF(L1406=2,LN(B1406*-1),"")</f>
        <v>-18.041099484645969</v>
      </c>
      <c r="N1406">
        <v>1.05</v>
      </c>
      <c r="O1406" s="15">
        <v>1.2</v>
      </c>
      <c r="P1406">
        <v>1</v>
      </c>
      <c r="Q1406">
        <v>1.01</v>
      </c>
      <c r="R1406">
        <v>1.2</v>
      </c>
      <c r="S1406">
        <v>1.2</v>
      </c>
      <c r="T1406">
        <v>3</v>
      </c>
      <c r="U1406">
        <f t="shared" si="51"/>
        <v>0.57209088006881903</v>
      </c>
      <c r="V1406" t="b">
        <v>1</v>
      </c>
    </row>
    <row r="1407" spans="1:22" x14ac:dyDescent="0.2">
      <c r="A1407" s="45" t="str">
        <f>"hydrogen supply, transported by "&amp;B1376&amp;", produced by "&amp;B1380&amp;" using "&amp;B1381&amp;" from "&amp;B1382</f>
        <v>hydrogen supply, transported by pipeline, produced by Electrolysis, SOEC using water and electricity from grid</v>
      </c>
      <c r="B1407" s="53">
        <f>(B1401/B1385)/B1384*B1396</f>
        <v>2.56995248347223E-3</v>
      </c>
      <c r="C1407" t="str">
        <f>VLOOKUP(J1407,'dataset mapping'!$A$4:$E$69,5,0)</f>
        <v>kilogram</v>
      </c>
      <c r="E1407" t="str">
        <f>VLOOKUP(J1407,'dataset mapping'!$A$4:$E$69,4,0)</f>
        <v>CH</v>
      </c>
      <c r="F1407" t="s">
        <v>86</v>
      </c>
      <c r="G1407" t="str">
        <f>"hydrogen, gaseous, from "&amp;B1376</f>
        <v>hydrogen, gaseous, from pipeline</v>
      </c>
      <c r="H1407" t="s">
        <v>76</v>
      </c>
      <c r="I1407" t="s">
        <v>1054</v>
      </c>
      <c r="J1407" t="s">
        <v>282</v>
      </c>
      <c r="K1407" t="str">
        <f>B1362</f>
        <v>heat, residential, by combustion of hydrogen using CHP, allocated by exergy, transported by pipeline, produced by Electrolysis, SOEC using water and electricity from grid</v>
      </c>
      <c r="L1407">
        <f>IF(OR(B1407&lt;0,B1407=0),1,2)</f>
        <v>2</v>
      </c>
      <c r="M1407">
        <f>IF(L1407=2,LN(B1407),"")</f>
        <v>-5.9638678691672418</v>
      </c>
      <c r="N1407">
        <v>1.05</v>
      </c>
      <c r="O1407" s="15">
        <v>1.2</v>
      </c>
      <c r="P1407">
        <v>1</v>
      </c>
      <c r="Q1407">
        <v>1.01</v>
      </c>
      <c r="R1407">
        <v>1.2</v>
      </c>
      <c r="S1407">
        <v>1.2</v>
      </c>
      <c r="T1407">
        <v>1.05</v>
      </c>
      <c r="U1407">
        <f t="shared" si="51"/>
        <v>0.16169679924070957</v>
      </c>
    </row>
    <row r="1408" spans="1:22" x14ac:dyDescent="0.2">
      <c r="A1408" t="s">
        <v>134</v>
      </c>
      <c r="B1408" s="45">
        <f>B1407*9</f>
        <v>2.3129572351250072E-2</v>
      </c>
      <c r="C1408" t="s">
        <v>56</v>
      </c>
      <c r="D1408" t="s">
        <v>100</v>
      </c>
      <c r="F1408" t="s">
        <v>99</v>
      </c>
      <c r="H1408" t="s">
        <v>131</v>
      </c>
      <c r="I1408" t="s">
        <v>1058</v>
      </c>
      <c r="K1408" t="str">
        <f>B1362</f>
        <v>heat, residential, by combustion of hydrogen using CHP, allocated by exergy, transported by pipeline, produced by Electrolysis, SOEC using water and electricity from grid</v>
      </c>
      <c r="L1408">
        <f>IF(OR(B1408&lt;0,B1408=0),1,2)</f>
        <v>2</v>
      </c>
      <c r="M1408">
        <f>IF(L1408=2,LN(B1408),"")</f>
        <v>-3.7666432918310226</v>
      </c>
      <c r="N1408">
        <v>1.05</v>
      </c>
      <c r="O1408" s="15">
        <v>1.2</v>
      </c>
      <c r="P1408">
        <v>1</v>
      </c>
      <c r="Q1408">
        <v>1.01</v>
      </c>
      <c r="R1408">
        <v>1.2</v>
      </c>
      <c r="S1408">
        <v>1.2</v>
      </c>
      <c r="T1408">
        <v>1.05</v>
      </c>
      <c r="U1408">
        <f t="shared" si="51"/>
        <v>0.16169679924070957</v>
      </c>
    </row>
    <row r="1409" spans="1:21" x14ac:dyDescent="0.2">
      <c r="A1409" t="s">
        <v>135</v>
      </c>
      <c r="B1409" s="45">
        <f>912.5/1000000*B1407</f>
        <v>2.3450816411684101E-6</v>
      </c>
      <c r="C1409" t="s">
        <v>56</v>
      </c>
      <c r="D1409" t="s">
        <v>100</v>
      </c>
      <c r="F1409" t="s">
        <v>99</v>
      </c>
      <c r="H1409" t="s">
        <v>131</v>
      </c>
      <c r="I1409" t="s">
        <v>1217</v>
      </c>
      <c r="K1409" t="str">
        <f>B1362</f>
        <v>heat, residential, by combustion of hydrogen using CHP, allocated by exergy, transported by pipeline, produced by Electrolysis, SOEC using water and electricity from grid</v>
      </c>
      <c r="L1409">
        <f>IF(OR(B1409&lt;0,B1409=0),1,2)</f>
        <v>2</v>
      </c>
      <c r="M1409">
        <f>IF(L1409=2,LN(B1409),"")</f>
        <v>-12.963190341674869</v>
      </c>
      <c r="N1409">
        <v>1.05</v>
      </c>
      <c r="O1409" s="15">
        <v>1.2</v>
      </c>
      <c r="P1409">
        <v>1</v>
      </c>
      <c r="Q1409">
        <v>1.01</v>
      </c>
      <c r="R1409">
        <v>1.2</v>
      </c>
      <c r="S1409">
        <v>1.2</v>
      </c>
      <c r="T1409">
        <v>1.5</v>
      </c>
      <c r="U1409">
        <f t="shared" si="51"/>
        <v>0.25816898211842121</v>
      </c>
    </row>
    <row r="1411" spans="1:21" x14ac:dyDescent="0.2">
      <c r="A1411" s="2" t="s">
        <v>50</v>
      </c>
      <c r="B1411" s="44" t="str">
        <f>IF(B1417="megajoule","heat","electricity")&amp;", residential, by "&amp;B1422&amp;" of "&amp;B1421&amp;" using "&amp;B1423&amp;IF(B1424&lt;&gt;0,", allocated by "&amp;B1424,"")&amp;", transported by "&amp;B1425&amp;", produced by "&amp;B1429&amp;" using "&amp;B1430&amp;" from "&amp;B1431</f>
        <v>heat, residential, by conversion of hydrogen using fuel cell, PEM, allocated by exergy, transported by pipeline, produced by Electrolysis, SOEC using water and electricity from grid</v>
      </c>
    </row>
    <row r="1412" spans="1:21" x14ac:dyDescent="0.2">
      <c r="A1412" t="s">
        <v>51</v>
      </c>
      <c r="B1412" s="45" t="str">
        <f>"This dataset represents the supply of 1 "&amp;IF(B1417="megajoule","megajoule of heat","kilowatt hour of electricity")&amp;" in a residence, by "&amp;B1421&amp;" "&amp;B1422&amp;" in a "&amp;B1423&amp;". "&amp;" The hydrogen is transported by "&amp;B1425&amp;" over "&amp;B1426&amp;" km from regional storage. "&amp;" The "&amp;B1421&amp;" is produced by  "&amp;B1429&amp;", with "&amp;B1430&amp;" from "&amp;B1431&amp;" as feedstock. "&amp;A1433&amp;": "&amp;(B1433*100)&amp;"%. "&amp;A1434&amp;": "&amp;B1434&amp;". "&amp;A1435&amp;": "&amp;B1435&amp;". "&amp;A1436&amp;": "&amp;(B1436*100)&amp;"%. "&amp;A1437&amp;": "&amp;(B1437*100)&amp;"%. "&amp;A1438&amp;": "&amp;(B1438*100)&amp;"%. "&amp;A1439&amp;": "&amp;B1439&amp;". "&amp;A1440&amp;": "&amp;B1440&amp;". "&amp;A1441&amp;": "&amp;(B1441*100)&amp;"%. "&amp;A1442&amp;": "&amp;B1442&amp;". "&amp;A1443&amp;": "&amp;B1443&amp;". "&amp;A1444&amp;": "&amp;B1444&amp;". "&amp;A1445&amp;": "&amp;B1445&amp;".  For more information, refer to: "&amp;B1413</f>
        <v>This dataset represents the supply of 1 megajoule of heat in a residence, by hydrogen conversion in a fuel cell, PEM.  The hydrogen is transported by pipeline over 500 km from regional storage.  The hydrogen is produced by  Electrolysis, SOEC,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1413" spans="1:21" x14ac:dyDescent="0.2">
      <c r="A1413" t="s">
        <v>63</v>
      </c>
      <c r="B1413" s="45" t="s">
        <v>1223</v>
      </c>
    </row>
    <row r="1414" spans="1:21" x14ac:dyDescent="0.2">
      <c r="A1414" t="s">
        <v>52</v>
      </c>
      <c r="B1414" s="45" t="s">
        <v>64</v>
      </c>
    </row>
    <row r="1415" spans="1:21" x14ac:dyDescent="0.2">
      <c r="A1415" t="s">
        <v>48</v>
      </c>
      <c r="B1415" s="45">
        <v>19</v>
      </c>
    </row>
    <row r="1416" spans="1:21" x14ac:dyDescent="0.2">
      <c r="A1416" t="s">
        <v>54</v>
      </c>
      <c r="B1416" s="45" t="str">
        <f>INDEX(overview!$B$4:$R$338,MATCH('hydrogen - electrolysis'!B1415,overview!$A$4:$A$338,0),MATCH('hydrogen - electrolysis'!A1416,overview!$B$3:$R$3,0))</f>
        <v>heat, from residential heating system</v>
      </c>
    </row>
    <row r="1417" spans="1:21" x14ac:dyDescent="0.2">
      <c r="A1417" t="s">
        <v>55</v>
      </c>
      <c r="B1417" s="45" t="str">
        <f>INDEX(overview!$B$4:$R$338,MATCH('hydrogen - electrolysis'!B1415,overview!$A$4:$A$338,0),MATCH('hydrogen - electrolysis'!A1417,overview!$B$3:$R$3,0))</f>
        <v>megajoule</v>
      </c>
    </row>
    <row r="1418" spans="1:21" x14ac:dyDescent="0.2">
      <c r="A1418" t="s">
        <v>0</v>
      </c>
      <c r="B1418" s="45" t="str">
        <f>INDEX(overview!$B$4:$R$338,MATCH('hydrogen - electrolysis'!B1415,overview!$A$4:$A$338,0),MATCH('hydrogen - electrolysis'!A1418,overview!$B$3:$R$3,0))</f>
        <v>Switzerland</v>
      </c>
    </row>
    <row r="1419" spans="1:21" x14ac:dyDescent="0.2">
      <c r="A1419" t="s">
        <v>1</v>
      </c>
      <c r="B1419" s="45">
        <f>INDEX(overview!$B$4:$R$338,MATCH('hydrogen - electrolysis'!B1415,overview!$A$4:$A$338,0),MATCH('hydrogen - electrolysis'!A1419,overview!$B$3:$R$3,0))</f>
        <v>2020</v>
      </c>
    </row>
    <row r="1420" spans="1:21" x14ac:dyDescent="0.2">
      <c r="A1420" t="s">
        <v>2</v>
      </c>
      <c r="B1420" s="45" t="str">
        <f>INDEX(overview!$B$4:$R$338,MATCH('hydrogen - electrolysis'!B1415,overview!$A$4:$A$338,0),MATCH('hydrogen - electrolysis'!A1420,overview!$B$3:$R$3,0))</f>
        <v>1 MJ heat</v>
      </c>
    </row>
    <row r="1421" spans="1:21" x14ac:dyDescent="0.2">
      <c r="A1421" t="s">
        <v>5</v>
      </c>
      <c r="B1421" s="45" t="str">
        <f>INDEX(overview!$B$4:$R$338,MATCH('hydrogen - electrolysis'!B1415,overview!$A$4:$A$338,0),MATCH('hydrogen - electrolysis'!A1421,overview!$B$3:$R$3,0))</f>
        <v>hydrogen</v>
      </c>
    </row>
    <row r="1422" spans="1:21" x14ac:dyDescent="0.2">
      <c r="A1422" t="s">
        <v>3</v>
      </c>
      <c r="B1422" s="45" t="str">
        <f>INDEX(overview!$B$4:$R$338,MATCH('hydrogen - electrolysis'!B1415,overview!$A$4:$A$338,0),MATCH('hydrogen - electrolysis'!A1422,overview!$B$3:$R$3,0))</f>
        <v>conversion</v>
      </c>
    </row>
    <row r="1423" spans="1:21" x14ac:dyDescent="0.2">
      <c r="A1423" t="s">
        <v>6</v>
      </c>
      <c r="B1423" s="45" t="str">
        <f>INDEX(overview!$B$4:$R$338,MATCH('hydrogen - electrolysis'!B1415,overview!$A$4:$A$338,0),MATCH('hydrogen - electrolysis'!A1423,overview!$B$3:$R$3,0))</f>
        <v>fuel cell, PEM</v>
      </c>
    </row>
    <row r="1424" spans="1:21" x14ac:dyDescent="0.2">
      <c r="A1424" t="s">
        <v>39</v>
      </c>
      <c r="B1424" s="45" t="str">
        <f>INDEX(overview!$B$4:$R$338,MATCH('hydrogen - electrolysis'!B1415,overview!$A$4:$A$338,0),MATCH('hydrogen - electrolysis'!A1424,overview!$B$3:$R$3,0))</f>
        <v>exergy</v>
      </c>
    </row>
    <row r="1425" spans="1:2" x14ac:dyDescent="0.2">
      <c r="A1425" t="s">
        <v>4</v>
      </c>
      <c r="B1425" s="45" t="str">
        <f>INDEX(overview!$B$4:$R$338,MATCH('hydrogen - electrolysis'!B1415,overview!$A$4:$A$338,0),MATCH('hydrogen - electrolysis'!A1425,overview!$B$3:$R$3,0))</f>
        <v>pipeline</v>
      </c>
    </row>
    <row r="1426" spans="1:2" x14ac:dyDescent="0.2">
      <c r="A1426" t="s">
        <v>38</v>
      </c>
      <c r="B1426" s="45">
        <f>INDEX(overview!$B$4:$R$338,MATCH('hydrogen - electrolysis'!B1415,overview!$A$4:$A$338,0),MATCH('hydrogen - electrolysis'!A1426,overview!$B$3:$R$3,0))</f>
        <v>500</v>
      </c>
    </row>
    <row r="1427" spans="1:2" x14ac:dyDescent="0.2">
      <c r="A1427" t="s">
        <v>12</v>
      </c>
      <c r="B1427" s="45" t="str">
        <f>INDEX(overview!$B$4:$R$338,MATCH('hydrogen - electrolysis'!B1415,overview!$A$4:$A$338,0),MATCH('hydrogen - electrolysis'!A1427,overview!$B$3:$R$3,0))</f>
        <v>Pressure vessel for stationary storage</v>
      </c>
    </row>
    <row r="1428" spans="1:2" x14ac:dyDescent="0.2">
      <c r="A1428" t="s">
        <v>34</v>
      </c>
      <c r="B1428" s="45">
        <f>INDEX(overview!$B$4:$R$338,MATCH('hydrogen - electrolysis'!B1415,overview!$A$4:$A$338,0),MATCH('hydrogen - electrolysis'!A1428,overview!$B$3:$R$3,0))</f>
        <v>0</v>
      </c>
    </row>
    <row r="1429" spans="1:2" x14ac:dyDescent="0.2">
      <c r="A1429" t="s">
        <v>15</v>
      </c>
      <c r="B1429" s="45" t="str">
        <f>INDEX(overview!$B$4:$R$338,MATCH('hydrogen - electrolysis'!B1415,overview!$A$4:$A$338,0),MATCH('hydrogen - electrolysis'!A1429,overview!$B$3:$R$3,0))</f>
        <v>Electrolysis, SOEC</v>
      </c>
    </row>
    <row r="1430" spans="1:2" x14ac:dyDescent="0.2">
      <c r="A1430" t="s">
        <v>14</v>
      </c>
      <c r="B1430" s="45" t="str">
        <f>INDEX(overview!$B$4:$R$338,MATCH('hydrogen - electrolysis'!B1415,overview!$A$4:$A$338,0),MATCH('hydrogen - electrolysis'!A1430,overview!$B$3:$R$3,0))</f>
        <v>water and electricity</v>
      </c>
    </row>
    <row r="1431" spans="1:2" x14ac:dyDescent="0.2">
      <c r="A1431" t="s">
        <v>26</v>
      </c>
      <c r="B1431" s="45" t="str">
        <f>INDEX(overview!$B$4:$R$338,MATCH('hydrogen - electrolysis'!B1415,overview!$A$4:$A$338,0),MATCH('hydrogen - electrolysis'!A1431,overview!$B$3:$R$3,0))</f>
        <v>grid</v>
      </c>
    </row>
    <row r="1432" spans="1:2" x14ac:dyDescent="0.2">
      <c r="A1432" t="s">
        <v>29</v>
      </c>
      <c r="B1432" s="45">
        <f>INDEX(overview!$B$4:$R$338,MATCH('hydrogen - electrolysis'!B1415,overview!$A$4:$A$338,0),MATCH('hydrogen - electrolysis'!A1432,overview!$B$3:$R$3,0))</f>
        <v>0</v>
      </c>
    </row>
    <row r="1433" spans="1:2" x14ac:dyDescent="0.2">
      <c r="A1433" t="str">
        <f>IF(B1417="megajoule","Heat","Electricity")&amp;" conversion efficiency [% LHV input]"</f>
        <v>Heat conversion efficiency [% LHV input]</v>
      </c>
      <c r="B1433" s="46">
        <f>INDEX(parameters!$D$4:$N$20,MATCH('hydrogen - electrolysis'!B1421&amp;'hydrogen - electrolysis'!B1423,parameters!$A$4:$A$20,0),MATCH('hydrogen - electrolysis'!A1433,parameters!$D$3:$N$3,0))</f>
        <v>0.5</v>
      </c>
    </row>
    <row r="1434" spans="1:2" x14ac:dyDescent="0.2">
      <c r="A1434" t="str">
        <f>IF(B1417="megajoule","LHV [MJ/kg]","LHV [kWh/kg]")</f>
        <v>LHV [MJ/kg]</v>
      </c>
      <c r="B1434" s="47">
        <f>INDEX(parameters!$D$4:$N$20,MATCH('hydrogen - electrolysis'!B1421&amp;'hydrogen - electrolysis'!B1423,parameters!$A$4:$A$20,0),MATCH('hydrogen - electrolysis'!A1434,parameters!$D$3:$N$3,0))</f>
        <v>120</v>
      </c>
    </row>
    <row r="1435" spans="1:2" x14ac:dyDescent="0.2">
      <c r="A1435" t="s">
        <v>41</v>
      </c>
      <c r="B1435" s="48">
        <f>INDEX(parameters!$D$4:$N$20,MATCH('hydrogen - electrolysis'!B1421&amp;'hydrogen - electrolysis'!B1423,parameters!$A$4:$A$20,0),MATCH('hydrogen - electrolysis'!A1435,parameters!$D$3:$N$3,0))</f>
        <v>2.6666666666666665E-2</v>
      </c>
    </row>
    <row r="1436" spans="1:2" x14ac:dyDescent="0.2">
      <c r="A1436" t="s">
        <v>45</v>
      </c>
      <c r="B1436" s="46">
        <f>INDEX(parameters!$D$4:$N$20,MATCH('hydrogen - electrolysis'!B1421&amp;'hydrogen - electrolysis'!B1423,parameters!$A$4:$A$20,0),MATCH('hydrogen - electrolysis'!A1436,parameters!$D$3:$N$3,0))</f>
        <v>0</v>
      </c>
    </row>
    <row r="1437" spans="1:2" x14ac:dyDescent="0.2">
      <c r="A1437" t="s">
        <v>46</v>
      </c>
      <c r="B1437" s="46">
        <f>INDEX(parameters!$D$4:$N$20,MATCH('hydrogen - electrolysis'!B1421&amp;'hydrogen - electrolysis'!B1423,parameters!$A$4:$A$20,0),MATCH('hydrogen - electrolysis'!A1437,parameters!$D$3:$N$3,0))</f>
        <v>1.4999999999999999E-2</v>
      </c>
    </row>
    <row r="1438" spans="1:2" x14ac:dyDescent="0.2">
      <c r="A1438" t="s">
        <v>43</v>
      </c>
      <c r="B1438" s="46">
        <f>INDEX(parameters!$D$4:$N$20,MATCH('hydrogen - electrolysis'!B1421&amp;'hydrogen - electrolysis'!B1423,parameters!$A$4:$A$20,0),MATCH('hydrogen - electrolysis'!A1438,parameters!$D$3:$N$3,0))</f>
        <v>0</v>
      </c>
    </row>
    <row r="1439" spans="1:2" x14ac:dyDescent="0.2">
      <c r="A1439" t="s">
        <v>44</v>
      </c>
      <c r="B1439" s="46">
        <f>INDEX(parameters!$D$4:$N$20,MATCH('hydrogen - electrolysis'!B1421&amp;'hydrogen - electrolysis'!B1423,parameters!$A$4:$A$20,0),MATCH('hydrogen - electrolysis'!A1439,parameters!$D$3:$N$3,0))</f>
        <v>0</v>
      </c>
    </row>
    <row r="1440" spans="1:2" x14ac:dyDescent="0.2">
      <c r="A1440" t="s">
        <v>634</v>
      </c>
      <c r="B1440" s="51">
        <f>INDEX(parameters!$D$4:$Y$20,MATCH('hydrogen - electrolysis'!B1421&amp;'hydrogen - electrolysis'!B1423,parameters!$A$4:$A$20,0),MATCH('hydrogen - electrolysis'!A1440,parameters!$D$3:$Y$3,0))</f>
        <v>1.8947368421052633</v>
      </c>
    </row>
    <row r="1441" spans="1:22" x14ac:dyDescent="0.2">
      <c r="A1441" t="s">
        <v>82</v>
      </c>
      <c r="B1441" s="46">
        <f>IF(B1432&lt;&gt;0,VLOOKUP(B1432,parameters!A973:B975,2,0),0)</f>
        <v>0</v>
      </c>
    </row>
    <row r="1442" spans="1:22" x14ac:dyDescent="0.2">
      <c r="A1442" t="s">
        <v>548</v>
      </c>
      <c r="B1442" s="50">
        <f>INDEX(parameters!$D$4:$P$20,MATCH(B1421&amp;B1423,parameters!$A$4:$A$20,0),MATCH(A1442,parameters!$D$3:$P$3,0))</f>
        <v>0.8</v>
      </c>
    </row>
    <row r="1443" spans="1:22" x14ac:dyDescent="0.2">
      <c r="A1443" t="s">
        <v>547</v>
      </c>
      <c r="B1443" s="51">
        <f>INDEX(parameters!$D$4:$P$20,MATCH(B1421&amp;B1423,parameters!$A$4:$A$20,0),MATCH(A1443,parameters!$D$3:$P$3,0))</f>
        <v>4.8780487804878048</v>
      </c>
    </row>
    <row r="1444" spans="1:22" x14ac:dyDescent="0.2">
      <c r="A1444" t="s">
        <v>630</v>
      </c>
      <c r="B1444" s="51">
        <f>INDEX(parameters!$D$4:$T$20,MATCH(B1421&amp;B1423,parameters!$A$4:$A$20,0),MATCH(A1444,parameters!$D$3:$T$3,0))</f>
        <v>4100</v>
      </c>
    </row>
    <row r="1445" spans="1:22" x14ac:dyDescent="0.2">
      <c r="A1445" t="s">
        <v>1005</v>
      </c>
      <c r="B1445" s="50">
        <f>IF(B1417="megajoule",SUMIFS(allocation!$I$4:$I$30,allocation!$B$4:$B$30,B1423,allocation!$C$4:$C$30,B1424),SUMIFS(allocation!$J$4:$J$30,allocation!$B$4:$B$30,B1423,allocation!$C$4:$C$30,B1424))</f>
        <v>0.13933980798974457</v>
      </c>
    </row>
    <row r="1446" spans="1:22" x14ac:dyDescent="0.2">
      <c r="A1446" t="s">
        <v>1050</v>
      </c>
      <c r="B1446" s="51">
        <f>INDEX(parameters!$D$4:$AB$20,MATCH(B1421&amp;B1423,parameters!$A$4:$A$20,0),MATCH(A1446,parameters!$D$3:$AB$3,0))</f>
        <v>10.221606648199446</v>
      </c>
    </row>
    <row r="1448" spans="1:22" x14ac:dyDescent="0.2">
      <c r="A1448" s="3" t="s">
        <v>57</v>
      </c>
    </row>
    <row r="1449" spans="1:22" x14ac:dyDescent="0.2">
      <c r="A1449" s="2" t="s">
        <v>58</v>
      </c>
      <c r="B1449" s="44" t="s">
        <v>59</v>
      </c>
      <c r="C1449" s="2" t="s">
        <v>55</v>
      </c>
      <c r="D1449" s="2" t="s">
        <v>60</v>
      </c>
      <c r="E1449" s="2" t="s">
        <v>52</v>
      </c>
      <c r="F1449" s="2" t="s">
        <v>61</v>
      </c>
      <c r="G1449" s="2" t="s">
        <v>54</v>
      </c>
      <c r="H1449" s="2" t="s">
        <v>87</v>
      </c>
      <c r="I1449" s="2" t="s">
        <v>51</v>
      </c>
      <c r="J1449" s="2" t="s">
        <v>138</v>
      </c>
      <c r="K1449" s="2" t="s">
        <v>136</v>
      </c>
      <c r="L1449" s="2" t="s">
        <v>221</v>
      </c>
      <c r="M1449" s="2" t="s">
        <v>379</v>
      </c>
      <c r="N1449" s="2" t="s">
        <v>1059</v>
      </c>
      <c r="O1449" s="2" t="s">
        <v>1060</v>
      </c>
      <c r="P1449" s="2" t="s">
        <v>1061</v>
      </c>
      <c r="Q1449" s="2" t="s">
        <v>1062</v>
      </c>
      <c r="R1449" s="2" t="s">
        <v>1063</v>
      </c>
      <c r="S1449" s="2" t="s">
        <v>1064</v>
      </c>
      <c r="T1449" s="2" t="s">
        <v>1065</v>
      </c>
      <c r="U1449" s="2" t="s">
        <v>380</v>
      </c>
      <c r="V1449" s="2" t="s">
        <v>1128</v>
      </c>
    </row>
    <row r="1450" spans="1:22" x14ac:dyDescent="0.2">
      <c r="A1450" t="str">
        <f>B1411</f>
        <v>heat, residential, by conversion of hydrogen using fuel cell, PEM, allocated by exergy, transported by pipeline, produced by Electrolysis, SOEC using water and electricity from grid</v>
      </c>
      <c r="B1450" s="45">
        <v>1</v>
      </c>
      <c r="C1450" t="str">
        <f>B1417</f>
        <v>megajoule</v>
      </c>
      <c r="E1450" t="str">
        <f>B1414</f>
        <v>CH</v>
      </c>
      <c r="F1450" t="s">
        <v>62</v>
      </c>
      <c r="G1450" t="str">
        <f>B1416</f>
        <v>heat, from residential heating system</v>
      </c>
      <c r="K1450" t="str">
        <f>B1411</f>
        <v>heat, residential, by conversion of hydrogen using fuel cell, PEM, allocated by exergy, transported by pipeline, produced by Electrolysis, SOEC using water and electricity from grid</v>
      </c>
    </row>
    <row r="1451" spans="1:22" x14ac:dyDescent="0.2">
      <c r="A1451" t="str">
        <f>VLOOKUP(J1451,'dataset mapping'!$A$4:$E$69,2,0)</f>
        <v>fuel cell system assembly, 1 kWe, proton exchange membrane (PEM)</v>
      </c>
      <c r="B1451" s="52">
        <f>(1/(B1440*B1444*B1443*3.6))*B1445</f>
        <v>1.0213951974556892E-6</v>
      </c>
      <c r="C1451" t="str">
        <f>VLOOKUP(J1451,'dataset mapping'!$A$4:$E$69,5,0)</f>
        <v>unit</v>
      </c>
      <c r="E1451" t="str">
        <f>VLOOKUP(J1451,'dataset mapping'!$A$4:$E$69,4,0)</f>
        <v>GLO</v>
      </c>
      <c r="F1451" t="s">
        <v>86</v>
      </c>
      <c r="G1451" t="str">
        <f>VLOOKUP(J1451,'dataset mapping'!$A$4:$E$69,3,0)</f>
        <v>fuel cell system, 1 kWe, proton exchange membrane (PEM)</v>
      </c>
      <c r="H1451" t="s">
        <v>88</v>
      </c>
      <c r="I1451" t="s">
        <v>272</v>
      </c>
      <c r="J1451" t="s">
        <v>273</v>
      </c>
      <c r="K1451" t="str">
        <f>B1411</f>
        <v>heat, residential, by conversion of hydrogen using fuel cell, PEM, allocated by exergy, transported by pipeline, produced by Electrolysis, SOEC using water and electricity from grid</v>
      </c>
      <c r="L1451">
        <f>IF(OR(B1451&lt;0,B1451=0),1,2)</f>
        <v>2</v>
      </c>
      <c r="M1451">
        <f>IF(L1451=2,LN(B1451),"")</f>
        <v>-13.794341024667077</v>
      </c>
      <c r="N1451">
        <v>1</v>
      </c>
      <c r="O1451" s="15">
        <v>1.2</v>
      </c>
      <c r="P1451">
        <v>1</v>
      </c>
      <c r="Q1451">
        <v>1.01</v>
      </c>
      <c r="R1451">
        <v>1.2</v>
      </c>
      <c r="S1451">
        <v>1.2</v>
      </c>
      <c r="T1451">
        <v>3</v>
      </c>
      <c r="U1451">
        <f>LN(SQRT(EXP(
SQRT(
+POWER(LN(N1451),2)
+POWER(LN(O1451),2)
+POWER(LN(P1451),2)
+POWER(LN(Q1451),2)
+POWER(LN(R1451),2)
+POWER(LN(S1451),2)
+POWER(LN(T1451),2)
)
)))</f>
        <v>0.57157051623399524</v>
      </c>
    </row>
    <row r="1452" spans="1:22" x14ac:dyDescent="0.2">
      <c r="A1452" s="45" t="str">
        <f>"hydrogen supply, transported by "&amp;B1425&amp;", produced by "&amp;B1429&amp;" using "&amp;B1430&amp;" from "&amp;B1431</f>
        <v>hydrogen supply, transported by pipeline, produced by Electrolysis, SOEC using water and electricity from grid</v>
      </c>
      <c r="B1452" s="53">
        <f>(B1450/B1434)/B1433*B1445</f>
        <v>2.3223301331624095E-3</v>
      </c>
      <c r="C1452" t="str">
        <f>VLOOKUP(J1452,'dataset mapping'!$A$4:$E$69,5,0)</f>
        <v>kilogram</v>
      </c>
      <c r="E1452" t="str">
        <f>VLOOKUP(J1452,'dataset mapping'!$A$4:$E$69,4,0)</f>
        <v>CH</v>
      </c>
      <c r="F1452" t="s">
        <v>86</v>
      </c>
      <c r="G1452" t="str">
        <f>"hydrogen, gaseous, from "&amp;B1425</f>
        <v>hydrogen, gaseous, from pipeline</v>
      </c>
      <c r="H1452" t="s">
        <v>76</v>
      </c>
      <c r="I1452" t="s">
        <v>1054</v>
      </c>
      <c r="J1452" t="s">
        <v>282</v>
      </c>
      <c r="K1452" t="str">
        <f>B1411</f>
        <v>heat, residential, by conversion of hydrogen using fuel cell, PEM, allocated by exergy, transported by pipeline, produced by Electrolysis, SOEC using water and electricity from grid</v>
      </c>
      <c r="L1452">
        <f>IF(OR(B1452&lt;0,B1452=0),1,2)</f>
        <v>2</v>
      </c>
      <c r="M1452">
        <f>IF(L1452=2,LN(B1452),"")</f>
        <v>-6.0651842296013152</v>
      </c>
      <c r="N1452">
        <v>1</v>
      </c>
      <c r="O1452" s="15">
        <v>1.2</v>
      </c>
      <c r="P1452">
        <v>1</v>
      </c>
      <c r="Q1452">
        <v>1.01</v>
      </c>
      <c r="R1452">
        <v>1.2</v>
      </c>
      <c r="S1452">
        <v>1.2</v>
      </c>
      <c r="T1452">
        <v>1.05</v>
      </c>
      <c r="U1452">
        <f>LN(SQRT(EXP(
SQRT(
+POWER(LN(N1452),2)
+POWER(LN(O1452),2)
+POWER(LN(P1452),2)
+POWER(LN(Q1452),2)
+POWER(LN(R1452),2)
+POWER(LN(S1452),2)
+POWER(LN(T1452),2)
)
)))</f>
        <v>0.15984597228197622</v>
      </c>
    </row>
    <row r="1453" spans="1:22" x14ac:dyDescent="0.2">
      <c r="A1453" t="s">
        <v>134</v>
      </c>
      <c r="B1453" s="53">
        <f>B1452*9</f>
        <v>2.0900971198461685E-2</v>
      </c>
      <c r="C1453" t="s">
        <v>56</v>
      </c>
      <c r="D1453" t="s">
        <v>100</v>
      </c>
      <c r="F1453" t="s">
        <v>99</v>
      </c>
      <c r="H1453" t="s">
        <v>131</v>
      </c>
      <c r="I1453" t="s">
        <v>1057</v>
      </c>
      <c r="K1453" t="str">
        <f>B1411</f>
        <v>heat, residential, by conversion of hydrogen using fuel cell, PEM, allocated by exergy, transported by pipeline, produced by Electrolysis, SOEC using water and electricity from grid</v>
      </c>
      <c r="L1453">
        <f>IF(OR(B1453&lt;0,B1453=0),1,2)</f>
        <v>2</v>
      </c>
      <c r="M1453">
        <f>IF(L1453=2,LN(B1453),"")</f>
        <v>-3.8679596522650961</v>
      </c>
      <c r="N1453">
        <v>1</v>
      </c>
      <c r="O1453" s="15">
        <v>1.2</v>
      </c>
      <c r="P1453">
        <v>1</v>
      </c>
      <c r="Q1453">
        <v>1.01</v>
      </c>
      <c r="R1453">
        <v>1.2</v>
      </c>
      <c r="S1453">
        <v>1.2</v>
      </c>
      <c r="T1453">
        <v>1.05</v>
      </c>
      <c r="U1453">
        <f>LN(SQRT(EXP(
SQRT(
+POWER(LN(N1453),2)
+POWER(LN(O1453),2)
+POWER(LN(P1453),2)
+POWER(LN(Q1453),2)
+POWER(LN(R1453),2)
+POWER(LN(S1453),2)
+POWER(LN(T1453),2)
)
)))</f>
        <v>0.15984597228197622</v>
      </c>
    </row>
    <row r="1455" spans="1:22" x14ac:dyDescent="0.2">
      <c r="A1455" s="2" t="s">
        <v>50</v>
      </c>
      <c r="B1455" s="44" t="str">
        <f>IF(B1461="megajoule","heat","electricity")&amp;", residential, by "&amp;B1466&amp;" of "&amp;B1465&amp;" using "&amp;B1467&amp;IF(B1468&lt;&gt;0,", allocated by "&amp;B1468,"")&amp;", transported by "&amp;B1469&amp;", produced by "&amp;B1473&amp;" using "&amp;B1474&amp;" from "&amp;B1475</f>
        <v>heat, residential, by conversion of hydrogen using fuel cell, SOFC, allocated by exergy, transported by pipeline, produced by Electrolysis, SOEC using water and electricity from grid</v>
      </c>
    </row>
    <row r="1456" spans="1:22" x14ac:dyDescent="0.2">
      <c r="A1456" t="s">
        <v>51</v>
      </c>
      <c r="B1456" s="45" t="str">
        <f>"This dataset represents the supply of 1 "&amp;IF(B1461="megajoule","megajoule of heat","kilowatt hour of electricity")&amp;" in a residence, by "&amp;B1465&amp;" "&amp;B1466&amp;" in a "&amp;B1467&amp;". "&amp;" The hydrogen is transported by "&amp;B1469&amp;" over "&amp;B1470&amp;" km from regional storage. "&amp;" The "&amp;B1465&amp;" is produced by  "&amp;B1473&amp;", with "&amp;B1474&amp;" from "&amp;B1475&amp;" as feedstock. "&amp;A1477&amp;": "&amp;(B1477*100)&amp;"%. "&amp;A1478&amp;": "&amp;B1478&amp;". "&amp;A1479&amp;": "&amp;B1479&amp;". "&amp;A1480&amp;": "&amp;(B1480*100)&amp;"%. "&amp;A1481&amp;": "&amp;(B1481*100)&amp;"%. "&amp;A1482&amp;": "&amp;(B1482*100)&amp;"%. "&amp;A1483&amp;": "&amp;B1483&amp;". "&amp;A1484&amp;": "&amp;B1484&amp;". "&amp;A1485&amp;": "&amp;(B1485*100)&amp;"%. "&amp;A1486&amp;": "&amp;B1486&amp;". "&amp;A1487&amp;": "&amp;B1487&amp;". "&amp;A1488&amp;": "&amp;B1488&amp;". "&amp;A1489&amp;": "&amp;B1489&amp;".  For more information, refer to: "&amp;B1457</f>
        <v>This dataset represents the supply of 1 megajoule of heat in a residence, by hydrogen conversion in a fuel cell, SOFC.  The hydrogen is transported by pipeline over 500 km from regional storage.  The hydrogen is produced by  Electrolysis, SOEC,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1457" spans="1:2" x14ac:dyDescent="0.2">
      <c r="A1457" t="s">
        <v>63</v>
      </c>
      <c r="B1457" s="45" t="s">
        <v>1223</v>
      </c>
    </row>
    <row r="1458" spans="1:2" x14ac:dyDescent="0.2">
      <c r="A1458" t="s">
        <v>52</v>
      </c>
      <c r="B1458" s="45" t="s">
        <v>64</v>
      </c>
    </row>
    <row r="1459" spans="1:2" x14ac:dyDescent="0.2">
      <c r="A1459" t="s">
        <v>48</v>
      </c>
      <c r="B1459" s="45">
        <v>20</v>
      </c>
    </row>
    <row r="1460" spans="1:2" x14ac:dyDescent="0.2">
      <c r="A1460" t="s">
        <v>54</v>
      </c>
      <c r="B1460" s="45" t="str">
        <f>INDEX(overview!$B$4:$R$338,MATCH('hydrogen - electrolysis'!B1459,overview!$A$4:$A$338,0),MATCH('hydrogen - electrolysis'!A1460,overview!$B$3:$R$3,0))</f>
        <v>heat, from residential heating system</v>
      </c>
    </row>
    <row r="1461" spans="1:2" x14ac:dyDescent="0.2">
      <c r="A1461" t="s">
        <v>55</v>
      </c>
      <c r="B1461" s="45" t="str">
        <f>INDEX(overview!$B$4:$R$338,MATCH('hydrogen - electrolysis'!B1459,overview!$A$4:$A$338,0),MATCH('hydrogen - electrolysis'!A1461,overview!$B$3:$R$3,0))</f>
        <v>megajoule</v>
      </c>
    </row>
    <row r="1462" spans="1:2" x14ac:dyDescent="0.2">
      <c r="A1462" t="s">
        <v>0</v>
      </c>
      <c r="B1462" s="45" t="str">
        <f>INDEX(overview!$B$4:$R$338,MATCH('hydrogen - electrolysis'!B1459,overview!$A$4:$A$338,0),MATCH('hydrogen - electrolysis'!A1462,overview!$B$3:$R$3,0))</f>
        <v>Switzerland</v>
      </c>
    </row>
    <row r="1463" spans="1:2" x14ac:dyDescent="0.2">
      <c r="A1463" t="s">
        <v>1</v>
      </c>
      <c r="B1463" s="45">
        <f>INDEX(overview!$B$4:$R$338,MATCH('hydrogen - electrolysis'!B1459,overview!$A$4:$A$338,0),MATCH('hydrogen - electrolysis'!A1463,overview!$B$3:$R$3,0))</f>
        <v>2020</v>
      </c>
    </row>
    <row r="1464" spans="1:2" x14ac:dyDescent="0.2">
      <c r="A1464" t="s">
        <v>2</v>
      </c>
      <c r="B1464" s="45" t="str">
        <f>INDEX(overview!$B$4:$R$338,MATCH('hydrogen - electrolysis'!B1459,overview!$A$4:$A$338,0),MATCH('hydrogen - electrolysis'!A1464,overview!$B$3:$R$3,0))</f>
        <v>1 MJ heat</v>
      </c>
    </row>
    <row r="1465" spans="1:2" x14ac:dyDescent="0.2">
      <c r="A1465" t="s">
        <v>5</v>
      </c>
      <c r="B1465" s="45" t="str">
        <f>INDEX(overview!$B$4:$R$338,MATCH('hydrogen - electrolysis'!B1459,overview!$A$4:$A$338,0),MATCH('hydrogen - electrolysis'!A1465,overview!$B$3:$R$3,0))</f>
        <v>hydrogen</v>
      </c>
    </row>
    <row r="1466" spans="1:2" x14ac:dyDescent="0.2">
      <c r="A1466" t="s">
        <v>3</v>
      </c>
      <c r="B1466" s="45" t="str">
        <f>INDEX(overview!$B$4:$R$338,MATCH('hydrogen - electrolysis'!B1459,overview!$A$4:$A$338,0),MATCH('hydrogen - electrolysis'!A1466,overview!$B$3:$R$3,0))</f>
        <v>conversion</v>
      </c>
    </row>
    <row r="1467" spans="1:2" x14ac:dyDescent="0.2">
      <c r="A1467" t="s">
        <v>6</v>
      </c>
      <c r="B1467" s="45" t="str">
        <f>INDEX(overview!$B$4:$R$338,MATCH('hydrogen - electrolysis'!B1459,overview!$A$4:$A$338,0),MATCH('hydrogen - electrolysis'!A1467,overview!$B$3:$R$3,0))</f>
        <v>fuel cell, SOFC</v>
      </c>
    </row>
    <row r="1468" spans="1:2" x14ac:dyDescent="0.2">
      <c r="A1468" t="s">
        <v>39</v>
      </c>
      <c r="B1468" s="45" t="str">
        <f>INDEX(overview!$B$4:$R$338,MATCH('hydrogen - electrolysis'!B1459,overview!$A$4:$A$338,0),MATCH('hydrogen - electrolysis'!A1468,overview!$B$3:$R$3,0))</f>
        <v>exergy</v>
      </c>
    </row>
    <row r="1469" spans="1:2" x14ac:dyDescent="0.2">
      <c r="A1469" t="s">
        <v>4</v>
      </c>
      <c r="B1469" s="45" t="str">
        <f>INDEX(overview!$B$4:$R$338,MATCH('hydrogen - electrolysis'!B1459,overview!$A$4:$A$338,0),MATCH('hydrogen - electrolysis'!A1469,overview!$B$3:$R$3,0))</f>
        <v>pipeline</v>
      </c>
    </row>
    <row r="1470" spans="1:2" x14ac:dyDescent="0.2">
      <c r="A1470" t="s">
        <v>38</v>
      </c>
      <c r="B1470" s="45">
        <f>INDEX(overview!$B$4:$R$338,MATCH('hydrogen - electrolysis'!B1459,overview!$A$4:$A$338,0),MATCH('hydrogen - electrolysis'!A1470,overview!$B$3:$R$3,0))</f>
        <v>500</v>
      </c>
    </row>
    <row r="1471" spans="1:2" x14ac:dyDescent="0.2">
      <c r="A1471" t="s">
        <v>12</v>
      </c>
      <c r="B1471" s="45" t="str">
        <f>INDEX(overview!$B$4:$R$338,MATCH('hydrogen - electrolysis'!B1459,overview!$A$4:$A$338,0),MATCH('hydrogen - electrolysis'!A1471,overview!$B$3:$R$3,0))</f>
        <v>Pressure vessel for stationary storage</v>
      </c>
    </row>
    <row r="1472" spans="1:2" x14ac:dyDescent="0.2">
      <c r="A1472" t="s">
        <v>34</v>
      </c>
      <c r="B1472" s="45">
        <f>INDEX(overview!$B$4:$R$338,MATCH('hydrogen - electrolysis'!B1459,overview!$A$4:$A$338,0),MATCH('hydrogen - electrolysis'!A1472,overview!$B$3:$R$3,0))</f>
        <v>0</v>
      </c>
    </row>
    <row r="1473" spans="1:4" x14ac:dyDescent="0.2">
      <c r="A1473" t="s">
        <v>15</v>
      </c>
      <c r="B1473" s="45" t="str">
        <f>INDEX(overview!$B$4:$R$338,MATCH('hydrogen - electrolysis'!B1459,overview!$A$4:$A$338,0),MATCH('hydrogen - electrolysis'!A1473,overview!$B$3:$R$3,0))</f>
        <v>Electrolysis, SOEC</v>
      </c>
    </row>
    <row r="1474" spans="1:4" x14ac:dyDescent="0.2">
      <c r="A1474" t="s">
        <v>14</v>
      </c>
      <c r="B1474" s="45" t="str">
        <f>INDEX(overview!$B$4:$R$338,MATCH('hydrogen - electrolysis'!B1459,overview!$A$4:$A$338,0),MATCH('hydrogen - electrolysis'!A1474,overview!$B$3:$R$3,0))</f>
        <v>water and electricity</v>
      </c>
    </row>
    <row r="1475" spans="1:4" x14ac:dyDescent="0.2">
      <c r="A1475" t="s">
        <v>26</v>
      </c>
      <c r="B1475" s="45" t="str">
        <f>INDEX(overview!$B$4:$R$338,MATCH('hydrogen - electrolysis'!B1459,overview!$A$4:$A$338,0),MATCH('hydrogen - electrolysis'!A1475,overview!$B$3:$R$3,0))</f>
        <v>grid</v>
      </c>
    </row>
    <row r="1476" spans="1:4" x14ac:dyDescent="0.2">
      <c r="A1476" t="s">
        <v>29</v>
      </c>
      <c r="B1476" s="45">
        <f>INDEX(overview!$B$4:$R$338,MATCH('hydrogen - electrolysis'!B1459,overview!$A$4:$A$338,0),MATCH('hydrogen - electrolysis'!A1476,overview!$B$3:$R$3,0))</f>
        <v>0</v>
      </c>
    </row>
    <row r="1477" spans="1:4" x14ac:dyDescent="0.2">
      <c r="A1477" t="str">
        <f>IF(B1461="megajoule","Heat","Electricity")&amp;" conversion efficiency [% LHV input]"</f>
        <v>Heat conversion efficiency [% LHV input]</v>
      </c>
      <c r="B1477" s="46">
        <f>INDEX(parameters!$D$4:$N$20,MATCH('hydrogen - electrolysis'!B1465&amp;'hydrogen - electrolysis'!B1467,parameters!$A$4:$A$20,0),MATCH('hydrogen - electrolysis'!A1477,parameters!$D$3:$N$3,0))</f>
        <v>0.53</v>
      </c>
    </row>
    <row r="1478" spans="1:4" x14ac:dyDescent="0.2">
      <c r="A1478" t="str">
        <f>IF(B1461="megajoule","LHV [MJ/kg]","LHV [kWh/kg]")</f>
        <v>LHV [MJ/kg]</v>
      </c>
      <c r="B1478" s="47">
        <f>INDEX(parameters!$D$4:$N$20,MATCH('hydrogen - electrolysis'!B1465&amp;'hydrogen - electrolysis'!B1467,parameters!$A$4:$A$20,0),MATCH('hydrogen - electrolysis'!A1478,parameters!$D$3:$N$3,0))</f>
        <v>120</v>
      </c>
    </row>
    <row r="1479" spans="1:4" x14ac:dyDescent="0.2">
      <c r="A1479" t="s">
        <v>41</v>
      </c>
      <c r="B1479" s="48">
        <f>INDEX(parameters!$D$4:$N$20,MATCH('hydrogen - electrolysis'!B1465&amp;'hydrogen - electrolysis'!B1467,parameters!$A$4:$A$20,0),MATCH('hydrogen - electrolysis'!A1479,parameters!$D$3:$N$3,0))</f>
        <v>2.6666666666666665E-2</v>
      </c>
    </row>
    <row r="1480" spans="1:4" x14ac:dyDescent="0.2">
      <c r="A1480" t="s">
        <v>45</v>
      </c>
      <c r="B1480" s="46">
        <f>INDEX(parameters!$D$4:$N$20,MATCH('hydrogen - electrolysis'!B1465&amp;'hydrogen - electrolysis'!B1467,parameters!$A$4:$A$20,0),MATCH('hydrogen - electrolysis'!A1480,parameters!$D$3:$N$3,0))</f>
        <v>0</v>
      </c>
    </row>
    <row r="1481" spans="1:4" x14ac:dyDescent="0.2">
      <c r="A1481" t="s">
        <v>46</v>
      </c>
      <c r="B1481" s="46">
        <f>INDEX(parameters!$D$4:$N$20,MATCH('hydrogen - electrolysis'!B1465&amp;'hydrogen - electrolysis'!B1467,parameters!$A$4:$A$20,0),MATCH('hydrogen - electrolysis'!A1481,parameters!$D$3:$N$3,0))</f>
        <v>1.4999999999999999E-2</v>
      </c>
    </row>
    <row r="1482" spans="1:4" x14ac:dyDescent="0.2">
      <c r="A1482" t="s">
        <v>43</v>
      </c>
      <c r="B1482" s="46">
        <f>INDEX(parameters!$D$4:$N$20,MATCH('hydrogen - electrolysis'!B1465&amp;'hydrogen - electrolysis'!B1467,parameters!$A$4:$A$20,0),MATCH('hydrogen - electrolysis'!A1482,parameters!$D$3:$N$3,0))</f>
        <v>0</v>
      </c>
    </row>
    <row r="1483" spans="1:4" x14ac:dyDescent="0.2">
      <c r="A1483" t="s">
        <v>44</v>
      </c>
      <c r="B1483" s="46">
        <f>INDEX(parameters!$D$4:$N$20,MATCH('hydrogen - electrolysis'!B1465&amp;'hydrogen - electrolysis'!B1467,parameters!$A$4:$A$20,0),MATCH('hydrogen - electrolysis'!A1483,parameters!$D$3:$N$3,0))</f>
        <v>0</v>
      </c>
    </row>
    <row r="1484" spans="1:4" x14ac:dyDescent="0.2">
      <c r="A1484" t="s">
        <v>634</v>
      </c>
      <c r="B1484" s="51">
        <f>INDEX(parameters!$D$4:$Y$20,MATCH('hydrogen - electrolysis'!B1465&amp;'hydrogen - electrolysis'!B1467,parameters!$A$4:$A$20,0),MATCH('hydrogen - electrolysis'!A1484,parameters!$D$3:$Y$3,0))</f>
        <v>225</v>
      </c>
      <c r="D1484" s="8"/>
    </row>
    <row r="1485" spans="1:4" x14ac:dyDescent="0.2">
      <c r="A1485" t="s">
        <v>82</v>
      </c>
      <c r="B1485" s="46">
        <f>IF(B1476&lt;&gt;0,VLOOKUP(B1476,parameters!A1022:B1024,2,0),0)</f>
        <v>0</v>
      </c>
    </row>
    <row r="1486" spans="1:4" x14ac:dyDescent="0.2">
      <c r="A1486" t="s">
        <v>548</v>
      </c>
      <c r="B1486" s="50">
        <f>INDEX(parameters!$D$4:$P$20,MATCH(B1465&amp;B1467,parameters!$A$4:$A$20,0),MATCH(A1486,parameters!$D$3:$P$3,0))</f>
        <v>100</v>
      </c>
    </row>
    <row r="1487" spans="1:4" x14ac:dyDescent="0.2">
      <c r="A1487" t="s">
        <v>547</v>
      </c>
      <c r="B1487" s="51">
        <f>INDEX(parameters!$D$4:$P$20,MATCH(B1465&amp;B1467,parameters!$A$4:$A$20,0),MATCH(A1487,parameters!$D$3:$P$3,0))</f>
        <v>6</v>
      </c>
    </row>
    <row r="1488" spans="1:4" x14ac:dyDescent="0.2">
      <c r="A1488" t="s">
        <v>630</v>
      </c>
      <c r="B1488" s="51">
        <f>INDEX(parameters!$D$4:$T$20,MATCH(B1465&amp;B1467,parameters!$A$4:$A$20,0),MATCH(A1488,parameters!$D$3:$T$3,0))</f>
        <v>4100</v>
      </c>
    </row>
    <row r="1489" spans="1:22" x14ac:dyDescent="0.2">
      <c r="A1489" t="s">
        <v>1005</v>
      </c>
      <c r="B1489" s="50">
        <f>IF(B1461="megajoule",SUMIFS(allocation!$I$4:$I$30,allocation!$B$4:$B$30,B1467,allocation!$C$4:$C$30,B1468),SUMIFS(allocation!$J$4:$J$30,allocation!$B$4:$B$30,B1467,allocation!$C$4:$C$30,B1468))</f>
        <v>0.13587506510399097</v>
      </c>
    </row>
    <row r="1490" spans="1:22" x14ac:dyDescent="0.2">
      <c r="A1490" t="s">
        <v>1050</v>
      </c>
      <c r="B1490" s="51">
        <f>INDEX(parameters!$D$4:$AB$20,MATCH(B1465&amp;B1467,parameters!$A$4:$A$20,0),MATCH(A1490,parameters!$D$3:$AB$3,0))</f>
        <v>1153.1249999999998</v>
      </c>
    </row>
    <row r="1492" spans="1:22" x14ac:dyDescent="0.2">
      <c r="A1492" s="3" t="s">
        <v>57</v>
      </c>
    </row>
    <row r="1493" spans="1:22" x14ac:dyDescent="0.2">
      <c r="A1493" s="2" t="s">
        <v>58</v>
      </c>
      <c r="B1493" s="44" t="s">
        <v>59</v>
      </c>
      <c r="C1493" s="2" t="s">
        <v>55</v>
      </c>
      <c r="D1493" s="2" t="s">
        <v>60</v>
      </c>
      <c r="E1493" s="2" t="s">
        <v>52</v>
      </c>
      <c r="F1493" s="2" t="s">
        <v>61</v>
      </c>
      <c r="G1493" s="2" t="s">
        <v>54</v>
      </c>
      <c r="H1493" s="2" t="s">
        <v>87</v>
      </c>
      <c r="I1493" s="2" t="s">
        <v>51</v>
      </c>
      <c r="J1493" s="2" t="s">
        <v>138</v>
      </c>
      <c r="K1493" s="2" t="s">
        <v>136</v>
      </c>
      <c r="L1493" s="2" t="s">
        <v>221</v>
      </c>
      <c r="M1493" s="2" t="s">
        <v>379</v>
      </c>
      <c r="N1493" s="2" t="s">
        <v>1059</v>
      </c>
      <c r="O1493" s="2" t="s">
        <v>1060</v>
      </c>
      <c r="P1493" s="2" t="s">
        <v>1061</v>
      </c>
      <c r="Q1493" s="2" t="s">
        <v>1062</v>
      </c>
      <c r="R1493" s="2" t="s">
        <v>1063</v>
      </c>
      <c r="S1493" s="2" t="s">
        <v>1064</v>
      </c>
      <c r="T1493" s="2" t="s">
        <v>1065</v>
      </c>
      <c r="U1493" s="2" t="s">
        <v>380</v>
      </c>
      <c r="V1493" s="2" t="s">
        <v>1128</v>
      </c>
    </row>
    <row r="1494" spans="1:22" x14ac:dyDescent="0.2">
      <c r="A1494" t="str">
        <f>B1455</f>
        <v>heat, residential, by conversion of hydrogen using fuel cell, SOFC, allocated by exergy, transported by pipeline, produced by Electrolysis, SOEC using water and electricity from grid</v>
      </c>
      <c r="B1494" s="45">
        <v>1</v>
      </c>
      <c r="C1494" t="str">
        <f>B1461</f>
        <v>megajoule</v>
      </c>
      <c r="E1494" t="str">
        <f>B1458</f>
        <v>CH</v>
      </c>
      <c r="F1494" t="s">
        <v>62</v>
      </c>
      <c r="G1494" t="str">
        <f>B1460</f>
        <v>heat, from residential heating system</v>
      </c>
      <c r="K1494" t="str">
        <f>B1455</f>
        <v>heat, residential, by conversion of hydrogen using fuel cell, SOFC, allocated by exergy, transported by pipeline, produced by Electrolysis, SOEC using water and electricity from grid</v>
      </c>
    </row>
    <row r="1495" spans="1:22" x14ac:dyDescent="0.2">
      <c r="A1495" t="str">
        <f>VLOOKUP(J1495,'dataset mapping'!$A$4:$E$69,2,0)</f>
        <v>fuel cell production, stack solid oxide, 125kW electrical, future</v>
      </c>
      <c r="B1495" s="52">
        <f>(1/(B1484*B1488*B1487*3.6))*B1489</f>
        <v>6.8189834941278219E-9</v>
      </c>
      <c r="C1495" t="str">
        <f>VLOOKUP(J1495,'dataset mapping'!$A$4:$E$69,5,0)</f>
        <v>unit</v>
      </c>
      <c r="E1495" t="str">
        <f>VLOOKUP(J1495,'dataset mapping'!$A$4:$E$69,4,0)</f>
        <v>CH</v>
      </c>
      <c r="F1495" t="s">
        <v>86</v>
      </c>
      <c r="G1495" t="str">
        <f>VLOOKUP(J1495,'dataset mapping'!$A$4:$E$69,3,0)</f>
        <v>fuel cell, stack solid oxide, 125kW electrical, future</v>
      </c>
      <c r="H1495" t="s">
        <v>88</v>
      </c>
      <c r="I1495" t="s">
        <v>277</v>
      </c>
      <c r="J1495" t="s">
        <v>274</v>
      </c>
      <c r="K1495" t="str">
        <f>B1455</f>
        <v>heat, residential, by conversion of hydrogen using fuel cell, SOFC, allocated by exergy, transported by pipeline, produced by Electrolysis, SOEC using water and electricity from grid</v>
      </c>
      <c r="L1495">
        <f>IF(OR(B1495&lt;0,B1495=0),1,2)</f>
        <v>2</v>
      </c>
      <c r="M1495">
        <f>IF(L1495=2,LN(B1495),"")</f>
        <v>-18.80355542398161</v>
      </c>
      <c r="N1495">
        <v>1</v>
      </c>
      <c r="O1495" s="15">
        <v>1.2</v>
      </c>
      <c r="P1495">
        <v>1</v>
      </c>
      <c r="Q1495">
        <v>1.01</v>
      </c>
      <c r="R1495">
        <v>1.2</v>
      </c>
      <c r="S1495">
        <v>1.2</v>
      </c>
      <c r="T1495">
        <v>3</v>
      </c>
      <c r="U1495">
        <f>LN(SQRT(EXP(
SQRT(
+POWER(LN(N1495),2)
+POWER(LN(O1495),2)
+POWER(LN(P1495),2)
+POWER(LN(Q1495),2)
+POWER(LN(R1495),2)
+POWER(LN(S1495),2)
+POWER(LN(T1495),2)
)
)))</f>
        <v>0.57157051623399524</v>
      </c>
    </row>
    <row r="1496" spans="1:22" x14ac:dyDescent="0.2">
      <c r="A1496" t="s">
        <v>283</v>
      </c>
      <c r="B1496" s="52">
        <f>(1/(B1484*B1488*B1487*3.6))*B1489</f>
        <v>6.8189834941278219E-9</v>
      </c>
      <c r="C1496" t="s">
        <v>55</v>
      </c>
      <c r="E1496" t="s">
        <v>64</v>
      </c>
      <c r="F1496" t="s">
        <v>86</v>
      </c>
      <c r="G1496" t="s">
        <v>284</v>
      </c>
      <c r="H1496" t="s">
        <v>88</v>
      </c>
      <c r="I1496" t="s">
        <v>277</v>
      </c>
      <c r="K1496" t="str">
        <f>B1455</f>
        <v>heat, residential, by conversion of hydrogen using fuel cell, SOFC, allocated by exergy, transported by pipeline, produced by Electrolysis, SOEC using water and electricity from grid</v>
      </c>
      <c r="L1496">
        <f>IF(OR(B1496&lt;0,B1496=0),1,2)</f>
        <v>2</v>
      </c>
      <c r="M1496">
        <f>IF(L1496=2,LN(B1496),"")</f>
        <v>-18.80355542398161</v>
      </c>
      <c r="N1496">
        <v>1</v>
      </c>
      <c r="O1496" s="15">
        <v>1.2</v>
      </c>
      <c r="P1496">
        <v>1</v>
      </c>
      <c r="Q1496">
        <v>1.01</v>
      </c>
      <c r="R1496">
        <v>1.2</v>
      </c>
      <c r="S1496">
        <v>1.2</v>
      </c>
      <c r="T1496">
        <v>3</v>
      </c>
      <c r="U1496">
        <f>LN(SQRT(EXP(
SQRT(
+POWER(LN(N1496),2)
+POWER(LN(O1496),2)
+POWER(LN(P1496),2)
+POWER(LN(Q1496),2)
+POWER(LN(R1496),2)
+POWER(LN(S1496),2)
+POWER(LN(T1496),2)
)
)))</f>
        <v>0.57157051623399524</v>
      </c>
    </row>
    <row r="1497" spans="1:22" x14ac:dyDescent="0.2">
      <c r="A1497" t="s">
        <v>288</v>
      </c>
      <c r="B1497" s="52">
        <f>0.000024*B1489</f>
        <v>3.2610015624957834E-6</v>
      </c>
      <c r="C1497" t="s">
        <v>56</v>
      </c>
      <c r="E1497" t="s">
        <v>64</v>
      </c>
      <c r="F1497" t="s">
        <v>86</v>
      </c>
      <c r="G1497" t="s">
        <v>287</v>
      </c>
      <c r="H1497" t="s">
        <v>88</v>
      </c>
      <c r="K1497" t="str">
        <f>B1455</f>
        <v>heat, residential, by conversion of hydrogen using fuel cell, SOFC, allocated by exergy, transported by pipeline, produced by Electrolysis, SOEC using water and electricity from grid</v>
      </c>
      <c r="L1497">
        <f>IF(OR(B1497&lt;0,B1497=0),1,2)</f>
        <v>2</v>
      </c>
      <c r="M1497">
        <f>IF(L1497=2,LN(B1497),"")</f>
        <v>-12.633476182011</v>
      </c>
      <c r="N1497">
        <v>1</v>
      </c>
      <c r="O1497" s="15">
        <v>1.2</v>
      </c>
      <c r="P1497">
        <v>1</v>
      </c>
      <c r="Q1497">
        <v>1.01</v>
      </c>
      <c r="R1497">
        <v>1.2</v>
      </c>
      <c r="S1497">
        <v>1.2</v>
      </c>
      <c r="T1497">
        <v>1.05</v>
      </c>
      <c r="U1497">
        <f>LN(SQRT(EXP(
SQRT(
+POWER(LN(N1497),2)
+POWER(LN(O1497),2)
+POWER(LN(P1497),2)
+POWER(LN(Q1497),2)
+POWER(LN(R1497),2)
+POWER(LN(S1497),2)
+POWER(LN(T1497),2)
)
)))</f>
        <v>0.15984597228197622</v>
      </c>
    </row>
    <row r="1498" spans="1:22" x14ac:dyDescent="0.2">
      <c r="A1498" s="45" t="str">
        <f>"hydrogen supply, transported by "&amp;B1469&amp;", produced by "&amp;B1473&amp;" using "&amp;B1474&amp;" from "&amp;B1475</f>
        <v>hydrogen supply, transported by pipeline, produced by Electrolysis, SOEC using water and electricity from grid</v>
      </c>
      <c r="B1498" s="53">
        <f>(B1494/B1478)/B1477*B1489</f>
        <v>2.1364003947168392E-3</v>
      </c>
      <c r="C1498" t="str">
        <f>VLOOKUP(J1498,'dataset mapping'!$A$4:$E$69,5,0)</f>
        <v>kilogram</v>
      </c>
      <c r="E1498" t="str">
        <f>VLOOKUP(J1498,'dataset mapping'!$A$4:$E$69,4,0)</f>
        <v>CH</v>
      </c>
      <c r="F1498" t="s">
        <v>86</v>
      </c>
      <c r="G1498" t="str">
        <f>"hydrogen, gaseous, from "&amp;B1469</f>
        <v>hydrogen, gaseous, from pipeline</v>
      </c>
      <c r="H1498" t="s">
        <v>76</v>
      </c>
      <c r="I1498" t="s">
        <v>1054</v>
      </c>
      <c r="J1498" t="s">
        <v>282</v>
      </c>
      <c r="K1498" t="str">
        <f>B1455</f>
        <v>heat, residential, by conversion of hydrogen using fuel cell, SOFC, allocated by exergy, transported by pipeline, produced by Electrolysis, SOEC using water and electricity from grid</v>
      </c>
      <c r="L1498">
        <f>IF(OR(B1498&lt;0,B1498=0),1,2)</f>
        <v>2</v>
      </c>
      <c r="M1498">
        <f>IF(L1498=2,LN(B1498),"")</f>
        <v>-6.1486329247407472</v>
      </c>
      <c r="N1498">
        <v>1</v>
      </c>
      <c r="O1498" s="15">
        <v>1.2</v>
      </c>
      <c r="P1498">
        <v>1</v>
      </c>
      <c r="Q1498">
        <v>1.01</v>
      </c>
      <c r="R1498">
        <v>1.2</v>
      </c>
      <c r="S1498">
        <v>1.2</v>
      </c>
      <c r="T1498">
        <v>1.05</v>
      </c>
      <c r="U1498">
        <f>LN(SQRT(EXP(
SQRT(
+POWER(LN(N1498),2)
+POWER(LN(O1498),2)
+POWER(LN(P1498),2)
+POWER(LN(Q1498),2)
+POWER(LN(R1498),2)
+POWER(LN(S1498),2)
+POWER(LN(T1498),2)
)
)))</f>
        <v>0.15984597228197622</v>
      </c>
    </row>
    <row r="1499" spans="1:22" x14ac:dyDescent="0.2">
      <c r="A1499" t="s">
        <v>134</v>
      </c>
      <c r="B1499" s="45">
        <f>B1498*9</f>
        <v>1.9227603552451553E-2</v>
      </c>
      <c r="C1499" t="s">
        <v>56</v>
      </c>
      <c r="D1499" t="s">
        <v>100</v>
      </c>
      <c r="F1499" t="s">
        <v>99</v>
      </c>
      <c r="H1499" t="s">
        <v>131</v>
      </c>
      <c r="I1499" t="s">
        <v>1057</v>
      </c>
      <c r="K1499" t="str">
        <f>B1455</f>
        <v>heat, residential, by conversion of hydrogen using fuel cell, SOFC, allocated by exergy, transported by pipeline, produced by Electrolysis, SOEC using water and electricity from grid</v>
      </c>
      <c r="L1499">
        <f>IF(OR(B1499&lt;0,B1499=0),1,2)</f>
        <v>2</v>
      </c>
      <c r="M1499">
        <f>IF(L1499=2,LN(B1499),"")</f>
        <v>-3.9514083474045276</v>
      </c>
      <c r="N1499">
        <v>1</v>
      </c>
      <c r="O1499" s="15">
        <v>1.2</v>
      </c>
      <c r="P1499">
        <v>1</v>
      </c>
      <c r="Q1499">
        <v>1.01</v>
      </c>
      <c r="R1499">
        <v>1.2</v>
      </c>
      <c r="S1499">
        <v>1.2</v>
      </c>
      <c r="T1499">
        <v>1.05</v>
      </c>
      <c r="U1499">
        <f>LN(SQRT(EXP(
SQRT(
+POWER(LN(N1499),2)
+POWER(LN(O1499),2)
+POWER(LN(P1499),2)
+POWER(LN(Q1499),2)
+POWER(LN(R1499),2)
+POWER(LN(S1499),2)
+POWER(LN(T1499),2)
)
)))</f>
        <v>0.15984597228197622</v>
      </c>
    </row>
    <row r="1501" spans="1:22" x14ac:dyDescent="0.2">
      <c r="A1501" s="2" t="s">
        <v>50</v>
      </c>
      <c r="B1501" s="44" t="str">
        <f>IF(B1507="megajoule","heat","electricity")&amp;", residential, by "&amp;B1512&amp;" of "&amp;B1511&amp;" using "&amp;B1513&amp;IF(B1514&lt;&gt;0,", allocated by "&amp;B1514,"")&amp;", transported by "&amp;B1515&amp;", produced by "&amp;B1519&amp;" using "&amp;B1520&amp;" from "&amp;B1521</f>
        <v>electricity, residential, by combustion of hydrogen using CHP, allocated by exergy, transported by pipeline, produced by Electrolysis, SOEC using water and electricity from grid</v>
      </c>
    </row>
    <row r="1502" spans="1:22" x14ac:dyDescent="0.2">
      <c r="A1502" t="s">
        <v>51</v>
      </c>
      <c r="B1502" s="45" t="str">
        <f>"This dataset represents the supply of 1 "&amp;IF(B1507="megajoule","megajoule of heat","kilowatt hour of electricity")&amp;" in a residence, by "&amp;B1511&amp;" "&amp;B1512&amp;" in a "&amp;B1513&amp;". "&amp;" The hydrogen is transported by "&amp;B1515&amp;" over "&amp;B1516&amp;" km from regional storage. "&amp;" The "&amp;B1511&amp;" is produced by  "&amp;B1519&amp;", with "&amp;B1520&amp;" from "&amp;B1521&amp;" as feedstock. "&amp;A1523&amp;": "&amp;(B1523*100)&amp;"%. "&amp;A1524&amp;": "&amp;B1524&amp;". "&amp;A1525&amp;": "&amp;B1525&amp;". "&amp;A1526&amp;": "&amp;(B1526*100)&amp;"%. "&amp;A1527&amp;": "&amp;(B1527*100)&amp;"%. "&amp;A1528&amp;": "&amp;(B1528*100)&amp;"%. "&amp;A1529&amp;": "&amp;B1529&amp;". "&amp;A1530&amp;": "&amp;B1530&amp;". "&amp;A1531&amp;": "&amp;(B1531*100)&amp;"%. "&amp;A1532&amp;": "&amp;B1532&amp;". "&amp;A1533&amp;": "&amp;B1533&amp;". "&amp;A1534&amp;": "&amp;B1534&amp;". "&amp;A1535&amp;": "&amp;B1535&amp;".  For more information, refer to: "&amp;B1503</f>
        <v>This dataset represents the supply of 1 kilowatt hour of electricity in a residence, by hydrogen combustion in a CHP.  The hydrogen is transported by pipeline over 500 km from regional storage.  The hydrogen is produced by  Electrolysis, SOEC,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1503" spans="1:22" x14ac:dyDescent="0.2">
      <c r="A1503" t="s">
        <v>63</v>
      </c>
      <c r="B1503" s="45" t="s">
        <v>1223</v>
      </c>
    </row>
    <row r="1504" spans="1:22" x14ac:dyDescent="0.2">
      <c r="A1504" t="s">
        <v>52</v>
      </c>
      <c r="B1504" s="45" t="s">
        <v>64</v>
      </c>
    </row>
    <row r="1505" spans="1:2" x14ac:dyDescent="0.2">
      <c r="A1505" t="s">
        <v>48</v>
      </c>
      <c r="B1505" s="45" t="s">
        <v>877</v>
      </c>
    </row>
    <row r="1506" spans="1:2" x14ac:dyDescent="0.2">
      <c r="A1506" t="s">
        <v>54</v>
      </c>
      <c r="B1506" s="45" t="str">
        <f>INDEX(overview!$B$4:$R$338,MATCH('hydrogen - electrolysis'!B1505,overview!$A$4:$A$338,0),MATCH('hydrogen - electrolysis'!A1506,overview!$B$3:$R$3,0))</f>
        <v>electricity, from residential heating system</v>
      </c>
    </row>
    <row r="1507" spans="1:2" x14ac:dyDescent="0.2">
      <c r="A1507" t="s">
        <v>55</v>
      </c>
      <c r="B1507" s="45" t="str">
        <f>INDEX(overview!$B$4:$R$338,MATCH('hydrogen - electrolysis'!B1505,overview!$A$4:$A$338,0),MATCH('hydrogen - electrolysis'!A1507,overview!$B$3:$R$3,0))</f>
        <v>kilowatt hour</v>
      </c>
    </row>
    <row r="1508" spans="1:2" x14ac:dyDescent="0.2">
      <c r="A1508" t="s">
        <v>0</v>
      </c>
      <c r="B1508" s="45" t="str">
        <f>INDEX(overview!$B$4:$R$338,MATCH('hydrogen - electrolysis'!B1505,overview!$A$4:$A$338,0),MATCH('hydrogen - electrolysis'!A1508,overview!$B$3:$R$3,0))</f>
        <v>Switzerland</v>
      </c>
    </row>
    <row r="1509" spans="1:2" x14ac:dyDescent="0.2">
      <c r="A1509" t="s">
        <v>1</v>
      </c>
      <c r="B1509" s="45">
        <f>INDEX(overview!$B$4:$R$338,MATCH('hydrogen - electrolysis'!B1505,overview!$A$4:$A$338,0),MATCH('hydrogen - electrolysis'!A1509,overview!$B$3:$R$3,0))</f>
        <v>2020</v>
      </c>
    </row>
    <row r="1510" spans="1:2" x14ac:dyDescent="0.2">
      <c r="A1510" t="s">
        <v>2</v>
      </c>
      <c r="B1510" s="45" t="str">
        <f>INDEX(overview!$B$4:$R$338,MATCH('hydrogen - electrolysis'!B1505,overview!$A$4:$A$338,0),MATCH('hydrogen - electrolysis'!A1510,overview!$B$3:$R$3,0))</f>
        <v>1 kWh electricity</v>
      </c>
    </row>
    <row r="1511" spans="1:2" x14ac:dyDescent="0.2">
      <c r="A1511" t="s">
        <v>5</v>
      </c>
      <c r="B1511" s="45" t="str">
        <f>INDEX(overview!$B$4:$R$338,MATCH('hydrogen - electrolysis'!B1505,overview!$A$4:$A$338,0),MATCH('hydrogen - electrolysis'!A1511,overview!$B$3:$R$3,0))</f>
        <v>hydrogen</v>
      </c>
    </row>
    <row r="1512" spans="1:2" x14ac:dyDescent="0.2">
      <c r="A1512" t="s">
        <v>3</v>
      </c>
      <c r="B1512" s="45" t="str">
        <f>INDEX(overview!$B$4:$R$338,MATCH('hydrogen - electrolysis'!B1505,overview!$A$4:$A$338,0),MATCH('hydrogen - electrolysis'!A1512,overview!$B$3:$R$3,0))</f>
        <v>combustion</v>
      </c>
    </row>
    <row r="1513" spans="1:2" x14ac:dyDescent="0.2">
      <c r="A1513" t="s">
        <v>6</v>
      </c>
      <c r="B1513" s="45" t="str">
        <f>INDEX(overview!$B$4:$R$338,MATCH('hydrogen - electrolysis'!B1505,overview!$A$4:$A$338,0),MATCH('hydrogen - electrolysis'!A1513,overview!$B$3:$R$3,0))</f>
        <v>CHP</v>
      </c>
    </row>
    <row r="1514" spans="1:2" x14ac:dyDescent="0.2">
      <c r="A1514" t="s">
        <v>39</v>
      </c>
      <c r="B1514" s="45" t="str">
        <f>INDEX(overview!$B$4:$R$338,MATCH('hydrogen - electrolysis'!B1505,overview!$A$4:$A$338,0),MATCH('hydrogen - electrolysis'!A1514,overview!$B$3:$R$3,0))</f>
        <v>exergy</v>
      </c>
    </row>
    <row r="1515" spans="1:2" x14ac:dyDescent="0.2">
      <c r="A1515" t="s">
        <v>4</v>
      </c>
      <c r="B1515" s="45" t="str">
        <f>INDEX(overview!$B$4:$R$338,MATCH('hydrogen - electrolysis'!B1505,overview!$A$4:$A$338,0),MATCH('hydrogen - electrolysis'!A1515,overview!$B$3:$R$3,0))</f>
        <v>pipeline</v>
      </c>
    </row>
    <row r="1516" spans="1:2" x14ac:dyDescent="0.2">
      <c r="A1516" t="s">
        <v>38</v>
      </c>
      <c r="B1516" s="45">
        <f>INDEX(overview!$B$4:$R$338,MATCH('hydrogen - electrolysis'!B1505,overview!$A$4:$A$338,0),MATCH('hydrogen - electrolysis'!A1516,overview!$B$3:$R$3,0))</f>
        <v>500</v>
      </c>
    </row>
    <row r="1517" spans="1:2" x14ac:dyDescent="0.2">
      <c r="A1517" t="s">
        <v>12</v>
      </c>
      <c r="B1517" s="45" t="str">
        <f>INDEX(overview!$B$4:$R$338,MATCH('hydrogen - electrolysis'!B1505,overview!$A$4:$A$338,0),MATCH('hydrogen - electrolysis'!A1517,overview!$B$3:$R$3,0))</f>
        <v>Pressure vessel for stationary storage</v>
      </c>
    </row>
    <row r="1518" spans="1:2" x14ac:dyDescent="0.2">
      <c r="A1518" t="s">
        <v>34</v>
      </c>
      <c r="B1518" s="45">
        <f>INDEX(overview!$B$4:$R$338,MATCH('hydrogen - electrolysis'!B1505,overview!$A$4:$A$338,0),MATCH('hydrogen - electrolysis'!A1518,overview!$B$3:$R$3,0))</f>
        <v>0</v>
      </c>
    </row>
    <row r="1519" spans="1:2" x14ac:dyDescent="0.2">
      <c r="A1519" t="s">
        <v>15</v>
      </c>
      <c r="B1519" s="45" t="str">
        <f>INDEX(overview!$B$4:$R$338,MATCH('hydrogen - electrolysis'!B1505,overview!$A$4:$A$338,0),MATCH('hydrogen - electrolysis'!A1519,overview!$B$3:$R$3,0))</f>
        <v>Electrolysis, SOEC</v>
      </c>
    </row>
    <row r="1520" spans="1:2" x14ac:dyDescent="0.2">
      <c r="A1520" t="s">
        <v>14</v>
      </c>
      <c r="B1520" s="45" t="str">
        <f>INDEX(overview!$B$4:$R$338,MATCH('hydrogen - electrolysis'!B1505,overview!$A$4:$A$338,0),MATCH('hydrogen - electrolysis'!A1520,overview!$B$3:$R$3,0))</f>
        <v>water and electricity</v>
      </c>
    </row>
    <row r="1521" spans="1:2" x14ac:dyDescent="0.2">
      <c r="A1521" t="s">
        <v>26</v>
      </c>
      <c r="B1521" s="45" t="str">
        <f>INDEX(overview!$B$4:$R$338,MATCH('hydrogen - electrolysis'!B1505,overview!$A$4:$A$338,0),MATCH('hydrogen - electrolysis'!A1521,overview!$B$3:$R$3,0))</f>
        <v>grid</v>
      </c>
    </row>
    <row r="1522" spans="1:2" x14ac:dyDescent="0.2">
      <c r="A1522" t="s">
        <v>29</v>
      </c>
      <c r="B1522" s="45">
        <f>INDEX(overview!$B$4:$R$338,MATCH('hydrogen - electrolysis'!B1505,overview!$A$4:$A$338,0),MATCH('hydrogen - electrolysis'!A1522,overview!$B$3:$R$3,0))</f>
        <v>0</v>
      </c>
    </row>
    <row r="1523" spans="1:2" x14ac:dyDescent="0.2">
      <c r="A1523" t="str">
        <f>IF(B1507="megajoule","Heat","Electricity")&amp;" conversion efficiency [% LHV input]"</f>
        <v>Electricity conversion efficiency [% LHV input]</v>
      </c>
      <c r="B1523" s="46">
        <f>INDEX(parameters!$D$4:$N$20,MATCH('hydrogen - electrolysis'!B1511&amp;'hydrogen - electrolysis'!B1513,parameters!$A$4:$A$20,0),MATCH('hydrogen - electrolysis'!A1523,parameters!$D$3:$N$3,0))</f>
        <v>0.39400000000000002</v>
      </c>
    </row>
    <row r="1524" spans="1:2" x14ac:dyDescent="0.2">
      <c r="A1524" t="str">
        <f>IF(B1507="megajoule","LHV [MJ/kg]","LHV [kWh/kg]")</f>
        <v>LHV [kWh/kg]</v>
      </c>
      <c r="B1524" s="47">
        <f>INDEX(parameters!$D$4:$N$20,MATCH('hydrogen - electrolysis'!B1511&amp;'hydrogen - electrolysis'!B1513,parameters!$A$4:$A$20,0),MATCH('hydrogen - electrolysis'!A1524,parameters!$D$3:$N$3,0))</f>
        <v>33.333333333333336</v>
      </c>
    </row>
    <row r="1525" spans="1:2" x14ac:dyDescent="0.2">
      <c r="A1525" t="s">
        <v>41</v>
      </c>
      <c r="B1525" s="48">
        <f>INDEX(parameters!$D$4:$N$20,MATCH('hydrogen - electrolysis'!B1511&amp;'hydrogen - electrolysis'!B1513,parameters!$A$4:$A$20,0),MATCH('hydrogen - electrolysis'!A1525,parameters!$D$3:$N$3,0))</f>
        <v>2.6666666666666665E-2</v>
      </c>
    </row>
    <row r="1526" spans="1:2" x14ac:dyDescent="0.2">
      <c r="A1526" t="s">
        <v>45</v>
      </c>
      <c r="B1526" s="46">
        <f>INDEX(parameters!$D$4:$N$20,MATCH('hydrogen - electrolysis'!B1511&amp;'hydrogen - electrolysis'!B1513,parameters!$A$4:$A$20,0),MATCH('hydrogen - electrolysis'!A1526,parameters!$D$3:$N$3,0))</f>
        <v>0</v>
      </c>
    </row>
    <row r="1527" spans="1:2" x14ac:dyDescent="0.2">
      <c r="A1527" t="s">
        <v>46</v>
      </c>
      <c r="B1527" s="46">
        <f>INDEX(parameters!$D$4:$N$20,MATCH('hydrogen - electrolysis'!B1511&amp;'hydrogen - electrolysis'!B1513,parameters!$A$4:$A$20,0),MATCH('hydrogen - electrolysis'!A1527,parameters!$D$3:$N$3,0))</f>
        <v>1.4999999999999999E-2</v>
      </c>
    </row>
    <row r="1528" spans="1:2" x14ac:dyDescent="0.2">
      <c r="A1528" t="s">
        <v>43</v>
      </c>
      <c r="B1528" s="46">
        <f>INDEX(parameters!$D$4:$N$20,MATCH('hydrogen - electrolysis'!B1511&amp;'hydrogen - electrolysis'!B1513,parameters!$A$4:$A$20,0),MATCH('hydrogen - electrolysis'!A1528,parameters!$D$3:$N$3,0))</f>
        <v>0</v>
      </c>
    </row>
    <row r="1529" spans="1:2" x14ac:dyDescent="0.2">
      <c r="A1529" t="s">
        <v>44</v>
      </c>
      <c r="B1529" s="46">
        <f>INDEX(parameters!$D$4:$N$20,MATCH('hydrogen - electrolysis'!B1511&amp;'hydrogen - electrolysis'!B1513,parameters!$A$4:$A$20,0),MATCH('hydrogen - electrolysis'!A1529,parameters!$D$3:$N$3,0))</f>
        <v>0</v>
      </c>
    </row>
    <row r="1530" spans="1:2" x14ac:dyDescent="0.2">
      <c r="A1530" t="s">
        <v>634</v>
      </c>
      <c r="B1530" s="51">
        <f>INDEX(parameters!$D$4:$Y$20,MATCH('hydrogen - electrolysis'!B1511&amp;'hydrogen - electrolysis'!B1513,parameters!$A$4:$A$20,0),MATCH('hydrogen - electrolysis'!A1530,parameters!$D$3:$Y$3,0))</f>
        <v>351.41800246609125</v>
      </c>
    </row>
    <row r="1531" spans="1:2" x14ac:dyDescent="0.2">
      <c r="A1531" t="s">
        <v>82</v>
      </c>
      <c r="B1531" s="46">
        <f>IF(B1522&lt;&gt;0,VLOOKUP(B1522,parameters!A1074:B1076,2,0),0)</f>
        <v>0</v>
      </c>
    </row>
    <row r="1532" spans="1:2" x14ac:dyDescent="0.2">
      <c r="A1532" t="s">
        <v>548</v>
      </c>
      <c r="B1532" s="50">
        <f>INDEX(parameters!$D$4:$P$20,MATCH(B1511&amp;B1513,parameters!$A$4:$A$20,0),MATCH(A1532,parameters!$D$3:$P$3,0))</f>
        <v>125</v>
      </c>
    </row>
    <row r="1533" spans="1:2" x14ac:dyDescent="0.2">
      <c r="A1533" t="s">
        <v>547</v>
      </c>
      <c r="B1533" s="51">
        <f>INDEX(parameters!$D$4:$P$20,MATCH(B1511&amp;B1513,parameters!$A$4:$A$20,0),MATCH(A1533,parameters!$D$3:$P$3,0))</f>
        <v>19.512195121951219</v>
      </c>
    </row>
    <row r="1534" spans="1:2" x14ac:dyDescent="0.2">
      <c r="A1534" t="s">
        <v>630</v>
      </c>
      <c r="B1534" s="51">
        <f>INDEX(parameters!$D$4:$T$20,MATCH(B1511&amp;B1513,parameters!$A$4:$A$20,0),MATCH(A1534,parameters!$D$3:$T$3,0))</f>
        <v>4100</v>
      </c>
    </row>
    <row r="1535" spans="1:2" x14ac:dyDescent="0.2">
      <c r="A1535" t="s">
        <v>1005</v>
      </c>
      <c r="B1535" s="50">
        <f>IF(B1507="megajoule",SUMIFS(allocation!$I$4:$I$30,allocation!$B$4:$B$30,B1513,allocation!$C$4:$C$30,B1514),SUMIFS(allocation!$J$4:$J$30,allocation!$B$4:$B$30,B1513,allocation!$C$4:$C$30,B1514))</f>
        <v>0.87139957772704957</v>
      </c>
    </row>
    <row r="1536" spans="1:2" x14ac:dyDescent="0.2">
      <c r="A1536" t="s">
        <v>1050</v>
      </c>
      <c r="B1536" s="51">
        <f>INDEX(parameters!$D$4:$AB$20,MATCH(B1511&amp;B1513,parameters!$A$4:$A$20,0),MATCH(A1536,parameters!$D$3:$AB$3,0))</f>
        <v>2220.7364520822662</v>
      </c>
    </row>
    <row r="1538" spans="1:22" x14ac:dyDescent="0.2">
      <c r="A1538" s="3" t="s">
        <v>57</v>
      </c>
    </row>
    <row r="1539" spans="1:22" x14ac:dyDescent="0.2">
      <c r="A1539" s="2" t="s">
        <v>58</v>
      </c>
      <c r="B1539" s="44" t="s">
        <v>59</v>
      </c>
      <c r="C1539" s="2" t="s">
        <v>55</v>
      </c>
      <c r="D1539" s="2" t="s">
        <v>60</v>
      </c>
      <c r="E1539" s="2" t="s">
        <v>52</v>
      </c>
      <c r="F1539" s="2" t="s">
        <v>61</v>
      </c>
      <c r="G1539" s="2" t="s">
        <v>54</v>
      </c>
      <c r="H1539" s="2" t="s">
        <v>87</v>
      </c>
      <c r="I1539" s="2" t="s">
        <v>51</v>
      </c>
      <c r="J1539" s="2" t="s">
        <v>138</v>
      </c>
      <c r="K1539" s="2" t="s">
        <v>136</v>
      </c>
      <c r="L1539" s="2" t="s">
        <v>221</v>
      </c>
      <c r="M1539" s="2" t="s">
        <v>379</v>
      </c>
      <c r="N1539" s="2" t="s">
        <v>1059</v>
      </c>
      <c r="O1539" s="2" t="s">
        <v>1060</v>
      </c>
      <c r="P1539" s="2" t="s">
        <v>1061</v>
      </c>
      <c r="Q1539" s="2" t="s">
        <v>1062</v>
      </c>
      <c r="R1539" s="2" t="s">
        <v>1063</v>
      </c>
      <c r="S1539" s="2" t="s">
        <v>1064</v>
      </c>
      <c r="T1539" s="2" t="s">
        <v>1065</v>
      </c>
      <c r="U1539" s="2" t="s">
        <v>380</v>
      </c>
      <c r="V1539" s="2" t="s">
        <v>1128</v>
      </c>
    </row>
    <row r="1540" spans="1:22" x14ac:dyDescent="0.2">
      <c r="A1540" t="str">
        <f>B1501</f>
        <v>electricity, residential, by combustion of hydrogen using CHP, allocated by exergy, transported by pipeline, produced by Electrolysis, SOEC using water and electricity from grid</v>
      </c>
      <c r="B1540" s="45">
        <v>1</v>
      </c>
      <c r="C1540" t="str">
        <f>B1507</f>
        <v>kilowatt hour</v>
      </c>
      <c r="E1540" t="str">
        <f>B1504</f>
        <v>CH</v>
      </c>
      <c r="F1540" t="s">
        <v>62</v>
      </c>
      <c r="G1540" t="str">
        <f>B1506</f>
        <v>electricity, from residential heating system</v>
      </c>
      <c r="K1540" t="str">
        <f>B1501</f>
        <v>electricity, residential, by combustion of hydrogen using CHP, allocated by exergy, transported by pipeline, produced by Electrolysis, SOEC using water and electricity from grid</v>
      </c>
    </row>
    <row r="1541" spans="1:22" x14ac:dyDescent="0.2">
      <c r="A1541" t="str">
        <f>VLOOKUP(J1541,'dataset mapping'!$A$4:$E$69,2,0)</f>
        <v>heat and power co-generation unit construction, 160kW electrical, common components for heat+electricity</v>
      </c>
      <c r="B1541" s="52">
        <f>(1/(B1530*B1534*B1533))*B1535</f>
        <v>3.0995835856870056E-8</v>
      </c>
      <c r="C1541" t="str">
        <f>VLOOKUP(J1541,'dataset mapping'!$A$4:$E$69,5,0)</f>
        <v>unit</v>
      </c>
      <c r="E1541" t="str">
        <f>VLOOKUP(J1541,'dataset mapping'!$A$4:$E$69,4,0)</f>
        <v>RER</v>
      </c>
      <c r="F1541" t="s">
        <v>86</v>
      </c>
      <c r="G1541" t="str">
        <f>VLOOKUP(J1541,'dataset mapping'!$A$4:$E$69,3,0)</f>
        <v>heat and power co-generation unit, 160kW electrical, common components for heat+electricity</v>
      </c>
      <c r="H1541" t="s">
        <v>88</v>
      </c>
      <c r="J1541" t="s">
        <v>145</v>
      </c>
      <c r="K1541" t="str">
        <f>B1501</f>
        <v>electricity, residential, by combustion of hydrogen using CHP, allocated by exergy, transported by pipeline, produced by Electrolysis, SOEC using water and electricity from grid</v>
      </c>
      <c r="L1541">
        <f>IF(OR(B1541&lt;0,B1541=0),1,2)</f>
        <v>2</v>
      </c>
      <c r="M1541">
        <f>IF(L1541=2,LN(B1541),"")</f>
        <v>-17.28941296868171</v>
      </c>
      <c r="N1541">
        <v>1.05</v>
      </c>
      <c r="O1541" s="15">
        <v>1.2</v>
      </c>
      <c r="P1541">
        <v>1</v>
      </c>
      <c r="Q1541">
        <v>1.01</v>
      </c>
      <c r="R1541">
        <v>1.2</v>
      </c>
      <c r="S1541">
        <v>1.2</v>
      </c>
      <c r="T1541">
        <v>3</v>
      </c>
      <c r="U1541">
        <f t="shared" ref="U1541:U1548" si="52">LN(SQRT(EXP(
SQRT(
+POWER(LN(N1541),2)
+POWER(LN(O1541),2)
+POWER(LN(P1541),2)
+POWER(LN(Q1541),2)
+POWER(LN(R1541),2)
+POWER(LN(S1541),2)
+POWER(LN(T1541),2)
)
)))</f>
        <v>0.57209088006881903</v>
      </c>
    </row>
    <row r="1542" spans="1:22" x14ac:dyDescent="0.2">
      <c r="A1542" t="str">
        <f>VLOOKUP(J1542,'dataset mapping'!$A$4:$E$69,2,0)</f>
        <v>heat and power co-generation unit construction, 160kW electrical, components for electricity only</v>
      </c>
      <c r="B1542" s="52">
        <f>(1/(B1530*B1534*B1533))*B1535</f>
        <v>3.0995835856870056E-8</v>
      </c>
      <c r="C1542" t="str">
        <f>VLOOKUP(J1542,'dataset mapping'!$A$4:$E$69,5,0)</f>
        <v>unit</v>
      </c>
      <c r="E1542" t="str">
        <f>VLOOKUP(J1542,'dataset mapping'!$A$4:$E$69,4,0)</f>
        <v>RER</v>
      </c>
      <c r="F1542" t="s">
        <v>86</v>
      </c>
      <c r="G1542" t="str">
        <f>VLOOKUP(J1542,'dataset mapping'!$A$4:$E$69,3,0)</f>
        <v>heat and power co-generation unit, 160kW electrical, components for electricity only</v>
      </c>
      <c r="H1542" t="s">
        <v>88</v>
      </c>
      <c r="J1542" t="s">
        <v>146</v>
      </c>
      <c r="K1542" t="str">
        <f>B1501</f>
        <v>electricity, residential, by combustion of hydrogen using CHP, allocated by exergy, transported by pipeline, produced by Electrolysis, SOEC using water and electricity from grid</v>
      </c>
      <c r="L1542">
        <f>IF(OR(B1542&lt;0,B1542=0),1,2)</f>
        <v>2</v>
      </c>
      <c r="M1542">
        <f>IF(L1542=2,LN(B1542),"")</f>
        <v>-17.28941296868171</v>
      </c>
      <c r="N1542">
        <v>1.05</v>
      </c>
      <c r="O1542" s="15">
        <v>1.2</v>
      </c>
      <c r="P1542">
        <v>1</v>
      </c>
      <c r="Q1542">
        <v>1.01</v>
      </c>
      <c r="R1542">
        <v>1.2</v>
      </c>
      <c r="S1542">
        <v>1.2</v>
      </c>
      <c r="T1542">
        <v>3</v>
      </c>
      <c r="U1542">
        <f t="shared" si="52"/>
        <v>0.57209088006881903</v>
      </c>
    </row>
    <row r="1543" spans="1:22" x14ac:dyDescent="0.2">
      <c r="A1543" t="str">
        <f>VLOOKUP(J1543,'dataset mapping'!$A$4:$E$69,2,0)</f>
        <v>heat and power co-generation unit construction, 160kW electrical, components for heat only</v>
      </c>
      <c r="B1543" s="52">
        <f>(1/(B1530*B1534*B1533))*B1535</f>
        <v>3.0995835856870056E-8</v>
      </c>
      <c r="C1543" t="str">
        <f>VLOOKUP(J1543,'dataset mapping'!$A$4:$E$69,5,0)</f>
        <v>unit</v>
      </c>
      <c r="E1543" t="str">
        <f>VLOOKUP(J1543,'dataset mapping'!$A$4:$E$69,4,0)</f>
        <v>RER</v>
      </c>
      <c r="F1543" t="s">
        <v>86</v>
      </c>
      <c r="G1543" t="str">
        <f>VLOOKUP(J1543,'dataset mapping'!$A$4:$E$69,3,0)</f>
        <v>heat and power co-generation unit, 160kW electrical, components for heat only</v>
      </c>
      <c r="H1543" t="s">
        <v>88</v>
      </c>
      <c r="J1543" t="s">
        <v>147</v>
      </c>
      <c r="K1543" t="str">
        <f>B1501</f>
        <v>electricity, residential, by combustion of hydrogen using CHP, allocated by exergy, transported by pipeline, produced by Electrolysis, SOEC using water and electricity from grid</v>
      </c>
      <c r="L1543">
        <f>IF(OR(B1543&lt;0,B1543=0),1,2)</f>
        <v>2</v>
      </c>
      <c r="M1543">
        <f>IF(L1543=2,LN(B1543),"")</f>
        <v>-17.28941296868171</v>
      </c>
      <c r="N1543">
        <v>1.05</v>
      </c>
      <c r="O1543" s="15">
        <v>1.2</v>
      </c>
      <c r="P1543">
        <v>1</v>
      </c>
      <c r="Q1543">
        <v>1.01</v>
      </c>
      <c r="R1543">
        <v>1.2</v>
      </c>
      <c r="S1543">
        <v>1.2</v>
      </c>
      <c r="T1543">
        <v>3</v>
      </c>
      <c r="U1543">
        <f t="shared" si="52"/>
        <v>0.57209088006881903</v>
      </c>
    </row>
    <row r="1544" spans="1:22" x14ac:dyDescent="0.2">
      <c r="A1544" t="s">
        <v>156</v>
      </c>
      <c r="B1544" s="52">
        <f>0.00000011366*B1535</f>
        <v>9.9043276004456456E-8</v>
      </c>
      <c r="C1544" t="s">
        <v>56</v>
      </c>
      <c r="E1544" t="s">
        <v>90</v>
      </c>
      <c r="F1544" t="s">
        <v>86</v>
      </c>
      <c r="G1544" t="s">
        <v>154</v>
      </c>
      <c r="H1544" t="s">
        <v>155</v>
      </c>
      <c r="K1544" t="str">
        <f>B1501</f>
        <v>electricity, residential, by combustion of hydrogen using CHP, allocated by exergy, transported by pipeline, produced by Electrolysis, SOEC using water and electricity from grid</v>
      </c>
      <c r="L1544">
        <f>IF(OR(B1544&lt;0,B1544=0),1,2)</f>
        <v>2</v>
      </c>
      <c r="M1544">
        <f>IF(L1544=2,LN(B1544),"")</f>
        <v>-16.127708950967754</v>
      </c>
      <c r="N1544">
        <v>1.05</v>
      </c>
      <c r="O1544" s="15">
        <v>1.2</v>
      </c>
      <c r="P1544">
        <v>1</v>
      </c>
      <c r="Q1544">
        <v>1.01</v>
      </c>
      <c r="R1544">
        <v>1.2</v>
      </c>
      <c r="S1544">
        <v>1.2</v>
      </c>
      <c r="T1544">
        <v>1.05</v>
      </c>
      <c r="U1544">
        <f t="shared" si="52"/>
        <v>0.16169679924070957</v>
      </c>
    </row>
    <row r="1545" spans="1:22" x14ac:dyDescent="0.2">
      <c r="A1545" t="s">
        <v>157</v>
      </c>
      <c r="B1545" s="52">
        <f>0.00000011366*B1535*-1</f>
        <v>-9.9043276004456456E-8</v>
      </c>
      <c r="C1545" t="s">
        <v>56</v>
      </c>
      <c r="E1545" t="s">
        <v>64</v>
      </c>
      <c r="F1545" t="s">
        <v>86</v>
      </c>
      <c r="G1545" t="s">
        <v>158</v>
      </c>
      <c r="H1545" t="s">
        <v>155</v>
      </c>
      <c r="K1545" t="str">
        <f>B1501</f>
        <v>electricity, residential, by combustion of hydrogen using CHP, allocated by exergy, transported by pipeline, produced by Electrolysis, SOEC using water and electricity from grid</v>
      </c>
      <c r="L1545">
        <v>2</v>
      </c>
      <c r="M1545">
        <f>IF(L1545=2,LN(B1545*-1),"")</f>
        <v>-16.127708950967754</v>
      </c>
      <c r="N1545">
        <v>1.05</v>
      </c>
      <c r="O1545" s="15">
        <v>1.2</v>
      </c>
      <c r="P1545">
        <v>1</v>
      </c>
      <c r="Q1545">
        <v>1.01</v>
      </c>
      <c r="R1545">
        <v>1.2</v>
      </c>
      <c r="S1545">
        <v>1.2</v>
      </c>
      <c r="T1545">
        <v>3</v>
      </c>
      <c r="U1545">
        <f t="shared" si="52"/>
        <v>0.57209088006881903</v>
      </c>
      <c r="V1545" t="b">
        <v>1</v>
      </c>
    </row>
    <row r="1546" spans="1:22" x14ac:dyDescent="0.2">
      <c r="A1546" s="45" t="str">
        <f>"hydrogen supply, transported by "&amp;B1515&amp;", produced by "&amp;B1519&amp;" using "&amp;B1520&amp;" from "&amp;B1521</f>
        <v>hydrogen supply, transported by pipeline, produced by Electrolysis, SOEC using water and electricity from grid</v>
      </c>
      <c r="B1546" s="53">
        <f>(B1540/B1524)/B1523*B1535</f>
        <v>6.6350221654343872E-2</v>
      </c>
      <c r="C1546" t="str">
        <f>VLOOKUP(J1546,'dataset mapping'!$A$4:$E$69,5,0)</f>
        <v>kilogram</v>
      </c>
      <c r="E1546" t="str">
        <f>VLOOKUP(J1546,'dataset mapping'!$A$4:$E$69,4,0)</f>
        <v>CH</v>
      </c>
      <c r="F1546" t="s">
        <v>86</v>
      </c>
      <c r="G1546" t="str">
        <f>"hydrogen, gaseous, from "&amp;B161</f>
        <v>hydrogen, gaseous, from pipeline</v>
      </c>
      <c r="H1546" t="s">
        <v>76</v>
      </c>
      <c r="I1546" t="s">
        <v>1054</v>
      </c>
      <c r="J1546" t="s">
        <v>282</v>
      </c>
      <c r="K1546" t="str">
        <f>B1501</f>
        <v>electricity, residential, by combustion of hydrogen using CHP, allocated by exergy, transported by pipeline, produced by Electrolysis, SOEC using water and electricity from grid</v>
      </c>
      <c r="L1546">
        <f>IF(OR(B1546&lt;0,B1546=0),1,2)</f>
        <v>2</v>
      </c>
      <c r="M1546">
        <f>IF(L1546=2,LN(B1546),"")</f>
        <v>-2.7128081775260964</v>
      </c>
      <c r="N1546">
        <v>1.05</v>
      </c>
      <c r="O1546" s="15">
        <v>1.2</v>
      </c>
      <c r="P1546">
        <v>1</v>
      </c>
      <c r="Q1546">
        <v>1.01</v>
      </c>
      <c r="R1546">
        <v>1.2</v>
      </c>
      <c r="S1546">
        <v>1.2</v>
      </c>
      <c r="T1546">
        <v>1.05</v>
      </c>
      <c r="U1546">
        <f t="shared" si="52"/>
        <v>0.16169679924070957</v>
      </c>
    </row>
    <row r="1547" spans="1:22" x14ac:dyDescent="0.2">
      <c r="A1547" t="s">
        <v>134</v>
      </c>
      <c r="B1547" s="45">
        <f>B1546*9</f>
        <v>0.59715199488909487</v>
      </c>
      <c r="C1547" t="s">
        <v>56</v>
      </c>
      <c r="D1547" t="s">
        <v>100</v>
      </c>
      <c r="F1547" t="s">
        <v>99</v>
      </c>
      <c r="H1547" t="s">
        <v>131</v>
      </c>
      <c r="I1547" t="s">
        <v>1058</v>
      </c>
      <c r="K1547" t="str">
        <f>B1501</f>
        <v>electricity, residential, by combustion of hydrogen using CHP, allocated by exergy, transported by pipeline, produced by Electrolysis, SOEC using water and electricity from grid</v>
      </c>
      <c r="L1547">
        <f>IF(OR(B1547&lt;0,B1547=0),1,2)</f>
        <v>2</v>
      </c>
      <c r="M1547">
        <f>IF(L1547=2,LN(B1547),"")</f>
        <v>-0.51558360018987692</v>
      </c>
      <c r="N1547">
        <v>1.05</v>
      </c>
      <c r="O1547" s="15">
        <v>1.2</v>
      </c>
      <c r="P1547">
        <v>1</v>
      </c>
      <c r="Q1547">
        <v>1.01</v>
      </c>
      <c r="R1547">
        <v>1.2</v>
      </c>
      <c r="S1547">
        <v>1.2</v>
      </c>
      <c r="T1547">
        <v>1.05</v>
      </c>
      <c r="U1547">
        <f t="shared" si="52"/>
        <v>0.16169679924070957</v>
      </c>
    </row>
    <row r="1548" spans="1:22" x14ac:dyDescent="0.2">
      <c r="A1548" t="s">
        <v>135</v>
      </c>
      <c r="B1548" s="45">
        <f>912.5/1000000*B1546</f>
        <v>6.0544577259588785E-5</v>
      </c>
      <c r="C1548" t="s">
        <v>56</v>
      </c>
      <c r="D1548" t="s">
        <v>100</v>
      </c>
      <c r="F1548" t="s">
        <v>99</v>
      </c>
      <c r="H1548" t="s">
        <v>131</v>
      </c>
      <c r="I1548" t="s">
        <v>1217</v>
      </c>
      <c r="K1548" t="str">
        <f>B1501</f>
        <v>electricity, residential, by combustion of hydrogen using CHP, allocated by exergy, transported by pipeline, produced by Electrolysis, SOEC using water and electricity from grid</v>
      </c>
      <c r="L1548">
        <f>IF(OR(B1548&lt;0,B1548=0),1,2)</f>
        <v>2</v>
      </c>
      <c r="M1548">
        <f>IF(L1548=2,LN(B1548),"")</f>
        <v>-9.712130650033723</v>
      </c>
      <c r="N1548">
        <v>1.05</v>
      </c>
      <c r="O1548" s="15">
        <v>1.2</v>
      </c>
      <c r="P1548">
        <v>1</v>
      </c>
      <c r="Q1548">
        <v>1.01</v>
      </c>
      <c r="R1548">
        <v>1.2</v>
      </c>
      <c r="S1548">
        <v>1.2</v>
      </c>
      <c r="T1548">
        <v>1.5</v>
      </c>
      <c r="U1548">
        <f t="shared" si="52"/>
        <v>0.25816898211842121</v>
      </c>
    </row>
    <row r="1550" spans="1:22" x14ac:dyDescent="0.2">
      <c r="A1550" s="2" t="s">
        <v>50</v>
      </c>
      <c r="B1550" s="44" t="str">
        <f>IF(B1556="megajoule","heat","electricity")&amp;", residential, by "&amp;B1561&amp;" of "&amp;B1560&amp;" using "&amp;B1562&amp;IF(B1563&lt;&gt;0,", allocated by "&amp;B1563,"")&amp;", transported by "&amp;B1564&amp;", produced by "&amp;B1568&amp;" using "&amp;B1569&amp;" from "&amp;B1570</f>
        <v>electricity, residential, by conversion of hydrogen using fuel cell, PEM, allocated by exergy, transported by pipeline, produced by Electrolysis, SOEC using water and electricity from grid</v>
      </c>
    </row>
    <row r="1551" spans="1:22" x14ac:dyDescent="0.2">
      <c r="A1551" t="s">
        <v>51</v>
      </c>
      <c r="B1551" s="45" t="str">
        <f>"This dataset represents the supply of 1 "&amp;IF(B1556="megajoule","megajoule of heat","kilowatt hour of electricity")&amp;" in a residence, by "&amp;B1560&amp;" "&amp;B1561&amp;" in a "&amp;B1562&amp;". "&amp;" The hydrogen is transported by "&amp;B1564&amp;" over "&amp;B1565&amp;" km from regional storage. "&amp;" The "&amp;B1560&amp;" is produced by  "&amp;B1568&amp;", with "&amp;B1569&amp;" from "&amp;B1570&amp;" as feedstock. "&amp;A1572&amp;": "&amp;(B1572*100)&amp;"%. "&amp;A1573&amp;": "&amp;B1573&amp;". "&amp;A1574&amp;": "&amp;B1574&amp;". "&amp;A1575&amp;": "&amp;(B1575*100)&amp;"%. "&amp;A1576&amp;": "&amp;(B1576*100)&amp;"%. "&amp;A1577&amp;": "&amp;(B1577*100)&amp;"%. "&amp;A1578&amp;": "&amp;B1578&amp;". "&amp;A1579&amp;": "&amp;B1579&amp;". "&amp;A1580&amp;": "&amp;(B1580*100)&amp;"%. "&amp;A1581&amp;": "&amp;B1581&amp;". "&amp;A1582&amp;": "&amp;B1582&amp;". "&amp;A1583&amp;": "&amp;B1583&amp;". "&amp;A1584&amp;": "&amp;B1584&amp;".  For more information, refer to: "&amp;B1552</f>
        <v>This dataset represents the supply of 1 kilowatt hour of electricity in a residence, by hydrogen conversion in a fuel cell, PEM.  The hydrogen is transported by pipeline over 500 km from regional storage.  The hydrogen is produced by  Electrolysis, SOEC,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1552" spans="1:22" x14ac:dyDescent="0.2">
      <c r="A1552" t="s">
        <v>63</v>
      </c>
      <c r="B1552" s="45" t="s">
        <v>1223</v>
      </c>
    </row>
    <row r="1553" spans="1:2" x14ac:dyDescent="0.2">
      <c r="A1553" t="s">
        <v>52</v>
      </c>
      <c r="B1553" s="45" t="s">
        <v>64</v>
      </c>
    </row>
    <row r="1554" spans="1:2" x14ac:dyDescent="0.2">
      <c r="A1554" t="s">
        <v>48</v>
      </c>
      <c r="B1554" s="45" t="s">
        <v>878</v>
      </c>
    </row>
    <row r="1555" spans="1:2" x14ac:dyDescent="0.2">
      <c r="A1555" t="s">
        <v>54</v>
      </c>
      <c r="B1555" s="45" t="str">
        <f>INDEX(overview!$B$4:$R$338,MATCH('hydrogen - electrolysis'!B1554,overview!$A$4:$A$338,0),MATCH('hydrogen - electrolysis'!A1555,overview!$B$3:$R$3,0))</f>
        <v>electricity, from residential heating system</v>
      </c>
    </row>
    <row r="1556" spans="1:2" x14ac:dyDescent="0.2">
      <c r="A1556" t="s">
        <v>55</v>
      </c>
      <c r="B1556" s="45" t="str">
        <f>INDEX(overview!$B$4:$R$338,MATCH('hydrogen - electrolysis'!B1554,overview!$A$4:$A$338,0),MATCH('hydrogen - electrolysis'!A1556,overview!$B$3:$R$3,0))</f>
        <v>kilowatt hour</v>
      </c>
    </row>
    <row r="1557" spans="1:2" x14ac:dyDescent="0.2">
      <c r="A1557" t="s">
        <v>0</v>
      </c>
      <c r="B1557" s="45" t="str">
        <f>INDEX(overview!$B$4:$R$338,MATCH('hydrogen - electrolysis'!B1554,overview!$A$4:$A$338,0),MATCH('hydrogen - electrolysis'!A1557,overview!$B$3:$R$3,0))</f>
        <v>Switzerland</v>
      </c>
    </row>
    <row r="1558" spans="1:2" x14ac:dyDescent="0.2">
      <c r="A1558" t="s">
        <v>1</v>
      </c>
      <c r="B1558" s="45">
        <f>INDEX(overview!$B$4:$R$338,MATCH('hydrogen - electrolysis'!B1554,overview!$A$4:$A$338,0),MATCH('hydrogen - electrolysis'!A1558,overview!$B$3:$R$3,0))</f>
        <v>2020</v>
      </c>
    </row>
    <row r="1559" spans="1:2" x14ac:dyDescent="0.2">
      <c r="A1559" t="s">
        <v>2</v>
      </c>
      <c r="B1559" s="45" t="str">
        <f>INDEX(overview!$B$4:$R$338,MATCH('hydrogen - electrolysis'!B1554,overview!$A$4:$A$338,0),MATCH('hydrogen - electrolysis'!A1559,overview!$B$3:$R$3,0))</f>
        <v>1 kWh electricity</v>
      </c>
    </row>
    <row r="1560" spans="1:2" x14ac:dyDescent="0.2">
      <c r="A1560" t="s">
        <v>5</v>
      </c>
      <c r="B1560" s="45" t="str">
        <f>INDEX(overview!$B$4:$R$338,MATCH('hydrogen - electrolysis'!B1554,overview!$A$4:$A$338,0),MATCH('hydrogen - electrolysis'!A1560,overview!$B$3:$R$3,0))</f>
        <v>hydrogen</v>
      </c>
    </row>
    <row r="1561" spans="1:2" x14ac:dyDescent="0.2">
      <c r="A1561" t="s">
        <v>3</v>
      </c>
      <c r="B1561" s="45" t="str">
        <f>INDEX(overview!$B$4:$R$338,MATCH('hydrogen - electrolysis'!B1554,overview!$A$4:$A$338,0),MATCH('hydrogen - electrolysis'!A1561,overview!$B$3:$R$3,0))</f>
        <v>conversion</v>
      </c>
    </row>
    <row r="1562" spans="1:2" x14ac:dyDescent="0.2">
      <c r="A1562" t="s">
        <v>6</v>
      </c>
      <c r="B1562" s="45" t="str">
        <f>INDEX(overview!$B$4:$R$338,MATCH('hydrogen - electrolysis'!B1554,overview!$A$4:$A$338,0),MATCH('hydrogen - electrolysis'!A1562,overview!$B$3:$R$3,0))</f>
        <v>fuel cell, PEM</v>
      </c>
    </row>
    <row r="1563" spans="1:2" x14ac:dyDescent="0.2">
      <c r="A1563" t="s">
        <v>39</v>
      </c>
      <c r="B1563" s="45" t="str">
        <f>INDEX(overview!$B$4:$R$338,MATCH('hydrogen - electrolysis'!B1554,overview!$A$4:$A$338,0),MATCH('hydrogen - electrolysis'!A1563,overview!$B$3:$R$3,0))</f>
        <v>exergy</v>
      </c>
    </row>
    <row r="1564" spans="1:2" x14ac:dyDescent="0.2">
      <c r="A1564" t="s">
        <v>4</v>
      </c>
      <c r="B1564" s="45" t="str">
        <f>INDEX(overview!$B$4:$R$338,MATCH('hydrogen - electrolysis'!B1554,overview!$A$4:$A$338,0),MATCH('hydrogen - electrolysis'!A1564,overview!$B$3:$R$3,0))</f>
        <v>pipeline</v>
      </c>
    </row>
    <row r="1565" spans="1:2" x14ac:dyDescent="0.2">
      <c r="A1565" t="s">
        <v>38</v>
      </c>
      <c r="B1565" s="45">
        <f>INDEX(overview!$B$4:$R$338,MATCH('hydrogen - electrolysis'!B1554,overview!$A$4:$A$338,0),MATCH('hydrogen - electrolysis'!A1565,overview!$B$3:$R$3,0))</f>
        <v>500</v>
      </c>
    </row>
    <row r="1566" spans="1:2" x14ac:dyDescent="0.2">
      <c r="A1566" t="s">
        <v>12</v>
      </c>
      <c r="B1566" s="45" t="str">
        <f>INDEX(overview!$B$4:$R$338,MATCH('hydrogen - electrolysis'!B1554,overview!$A$4:$A$338,0),MATCH('hydrogen - electrolysis'!A1566,overview!$B$3:$R$3,0))</f>
        <v>Pressure vessel for stationary storage</v>
      </c>
    </row>
    <row r="1567" spans="1:2" x14ac:dyDescent="0.2">
      <c r="A1567" t="s">
        <v>34</v>
      </c>
      <c r="B1567" s="45">
        <f>INDEX(overview!$B$4:$R$338,MATCH('hydrogen - electrolysis'!B1554,overview!$A$4:$A$338,0),MATCH('hydrogen - electrolysis'!A1567,overview!$B$3:$R$3,0))</f>
        <v>0</v>
      </c>
    </row>
    <row r="1568" spans="1:2" x14ac:dyDescent="0.2">
      <c r="A1568" t="s">
        <v>15</v>
      </c>
      <c r="B1568" s="45" t="str">
        <f>INDEX(overview!$B$4:$R$338,MATCH('hydrogen - electrolysis'!B1554,overview!$A$4:$A$338,0),MATCH('hydrogen - electrolysis'!A1568,overview!$B$3:$R$3,0))</f>
        <v>Electrolysis, SOEC</v>
      </c>
    </row>
    <row r="1569" spans="1:2" x14ac:dyDescent="0.2">
      <c r="A1569" t="s">
        <v>14</v>
      </c>
      <c r="B1569" s="45" t="str">
        <f>INDEX(overview!$B$4:$R$338,MATCH('hydrogen - electrolysis'!B1554,overview!$A$4:$A$338,0),MATCH('hydrogen - electrolysis'!A1569,overview!$B$3:$R$3,0))</f>
        <v>water and electricity</v>
      </c>
    </row>
    <row r="1570" spans="1:2" x14ac:dyDescent="0.2">
      <c r="A1570" t="s">
        <v>26</v>
      </c>
      <c r="B1570" s="45" t="str">
        <f>INDEX(overview!$B$4:$R$338,MATCH('hydrogen - electrolysis'!B1554,overview!$A$4:$A$338,0),MATCH('hydrogen - electrolysis'!A1570,overview!$B$3:$R$3,0))</f>
        <v>grid</v>
      </c>
    </row>
    <row r="1571" spans="1:2" x14ac:dyDescent="0.2">
      <c r="A1571" t="s">
        <v>29</v>
      </c>
      <c r="B1571" s="45">
        <f>INDEX(overview!$B$4:$R$338,MATCH('hydrogen - electrolysis'!B1554,overview!$A$4:$A$338,0),MATCH('hydrogen - electrolysis'!A1571,overview!$B$3:$R$3,0))</f>
        <v>0</v>
      </c>
    </row>
    <row r="1572" spans="1:2" x14ac:dyDescent="0.2">
      <c r="A1572" t="str">
        <f>IF(B1556="megajoule","Heat","Electricity")&amp;" conversion efficiency [% LHV input]"</f>
        <v>Electricity conversion efficiency [% LHV input]</v>
      </c>
      <c r="B1572" s="46">
        <f>INDEX(parameters!$D$4:$N$20,MATCH('hydrogen - electrolysis'!B1560&amp;'hydrogen - electrolysis'!B1562,parameters!$A$4:$A$20,0),MATCH('hydrogen - electrolysis'!A1572,parameters!$D$3:$N$3,0))</f>
        <v>0.45</v>
      </c>
    </row>
    <row r="1573" spans="1:2" x14ac:dyDescent="0.2">
      <c r="A1573" t="str">
        <f>IF(B1556="megajoule","LHV [MJ/kg]","LHV [kWh/kg]")</f>
        <v>LHV [kWh/kg]</v>
      </c>
      <c r="B1573" s="47">
        <f>INDEX(parameters!$D$4:$N$20,MATCH('hydrogen - electrolysis'!B1560&amp;'hydrogen - electrolysis'!B1562,parameters!$A$4:$A$20,0),MATCH('hydrogen - electrolysis'!A1573,parameters!$D$3:$N$3,0))</f>
        <v>33.333333333333336</v>
      </c>
    </row>
    <row r="1574" spans="1:2" x14ac:dyDescent="0.2">
      <c r="A1574" t="s">
        <v>41</v>
      </c>
      <c r="B1574" s="48">
        <f>INDEX(parameters!$D$4:$N$20,MATCH('hydrogen - electrolysis'!B1560&amp;'hydrogen - electrolysis'!B1562,parameters!$A$4:$A$20,0),MATCH('hydrogen - electrolysis'!A1574,parameters!$D$3:$N$3,0))</f>
        <v>2.6666666666666665E-2</v>
      </c>
    </row>
    <row r="1575" spans="1:2" x14ac:dyDescent="0.2">
      <c r="A1575" t="s">
        <v>45</v>
      </c>
      <c r="B1575" s="46">
        <f>INDEX(parameters!$D$4:$N$20,MATCH('hydrogen - electrolysis'!B1560&amp;'hydrogen - electrolysis'!B1562,parameters!$A$4:$A$20,0),MATCH('hydrogen - electrolysis'!A1575,parameters!$D$3:$N$3,0))</f>
        <v>0</v>
      </c>
    </row>
    <row r="1576" spans="1:2" x14ac:dyDescent="0.2">
      <c r="A1576" t="s">
        <v>46</v>
      </c>
      <c r="B1576" s="46">
        <f>INDEX(parameters!$D$4:$N$20,MATCH('hydrogen - electrolysis'!B1560&amp;'hydrogen - electrolysis'!B1562,parameters!$A$4:$A$20,0),MATCH('hydrogen - electrolysis'!A1576,parameters!$D$3:$N$3,0))</f>
        <v>1.4999999999999999E-2</v>
      </c>
    </row>
    <row r="1577" spans="1:2" x14ac:dyDescent="0.2">
      <c r="A1577" t="s">
        <v>43</v>
      </c>
      <c r="B1577" s="46">
        <f>INDEX(parameters!$D$4:$N$20,MATCH('hydrogen - electrolysis'!B1560&amp;'hydrogen - electrolysis'!B1562,parameters!$A$4:$A$20,0),MATCH('hydrogen - electrolysis'!A1577,parameters!$D$3:$N$3,0))</f>
        <v>0</v>
      </c>
    </row>
    <row r="1578" spans="1:2" x14ac:dyDescent="0.2">
      <c r="A1578" t="s">
        <v>44</v>
      </c>
      <c r="B1578" s="46">
        <f>INDEX(parameters!$D$4:$N$20,MATCH('hydrogen - electrolysis'!B1560&amp;'hydrogen - electrolysis'!B1562,parameters!$A$4:$A$20,0),MATCH('hydrogen - electrolysis'!A1578,parameters!$D$3:$N$3,0))</f>
        <v>0</v>
      </c>
    </row>
    <row r="1579" spans="1:2" x14ac:dyDescent="0.2">
      <c r="A1579" t="s">
        <v>634</v>
      </c>
      <c r="B1579" s="51">
        <f>INDEX(parameters!$D$4:$Y$20,MATCH('hydrogen - electrolysis'!B1560&amp;'hydrogen - electrolysis'!B1562,parameters!$A$4:$A$20,0),MATCH('hydrogen - electrolysis'!A1579,parameters!$D$3:$Y$3,0))</f>
        <v>1.8947368421052633</v>
      </c>
    </row>
    <row r="1580" spans="1:2" x14ac:dyDescent="0.2">
      <c r="A1580" t="s">
        <v>82</v>
      </c>
      <c r="B1580" s="46">
        <f>IF(B1571&lt;&gt;0,VLOOKUP(B1571,parameters!A1128:B1130,2,0),0)</f>
        <v>0</v>
      </c>
    </row>
    <row r="1581" spans="1:2" x14ac:dyDescent="0.2">
      <c r="A1581" t="s">
        <v>548</v>
      </c>
      <c r="B1581" s="50">
        <f>INDEX(parameters!$D$4:$P$20,MATCH(B1560&amp;B1562,parameters!$A$4:$A$20,0),MATCH(A1581,parameters!$D$3:$P$3,0))</f>
        <v>0.8</v>
      </c>
    </row>
    <row r="1582" spans="1:2" x14ac:dyDescent="0.2">
      <c r="A1582" t="s">
        <v>547</v>
      </c>
      <c r="B1582" s="51">
        <f>INDEX(parameters!$D$4:$P$20,MATCH(B1560&amp;B1562,parameters!$A$4:$A$20,0),MATCH(A1582,parameters!$D$3:$P$3,0))</f>
        <v>4.8780487804878048</v>
      </c>
    </row>
    <row r="1583" spans="1:2" x14ac:dyDescent="0.2">
      <c r="A1583" t="s">
        <v>630</v>
      </c>
      <c r="B1583" s="51">
        <f>INDEX(parameters!$D$4:$T$20,MATCH(B1560&amp;B1562,parameters!$A$4:$A$20,0),MATCH(A1583,parameters!$D$3:$T$3,0))</f>
        <v>4100</v>
      </c>
    </row>
    <row r="1584" spans="1:2" x14ac:dyDescent="0.2">
      <c r="A1584" t="s">
        <v>1005</v>
      </c>
      <c r="B1584" s="50">
        <f>IF(B1556="megajoule",SUMIFS(allocation!$I$4:$I$30,allocation!$B$4:$B$30,B1562,allocation!$C$4:$C$30,B1563),SUMIFS(allocation!$J$4:$J$30,allocation!$B$4:$B$30,B1562,allocation!$C$4:$C$30,B1563))</f>
        <v>0.86066019201025545</v>
      </c>
    </row>
    <row r="1585" spans="1:22" x14ac:dyDescent="0.2">
      <c r="A1585" t="s">
        <v>1050</v>
      </c>
      <c r="B1585" s="51">
        <f>INDEX(parameters!$D$4:$AB$20,MATCH(B1560&amp;B1562,parameters!$A$4:$A$20,0),MATCH(A1585,parameters!$D$3:$AB$3,0))</f>
        <v>10.221606648199446</v>
      </c>
    </row>
    <row r="1587" spans="1:22" x14ac:dyDescent="0.2">
      <c r="A1587" s="3" t="s">
        <v>57</v>
      </c>
    </row>
    <row r="1588" spans="1:22" x14ac:dyDescent="0.2">
      <c r="A1588" s="2" t="s">
        <v>58</v>
      </c>
      <c r="B1588" s="44" t="s">
        <v>59</v>
      </c>
      <c r="C1588" s="2" t="s">
        <v>55</v>
      </c>
      <c r="D1588" s="2" t="s">
        <v>60</v>
      </c>
      <c r="E1588" s="2" t="s">
        <v>52</v>
      </c>
      <c r="F1588" s="2" t="s">
        <v>61</v>
      </c>
      <c r="G1588" s="2" t="s">
        <v>54</v>
      </c>
      <c r="H1588" s="2" t="s">
        <v>87</v>
      </c>
      <c r="I1588" s="2" t="s">
        <v>51</v>
      </c>
      <c r="J1588" s="2" t="s">
        <v>138</v>
      </c>
      <c r="K1588" s="2" t="s">
        <v>136</v>
      </c>
      <c r="L1588" s="2" t="s">
        <v>221</v>
      </c>
      <c r="M1588" s="2" t="s">
        <v>379</v>
      </c>
      <c r="N1588" s="2" t="s">
        <v>1059</v>
      </c>
      <c r="O1588" s="2" t="s">
        <v>1060</v>
      </c>
      <c r="P1588" s="2" t="s">
        <v>1061</v>
      </c>
      <c r="Q1588" s="2" t="s">
        <v>1062</v>
      </c>
      <c r="R1588" s="2" t="s">
        <v>1063</v>
      </c>
      <c r="S1588" s="2" t="s">
        <v>1064</v>
      </c>
      <c r="T1588" s="2" t="s">
        <v>1065</v>
      </c>
      <c r="U1588" s="2" t="s">
        <v>380</v>
      </c>
      <c r="V1588" s="2" t="s">
        <v>1128</v>
      </c>
    </row>
    <row r="1589" spans="1:22" x14ac:dyDescent="0.2">
      <c r="A1589" t="str">
        <f>B1550</f>
        <v>electricity, residential, by conversion of hydrogen using fuel cell, PEM, allocated by exergy, transported by pipeline, produced by Electrolysis, SOEC using water and electricity from grid</v>
      </c>
      <c r="B1589" s="45">
        <v>1</v>
      </c>
      <c r="C1589" t="str">
        <f>B1556</f>
        <v>kilowatt hour</v>
      </c>
      <c r="E1589" t="str">
        <f>B1553</f>
        <v>CH</v>
      </c>
      <c r="F1589" t="s">
        <v>62</v>
      </c>
      <c r="G1589" t="str">
        <f>B1555</f>
        <v>electricity, from residential heating system</v>
      </c>
      <c r="K1589" t="str">
        <f>B1550</f>
        <v>electricity, residential, by conversion of hydrogen using fuel cell, PEM, allocated by exergy, transported by pipeline, produced by Electrolysis, SOEC using water and electricity from grid</v>
      </c>
    </row>
    <row r="1590" spans="1:22" x14ac:dyDescent="0.2">
      <c r="A1590" t="str">
        <f>VLOOKUP(J1590,'dataset mapping'!$A$4:$E$69,2,0)</f>
        <v>fuel cell system assembly, 1 kWe, proton exchange membrane (PEM)</v>
      </c>
      <c r="B1590" s="52">
        <f>(1/(B1579*B1583*B1582))*B1584</f>
        <v>2.2711866178048405E-5</v>
      </c>
      <c r="C1590" t="str">
        <f>VLOOKUP(J1590,'dataset mapping'!$A$4:$E$69,5,0)</f>
        <v>unit</v>
      </c>
      <c r="E1590" t="str">
        <f>VLOOKUP(J1590,'dataset mapping'!$A$4:$E$69,4,0)</f>
        <v>GLO</v>
      </c>
      <c r="F1590" t="s">
        <v>86</v>
      </c>
      <c r="G1590" t="str">
        <f>VLOOKUP(J1590,'dataset mapping'!$A$4:$E$69,3,0)</f>
        <v>fuel cell system, 1 kWe, proton exchange membrane (PEM)</v>
      </c>
      <c r="H1590" t="s">
        <v>88</v>
      </c>
      <c r="I1590" t="s">
        <v>272</v>
      </c>
      <c r="J1590" t="s">
        <v>273</v>
      </c>
      <c r="K1590" t="str">
        <f>B1550</f>
        <v>electricity, residential, by conversion of hydrogen using fuel cell, PEM, allocated by exergy, transported by pipeline, produced by Electrolysis, SOEC using water and electricity from grid</v>
      </c>
      <c r="L1590">
        <f>IF(OR(B1590&lt;0,B1590=0),1,2)</f>
        <v>2</v>
      </c>
      <c r="M1590">
        <f>IF(L1590=2,LN(B1590),"")</f>
        <v>-10.692623030936341</v>
      </c>
      <c r="N1590">
        <v>1</v>
      </c>
      <c r="O1590" s="15">
        <v>1.2</v>
      </c>
      <c r="P1590">
        <v>1</v>
      </c>
      <c r="Q1590">
        <v>1.01</v>
      </c>
      <c r="R1590">
        <v>1.2</v>
      </c>
      <c r="S1590">
        <v>1.2</v>
      </c>
      <c r="T1590">
        <v>3</v>
      </c>
      <c r="U1590">
        <f>LN(SQRT(EXP(
SQRT(
+POWER(LN(N1590),2)
+POWER(LN(O1590),2)
+POWER(LN(P1590),2)
+POWER(LN(Q1590),2)
+POWER(LN(R1590),2)
+POWER(LN(S1590),2)
+POWER(LN(T1590),2)
)
)))</f>
        <v>0.57157051623399524</v>
      </c>
    </row>
    <row r="1591" spans="1:22" x14ac:dyDescent="0.2">
      <c r="A1591" s="45" t="str">
        <f>"hydrogen supply, transported by "&amp;B1564&amp;", produced by "&amp;B1568&amp;" using "&amp;B1569&amp;" from "&amp;B1570</f>
        <v>hydrogen supply, transported by pipeline, produced by Electrolysis, SOEC using water and electricity from grid</v>
      </c>
      <c r="B1591" s="53">
        <f>(B1589/B1573)/B1572*B1584</f>
        <v>5.7377346134017029E-2</v>
      </c>
      <c r="C1591" t="str">
        <f>VLOOKUP(J1591,'dataset mapping'!$A$4:$E$69,5,0)</f>
        <v>kilogram</v>
      </c>
      <c r="E1591" t="str">
        <f>VLOOKUP(J1591,'dataset mapping'!$A$4:$E$69,4,0)</f>
        <v>CH</v>
      </c>
      <c r="F1591" t="s">
        <v>86</v>
      </c>
      <c r="G1591" t="str">
        <f>"hydrogen, gaseous, from "&amp;B1564</f>
        <v>hydrogen, gaseous, from pipeline</v>
      </c>
      <c r="H1591" t="s">
        <v>76</v>
      </c>
      <c r="I1591" t="s">
        <v>1054</v>
      </c>
      <c r="J1591" t="s">
        <v>282</v>
      </c>
      <c r="K1591" t="str">
        <f>B1550</f>
        <v>electricity, residential, by conversion of hydrogen using fuel cell, PEM, allocated by exergy, transported by pipeline, produced by Electrolysis, SOEC using water and electricity from grid</v>
      </c>
      <c r="L1591">
        <f>IF(OR(B1591&lt;0,B1591=0),1,2)</f>
        <v>2</v>
      </c>
      <c r="M1591">
        <f>IF(L1591=2,LN(B1591),"")</f>
        <v>-2.8581057202127536</v>
      </c>
      <c r="N1591">
        <v>1</v>
      </c>
      <c r="O1591" s="15">
        <v>1.2</v>
      </c>
      <c r="P1591">
        <v>1</v>
      </c>
      <c r="Q1591">
        <v>1.01</v>
      </c>
      <c r="R1591">
        <v>1.2</v>
      </c>
      <c r="S1591">
        <v>1.2</v>
      </c>
      <c r="T1591">
        <v>1.05</v>
      </c>
      <c r="U1591">
        <f>LN(SQRT(EXP(
SQRT(
+POWER(LN(N1591),2)
+POWER(LN(O1591),2)
+POWER(LN(P1591),2)
+POWER(LN(Q1591),2)
+POWER(LN(R1591),2)
+POWER(LN(S1591),2)
+POWER(LN(T1591),2)
)
)))</f>
        <v>0.15984597228197622</v>
      </c>
    </row>
    <row r="1592" spans="1:22" x14ac:dyDescent="0.2">
      <c r="A1592" t="s">
        <v>134</v>
      </c>
      <c r="B1592" s="53">
        <f>B1591*9</f>
        <v>0.51639611520615325</v>
      </c>
      <c r="C1592" t="s">
        <v>56</v>
      </c>
      <c r="D1592" t="s">
        <v>100</v>
      </c>
      <c r="F1592" t="s">
        <v>99</v>
      </c>
      <c r="H1592" t="s">
        <v>131</v>
      </c>
      <c r="I1592" t="s">
        <v>1057</v>
      </c>
      <c r="K1592" t="str">
        <f>B1550</f>
        <v>electricity, residential, by conversion of hydrogen using fuel cell, PEM, allocated by exergy, transported by pipeline, produced by Electrolysis, SOEC using water and electricity from grid</v>
      </c>
      <c r="L1592">
        <f>IF(OR(B1592&lt;0,B1592=0),1,2)</f>
        <v>2</v>
      </c>
      <c r="M1592">
        <f>IF(L1592=2,LN(B1592),"")</f>
        <v>-0.6608811428765341</v>
      </c>
      <c r="N1592">
        <v>1</v>
      </c>
      <c r="O1592" s="15">
        <v>1.2</v>
      </c>
      <c r="P1592">
        <v>1</v>
      </c>
      <c r="Q1592">
        <v>1.01</v>
      </c>
      <c r="R1592">
        <v>1.2</v>
      </c>
      <c r="S1592">
        <v>1.2</v>
      </c>
      <c r="T1592">
        <v>1.05</v>
      </c>
      <c r="U1592">
        <f>LN(SQRT(EXP(
SQRT(
+POWER(LN(N1592),2)
+POWER(LN(O1592),2)
+POWER(LN(P1592),2)
+POWER(LN(Q1592),2)
+POWER(LN(R1592),2)
+POWER(LN(S1592),2)
+POWER(LN(T1592),2)
)
)))</f>
        <v>0.15984597228197622</v>
      </c>
    </row>
    <row r="1594" spans="1:22" x14ac:dyDescent="0.2">
      <c r="A1594" s="2" t="s">
        <v>50</v>
      </c>
      <c r="B1594" s="44" t="str">
        <f>IF(B1600="megajoule","heat","electricity")&amp;", residential, by "&amp;B1605&amp;" of "&amp;B1604&amp;" using "&amp;B1606&amp;IF(B1607&lt;&gt;0,", allocated by "&amp;B1607,"")&amp;", transported by "&amp;B1608&amp;", produced by "&amp;B1612&amp;" using "&amp;B1613&amp;" from "&amp;B1614</f>
        <v>electricity, residential, by conversion of hydrogen using fuel cell, SOFC, allocated by exergy, transported by pipeline, produced by Electrolysis, SOEC using water and electricity from grid</v>
      </c>
    </row>
    <row r="1595" spans="1:22" x14ac:dyDescent="0.2">
      <c r="A1595" t="s">
        <v>51</v>
      </c>
      <c r="B1595" s="45" t="str">
        <f>"This dataset represents the supply of 1 "&amp;IF(B1600="megajoule","megajoule of heat","kilowatt hour of electricity")&amp;" in a residence, by "&amp;B1604&amp;" "&amp;B1605&amp;" in a "&amp;B1606&amp;". "&amp;" The hydrogen is transported by "&amp;B1608&amp;" over "&amp;B1609&amp;" km from regional storage. "&amp;" The "&amp;B1604&amp;" is produced by  "&amp;B1612&amp;", with "&amp;B1613&amp;" from "&amp;B1614&amp;" as feedstock. "&amp;A1616&amp;": "&amp;(B1616*100)&amp;"%. "&amp;A1617&amp;": "&amp;B1617&amp;". "&amp;A1618&amp;": "&amp;B1618&amp;". "&amp;A1619&amp;": "&amp;(B1619*100)&amp;"%. "&amp;A1620&amp;": "&amp;(B1620*100)&amp;"%. "&amp;A1621&amp;": "&amp;(B1621*100)&amp;"%. "&amp;A1622&amp;": "&amp;B1622&amp;". "&amp;A1623&amp;": "&amp;B1623&amp;". "&amp;A1624&amp;": "&amp;(B1624*100)&amp;"%. "&amp;A1625&amp;": "&amp;B1625&amp;". "&amp;A1626&amp;": "&amp;B1626&amp;". "&amp;A1627&amp;": "&amp;B1627&amp;". "&amp;A1628&amp;": "&amp;B1628&amp;".  For more information, refer to: "&amp;B1596</f>
        <v>This dataset represents the supply of 1 kilowatt hour of electricity in a residence, by hydrogen conversion in a fuel cell, SOFC.  The hydrogen is transported by pipeline over 500 km from regional storage.  The hydrogen is produced by  Electrolysis, SOEC,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1596" spans="1:22" x14ac:dyDescent="0.2">
      <c r="A1596" t="s">
        <v>63</v>
      </c>
      <c r="B1596" s="45" t="s">
        <v>1223</v>
      </c>
    </row>
    <row r="1597" spans="1:22" x14ac:dyDescent="0.2">
      <c r="A1597" t="s">
        <v>52</v>
      </c>
      <c r="B1597" s="45" t="s">
        <v>64</v>
      </c>
    </row>
    <row r="1598" spans="1:22" x14ac:dyDescent="0.2">
      <c r="A1598" t="s">
        <v>48</v>
      </c>
      <c r="B1598" s="45" t="s">
        <v>879</v>
      </c>
    </row>
    <row r="1599" spans="1:22" x14ac:dyDescent="0.2">
      <c r="A1599" t="s">
        <v>54</v>
      </c>
      <c r="B1599" s="45" t="str">
        <f>INDEX(overview!$B$4:$R$338,MATCH('hydrogen - electrolysis'!B1598,overview!$A$4:$A$338,0),MATCH('hydrogen - electrolysis'!A1599,overview!$B$3:$R$3,0))</f>
        <v>electricity, from residential heating system</v>
      </c>
    </row>
    <row r="1600" spans="1:22" x14ac:dyDescent="0.2">
      <c r="A1600" t="s">
        <v>55</v>
      </c>
      <c r="B1600" s="45" t="str">
        <f>INDEX(overview!$B$4:$R$338,MATCH('hydrogen - electrolysis'!B1598,overview!$A$4:$A$338,0),MATCH('hydrogen - electrolysis'!A1600,overview!$B$3:$R$3,0))</f>
        <v>kilowatt hour</v>
      </c>
    </row>
    <row r="1601" spans="1:2" x14ac:dyDescent="0.2">
      <c r="A1601" t="s">
        <v>0</v>
      </c>
      <c r="B1601" s="45" t="str">
        <f>INDEX(overview!$B$4:$R$338,MATCH('hydrogen - electrolysis'!B1598,overview!$A$4:$A$338,0),MATCH('hydrogen - electrolysis'!A1601,overview!$B$3:$R$3,0))</f>
        <v>Switzerland</v>
      </c>
    </row>
    <row r="1602" spans="1:2" x14ac:dyDescent="0.2">
      <c r="A1602" t="s">
        <v>1</v>
      </c>
      <c r="B1602" s="45">
        <f>INDEX(overview!$B$4:$R$338,MATCH('hydrogen - electrolysis'!B1598,overview!$A$4:$A$338,0),MATCH('hydrogen - electrolysis'!A1602,overview!$B$3:$R$3,0))</f>
        <v>2020</v>
      </c>
    </row>
    <row r="1603" spans="1:2" x14ac:dyDescent="0.2">
      <c r="A1603" t="s">
        <v>2</v>
      </c>
      <c r="B1603" s="45" t="str">
        <f>INDEX(overview!$B$4:$R$338,MATCH('hydrogen - electrolysis'!B1598,overview!$A$4:$A$338,0),MATCH('hydrogen - electrolysis'!A1603,overview!$B$3:$R$3,0))</f>
        <v>1 kWh electricity</v>
      </c>
    </row>
    <row r="1604" spans="1:2" x14ac:dyDescent="0.2">
      <c r="A1604" t="s">
        <v>5</v>
      </c>
      <c r="B1604" s="45" t="str">
        <f>INDEX(overview!$B$4:$R$338,MATCH('hydrogen - electrolysis'!B1598,overview!$A$4:$A$338,0),MATCH('hydrogen - electrolysis'!A1604,overview!$B$3:$R$3,0))</f>
        <v>hydrogen</v>
      </c>
    </row>
    <row r="1605" spans="1:2" x14ac:dyDescent="0.2">
      <c r="A1605" t="s">
        <v>3</v>
      </c>
      <c r="B1605" s="45" t="str">
        <f>INDEX(overview!$B$4:$R$338,MATCH('hydrogen - electrolysis'!B1598,overview!$A$4:$A$338,0),MATCH('hydrogen - electrolysis'!A1605,overview!$B$3:$R$3,0))</f>
        <v>conversion</v>
      </c>
    </row>
    <row r="1606" spans="1:2" x14ac:dyDescent="0.2">
      <c r="A1606" t="s">
        <v>6</v>
      </c>
      <c r="B1606" s="45" t="str">
        <f>INDEX(overview!$B$4:$R$338,MATCH('hydrogen - electrolysis'!B1598,overview!$A$4:$A$338,0),MATCH('hydrogen - electrolysis'!A1606,overview!$B$3:$R$3,0))</f>
        <v>fuel cell, SOFC</v>
      </c>
    </row>
    <row r="1607" spans="1:2" x14ac:dyDescent="0.2">
      <c r="A1607" t="s">
        <v>39</v>
      </c>
      <c r="B1607" s="45" t="str">
        <f>INDEX(overview!$B$4:$R$338,MATCH('hydrogen - electrolysis'!B1598,overview!$A$4:$A$338,0),MATCH('hydrogen - electrolysis'!A1607,overview!$B$3:$R$3,0))</f>
        <v>exergy</v>
      </c>
    </row>
    <row r="1608" spans="1:2" x14ac:dyDescent="0.2">
      <c r="A1608" t="s">
        <v>4</v>
      </c>
      <c r="B1608" s="45" t="str">
        <f>INDEX(overview!$B$4:$R$338,MATCH('hydrogen - electrolysis'!B1598,overview!$A$4:$A$338,0),MATCH('hydrogen - electrolysis'!A1608,overview!$B$3:$R$3,0))</f>
        <v>pipeline</v>
      </c>
    </row>
    <row r="1609" spans="1:2" x14ac:dyDescent="0.2">
      <c r="A1609" t="s">
        <v>38</v>
      </c>
      <c r="B1609" s="45">
        <f>INDEX(overview!$B$4:$R$338,MATCH('hydrogen - electrolysis'!B1598,overview!$A$4:$A$338,0),MATCH('hydrogen - electrolysis'!A1609,overview!$B$3:$R$3,0))</f>
        <v>500</v>
      </c>
    </row>
    <row r="1610" spans="1:2" x14ac:dyDescent="0.2">
      <c r="A1610" t="s">
        <v>12</v>
      </c>
      <c r="B1610" s="45" t="str">
        <f>INDEX(overview!$B$4:$R$338,MATCH('hydrogen - electrolysis'!B1598,overview!$A$4:$A$338,0),MATCH('hydrogen - electrolysis'!A1610,overview!$B$3:$R$3,0))</f>
        <v>Pressure vessel for stationary storage</v>
      </c>
    </row>
    <row r="1611" spans="1:2" x14ac:dyDescent="0.2">
      <c r="A1611" t="s">
        <v>34</v>
      </c>
      <c r="B1611" s="45">
        <f>INDEX(overview!$B$4:$R$338,MATCH('hydrogen - electrolysis'!B1598,overview!$A$4:$A$338,0),MATCH('hydrogen - electrolysis'!A1611,overview!$B$3:$R$3,0))</f>
        <v>0</v>
      </c>
    </row>
    <row r="1612" spans="1:2" x14ac:dyDescent="0.2">
      <c r="A1612" t="s">
        <v>15</v>
      </c>
      <c r="B1612" s="45" t="str">
        <f>INDEX(overview!$B$4:$R$338,MATCH('hydrogen - electrolysis'!B1598,overview!$A$4:$A$338,0),MATCH('hydrogen - electrolysis'!A1612,overview!$B$3:$R$3,0))</f>
        <v>Electrolysis, SOEC</v>
      </c>
    </row>
    <row r="1613" spans="1:2" x14ac:dyDescent="0.2">
      <c r="A1613" t="s">
        <v>14</v>
      </c>
      <c r="B1613" s="45" t="str">
        <f>INDEX(overview!$B$4:$R$338,MATCH('hydrogen - electrolysis'!B1598,overview!$A$4:$A$338,0),MATCH('hydrogen - electrolysis'!A1613,overview!$B$3:$R$3,0))</f>
        <v>water and electricity</v>
      </c>
    </row>
    <row r="1614" spans="1:2" x14ac:dyDescent="0.2">
      <c r="A1614" t="s">
        <v>26</v>
      </c>
      <c r="B1614" s="45" t="str">
        <f>INDEX(overview!$B$4:$R$338,MATCH('hydrogen - electrolysis'!B1598,overview!$A$4:$A$338,0),MATCH('hydrogen - electrolysis'!A1614,overview!$B$3:$R$3,0))</f>
        <v>grid</v>
      </c>
    </row>
    <row r="1615" spans="1:2" x14ac:dyDescent="0.2">
      <c r="A1615" t="s">
        <v>29</v>
      </c>
      <c r="B1615" s="45">
        <f>INDEX(overview!$B$4:$R$338,MATCH('hydrogen - electrolysis'!B1598,overview!$A$4:$A$338,0),MATCH('hydrogen - electrolysis'!A1615,overview!$B$3:$R$3,0))</f>
        <v>0</v>
      </c>
    </row>
    <row r="1616" spans="1:2" x14ac:dyDescent="0.2">
      <c r="A1616" t="str">
        <f>IF(B1600="megajoule","Heat","Electricity")&amp;" conversion efficiency [% LHV input]"</f>
        <v>Electricity conversion efficiency [% LHV input]</v>
      </c>
      <c r="B1616" s="46">
        <f>INDEX(parameters!$D$4:$N$20,MATCH('hydrogen - electrolysis'!B1604&amp;'hydrogen - electrolysis'!B1606,parameters!$A$4:$A$20,0),MATCH('hydrogen - electrolysis'!A1616,parameters!$D$3:$N$3,0))</f>
        <v>0.47</v>
      </c>
    </row>
    <row r="1617" spans="1:22" x14ac:dyDescent="0.2">
      <c r="A1617" t="str">
        <f>IF(B1600="megajoule","LHV [MJ/kg]","LHV [kWh/kg]")</f>
        <v>LHV [kWh/kg]</v>
      </c>
      <c r="B1617" s="47">
        <f>INDEX(parameters!$D$4:$N$20,MATCH('hydrogen - electrolysis'!B1604&amp;'hydrogen - electrolysis'!B1606,parameters!$A$4:$A$20,0),MATCH('hydrogen - electrolysis'!A1617,parameters!$D$3:$N$3,0))</f>
        <v>33.333333333333336</v>
      </c>
    </row>
    <row r="1618" spans="1:22" x14ac:dyDescent="0.2">
      <c r="A1618" t="s">
        <v>41</v>
      </c>
      <c r="B1618" s="48">
        <f>INDEX(parameters!$D$4:$N$20,MATCH('hydrogen - electrolysis'!B1604&amp;'hydrogen - electrolysis'!B1606,parameters!$A$4:$A$20,0),MATCH('hydrogen - electrolysis'!A1618,parameters!$D$3:$N$3,0))</f>
        <v>2.6666666666666665E-2</v>
      </c>
    </row>
    <row r="1619" spans="1:22" x14ac:dyDescent="0.2">
      <c r="A1619" t="s">
        <v>45</v>
      </c>
      <c r="B1619" s="46">
        <f>INDEX(parameters!$D$4:$N$20,MATCH('hydrogen - electrolysis'!B1604&amp;'hydrogen - electrolysis'!B1606,parameters!$A$4:$A$20,0),MATCH('hydrogen - electrolysis'!A1619,parameters!$D$3:$N$3,0))</f>
        <v>0</v>
      </c>
    </row>
    <row r="1620" spans="1:22" x14ac:dyDescent="0.2">
      <c r="A1620" t="s">
        <v>46</v>
      </c>
      <c r="B1620" s="46">
        <f>INDEX(parameters!$D$4:$N$20,MATCH('hydrogen - electrolysis'!B1604&amp;'hydrogen - electrolysis'!B1606,parameters!$A$4:$A$20,0),MATCH('hydrogen - electrolysis'!A1620,parameters!$D$3:$N$3,0))</f>
        <v>1.4999999999999999E-2</v>
      </c>
    </row>
    <row r="1621" spans="1:22" x14ac:dyDescent="0.2">
      <c r="A1621" t="s">
        <v>43</v>
      </c>
      <c r="B1621" s="46">
        <f>INDEX(parameters!$D$4:$N$20,MATCH('hydrogen - electrolysis'!B1604&amp;'hydrogen - electrolysis'!B1606,parameters!$A$4:$A$20,0),MATCH('hydrogen - electrolysis'!A1621,parameters!$D$3:$N$3,0))</f>
        <v>0</v>
      </c>
    </row>
    <row r="1622" spans="1:22" x14ac:dyDescent="0.2">
      <c r="A1622" t="s">
        <v>44</v>
      </c>
      <c r="B1622" s="46">
        <f>INDEX(parameters!$D$4:$N$20,MATCH('hydrogen - electrolysis'!B1604&amp;'hydrogen - electrolysis'!B1606,parameters!$A$4:$A$20,0),MATCH('hydrogen - electrolysis'!A1622,parameters!$D$3:$N$3,0))</f>
        <v>0</v>
      </c>
    </row>
    <row r="1623" spans="1:22" x14ac:dyDescent="0.2">
      <c r="A1623" t="s">
        <v>634</v>
      </c>
      <c r="B1623" s="51">
        <f>INDEX(parameters!$D$4:$Y$20,MATCH('hydrogen - electrolysis'!B1604&amp;'hydrogen - electrolysis'!B1606,parameters!$A$4:$A$20,0),MATCH('hydrogen - electrolysis'!A1623,parameters!$D$3:$Y$3,0))</f>
        <v>225</v>
      </c>
      <c r="D1623" s="8"/>
    </row>
    <row r="1624" spans="1:22" x14ac:dyDescent="0.2">
      <c r="A1624" t="s">
        <v>82</v>
      </c>
      <c r="B1624" s="46">
        <f>IF(B1615&lt;&gt;0,VLOOKUP(B1615,parameters!A1177:B1179,2,0),0)</f>
        <v>0</v>
      </c>
    </row>
    <row r="1625" spans="1:22" x14ac:dyDescent="0.2">
      <c r="A1625" t="s">
        <v>548</v>
      </c>
      <c r="B1625" s="50">
        <f>INDEX(parameters!$D$4:$P$20,MATCH(B1604&amp;B1606,parameters!$A$4:$A$20,0),MATCH(A1625,parameters!$D$3:$P$3,0))</f>
        <v>100</v>
      </c>
    </row>
    <row r="1626" spans="1:22" x14ac:dyDescent="0.2">
      <c r="A1626" t="s">
        <v>547</v>
      </c>
      <c r="B1626" s="51">
        <f>INDEX(parameters!$D$4:$P$20,MATCH(B1604&amp;B1606,parameters!$A$4:$A$20,0),MATCH(A1626,parameters!$D$3:$P$3,0))</f>
        <v>6</v>
      </c>
    </row>
    <row r="1627" spans="1:22" x14ac:dyDescent="0.2">
      <c r="A1627" t="s">
        <v>630</v>
      </c>
      <c r="B1627" s="51">
        <f>INDEX(parameters!$D$4:$T$20,MATCH(B1604&amp;B1606,parameters!$A$4:$A$20,0),MATCH(A1627,parameters!$D$3:$T$3,0))</f>
        <v>4100</v>
      </c>
    </row>
    <row r="1628" spans="1:22" x14ac:dyDescent="0.2">
      <c r="A1628" t="s">
        <v>1005</v>
      </c>
      <c r="B1628" s="50">
        <f>IF(B1600="megajoule",SUMIFS(allocation!$I$4:$I$30,allocation!$B$4:$B$30,B1606,allocation!$C$4:$C$30,B1607),SUMIFS(allocation!$J$4:$J$30,allocation!$B$4:$B$30,B1606,allocation!$C$4:$C$30,B1607))</f>
        <v>0.86412493489600906</v>
      </c>
    </row>
    <row r="1629" spans="1:22" x14ac:dyDescent="0.2">
      <c r="A1629" t="s">
        <v>1050</v>
      </c>
      <c r="B1629" s="51">
        <f>INDEX(parameters!$D$4:$AB$20,MATCH(B1604&amp;B1606,parameters!$A$4:$A$20,0),MATCH(A1629,parameters!$D$3:$AB$3,0))</f>
        <v>1153.1249999999998</v>
      </c>
    </row>
    <row r="1631" spans="1:22" x14ac:dyDescent="0.2">
      <c r="A1631" s="3" t="s">
        <v>57</v>
      </c>
    </row>
    <row r="1632" spans="1:22" x14ac:dyDescent="0.2">
      <c r="A1632" s="2" t="s">
        <v>58</v>
      </c>
      <c r="B1632" s="44" t="s">
        <v>59</v>
      </c>
      <c r="C1632" s="2" t="s">
        <v>55</v>
      </c>
      <c r="D1632" s="2" t="s">
        <v>60</v>
      </c>
      <c r="E1632" s="2" t="s">
        <v>52</v>
      </c>
      <c r="F1632" s="2" t="s">
        <v>61</v>
      </c>
      <c r="G1632" s="2" t="s">
        <v>54</v>
      </c>
      <c r="H1632" s="2" t="s">
        <v>87</v>
      </c>
      <c r="I1632" s="2" t="s">
        <v>51</v>
      </c>
      <c r="J1632" s="2" t="s">
        <v>138</v>
      </c>
      <c r="K1632" s="2" t="s">
        <v>136</v>
      </c>
      <c r="L1632" s="2" t="s">
        <v>221</v>
      </c>
      <c r="M1632" s="2" t="s">
        <v>379</v>
      </c>
      <c r="N1632" s="2" t="s">
        <v>1059</v>
      </c>
      <c r="O1632" s="2" t="s">
        <v>1060</v>
      </c>
      <c r="P1632" s="2" t="s">
        <v>1061</v>
      </c>
      <c r="Q1632" s="2" t="s">
        <v>1062</v>
      </c>
      <c r="R1632" s="2" t="s">
        <v>1063</v>
      </c>
      <c r="S1632" s="2" t="s">
        <v>1064</v>
      </c>
      <c r="T1632" s="2" t="s">
        <v>1065</v>
      </c>
      <c r="U1632" s="2" t="s">
        <v>380</v>
      </c>
      <c r="V1632" s="2" t="s">
        <v>1128</v>
      </c>
    </row>
    <row r="1633" spans="1:21" x14ac:dyDescent="0.2">
      <c r="A1633" t="str">
        <f>B1594</f>
        <v>electricity, residential, by conversion of hydrogen using fuel cell, SOFC, allocated by exergy, transported by pipeline, produced by Electrolysis, SOEC using water and electricity from grid</v>
      </c>
      <c r="B1633" s="45">
        <v>1</v>
      </c>
      <c r="C1633" t="str">
        <f>B1600</f>
        <v>kilowatt hour</v>
      </c>
      <c r="E1633" t="str">
        <f>B1597</f>
        <v>CH</v>
      </c>
      <c r="F1633" t="s">
        <v>62</v>
      </c>
      <c r="G1633" t="str">
        <f>B1599</f>
        <v>electricity, from residential heating system</v>
      </c>
      <c r="K1633" t="str">
        <f>B1594</f>
        <v>electricity, residential, by conversion of hydrogen using fuel cell, SOFC, allocated by exergy, transported by pipeline, produced by Electrolysis, SOEC using water and electricity from grid</v>
      </c>
    </row>
    <row r="1634" spans="1:21" x14ac:dyDescent="0.2">
      <c r="A1634" t="str">
        <f>VLOOKUP(J1634,'dataset mapping'!$A$4:$E$69,2,0)</f>
        <v>fuel cell production, stack solid oxide, 125kW electrical, future</v>
      </c>
      <c r="B1634" s="52">
        <f>(1/(B1623*B1627*B1626))*B1628</f>
        <v>1.5612013277254003E-7</v>
      </c>
      <c r="C1634" t="str">
        <f>VLOOKUP(J1634,'dataset mapping'!$A$4:$E$69,5,0)</f>
        <v>unit</v>
      </c>
      <c r="E1634" t="str">
        <f>VLOOKUP(J1634,'dataset mapping'!$A$4:$E$69,4,0)</f>
        <v>CH</v>
      </c>
      <c r="F1634" t="s">
        <v>86</v>
      </c>
      <c r="G1634" t="str">
        <f>VLOOKUP(J1634,'dataset mapping'!$A$4:$E$69,3,0)</f>
        <v>fuel cell, stack solid oxide, 125kW electrical, future</v>
      </c>
      <c r="H1634" t="s">
        <v>88</v>
      </c>
      <c r="I1634" t="s">
        <v>277</v>
      </c>
      <c r="J1634" t="s">
        <v>274</v>
      </c>
      <c r="K1634" t="str">
        <f>B1594</f>
        <v>electricity, residential, by conversion of hydrogen using fuel cell, SOFC, allocated by exergy, transported by pipeline, produced by Electrolysis, SOEC using water and electricity from grid</v>
      </c>
      <c r="L1634">
        <f>IF(OR(B1634&lt;0,B1634=0),1,2)</f>
        <v>2</v>
      </c>
      <c r="M1634">
        <f>IF(L1634=2,LN(B1634),"")</f>
        <v>-15.672640044182527</v>
      </c>
      <c r="N1634">
        <v>1</v>
      </c>
      <c r="O1634" s="15">
        <v>1.2</v>
      </c>
      <c r="P1634">
        <v>1</v>
      </c>
      <c r="Q1634">
        <v>1.01</v>
      </c>
      <c r="R1634">
        <v>1.2</v>
      </c>
      <c r="S1634">
        <v>1.2</v>
      </c>
      <c r="T1634">
        <v>3</v>
      </c>
      <c r="U1634">
        <f>LN(SQRT(EXP(
SQRT(
+POWER(LN(N1634),2)
+POWER(LN(O1634),2)
+POWER(LN(P1634),2)
+POWER(LN(Q1634),2)
+POWER(LN(R1634),2)
+POWER(LN(S1634),2)
+POWER(LN(T1634),2)
)
)))</f>
        <v>0.57157051623399524</v>
      </c>
    </row>
    <row r="1635" spans="1:21" x14ac:dyDescent="0.2">
      <c r="A1635" t="s">
        <v>283</v>
      </c>
      <c r="B1635" s="52">
        <f>(1/(B1623*B1627*B1626))*B1628</f>
        <v>1.5612013277254003E-7</v>
      </c>
      <c r="C1635" t="s">
        <v>55</v>
      </c>
      <c r="E1635" t="s">
        <v>64</v>
      </c>
      <c r="F1635" t="s">
        <v>86</v>
      </c>
      <c r="G1635" t="s">
        <v>284</v>
      </c>
      <c r="H1635" t="s">
        <v>88</v>
      </c>
      <c r="I1635" t="s">
        <v>277</v>
      </c>
      <c r="K1635" t="str">
        <f>B1594</f>
        <v>electricity, residential, by conversion of hydrogen using fuel cell, SOFC, allocated by exergy, transported by pipeline, produced by Electrolysis, SOEC using water and electricity from grid</v>
      </c>
      <c r="L1635">
        <f>IF(OR(B1635&lt;0,B1635=0),1,2)</f>
        <v>2</v>
      </c>
      <c r="M1635">
        <f>IF(L1635=2,LN(B1635),"")</f>
        <v>-15.672640044182527</v>
      </c>
      <c r="N1635">
        <v>1</v>
      </c>
      <c r="O1635" s="15">
        <v>1.2</v>
      </c>
      <c r="P1635">
        <v>1</v>
      </c>
      <c r="Q1635">
        <v>1.01</v>
      </c>
      <c r="R1635">
        <v>1.2</v>
      </c>
      <c r="S1635">
        <v>1.2</v>
      </c>
      <c r="T1635">
        <v>3</v>
      </c>
      <c r="U1635">
        <f>LN(SQRT(EXP(
SQRT(
+POWER(LN(N1635),2)
+POWER(LN(O1635),2)
+POWER(LN(P1635),2)
+POWER(LN(Q1635),2)
+POWER(LN(R1635),2)
+POWER(LN(S1635),2)
+POWER(LN(T1635),2)
)
)))</f>
        <v>0.57157051623399524</v>
      </c>
    </row>
    <row r="1636" spans="1:21" x14ac:dyDescent="0.2">
      <c r="A1636" t="s">
        <v>288</v>
      </c>
      <c r="B1636" s="52">
        <f>0.000024*B1628</f>
        <v>2.0738998437504217E-5</v>
      </c>
      <c r="C1636" t="s">
        <v>56</v>
      </c>
      <c r="E1636" t="s">
        <v>64</v>
      </c>
      <c r="F1636" t="s">
        <v>86</v>
      </c>
      <c r="G1636" t="s">
        <v>287</v>
      </c>
      <c r="H1636" t="s">
        <v>88</v>
      </c>
      <c r="K1636" t="str">
        <f>B1594</f>
        <v>electricity, residential, by conversion of hydrogen using fuel cell, SOFC, allocated by exergy, transported by pipeline, produced by Electrolysis, SOEC using water and electricity from grid</v>
      </c>
      <c r="L1636">
        <f>IF(OR(B1636&lt;0,B1636=0),1,2)</f>
        <v>2</v>
      </c>
      <c r="M1636">
        <f>IF(L1636=2,LN(B1636),"")</f>
        <v>-10.783494647673981</v>
      </c>
      <c r="N1636">
        <v>1</v>
      </c>
      <c r="O1636" s="15">
        <v>1.2</v>
      </c>
      <c r="P1636">
        <v>1</v>
      </c>
      <c r="Q1636">
        <v>1.01</v>
      </c>
      <c r="R1636">
        <v>1.2</v>
      </c>
      <c r="S1636">
        <v>1.2</v>
      </c>
      <c r="T1636">
        <v>1.05</v>
      </c>
      <c r="U1636">
        <f>LN(SQRT(EXP(
SQRT(
+POWER(LN(N1636),2)
+POWER(LN(O1636),2)
+POWER(LN(P1636),2)
+POWER(LN(Q1636),2)
+POWER(LN(R1636),2)
+POWER(LN(S1636),2)
+POWER(LN(T1636),2)
)
)))</f>
        <v>0.15984597228197622</v>
      </c>
    </row>
    <row r="1637" spans="1:21" x14ac:dyDescent="0.2">
      <c r="A1637" s="45" t="str">
        <f>"hydrogen supply, transported by "&amp;B1608&amp;", produced by "&amp;B1612&amp;" using "&amp;B1613&amp;" from "&amp;B1614</f>
        <v>hydrogen supply, transported by pipeline, produced by Electrolysis, SOEC using water and electricity from grid</v>
      </c>
      <c r="B1637" s="53">
        <f>(B1633/B1617)/B1616*B1628</f>
        <v>5.515691073804313E-2</v>
      </c>
      <c r="C1637" t="str">
        <f>VLOOKUP(J1637,'dataset mapping'!$A$4:$E$69,5,0)</f>
        <v>kilogram</v>
      </c>
      <c r="E1637" t="str">
        <f>VLOOKUP(J1637,'dataset mapping'!$A$4:$E$69,4,0)</f>
        <v>CH</v>
      </c>
      <c r="F1637" t="s">
        <v>86</v>
      </c>
      <c r="G1637" t="str">
        <f>"hydrogen, gaseous, from "&amp;B1608</f>
        <v>hydrogen, gaseous, from pipeline</v>
      </c>
      <c r="H1637" t="s">
        <v>76</v>
      </c>
      <c r="I1637" t="s">
        <v>1054</v>
      </c>
      <c r="J1637" t="s">
        <v>282</v>
      </c>
      <c r="K1637" t="str">
        <f>B1594</f>
        <v>electricity, residential, by conversion of hydrogen using fuel cell, SOFC, allocated by exergy, transported by pipeline, produced by Electrolysis, SOEC using water and electricity from grid</v>
      </c>
      <c r="L1637">
        <f>IF(OR(B1637&lt;0,B1637=0),1,2)</f>
        <v>2</v>
      </c>
      <c r="M1637">
        <f>IF(L1637=2,LN(B1637),"")</f>
        <v>-2.8975732330996009</v>
      </c>
      <c r="N1637">
        <v>1</v>
      </c>
      <c r="O1637" s="15">
        <v>1.2</v>
      </c>
      <c r="P1637">
        <v>1</v>
      </c>
      <c r="Q1637">
        <v>1.01</v>
      </c>
      <c r="R1637">
        <v>1.2</v>
      </c>
      <c r="S1637">
        <v>1.2</v>
      </c>
      <c r="T1637">
        <v>1.05</v>
      </c>
      <c r="U1637">
        <f>LN(SQRT(EXP(
SQRT(
+POWER(LN(N1637),2)
+POWER(LN(O1637),2)
+POWER(LN(P1637),2)
+POWER(LN(Q1637),2)
+POWER(LN(R1637),2)
+POWER(LN(S1637),2)
+POWER(LN(T1637),2)
)
)))</f>
        <v>0.15984597228197622</v>
      </c>
    </row>
    <row r="1638" spans="1:21" x14ac:dyDescent="0.2">
      <c r="A1638" t="s">
        <v>134</v>
      </c>
      <c r="B1638" s="45">
        <f>B1637*9</f>
        <v>0.49641219664238817</v>
      </c>
      <c r="C1638" t="s">
        <v>56</v>
      </c>
      <c r="D1638" t="s">
        <v>100</v>
      </c>
      <c r="F1638" t="s">
        <v>99</v>
      </c>
      <c r="H1638" t="s">
        <v>131</v>
      </c>
      <c r="I1638" t="s">
        <v>1057</v>
      </c>
      <c r="K1638" t="str">
        <f>B1594</f>
        <v>electricity, residential, by conversion of hydrogen using fuel cell, SOFC, allocated by exergy, transported by pipeline, produced by Electrolysis, SOEC using water and electricity from grid</v>
      </c>
      <c r="L1638">
        <f>IF(OR(B1638&lt;0,B1638=0),1,2)</f>
        <v>2</v>
      </c>
      <c r="M1638">
        <f>IF(L1638=2,LN(B1638),"")</f>
        <v>-0.70034865576338168</v>
      </c>
      <c r="N1638">
        <v>1</v>
      </c>
      <c r="O1638" s="15">
        <v>1.2</v>
      </c>
      <c r="P1638">
        <v>1</v>
      </c>
      <c r="Q1638">
        <v>1.01</v>
      </c>
      <c r="R1638">
        <v>1.2</v>
      </c>
      <c r="S1638">
        <v>1.2</v>
      </c>
      <c r="T1638">
        <v>1.05</v>
      </c>
      <c r="U1638">
        <f>LN(SQRT(EXP(
SQRT(
+POWER(LN(N1638),2)
+POWER(LN(O1638),2)
+POWER(LN(P1638),2)
+POWER(LN(Q1638),2)
+POWER(LN(R1638),2)
+POWER(LN(S1638),2)
+POWER(LN(T1638),2)
)
)))</f>
        <v>0.15984597228197622</v>
      </c>
    </row>
    <row r="1640" spans="1:21" x14ac:dyDescent="0.2">
      <c r="A1640" s="2" t="s">
        <v>50</v>
      </c>
      <c r="B1640" s="44" t="str">
        <f>IF(B1646="megajoule","heat","electricity")&amp;", residential, by "&amp;B1651&amp;" of "&amp;B1650&amp;" using "&amp;B1652&amp;IF(B1653&lt;&gt;0,", allocated by "&amp;B1653,"")&amp;", transported by "&amp;B1654&amp;", produced by "&amp;B1658&amp;" using "&amp;B1659&amp;" from "&amp;B1660</f>
        <v>heat, residential, by combustion of hydrogen using boiler, transported by truck, produced by Electrolysis, SOEC using water and electricity from grid</v>
      </c>
    </row>
    <row r="1641" spans="1:21" x14ac:dyDescent="0.2">
      <c r="A1641" t="s">
        <v>51</v>
      </c>
      <c r="B1641" s="45" t="str">
        <f>"This dataset represents the supply of 1 "&amp;IF(B1646="megajoule","megajoule of heat","kilowatt hour of electricity")&amp;" in a residence, by "&amp;B1650&amp;" "&amp;B1651&amp;" in a "&amp;B1652&amp;". "&amp;" The hydrogen is transported by "&amp;B1654&amp;" over "&amp;B1655&amp;" km from regional storage. "&amp;" The "&amp;B1650&amp;" is produced by  "&amp;B1658&amp;", with "&amp;B1659&amp;" from "&amp;B1660&amp;" as feedstock. "&amp;A1662&amp;": "&amp;(B1662*100)&amp;"%. "&amp;A1663&amp;": "&amp;B1663&amp;". "&amp;A1664&amp;": "&amp;B1664&amp;". "&amp;A1665&amp;": "&amp;(B1665*100)&amp;"%. "&amp;A1666&amp;": "&amp;(B1666*100)&amp;"%. "&amp;A1667&amp;": "&amp;(B1667*100)&amp;"%. "&amp;A1668&amp;": "&amp;B1668&amp;". "&amp;A1669&amp;": "&amp;B1669&amp;". "&amp;A1670&amp;": "&amp;(B1670*100)&amp;"%. "&amp;A1671&amp;": "&amp;B1671&amp;". "&amp;A1672&amp;": "&amp;B1672&amp;". "&amp;A1673&amp;": "&amp;B1673&amp;". "&amp;A1674&amp;": "&amp;B1674&amp;".  For more information, refer to: "&amp;B1642</f>
        <v>This dataset represents the supply of 1 megajoule of heat in a residence, by hydrogen combustion in a boiler.  The hydrogen is transported by truck over 200 km from regional storage.  The hydrogen is produced by  Electrolysis, SOEC, with water and electricity from grid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1642" spans="1:21" x14ac:dyDescent="0.2">
      <c r="A1642" t="s">
        <v>63</v>
      </c>
      <c r="B1642" s="45" t="s">
        <v>1223</v>
      </c>
    </row>
    <row r="1643" spans="1:21" x14ac:dyDescent="0.2">
      <c r="A1643" t="s">
        <v>52</v>
      </c>
      <c r="B1643" s="45" t="s">
        <v>64</v>
      </c>
    </row>
    <row r="1644" spans="1:21" x14ac:dyDescent="0.2">
      <c r="A1644" t="s">
        <v>48</v>
      </c>
      <c r="B1644" s="45">
        <v>21</v>
      </c>
    </row>
    <row r="1645" spans="1:21" x14ac:dyDescent="0.2">
      <c r="A1645" t="s">
        <v>54</v>
      </c>
      <c r="B1645" s="45" t="str">
        <f>INDEX(overview!$B$4:$R$338,MATCH('hydrogen - electrolysis'!B1644,overview!$A$4:$A$338,0),MATCH('hydrogen - electrolysis'!A1645,overview!$B$3:$R$3,0))</f>
        <v>heat, from residential heating system</v>
      </c>
    </row>
    <row r="1646" spans="1:21" x14ac:dyDescent="0.2">
      <c r="A1646" t="s">
        <v>55</v>
      </c>
      <c r="B1646" s="45" t="str">
        <f>INDEX(overview!$B$4:$R$338,MATCH('hydrogen - electrolysis'!B1644,overview!$A$4:$A$338,0),MATCH('hydrogen - electrolysis'!A1646,overview!$B$3:$R$3,0))</f>
        <v>megajoule</v>
      </c>
    </row>
    <row r="1647" spans="1:21" x14ac:dyDescent="0.2">
      <c r="A1647" t="s">
        <v>0</v>
      </c>
      <c r="B1647" s="45" t="str">
        <f>INDEX(overview!$B$4:$R$338,MATCH('hydrogen - electrolysis'!B1644,overview!$A$4:$A$338,0),MATCH('hydrogen - electrolysis'!A1647,overview!$B$3:$R$3,0))</f>
        <v>Switzerland</v>
      </c>
    </row>
    <row r="1648" spans="1:21" x14ac:dyDescent="0.2">
      <c r="A1648" t="s">
        <v>1</v>
      </c>
      <c r="B1648" s="45">
        <f>INDEX(overview!$B$4:$R$338,MATCH('hydrogen - electrolysis'!B1644,overview!$A$4:$A$338,0),MATCH('hydrogen - electrolysis'!A1648,overview!$B$3:$R$3,0))</f>
        <v>2020</v>
      </c>
    </row>
    <row r="1649" spans="1:2" x14ac:dyDescent="0.2">
      <c r="A1649" t="s">
        <v>2</v>
      </c>
      <c r="B1649" s="45" t="str">
        <f>INDEX(overview!$B$4:$R$338,MATCH('hydrogen - electrolysis'!B1644,overview!$A$4:$A$338,0),MATCH('hydrogen - electrolysis'!A1649,overview!$B$3:$R$3,0))</f>
        <v>1 MJ heat</v>
      </c>
    </row>
    <row r="1650" spans="1:2" x14ac:dyDescent="0.2">
      <c r="A1650" t="s">
        <v>5</v>
      </c>
      <c r="B1650" s="45" t="str">
        <f>INDEX(overview!$B$4:$R$338,MATCH('hydrogen - electrolysis'!B1644,overview!$A$4:$A$338,0),MATCH('hydrogen - electrolysis'!A1650,overview!$B$3:$R$3,0))</f>
        <v>hydrogen</v>
      </c>
    </row>
    <row r="1651" spans="1:2" x14ac:dyDescent="0.2">
      <c r="A1651" t="s">
        <v>3</v>
      </c>
      <c r="B1651" s="45" t="str">
        <f>INDEX(overview!$B$4:$R$338,MATCH('hydrogen - electrolysis'!B1644,overview!$A$4:$A$338,0),MATCH('hydrogen - electrolysis'!A1651,overview!$B$3:$R$3,0))</f>
        <v>combustion</v>
      </c>
    </row>
    <row r="1652" spans="1:2" x14ac:dyDescent="0.2">
      <c r="A1652" t="s">
        <v>6</v>
      </c>
      <c r="B1652" s="45" t="str">
        <f>INDEX(overview!$B$4:$R$338,MATCH('hydrogen - electrolysis'!B1644,overview!$A$4:$A$338,0),MATCH('hydrogen - electrolysis'!A1652,overview!$B$3:$R$3,0))</f>
        <v>boiler</v>
      </c>
    </row>
    <row r="1653" spans="1:2" x14ac:dyDescent="0.2">
      <c r="A1653" t="s">
        <v>39</v>
      </c>
      <c r="B1653" s="45">
        <f>INDEX(overview!$B$4:$R$338,MATCH('hydrogen - electrolysis'!B1644,overview!$A$4:$A$338,0),MATCH('hydrogen - electrolysis'!A1653,overview!$B$3:$R$3,0))</f>
        <v>0</v>
      </c>
    </row>
    <row r="1654" spans="1:2" x14ac:dyDescent="0.2">
      <c r="A1654" t="s">
        <v>4</v>
      </c>
      <c r="B1654" s="45" t="str">
        <f>INDEX(overview!$B$4:$R$338,MATCH('hydrogen - electrolysis'!B1644,overview!$A$4:$A$338,0),MATCH('hydrogen - electrolysis'!A1654,overview!$B$3:$R$3,0))</f>
        <v>truck</v>
      </c>
    </row>
    <row r="1655" spans="1:2" x14ac:dyDescent="0.2">
      <c r="A1655" t="s">
        <v>38</v>
      </c>
      <c r="B1655" s="45">
        <f>INDEX(overview!$B$4:$R$338,MATCH('hydrogen - electrolysis'!B1644,overview!$A$4:$A$338,0),MATCH('hydrogen - electrolysis'!A1655,overview!$B$3:$R$3,0))</f>
        <v>200</v>
      </c>
    </row>
    <row r="1656" spans="1:2" x14ac:dyDescent="0.2">
      <c r="A1656" t="s">
        <v>12</v>
      </c>
      <c r="B1656" s="45" t="str">
        <f>INDEX(overview!$B$4:$R$338,MATCH('hydrogen - electrolysis'!B1644,overview!$A$4:$A$338,0),MATCH('hydrogen - electrolysis'!A1656,overview!$B$3:$R$3,0))</f>
        <v>Pressure vessel for stationary storage</v>
      </c>
    </row>
    <row r="1657" spans="1:2" x14ac:dyDescent="0.2">
      <c r="A1657" t="s">
        <v>34</v>
      </c>
      <c r="B1657" s="45">
        <f>INDEX(overview!$B$4:$R$338,MATCH('hydrogen - electrolysis'!B1644,overview!$A$4:$A$338,0),MATCH('hydrogen - electrolysis'!A1657,overview!$B$3:$R$3,0))</f>
        <v>0</v>
      </c>
    </row>
    <row r="1658" spans="1:2" x14ac:dyDescent="0.2">
      <c r="A1658" t="s">
        <v>15</v>
      </c>
      <c r="B1658" s="45" t="str">
        <f>INDEX(overview!$B$4:$R$338,MATCH('hydrogen - electrolysis'!B1644,overview!$A$4:$A$338,0),MATCH('hydrogen - electrolysis'!A1658,overview!$B$3:$R$3,0))</f>
        <v>Electrolysis, SOEC</v>
      </c>
    </row>
    <row r="1659" spans="1:2" x14ac:dyDescent="0.2">
      <c r="A1659" t="s">
        <v>14</v>
      </c>
      <c r="B1659" s="45" t="str">
        <f>INDEX(overview!$B$4:$R$338,MATCH('hydrogen - electrolysis'!B1644,overview!$A$4:$A$338,0),MATCH('hydrogen - electrolysis'!A1659,overview!$B$3:$R$3,0))</f>
        <v>water and electricity</v>
      </c>
    </row>
    <row r="1660" spans="1:2" x14ac:dyDescent="0.2">
      <c r="A1660" t="s">
        <v>26</v>
      </c>
      <c r="B1660" s="45" t="str">
        <f>INDEX(overview!$B$4:$R$338,MATCH('hydrogen - electrolysis'!B1644,overview!$A$4:$A$338,0),MATCH('hydrogen - electrolysis'!A1660,overview!$B$3:$R$3,0))</f>
        <v>grid</v>
      </c>
    </row>
    <row r="1661" spans="1:2" x14ac:dyDescent="0.2">
      <c r="A1661" t="s">
        <v>29</v>
      </c>
      <c r="B1661" s="45">
        <f>INDEX(overview!$B$4:$R$338,MATCH('hydrogen - electrolysis'!B1644,overview!$A$4:$A$338,0),MATCH('hydrogen - electrolysis'!A1661,overview!$B$3:$R$3,0))</f>
        <v>0</v>
      </c>
    </row>
    <row r="1662" spans="1:2" x14ac:dyDescent="0.2">
      <c r="A1662" t="str">
        <f>IF(B1646="megajoule","Heat","Electricity")&amp;" conversion efficiency [% LHV input]"</f>
        <v>Heat conversion efficiency [% LHV input]</v>
      </c>
      <c r="B1662" s="46">
        <f>INDEX(parameters!$D$4:$N$20,MATCH('hydrogen - electrolysis'!B1650&amp;'hydrogen - electrolysis'!B1652,parameters!$A$4:$A$20,0),MATCH('hydrogen - electrolysis'!A1662,parameters!$D$3:$N$3,0))</f>
        <v>0.94</v>
      </c>
    </row>
    <row r="1663" spans="1:2" x14ac:dyDescent="0.2">
      <c r="A1663" t="str">
        <f>IF(B1646="megajoule","LHV [MJ/kg]","LHV [kWh/kg]")</f>
        <v>LHV [MJ/kg]</v>
      </c>
      <c r="B1663" s="47">
        <f>INDEX(parameters!$D$4:$N$20,MATCH('hydrogen - electrolysis'!B1650&amp;'hydrogen - electrolysis'!B1652,parameters!$A$4:$A$20,0),MATCH('hydrogen - electrolysis'!A1663,parameters!$D$3:$N$3,0))</f>
        <v>120</v>
      </c>
    </row>
    <row r="1664" spans="1:2" x14ac:dyDescent="0.2">
      <c r="A1664" t="s">
        <v>41</v>
      </c>
      <c r="B1664" s="48">
        <f>INDEX(parameters!$D$4:$N$20,MATCH('hydrogen - electrolysis'!B1650&amp;'hydrogen - electrolysis'!B1652,parameters!$A$4:$A$20,0),MATCH('hydrogen - electrolysis'!A1664,parameters!$D$3:$N$3,0))</f>
        <v>2.6666666666666665E-2</v>
      </c>
    </row>
    <row r="1665" spans="1:22" x14ac:dyDescent="0.2">
      <c r="A1665" t="s">
        <v>45</v>
      </c>
      <c r="B1665" s="49">
        <f>INDEX(parameters!$D$4:$N$20,MATCH('hydrogen - electrolysis'!B1650&amp;'hydrogen - electrolysis'!B1652,parameters!$A$4:$A$20,0),MATCH('hydrogen - electrolysis'!A1665,parameters!$D$3:$N$3,0))</f>
        <v>0</v>
      </c>
    </row>
    <row r="1666" spans="1:22" x14ac:dyDescent="0.2">
      <c r="A1666" t="s">
        <v>46</v>
      </c>
      <c r="B1666" s="49">
        <f>INDEX(parameters!$D$4:$N$20,MATCH('hydrogen - electrolysis'!B1650&amp;'hydrogen - electrolysis'!B1652,parameters!$A$4:$A$20,0),MATCH('hydrogen - electrolysis'!A1666,parameters!$D$3:$N$3,0))</f>
        <v>1.4999999999999999E-2</v>
      </c>
    </row>
    <row r="1667" spans="1:22" x14ac:dyDescent="0.2">
      <c r="A1667" t="s">
        <v>43</v>
      </c>
      <c r="B1667" s="49">
        <f>INDEX(parameters!$D$4:$N$20,MATCH('hydrogen - electrolysis'!B1650&amp;'hydrogen - electrolysis'!B1652,parameters!$A$4:$A$20,0),MATCH('hydrogen - electrolysis'!A1667,parameters!$D$3:$N$3,0))</f>
        <v>0</v>
      </c>
    </row>
    <row r="1668" spans="1:22" x14ac:dyDescent="0.2">
      <c r="A1668" t="s">
        <v>44</v>
      </c>
      <c r="B1668" s="49">
        <f>INDEX(parameters!$D$4:$N$20,MATCH('hydrogen - electrolysis'!B1650&amp;'hydrogen - electrolysis'!B1652,parameters!$A$4:$A$20,0),MATCH('hydrogen - electrolysis'!A1668,parameters!$D$3:$N$3,0))</f>
        <v>0</v>
      </c>
    </row>
    <row r="1669" spans="1:22" x14ac:dyDescent="0.2">
      <c r="A1669" t="s">
        <v>634</v>
      </c>
      <c r="B1669" s="51">
        <f>INDEX(parameters!$D$4:$Y$20,MATCH('hydrogen - electrolysis'!B1650&amp;'hydrogen - electrolysis'!B1652,parameters!$A$4:$A$20,0),MATCH('hydrogen - electrolysis'!A1669,parameters!$D$3:$Y$3,0))</f>
        <v>15.957446808510639</v>
      </c>
    </row>
    <row r="1670" spans="1:22" x14ac:dyDescent="0.2">
      <c r="A1670" t="s">
        <v>82</v>
      </c>
      <c r="B1670" s="46">
        <f>IF(B1661&lt;&gt;0,VLOOKUP(B1661,parameters!A1074:B1076,2,0),0)</f>
        <v>0</v>
      </c>
    </row>
    <row r="1671" spans="1:22" x14ac:dyDescent="0.2">
      <c r="A1671" t="s">
        <v>548</v>
      </c>
      <c r="B1671" s="50">
        <f>INDEX(parameters!$D$4:$P$20,MATCH(B1650&amp;B1652,parameters!$A$4:$A$20,0),MATCH(A1671,parameters!$D$3:$P$3,0))</f>
        <v>15</v>
      </c>
    </row>
    <row r="1672" spans="1:22" x14ac:dyDescent="0.2">
      <c r="A1672" t="s">
        <v>547</v>
      </c>
      <c r="B1672" s="51">
        <f>INDEX(parameters!$D$4:$P$20,MATCH(B1650&amp;B1652,parameters!$A$4:$A$20,0),MATCH(A1672,parameters!$D$3:$P$3,0))</f>
        <v>20</v>
      </c>
    </row>
    <row r="1673" spans="1:22" x14ac:dyDescent="0.2">
      <c r="A1673" t="s">
        <v>630</v>
      </c>
      <c r="B1673" s="51">
        <f>INDEX(parameters!$D$4:$T$20,MATCH(B1650&amp;B1652,parameters!$A$4:$A$20,0),MATCH(A1673,parameters!$D$3:$T$3,0))</f>
        <v>2100</v>
      </c>
    </row>
    <row r="1674" spans="1:22" x14ac:dyDescent="0.2">
      <c r="A1674" t="s">
        <v>1005</v>
      </c>
      <c r="B1674" s="50">
        <f>IF(B1646="megajoule",SUMIFS(allocation!$I$4:$I$30,allocation!$B$4:$B$30,B1652,allocation!$C$4:$C$30,B1653),SUMIFS(allocation!$J$4:$J$30,allocation!$B$4:$B$30,B1652,allocation!$C$4:$C$30,B1653))</f>
        <v>0</v>
      </c>
    </row>
    <row r="1675" spans="1:22" x14ac:dyDescent="0.2">
      <c r="A1675" t="s">
        <v>1050</v>
      </c>
      <c r="B1675" s="51">
        <f>INDEX(parameters!$D$4:$AB$20,MATCH(B1650&amp;B1652,parameters!$A$4:$A$20,0),MATCH(A1675,parameters!$D$3:$AB$3,0))</f>
        <v>44.562019013128115</v>
      </c>
    </row>
    <row r="1677" spans="1:22" x14ac:dyDescent="0.2">
      <c r="A1677" s="3" t="s">
        <v>57</v>
      </c>
    </row>
    <row r="1678" spans="1:22" x14ac:dyDescent="0.2">
      <c r="A1678" s="2" t="s">
        <v>58</v>
      </c>
      <c r="B1678" s="44" t="s">
        <v>59</v>
      </c>
      <c r="C1678" s="2" t="s">
        <v>55</v>
      </c>
      <c r="D1678" s="2" t="s">
        <v>60</v>
      </c>
      <c r="E1678" s="2" t="s">
        <v>52</v>
      </c>
      <c r="F1678" s="2" t="s">
        <v>61</v>
      </c>
      <c r="G1678" s="2" t="s">
        <v>54</v>
      </c>
      <c r="H1678" s="2" t="s">
        <v>87</v>
      </c>
      <c r="I1678" s="2" t="s">
        <v>51</v>
      </c>
      <c r="J1678" s="2" t="s">
        <v>138</v>
      </c>
      <c r="K1678" s="2" t="s">
        <v>136</v>
      </c>
      <c r="L1678" s="2" t="s">
        <v>221</v>
      </c>
      <c r="M1678" s="2" t="s">
        <v>379</v>
      </c>
      <c r="N1678" s="2" t="s">
        <v>1059</v>
      </c>
      <c r="O1678" s="2" t="s">
        <v>1060</v>
      </c>
      <c r="P1678" s="2" t="s">
        <v>1061</v>
      </c>
      <c r="Q1678" s="2" t="s">
        <v>1062</v>
      </c>
      <c r="R1678" s="2" t="s">
        <v>1063</v>
      </c>
      <c r="S1678" s="2" t="s">
        <v>1064</v>
      </c>
      <c r="T1678" s="2" t="s">
        <v>1065</v>
      </c>
      <c r="U1678" s="2" t="s">
        <v>380</v>
      </c>
      <c r="V1678" s="2" t="s">
        <v>1128</v>
      </c>
    </row>
    <row r="1679" spans="1:22" x14ac:dyDescent="0.2">
      <c r="A1679" t="str">
        <f>B1640</f>
        <v>heat, residential, by combustion of hydrogen using boiler, transported by truck, produced by Electrolysis, SOEC using water and electricity from grid</v>
      </c>
      <c r="B1679" s="45">
        <v>1</v>
      </c>
      <c r="C1679" t="str">
        <f>B1646</f>
        <v>megajoule</v>
      </c>
      <c r="E1679" t="str">
        <f>B1643</f>
        <v>CH</v>
      </c>
      <c r="F1679" t="s">
        <v>62</v>
      </c>
      <c r="G1679" t="str">
        <f>B1645</f>
        <v>heat, from residential heating system</v>
      </c>
      <c r="K1679" t="str">
        <f>B1640</f>
        <v>heat, residential, by combustion of hydrogen using boiler, transported by truck, produced by Electrolysis, SOEC using water and electricity from grid</v>
      </c>
    </row>
    <row r="1680" spans="1:22" x14ac:dyDescent="0.2">
      <c r="A1680" t="s">
        <v>83</v>
      </c>
      <c r="B1680" s="52">
        <f>1/(B1671*B1673*B1672*3.6)</f>
        <v>4.4091710758377425E-7</v>
      </c>
      <c r="C1680" t="s">
        <v>55</v>
      </c>
      <c r="E1680" t="s">
        <v>85</v>
      </c>
      <c r="F1680" t="s">
        <v>86</v>
      </c>
      <c r="G1680" t="s">
        <v>84</v>
      </c>
      <c r="H1680" t="s">
        <v>88</v>
      </c>
      <c r="K1680" t="str">
        <f>B1640</f>
        <v>heat, residential, by combustion of hydrogen using boiler, transported by truck, produced by Electrolysis, SOEC using water and electricity from grid</v>
      </c>
      <c r="L1680">
        <f t="shared" ref="L1680:L1685" si="53">IF(OR(B1680&lt;0,B1680=0),1,2)</f>
        <v>2</v>
      </c>
      <c r="M1680">
        <f t="shared" ref="M1680:M1685" si="54">IF(L1680=2,LN(B1680),"")</f>
        <v>-14.634408943829779</v>
      </c>
      <c r="N1680">
        <v>1.05</v>
      </c>
      <c r="O1680" s="15">
        <v>1.2</v>
      </c>
      <c r="P1680">
        <v>1</v>
      </c>
      <c r="Q1680">
        <v>1.01</v>
      </c>
      <c r="R1680">
        <v>1.2</v>
      </c>
      <c r="S1680">
        <v>1.2</v>
      </c>
      <c r="T1680">
        <v>3</v>
      </c>
      <c r="U1680">
        <f t="shared" ref="U1680:U1685" si="55">LN(SQRT(EXP(
SQRT(
+POWER(LN(N1680),2)
+POWER(LN(O1680),2)
+POWER(LN(P1680),2)
+POWER(LN(Q1680),2)
+POWER(LN(R1680),2)
+POWER(LN(S1680),2)
+POWER(LN(T1680),2)
)
)))</f>
        <v>0.57209088006881903</v>
      </c>
    </row>
    <row r="1681" spans="1:21" x14ac:dyDescent="0.2">
      <c r="A1681" t="s">
        <v>500</v>
      </c>
      <c r="B1681" s="52">
        <f>B1680*2</f>
        <v>8.8183421516754851E-7</v>
      </c>
      <c r="C1681" t="s">
        <v>267</v>
      </c>
      <c r="E1681" t="s">
        <v>85</v>
      </c>
      <c r="F1681" t="s">
        <v>86</v>
      </c>
      <c r="G1681" t="s">
        <v>501</v>
      </c>
      <c r="H1681" t="s">
        <v>88</v>
      </c>
      <c r="I1681" t="s">
        <v>621</v>
      </c>
      <c r="K1681" t="str">
        <f>B1640</f>
        <v>heat, residential, by combustion of hydrogen using boiler, transported by truck, produced by Electrolysis, SOEC using water and electricity from grid</v>
      </c>
      <c r="L1681">
        <f t="shared" si="53"/>
        <v>2</v>
      </c>
      <c r="M1681">
        <f t="shared" si="54"/>
        <v>-13.941261763269834</v>
      </c>
      <c r="N1681">
        <v>1.05</v>
      </c>
      <c r="O1681" s="15">
        <v>1.2</v>
      </c>
      <c r="P1681">
        <v>1</v>
      </c>
      <c r="Q1681">
        <v>1.01</v>
      </c>
      <c r="R1681">
        <v>1.2</v>
      </c>
      <c r="S1681">
        <v>1.2</v>
      </c>
      <c r="T1681">
        <v>3</v>
      </c>
      <c r="U1681">
        <f t="shared" si="55"/>
        <v>0.57209088006881903</v>
      </c>
    </row>
    <row r="1682" spans="1:21" x14ac:dyDescent="0.2">
      <c r="A1682" s="45" t="str">
        <f>"hydrogen supply, transported by "&amp;B1654&amp;", produced by "&amp;B1658&amp;" using "&amp;B1659&amp;" from "&amp;B1660</f>
        <v>hydrogen supply, transported by truck, produced by Electrolysis, SOEC using water and electricity from grid</v>
      </c>
      <c r="B1682" s="53">
        <f>(B1679/B1663)/B1662</f>
        <v>8.8652482269503553E-3</v>
      </c>
      <c r="C1682" t="str">
        <f>VLOOKUP(J1682,'dataset mapping'!$A$4:$E$69,5,0)</f>
        <v>kilogram</v>
      </c>
      <c r="E1682" t="str">
        <f>VLOOKUP(J1682,'dataset mapping'!$A$4:$E$69,4,0)</f>
        <v>CH</v>
      </c>
      <c r="F1682" t="s">
        <v>86</v>
      </c>
      <c r="G1682" t="str">
        <f>"hydrogen, gaseous, from "&amp;B1654</f>
        <v>hydrogen, gaseous, from truck</v>
      </c>
      <c r="H1682" t="s">
        <v>76</v>
      </c>
      <c r="I1682" t="s">
        <v>1054</v>
      </c>
      <c r="J1682" t="s">
        <v>282</v>
      </c>
      <c r="K1682" t="str">
        <f>B1640</f>
        <v>heat, residential, by combustion of hydrogen using boiler, transported by truck, produced by Electrolysis, SOEC using water and electricity from grid</v>
      </c>
      <c r="L1682">
        <f t="shared" si="53"/>
        <v>2</v>
      </c>
      <c r="M1682">
        <f t="shared" si="54"/>
        <v>-4.7256163390639587</v>
      </c>
      <c r="N1682">
        <v>1.05</v>
      </c>
      <c r="O1682" s="15">
        <v>1.2</v>
      </c>
      <c r="P1682">
        <v>1</v>
      </c>
      <c r="Q1682">
        <v>1.01</v>
      </c>
      <c r="R1682">
        <v>1.2</v>
      </c>
      <c r="S1682">
        <v>1.2</v>
      </c>
      <c r="T1682">
        <v>1.05</v>
      </c>
      <c r="U1682">
        <f t="shared" si="55"/>
        <v>0.16169679924070957</v>
      </c>
    </row>
    <row r="1683" spans="1:21" x14ac:dyDescent="0.2">
      <c r="A1683" t="str">
        <f>VLOOKUP(J1683,'dataset mapping'!$A$4:$E$69,2,0)</f>
        <v>high pressure hydrogen storage tank</v>
      </c>
      <c r="B1683" s="52">
        <f>((B1675/10)/(B1673*B1669*20*3.6))*IF(B1674&lt;&gt;0,B1674,1)</f>
        <v>1.8469267139479905E-6</v>
      </c>
      <c r="C1683" t="str">
        <f>VLOOKUP(J1683,'dataset mapping'!$A$4:$E$69,5,0)</f>
        <v>kilogram</v>
      </c>
      <c r="E1683" t="str">
        <f>VLOOKUP(J1683,'dataset mapping'!$A$4:$E$69,4,0)</f>
        <v>GLO</v>
      </c>
      <c r="F1683" t="s">
        <v>86</v>
      </c>
      <c r="G1683" t="str">
        <f>VLOOKUP(J1683,'dataset mapping'!$A$4:$E$69,3,0)</f>
        <v>high pressure hydrogen storage tank</v>
      </c>
      <c r="H1683" t="s">
        <v>88</v>
      </c>
      <c r="I1683" t="s">
        <v>230</v>
      </c>
      <c r="J1683" t="s">
        <v>229</v>
      </c>
      <c r="K1683" t="str">
        <f>B1640</f>
        <v>heat, residential, by combustion of hydrogen using boiler, transported by truck, produced by Electrolysis, SOEC using water and electricity from grid</v>
      </c>
      <c r="L1683">
        <f t="shared" si="53"/>
        <v>2</v>
      </c>
      <c r="M1683">
        <f t="shared" si="54"/>
        <v>-13.20198753595994</v>
      </c>
      <c r="N1683">
        <v>1.05</v>
      </c>
      <c r="O1683" s="15">
        <v>1.2</v>
      </c>
      <c r="P1683">
        <v>1</v>
      </c>
      <c r="Q1683">
        <v>1.01</v>
      </c>
      <c r="R1683">
        <v>1.2</v>
      </c>
      <c r="S1683">
        <v>1.2</v>
      </c>
      <c r="T1683">
        <v>3</v>
      </c>
      <c r="U1683">
        <f t="shared" si="55"/>
        <v>0.57209088006881903</v>
      </c>
    </row>
    <row r="1684" spans="1:21" x14ac:dyDescent="0.2">
      <c r="A1684" t="s">
        <v>134</v>
      </c>
      <c r="B1684" s="45">
        <f>B1682*9</f>
        <v>7.9787234042553196E-2</v>
      </c>
      <c r="C1684" t="s">
        <v>56</v>
      </c>
      <c r="D1684" t="s">
        <v>100</v>
      </c>
      <c r="F1684" t="s">
        <v>99</v>
      </c>
      <c r="H1684" t="s">
        <v>131</v>
      </c>
      <c r="I1684" t="s">
        <v>1058</v>
      </c>
      <c r="K1684" t="str">
        <f>B1640</f>
        <v>heat, residential, by combustion of hydrogen using boiler, transported by truck, produced by Electrolysis, SOEC using water and electricity from grid</v>
      </c>
      <c r="L1684">
        <f t="shared" si="53"/>
        <v>2</v>
      </c>
      <c r="M1684">
        <f t="shared" si="54"/>
        <v>-2.5283917617277392</v>
      </c>
      <c r="N1684">
        <v>1.05</v>
      </c>
      <c r="O1684" s="15">
        <v>1.2</v>
      </c>
      <c r="P1684">
        <v>1</v>
      </c>
      <c r="Q1684">
        <v>1.01</v>
      </c>
      <c r="R1684">
        <v>1.2</v>
      </c>
      <c r="S1684">
        <v>1.2</v>
      </c>
      <c r="T1684">
        <v>1.05</v>
      </c>
      <c r="U1684">
        <f t="shared" si="55"/>
        <v>0.16169679924070957</v>
      </c>
    </row>
    <row r="1685" spans="1:21" x14ac:dyDescent="0.2">
      <c r="A1685" t="s">
        <v>135</v>
      </c>
      <c r="B1685" s="45">
        <f>912.5/1000000*B1682</f>
        <v>8.0895390070921995E-6</v>
      </c>
      <c r="C1685" t="s">
        <v>56</v>
      </c>
      <c r="D1685" t="s">
        <v>100</v>
      </c>
      <c r="F1685" t="s">
        <v>99</v>
      </c>
      <c r="H1685" t="s">
        <v>131</v>
      </c>
      <c r="I1685" t="s">
        <v>1217</v>
      </c>
      <c r="K1685" t="str">
        <f>B1640</f>
        <v>heat, residential, by combustion of hydrogen using boiler, transported by truck, produced by Electrolysis, SOEC using water and electricity from grid</v>
      </c>
      <c r="L1685">
        <f t="shared" si="53"/>
        <v>2</v>
      </c>
      <c r="M1685">
        <f t="shared" si="54"/>
        <v>-11.724938811571587</v>
      </c>
      <c r="N1685">
        <v>1.05</v>
      </c>
      <c r="O1685" s="15">
        <v>1.2</v>
      </c>
      <c r="P1685">
        <v>1</v>
      </c>
      <c r="Q1685">
        <v>1.01</v>
      </c>
      <c r="R1685">
        <v>1.2</v>
      </c>
      <c r="S1685">
        <v>1.2</v>
      </c>
      <c r="T1685">
        <v>1.5</v>
      </c>
      <c r="U1685">
        <f t="shared" si="55"/>
        <v>0.25816898211842121</v>
      </c>
    </row>
    <row r="1687" spans="1:21" x14ac:dyDescent="0.2">
      <c r="A1687" s="2" t="s">
        <v>50</v>
      </c>
      <c r="B1687" s="44" t="str">
        <f>IF(B1693="megajoule","heat","electricity")&amp;", residential, by "&amp;B1698&amp;" of "&amp;B1697&amp;" using "&amp;B1699&amp;IF(B1700&lt;&gt;0,", allocated by "&amp;B1700,"")&amp;", transported by "&amp;B1701&amp;", produced by "&amp;B1705&amp;" using "&amp;B1706&amp;" from "&amp;B1707</f>
        <v>heat, residential, by combustion of hydrogen using CHP, allocated by exergy, transported by truck, produced by Electrolysis, SOEC using water and electricity from grid</v>
      </c>
    </row>
    <row r="1688" spans="1:21" x14ac:dyDescent="0.2">
      <c r="A1688" t="s">
        <v>51</v>
      </c>
      <c r="B1688" s="45" t="str">
        <f>"This dataset represents the supply of 1 "&amp;IF(B1693="megajoule","megajoule of heat","kilowatt hour of electricity")&amp;" in a residence, by "&amp;B1697&amp;" "&amp;B1698&amp;" in a "&amp;B1699&amp;". "&amp;" The hydrogen is transported by "&amp;B1701&amp;" over "&amp;B1702&amp;" km from regional storage. "&amp;" The "&amp;B1697&amp;" is produced by  "&amp;B1705&amp;", with "&amp;B1706&amp;" from "&amp;B1707&amp;" as feedstock. "&amp;A1709&amp;": "&amp;(B1709*100)&amp;"%. "&amp;A1710&amp;": "&amp;B1710&amp;". "&amp;A1711&amp;": "&amp;B1711&amp;". "&amp;A1712&amp;": "&amp;(B1712*100)&amp;"%. "&amp;A1713&amp;": "&amp;(B1713*100)&amp;"%. "&amp;A1714&amp;": "&amp;(B1714*100)&amp;"%. "&amp;A1715&amp;": "&amp;B1715&amp;". "&amp;A1716&amp;": "&amp;B1716&amp;". "&amp;A1717&amp;": "&amp;(B1717*100)&amp;"%. "&amp;A1718&amp;": "&amp;B1718&amp;". "&amp;A1719&amp;": "&amp;B1719&amp;". "&amp;A1720&amp;": "&amp;B1720&amp;". "&amp;A1721&amp;": "&amp;B1721&amp;".  For more information, refer to: "&amp;B1689</f>
        <v>This dataset represents the supply of 1 megajoule of heat in a residence, by hydrogen combustion in a CHP.  The hydrogen is transported by truck over 200 km from regional storage.  The hydrogen is produced by  Electrolysis, SOEC, with water and electricity from grid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1689" spans="1:21" x14ac:dyDescent="0.2">
      <c r="A1689" t="s">
        <v>63</v>
      </c>
      <c r="B1689" s="45" t="s">
        <v>1223</v>
      </c>
    </row>
    <row r="1690" spans="1:21" x14ac:dyDescent="0.2">
      <c r="A1690" t="s">
        <v>52</v>
      </c>
      <c r="B1690" s="45" t="s">
        <v>64</v>
      </c>
    </row>
    <row r="1691" spans="1:21" x14ac:dyDescent="0.2">
      <c r="A1691" t="s">
        <v>48</v>
      </c>
      <c r="B1691" s="45">
        <v>22</v>
      </c>
    </row>
    <row r="1692" spans="1:21" x14ac:dyDescent="0.2">
      <c r="A1692" t="s">
        <v>54</v>
      </c>
      <c r="B1692" s="45" t="str">
        <f>INDEX(overview!$B$4:$R$338,MATCH('hydrogen - electrolysis'!B1691,overview!$A$4:$A$338,0),MATCH('hydrogen - electrolysis'!A1692,overview!$B$3:$R$3,0))</f>
        <v>heat, from residential heating system</v>
      </c>
    </row>
    <row r="1693" spans="1:21" x14ac:dyDescent="0.2">
      <c r="A1693" t="s">
        <v>55</v>
      </c>
      <c r="B1693" s="45" t="str">
        <f>INDEX(overview!$B$4:$R$338,MATCH('hydrogen - electrolysis'!B1691,overview!$A$4:$A$338,0),MATCH('hydrogen - electrolysis'!A1693,overview!$B$3:$R$3,0))</f>
        <v>megajoule</v>
      </c>
    </row>
    <row r="1694" spans="1:21" x14ac:dyDescent="0.2">
      <c r="A1694" t="s">
        <v>0</v>
      </c>
      <c r="B1694" s="45" t="str">
        <f>INDEX(overview!$B$4:$R$338,MATCH('hydrogen - electrolysis'!B1691,overview!$A$4:$A$338,0),MATCH('hydrogen - electrolysis'!A1694,overview!$B$3:$R$3,0))</f>
        <v>Switzerland</v>
      </c>
    </row>
    <row r="1695" spans="1:21" x14ac:dyDescent="0.2">
      <c r="A1695" t="s">
        <v>1</v>
      </c>
      <c r="B1695" s="45">
        <f>INDEX(overview!$B$4:$R$338,MATCH('hydrogen - electrolysis'!B1691,overview!$A$4:$A$338,0),MATCH('hydrogen - electrolysis'!A1695,overview!$B$3:$R$3,0))</f>
        <v>2020</v>
      </c>
    </row>
    <row r="1696" spans="1:21" x14ac:dyDescent="0.2">
      <c r="A1696" t="s">
        <v>2</v>
      </c>
      <c r="B1696" s="45" t="str">
        <f>INDEX(overview!$B$4:$R$338,MATCH('hydrogen - electrolysis'!B1691,overview!$A$4:$A$338,0),MATCH('hydrogen - electrolysis'!A1696,overview!$B$3:$R$3,0))</f>
        <v>1 MJ heat</v>
      </c>
    </row>
    <row r="1697" spans="1:2" x14ac:dyDescent="0.2">
      <c r="A1697" t="s">
        <v>5</v>
      </c>
      <c r="B1697" s="45" t="str">
        <f>INDEX(overview!$B$4:$R$338,MATCH('hydrogen - electrolysis'!B1691,overview!$A$4:$A$338,0),MATCH('hydrogen - electrolysis'!A1697,overview!$B$3:$R$3,0))</f>
        <v>hydrogen</v>
      </c>
    </row>
    <row r="1698" spans="1:2" x14ac:dyDescent="0.2">
      <c r="A1698" t="s">
        <v>3</v>
      </c>
      <c r="B1698" s="45" t="str">
        <f>INDEX(overview!$B$4:$R$338,MATCH('hydrogen - electrolysis'!B1691,overview!$A$4:$A$338,0),MATCH('hydrogen - electrolysis'!A1698,overview!$B$3:$R$3,0))</f>
        <v>combustion</v>
      </c>
    </row>
    <row r="1699" spans="1:2" x14ac:dyDescent="0.2">
      <c r="A1699" t="s">
        <v>6</v>
      </c>
      <c r="B1699" s="45" t="str">
        <f>INDEX(overview!$B$4:$R$338,MATCH('hydrogen - electrolysis'!B1691,overview!$A$4:$A$338,0),MATCH('hydrogen - electrolysis'!A1699,overview!$B$3:$R$3,0))</f>
        <v>CHP</v>
      </c>
    </row>
    <row r="1700" spans="1:2" x14ac:dyDescent="0.2">
      <c r="A1700" t="s">
        <v>39</v>
      </c>
      <c r="B1700" s="45" t="str">
        <f>INDEX(overview!$B$4:$R$338,MATCH('hydrogen - electrolysis'!B1691,overview!$A$4:$A$338,0),MATCH('hydrogen - electrolysis'!A1700,overview!$B$3:$R$3,0))</f>
        <v>exergy</v>
      </c>
    </row>
    <row r="1701" spans="1:2" x14ac:dyDescent="0.2">
      <c r="A1701" t="s">
        <v>4</v>
      </c>
      <c r="B1701" s="45" t="str">
        <f>INDEX(overview!$B$4:$R$338,MATCH('hydrogen - electrolysis'!B1691,overview!$A$4:$A$338,0),MATCH('hydrogen - electrolysis'!A1701,overview!$B$3:$R$3,0))</f>
        <v>truck</v>
      </c>
    </row>
    <row r="1702" spans="1:2" x14ac:dyDescent="0.2">
      <c r="A1702" t="s">
        <v>38</v>
      </c>
      <c r="B1702" s="45">
        <f>INDEX(overview!$B$4:$R$338,MATCH('hydrogen - electrolysis'!B1691,overview!$A$4:$A$338,0),MATCH('hydrogen - electrolysis'!A1702,overview!$B$3:$R$3,0))</f>
        <v>200</v>
      </c>
    </row>
    <row r="1703" spans="1:2" x14ac:dyDescent="0.2">
      <c r="A1703" t="s">
        <v>12</v>
      </c>
      <c r="B1703" s="45" t="str">
        <f>INDEX(overview!$B$4:$R$338,MATCH('hydrogen - electrolysis'!B1691,overview!$A$4:$A$338,0),MATCH('hydrogen - electrolysis'!A1703,overview!$B$3:$R$3,0))</f>
        <v>Pressure vessel for stationary storage</v>
      </c>
    </row>
    <row r="1704" spans="1:2" x14ac:dyDescent="0.2">
      <c r="A1704" t="s">
        <v>34</v>
      </c>
      <c r="B1704" s="45">
        <f>INDEX(overview!$B$4:$R$338,MATCH('hydrogen - electrolysis'!B1691,overview!$A$4:$A$338,0),MATCH('hydrogen - electrolysis'!A1704,overview!$B$3:$R$3,0))</f>
        <v>0</v>
      </c>
    </row>
    <row r="1705" spans="1:2" x14ac:dyDescent="0.2">
      <c r="A1705" t="s">
        <v>15</v>
      </c>
      <c r="B1705" s="45" t="str">
        <f>INDEX(overview!$B$4:$R$338,MATCH('hydrogen - electrolysis'!B1691,overview!$A$4:$A$338,0),MATCH('hydrogen - electrolysis'!A1705,overview!$B$3:$R$3,0))</f>
        <v>Electrolysis, SOEC</v>
      </c>
    </row>
    <row r="1706" spans="1:2" x14ac:dyDescent="0.2">
      <c r="A1706" t="s">
        <v>14</v>
      </c>
      <c r="B1706" s="45" t="str">
        <f>INDEX(overview!$B$4:$R$338,MATCH('hydrogen - electrolysis'!B1691,overview!$A$4:$A$338,0),MATCH('hydrogen - electrolysis'!A1706,overview!$B$3:$R$3,0))</f>
        <v>water and electricity</v>
      </c>
    </row>
    <row r="1707" spans="1:2" x14ac:dyDescent="0.2">
      <c r="A1707" t="s">
        <v>26</v>
      </c>
      <c r="B1707" s="45" t="str">
        <f>INDEX(overview!$B$4:$R$338,MATCH('hydrogen - electrolysis'!B1691,overview!$A$4:$A$338,0),MATCH('hydrogen - electrolysis'!A1707,overview!$B$3:$R$3,0))</f>
        <v>grid</v>
      </c>
    </row>
    <row r="1708" spans="1:2" x14ac:dyDescent="0.2">
      <c r="A1708" t="s">
        <v>29</v>
      </c>
      <c r="B1708" s="45">
        <f>INDEX(overview!$B$4:$R$338,MATCH('hydrogen - electrolysis'!B1691,overview!$A$4:$A$338,0),MATCH('hydrogen - electrolysis'!A1708,overview!$B$3:$R$3,0))</f>
        <v>0</v>
      </c>
    </row>
    <row r="1709" spans="1:2" x14ac:dyDescent="0.2">
      <c r="A1709" t="str">
        <f>IF(B1693="megajoule","Heat","Electricity")&amp;" conversion efficiency [% LHV input]"</f>
        <v>Heat conversion efficiency [% LHV input]</v>
      </c>
      <c r="B1709" s="46">
        <f>INDEX(parameters!$D$4:$N$20,MATCH('hydrogen - electrolysis'!B1697&amp;'hydrogen - electrolysis'!B1699,parameters!$A$4:$A$20,0),MATCH('hydrogen - electrolysis'!A1709,parameters!$D$3:$N$3,0))</f>
        <v>0.41699999999999998</v>
      </c>
    </row>
    <row r="1710" spans="1:2" x14ac:dyDescent="0.2">
      <c r="A1710" t="str">
        <f>IF(B1693="megajoule","LHV [MJ/kg]","LHV [kWh/kg]")</f>
        <v>LHV [MJ/kg]</v>
      </c>
      <c r="B1710" s="47">
        <f>INDEX(parameters!$D$4:$N$20,MATCH('hydrogen - electrolysis'!B1697&amp;'hydrogen - electrolysis'!B1699,parameters!$A$4:$A$20,0),MATCH('hydrogen - electrolysis'!A1710,parameters!$D$3:$N$3,0))</f>
        <v>120</v>
      </c>
    </row>
    <row r="1711" spans="1:2" x14ac:dyDescent="0.2">
      <c r="A1711" t="s">
        <v>41</v>
      </c>
      <c r="B1711" s="48">
        <f>INDEX(parameters!$D$4:$N$20,MATCH('hydrogen - electrolysis'!B1697&amp;'hydrogen - electrolysis'!B1699,parameters!$A$4:$A$20,0),MATCH('hydrogen - electrolysis'!A1711,parameters!$D$3:$N$3,0))</f>
        <v>2.6666666666666665E-2</v>
      </c>
    </row>
    <row r="1712" spans="1:2" x14ac:dyDescent="0.2">
      <c r="A1712" t="s">
        <v>45</v>
      </c>
      <c r="B1712" s="46">
        <f>INDEX(parameters!$D$4:$N$20,MATCH('hydrogen - electrolysis'!B1697&amp;'hydrogen - electrolysis'!B1699,parameters!$A$4:$A$20,0),MATCH('hydrogen - electrolysis'!A1712,parameters!$D$3:$N$3,0))</f>
        <v>0</v>
      </c>
    </row>
    <row r="1713" spans="1:22" x14ac:dyDescent="0.2">
      <c r="A1713" t="s">
        <v>46</v>
      </c>
      <c r="B1713" s="46">
        <f>INDEX(parameters!$D$4:$N$20,MATCH('hydrogen - electrolysis'!B1697&amp;'hydrogen - electrolysis'!B1699,parameters!$A$4:$A$20,0),MATCH('hydrogen - electrolysis'!A1713,parameters!$D$3:$N$3,0))</f>
        <v>1.4999999999999999E-2</v>
      </c>
    </row>
    <row r="1714" spans="1:22" x14ac:dyDescent="0.2">
      <c r="A1714" t="s">
        <v>43</v>
      </c>
      <c r="B1714" s="46">
        <f>INDEX(parameters!$D$4:$N$20,MATCH('hydrogen - electrolysis'!B1697&amp;'hydrogen - electrolysis'!B1699,parameters!$A$4:$A$20,0),MATCH('hydrogen - electrolysis'!A1714,parameters!$D$3:$N$3,0))</f>
        <v>0</v>
      </c>
    </row>
    <row r="1715" spans="1:22" x14ac:dyDescent="0.2">
      <c r="A1715" t="s">
        <v>44</v>
      </c>
      <c r="B1715" s="46">
        <f>INDEX(parameters!$D$4:$N$20,MATCH('hydrogen - electrolysis'!B1697&amp;'hydrogen - electrolysis'!B1699,parameters!$A$4:$A$20,0),MATCH('hydrogen - electrolysis'!A1715,parameters!$D$3:$N$3,0))</f>
        <v>0</v>
      </c>
    </row>
    <row r="1716" spans="1:22" x14ac:dyDescent="0.2">
      <c r="A1716" t="s">
        <v>634</v>
      </c>
      <c r="B1716" s="51">
        <f>INDEX(parameters!$D$4:$Y$20,MATCH('hydrogen - electrolysis'!B1697&amp;'hydrogen - electrolysis'!B1699,parameters!$A$4:$A$20,0),MATCH('hydrogen - electrolysis'!A1716,parameters!$D$3:$Y$3,0))</f>
        <v>351.41800246609125</v>
      </c>
    </row>
    <row r="1717" spans="1:22" x14ac:dyDescent="0.2">
      <c r="A1717" t="s">
        <v>82</v>
      </c>
      <c r="B1717" s="46">
        <f>IF(B1708&lt;&gt;0,VLOOKUP(B1708,parameters!A1125:B1127,2,0),0)</f>
        <v>0</v>
      </c>
    </row>
    <row r="1718" spans="1:22" x14ac:dyDescent="0.2">
      <c r="A1718" t="s">
        <v>548</v>
      </c>
      <c r="B1718" s="50">
        <f>INDEX(parameters!$D$4:$P$20,MATCH(B1697&amp;B1699,parameters!$A$4:$A$20,0),MATCH(A1718,parameters!$D$3:$P$3,0))</f>
        <v>125</v>
      </c>
    </row>
    <row r="1719" spans="1:22" x14ac:dyDescent="0.2">
      <c r="A1719" t="s">
        <v>547</v>
      </c>
      <c r="B1719" s="51">
        <f>INDEX(parameters!$D$4:$P$20,MATCH(B1697&amp;B1699,parameters!$A$4:$A$20,0),MATCH(A1719,parameters!$D$3:$P$3,0))</f>
        <v>19.512195121951219</v>
      </c>
    </row>
    <row r="1720" spans="1:22" x14ac:dyDescent="0.2">
      <c r="A1720" t="s">
        <v>630</v>
      </c>
      <c r="B1720" s="51">
        <f>INDEX(parameters!$D$4:$T$20,MATCH(B1697&amp;B1699,parameters!$A$4:$A$20,0),MATCH(A1720,parameters!$D$3:$T$3,0))</f>
        <v>4100</v>
      </c>
    </row>
    <row r="1721" spans="1:22" x14ac:dyDescent="0.2">
      <c r="A1721" t="s">
        <v>1005</v>
      </c>
      <c r="B1721" s="50">
        <f>IF(B1693="megajoule",SUMIFS(allocation!$I$4:$I$30,allocation!$B$4:$B$30,B1699,allocation!$C$4:$C$30,B1700),SUMIFS(allocation!$J$4:$J$30,allocation!$B$4:$B$30,B1699,allocation!$C$4:$C$30,B1700))</f>
        <v>0.12860042227295038</v>
      </c>
    </row>
    <row r="1722" spans="1:22" x14ac:dyDescent="0.2">
      <c r="A1722" t="s">
        <v>1050</v>
      </c>
      <c r="B1722" s="51">
        <f>INDEX(parameters!$D$4:$AB$20,MATCH(B1697&amp;B1699,parameters!$A$4:$A$20,0),MATCH(A1722,parameters!$D$3:$AB$3,0))</f>
        <v>2220.7364520822662</v>
      </c>
    </row>
    <row r="1724" spans="1:22" x14ac:dyDescent="0.2">
      <c r="A1724" s="3" t="s">
        <v>57</v>
      </c>
    </row>
    <row r="1725" spans="1:22" x14ac:dyDescent="0.2">
      <c r="A1725" s="2" t="s">
        <v>58</v>
      </c>
      <c r="B1725" s="44" t="s">
        <v>59</v>
      </c>
      <c r="C1725" s="2" t="s">
        <v>55</v>
      </c>
      <c r="D1725" s="2" t="s">
        <v>60</v>
      </c>
      <c r="E1725" s="2" t="s">
        <v>52</v>
      </c>
      <c r="F1725" s="2" t="s">
        <v>61</v>
      </c>
      <c r="G1725" s="2" t="s">
        <v>54</v>
      </c>
      <c r="H1725" s="2" t="s">
        <v>87</v>
      </c>
      <c r="I1725" s="2" t="s">
        <v>51</v>
      </c>
      <c r="J1725" s="2" t="s">
        <v>138</v>
      </c>
      <c r="K1725" s="2" t="s">
        <v>136</v>
      </c>
      <c r="L1725" s="2" t="s">
        <v>221</v>
      </c>
      <c r="M1725" s="2" t="s">
        <v>379</v>
      </c>
      <c r="N1725" s="2" t="s">
        <v>1059</v>
      </c>
      <c r="O1725" s="2" t="s">
        <v>1060</v>
      </c>
      <c r="P1725" s="2" t="s">
        <v>1061</v>
      </c>
      <c r="Q1725" s="2" t="s">
        <v>1062</v>
      </c>
      <c r="R1725" s="2" t="s">
        <v>1063</v>
      </c>
      <c r="S1725" s="2" t="s">
        <v>1064</v>
      </c>
      <c r="T1725" s="2" t="s">
        <v>1065</v>
      </c>
      <c r="U1725" s="2" t="s">
        <v>380</v>
      </c>
      <c r="V1725" s="2" t="s">
        <v>1128</v>
      </c>
    </row>
    <row r="1726" spans="1:22" x14ac:dyDescent="0.2">
      <c r="A1726" t="str">
        <f>B1687</f>
        <v>heat, residential, by combustion of hydrogen using CHP, allocated by exergy, transported by truck, produced by Electrolysis, SOEC using water and electricity from grid</v>
      </c>
      <c r="B1726" s="45">
        <v>1</v>
      </c>
      <c r="C1726" t="str">
        <f>B1693</f>
        <v>megajoule</v>
      </c>
      <c r="E1726" t="str">
        <f>B1690</f>
        <v>CH</v>
      </c>
      <c r="F1726" t="s">
        <v>62</v>
      </c>
      <c r="G1726" t="str">
        <f>B1692</f>
        <v>heat, from residential heating system</v>
      </c>
      <c r="K1726" t="str">
        <f>B1687</f>
        <v>heat, residential, by combustion of hydrogen using CHP, allocated by exergy, transported by truck, produced by Electrolysis, SOEC using water and electricity from grid</v>
      </c>
    </row>
    <row r="1727" spans="1:22" x14ac:dyDescent="0.2">
      <c r="A1727" t="str">
        <f>VLOOKUP(J1727,'dataset mapping'!$A$4:$E$69,2,0)</f>
        <v>heat and power co-generation unit construction, 160kW electrical, common components for heat+electricity</v>
      </c>
      <c r="B1727" s="52">
        <f>(1/(B1716*B1720*B1719*3.6))*B1721</f>
        <v>1.270649883812899E-9</v>
      </c>
      <c r="C1727" t="str">
        <f>VLOOKUP(J1727,'dataset mapping'!$A$4:$E$69,5,0)</f>
        <v>unit</v>
      </c>
      <c r="E1727" t="str">
        <f>VLOOKUP(J1727,'dataset mapping'!$A$4:$E$69,4,0)</f>
        <v>RER</v>
      </c>
      <c r="F1727" t="s">
        <v>86</v>
      </c>
      <c r="G1727" t="str">
        <f>VLOOKUP(J1727,'dataset mapping'!$A$4:$E$69,3,0)</f>
        <v>heat and power co-generation unit, 160kW electrical, common components for heat+electricity</v>
      </c>
      <c r="H1727" t="s">
        <v>88</v>
      </c>
      <c r="J1727" t="s">
        <v>145</v>
      </c>
      <c r="K1727" t="str">
        <f>B1687</f>
        <v>heat, residential, by combustion of hydrogen using CHP, allocated by exergy, transported by truck, produced by Electrolysis, SOEC using water and electricity from grid</v>
      </c>
      <c r="L1727">
        <f>IF(OR(B1727&lt;0,B1727=0),1,2)</f>
        <v>2</v>
      </c>
      <c r="M1727">
        <f>IF(L1727=2,LN(B1727),"")</f>
        <v>-20.48373734782199</v>
      </c>
      <c r="N1727">
        <v>1.05</v>
      </c>
      <c r="O1727" s="15">
        <v>1.2</v>
      </c>
      <c r="P1727">
        <v>1</v>
      </c>
      <c r="Q1727">
        <v>1.01</v>
      </c>
      <c r="R1727">
        <v>1.2</v>
      </c>
      <c r="S1727">
        <v>1.2</v>
      </c>
      <c r="T1727">
        <v>3</v>
      </c>
      <c r="U1727">
        <f t="shared" ref="U1727:U1735" si="56">LN(SQRT(EXP(
SQRT(
+POWER(LN(N1727),2)
+POWER(LN(O1727),2)
+POWER(LN(P1727),2)
+POWER(LN(Q1727),2)
+POWER(LN(R1727),2)
+POWER(LN(S1727),2)
+POWER(LN(T1727),2)
)
)))</f>
        <v>0.57209088006881903</v>
      </c>
    </row>
    <row r="1728" spans="1:22" x14ac:dyDescent="0.2">
      <c r="A1728" t="str">
        <f>VLOOKUP(J1728,'dataset mapping'!$A$4:$E$69,2,0)</f>
        <v>heat and power co-generation unit construction, 160kW electrical, components for electricity only</v>
      </c>
      <c r="B1728" s="52">
        <f>(1/(B1716*B1720*B1719*3.6))*B1721</f>
        <v>1.270649883812899E-9</v>
      </c>
      <c r="C1728" t="str">
        <f>VLOOKUP(J1728,'dataset mapping'!$A$4:$E$69,5,0)</f>
        <v>unit</v>
      </c>
      <c r="E1728" t="str">
        <f>VLOOKUP(J1728,'dataset mapping'!$A$4:$E$69,4,0)</f>
        <v>RER</v>
      </c>
      <c r="F1728" t="s">
        <v>86</v>
      </c>
      <c r="G1728" t="str">
        <f>VLOOKUP(J1728,'dataset mapping'!$A$4:$E$69,3,0)</f>
        <v>heat and power co-generation unit, 160kW electrical, components for electricity only</v>
      </c>
      <c r="H1728" t="s">
        <v>88</v>
      </c>
      <c r="J1728" t="s">
        <v>146</v>
      </c>
      <c r="K1728" t="str">
        <f>B1687</f>
        <v>heat, residential, by combustion of hydrogen using CHP, allocated by exergy, transported by truck, produced by Electrolysis, SOEC using water and electricity from grid</v>
      </c>
      <c r="L1728">
        <f>IF(OR(B1728&lt;0,B1728=0),1,2)</f>
        <v>2</v>
      </c>
      <c r="M1728">
        <f>IF(L1728=2,LN(B1728),"")</f>
        <v>-20.48373734782199</v>
      </c>
      <c r="N1728">
        <v>1.05</v>
      </c>
      <c r="O1728" s="15">
        <v>1.2</v>
      </c>
      <c r="P1728">
        <v>1</v>
      </c>
      <c r="Q1728">
        <v>1.01</v>
      </c>
      <c r="R1728">
        <v>1.2</v>
      </c>
      <c r="S1728">
        <v>1.2</v>
      </c>
      <c r="T1728">
        <v>3</v>
      </c>
      <c r="U1728">
        <f t="shared" si="56"/>
        <v>0.57209088006881903</v>
      </c>
    </row>
    <row r="1729" spans="1:22" x14ac:dyDescent="0.2">
      <c r="A1729" t="str">
        <f>VLOOKUP(J1729,'dataset mapping'!$A$4:$E$69,2,0)</f>
        <v>heat and power co-generation unit construction, 160kW electrical, components for heat only</v>
      </c>
      <c r="B1729" s="52">
        <f>(1/(B1716*B1720*B1719*3.6))*B1721</f>
        <v>1.270649883812899E-9</v>
      </c>
      <c r="C1729" t="str">
        <f>VLOOKUP(J1729,'dataset mapping'!$A$4:$E$69,5,0)</f>
        <v>unit</v>
      </c>
      <c r="E1729" t="str">
        <f>VLOOKUP(J1729,'dataset mapping'!$A$4:$E$69,4,0)</f>
        <v>RER</v>
      </c>
      <c r="F1729" t="s">
        <v>86</v>
      </c>
      <c r="G1729" t="str">
        <f>VLOOKUP(J1729,'dataset mapping'!$A$4:$E$69,3,0)</f>
        <v>heat and power co-generation unit, 160kW electrical, components for heat only</v>
      </c>
      <c r="H1729" t="s">
        <v>88</v>
      </c>
      <c r="J1729" t="s">
        <v>147</v>
      </c>
      <c r="K1729" t="str">
        <f>B1687</f>
        <v>heat, residential, by combustion of hydrogen using CHP, allocated by exergy, transported by truck, produced by Electrolysis, SOEC using water and electricity from grid</v>
      </c>
      <c r="L1729">
        <f>IF(OR(B1729&lt;0,B1729=0),1,2)</f>
        <v>2</v>
      </c>
      <c r="M1729">
        <f>IF(L1729=2,LN(B1729),"")</f>
        <v>-20.48373734782199</v>
      </c>
      <c r="N1729">
        <v>1.05</v>
      </c>
      <c r="O1729" s="15">
        <v>1.2</v>
      </c>
      <c r="P1729">
        <v>1</v>
      </c>
      <c r="Q1729">
        <v>1.01</v>
      </c>
      <c r="R1729">
        <v>1.2</v>
      </c>
      <c r="S1729">
        <v>1.2</v>
      </c>
      <c r="T1729">
        <v>3</v>
      </c>
      <c r="U1729">
        <f t="shared" si="56"/>
        <v>0.57209088006881903</v>
      </c>
    </row>
    <row r="1730" spans="1:22" x14ac:dyDescent="0.2">
      <c r="A1730" t="s">
        <v>156</v>
      </c>
      <c r="B1730" s="52">
        <f>0.00000011366*B1721</f>
        <v>1.461672399554354E-8</v>
      </c>
      <c r="C1730" t="s">
        <v>56</v>
      </c>
      <c r="E1730" t="s">
        <v>90</v>
      </c>
      <c r="F1730" t="s">
        <v>86</v>
      </c>
      <c r="G1730" t="s">
        <v>154</v>
      </c>
      <c r="H1730" t="s">
        <v>155</v>
      </c>
      <c r="K1730" t="str">
        <f>B1687</f>
        <v>heat, residential, by combustion of hydrogen using CHP, allocated by exergy, transported by truck, produced by Electrolysis, SOEC using water and electricity from grid</v>
      </c>
      <c r="L1730">
        <f>IF(OR(B1730&lt;0,B1730=0),1,2)</f>
        <v>2</v>
      </c>
      <c r="M1730">
        <f>IF(L1730=2,LN(B1730),"")</f>
        <v>-18.041099484645969</v>
      </c>
      <c r="N1730">
        <v>1.05</v>
      </c>
      <c r="O1730" s="15">
        <v>1.2</v>
      </c>
      <c r="P1730">
        <v>1</v>
      </c>
      <c r="Q1730">
        <v>1.01</v>
      </c>
      <c r="R1730">
        <v>1.2</v>
      </c>
      <c r="S1730">
        <v>1.2</v>
      </c>
      <c r="T1730">
        <v>1.05</v>
      </c>
      <c r="U1730">
        <f t="shared" si="56"/>
        <v>0.16169679924070957</v>
      </c>
    </row>
    <row r="1731" spans="1:22" x14ac:dyDescent="0.2">
      <c r="A1731" t="s">
        <v>157</v>
      </c>
      <c r="B1731" s="52">
        <f>0.00000011366*B1721*-1</f>
        <v>-1.461672399554354E-8</v>
      </c>
      <c r="C1731" t="s">
        <v>56</v>
      </c>
      <c r="E1731" t="s">
        <v>64</v>
      </c>
      <c r="F1731" t="s">
        <v>86</v>
      </c>
      <c r="G1731" t="s">
        <v>158</v>
      </c>
      <c r="H1731" t="s">
        <v>155</v>
      </c>
      <c r="K1731" t="str">
        <f>B1687</f>
        <v>heat, residential, by combustion of hydrogen using CHP, allocated by exergy, transported by truck, produced by Electrolysis, SOEC using water and electricity from grid</v>
      </c>
      <c r="L1731">
        <v>2</v>
      </c>
      <c r="M1731">
        <f>IF(L1731=2,LN(B1731*-1),"")</f>
        <v>-18.041099484645969</v>
      </c>
      <c r="N1731">
        <v>1.05</v>
      </c>
      <c r="O1731" s="15">
        <v>1.2</v>
      </c>
      <c r="P1731">
        <v>1</v>
      </c>
      <c r="Q1731">
        <v>1.01</v>
      </c>
      <c r="R1731">
        <v>1.2</v>
      </c>
      <c r="S1731">
        <v>1.2</v>
      </c>
      <c r="T1731">
        <v>3</v>
      </c>
      <c r="U1731">
        <f t="shared" si="56"/>
        <v>0.57209088006881903</v>
      </c>
      <c r="V1731" t="b">
        <v>1</v>
      </c>
    </row>
    <row r="1732" spans="1:22" x14ac:dyDescent="0.2">
      <c r="A1732" s="45" t="str">
        <f>"hydrogen supply, transported by "&amp;B1701&amp;", produced by "&amp;B1705&amp;" using "&amp;B1706&amp;" from "&amp;B1707</f>
        <v>hydrogen supply, transported by truck, produced by Electrolysis, SOEC using water and electricity from grid</v>
      </c>
      <c r="B1732" s="53">
        <f>(B1726/B1710)/B1709*B1721</f>
        <v>2.56995248347223E-3</v>
      </c>
      <c r="C1732" t="str">
        <f>VLOOKUP(J1732,'dataset mapping'!$A$4:$E$69,5,0)</f>
        <v>kilogram</v>
      </c>
      <c r="E1732" t="str">
        <f>VLOOKUP(J1732,'dataset mapping'!$A$4:$E$69,4,0)</f>
        <v>CH</v>
      </c>
      <c r="F1732" t="s">
        <v>86</v>
      </c>
      <c r="G1732" t="str">
        <f>"hydrogen, gaseous, from "&amp;B341</f>
        <v>hydrogen, gaseous, from truck</v>
      </c>
      <c r="H1732" t="s">
        <v>76</v>
      </c>
      <c r="I1732" t="s">
        <v>1054</v>
      </c>
      <c r="J1732" t="s">
        <v>282</v>
      </c>
      <c r="K1732" t="str">
        <f>B1687</f>
        <v>heat, residential, by combustion of hydrogen using CHP, allocated by exergy, transported by truck, produced by Electrolysis, SOEC using water and electricity from grid</v>
      </c>
      <c r="L1732">
        <f>IF(OR(B1732&lt;0,B1732=0),1,2)</f>
        <v>2</v>
      </c>
      <c r="M1732">
        <f>IF(L1732=2,LN(B1732),"")</f>
        <v>-5.9638678691672418</v>
      </c>
      <c r="N1732">
        <v>1.05</v>
      </c>
      <c r="O1732" s="15">
        <v>1.2</v>
      </c>
      <c r="P1732">
        <v>1</v>
      </c>
      <c r="Q1732">
        <v>1.01</v>
      </c>
      <c r="R1732">
        <v>1.2</v>
      </c>
      <c r="S1732">
        <v>1.2</v>
      </c>
      <c r="T1732">
        <v>1.05</v>
      </c>
      <c r="U1732">
        <f t="shared" si="56"/>
        <v>0.16169679924070957</v>
      </c>
    </row>
    <row r="1733" spans="1:22" x14ac:dyDescent="0.2">
      <c r="A1733" t="str">
        <f>VLOOKUP(J1733,'dataset mapping'!$A$4:$E$69,2,0)</f>
        <v>high pressure hydrogen storage tank</v>
      </c>
      <c r="B1733" s="52">
        <f>((B1722/10)/(B1720*B1716*20*3.6))*IF(B1721&lt;&gt;0,B1721,1)</f>
        <v>2.7529546486023421E-7</v>
      </c>
      <c r="C1733" t="str">
        <f>VLOOKUP(J1733,'dataset mapping'!$A$4:$E$69,5,0)</f>
        <v>kilogram</v>
      </c>
      <c r="E1733" t="str">
        <f>VLOOKUP(J1733,'dataset mapping'!$A$4:$E$69,4,0)</f>
        <v>GLO</v>
      </c>
      <c r="F1733" t="s">
        <v>86</v>
      </c>
      <c r="G1733" t="str">
        <f>VLOOKUP(J1733,'dataset mapping'!$A$4:$E$69,3,0)</f>
        <v>high pressure hydrogen storage tank</v>
      </c>
      <c r="H1733" t="s">
        <v>88</v>
      </c>
      <c r="I1733" t="s">
        <v>279</v>
      </c>
      <c r="J1733" t="s">
        <v>229</v>
      </c>
      <c r="K1733" t="str">
        <f>B1687</f>
        <v>heat, residential, by combustion of hydrogen using CHP, allocated by exergy, transported by truck, produced by Electrolysis, SOEC using water and electricity from grid</v>
      </c>
      <c r="L1733">
        <f>IF(OR(B1733&lt;0,B1733=0),1,2)</f>
        <v>2</v>
      </c>
      <c r="M1733">
        <f>IF(L1733=2,LN(B1733),"")</f>
        <v>-15.105420898379837</v>
      </c>
      <c r="N1733">
        <v>1.05</v>
      </c>
      <c r="O1733" s="15">
        <v>1.2</v>
      </c>
      <c r="P1733">
        <v>1</v>
      </c>
      <c r="Q1733">
        <v>1.01</v>
      </c>
      <c r="R1733">
        <v>1.2</v>
      </c>
      <c r="S1733">
        <v>1.2</v>
      </c>
      <c r="T1733">
        <v>3</v>
      </c>
      <c r="U1733">
        <f t="shared" si="56"/>
        <v>0.57209088006881903</v>
      </c>
    </row>
    <row r="1734" spans="1:22" x14ac:dyDescent="0.2">
      <c r="A1734" t="s">
        <v>134</v>
      </c>
      <c r="B1734" s="45">
        <f>B1732*9</f>
        <v>2.3129572351250072E-2</v>
      </c>
      <c r="C1734" t="s">
        <v>56</v>
      </c>
      <c r="D1734" t="s">
        <v>100</v>
      </c>
      <c r="F1734" t="s">
        <v>99</v>
      </c>
      <c r="H1734" t="s">
        <v>131</v>
      </c>
      <c r="I1734" t="s">
        <v>1058</v>
      </c>
      <c r="K1734" t="str">
        <f>B1687</f>
        <v>heat, residential, by combustion of hydrogen using CHP, allocated by exergy, transported by truck, produced by Electrolysis, SOEC using water and electricity from grid</v>
      </c>
      <c r="L1734">
        <f>IF(OR(B1734&lt;0,B1734=0),1,2)</f>
        <v>2</v>
      </c>
      <c r="M1734">
        <f>IF(L1734=2,LN(B1734),"")</f>
        <v>-3.7666432918310226</v>
      </c>
      <c r="N1734">
        <v>1.05</v>
      </c>
      <c r="O1734" s="15">
        <v>1.2</v>
      </c>
      <c r="P1734">
        <v>1</v>
      </c>
      <c r="Q1734">
        <v>1.01</v>
      </c>
      <c r="R1734">
        <v>1.2</v>
      </c>
      <c r="S1734">
        <v>1.2</v>
      </c>
      <c r="T1734">
        <v>1.05</v>
      </c>
      <c r="U1734">
        <f t="shared" si="56"/>
        <v>0.16169679924070957</v>
      </c>
    </row>
    <row r="1735" spans="1:22" x14ac:dyDescent="0.2">
      <c r="A1735" t="s">
        <v>135</v>
      </c>
      <c r="B1735" s="45">
        <f>912.5/1000000*B1732</f>
        <v>2.3450816411684101E-6</v>
      </c>
      <c r="C1735" t="s">
        <v>56</v>
      </c>
      <c r="D1735" t="s">
        <v>100</v>
      </c>
      <c r="F1735" t="s">
        <v>99</v>
      </c>
      <c r="H1735" t="s">
        <v>131</v>
      </c>
      <c r="I1735" t="s">
        <v>1217</v>
      </c>
      <c r="K1735" t="str">
        <f>B1687</f>
        <v>heat, residential, by combustion of hydrogen using CHP, allocated by exergy, transported by truck, produced by Electrolysis, SOEC using water and electricity from grid</v>
      </c>
      <c r="L1735">
        <f>IF(OR(B1735&lt;0,B1735=0),1,2)</f>
        <v>2</v>
      </c>
      <c r="M1735">
        <f>IF(L1735=2,LN(B1735),"")</f>
        <v>-12.963190341674869</v>
      </c>
      <c r="N1735">
        <v>1.05</v>
      </c>
      <c r="O1735" s="15">
        <v>1.2</v>
      </c>
      <c r="P1735">
        <v>1</v>
      </c>
      <c r="Q1735">
        <v>1.01</v>
      </c>
      <c r="R1735">
        <v>1.2</v>
      </c>
      <c r="S1735">
        <v>1.2</v>
      </c>
      <c r="T1735">
        <v>1.5</v>
      </c>
      <c r="U1735">
        <f t="shared" si="56"/>
        <v>0.25816898211842121</v>
      </c>
    </row>
    <row r="1737" spans="1:22" x14ac:dyDescent="0.2">
      <c r="A1737" s="2" t="s">
        <v>50</v>
      </c>
      <c r="B1737" s="44" t="str">
        <f>IF(B1743="megajoule","heat","electricity")&amp;", residential, by "&amp;B1748&amp;" of "&amp;B1747&amp;" using "&amp;B1749&amp;IF(B1750&lt;&gt;0,", allocated by "&amp;B1750,"")&amp;", transported by "&amp;B1751&amp;", produced by "&amp;B1755&amp;" using "&amp;B1756&amp;" from "&amp;B1757</f>
        <v>heat, residential, by conversion of hydrogen using fuel cell, PEM, allocated by exergy, transported by truck, produced by Electrolysis, SOEC using water and electricity from grid</v>
      </c>
    </row>
    <row r="1738" spans="1:22" x14ac:dyDescent="0.2">
      <c r="A1738" t="s">
        <v>51</v>
      </c>
      <c r="B1738" s="45" t="str">
        <f>"This dataset represents the supply of 1 "&amp;IF(B1743="megajoule","megajoule of heat","kilowatt hour of electricity")&amp;" in a residence, by "&amp;B1747&amp;" "&amp;B1748&amp;" in a "&amp;B1749&amp;". "&amp;" The hydrogen is transported by "&amp;B1751&amp;" over "&amp;B1752&amp;" km from regional storage. "&amp;" The "&amp;B1747&amp;" is produced by  "&amp;B1755&amp;", with "&amp;B1756&amp;" from "&amp;B1757&amp;" as feedstock. "&amp;A1759&amp;": "&amp;(B1759*100)&amp;"%. "&amp;A1760&amp;": "&amp;B1760&amp;". "&amp;A1761&amp;": "&amp;B1761&amp;". "&amp;A1762&amp;": "&amp;(B1762*100)&amp;"%. "&amp;A1763&amp;": "&amp;(B1763*100)&amp;"%. "&amp;A1764&amp;": "&amp;(B1764*100)&amp;"%. "&amp;A1765&amp;": "&amp;B1765&amp;". "&amp;A1766&amp;": "&amp;B1766&amp;". "&amp;A1767&amp;": "&amp;(B1767*100)&amp;"%. "&amp;A1768&amp;": "&amp;B1768&amp;". "&amp;A1769&amp;": "&amp;B1769&amp;". "&amp;A1770&amp;": "&amp;B1770&amp;". "&amp;A1771&amp;": "&amp;B1771&amp;".  For more information, refer to: "&amp;B1739</f>
        <v>This dataset represents the supply of 1 megajoule of heat in a residence, by hydrogen conversion in a fuel cell, PEM.  The hydrogen is transported by truck over 200 km from regional storage.  The hydrogen is produced by  Electrolysis, SOEC, with water and electricity from grid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1739" spans="1:22" x14ac:dyDescent="0.2">
      <c r="A1739" t="s">
        <v>63</v>
      </c>
      <c r="B1739" s="45" t="s">
        <v>1223</v>
      </c>
    </row>
    <row r="1740" spans="1:22" x14ac:dyDescent="0.2">
      <c r="A1740" t="s">
        <v>52</v>
      </c>
      <c r="B1740" s="45" t="s">
        <v>64</v>
      </c>
    </row>
    <row r="1741" spans="1:22" x14ac:dyDescent="0.2">
      <c r="A1741" t="s">
        <v>48</v>
      </c>
      <c r="B1741" s="45">
        <v>23</v>
      </c>
    </row>
    <row r="1742" spans="1:22" x14ac:dyDescent="0.2">
      <c r="A1742" t="s">
        <v>54</v>
      </c>
      <c r="B1742" s="45" t="str">
        <f>INDEX(overview!$B$4:$R$338,MATCH('hydrogen - electrolysis'!B1741,overview!$A$4:$A$338,0),MATCH('hydrogen - electrolysis'!A1742,overview!$B$3:$R$3,0))</f>
        <v>heat, from residential heating system</v>
      </c>
    </row>
    <row r="1743" spans="1:22" x14ac:dyDescent="0.2">
      <c r="A1743" t="s">
        <v>55</v>
      </c>
      <c r="B1743" s="45" t="str">
        <f>INDEX(overview!$B$4:$R$338,MATCH('hydrogen - electrolysis'!B1741,overview!$A$4:$A$338,0),MATCH('hydrogen - electrolysis'!A1743,overview!$B$3:$R$3,0))</f>
        <v>megajoule</v>
      </c>
    </row>
    <row r="1744" spans="1:22" x14ac:dyDescent="0.2">
      <c r="A1744" t="s">
        <v>0</v>
      </c>
      <c r="B1744" s="45" t="str">
        <f>INDEX(overview!$B$4:$R$338,MATCH('hydrogen - electrolysis'!B1741,overview!$A$4:$A$338,0),MATCH('hydrogen - electrolysis'!A1744,overview!$B$3:$R$3,0))</f>
        <v>Switzerland</v>
      </c>
    </row>
    <row r="1745" spans="1:2" x14ac:dyDescent="0.2">
      <c r="A1745" t="s">
        <v>1</v>
      </c>
      <c r="B1745" s="45">
        <f>INDEX(overview!$B$4:$R$338,MATCH('hydrogen - electrolysis'!B1741,overview!$A$4:$A$338,0),MATCH('hydrogen - electrolysis'!A1745,overview!$B$3:$R$3,0))</f>
        <v>2020</v>
      </c>
    </row>
    <row r="1746" spans="1:2" x14ac:dyDescent="0.2">
      <c r="A1746" t="s">
        <v>2</v>
      </c>
      <c r="B1746" s="45" t="str">
        <f>INDEX(overview!$B$4:$R$338,MATCH('hydrogen - electrolysis'!B1741,overview!$A$4:$A$338,0),MATCH('hydrogen - electrolysis'!A1746,overview!$B$3:$R$3,0))</f>
        <v>1 MJ heat</v>
      </c>
    </row>
    <row r="1747" spans="1:2" x14ac:dyDescent="0.2">
      <c r="A1747" t="s">
        <v>5</v>
      </c>
      <c r="B1747" s="45" t="str">
        <f>INDEX(overview!$B$4:$R$338,MATCH('hydrogen - electrolysis'!B1741,overview!$A$4:$A$338,0),MATCH('hydrogen - electrolysis'!A1747,overview!$B$3:$R$3,0))</f>
        <v>hydrogen</v>
      </c>
    </row>
    <row r="1748" spans="1:2" x14ac:dyDescent="0.2">
      <c r="A1748" t="s">
        <v>3</v>
      </c>
      <c r="B1748" s="45" t="str">
        <f>INDEX(overview!$B$4:$R$338,MATCH('hydrogen - electrolysis'!B1741,overview!$A$4:$A$338,0),MATCH('hydrogen - electrolysis'!A1748,overview!$B$3:$R$3,0))</f>
        <v>conversion</v>
      </c>
    </row>
    <row r="1749" spans="1:2" x14ac:dyDescent="0.2">
      <c r="A1749" t="s">
        <v>6</v>
      </c>
      <c r="B1749" s="45" t="str">
        <f>INDEX(overview!$B$4:$R$338,MATCH('hydrogen - electrolysis'!B1741,overview!$A$4:$A$338,0),MATCH('hydrogen - electrolysis'!A1749,overview!$B$3:$R$3,0))</f>
        <v>fuel cell, PEM</v>
      </c>
    </row>
    <row r="1750" spans="1:2" x14ac:dyDescent="0.2">
      <c r="A1750" t="s">
        <v>39</v>
      </c>
      <c r="B1750" s="45" t="str">
        <f>INDEX(overview!$B$4:$R$338,MATCH('hydrogen - electrolysis'!B1741,overview!$A$4:$A$338,0),MATCH('hydrogen - electrolysis'!A1750,overview!$B$3:$R$3,0))</f>
        <v>exergy</v>
      </c>
    </row>
    <row r="1751" spans="1:2" x14ac:dyDescent="0.2">
      <c r="A1751" t="s">
        <v>4</v>
      </c>
      <c r="B1751" s="45" t="str">
        <f>INDEX(overview!$B$4:$R$338,MATCH('hydrogen - electrolysis'!B1741,overview!$A$4:$A$338,0),MATCH('hydrogen - electrolysis'!A1751,overview!$B$3:$R$3,0))</f>
        <v>truck</v>
      </c>
    </row>
    <row r="1752" spans="1:2" x14ac:dyDescent="0.2">
      <c r="A1752" t="s">
        <v>38</v>
      </c>
      <c r="B1752" s="45">
        <f>INDEX(overview!$B$4:$R$338,MATCH('hydrogen - electrolysis'!B1741,overview!$A$4:$A$338,0),MATCH('hydrogen - electrolysis'!A1752,overview!$B$3:$R$3,0))</f>
        <v>200</v>
      </c>
    </row>
    <row r="1753" spans="1:2" x14ac:dyDescent="0.2">
      <c r="A1753" t="s">
        <v>12</v>
      </c>
      <c r="B1753" s="45" t="str">
        <f>INDEX(overview!$B$4:$R$338,MATCH('hydrogen - electrolysis'!B1741,overview!$A$4:$A$338,0),MATCH('hydrogen - electrolysis'!A1753,overview!$B$3:$R$3,0))</f>
        <v>Pressure vessel for stationary storage</v>
      </c>
    </row>
    <row r="1754" spans="1:2" x14ac:dyDescent="0.2">
      <c r="A1754" t="s">
        <v>34</v>
      </c>
      <c r="B1754" s="45">
        <f>INDEX(overview!$B$4:$R$338,MATCH('hydrogen - electrolysis'!B1741,overview!$A$4:$A$338,0),MATCH('hydrogen - electrolysis'!A1754,overview!$B$3:$R$3,0))</f>
        <v>0</v>
      </c>
    </row>
    <row r="1755" spans="1:2" x14ac:dyDescent="0.2">
      <c r="A1755" t="s">
        <v>15</v>
      </c>
      <c r="B1755" s="45" t="str">
        <f>INDEX(overview!$B$4:$R$338,MATCH('hydrogen - electrolysis'!B1741,overview!$A$4:$A$338,0),MATCH('hydrogen - electrolysis'!A1755,overview!$B$3:$R$3,0))</f>
        <v>Electrolysis, SOEC</v>
      </c>
    </row>
    <row r="1756" spans="1:2" x14ac:dyDescent="0.2">
      <c r="A1756" t="s">
        <v>14</v>
      </c>
      <c r="B1756" s="45" t="str">
        <f>INDEX(overview!$B$4:$R$338,MATCH('hydrogen - electrolysis'!B1741,overview!$A$4:$A$338,0),MATCH('hydrogen - electrolysis'!A1756,overview!$B$3:$R$3,0))</f>
        <v>water and electricity</v>
      </c>
    </row>
    <row r="1757" spans="1:2" x14ac:dyDescent="0.2">
      <c r="A1757" t="s">
        <v>26</v>
      </c>
      <c r="B1757" s="45" t="str">
        <f>INDEX(overview!$B$4:$R$338,MATCH('hydrogen - electrolysis'!B1741,overview!$A$4:$A$338,0),MATCH('hydrogen - electrolysis'!A1757,overview!$B$3:$R$3,0))</f>
        <v>grid</v>
      </c>
    </row>
    <row r="1758" spans="1:2" x14ac:dyDescent="0.2">
      <c r="A1758" t="s">
        <v>29</v>
      </c>
      <c r="B1758" s="45">
        <f>INDEX(overview!$B$4:$R$338,MATCH('hydrogen - electrolysis'!B1741,overview!$A$4:$A$338,0),MATCH('hydrogen - electrolysis'!A1758,overview!$B$3:$R$3,0))</f>
        <v>0</v>
      </c>
    </row>
    <row r="1759" spans="1:2" x14ac:dyDescent="0.2">
      <c r="A1759" t="str">
        <f>IF(B1743="megajoule","Heat","Electricity")&amp;" conversion efficiency [% LHV input]"</f>
        <v>Heat conversion efficiency [% LHV input]</v>
      </c>
      <c r="B1759" s="46">
        <f>INDEX(parameters!$D$4:$N$20,MATCH('hydrogen - electrolysis'!B1747&amp;'hydrogen - electrolysis'!B1749,parameters!$A$4:$A$20,0),MATCH('hydrogen - electrolysis'!A1759,parameters!$D$3:$N$3,0))</f>
        <v>0.5</v>
      </c>
    </row>
    <row r="1760" spans="1:2" x14ac:dyDescent="0.2">
      <c r="A1760" t="str">
        <f>IF(B1743="megajoule","LHV [MJ/kg]","LHV [kWh/kg]")</f>
        <v>LHV [MJ/kg]</v>
      </c>
      <c r="B1760" s="47">
        <f>INDEX(parameters!$D$4:$N$20,MATCH('hydrogen - electrolysis'!B1747&amp;'hydrogen - electrolysis'!B1749,parameters!$A$4:$A$20,0),MATCH('hydrogen - electrolysis'!A1760,parameters!$D$3:$N$3,0))</f>
        <v>120</v>
      </c>
    </row>
    <row r="1761" spans="1:22" x14ac:dyDescent="0.2">
      <c r="A1761" t="s">
        <v>41</v>
      </c>
      <c r="B1761" s="48">
        <f>INDEX(parameters!$D$4:$N$20,MATCH('hydrogen - electrolysis'!B1747&amp;'hydrogen - electrolysis'!B1749,parameters!$A$4:$A$20,0),MATCH('hydrogen - electrolysis'!A1761,parameters!$D$3:$N$3,0))</f>
        <v>2.6666666666666665E-2</v>
      </c>
    </row>
    <row r="1762" spans="1:22" x14ac:dyDescent="0.2">
      <c r="A1762" t="s">
        <v>45</v>
      </c>
      <c r="B1762" s="46">
        <f>INDEX(parameters!$D$4:$N$20,MATCH('hydrogen - electrolysis'!B1747&amp;'hydrogen - electrolysis'!B1749,parameters!$A$4:$A$20,0),MATCH('hydrogen - electrolysis'!A1762,parameters!$D$3:$N$3,0))</f>
        <v>0</v>
      </c>
    </row>
    <row r="1763" spans="1:22" x14ac:dyDescent="0.2">
      <c r="A1763" t="s">
        <v>46</v>
      </c>
      <c r="B1763" s="46">
        <f>INDEX(parameters!$D$4:$N$20,MATCH('hydrogen - electrolysis'!B1747&amp;'hydrogen - electrolysis'!B1749,parameters!$A$4:$A$20,0),MATCH('hydrogen - electrolysis'!A1763,parameters!$D$3:$N$3,0))</f>
        <v>1.4999999999999999E-2</v>
      </c>
    </row>
    <row r="1764" spans="1:22" x14ac:dyDescent="0.2">
      <c r="A1764" t="s">
        <v>43</v>
      </c>
      <c r="B1764" s="46">
        <f>INDEX(parameters!$D$4:$N$20,MATCH('hydrogen - electrolysis'!B1747&amp;'hydrogen - electrolysis'!B1749,parameters!$A$4:$A$20,0),MATCH('hydrogen - electrolysis'!A1764,parameters!$D$3:$N$3,0))</f>
        <v>0</v>
      </c>
    </row>
    <row r="1765" spans="1:22" x14ac:dyDescent="0.2">
      <c r="A1765" t="s">
        <v>44</v>
      </c>
      <c r="B1765" s="46">
        <f>INDEX(parameters!$D$4:$N$20,MATCH('hydrogen - electrolysis'!B1747&amp;'hydrogen - electrolysis'!B1749,parameters!$A$4:$A$20,0),MATCH('hydrogen - electrolysis'!A1765,parameters!$D$3:$N$3,0))</f>
        <v>0</v>
      </c>
    </row>
    <row r="1766" spans="1:22" x14ac:dyDescent="0.2">
      <c r="A1766" t="s">
        <v>634</v>
      </c>
      <c r="B1766" s="51">
        <f>INDEX(parameters!$D$4:$Y$20,MATCH('hydrogen - electrolysis'!B1747&amp;'hydrogen - electrolysis'!B1749,parameters!$A$4:$A$20,0),MATCH('hydrogen - electrolysis'!A1766,parameters!$D$3:$Y$3,0))</f>
        <v>1.8947368421052633</v>
      </c>
    </row>
    <row r="1767" spans="1:22" x14ac:dyDescent="0.2">
      <c r="A1767" t="s">
        <v>82</v>
      </c>
      <c r="B1767" s="46">
        <f>IF(B1758&lt;&gt;0,VLOOKUP(B1758,parameters!A1178:B1180,2,0),0)</f>
        <v>0</v>
      </c>
    </row>
    <row r="1768" spans="1:22" x14ac:dyDescent="0.2">
      <c r="A1768" t="s">
        <v>548</v>
      </c>
      <c r="B1768" s="50">
        <f>INDEX(parameters!$D$4:$P$20,MATCH(B1747&amp;B1749,parameters!$A$4:$A$20,0),MATCH(A1768,parameters!$D$3:$P$3,0))</f>
        <v>0.8</v>
      </c>
    </row>
    <row r="1769" spans="1:22" x14ac:dyDescent="0.2">
      <c r="A1769" t="s">
        <v>547</v>
      </c>
      <c r="B1769" s="51">
        <f>INDEX(parameters!$D$4:$P$20,MATCH(B1747&amp;B1749,parameters!$A$4:$A$20,0),MATCH(A1769,parameters!$D$3:$P$3,0))</f>
        <v>4.8780487804878048</v>
      </c>
    </row>
    <row r="1770" spans="1:22" x14ac:dyDescent="0.2">
      <c r="A1770" t="s">
        <v>630</v>
      </c>
      <c r="B1770" s="51">
        <f>INDEX(parameters!$D$4:$T$20,MATCH(B1747&amp;B1749,parameters!$A$4:$A$20,0),MATCH(A1770,parameters!$D$3:$T$3,0))</f>
        <v>4100</v>
      </c>
    </row>
    <row r="1771" spans="1:22" x14ac:dyDescent="0.2">
      <c r="A1771" t="s">
        <v>1005</v>
      </c>
      <c r="B1771" s="50">
        <f>IF(B1743="megajoule",SUMIFS(allocation!$I$4:$I$30,allocation!$B$4:$B$30,B1749,allocation!$C$4:$C$30,B1750),SUMIFS(allocation!$J$4:$J$30,allocation!$B$4:$B$30,B1749,allocation!$C$4:$C$30,B1750))</f>
        <v>0.13933980798974457</v>
      </c>
    </row>
    <row r="1772" spans="1:22" x14ac:dyDescent="0.2">
      <c r="A1772" t="s">
        <v>1050</v>
      </c>
      <c r="B1772" s="51">
        <f>INDEX(parameters!$D$4:$AB$20,MATCH(B1747&amp;B1749,parameters!$A$4:$A$20,0),MATCH(A1772,parameters!$D$3:$AB$3,0))</f>
        <v>10.221606648199446</v>
      </c>
    </row>
    <row r="1774" spans="1:22" x14ac:dyDescent="0.2">
      <c r="A1774" s="3" t="s">
        <v>57</v>
      </c>
    </row>
    <row r="1775" spans="1:22" x14ac:dyDescent="0.2">
      <c r="A1775" s="2" t="s">
        <v>58</v>
      </c>
      <c r="B1775" s="44" t="s">
        <v>59</v>
      </c>
      <c r="C1775" s="2" t="s">
        <v>55</v>
      </c>
      <c r="D1775" s="2" t="s">
        <v>60</v>
      </c>
      <c r="E1775" s="2" t="s">
        <v>52</v>
      </c>
      <c r="F1775" s="2" t="s">
        <v>61</v>
      </c>
      <c r="G1775" s="2" t="s">
        <v>54</v>
      </c>
      <c r="H1775" s="2" t="s">
        <v>87</v>
      </c>
      <c r="I1775" s="2" t="s">
        <v>51</v>
      </c>
      <c r="J1775" s="2" t="s">
        <v>138</v>
      </c>
      <c r="K1775" s="2" t="s">
        <v>136</v>
      </c>
      <c r="L1775" s="2" t="s">
        <v>221</v>
      </c>
      <c r="M1775" s="2" t="s">
        <v>379</v>
      </c>
      <c r="N1775" s="2" t="s">
        <v>1059</v>
      </c>
      <c r="O1775" s="2" t="s">
        <v>1060</v>
      </c>
      <c r="P1775" s="2" t="s">
        <v>1061</v>
      </c>
      <c r="Q1775" s="2" t="s">
        <v>1062</v>
      </c>
      <c r="R1775" s="2" t="s">
        <v>1063</v>
      </c>
      <c r="S1775" s="2" t="s">
        <v>1064</v>
      </c>
      <c r="T1775" s="2" t="s">
        <v>1065</v>
      </c>
      <c r="U1775" s="2" t="s">
        <v>380</v>
      </c>
      <c r="V1775" s="2" t="s">
        <v>1128</v>
      </c>
    </row>
    <row r="1776" spans="1:22" x14ac:dyDescent="0.2">
      <c r="A1776" t="str">
        <f>B1737</f>
        <v>heat, residential, by conversion of hydrogen using fuel cell, PEM, allocated by exergy, transported by truck, produced by Electrolysis, SOEC using water and electricity from grid</v>
      </c>
      <c r="B1776" s="45">
        <v>1</v>
      </c>
      <c r="C1776" t="str">
        <f>B1743</f>
        <v>megajoule</v>
      </c>
      <c r="E1776" t="str">
        <f>B1740</f>
        <v>CH</v>
      </c>
      <c r="F1776" t="s">
        <v>62</v>
      </c>
      <c r="G1776" t="str">
        <f>B1742</f>
        <v>heat, from residential heating system</v>
      </c>
      <c r="K1776" t="str">
        <f>B1737</f>
        <v>heat, residential, by conversion of hydrogen using fuel cell, PEM, allocated by exergy, transported by truck, produced by Electrolysis, SOEC using water and electricity from grid</v>
      </c>
    </row>
    <row r="1777" spans="1:21" x14ac:dyDescent="0.2">
      <c r="A1777" t="str">
        <f>VLOOKUP(J1777,'dataset mapping'!$A$4:$E$69,2,0)</f>
        <v>fuel cell system assembly, 1 kWe, proton exchange membrane (PEM)</v>
      </c>
      <c r="B1777" s="52">
        <f>(1/(B1766*B1770*B1769*3.6))*B1771</f>
        <v>1.0213951974556892E-6</v>
      </c>
      <c r="C1777" t="str">
        <f>VLOOKUP(J1777,'dataset mapping'!$A$4:$E$69,5,0)</f>
        <v>unit</v>
      </c>
      <c r="E1777" t="str">
        <f>VLOOKUP(J1777,'dataset mapping'!$A$4:$E$69,4,0)</f>
        <v>GLO</v>
      </c>
      <c r="F1777" t="s">
        <v>86</v>
      </c>
      <c r="G1777" t="str">
        <f>VLOOKUP(J1777,'dataset mapping'!$A$4:$E$69,3,0)</f>
        <v>fuel cell system, 1 kWe, proton exchange membrane (PEM)</v>
      </c>
      <c r="H1777" t="s">
        <v>88</v>
      </c>
      <c r="I1777" t="s">
        <v>272</v>
      </c>
      <c r="J1777" t="s">
        <v>273</v>
      </c>
      <c r="K1777" t="str">
        <f>B1737</f>
        <v>heat, residential, by conversion of hydrogen using fuel cell, PEM, allocated by exergy, transported by truck, produced by Electrolysis, SOEC using water and electricity from grid</v>
      </c>
      <c r="L1777">
        <f>IF(OR(B1777&lt;0,B1777=0),1,2)</f>
        <v>2</v>
      </c>
      <c r="M1777">
        <f>IF(L1777=2,LN(B1777),"")</f>
        <v>-13.794341024667077</v>
      </c>
      <c r="N1777">
        <v>1</v>
      </c>
      <c r="O1777" s="15">
        <v>1.2</v>
      </c>
      <c r="P1777">
        <v>1</v>
      </c>
      <c r="Q1777">
        <v>1.01</v>
      </c>
      <c r="R1777">
        <v>1.2</v>
      </c>
      <c r="S1777">
        <v>1.2</v>
      </c>
      <c r="T1777">
        <v>3</v>
      </c>
      <c r="U1777">
        <f>LN(SQRT(EXP(
SQRT(
+POWER(LN(N1777),2)
+POWER(LN(O1777),2)
+POWER(LN(P1777),2)
+POWER(LN(Q1777),2)
+POWER(LN(R1777),2)
+POWER(LN(S1777),2)
+POWER(LN(T1777),2)
)
)))</f>
        <v>0.57157051623399524</v>
      </c>
    </row>
    <row r="1778" spans="1:21" x14ac:dyDescent="0.2">
      <c r="A1778" s="45" t="str">
        <f>"hydrogen supply, transported by "&amp;B1751&amp;", produced by "&amp;B1755&amp;" using "&amp;B1756&amp;" from "&amp;B1757</f>
        <v>hydrogen supply, transported by truck, produced by Electrolysis, SOEC using water and electricity from grid</v>
      </c>
      <c r="B1778" s="53">
        <f>(B1776/B1760)/B1759*B1771</f>
        <v>2.3223301331624095E-3</v>
      </c>
      <c r="C1778" t="str">
        <f>VLOOKUP(J1778,'dataset mapping'!$A$4:$E$69,5,0)</f>
        <v>kilogram</v>
      </c>
      <c r="E1778" t="str">
        <f>VLOOKUP(J1778,'dataset mapping'!$A$4:$E$69,4,0)</f>
        <v>CH</v>
      </c>
      <c r="F1778" t="s">
        <v>86</v>
      </c>
      <c r="G1778" t="str">
        <f>"hydrogen, gaseous, from "&amp;B1751</f>
        <v>hydrogen, gaseous, from truck</v>
      </c>
      <c r="H1778" t="s">
        <v>76</v>
      </c>
      <c r="I1778" t="s">
        <v>1054</v>
      </c>
      <c r="J1778" t="s">
        <v>282</v>
      </c>
      <c r="K1778" t="str">
        <f>B1737</f>
        <v>heat, residential, by conversion of hydrogen using fuel cell, PEM, allocated by exergy, transported by truck, produced by Electrolysis, SOEC using water and electricity from grid</v>
      </c>
      <c r="L1778">
        <f>IF(OR(B1778&lt;0,B1778=0),1,2)</f>
        <v>2</v>
      </c>
      <c r="M1778">
        <f>IF(L1778=2,LN(B1778),"")</f>
        <v>-6.0651842296013152</v>
      </c>
      <c r="N1778">
        <v>1</v>
      </c>
      <c r="O1778" s="15">
        <v>1.2</v>
      </c>
      <c r="P1778">
        <v>1</v>
      </c>
      <c r="Q1778">
        <v>1.01</v>
      </c>
      <c r="R1778">
        <v>1.2</v>
      </c>
      <c r="S1778">
        <v>1.2</v>
      </c>
      <c r="T1778">
        <v>1.05</v>
      </c>
      <c r="U1778">
        <f>LN(SQRT(EXP(
SQRT(
+POWER(LN(N1778),2)
+POWER(LN(O1778),2)
+POWER(LN(P1778),2)
+POWER(LN(Q1778),2)
+POWER(LN(R1778),2)
+POWER(LN(S1778),2)
+POWER(LN(T1778),2)
)
)))</f>
        <v>0.15984597228197622</v>
      </c>
    </row>
    <row r="1779" spans="1:21" x14ac:dyDescent="0.2">
      <c r="A1779" t="str">
        <f>VLOOKUP(J1779,'dataset mapping'!$A$4:$E$69,2,0)</f>
        <v>high pressure hydrogen storage tank</v>
      </c>
      <c r="B1779" s="52">
        <f>((B1772/10)/(B1770*B1766*20*3.6))*IF(B1771&lt;&gt;0,B1771,1)</f>
        <v>2.5464146196956242E-7</v>
      </c>
      <c r="C1779" t="str">
        <f>VLOOKUP(J1779,'dataset mapping'!$A$4:$E$69,5,0)</f>
        <v>kilogram</v>
      </c>
      <c r="E1779" t="str">
        <f>VLOOKUP(J1779,'dataset mapping'!$A$4:$E$69,4,0)</f>
        <v>GLO</v>
      </c>
      <c r="F1779" t="s">
        <v>86</v>
      </c>
      <c r="G1779" t="str">
        <f>VLOOKUP(J1779,'dataset mapping'!$A$4:$E$69,3,0)</f>
        <v>high pressure hydrogen storage tank</v>
      </c>
      <c r="H1779" t="s">
        <v>88</v>
      </c>
      <c r="I1779" t="s">
        <v>280</v>
      </c>
      <c r="J1779" t="s">
        <v>229</v>
      </c>
      <c r="K1779" t="str">
        <f>B1737</f>
        <v>heat, residential, by conversion of hydrogen using fuel cell, PEM, allocated by exergy, transported by truck, produced by Electrolysis, SOEC using water and electricity from grid</v>
      </c>
      <c r="L1779">
        <f>IF(OR(B1779&lt;0,B1779=0),1,2)</f>
        <v>2</v>
      </c>
      <c r="M1779">
        <f>IF(L1779=2,LN(B1779),"")</f>
        <v>-15.183409312669692</v>
      </c>
      <c r="N1779">
        <v>1</v>
      </c>
      <c r="O1779" s="15">
        <v>1.2</v>
      </c>
      <c r="P1779">
        <v>1</v>
      </c>
      <c r="Q1779">
        <v>1.01</v>
      </c>
      <c r="R1779">
        <v>1.2</v>
      </c>
      <c r="S1779">
        <v>1.2</v>
      </c>
      <c r="T1779">
        <v>3</v>
      </c>
      <c r="U1779">
        <f>LN(SQRT(EXP(
SQRT(
+POWER(LN(N1779),2)
+POWER(LN(O1779),2)
+POWER(LN(P1779),2)
+POWER(LN(Q1779),2)
+POWER(LN(R1779),2)
+POWER(LN(S1779),2)
+POWER(LN(T1779),2)
)
)))</f>
        <v>0.57157051623399524</v>
      </c>
    </row>
    <row r="1780" spans="1:21" x14ac:dyDescent="0.2">
      <c r="A1780" t="s">
        <v>134</v>
      </c>
      <c r="B1780" s="45">
        <f>B1778*9</f>
        <v>2.0900971198461685E-2</v>
      </c>
      <c r="C1780" t="s">
        <v>56</v>
      </c>
      <c r="D1780" t="s">
        <v>100</v>
      </c>
      <c r="F1780" t="s">
        <v>99</v>
      </c>
      <c r="H1780" t="s">
        <v>131</v>
      </c>
      <c r="I1780" t="s">
        <v>1057</v>
      </c>
      <c r="K1780" t="str">
        <f>B1737</f>
        <v>heat, residential, by conversion of hydrogen using fuel cell, PEM, allocated by exergy, transported by truck, produced by Electrolysis, SOEC using water and electricity from grid</v>
      </c>
      <c r="L1780">
        <f>IF(OR(B1780&lt;0,B1780=0),1,2)</f>
        <v>2</v>
      </c>
      <c r="M1780">
        <f>IF(L1780=2,LN(B1780),"")</f>
        <v>-3.8679596522650961</v>
      </c>
      <c r="N1780">
        <v>1</v>
      </c>
      <c r="O1780" s="15">
        <v>1.2</v>
      </c>
      <c r="P1780">
        <v>1</v>
      </c>
      <c r="Q1780">
        <v>1.01</v>
      </c>
      <c r="R1780">
        <v>1.2</v>
      </c>
      <c r="S1780">
        <v>1.2</v>
      </c>
      <c r="T1780">
        <v>1.05</v>
      </c>
      <c r="U1780">
        <f>LN(SQRT(EXP(
SQRT(
+POWER(LN(N1780),2)
+POWER(LN(O1780),2)
+POWER(LN(P1780),2)
+POWER(LN(Q1780),2)
+POWER(LN(R1780),2)
+POWER(LN(S1780),2)
+POWER(LN(T1780),2)
)
)))</f>
        <v>0.15984597228197622</v>
      </c>
    </row>
    <row r="1782" spans="1:21" x14ac:dyDescent="0.2">
      <c r="A1782" s="2" t="s">
        <v>50</v>
      </c>
      <c r="B1782" s="44" t="str">
        <f>IF(B1788="megajoule","heat","electricity")&amp;", residential, by "&amp;B1793&amp;" of "&amp;B1792&amp;" using "&amp;B1794&amp;IF(B1795&lt;&gt;0,", allocated by "&amp;B1795,"")&amp;", transported by "&amp;B1796&amp;", produced by "&amp;B1800&amp;" using "&amp;B1801&amp;" from "&amp;B1802</f>
        <v>heat, residential, by conversion of hydrogen using fuel cell, SOFC, allocated by exergy, transported by truck, produced by Electrolysis, SOEC using water and electricity from grid</v>
      </c>
    </row>
    <row r="1783" spans="1:21" x14ac:dyDescent="0.2">
      <c r="A1783" t="s">
        <v>51</v>
      </c>
      <c r="B1783" s="45" t="str">
        <f>"This dataset represents the supply of 1 "&amp;IF(B1788="megajoule","megajoule of heat","kilowatt hour of electricity")&amp;" in a residence, by "&amp;B1792&amp;" "&amp;B1793&amp;" in a "&amp;B1794&amp;". "&amp;" The hydrogen is transported by "&amp;B1796&amp;" over "&amp;B1797&amp;" km from regional storage. "&amp;" The "&amp;B1792&amp;" is produced by  "&amp;B1800&amp;", with "&amp;B1801&amp;" from "&amp;B1802&amp;" as feedstock. "&amp;A1804&amp;": "&amp;(B1804*100)&amp;"%. "&amp;A1805&amp;": "&amp;B1805&amp;". "&amp;A1806&amp;": "&amp;B1806&amp;". "&amp;A1807&amp;": "&amp;(B1807*100)&amp;"%. "&amp;A1808&amp;": "&amp;(B1808*100)&amp;"%. "&amp;A1809&amp;": "&amp;(B1809*100)&amp;"%. "&amp;A1810&amp;": "&amp;B1810&amp;". "&amp;A1811&amp;": "&amp;B1811&amp;". "&amp;A1812&amp;": "&amp;(B1812*100)&amp;"%. "&amp;A1813&amp;": "&amp;B1813&amp;". "&amp;A1814&amp;": "&amp;B1814&amp;". "&amp;A1815&amp;": "&amp;B1815&amp;". "&amp;A1816&amp;": "&amp;B1816&amp;".  For more information, refer to: "&amp;B1784</f>
        <v>This dataset represents the supply of 1 megajoule of heat in a residence, by hydrogen conversion in a fuel cell, SOFC.  The hydrogen is transported by truck over 200 km from regional storage.  The hydrogen is produced by  Electrolysis, SOEC, with water and electricity from grid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1784" spans="1:21" x14ac:dyDescent="0.2">
      <c r="A1784" t="s">
        <v>63</v>
      </c>
      <c r="B1784" s="45" t="s">
        <v>1223</v>
      </c>
    </row>
    <row r="1785" spans="1:21" x14ac:dyDescent="0.2">
      <c r="A1785" t="s">
        <v>52</v>
      </c>
      <c r="B1785" s="45" t="s">
        <v>64</v>
      </c>
    </row>
    <row r="1786" spans="1:21" x14ac:dyDescent="0.2">
      <c r="A1786" t="s">
        <v>48</v>
      </c>
      <c r="B1786" s="45">
        <v>24</v>
      </c>
    </row>
    <row r="1787" spans="1:21" x14ac:dyDescent="0.2">
      <c r="A1787" t="s">
        <v>54</v>
      </c>
      <c r="B1787" s="45" t="str">
        <f>INDEX(overview!$B$4:$R$338,MATCH('hydrogen - electrolysis'!B1786,overview!$A$4:$A$338,0),MATCH('hydrogen - electrolysis'!A1787,overview!$B$3:$R$3,0))</f>
        <v>heat, from residential heating system</v>
      </c>
    </row>
    <row r="1788" spans="1:21" x14ac:dyDescent="0.2">
      <c r="A1788" t="s">
        <v>55</v>
      </c>
      <c r="B1788" s="45" t="str">
        <f>INDEX(overview!$B$4:$R$338,MATCH('hydrogen - electrolysis'!B1786,overview!$A$4:$A$338,0),MATCH('hydrogen - electrolysis'!A1788,overview!$B$3:$R$3,0))</f>
        <v>megajoule</v>
      </c>
    </row>
    <row r="1789" spans="1:21" x14ac:dyDescent="0.2">
      <c r="A1789" t="s">
        <v>0</v>
      </c>
      <c r="B1789" s="45" t="str">
        <f>INDEX(overview!$B$4:$R$338,MATCH('hydrogen - electrolysis'!B1786,overview!$A$4:$A$338,0),MATCH('hydrogen - electrolysis'!A1789,overview!$B$3:$R$3,0))</f>
        <v>Switzerland</v>
      </c>
    </row>
    <row r="1790" spans="1:21" x14ac:dyDescent="0.2">
      <c r="A1790" t="s">
        <v>1</v>
      </c>
      <c r="B1790" s="45">
        <f>INDEX(overview!$B$4:$R$338,MATCH('hydrogen - electrolysis'!B1786,overview!$A$4:$A$338,0),MATCH('hydrogen - electrolysis'!A1790,overview!$B$3:$R$3,0))</f>
        <v>2020</v>
      </c>
    </row>
    <row r="1791" spans="1:21" x14ac:dyDescent="0.2">
      <c r="A1791" t="s">
        <v>2</v>
      </c>
      <c r="B1791" s="45" t="str">
        <f>INDEX(overview!$B$4:$R$338,MATCH('hydrogen - electrolysis'!B1786,overview!$A$4:$A$338,0),MATCH('hydrogen - electrolysis'!A1791,overview!$B$3:$R$3,0))</f>
        <v>1 MJ heat</v>
      </c>
    </row>
    <row r="1792" spans="1:21" x14ac:dyDescent="0.2">
      <c r="A1792" t="s">
        <v>5</v>
      </c>
      <c r="B1792" s="45" t="str">
        <f>INDEX(overview!$B$4:$R$338,MATCH('hydrogen - electrolysis'!B1786,overview!$A$4:$A$338,0),MATCH('hydrogen - electrolysis'!A1792,overview!$B$3:$R$3,0))</f>
        <v>hydrogen</v>
      </c>
    </row>
    <row r="1793" spans="1:2" x14ac:dyDescent="0.2">
      <c r="A1793" t="s">
        <v>3</v>
      </c>
      <c r="B1793" s="45" t="str">
        <f>INDEX(overview!$B$4:$R$338,MATCH('hydrogen - electrolysis'!B1786,overview!$A$4:$A$338,0),MATCH('hydrogen - electrolysis'!A1793,overview!$B$3:$R$3,0))</f>
        <v>conversion</v>
      </c>
    </row>
    <row r="1794" spans="1:2" x14ac:dyDescent="0.2">
      <c r="A1794" t="s">
        <v>6</v>
      </c>
      <c r="B1794" s="45" t="str">
        <f>INDEX(overview!$B$4:$R$338,MATCH('hydrogen - electrolysis'!B1786,overview!$A$4:$A$338,0),MATCH('hydrogen - electrolysis'!A1794,overview!$B$3:$R$3,0))</f>
        <v>fuel cell, SOFC</v>
      </c>
    </row>
    <row r="1795" spans="1:2" x14ac:dyDescent="0.2">
      <c r="A1795" t="s">
        <v>39</v>
      </c>
      <c r="B1795" s="45" t="str">
        <f>INDEX(overview!$B$4:$R$338,MATCH('hydrogen - electrolysis'!B1786,overview!$A$4:$A$338,0),MATCH('hydrogen - electrolysis'!A1795,overview!$B$3:$R$3,0))</f>
        <v>exergy</v>
      </c>
    </row>
    <row r="1796" spans="1:2" x14ac:dyDescent="0.2">
      <c r="A1796" t="s">
        <v>4</v>
      </c>
      <c r="B1796" s="45" t="str">
        <f>INDEX(overview!$B$4:$R$338,MATCH('hydrogen - electrolysis'!B1786,overview!$A$4:$A$338,0),MATCH('hydrogen - electrolysis'!A1796,overview!$B$3:$R$3,0))</f>
        <v>truck</v>
      </c>
    </row>
    <row r="1797" spans="1:2" x14ac:dyDescent="0.2">
      <c r="A1797" t="s">
        <v>38</v>
      </c>
      <c r="B1797" s="45">
        <f>INDEX(overview!$B$4:$R$338,MATCH('hydrogen - electrolysis'!B1786,overview!$A$4:$A$338,0),MATCH('hydrogen - electrolysis'!A1797,overview!$B$3:$R$3,0))</f>
        <v>200</v>
      </c>
    </row>
    <row r="1798" spans="1:2" x14ac:dyDescent="0.2">
      <c r="A1798" t="s">
        <v>12</v>
      </c>
      <c r="B1798" s="45" t="str">
        <f>INDEX(overview!$B$4:$R$338,MATCH('hydrogen - electrolysis'!B1786,overview!$A$4:$A$338,0),MATCH('hydrogen - electrolysis'!A1798,overview!$B$3:$R$3,0))</f>
        <v>Pressure vessel for stationary storage</v>
      </c>
    </row>
    <row r="1799" spans="1:2" x14ac:dyDescent="0.2">
      <c r="A1799" t="s">
        <v>34</v>
      </c>
      <c r="B1799" s="45">
        <f>INDEX(overview!$B$4:$R$338,MATCH('hydrogen - electrolysis'!B1786,overview!$A$4:$A$338,0),MATCH('hydrogen - electrolysis'!A1799,overview!$B$3:$R$3,0))</f>
        <v>0</v>
      </c>
    </row>
    <row r="1800" spans="1:2" x14ac:dyDescent="0.2">
      <c r="A1800" t="s">
        <v>15</v>
      </c>
      <c r="B1800" s="45" t="str">
        <f>INDEX(overview!$B$4:$R$338,MATCH('hydrogen - electrolysis'!B1786,overview!$A$4:$A$338,0),MATCH('hydrogen - electrolysis'!A1800,overview!$B$3:$R$3,0))</f>
        <v>Electrolysis, SOEC</v>
      </c>
    </row>
    <row r="1801" spans="1:2" x14ac:dyDescent="0.2">
      <c r="A1801" t="s">
        <v>14</v>
      </c>
      <c r="B1801" s="45" t="str">
        <f>INDEX(overview!$B$4:$R$338,MATCH('hydrogen - electrolysis'!B1786,overview!$A$4:$A$338,0),MATCH('hydrogen - electrolysis'!A1801,overview!$B$3:$R$3,0))</f>
        <v>water and electricity</v>
      </c>
    </row>
    <row r="1802" spans="1:2" x14ac:dyDescent="0.2">
      <c r="A1802" t="s">
        <v>26</v>
      </c>
      <c r="B1802" s="45" t="str">
        <f>INDEX(overview!$B$4:$R$338,MATCH('hydrogen - electrolysis'!B1786,overview!$A$4:$A$338,0),MATCH('hydrogen - electrolysis'!A1802,overview!$B$3:$R$3,0))</f>
        <v>grid</v>
      </c>
    </row>
    <row r="1803" spans="1:2" x14ac:dyDescent="0.2">
      <c r="A1803" t="s">
        <v>29</v>
      </c>
      <c r="B1803" s="45">
        <f>INDEX(overview!$B$4:$R$338,MATCH('hydrogen - electrolysis'!B1786,overview!$A$4:$A$338,0),MATCH('hydrogen - electrolysis'!A1803,overview!$B$3:$R$3,0))</f>
        <v>0</v>
      </c>
    </row>
    <row r="1804" spans="1:2" x14ac:dyDescent="0.2">
      <c r="A1804" t="str">
        <f>IF(B1788="megajoule","Heat","Electricity")&amp;" conversion efficiency [% LHV input]"</f>
        <v>Heat conversion efficiency [% LHV input]</v>
      </c>
      <c r="B1804" s="46">
        <f>INDEX(parameters!$D$4:$N$20,MATCH('hydrogen - electrolysis'!B1792&amp;'hydrogen - electrolysis'!B1794,parameters!$A$4:$A$20,0),MATCH('hydrogen - electrolysis'!A1804,parameters!$D$3:$N$3,0))</f>
        <v>0.53</v>
      </c>
    </row>
    <row r="1805" spans="1:2" x14ac:dyDescent="0.2">
      <c r="A1805" t="str">
        <f>IF(B1788="megajoule","LHV [MJ/kg]","LHV [kWh/kg]")</f>
        <v>LHV [MJ/kg]</v>
      </c>
      <c r="B1805" s="47">
        <f>INDEX(parameters!$D$4:$N$20,MATCH('hydrogen - electrolysis'!B1792&amp;'hydrogen - electrolysis'!B1794,parameters!$A$4:$A$20,0),MATCH('hydrogen - electrolysis'!A1805,parameters!$D$3:$N$3,0))</f>
        <v>120</v>
      </c>
    </row>
    <row r="1806" spans="1:2" x14ac:dyDescent="0.2">
      <c r="A1806" t="s">
        <v>41</v>
      </c>
      <c r="B1806" s="48">
        <f>INDEX(parameters!$D$4:$N$20,MATCH('hydrogen - electrolysis'!B1792&amp;'hydrogen - electrolysis'!B1794,parameters!$A$4:$A$20,0),MATCH('hydrogen - electrolysis'!A1806,parameters!$D$3:$N$3,0))</f>
        <v>2.6666666666666665E-2</v>
      </c>
    </row>
    <row r="1807" spans="1:2" x14ac:dyDescent="0.2">
      <c r="A1807" t="s">
        <v>45</v>
      </c>
      <c r="B1807" s="46">
        <f>INDEX(parameters!$D$4:$N$20,MATCH('hydrogen - electrolysis'!B1792&amp;'hydrogen - electrolysis'!B1794,parameters!$A$4:$A$20,0),MATCH('hydrogen - electrolysis'!A1807,parameters!$D$3:$N$3,0))</f>
        <v>0</v>
      </c>
    </row>
    <row r="1808" spans="1:2" x14ac:dyDescent="0.2">
      <c r="A1808" t="s">
        <v>46</v>
      </c>
      <c r="B1808" s="46">
        <f>INDEX(parameters!$D$4:$N$20,MATCH('hydrogen - electrolysis'!B1792&amp;'hydrogen - electrolysis'!B1794,parameters!$A$4:$A$20,0),MATCH('hydrogen - electrolysis'!A1808,parameters!$D$3:$N$3,0))</f>
        <v>1.4999999999999999E-2</v>
      </c>
    </row>
    <row r="1809" spans="1:22" x14ac:dyDescent="0.2">
      <c r="A1809" t="s">
        <v>43</v>
      </c>
      <c r="B1809" s="46">
        <f>INDEX(parameters!$D$4:$N$20,MATCH('hydrogen - electrolysis'!B1792&amp;'hydrogen - electrolysis'!B1794,parameters!$A$4:$A$20,0),MATCH('hydrogen - electrolysis'!A1809,parameters!$D$3:$N$3,0))</f>
        <v>0</v>
      </c>
    </row>
    <row r="1810" spans="1:22" x14ac:dyDescent="0.2">
      <c r="A1810" t="s">
        <v>44</v>
      </c>
      <c r="B1810" s="46">
        <f>INDEX(parameters!$D$4:$N$20,MATCH('hydrogen - electrolysis'!B1792&amp;'hydrogen - electrolysis'!B1794,parameters!$A$4:$A$20,0),MATCH('hydrogen - electrolysis'!A1810,parameters!$D$3:$N$3,0))</f>
        <v>0</v>
      </c>
    </row>
    <row r="1811" spans="1:22" x14ac:dyDescent="0.2">
      <c r="A1811" t="s">
        <v>634</v>
      </c>
      <c r="B1811" s="51">
        <f>INDEX(parameters!$D$4:$Y$20,MATCH('hydrogen - electrolysis'!B1792&amp;'hydrogen - electrolysis'!B1794,parameters!$A$4:$A$20,0),MATCH('hydrogen - electrolysis'!A1811,parameters!$D$3:$Y$3,0))</f>
        <v>225</v>
      </c>
      <c r="D1811" s="8"/>
    </row>
    <row r="1812" spans="1:22" x14ac:dyDescent="0.2">
      <c r="A1812" t="s">
        <v>82</v>
      </c>
      <c r="B1812" s="46">
        <f>IF(B1803&lt;&gt;0,VLOOKUP(B1803,parameters!A1226:B1228,2,0),0)</f>
        <v>0</v>
      </c>
    </row>
    <row r="1813" spans="1:22" x14ac:dyDescent="0.2">
      <c r="A1813" t="s">
        <v>548</v>
      </c>
      <c r="B1813" s="50">
        <f>INDEX(parameters!$D$4:$P$20,MATCH(B1792&amp;B1794,parameters!$A$4:$A$20,0),MATCH(A1813,parameters!$D$3:$P$3,0))</f>
        <v>100</v>
      </c>
    </row>
    <row r="1814" spans="1:22" x14ac:dyDescent="0.2">
      <c r="A1814" t="s">
        <v>547</v>
      </c>
      <c r="B1814" s="51">
        <f>INDEX(parameters!$D$4:$P$20,MATCH(B1792&amp;B1794,parameters!$A$4:$A$20,0),MATCH(A1814,parameters!$D$3:$P$3,0))</f>
        <v>6</v>
      </c>
    </row>
    <row r="1815" spans="1:22" x14ac:dyDescent="0.2">
      <c r="A1815" t="s">
        <v>630</v>
      </c>
      <c r="B1815" s="51">
        <f>INDEX(parameters!$D$4:$T$20,MATCH(B1792&amp;B1794,parameters!$A$4:$A$20,0),MATCH(A1815,parameters!$D$3:$T$3,0))</f>
        <v>4100</v>
      </c>
    </row>
    <row r="1816" spans="1:22" x14ac:dyDescent="0.2">
      <c r="A1816" t="s">
        <v>1005</v>
      </c>
      <c r="B1816" s="50">
        <f>IF(B1788="megajoule",SUMIFS(allocation!$I$4:$I$30,allocation!$B$4:$B$30,B1794,allocation!$C$4:$C$30,B1795),SUMIFS(allocation!$J$4:$J$30,allocation!$B$4:$B$30,B1794,allocation!$C$4:$C$30,B1795))</f>
        <v>0.13587506510399097</v>
      </c>
    </row>
    <row r="1817" spans="1:22" x14ac:dyDescent="0.2">
      <c r="A1817" t="s">
        <v>1050</v>
      </c>
      <c r="B1817" s="51">
        <f>INDEX(parameters!$D$4:$AB$20,MATCH(B1792&amp;B1794,parameters!$A$4:$A$20,0),MATCH(A1817,parameters!$D$3:$AB$3,0))</f>
        <v>1153.1249999999998</v>
      </c>
    </row>
    <row r="1819" spans="1:22" x14ac:dyDescent="0.2">
      <c r="A1819" s="3" t="s">
        <v>57</v>
      </c>
    </row>
    <row r="1820" spans="1:22" x14ac:dyDescent="0.2">
      <c r="A1820" s="2" t="s">
        <v>58</v>
      </c>
      <c r="B1820" s="44" t="s">
        <v>59</v>
      </c>
      <c r="C1820" s="2" t="s">
        <v>55</v>
      </c>
      <c r="D1820" s="2" t="s">
        <v>60</v>
      </c>
      <c r="E1820" s="2" t="s">
        <v>52</v>
      </c>
      <c r="F1820" s="2" t="s">
        <v>61</v>
      </c>
      <c r="G1820" s="2" t="s">
        <v>54</v>
      </c>
      <c r="H1820" s="2" t="s">
        <v>87</v>
      </c>
      <c r="I1820" s="2" t="s">
        <v>51</v>
      </c>
      <c r="J1820" s="2" t="s">
        <v>138</v>
      </c>
      <c r="K1820" s="2" t="s">
        <v>136</v>
      </c>
      <c r="L1820" s="2" t="s">
        <v>221</v>
      </c>
      <c r="M1820" s="2" t="s">
        <v>379</v>
      </c>
      <c r="N1820" s="2" t="s">
        <v>1059</v>
      </c>
      <c r="O1820" s="2" t="s">
        <v>1060</v>
      </c>
      <c r="P1820" s="2" t="s">
        <v>1061</v>
      </c>
      <c r="Q1820" s="2" t="s">
        <v>1062</v>
      </c>
      <c r="R1820" s="2" t="s">
        <v>1063</v>
      </c>
      <c r="S1820" s="2" t="s">
        <v>1064</v>
      </c>
      <c r="T1820" s="2" t="s">
        <v>1065</v>
      </c>
      <c r="U1820" s="2" t="s">
        <v>380</v>
      </c>
      <c r="V1820" s="2" t="s">
        <v>1128</v>
      </c>
    </row>
    <row r="1821" spans="1:22" x14ac:dyDescent="0.2">
      <c r="A1821" t="str">
        <f>B1782</f>
        <v>heat, residential, by conversion of hydrogen using fuel cell, SOFC, allocated by exergy, transported by truck, produced by Electrolysis, SOEC using water and electricity from grid</v>
      </c>
      <c r="B1821" s="45">
        <v>1</v>
      </c>
      <c r="C1821" t="str">
        <f>B1788</f>
        <v>megajoule</v>
      </c>
      <c r="E1821" t="str">
        <f>B1785</f>
        <v>CH</v>
      </c>
      <c r="F1821" t="s">
        <v>62</v>
      </c>
      <c r="G1821" t="str">
        <f>B1787</f>
        <v>heat, from residential heating system</v>
      </c>
      <c r="K1821" t="str">
        <f>B1782</f>
        <v>heat, residential, by conversion of hydrogen using fuel cell, SOFC, allocated by exergy, transported by truck, produced by Electrolysis, SOEC using water and electricity from grid</v>
      </c>
    </row>
    <row r="1822" spans="1:22" x14ac:dyDescent="0.2">
      <c r="A1822" t="str">
        <f>VLOOKUP(J1822,'dataset mapping'!$A$4:$E$69,2,0)</f>
        <v>fuel cell production, stack solid oxide, 125kW electrical, future</v>
      </c>
      <c r="B1822" s="52">
        <f>(1/(B1811*B1815*B1814*3.6))*B1816</f>
        <v>6.8189834941278219E-9</v>
      </c>
      <c r="C1822" t="str">
        <f>VLOOKUP(J1822,'dataset mapping'!$A$4:$E$69,5,0)</f>
        <v>unit</v>
      </c>
      <c r="E1822" t="str">
        <f>VLOOKUP(J1822,'dataset mapping'!$A$4:$E$69,4,0)</f>
        <v>CH</v>
      </c>
      <c r="F1822" t="s">
        <v>86</v>
      </c>
      <c r="G1822" t="str">
        <f>VLOOKUP(J1822,'dataset mapping'!$A$4:$E$69,3,0)</f>
        <v>fuel cell, stack solid oxide, 125kW electrical, future</v>
      </c>
      <c r="H1822" t="s">
        <v>88</v>
      </c>
      <c r="I1822" t="s">
        <v>277</v>
      </c>
      <c r="J1822" t="s">
        <v>274</v>
      </c>
      <c r="K1822" t="str">
        <f>B1782</f>
        <v>heat, residential, by conversion of hydrogen using fuel cell, SOFC, allocated by exergy, transported by truck, produced by Electrolysis, SOEC using water and electricity from grid</v>
      </c>
      <c r="L1822">
        <f t="shared" ref="L1822:L1827" si="57">IF(OR(B1822&lt;0,B1822=0),1,2)</f>
        <v>2</v>
      </c>
      <c r="M1822">
        <f t="shared" ref="M1822:M1827" si="58">IF(L1822=2,LN(B1822),"")</f>
        <v>-18.80355542398161</v>
      </c>
      <c r="N1822">
        <v>1</v>
      </c>
      <c r="O1822" s="15">
        <v>1.2</v>
      </c>
      <c r="P1822">
        <v>1</v>
      </c>
      <c r="Q1822">
        <v>1.01</v>
      </c>
      <c r="R1822">
        <v>1.2</v>
      </c>
      <c r="S1822">
        <v>1.2</v>
      </c>
      <c r="T1822">
        <v>3</v>
      </c>
      <c r="U1822">
        <f t="shared" ref="U1822:U1827" si="59">LN(SQRT(EXP(
SQRT(
+POWER(LN(N1822),2)
+POWER(LN(O1822),2)
+POWER(LN(P1822),2)
+POWER(LN(Q1822),2)
+POWER(LN(R1822),2)
+POWER(LN(S1822),2)
+POWER(LN(T1822),2)
)
)))</f>
        <v>0.57157051623399524</v>
      </c>
    </row>
    <row r="1823" spans="1:22" x14ac:dyDescent="0.2">
      <c r="A1823" t="s">
        <v>283</v>
      </c>
      <c r="B1823" s="52">
        <f>(1/(B1811*B1815*B1814*3.6))*B1816</f>
        <v>6.8189834941278219E-9</v>
      </c>
      <c r="C1823" t="s">
        <v>55</v>
      </c>
      <c r="E1823" t="s">
        <v>64</v>
      </c>
      <c r="F1823" t="s">
        <v>86</v>
      </c>
      <c r="G1823" t="s">
        <v>284</v>
      </c>
      <c r="H1823" t="s">
        <v>88</v>
      </c>
      <c r="I1823" t="s">
        <v>277</v>
      </c>
      <c r="K1823" t="str">
        <f>B1782</f>
        <v>heat, residential, by conversion of hydrogen using fuel cell, SOFC, allocated by exergy, transported by truck, produced by Electrolysis, SOEC using water and electricity from grid</v>
      </c>
      <c r="L1823">
        <f t="shared" si="57"/>
        <v>2</v>
      </c>
      <c r="M1823">
        <f t="shared" si="58"/>
        <v>-18.80355542398161</v>
      </c>
      <c r="N1823">
        <v>1</v>
      </c>
      <c r="O1823" s="15">
        <v>1.2</v>
      </c>
      <c r="P1823">
        <v>1</v>
      </c>
      <c r="Q1823">
        <v>1.01</v>
      </c>
      <c r="R1823">
        <v>1.2</v>
      </c>
      <c r="S1823">
        <v>1.2</v>
      </c>
      <c r="T1823">
        <v>3</v>
      </c>
      <c r="U1823">
        <f t="shared" si="59"/>
        <v>0.57157051623399524</v>
      </c>
    </row>
    <row r="1824" spans="1:22" x14ac:dyDescent="0.2">
      <c r="A1824" t="s">
        <v>288</v>
      </c>
      <c r="B1824" s="52">
        <f>0.000024*B1816</f>
        <v>3.2610015624957834E-6</v>
      </c>
      <c r="C1824" t="s">
        <v>56</v>
      </c>
      <c r="E1824" t="s">
        <v>64</v>
      </c>
      <c r="F1824" t="s">
        <v>86</v>
      </c>
      <c r="G1824" t="s">
        <v>287</v>
      </c>
      <c r="H1824" t="s">
        <v>88</v>
      </c>
      <c r="K1824" t="str">
        <f>B1782</f>
        <v>heat, residential, by conversion of hydrogen using fuel cell, SOFC, allocated by exergy, transported by truck, produced by Electrolysis, SOEC using water and electricity from grid</v>
      </c>
      <c r="L1824">
        <f t="shared" si="57"/>
        <v>2</v>
      </c>
      <c r="M1824">
        <f t="shared" si="58"/>
        <v>-12.633476182011</v>
      </c>
      <c r="N1824">
        <v>1</v>
      </c>
      <c r="O1824" s="15">
        <v>1.2</v>
      </c>
      <c r="P1824">
        <v>1</v>
      </c>
      <c r="Q1824">
        <v>1.01</v>
      </c>
      <c r="R1824">
        <v>1.2</v>
      </c>
      <c r="S1824">
        <v>1.2</v>
      </c>
      <c r="T1824">
        <v>1.05</v>
      </c>
      <c r="U1824">
        <f t="shared" si="59"/>
        <v>0.15984597228197622</v>
      </c>
    </row>
    <row r="1825" spans="1:21" x14ac:dyDescent="0.2">
      <c r="A1825" s="45" t="str">
        <f>"hydrogen supply, transported by "&amp;B1796&amp;", produced by "&amp;B1800&amp;" using "&amp;B1801&amp;" from "&amp;B1802</f>
        <v>hydrogen supply, transported by truck, produced by Electrolysis, SOEC using water and electricity from grid</v>
      </c>
      <c r="B1825" s="53">
        <f>(B1821/B1805)/B1804*B1816</f>
        <v>2.1364003947168392E-3</v>
      </c>
      <c r="C1825" t="str">
        <f>VLOOKUP(J1825,'dataset mapping'!$A$4:$E$69,5,0)</f>
        <v>kilogram</v>
      </c>
      <c r="E1825" t="str">
        <f>VLOOKUP(J1825,'dataset mapping'!$A$4:$E$69,4,0)</f>
        <v>CH</v>
      </c>
      <c r="F1825" t="s">
        <v>86</v>
      </c>
      <c r="G1825" t="str">
        <f>"hydrogen, gaseous, from "&amp;B1796</f>
        <v>hydrogen, gaseous, from truck</v>
      </c>
      <c r="H1825" t="s">
        <v>76</v>
      </c>
      <c r="I1825" t="s">
        <v>1054</v>
      </c>
      <c r="J1825" t="s">
        <v>282</v>
      </c>
      <c r="K1825" t="str">
        <f>B1782</f>
        <v>heat, residential, by conversion of hydrogen using fuel cell, SOFC, allocated by exergy, transported by truck, produced by Electrolysis, SOEC using water and electricity from grid</v>
      </c>
      <c r="L1825">
        <f t="shared" si="57"/>
        <v>2</v>
      </c>
      <c r="M1825">
        <f t="shared" si="58"/>
        <v>-6.1486329247407472</v>
      </c>
      <c r="N1825">
        <v>1</v>
      </c>
      <c r="O1825" s="15">
        <v>1.2</v>
      </c>
      <c r="P1825">
        <v>1</v>
      </c>
      <c r="Q1825">
        <v>1.01</v>
      </c>
      <c r="R1825">
        <v>1.2</v>
      </c>
      <c r="S1825">
        <v>1.2</v>
      </c>
      <c r="T1825">
        <v>1.05</v>
      </c>
      <c r="U1825">
        <f t="shared" si="59"/>
        <v>0.15984597228197622</v>
      </c>
    </row>
    <row r="1826" spans="1:21" x14ac:dyDescent="0.2">
      <c r="A1826" t="str">
        <f>VLOOKUP(J1826,'dataset mapping'!$A$4:$E$69,2,0)</f>
        <v>high pressure hydrogen storage tank</v>
      </c>
      <c r="B1826" s="52">
        <f>((B1817/10)/(B1815*B1811*20*3.6))*IF(B1816&lt;&gt;0,B1816,1)</f>
        <v>2.3589421024998428E-7</v>
      </c>
      <c r="C1826" t="str">
        <f>VLOOKUP(J1826,'dataset mapping'!$A$4:$E$69,5,0)</f>
        <v>kilogram</v>
      </c>
      <c r="E1826" t="str">
        <f>VLOOKUP(J1826,'dataset mapping'!$A$4:$E$69,4,0)</f>
        <v>GLO</v>
      </c>
      <c r="F1826" t="s">
        <v>86</v>
      </c>
      <c r="G1826" t="str">
        <f>VLOOKUP(J1826,'dataset mapping'!$A$4:$E$69,3,0)</f>
        <v>high pressure hydrogen storage tank</v>
      </c>
      <c r="H1826" t="s">
        <v>88</v>
      </c>
      <c r="I1826" t="s">
        <v>230</v>
      </c>
      <c r="J1826" t="s">
        <v>229</v>
      </c>
      <c r="K1826" t="str">
        <f>B1782</f>
        <v>heat, residential, by conversion of hydrogen using fuel cell, SOFC, allocated by exergy, transported by truck, produced by Electrolysis, SOEC using water and electricity from grid</v>
      </c>
      <c r="L1826">
        <f t="shared" si="57"/>
        <v>2</v>
      </c>
      <c r="M1826">
        <f t="shared" si="58"/>
        <v>-15.259882394072699</v>
      </c>
      <c r="N1826">
        <v>1</v>
      </c>
      <c r="O1826" s="15">
        <v>1.2</v>
      </c>
      <c r="P1826">
        <v>1</v>
      </c>
      <c r="Q1826">
        <v>1.01</v>
      </c>
      <c r="R1826">
        <v>1.2</v>
      </c>
      <c r="S1826">
        <v>1.2</v>
      </c>
      <c r="T1826">
        <v>3</v>
      </c>
      <c r="U1826">
        <f t="shared" si="59"/>
        <v>0.57157051623399524</v>
      </c>
    </row>
    <row r="1827" spans="1:21" x14ac:dyDescent="0.2">
      <c r="A1827" t="s">
        <v>134</v>
      </c>
      <c r="B1827" s="45">
        <f>B1825*9</f>
        <v>1.9227603552451553E-2</v>
      </c>
      <c r="C1827" t="s">
        <v>56</v>
      </c>
      <c r="D1827" t="s">
        <v>100</v>
      </c>
      <c r="F1827" t="s">
        <v>99</v>
      </c>
      <c r="H1827" t="s">
        <v>131</v>
      </c>
      <c r="I1827" t="s">
        <v>1057</v>
      </c>
      <c r="K1827" t="str">
        <f>B1782</f>
        <v>heat, residential, by conversion of hydrogen using fuel cell, SOFC, allocated by exergy, transported by truck, produced by Electrolysis, SOEC using water and electricity from grid</v>
      </c>
      <c r="L1827">
        <f t="shared" si="57"/>
        <v>2</v>
      </c>
      <c r="M1827">
        <f t="shared" si="58"/>
        <v>-3.9514083474045276</v>
      </c>
      <c r="N1827">
        <v>1</v>
      </c>
      <c r="O1827" s="15">
        <v>1.2</v>
      </c>
      <c r="P1827">
        <v>1</v>
      </c>
      <c r="Q1827">
        <v>1.01</v>
      </c>
      <c r="R1827">
        <v>1.2</v>
      </c>
      <c r="S1827">
        <v>1.2</v>
      </c>
      <c r="T1827">
        <v>1.05</v>
      </c>
      <c r="U1827">
        <f t="shared" si="59"/>
        <v>0.15984597228197622</v>
      </c>
    </row>
    <row r="1829" spans="1:21" x14ac:dyDescent="0.2">
      <c r="A1829" s="2" t="s">
        <v>50</v>
      </c>
      <c r="B1829" s="44" t="str">
        <f>IF(B1835="megajoule","heat","electricity")&amp;", residential, by "&amp;B1840&amp;" of "&amp;B1839&amp;" using "&amp;B1841&amp;IF(B1842&lt;&gt;0,", allocated by "&amp;B1842,"")&amp;", transported by "&amp;B1843&amp;", produced by "&amp;B1847&amp;" using "&amp;B1848&amp;" from "&amp;B1849</f>
        <v>electricity, residential, by combustion of hydrogen using CHP, allocated by exergy, transported by truck, produced by Electrolysis, SOEC using water and electricity from grid</v>
      </c>
    </row>
    <row r="1830" spans="1:21" x14ac:dyDescent="0.2">
      <c r="A1830" t="s">
        <v>51</v>
      </c>
      <c r="B1830" s="45" t="str">
        <f>"This dataset represents the supply of 1 "&amp;IF(B1835="megajoule","megajoule of heat","kilowatt hour of electricity")&amp;" in a residence, by "&amp;B1839&amp;" "&amp;B1840&amp;" in a "&amp;B1841&amp;". "&amp;" The hydrogen is transported by "&amp;B1843&amp;" over "&amp;B1844&amp;" km from regional storage. "&amp;" The "&amp;B1839&amp;" is produced by  "&amp;B1847&amp;", with "&amp;B1848&amp;" from "&amp;B1849&amp;" as feedstock. "&amp;A1851&amp;": "&amp;(B1851*100)&amp;"%. "&amp;A1852&amp;": "&amp;B1852&amp;". "&amp;A1853&amp;": "&amp;B1853&amp;". "&amp;A1854&amp;": "&amp;(B1854*100)&amp;"%. "&amp;A1855&amp;": "&amp;(B1855*100)&amp;"%. "&amp;A1856&amp;": "&amp;(B1856*100)&amp;"%. "&amp;A1857&amp;": "&amp;B1857&amp;". "&amp;A1858&amp;": "&amp;B1858&amp;". "&amp;A1859&amp;": "&amp;(B1859*100)&amp;"%. "&amp;A1860&amp;": "&amp;B1860&amp;". "&amp;A1861&amp;": "&amp;B1861&amp;". "&amp;A1862&amp;": "&amp;B1862&amp;". "&amp;A1863&amp;": "&amp;B1863&amp;".  For more information, refer to: "&amp;B1831</f>
        <v>This dataset represents the supply of 1 kilowatt hour of electricity in a residence, by hydrogen combustion in a CHP.  The hydrogen is transported by truck over 200 km from regional storage.  The hydrogen is produced by  Electrolysis, SOEC, with water and electricity from grid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1831" spans="1:21" x14ac:dyDescent="0.2">
      <c r="A1831" t="s">
        <v>63</v>
      </c>
      <c r="B1831" s="45" t="s">
        <v>1223</v>
      </c>
    </row>
    <row r="1832" spans="1:21" x14ac:dyDescent="0.2">
      <c r="A1832" t="s">
        <v>52</v>
      </c>
      <c r="B1832" s="45" t="s">
        <v>64</v>
      </c>
    </row>
    <row r="1833" spans="1:21" x14ac:dyDescent="0.2">
      <c r="A1833" t="s">
        <v>48</v>
      </c>
      <c r="B1833" s="45" t="s">
        <v>880</v>
      </c>
    </row>
    <row r="1834" spans="1:21" x14ac:dyDescent="0.2">
      <c r="A1834" t="s">
        <v>54</v>
      </c>
      <c r="B1834" s="45" t="str">
        <f>INDEX(overview!$B$4:$R$338,MATCH('hydrogen - electrolysis'!B1833,overview!$A$4:$A$338,0),MATCH('hydrogen - electrolysis'!A1834,overview!$B$3:$R$3,0))</f>
        <v>electricity, from residential heating system</v>
      </c>
    </row>
    <row r="1835" spans="1:21" x14ac:dyDescent="0.2">
      <c r="A1835" t="s">
        <v>55</v>
      </c>
      <c r="B1835" s="45" t="str">
        <f>INDEX(overview!$B$4:$R$338,MATCH('hydrogen - electrolysis'!B1833,overview!$A$4:$A$338,0),MATCH('hydrogen - electrolysis'!A1835,overview!$B$3:$R$3,0))</f>
        <v>kilowatt hour</v>
      </c>
    </row>
    <row r="1836" spans="1:21" x14ac:dyDescent="0.2">
      <c r="A1836" t="s">
        <v>0</v>
      </c>
      <c r="B1836" s="45" t="str">
        <f>INDEX(overview!$B$4:$R$338,MATCH('hydrogen - electrolysis'!B1833,overview!$A$4:$A$338,0),MATCH('hydrogen - electrolysis'!A1836,overview!$B$3:$R$3,0))</f>
        <v>Switzerland</v>
      </c>
    </row>
    <row r="1837" spans="1:21" x14ac:dyDescent="0.2">
      <c r="A1837" t="s">
        <v>1</v>
      </c>
      <c r="B1837" s="45">
        <f>INDEX(overview!$B$4:$R$338,MATCH('hydrogen - electrolysis'!B1833,overview!$A$4:$A$338,0),MATCH('hydrogen - electrolysis'!A1837,overview!$B$3:$R$3,0))</f>
        <v>2020</v>
      </c>
    </row>
    <row r="1838" spans="1:21" x14ac:dyDescent="0.2">
      <c r="A1838" t="s">
        <v>2</v>
      </c>
      <c r="B1838" s="45" t="str">
        <f>INDEX(overview!$B$4:$R$338,MATCH('hydrogen - electrolysis'!B1833,overview!$A$4:$A$338,0),MATCH('hydrogen - electrolysis'!A1838,overview!$B$3:$R$3,0))</f>
        <v>1 kWh electricity</v>
      </c>
    </row>
    <row r="1839" spans="1:21" x14ac:dyDescent="0.2">
      <c r="A1839" t="s">
        <v>5</v>
      </c>
      <c r="B1839" s="45" t="str">
        <f>INDEX(overview!$B$4:$R$338,MATCH('hydrogen - electrolysis'!B1833,overview!$A$4:$A$338,0),MATCH('hydrogen - electrolysis'!A1839,overview!$B$3:$R$3,0))</f>
        <v>hydrogen</v>
      </c>
    </row>
    <row r="1840" spans="1:21" x14ac:dyDescent="0.2">
      <c r="A1840" t="s">
        <v>3</v>
      </c>
      <c r="B1840" s="45" t="str">
        <f>INDEX(overview!$B$4:$R$338,MATCH('hydrogen - electrolysis'!B1833,overview!$A$4:$A$338,0),MATCH('hydrogen - electrolysis'!A1840,overview!$B$3:$R$3,0))</f>
        <v>combustion</v>
      </c>
    </row>
    <row r="1841" spans="1:2" x14ac:dyDescent="0.2">
      <c r="A1841" t="s">
        <v>6</v>
      </c>
      <c r="B1841" s="45" t="str">
        <f>INDEX(overview!$B$4:$R$338,MATCH('hydrogen - electrolysis'!B1833,overview!$A$4:$A$338,0),MATCH('hydrogen - electrolysis'!A1841,overview!$B$3:$R$3,0))</f>
        <v>CHP</v>
      </c>
    </row>
    <row r="1842" spans="1:2" x14ac:dyDescent="0.2">
      <c r="A1842" t="s">
        <v>39</v>
      </c>
      <c r="B1842" s="45" t="str">
        <f>INDEX(overview!$B$4:$R$338,MATCH('hydrogen - electrolysis'!B1833,overview!$A$4:$A$338,0),MATCH('hydrogen - electrolysis'!A1842,overview!$B$3:$R$3,0))</f>
        <v>exergy</v>
      </c>
    </row>
    <row r="1843" spans="1:2" x14ac:dyDescent="0.2">
      <c r="A1843" t="s">
        <v>4</v>
      </c>
      <c r="B1843" s="45" t="str">
        <f>INDEX(overview!$B$4:$R$338,MATCH('hydrogen - electrolysis'!B1833,overview!$A$4:$A$338,0),MATCH('hydrogen - electrolysis'!A1843,overview!$B$3:$R$3,0))</f>
        <v>truck</v>
      </c>
    </row>
    <row r="1844" spans="1:2" x14ac:dyDescent="0.2">
      <c r="A1844" t="s">
        <v>38</v>
      </c>
      <c r="B1844" s="45">
        <f>INDEX(overview!$B$4:$R$338,MATCH('hydrogen - electrolysis'!B1833,overview!$A$4:$A$338,0),MATCH('hydrogen - electrolysis'!A1844,overview!$B$3:$R$3,0))</f>
        <v>200</v>
      </c>
    </row>
    <row r="1845" spans="1:2" x14ac:dyDescent="0.2">
      <c r="A1845" t="s">
        <v>12</v>
      </c>
      <c r="B1845" s="45" t="str">
        <f>INDEX(overview!$B$4:$R$338,MATCH('hydrogen - electrolysis'!B1833,overview!$A$4:$A$338,0),MATCH('hydrogen - electrolysis'!A1845,overview!$B$3:$R$3,0))</f>
        <v>Pressure vessel for stationary storage</v>
      </c>
    </row>
    <row r="1846" spans="1:2" x14ac:dyDescent="0.2">
      <c r="A1846" t="s">
        <v>34</v>
      </c>
      <c r="B1846" s="45">
        <f>INDEX(overview!$B$4:$R$338,MATCH('hydrogen - electrolysis'!B1833,overview!$A$4:$A$338,0),MATCH('hydrogen - electrolysis'!A1846,overview!$B$3:$R$3,0))</f>
        <v>0</v>
      </c>
    </row>
    <row r="1847" spans="1:2" x14ac:dyDescent="0.2">
      <c r="A1847" t="s">
        <v>15</v>
      </c>
      <c r="B1847" s="45" t="str">
        <f>INDEX(overview!$B$4:$R$338,MATCH('hydrogen - electrolysis'!B1833,overview!$A$4:$A$338,0),MATCH('hydrogen - electrolysis'!A1847,overview!$B$3:$R$3,0))</f>
        <v>Electrolysis, SOEC</v>
      </c>
    </row>
    <row r="1848" spans="1:2" x14ac:dyDescent="0.2">
      <c r="A1848" t="s">
        <v>14</v>
      </c>
      <c r="B1848" s="45" t="str">
        <f>INDEX(overview!$B$4:$R$338,MATCH('hydrogen - electrolysis'!B1833,overview!$A$4:$A$338,0),MATCH('hydrogen - electrolysis'!A1848,overview!$B$3:$R$3,0))</f>
        <v>water and electricity</v>
      </c>
    </row>
    <row r="1849" spans="1:2" x14ac:dyDescent="0.2">
      <c r="A1849" t="s">
        <v>26</v>
      </c>
      <c r="B1849" s="45" t="str">
        <f>INDEX(overview!$B$4:$R$338,MATCH('hydrogen - electrolysis'!B1833,overview!$A$4:$A$338,0),MATCH('hydrogen - electrolysis'!A1849,overview!$B$3:$R$3,0))</f>
        <v>grid</v>
      </c>
    </row>
    <row r="1850" spans="1:2" x14ac:dyDescent="0.2">
      <c r="A1850" t="s">
        <v>29</v>
      </c>
      <c r="B1850" s="45">
        <f>INDEX(overview!$B$4:$R$338,MATCH('hydrogen - electrolysis'!B1833,overview!$A$4:$A$338,0),MATCH('hydrogen - electrolysis'!A1850,overview!$B$3:$R$3,0))</f>
        <v>0</v>
      </c>
    </row>
    <row r="1851" spans="1:2" x14ac:dyDescent="0.2">
      <c r="A1851" t="str">
        <f>IF(B1835="megajoule","Heat","Electricity")&amp;" conversion efficiency [% LHV input]"</f>
        <v>Electricity conversion efficiency [% LHV input]</v>
      </c>
      <c r="B1851" s="46">
        <f>INDEX(parameters!$D$4:$N$20,MATCH('hydrogen - electrolysis'!B1839&amp;'hydrogen - electrolysis'!B1841,parameters!$A$4:$A$20,0),MATCH('hydrogen - electrolysis'!A1851,parameters!$D$3:$N$3,0))</f>
        <v>0.39400000000000002</v>
      </c>
    </row>
    <row r="1852" spans="1:2" x14ac:dyDescent="0.2">
      <c r="A1852" t="str">
        <f>IF(B1835="megajoule","LHV [MJ/kg]","LHV [kWh/kg]")</f>
        <v>LHV [kWh/kg]</v>
      </c>
      <c r="B1852" s="47">
        <f>INDEX(parameters!$D$4:$N$20,MATCH('hydrogen - electrolysis'!B1839&amp;'hydrogen - electrolysis'!B1841,parameters!$A$4:$A$20,0),MATCH('hydrogen - electrolysis'!A1852,parameters!$D$3:$N$3,0))</f>
        <v>33.333333333333336</v>
      </c>
    </row>
    <row r="1853" spans="1:2" x14ac:dyDescent="0.2">
      <c r="A1853" t="s">
        <v>41</v>
      </c>
      <c r="B1853" s="48">
        <f>INDEX(parameters!$D$4:$N$20,MATCH('hydrogen - electrolysis'!B1839&amp;'hydrogen - electrolysis'!B1841,parameters!$A$4:$A$20,0),MATCH('hydrogen - electrolysis'!A1853,parameters!$D$3:$N$3,0))</f>
        <v>2.6666666666666665E-2</v>
      </c>
    </row>
    <row r="1854" spans="1:2" x14ac:dyDescent="0.2">
      <c r="A1854" t="s">
        <v>45</v>
      </c>
      <c r="B1854" s="46">
        <f>INDEX(parameters!$D$4:$N$20,MATCH('hydrogen - electrolysis'!B1839&amp;'hydrogen - electrolysis'!B1841,parameters!$A$4:$A$20,0),MATCH('hydrogen - electrolysis'!A1854,parameters!$D$3:$N$3,0))</f>
        <v>0</v>
      </c>
    </row>
    <row r="1855" spans="1:2" x14ac:dyDescent="0.2">
      <c r="A1855" t="s">
        <v>46</v>
      </c>
      <c r="B1855" s="46">
        <f>INDEX(parameters!$D$4:$N$20,MATCH('hydrogen - electrolysis'!B1839&amp;'hydrogen - electrolysis'!B1841,parameters!$A$4:$A$20,0),MATCH('hydrogen - electrolysis'!A1855,parameters!$D$3:$N$3,0))</f>
        <v>1.4999999999999999E-2</v>
      </c>
    </row>
    <row r="1856" spans="1:2" x14ac:dyDescent="0.2">
      <c r="A1856" t="s">
        <v>43</v>
      </c>
      <c r="B1856" s="46">
        <f>INDEX(parameters!$D$4:$N$20,MATCH('hydrogen - electrolysis'!B1839&amp;'hydrogen - electrolysis'!B1841,parameters!$A$4:$A$20,0),MATCH('hydrogen - electrolysis'!A1856,parameters!$D$3:$N$3,0))</f>
        <v>0</v>
      </c>
    </row>
    <row r="1857" spans="1:22" x14ac:dyDescent="0.2">
      <c r="A1857" t="s">
        <v>44</v>
      </c>
      <c r="B1857" s="46">
        <f>INDEX(parameters!$D$4:$N$20,MATCH('hydrogen - electrolysis'!B1839&amp;'hydrogen - electrolysis'!B1841,parameters!$A$4:$A$20,0),MATCH('hydrogen - electrolysis'!A1857,parameters!$D$3:$N$3,0))</f>
        <v>0</v>
      </c>
    </row>
    <row r="1858" spans="1:22" x14ac:dyDescent="0.2">
      <c r="A1858" t="s">
        <v>634</v>
      </c>
      <c r="B1858" s="51">
        <f>INDEX(parameters!$D$4:$Y$20,MATCH('hydrogen - electrolysis'!B1839&amp;'hydrogen - electrolysis'!B1841,parameters!$A$4:$A$20,0),MATCH('hydrogen - electrolysis'!A1858,parameters!$D$3:$Y$3,0))</f>
        <v>351.41800246609125</v>
      </c>
    </row>
    <row r="1859" spans="1:22" x14ac:dyDescent="0.2">
      <c r="A1859" t="s">
        <v>82</v>
      </c>
      <c r="B1859" s="46">
        <f>IF(B1850&lt;&gt;0,VLOOKUP(B1850,parameters!A1277:B1279,2,0),0)</f>
        <v>0</v>
      </c>
    </row>
    <row r="1860" spans="1:22" x14ac:dyDescent="0.2">
      <c r="A1860" t="s">
        <v>548</v>
      </c>
      <c r="B1860" s="50">
        <f>INDEX(parameters!$D$4:$P$20,MATCH(B1839&amp;B1841,parameters!$A$4:$A$20,0),MATCH(A1860,parameters!$D$3:$P$3,0))</f>
        <v>125</v>
      </c>
    </row>
    <row r="1861" spans="1:22" x14ac:dyDescent="0.2">
      <c r="A1861" t="s">
        <v>547</v>
      </c>
      <c r="B1861" s="51">
        <f>INDEX(parameters!$D$4:$P$20,MATCH(B1839&amp;B1841,parameters!$A$4:$A$20,0),MATCH(A1861,parameters!$D$3:$P$3,0))</f>
        <v>19.512195121951219</v>
      </c>
    </row>
    <row r="1862" spans="1:22" x14ac:dyDescent="0.2">
      <c r="A1862" t="s">
        <v>630</v>
      </c>
      <c r="B1862" s="51">
        <f>INDEX(parameters!$D$4:$T$20,MATCH(B1839&amp;B1841,parameters!$A$4:$A$20,0),MATCH(A1862,parameters!$D$3:$T$3,0))</f>
        <v>4100</v>
      </c>
    </row>
    <row r="1863" spans="1:22" x14ac:dyDescent="0.2">
      <c r="A1863" t="s">
        <v>1005</v>
      </c>
      <c r="B1863" s="50">
        <f>IF(B1835="megajoule",SUMIFS(allocation!$I$4:$I$30,allocation!$B$4:$B$30,B1841,allocation!$C$4:$C$30,B1842),SUMIFS(allocation!$J$4:$J$30,allocation!$B$4:$B$30,B1841,allocation!$C$4:$C$30,B1842))</f>
        <v>0.87139957772704957</v>
      </c>
    </row>
    <row r="1864" spans="1:22" x14ac:dyDescent="0.2">
      <c r="A1864" t="s">
        <v>1050</v>
      </c>
      <c r="B1864" s="51">
        <f>INDEX(parameters!$D$4:$AB$20,MATCH(B1839&amp;B1841,parameters!$A$4:$A$20,0),MATCH(A1864,parameters!$D$3:$AB$3,0))</f>
        <v>2220.7364520822662</v>
      </c>
    </row>
    <row r="1866" spans="1:22" x14ac:dyDescent="0.2">
      <c r="A1866" s="3" t="s">
        <v>57</v>
      </c>
    </row>
    <row r="1867" spans="1:22" x14ac:dyDescent="0.2">
      <c r="A1867" s="2" t="s">
        <v>58</v>
      </c>
      <c r="B1867" s="44" t="s">
        <v>59</v>
      </c>
      <c r="C1867" s="2" t="s">
        <v>55</v>
      </c>
      <c r="D1867" s="2" t="s">
        <v>60</v>
      </c>
      <c r="E1867" s="2" t="s">
        <v>52</v>
      </c>
      <c r="F1867" s="2" t="s">
        <v>61</v>
      </c>
      <c r="G1867" s="2" t="s">
        <v>54</v>
      </c>
      <c r="H1867" s="2" t="s">
        <v>87</v>
      </c>
      <c r="I1867" s="2" t="s">
        <v>51</v>
      </c>
      <c r="J1867" s="2" t="s">
        <v>138</v>
      </c>
      <c r="K1867" s="2" t="s">
        <v>136</v>
      </c>
      <c r="L1867" s="2" t="s">
        <v>221</v>
      </c>
      <c r="M1867" s="2" t="s">
        <v>379</v>
      </c>
      <c r="N1867" s="2" t="s">
        <v>1059</v>
      </c>
      <c r="O1867" s="2" t="s">
        <v>1060</v>
      </c>
      <c r="P1867" s="2" t="s">
        <v>1061</v>
      </c>
      <c r="Q1867" s="2" t="s">
        <v>1062</v>
      </c>
      <c r="R1867" s="2" t="s">
        <v>1063</v>
      </c>
      <c r="S1867" s="2" t="s">
        <v>1064</v>
      </c>
      <c r="T1867" s="2" t="s">
        <v>1065</v>
      </c>
      <c r="U1867" s="2" t="s">
        <v>380</v>
      </c>
      <c r="V1867" s="2" t="s">
        <v>1128</v>
      </c>
    </row>
    <row r="1868" spans="1:22" x14ac:dyDescent="0.2">
      <c r="A1868" t="str">
        <f>B1829</f>
        <v>electricity, residential, by combustion of hydrogen using CHP, allocated by exergy, transported by truck, produced by Electrolysis, SOEC using water and electricity from grid</v>
      </c>
      <c r="B1868" s="45">
        <v>1</v>
      </c>
      <c r="C1868" t="str">
        <f>B1835</f>
        <v>kilowatt hour</v>
      </c>
      <c r="E1868" t="str">
        <f>B1832</f>
        <v>CH</v>
      </c>
      <c r="F1868" t="s">
        <v>62</v>
      </c>
      <c r="G1868" t="str">
        <f>B1834</f>
        <v>electricity, from residential heating system</v>
      </c>
      <c r="K1868" t="str">
        <f>B1829</f>
        <v>electricity, residential, by combustion of hydrogen using CHP, allocated by exergy, transported by truck, produced by Electrolysis, SOEC using water and electricity from grid</v>
      </c>
    </row>
    <row r="1869" spans="1:22" x14ac:dyDescent="0.2">
      <c r="A1869" t="str">
        <f>VLOOKUP(J1869,'dataset mapping'!$A$4:$E$69,2,0)</f>
        <v>heat and power co-generation unit construction, 160kW electrical, common components for heat+electricity</v>
      </c>
      <c r="B1869" s="52">
        <f>(1/(B1858*B1862*B1861))*B1863</f>
        <v>3.0995835856870056E-8</v>
      </c>
      <c r="C1869" t="str">
        <f>VLOOKUP(J1869,'dataset mapping'!$A$4:$E$69,5,0)</f>
        <v>unit</v>
      </c>
      <c r="E1869" t="str">
        <f>VLOOKUP(J1869,'dataset mapping'!$A$4:$E$69,4,0)</f>
        <v>RER</v>
      </c>
      <c r="F1869" t="s">
        <v>86</v>
      </c>
      <c r="G1869" t="str">
        <f>VLOOKUP(J1869,'dataset mapping'!$A$4:$E$69,3,0)</f>
        <v>heat and power co-generation unit, 160kW electrical, common components for heat+electricity</v>
      </c>
      <c r="H1869" t="s">
        <v>88</v>
      </c>
      <c r="J1869" t="s">
        <v>145</v>
      </c>
      <c r="K1869" t="str">
        <f>B1829</f>
        <v>electricity, residential, by combustion of hydrogen using CHP, allocated by exergy, transported by truck, produced by Electrolysis, SOEC using water and electricity from grid</v>
      </c>
      <c r="L1869">
        <f>IF(OR(B1869&lt;0,B1869=0),1,2)</f>
        <v>2</v>
      </c>
      <c r="M1869">
        <f>IF(L1869=2,LN(B1869),"")</f>
        <v>-17.28941296868171</v>
      </c>
      <c r="N1869">
        <v>1.05</v>
      </c>
      <c r="O1869" s="15">
        <v>1.2</v>
      </c>
      <c r="P1869">
        <v>1</v>
      </c>
      <c r="Q1869">
        <v>1.01</v>
      </c>
      <c r="R1869">
        <v>1.2</v>
      </c>
      <c r="S1869">
        <v>1.2</v>
      </c>
      <c r="T1869">
        <v>3</v>
      </c>
      <c r="U1869">
        <f t="shared" ref="U1869:U1877" si="60">LN(SQRT(EXP(
SQRT(
+POWER(LN(N1869),2)
+POWER(LN(O1869),2)
+POWER(LN(P1869),2)
+POWER(LN(Q1869),2)
+POWER(LN(R1869),2)
+POWER(LN(S1869),2)
+POWER(LN(T1869),2)
)
)))</f>
        <v>0.57209088006881903</v>
      </c>
    </row>
    <row r="1870" spans="1:22" x14ac:dyDescent="0.2">
      <c r="A1870" t="str">
        <f>VLOOKUP(J1870,'dataset mapping'!$A$4:$E$69,2,0)</f>
        <v>heat and power co-generation unit construction, 160kW electrical, components for electricity only</v>
      </c>
      <c r="B1870" s="52">
        <f>(1/(B1858*B1862*B1861))*B1863</f>
        <v>3.0995835856870056E-8</v>
      </c>
      <c r="C1870" t="str">
        <f>VLOOKUP(J1870,'dataset mapping'!$A$4:$E$69,5,0)</f>
        <v>unit</v>
      </c>
      <c r="E1870" t="str">
        <f>VLOOKUP(J1870,'dataset mapping'!$A$4:$E$69,4,0)</f>
        <v>RER</v>
      </c>
      <c r="F1870" t="s">
        <v>86</v>
      </c>
      <c r="G1870" t="str">
        <f>VLOOKUP(J1870,'dataset mapping'!$A$4:$E$69,3,0)</f>
        <v>heat and power co-generation unit, 160kW electrical, components for electricity only</v>
      </c>
      <c r="H1870" t="s">
        <v>88</v>
      </c>
      <c r="J1870" t="s">
        <v>146</v>
      </c>
      <c r="K1870" t="str">
        <f>B1829</f>
        <v>electricity, residential, by combustion of hydrogen using CHP, allocated by exergy, transported by truck, produced by Electrolysis, SOEC using water and electricity from grid</v>
      </c>
      <c r="L1870">
        <f>IF(OR(B1870&lt;0,B1870=0),1,2)</f>
        <v>2</v>
      </c>
      <c r="M1870">
        <f>IF(L1870=2,LN(B1870),"")</f>
        <v>-17.28941296868171</v>
      </c>
      <c r="N1870">
        <v>1.05</v>
      </c>
      <c r="O1870" s="15">
        <v>1.2</v>
      </c>
      <c r="P1870">
        <v>1</v>
      </c>
      <c r="Q1870">
        <v>1.01</v>
      </c>
      <c r="R1870">
        <v>1.2</v>
      </c>
      <c r="S1870">
        <v>1.2</v>
      </c>
      <c r="T1870">
        <v>3</v>
      </c>
      <c r="U1870">
        <f t="shared" si="60"/>
        <v>0.57209088006881903</v>
      </c>
    </row>
    <row r="1871" spans="1:22" x14ac:dyDescent="0.2">
      <c r="A1871" t="str">
        <f>VLOOKUP(J1871,'dataset mapping'!$A$4:$E$69,2,0)</f>
        <v>heat and power co-generation unit construction, 160kW electrical, components for heat only</v>
      </c>
      <c r="B1871" s="52">
        <f>(1/(B1858*B1862*B1861))*B1863</f>
        <v>3.0995835856870056E-8</v>
      </c>
      <c r="C1871" t="str">
        <f>VLOOKUP(J1871,'dataset mapping'!$A$4:$E$69,5,0)</f>
        <v>unit</v>
      </c>
      <c r="E1871" t="str">
        <f>VLOOKUP(J1871,'dataset mapping'!$A$4:$E$69,4,0)</f>
        <v>RER</v>
      </c>
      <c r="F1871" t="s">
        <v>86</v>
      </c>
      <c r="G1871" t="str">
        <f>VLOOKUP(J1871,'dataset mapping'!$A$4:$E$69,3,0)</f>
        <v>heat and power co-generation unit, 160kW electrical, components for heat only</v>
      </c>
      <c r="H1871" t="s">
        <v>88</v>
      </c>
      <c r="J1871" t="s">
        <v>147</v>
      </c>
      <c r="K1871" t="str">
        <f>B1829</f>
        <v>electricity, residential, by combustion of hydrogen using CHP, allocated by exergy, transported by truck, produced by Electrolysis, SOEC using water and electricity from grid</v>
      </c>
      <c r="L1871">
        <f>IF(OR(B1871&lt;0,B1871=0),1,2)</f>
        <v>2</v>
      </c>
      <c r="M1871">
        <f>IF(L1871=2,LN(B1871),"")</f>
        <v>-17.28941296868171</v>
      </c>
      <c r="N1871">
        <v>1.05</v>
      </c>
      <c r="O1871" s="15">
        <v>1.2</v>
      </c>
      <c r="P1871">
        <v>1</v>
      </c>
      <c r="Q1871">
        <v>1.01</v>
      </c>
      <c r="R1871">
        <v>1.2</v>
      </c>
      <c r="S1871">
        <v>1.2</v>
      </c>
      <c r="T1871">
        <v>3</v>
      </c>
      <c r="U1871">
        <f t="shared" si="60"/>
        <v>0.57209088006881903</v>
      </c>
    </row>
    <row r="1872" spans="1:22" x14ac:dyDescent="0.2">
      <c r="A1872" t="s">
        <v>156</v>
      </c>
      <c r="B1872" s="52">
        <f>0.00000011366*B1863</f>
        <v>9.9043276004456456E-8</v>
      </c>
      <c r="C1872" t="s">
        <v>56</v>
      </c>
      <c r="E1872" t="s">
        <v>90</v>
      </c>
      <c r="F1872" t="s">
        <v>86</v>
      </c>
      <c r="G1872" t="s">
        <v>154</v>
      </c>
      <c r="H1872" t="s">
        <v>155</v>
      </c>
      <c r="K1872" t="str">
        <f>B1829</f>
        <v>electricity, residential, by combustion of hydrogen using CHP, allocated by exergy, transported by truck, produced by Electrolysis, SOEC using water and electricity from grid</v>
      </c>
      <c r="L1872">
        <f>IF(OR(B1872&lt;0,B1872=0),1,2)</f>
        <v>2</v>
      </c>
      <c r="M1872">
        <f>IF(L1872=2,LN(B1872),"")</f>
        <v>-16.127708950967754</v>
      </c>
      <c r="N1872">
        <v>1.05</v>
      </c>
      <c r="O1872" s="15">
        <v>1.2</v>
      </c>
      <c r="P1872">
        <v>1</v>
      </c>
      <c r="Q1872">
        <v>1.01</v>
      </c>
      <c r="R1872">
        <v>1.2</v>
      </c>
      <c r="S1872">
        <v>1.2</v>
      </c>
      <c r="T1872">
        <v>1.05</v>
      </c>
      <c r="U1872">
        <f t="shared" si="60"/>
        <v>0.16169679924070957</v>
      </c>
    </row>
    <row r="1873" spans="1:22" x14ac:dyDescent="0.2">
      <c r="A1873" t="s">
        <v>157</v>
      </c>
      <c r="B1873" s="52">
        <f>0.00000011366*B1863*-1</f>
        <v>-9.9043276004456456E-8</v>
      </c>
      <c r="C1873" t="s">
        <v>56</v>
      </c>
      <c r="E1873" t="s">
        <v>64</v>
      </c>
      <c r="F1873" t="s">
        <v>86</v>
      </c>
      <c r="G1873" t="s">
        <v>158</v>
      </c>
      <c r="H1873" t="s">
        <v>155</v>
      </c>
      <c r="K1873" t="str">
        <f>B1829</f>
        <v>electricity, residential, by combustion of hydrogen using CHP, allocated by exergy, transported by truck, produced by Electrolysis, SOEC using water and electricity from grid</v>
      </c>
      <c r="L1873">
        <v>2</v>
      </c>
      <c r="M1873">
        <f>IF(L1873=2,LN(B1873*-1),"")</f>
        <v>-16.127708950967754</v>
      </c>
      <c r="N1873">
        <v>1.05</v>
      </c>
      <c r="O1873" s="15">
        <v>1.2</v>
      </c>
      <c r="P1873">
        <v>1</v>
      </c>
      <c r="Q1873">
        <v>1.01</v>
      </c>
      <c r="R1873">
        <v>1.2</v>
      </c>
      <c r="S1873">
        <v>1.2</v>
      </c>
      <c r="T1873">
        <v>3</v>
      </c>
      <c r="U1873">
        <f t="shared" si="60"/>
        <v>0.57209088006881903</v>
      </c>
      <c r="V1873" t="b">
        <v>1</v>
      </c>
    </row>
    <row r="1874" spans="1:22" x14ac:dyDescent="0.2">
      <c r="A1874" s="45" t="str">
        <f>"hydrogen supply, transported by "&amp;B1843&amp;", produced by "&amp;B1847&amp;" using "&amp;B1848&amp;" from "&amp;B1849</f>
        <v>hydrogen supply, transported by truck, produced by Electrolysis, SOEC using water and electricity from grid</v>
      </c>
      <c r="B1874" s="53">
        <f>(B1868/B1852)/B1851*B1863</f>
        <v>6.6350221654343872E-2</v>
      </c>
      <c r="C1874" t="str">
        <f>VLOOKUP(J1874,'dataset mapping'!$A$4:$E$69,5,0)</f>
        <v>kilogram</v>
      </c>
      <c r="E1874" t="str">
        <f>VLOOKUP(J1874,'dataset mapping'!$A$4:$E$69,4,0)</f>
        <v>CH</v>
      </c>
      <c r="F1874" t="s">
        <v>86</v>
      </c>
      <c r="G1874" t="str">
        <f>"hydrogen, gaseous, from "&amp;B488</f>
        <v>hydrogen, gaseous, from truck</v>
      </c>
      <c r="H1874" t="s">
        <v>76</v>
      </c>
      <c r="I1874" t="s">
        <v>1054</v>
      </c>
      <c r="J1874" t="s">
        <v>282</v>
      </c>
      <c r="K1874" t="str">
        <f>B1829</f>
        <v>electricity, residential, by combustion of hydrogen using CHP, allocated by exergy, transported by truck, produced by Electrolysis, SOEC using water and electricity from grid</v>
      </c>
      <c r="L1874">
        <f>IF(OR(B1874&lt;0,B1874=0),1,2)</f>
        <v>2</v>
      </c>
      <c r="M1874">
        <f>IF(L1874=2,LN(B1874),"")</f>
        <v>-2.7128081775260964</v>
      </c>
      <c r="N1874">
        <v>1.05</v>
      </c>
      <c r="O1874" s="15">
        <v>1.2</v>
      </c>
      <c r="P1874">
        <v>1</v>
      </c>
      <c r="Q1874">
        <v>1.01</v>
      </c>
      <c r="R1874">
        <v>1.2</v>
      </c>
      <c r="S1874">
        <v>1.2</v>
      </c>
      <c r="T1874">
        <v>1.05</v>
      </c>
      <c r="U1874">
        <f t="shared" si="60"/>
        <v>0.16169679924070957</v>
      </c>
    </row>
    <row r="1875" spans="1:22" x14ac:dyDescent="0.2">
      <c r="A1875" t="str">
        <f>VLOOKUP(J1875,'dataset mapping'!$A$4:$E$69,2,0)</f>
        <v>high pressure hydrogen storage tank</v>
      </c>
      <c r="B1875" s="52">
        <f>((B1864/10)/(B1862*B1858*20))*IF(B1863&lt;&gt;0,B1863,1)</f>
        <v>6.7154714683034044E-6</v>
      </c>
      <c r="C1875" t="str">
        <f>VLOOKUP(J1875,'dataset mapping'!$A$4:$E$69,5,0)</f>
        <v>kilogram</v>
      </c>
      <c r="E1875" t="str">
        <f>VLOOKUP(J1875,'dataset mapping'!$A$4:$E$69,4,0)</f>
        <v>GLO</v>
      </c>
      <c r="F1875" t="s">
        <v>86</v>
      </c>
      <c r="G1875" t="str">
        <f>VLOOKUP(J1875,'dataset mapping'!$A$4:$E$69,3,0)</f>
        <v>high pressure hydrogen storage tank</v>
      </c>
      <c r="H1875" t="s">
        <v>88</v>
      </c>
      <c r="I1875" t="s">
        <v>279</v>
      </c>
      <c r="J1875" t="s">
        <v>229</v>
      </c>
      <c r="K1875" t="str">
        <f>B1829</f>
        <v>electricity, residential, by combustion of hydrogen using CHP, allocated by exergy, transported by truck, produced by Electrolysis, SOEC using water and electricity from grid</v>
      </c>
      <c r="L1875">
        <f>IF(OR(B1875&lt;0,B1875=0),1,2)</f>
        <v>2</v>
      </c>
      <c r="M1875">
        <f>IF(L1875=2,LN(B1875),"")</f>
        <v>-11.911096519239557</v>
      </c>
      <c r="N1875">
        <v>1.05</v>
      </c>
      <c r="O1875" s="15">
        <v>1.2</v>
      </c>
      <c r="P1875">
        <v>1</v>
      </c>
      <c r="Q1875">
        <v>1.01</v>
      </c>
      <c r="R1875">
        <v>1.2</v>
      </c>
      <c r="S1875">
        <v>1.2</v>
      </c>
      <c r="T1875">
        <v>3</v>
      </c>
      <c r="U1875">
        <f t="shared" si="60"/>
        <v>0.57209088006881903</v>
      </c>
    </row>
    <row r="1876" spans="1:22" x14ac:dyDescent="0.2">
      <c r="A1876" t="s">
        <v>134</v>
      </c>
      <c r="B1876" s="45">
        <f>B1874*9</f>
        <v>0.59715199488909487</v>
      </c>
      <c r="C1876" t="s">
        <v>56</v>
      </c>
      <c r="D1876" t="s">
        <v>100</v>
      </c>
      <c r="F1876" t="s">
        <v>99</v>
      </c>
      <c r="H1876" t="s">
        <v>131</v>
      </c>
      <c r="I1876" t="s">
        <v>1058</v>
      </c>
      <c r="K1876" t="str">
        <f>B1829</f>
        <v>electricity, residential, by combustion of hydrogen using CHP, allocated by exergy, transported by truck, produced by Electrolysis, SOEC using water and electricity from grid</v>
      </c>
      <c r="L1876">
        <f>IF(OR(B1876&lt;0,B1876=0),1,2)</f>
        <v>2</v>
      </c>
      <c r="M1876">
        <f>IF(L1876=2,LN(B1876),"")</f>
        <v>-0.51558360018987692</v>
      </c>
      <c r="N1876">
        <v>1.05</v>
      </c>
      <c r="O1876" s="15">
        <v>1.2</v>
      </c>
      <c r="P1876">
        <v>1</v>
      </c>
      <c r="Q1876">
        <v>1.01</v>
      </c>
      <c r="R1876">
        <v>1.2</v>
      </c>
      <c r="S1876">
        <v>1.2</v>
      </c>
      <c r="T1876">
        <v>1.05</v>
      </c>
      <c r="U1876">
        <f t="shared" si="60"/>
        <v>0.16169679924070957</v>
      </c>
    </row>
    <row r="1877" spans="1:22" x14ac:dyDescent="0.2">
      <c r="A1877" t="s">
        <v>135</v>
      </c>
      <c r="B1877" s="45">
        <f>912.5/1000000*B1874</f>
        <v>6.0544577259588785E-5</v>
      </c>
      <c r="C1877" t="s">
        <v>56</v>
      </c>
      <c r="D1877" t="s">
        <v>100</v>
      </c>
      <c r="F1877" t="s">
        <v>99</v>
      </c>
      <c r="H1877" t="s">
        <v>131</v>
      </c>
      <c r="I1877" t="s">
        <v>1217</v>
      </c>
      <c r="K1877" t="str">
        <f>B1829</f>
        <v>electricity, residential, by combustion of hydrogen using CHP, allocated by exergy, transported by truck, produced by Electrolysis, SOEC using water and electricity from grid</v>
      </c>
      <c r="L1877">
        <f>IF(OR(B1877&lt;0,B1877=0),1,2)</f>
        <v>2</v>
      </c>
      <c r="M1877">
        <f>IF(L1877=2,LN(B1877),"")</f>
        <v>-9.712130650033723</v>
      </c>
      <c r="N1877">
        <v>1.05</v>
      </c>
      <c r="O1877" s="15">
        <v>1.2</v>
      </c>
      <c r="P1877">
        <v>1</v>
      </c>
      <c r="Q1877">
        <v>1.01</v>
      </c>
      <c r="R1877">
        <v>1.2</v>
      </c>
      <c r="S1877">
        <v>1.2</v>
      </c>
      <c r="T1877">
        <v>1.5</v>
      </c>
      <c r="U1877">
        <f t="shared" si="60"/>
        <v>0.25816898211842121</v>
      </c>
    </row>
    <row r="1879" spans="1:22" x14ac:dyDescent="0.2">
      <c r="A1879" s="2" t="s">
        <v>50</v>
      </c>
      <c r="B1879" s="44" t="str">
        <f>IF(B1885="megajoule","heat","electricity")&amp;", residential, by "&amp;B1890&amp;" of "&amp;B1889&amp;" using "&amp;B1891&amp;IF(B1892&lt;&gt;0,", allocated by "&amp;B1892,"")&amp;", transported by "&amp;B1893&amp;", produced by "&amp;B1897&amp;" using "&amp;B1898&amp;" from "&amp;B1899</f>
        <v>electricity, residential, by conversion of hydrogen using fuel cell, PEM, allocated by exergy, transported by truck, produced by Electrolysis, SOEC using water and electricity from grid</v>
      </c>
    </row>
    <row r="1880" spans="1:22" x14ac:dyDescent="0.2">
      <c r="A1880" t="s">
        <v>51</v>
      </c>
      <c r="B1880" s="45" t="str">
        <f>"This dataset represents the supply of 1 "&amp;IF(B1885="megajoule","megajoule of heat","kilowatt hour of electricity")&amp;" in a residence, by "&amp;B1889&amp;" "&amp;B1890&amp;" in a "&amp;B1891&amp;". "&amp;" The hydrogen is transported by "&amp;B1893&amp;" over "&amp;B1894&amp;" km from regional storage. "&amp;" The "&amp;B1889&amp;" is produced by  "&amp;B1897&amp;", with "&amp;B1898&amp;" from "&amp;B1899&amp;" as feedstock. "&amp;A1901&amp;": "&amp;(B1901*100)&amp;"%. "&amp;A1902&amp;": "&amp;B1902&amp;". "&amp;A1903&amp;": "&amp;B1903&amp;". "&amp;A1904&amp;": "&amp;(B1904*100)&amp;"%. "&amp;A1905&amp;": "&amp;(B1905*100)&amp;"%. "&amp;A1906&amp;": "&amp;(B1906*100)&amp;"%. "&amp;A1907&amp;": "&amp;B1907&amp;". "&amp;A1908&amp;": "&amp;B1908&amp;". "&amp;A1909&amp;": "&amp;(B1909*100)&amp;"%. "&amp;A1910&amp;": "&amp;B1910&amp;". "&amp;A1911&amp;": "&amp;B1911&amp;". "&amp;A1912&amp;": "&amp;B1912&amp;". "&amp;A1913&amp;": "&amp;B1913&amp;".  For more information, refer to: "&amp;B1881</f>
        <v>This dataset represents the supply of 1 kilowatt hour of electricity in a residence, by hydrogen conversion in a fuel cell, PEM.  The hydrogen is transported by truck over 200 km from regional storage.  The hydrogen is produced by  Electrolysis, SOEC, with water and electricity from grid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1881" spans="1:22" x14ac:dyDescent="0.2">
      <c r="A1881" t="s">
        <v>63</v>
      </c>
      <c r="B1881" s="45" t="s">
        <v>1223</v>
      </c>
    </row>
    <row r="1882" spans="1:22" x14ac:dyDescent="0.2">
      <c r="A1882" t="s">
        <v>52</v>
      </c>
      <c r="B1882" s="45" t="s">
        <v>64</v>
      </c>
    </row>
    <row r="1883" spans="1:22" x14ac:dyDescent="0.2">
      <c r="A1883" t="s">
        <v>48</v>
      </c>
      <c r="B1883" s="45" t="s">
        <v>881</v>
      </c>
    </row>
    <row r="1884" spans="1:22" x14ac:dyDescent="0.2">
      <c r="A1884" t="s">
        <v>54</v>
      </c>
      <c r="B1884" s="45" t="str">
        <f>INDEX(overview!$B$4:$R$338,MATCH('hydrogen - electrolysis'!B1883,overview!$A$4:$A$338,0),MATCH('hydrogen - electrolysis'!A1884,overview!$B$3:$R$3,0))</f>
        <v>electricity, from residential heating system</v>
      </c>
    </row>
    <row r="1885" spans="1:22" x14ac:dyDescent="0.2">
      <c r="A1885" t="s">
        <v>55</v>
      </c>
      <c r="B1885" s="45" t="str">
        <f>INDEX(overview!$B$4:$R$338,MATCH('hydrogen - electrolysis'!B1883,overview!$A$4:$A$338,0),MATCH('hydrogen - electrolysis'!A1885,overview!$B$3:$R$3,0))</f>
        <v>kilowatt hour</v>
      </c>
    </row>
    <row r="1886" spans="1:22" x14ac:dyDescent="0.2">
      <c r="A1886" t="s">
        <v>0</v>
      </c>
      <c r="B1886" s="45" t="str">
        <f>INDEX(overview!$B$4:$R$338,MATCH('hydrogen - electrolysis'!B1883,overview!$A$4:$A$338,0),MATCH('hydrogen - electrolysis'!A1886,overview!$B$3:$R$3,0))</f>
        <v>Switzerland</v>
      </c>
    </row>
    <row r="1887" spans="1:22" x14ac:dyDescent="0.2">
      <c r="A1887" t="s">
        <v>1</v>
      </c>
      <c r="B1887" s="45">
        <f>INDEX(overview!$B$4:$R$338,MATCH('hydrogen - electrolysis'!B1883,overview!$A$4:$A$338,0),MATCH('hydrogen - electrolysis'!A1887,overview!$B$3:$R$3,0))</f>
        <v>2020</v>
      </c>
    </row>
    <row r="1888" spans="1:22" x14ac:dyDescent="0.2">
      <c r="A1888" t="s">
        <v>2</v>
      </c>
      <c r="B1888" s="45" t="str">
        <f>INDEX(overview!$B$4:$R$338,MATCH('hydrogen - electrolysis'!B1883,overview!$A$4:$A$338,0),MATCH('hydrogen - electrolysis'!A1888,overview!$B$3:$R$3,0))</f>
        <v>1 kWh electricity</v>
      </c>
    </row>
    <row r="1889" spans="1:2" x14ac:dyDescent="0.2">
      <c r="A1889" t="s">
        <v>5</v>
      </c>
      <c r="B1889" s="45" t="str">
        <f>INDEX(overview!$B$4:$R$338,MATCH('hydrogen - electrolysis'!B1883,overview!$A$4:$A$338,0),MATCH('hydrogen - electrolysis'!A1889,overview!$B$3:$R$3,0))</f>
        <v>hydrogen</v>
      </c>
    </row>
    <row r="1890" spans="1:2" x14ac:dyDescent="0.2">
      <c r="A1890" t="s">
        <v>3</v>
      </c>
      <c r="B1890" s="45" t="str">
        <f>INDEX(overview!$B$4:$R$338,MATCH('hydrogen - electrolysis'!B1883,overview!$A$4:$A$338,0),MATCH('hydrogen - electrolysis'!A1890,overview!$B$3:$R$3,0))</f>
        <v>conversion</v>
      </c>
    </row>
    <row r="1891" spans="1:2" x14ac:dyDescent="0.2">
      <c r="A1891" t="s">
        <v>6</v>
      </c>
      <c r="B1891" s="45" t="str">
        <f>INDEX(overview!$B$4:$R$338,MATCH('hydrogen - electrolysis'!B1883,overview!$A$4:$A$338,0),MATCH('hydrogen - electrolysis'!A1891,overview!$B$3:$R$3,0))</f>
        <v>fuel cell, PEM</v>
      </c>
    </row>
    <row r="1892" spans="1:2" x14ac:dyDescent="0.2">
      <c r="A1892" t="s">
        <v>39</v>
      </c>
      <c r="B1892" s="45" t="str">
        <f>INDEX(overview!$B$4:$R$338,MATCH('hydrogen - electrolysis'!B1883,overview!$A$4:$A$338,0),MATCH('hydrogen - electrolysis'!A1892,overview!$B$3:$R$3,0))</f>
        <v>exergy</v>
      </c>
    </row>
    <row r="1893" spans="1:2" x14ac:dyDescent="0.2">
      <c r="A1893" t="s">
        <v>4</v>
      </c>
      <c r="B1893" s="45" t="str">
        <f>INDEX(overview!$B$4:$R$338,MATCH('hydrogen - electrolysis'!B1883,overview!$A$4:$A$338,0),MATCH('hydrogen - electrolysis'!A1893,overview!$B$3:$R$3,0))</f>
        <v>truck</v>
      </c>
    </row>
    <row r="1894" spans="1:2" x14ac:dyDescent="0.2">
      <c r="A1894" t="s">
        <v>38</v>
      </c>
      <c r="B1894" s="45">
        <f>INDEX(overview!$B$4:$R$338,MATCH('hydrogen - electrolysis'!B1883,overview!$A$4:$A$338,0),MATCH('hydrogen - electrolysis'!A1894,overview!$B$3:$R$3,0))</f>
        <v>200</v>
      </c>
    </row>
    <row r="1895" spans="1:2" x14ac:dyDescent="0.2">
      <c r="A1895" t="s">
        <v>12</v>
      </c>
      <c r="B1895" s="45" t="str">
        <f>INDEX(overview!$B$4:$R$338,MATCH('hydrogen - electrolysis'!B1883,overview!$A$4:$A$338,0),MATCH('hydrogen - electrolysis'!A1895,overview!$B$3:$R$3,0))</f>
        <v>Pressure vessel for stationary storage</v>
      </c>
    </row>
    <row r="1896" spans="1:2" x14ac:dyDescent="0.2">
      <c r="A1896" t="s">
        <v>34</v>
      </c>
      <c r="B1896" s="45">
        <f>INDEX(overview!$B$4:$R$338,MATCH('hydrogen - electrolysis'!B1883,overview!$A$4:$A$338,0),MATCH('hydrogen - electrolysis'!A1896,overview!$B$3:$R$3,0))</f>
        <v>0</v>
      </c>
    </row>
    <row r="1897" spans="1:2" x14ac:dyDescent="0.2">
      <c r="A1897" t="s">
        <v>15</v>
      </c>
      <c r="B1897" s="45" t="str">
        <f>INDEX(overview!$B$4:$R$338,MATCH('hydrogen - electrolysis'!B1883,overview!$A$4:$A$338,0),MATCH('hydrogen - electrolysis'!A1897,overview!$B$3:$R$3,0))</f>
        <v>Electrolysis, SOEC</v>
      </c>
    </row>
    <row r="1898" spans="1:2" x14ac:dyDescent="0.2">
      <c r="A1898" t="s">
        <v>14</v>
      </c>
      <c r="B1898" s="45" t="str">
        <f>INDEX(overview!$B$4:$R$338,MATCH('hydrogen - electrolysis'!B1883,overview!$A$4:$A$338,0),MATCH('hydrogen - electrolysis'!A1898,overview!$B$3:$R$3,0))</f>
        <v>water and electricity</v>
      </c>
    </row>
    <row r="1899" spans="1:2" x14ac:dyDescent="0.2">
      <c r="A1899" t="s">
        <v>26</v>
      </c>
      <c r="B1899" s="45" t="str">
        <f>INDEX(overview!$B$4:$R$338,MATCH('hydrogen - electrolysis'!B1883,overview!$A$4:$A$338,0),MATCH('hydrogen - electrolysis'!A1899,overview!$B$3:$R$3,0))</f>
        <v>grid</v>
      </c>
    </row>
    <row r="1900" spans="1:2" x14ac:dyDescent="0.2">
      <c r="A1900" t="s">
        <v>29</v>
      </c>
      <c r="B1900" s="45">
        <f>INDEX(overview!$B$4:$R$338,MATCH('hydrogen - electrolysis'!B1883,overview!$A$4:$A$338,0),MATCH('hydrogen - electrolysis'!A1900,overview!$B$3:$R$3,0))</f>
        <v>0</v>
      </c>
    </row>
    <row r="1901" spans="1:2" x14ac:dyDescent="0.2">
      <c r="A1901" t="str">
        <f>IF(B1885="megajoule","Heat","Electricity")&amp;" conversion efficiency [% LHV input]"</f>
        <v>Electricity conversion efficiency [% LHV input]</v>
      </c>
      <c r="B1901" s="46">
        <f>INDEX(parameters!$D$4:$N$20,MATCH('hydrogen - electrolysis'!B1889&amp;'hydrogen - electrolysis'!B1891,parameters!$A$4:$A$20,0),MATCH('hydrogen - electrolysis'!A1901,parameters!$D$3:$N$3,0))</f>
        <v>0.45</v>
      </c>
    </row>
    <row r="1902" spans="1:2" x14ac:dyDescent="0.2">
      <c r="A1902" t="str">
        <f>IF(B1885="megajoule","LHV [MJ/kg]","LHV [kWh/kg]")</f>
        <v>LHV [kWh/kg]</v>
      </c>
      <c r="B1902" s="47">
        <f>INDEX(parameters!$D$4:$N$20,MATCH('hydrogen - electrolysis'!B1889&amp;'hydrogen - electrolysis'!B1891,parameters!$A$4:$A$20,0),MATCH('hydrogen - electrolysis'!A1902,parameters!$D$3:$N$3,0))</f>
        <v>33.333333333333336</v>
      </c>
    </row>
    <row r="1903" spans="1:2" x14ac:dyDescent="0.2">
      <c r="A1903" t="s">
        <v>41</v>
      </c>
      <c r="B1903" s="48">
        <f>INDEX(parameters!$D$4:$N$20,MATCH('hydrogen - electrolysis'!B1889&amp;'hydrogen - electrolysis'!B1891,parameters!$A$4:$A$20,0),MATCH('hydrogen - electrolysis'!A1903,parameters!$D$3:$N$3,0))</f>
        <v>2.6666666666666665E-2</v>
      </c>
    </row>
    <row r="1904" spans="1:2" x14ac:dyDescent="0.2">
      <c r="A1904" t="s">
        <v>45</v>
      </c>
      <c r="B1904" s="46">
        <f>INDEX(parameters!$D$4:$N$20,MATCH('hydrogen - electrolysis'!B1889&amp;'hydrogen - electrolysis'!B1891,parameters!$A$4:$A$20,0),MATCH('hydrogen - electrolysis'!A1904,parameters!$D$3:$N$3,0))</f>
        <v>0</v>
      </c>
    </row>
    <row r="1905" spans="1:22" x14ac:dyDescent="0.2">
      <c r="A1905" t="s">
        <v>46</v>
      </c>
      <c r="B1905" s="46">
        <f>INDEX(parameters!$D$4:$N$20,MATCH('hydrogen - electrolysis'!B1889&amp;'hydrogen - electrolysis'!B1891,parameters!$A$4:$A$20,0),MATCH('hydrogen - electrolysis'!A1905,parameters!$D$3:$N$3,0))</f>
        <v>1.4999999999999999E-2</v>
      </c>
    </row>
    <row r="1906" spans="1:22" x14ac:dyDescent="0.2">
      <c r="A1906" t="s">
        <v>43</v>
      </c>
      <c r="B1906" s="46">
        <f>INDEX(parameters!$D$4:$N$20,MATCH('hydrogen - electrolysis'!B1889&amp;'hydrogen - electrolysis'!B1891,parameters!$A$4:$A$20,0),MATCH('hydrogen - electrolysis'!A1906,parameters!$D$3:$N$3,0))</f>
        <v>0</v>
      </c>
    </row>
    <row r="1907" spans="1:22" x14ac:dyDescent="0.2">
      <c r="A1907" t="s">
        <v>44</v>
      </c>
      <c r="B1907" s="46">
        <f>INDEX(parameters!$D$4:$N$20,MATCH('hydrogen - electrolysis'!B1889&amp;'hydrogen - electrolysis'!B1891,parameters!$A$4:$A$20,0),MATCH('hydrogen - electrolysis'!A1907,parameters!$D$3:$N$3,0))</f>
        <v>0</v>
      </c>
    </row>
    <row r="1908" spans="1:22" x14ac:dyDescent="0.2">
      <c r="A1908" t="s">
        <v>634</v>
      </c>
      <c r="B1908" s="51">
        <f>INDEX(parameters!$D$4:$Y$20,MATCH('hydrogen - electrolysis'!B1889&amp;'hydrogen - electrolysis'!B1891,parameters!$A$4:$A$20,0),MATCH('hydrogen - electrolysis'!A1908,parameters!$D$3:$Y$3,0))</f>
        <v>1.8947368421052633</v>
      </c>
    </row>
    <row r="1909" spans="1:22" x14ac:dyDescent="0.2">
      <c r="A1909" t="s">
        <v>82</v>
      </c>
      <c r="B1909" s="46">
        <f>IF(B1900&lt;&gt;0,VLOOKUP(B1900,parameters!A1330:B1332,2,0),0)</f>
        <v>0</v>
      </c>
    </row>
    <row r="1910" spans="1:22" x14ac:dyDescent="0.2">
      <c r="A1910" t="s">
        <v>548</v>
      </c>
      <c r="B1910" s="50">
        <f>INDEX(parameters!$D$4:$P$20,MATCH(B1889&amp;B1891,parameters!$A$4:$A$20,0),MATCH(A1910,parameters!$D$3:$P$3,0))</f>
        <v>0.8</v>
      </c>
    </row>
    <row r="1911" spans="1:22" x14ac:dyDescent="0.2">
      <c r="A1911" t="s">
        <v>547</v>
      </c>
      <c r="B1911" s="51">
        <f>INDEX(parameters!$D$4:$P$20,MATCH(B1889&amp;B1891,parameters!$A$4:$A$20,0),MATCH(A1911,parameters!$D$3:$P$3,0))</f>
        <v>4.8780487804878048</v>
      </c>
    </row>
    <row r="1912" spans="1:22" x14ac:dyDescent="0.2">
      <c r="A1912" t="s">
        <v>630</v>
      </c>
      <c r="B1912" s="51">
        <f>INDEX(parameters!$D$4:$T$20,MATCH(B1889&amp;B1891,parameters!$A$4:$A$20,0),MATCH(A1912,parameters!$D$3:$T$3,0))</f>
        <v>4100</v>
      </c>
    </row>
    <row r="1913" spans="1:22" x14ac:dyDescent="0.2">
      <c r="A1913" t="s">
        <v>1005</v>
      </c>
      <c r="B1913" s="50">
        <f>IF(B1885="megajoule",SUMIFS(allocation!$I$4:$I$30,allocation!$B$4:$B$30,B1891,allocation!$C$4:$C$30,B1892),SUMIFS(allocation!$J$4:$J$30,allocation!$B$4:$B$30,B1891,allocation!$C$4:$C$30,B1892))</f>
        <v>0.86066019201025545</v>
      </c>
    </row>
    <row r="1914" spans="1:22" x14ac:dyDescent="0.2">
      <c r="A1914" t="s">
        <v>1050</v>
      </c>
      <c r="B1914" s="51">
        <f>INDEX(parameters!$D$4:$AB$20,MATCH(B1889&amp;B1891,parameters!$A$4:$A$20,0),MATCH(A1914,parameters!$D$3:$AB$3,0))</f>
        <v>10.221606648199446</v>
      </c>
    </row>
    <row r="1916" spans="1:22" x14ac:dyDescent="0.2">
      <c r="A1916" s="3" t="s">
        <v>57</v>
      </c>
    </row>
    <row r="1917" spans="1:22" x14ac:dyDescent="0.2">
      <c r="A1917" s="2" t="s">
        <v>58</v>
      </c>
      <c r="B1917" s="44" t="s">
        <v>59</v>
      </c>
      <c r="C1917" s="2" t="s">
        <v>55</v>
      </c>
      <c r="D1917" s="2" t="s">
        <v>60</v>
      </c>
      <c r="E1917" s="2" t="s">
        <v>52</v>
      </c>
      <c r="F1917" s="2" t="s">
        <v>61</v>
      </c>
      <c r="G1917" s="2" t="s">
        <v>54</v>
      </c>
      <c r="H1917" s="2" t="s">
        <v>87</v>
      </c>
      <c r="I1917" s="2" t="s">
        <v>51</v>
      </c>
      <c r="J1917" s="2" t="s">
        <v>138</v>
      </c>
      <c r="K1917" s="2" t="s">
        <v>136</v>
      </c>
      <c r="L1917" s="2" t="s">
        <v>221</v>
      </c>
      <c r="M1917" s="2" t="s">
        <v>379</v>
      </c>
      <c r="N1917" s="2" t="s">
        <v>1059</v>
      </c>
      <c r="O1917" s="2" t="s">
        <v>1060</v>
      </c>
      <c r="P1917" s="2" t="s">
        <v>1061</v>
      </c>
      <c r="Q1917" s="2" t="s">
        <v>1062</v>
      </c>
      <c r="R1917" s="2" t="s">
        <v>1063</v>
      </c>
      <c r="S1917" s="2" t="s">
        <v>1064</v>
      </c>
      <c r="T1917" s="2" t="s">
        <v>1065</v>
      </c>
      <c r="U1917" s="2" t="s">
        <v>380</v>
      </c>
      <c r="V1917" s="2" t="s">
        <v>1128</v>
      </c>
    </row>
    <row r="1918" spans="1:22" x14ac:dyDescent="0.2">
      <c r="A1918" t="str">
        <f>B1879</f>
        <v>electricity, residential, by conversion of hydrogen using fuel cell, PEM, allocated by exergy, transported by truck, produced by Electrolysis, SOEC using water and electricity from grid</v>
      </c>
      <c r="B1918" s="45">
        <v>1</v>
      </c>
      <c r="C1918" t="str">
        <f>B1885</f>
        <v>kilowatt hour</v>
      </c>
      <c r="E1918" t="str">
        <f>B1882</f>
        <v>CH</v>
      </c>
      <c r="F1918" t="s">
        <v>62</v>
      </c>
      <c r="G1918" t="str">
        <f>B1884</f>
        <v>electricity, from residential heating system</v>
      </c>
      <c r="K1918" t="str">
        <f>B1879</f>
        <v>electricity, residential, by conversion of hydrogen using fuel cell, PEM, allocated by exergy, transported by truck, produced by Electrolysis, SOEC using water and electricity from grid</v>
      </c>
    </row>
    <row r="1919" spans="1:22" x14ac:dyDescent="0.2">
      <c r="A1919" t="str">
        <f>VLOOKUP(J1919,'dataset mapping'!$A$4:$E$69,2,0)</f>
        <v>fuel cell system assembly, 1 kWe, proton exchange membrane (PEM)</v>
      </c>
      <c r="B1919" s="52">
        <f>(1/(B1908*B1912*B1911))*B1913</f>
        <v>2.2711866178048405E-5</v>
      </c>
      <c r="C1919" t="str">
        <f>VLOOKUP(J1919,'dataset mapping'!$A$4:$E$69,5,0)</f>
        <v>unit</v>
      </c>
      <c r="E1919" t="str">
        <f>VLOOKUP(J1919,'dataset mapping'!$A$4:$E$69,4,0)</f>
        <v>GLO</v>
      </c>
      <c r="F1919" t="s">
        <v>86</v>
      </c>
      <c r="G1919" t="str">
        <f>VLOOKUP(J1919,'dataset mapping'!$A$4:$E$69,3,0)</f>
        <v>fuel cell system, 1 kWe, proton exchange membrane (PEM)</v>
      </c>
      <c r="H1919" t="s">
        <v>88</v>
      </c>
      <c r="I1919" t="s">
        <v>272</v>
      </c>
      <c r="J1919" t="s">
        <v>273</v>
      </c>
      <c r="K1919" t="str">
        <f>B1879</f>
        <v>electricity, residential, by conversion of hydrogen using fuel cell, PEM, allocated by exergy, transported by truck, produced by Electrolysis, SOEC using water and electricity from grid</v>
      </c>
      <c r="L1919">
        <f>IF(OR(B1919&lt;0,B1919=0),1,2)</f>
        <v>2</v>
      </c>
      <c r="M1919">
        <f>IF(L1919=2,LN(B1919),"")</f>
        <v>-10.692623030936341</v>
      </c>
      <c r="N1919">
        <v>1</v>
      </c>
      <c r="O1919" s="15">
        <v>1.2</v>
      </c>
      <c r="P1919">
        <v>1</v>
      </c>
      <c r="Q1919">
        <v>1.01</v>
      </c>
      <c r="R1919">
        <v>1.2</v>
      </c>
      <c r="S1919">
        <v>1.2</v>
      </c>
      <c r="T1919">
        <v>3</v>
      </c>
      <c r="U1919">
        <f>LN(SQRT(EXP(
SQRT(
+POWER(LN(N1919),2)
+POWER(LN(O1919),2)
+POWER(LN(P1919),2)
+POWER(LN(Q1919),2)
+POWER(LN(R1919),2)
+POWER(LN(S1919),2)
+POWER(LN(T1919),2)
)
)))</f>
        <v>0.57157051623399524</v>
      </c>
    </row>
    <row r="1920" spans="1:22" x14ac:dyDescent="0.2">
      <c r="A1920" s="45" t="str">
        <f>"hydrogen supply, transported by "&amp;B1893&amp;", produced by "&amp;B1897&amp;" using "&amp;B1898&amp;" from "&amp;B1899</f>
        <v>hydrogen supply, transported by truck, produced by Electrolysis, SOEC using water and electricity from grid</v>
      </c>
      <c r="B1920" s="53">
        <f>(B1918/B1902)/B1901*B1913</f>
        <v>5.7377346134017029E-2</v>
      </c>
      <c r="C1920" t="str">
        <f>VLOOKUP(J1920,'dataset mapping'!$A$4:$E$69,5,0)</f>
        <v>kilogram</v>
      </c>
      <c r="E1920" t="str">
        <f>VLOOKUP(J1920,'dataset mapping'!$A$4:$E$69,4,0)</f>
        <v>CH</v>
      </c>
      <c r="F1920" t="s">
        <v>86</v>
      </c>
      <c r="G1920" t="str">
        <f>"hydrogen, gaseous, from "&amp;B1893</f>
        <v>hydrogen, gaseous, from truck</v>
      </c>
      <c r="H1920" t="s">
        <v>76</v>
      </c>
      <c r="I1920" t="s">
        <v>1054</v>
      </c>
      <c r="J1920" t="s">
        <v>282</v>
      </c>
      <c r="K1920" t="str">
        <f>B1879</f>
        <v>electricity, residential, by conversion of hydrogen using fuel cell, PEM, allocated by exergy, transported by truck, produced by Electrolysis, SOEC using water and electricity from grid</v>
      </c>
      <c r="L1920">
        <f>IF(OR(B1920&lt;0,B1920=0),1,2)</f>
        <v>2</v>
      </c>
      <c r="M1920">
        <f>IF(L1920=2,LN(B1920),"")</f>
        <v>-2.8581057202127536</v>
      </c>
      <c r="N1920">
        <v>1</v>
      </c>
      <c r="O1920" s="15">
        <v>1.2</v>
      </c>
      <c r="P1920">
        <v>1</v>
      </c>
      <c r="Q1920">
        <v>1.01</v>
      </c>
      <c r="R1920">
        <v>1.2</v>
      </c>
      <c r="S1920">
        <v>1.2</v>
      </c>
      <c r="T1920">
        <v>1.05</v>
      </c>
      <c r="U1920">
        <f>LN(SQRT(EXP(
SQRT(
+POWER(LN(N1920),2)
+POWER(LN(O1920),2)
+POWER(LN(P1920),2)
+POWER(LN(Q1920),2)
+POWER(LN(R1920),2)
+POWER(LN(S1920),2)
+POWER(LN(T1920),2)
)
)))</f>
        <v>0.15984597228197622</v>
      </c>
    </row>
    <row r="1921" spans="1:21" x14ac:dyDescent="0.2">
      <c r="A1921" t="str">
        <f>VLOOKUP(J1921,'dataset mapping'!$A$4:$E$69,2,0)</f>
        <v>high pressure hydrogen storage tank</v>
      </c>
      <c r="B1921" s="52">
        <f>((B1914/10)/(B1912*B1908*20))*IF(B1913&lt;&gt;0,B1913,1)</f>
        <v>5.6622381053306285E-6</v>
      </c>
      <c r="C1921" t="str">
        <f>VLOOKUP(J1921,'dataset mapping'!$A$4:$E$69,5,0)</f>
        <v>kilogram</v>
      </c>
      <c r="E1921" t="str">
        <f>VLOOKUP(J1921,'dataset mapping'!$A$4:$E$69,4,0)</f>
        <v>GLO</v>
      </c>
      <c r="F1921" t="s">
        <v>86</v>
      </c>
      <c r="G1921" t="str">
        <f>VLOOKUP(J1921,'dataset mapping'!$A$4:$E$69,3,0)</f>
        <v>high pressure hydrogen storage tank</v>
      </c>
      <c r="H1921" t="s">
        <v>88</v>
      </c>
      <c r="I1921" t="s">
        <v>280</v>
      </c>
      <c r="J1921" t="s">
        <v>229</v>
      </c>
      <c r="K1921" t="str">
        <f>B1879</f>
        <v>electricity, residential, by conversion of hydrogen using fuel cell, PEM, allocated by exergy, transported by truck, produced by Electrolysis, SOEC using water and electricity from grid</v>
      </c>
      <c r="L1921">
        <f>IF(OR(B1921&lt;0,B1921=0),1,2)</f>
        <v>2</v>
      </c>
      <c r="M1921">
        <f>IF(L1921=2,LN(B1921),"")</f>
        <v>-12.081691318938956</v>
      </c>
      <c r="N1921">
        <v>1</v>
      </c>
      <c r="O1921" s="15">
        <v>1.2</v>
      </c>
      <c r="P1921">
        <v>1</v>
      </c>
      <c r="Q1921">
        <v>1.01</v>
      </c>
      <c r="R1921">
        <v>1.2</v>
      </c>
      <c r="S1921">
        <v>1.2</v>
      </c>
      <c r="T1921">
        <v>3</v>
      </c>
      <c r="U1921">
        <f>LN(SQRT(EXP(
SQRT(
+POWER(LN(N1921),2)
+POWER(LN(O1921),2)
+POWER(LN(P1921),2)
+POWER(LN(Q1921),2)
+POWER(LN(R1921),2)
+POWER(LN(S1921),2)
+POWER(LN(T1921),2)
)
)))</f>
        <v>0.57157051623399524</v>
      </c>
    </row>
    <row r="1922" spans="1:21" x14ac:dyDescent="0.2">
      <c r="A1922" t="s">
        <v>134</v>
      </c>
      <c r="B1922" s="45">
        <f>B1920*9</f>
        <v>0.51639611520615325</v>
      </c>
      <c r="C1922" t="s">
        <v>56</v>
      </c>
      <c r="D1922" t="s">
        <v>100</v>
      </c>
      <c r="F1922" t="s">
        <v>99</v>
      </c>
      <c r="H1922" t="s">
        <v>131</v>
      </c>
      <c r="I1922" t="s">
        <v>1057</v>
      </c>
      <c r="K1922" t="str">
        <f>B1879</f>
        <v>electricity, residential, by conversion of hydrogen using fuel cell, PEM, allocated by exergy, transported by truck, produced by Electrolysis, SOEC using water and electricity from grid</v>
      </c>
      <c r="L1922">
        <f>IF(OR(B1922&lt;0,B1922=0),1,2)</f>
        <v>2</v>
      </c>
      <c r="M1922">
        <f>IF(L1922=2,LN(B1922),"")</f>
        <v>-0.6608811428765341</v>
      </c>
      <c r="N1922">
        <v>1</v>
      </c>
      <c r="O1922" s="15">
        <v>1.2</v>
      </c>
      <c r="P1922">
        <v>1</v>
      </c>
      <c r="Q1922">
        <v>1.01</v>
      </c>
      <c r="R1922">
        <v>1.2</v>
      </c>
      <c r="S1922">
        <v>1.2</v>
      </c>
      <c r="T1922">
        <v>1.05</v>
      </c>
      <c r="U1922">
        <f>LN(SQRT(EXP(
SQRT(
+POWER(LN(N1922),2)
+POWER(LN(O1922),2)
+POWER(LN(P1922),2)
+POWER(LN(Q1922),2)
+POWER(LN(R1922),2)
+POWER(LN(S1922),2)
+POWER(LN(T1922),2)
)
)))</f>
        <v>0.15984597228197622</v>
      </c>
    </row>
    <row r="1924" spans="1:21" x14ac:dyDescent="0.2">
      <c r="A1924" s="2" t="s">
        <v>50</v>
      </c>
      <c r="B1924" s="44" t="str">
        <f>IF(B1930="megajoule","heat","electricity")&amp;", residential, by "&amp;B1935&amp;" of "&amp;B1934&amp;" using "&amp;B1936&amp;IF(B1937&lt;&gt;0,", allocated by "&amp;B1937,"")&amp;", transported by "&amp;B1938&amp;", produced by "&amp;B1942&amp;" using "&amp;B1943&amp;" from "&amp;B1944</f>
        <v>electricity, residential, by conversion of hydrogen using fuel cell, SOFC, allocated by exergy, transported by truck, produced by Electrolysis, SOEC using water and electricity from grid</v>
      </c>
    </row>
    <row r="1925" spans="1:21" x14ac:dyDescent="0.2">
      <c r="A1925" t="s">
        <v>51</v>
      </c>
      <c r="B1925" s="45" t="str">
        <f>"This dataset represents the supply of 1 "&amp;IF(B1930="megajoule","megajoule of heat","kilowatt hour of electricity")&amp;" in a residence, by "&amp;B1934&amp;" "&amp;B1935&amp;" in a "&amp;B1936&amp;". "&amp;" The hydrogen is transported by "&amp;B1938&amp;" over "&amp;B1939&amp;" km from regional storage. "&amp;" The "&amp;B1934&amp;" is produced by  "&amp;B1942&amp;", with "&amp;B1943&amp;" from "&amp;B1944&amp;" as feedstock. "&amp;A1946&amp;": "&amp;(B1946*100)&amp;"%. "&amp;A1947&amp;": "&amp;B1947&amp;". "&amp;A1948&amp;": "&amp;B1948&amp;". "&amp;A1949&amp;": "&amp;(B1949*100)&amp;"%. "&amp;A1950&amp;": "&amp;(B1950*100)&amp;"%. "&amp;A1951&amp;": "&amp;(B1951*100)&amp;"%. "&amp;A1952&amp;": "&amp;B1952&amp;". "&amp;A1953&amp;": "&amp;B1953&amp;". "&amp;A1954&amp;": "&amp;(B1954*100)&amp;"%. "&amp;A1955&amp;": "&amp;B1955&amp;". "&amp;A1956&amp;": "&amp;B1956&amp;". "&amp;A1957&amp;": "&amp;B1957&amp;". "&amp;A1958&amp;": "&amp;B1958&amp;".  For more information, refer to: "&amp;B1926</f>
        <v>This dataset represents the supply of 1 kilowatt hour of electricity in a residence, by hydrogen conversion in a fuel cell, SOFC.  The hydrogen is transported by truck over 200 km from regional storage.  The hydrogen is produced by  Electrolysis, SOEC, with water and electricity from grid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1926" spans="1:21" x14ac:dyDescent="0.2">
      <c r="A1926" t="s">
        <v>63</v>
      </c>
      <c r="B1926" s="45" t="s">
        <v>1223</v>
      </c>
    </row>
    <row r="1927" spans="1:21" x14ac:dyDescent="0.2">
      <c r="A1927" t="s">
        <v>52</v>
      </c>
      <c r="B1927" s="45" t="s">
        <v>64</v>
      </c>
    </row>
    <row r="1928" spans="1:21" x14ac:dyDescent="0.2">
      <c r="A1928" t="s">
        <v>48</v>
      </c>
      <c r="B1928" s="45" t="s">
        <v>882</v>
      </c>
    </row>
    <row r="1929" spans="1:21" x14ac:dyDescent="0.2">
      <c r="A1929" t="s">
        <v>54</v>
      </c>
      <c r="B1929" s="45" t="str">
        <f>INDEX(overview!$B$4:$R$338,MATCH('hydrogen - electrolysis'!B1928,overview!$A$4:$A$338,0),MATCH('hydrogen - electrolysis'!A1929,overview!$B$3:$R$3,0))</f>
        <v>electricity, from residential heating system</v>
      </c>
    </row>
    <row r="1930" spans="1:21" x14ac:dyDescent="0.2">
      <c r="A1930" t="s">
        <v>55</v>
      </c>
      <c r="B1930" s="45" t="str">
        <f>INDEX(overview!$B$4:$R$338,MATCH('hydrogen - electrolysis'!B1928,overview!$A$4:$A$338,0),MATCH('hydrogen - electrolysis'!A1930,overview!$B$3:$R$3,0))</f>
        <v>kilowatt hour</v>
      </c>
    </row>
    <row r="1931" spans="1:21" x14ac:dyDescent="0.2">
      <c r="A1931" t="s">
        <v>0</v>
      </c>
      <c r="B1931" s="45" t="str">
        <f>INDEX(overview!$B$4:$R$338,MATCH('hydrogen - electrolysis'!B1928,overview!$A$4:$A$338,0),MATCH('hydrogen - electrolysis'!A1931,overview!$B$3:$R$3,0))</f>
        <v>Switzerland</v>
      </c>
    </row>
    <row r="1932" spans="1:21" x14ac:dyDescent="0.2">
      <c r="A1932" t="s">
        <v>1</v>
      </c>
      <c r="B1932" s="45">
        <f>INDEX(overview!$B$4:$R$338,MATCH('hydrogen - electrolysis'!B1928,overview!$A$4:$A$338,0),MATCH('hydrogen - electrolysis'!A1932,overview!$B$3:$R$3,0))</f>
        <v>2020</v>
      </c>
    </row>
    <row r="1933" spans="1:21" x14ac:dyDescent="0.2">
      <c r="A1933" t="s">
        <v>2</v>
      </c>
      <c r="B1933" s="45" t="str">
        <f>INDEX(overview!$B$4:$R$338,MATCH('hydrogen - electrolysis'!B1928,overview!$A$4:$A$338,0),MATCH('hydrogen - electrolysis'!A1933,overview!$B$3:$R$3,0))</f>
        <v>1 kWh electricity</v>
      </c>
    </row>
    <row r="1934" spans="1:21" x14ac:dyDescent="0.2">
      <c r="A1934" t="s">
        <v>5</v>
      </c>
      <c r="B1934" s="45" t="str">
        <f>INDEX(overview!$B$4:$R$338,MATCH('hydrogen - electrolysis'!B1928,overview!$A$4:$A$338,0),MATCH('hydrogen - electrolysis'!A1934,overview!$B$3:$R$3,0))</f>
        <v>hydrogen</v>
      </c>
    </row>
    <row r="1935" spans="1:21" x14ac:dyDescent="0.2">
      <c r="A1935" t="s">
        <v>3</v>
      </c>
      <c r="B1935" s="45" t="str">
        <f>INDEX(overview!$B$4:$R$338,MATCH('hydrogen - electrolysis'!B1928,overview!$A$4:$A$338,0),MATCH('hydrogen - electrolysis'!A1935,overview!$B$3:$R$3,0))</f>
        <v>conversion</v>
      </c>
    </row>
    <row r="1936" spans="1:21" x14ac:dyDescent="0.2">
      <c r="A1936" t="s">
        <v>6</v>
      </c>
      <c r="B1936" s="45" t="str">
        <f>INDEX(overview!$B$4:$R$338,MATCH('hydrogen - electrolysis'!B1928,overview!$A$4:$A$338,0),MATCH('hydrogen - electrolysis'!A1936,overview!$B$3:$R$3,0))</f>
        <v>fuel cell, SOFC</v>
      </c>
    </row>
    <row r="1937" spans="1:2" x14ac:dyDescent="0.2">
      <c r="A1937" t="s">
        <v>39</v>
      </c>
      <c r="B1937" s="45" t="str">
        <f>INDEX(overview!$B$4:$R$338,MATCH('hydrogen - electrolysis'!B1928,overview!$A$4:$A$338,0),MATCH('hydrogen - electrolysis'!A1937,overview!$B$3:$R$3,0))</f>
        <v>exergy</v>
      </c>
    </row>
    <row r="1938" spans="1:2" x14ac:dyDescent="0.2">
      <c r="A1938" t="s">
        <v>4</v>
      </c>
      <c r="B1938" s="45" t="str">
        <f>INDEX(overview!$B$4:$R$338,MATCH('hydrogen - electrolysis'!B1928,overview!$A$4:$A$338,0),MATCH('hydrogen - electrolysis'!A1938,overview!$B$3:$R$3,0))</f>
        <v>truck</v>
      </c>
    </row>
    <row r="1939" spans="1:2" x14ac:dyDescent="0.2">
      <c r="A1939" t="s">
        <v>38</v>
      </c>
      <c r="B1939" s="45">
        <f>INDEX(overview!$B$4:$R$338,MATCH('hydrogen - electrolysis'!B1928,overview!$A$4:$A$338,0),MATCH('hydrogen - electrolysis'!A1939,overview!$B$3:$R$3,0))</f>
        <v>200</v>
      </c>
    </row>
    <row r="1940" spans="1:2" x14ac:dyDescent="0.2">
      <c r="A1940" t="s">
        <v>12</v>
      </c>
      <c r="B1940" s="45" t="str">
        <f>INDEX(overview!$B$4:$R$338,MATCH('hydrogen - electrolysis'!B1928,overview!$A$4:$A$338,0),MATCH('hydrogen - electrolysis'!A1940,overview!$B$3:$R$3,0))</f>
        <v>Pressure vessel for stationary storage</v>
      </c>
    </row>
    <row r="1941" spans="1:2" x14ac:dyDescent="0.2">
      <c r="A1941" t="s">
        <v>34</v>
      </c>
      <c r="B1941" s="45">
        <f>INDEX(overview!$B$4:$R$338,MATCH('hydrogen - electrolysis'!B1928,overview!$A$4:$A$338,0),MATCH('hydrogen - electrolysis'!A1941,overview!$B$3:$R$3,0))</f>
        <v>0</v>
      </c>
    </row>
    <row r="1942" spans="1:2" x14ac:dyDescent="0.2">
      <c r="A1942" t="s">
        <v>15</v>
      </c>
      <c r="B1942" s="45" t="str">
        <f>INDEX(overview!$B$4:$R$338,MATCH('hydrogen - electrolysis'!B1928,overview!$A$4:$A$338,0),MATCH('hydrogen - electrolysis'!A1942,overview!$B$3:$R$3,0))</f>
        <v>Electrolysis, SOEC</v>
      </c>
    </row>
    <row r="1943" spans="1:2" x14ac:dyDescent="0.2">
      <c r="A1943" t="s">
        <v>14</v>
      </c>
      <c r="B1943" s="45" t="str">
        <f>INDEX(overview!$B$4:$R$338,MATCH('hydrogen - electrolysis'!B1928,overview!$A$4:$A$338,0),MATCH('hydrogen - electrolysis'!A1943,overview!$B$3:$R$3,0))</f>
        <v>water and electricity</v>
      </c>
    </row>
    <row r="1944" spans="1:2" x14ac:dyDescent="0.2">
      <c r="A1944" t="s">
        <v>26</v>
      </c>
      <c r="B1944" s="45" t="str">
        <f>INDEX(overview!$B$4:$R$338,MATCH('hydrogen - electrolysis'!B1928,overview!$A$4:$A$338,0),MATCH('hydrogen - electrolysis'!A1944,overview!$B$3:$R$3,0))</f>
        <v>grid</v>
      </c>
    </row>
    <row r="1945" spans="1:2" x14ac:dyDescent="0.2">
      <c r="A1945" t="s">
        <v>29</v>
      </c>
      <c r="B1945" s="45">
        <f>INDEX(overview!$B$4:$R$338,MATCH('hydrogen - electrolysis'!B1928,overview!$A$4:$A$338,0),MATCH('hydrogen - electrolysis'!A1945,overview!$B$3:$R$3,0))</f>
        <v>0</v>
      </c>
    </row>
    <row r="1946" spans="1:2" x14ac:dyDescent="0.2">
      <c r="A1946" t="str">
        <f>IF(B1930="megajoule","Heat","Electricity")&amp;" conversion efficiency [% LHV input]"</f>
        <v>Electricity conversion efficiency [% LHV input]</v>
      </c>
      <c r="B1946" s="46">
        <f>INDEX(parameters!$D$4:$N$20,MATCH('hydrogen - electrolysis'!B1934&amp;'hydrogen - electrolysis'!B1936,parameters!$A$4:$A$20,0),MATCH('hydrogen - electrolysis'!A1946,parameters!$D$3:$N$3,0))</f>
        <v>0.47</v>
      </c>
    </row>
    <row r="1947" spans="1:2" x14ac:dyDescent="0.2">
      <c r="A1947" t="str">
        <f>IF(B1930="megajoule","LHV [MJ/kg]","LHV [kWh/kg]")</f>
        <v>LHV [kWh/kg]</v>
      </c>
      <c r="B1947" s="47">
        <f>INDEX(parameters!$D$4:$N$20,MATCH('hydrogen - electrolysis'!B1934&amp;'hydrogen - electrolysis'!B1936,parameters!$A$4:$A$20,0),MATCH('hydrogen - electrolysis'!A1947,parameters!$D$3:$N$3,0))</f>
        <v>33.333333333333336</v>
      </c>
    </row>
    <row r="1948" spans="1:2" x14ac:dyDescent="0.2">
      <c r="A1948" t="s">
        <v>41</v>
      </c>
      <c r="B1948" s="48">
        <f>INDEX(parameters!$D$4:$N$20,MATCH('hydrogen - electrolysis'!B1934&amp;'hydrogen - electrolysis'!B1936,parameters!$A$4:$A$20,0),MATCH('hydrogen - electrolysis'!A1948,parameters!$D$3:$N$3,0))</f>
        <v>2.6666666666666665E-2</v>
      </c>
    </row>
    <row r="1949" spans="1:2" x14ac:dyDescent="0.2">
      <c r="A1949" t="s">
        <v>45</v>
      </c>
      <c r="B1949" s="46">
        <f>INDEX(parameters!$D$4:$N$20,MATCH('hydrogen - electrolysis'!B1934&amp;'hydrogen - electrolysis'!B1936,parameters!$A$4:$A$20,0),MATCH('hydrogen - electrolysis'!A1949,parameters!$D$3:$N$3,0))</f>
        <v>0</v>
      </c>
    </row>
    <row r="1950" spans="1:2" x14ac:dyDescent="0.2">
      <c r="A1950" t="s">
        <v>46</v>
      </c>
      <c r="B1950" s="46">
        <f>INDEX(parameters!$D$4:$N$20,MATCH('hydrogen - electrolysis'!B1934&amp;'hydrogen - electrolysis'!B1936,parameters!$A$4:$A$20,0),MATCH('hydrogen - electrolysis'!A1950,parameters!$D$3:$N$3,0))</f>
        <v>1.4999999999999999E-2</v>
      </c>
    </row>
    <row r="1951" spans="1:2" x14ac:dyDescent="0.2">
      <c r="A1951" t="s">
        <v>43</v>
      </c>
      <c r="B1951" s="46">
        <f>INDEX(parameters!$D$4:$N$20,MATCH('hydrogen - electrolysis'!B1934&amp;'hydrogen - electrolysis'!B1936,parameters!$A$4:$A$20,0),MATCH('hydrogen - electrolysis'!A1951,parameters!$D$3:$N$3,0))</f>
        <v>0</v>
      </c>
    </row>
    <row r="1952" spans="1:2" x14ac:dyDescent="0.2">
      <c r="A1952" t="s">
        <v>44</v>
      </c>
      <c r="B1952" s="46">
        <f>INDEX(parameters!$D$4:$N$20,MATCH('hydrogen - electrolysis'!B1934&amp;'hydrogen - electrolysis'!B1936,parameters!$A$4:$A$20,0),MATCH('hydrogen - electrolysis'!A1952,parameters!$D$3:$N$3,0))</f>
        <v>0</v>
      </c>
    </row>
    <row r="1953" spans="1:22" x14ac:dyDescent="0.2">
      <c r="A1953" t="s">
        <v>634</v>
      </c>
      <c r="B1953" s="51">
        <f>INDEX(parameters!$D$4:$Y$20,MATCH('hydrogen - electrolysis'!B1934&amp;'hydrogen - electrolysis'!B1936,parameters!$A$4:$A$20,0),MATCH('hydrogen - electrolysis'!A1953,parameters!$D$3:$Y$3,0))</f>
        <v>225</v>
      </c>
      <c r="D1953" s="8"/>
    </row>
    <row r="1954" spans="1:22" x14ac:dyDescent="0.2">
      <c r="A1954" t="s">
        <v>82</v>
      </c>
      <c r="B1954" s="46">
        <f>IF(B1945&lt;&gt;0,VLOOKUP(B1945,parameters!A1378:B1380,2,0),0)</f>
        <v>0</v>
      </c>
    </row>
    <row r="1955" spans="1:22" x14ac:dyDescent="0.2">
      <c r="A1955" t="s">
        <v>548</v>
      </c>
      <c r="B1955" s="50">
        <f>INDEX(parameters!$D$4:$P$20,MATCH(B1934&amp;B1936,parameters!$A$4:$A$20,0),MATCH(A1955,parameters!$D$3:$P$3,0))</f>
        <v>100</v>
      </c>
    </row>
    <row r="1956" spans="1:22" x14ac:dyDescent="0.2">
      <c r="A1956" t="s">
        <v>547</v>
      </c>
      <c r="B1956" s="51">
        <f>INDEX(parameters!$D$4:$P$20,MATCH(B1934&amp;B1936,parameters!$A$4:$A$20,0),MATCH(A1956,parameters!$D$3:$P$3,0))</f>
        <v>6</v>
      </c>
    </row>
    <row r="1957" spans="1:22" x14ac:dyDescent="0.2">
      <c r="A1957" t="s">
        <v>630</v>
      </c>
      <c r="B1957" s="51">
        <f>INDEX(parameters!$D$4:$T$20,MATCH(B1934&amp;B1936,parameters!$A$4:$A$20,0),MATCH(A1957,parameters!$D$3:$T$3,0))</f>
        <v>4100</v>
      </c>
    </row>
    <row r="1958" spans="1:22" x14ac:dyDescent="0.2">
      <c r="A1958" t="s">
        <v>1005</v>
      </c>
      <c r="B1958" s="50">
        <f>IF(B1930="megajoule",SUMIFS(allocation!$I$4:$I$30,allocation!$B$4:$B$30,B1936,allocation!$C$4:$C$30,B1937),SUMIFS(allocation!$J$4:$J$30,allocation!$B$4:$B$30,B1936,allocation!$C$4:$C$30,B1937))</f>
        <v>0.86412493489600906</v>
      </c>
    </row>
    <row r="1959" spans="1:22" x14ac:dyDescent="0.2">
      <c r="A1959" t="s">
        <v>1050</v>
      </c>
      <c r="B1959" s="51">
        <f>INDEX(parameters!$D$4:$AB$20,MATCH(B1934&amp;B1936,parameters!$A$4:$A$20,0),MATCH(A1959,parameters!$D$3:$AB$3,0))</f>
        <v>1153.1249999999998</v>
      </c>
    </row>
    <row r="1961" spans="1:22" x14ac:dyDescent="0.2">
      <c r="A1961" s="3" t="s">
        <v>57</v>
      </c>
    </row>
    <row r="1962" spans="1:22" x14ac:dyDescent="0.2">
      <c r="A1962" s="2" t="s">
        <v>58</v>
      </c>
      <c r="B1962" s="44" t="s">
        <v>59</v>
      </c>
      <c r="C1962" s="2" t="s">
        <v>55</v>
      </c>
      <c r="D1962" s="2" t="s">
        <v>60</v>
      </c>
      <c r="E1962" s="2" t="s">
        <v>52</v>
      </c>
      <c r="F1962" s="2" t="s">
        <v>61</v>
      </c>
      <c r="G1962" s="2" t="s">
        <v>54</v>
      </c>
      <c r="H1962" s="2" t="s">
        <v>87</v>
      </c>
      <c r="I1962" s="2" t="s">
        <v>51</v>
      </c>
      <c r="J1962" s="2" t="s">
        <v>138</v>
      </c>
      <c r="K1962" s="2" t="s">
        <v>136</v>
      </c>
      <c r="L1962" s="2" t="s">
        <v>221</v>
      </c>
      <c r="M1962" s="2" t="s">
        <v>379</v>
      </c>
      <c r="N1962" s="2" t="s">
        <v>1059</v>
      </c>
      <c r="O1962" s="2" t="s">
        <v>1060</v>
      </c>
      <c r="P1962" s="2" t="s">
        <v>1061</v>
      </c>
      <c r="Q1962" s="2" t="s">
        <v>1062</v>
      </c>
      <c r="R1962" s="2" t="s">
        <v>1063</v>
      </c>
      <c r="S1962" s="2" t="s">
        <v>1064</v>
      </c>
      <c r="T1962" s="2" t="s">
        <v>1065</v>
      </c>
      <c r="U1962" s="2" t="s">
        <v>380</v>
      </c>
      <c r="V1962" s="2" t="s">
        <v>1128</v>
      </c>
    </row>
    <row r="1963" spans="1:22" x14ac:dyDescent="0.2">
      <c r="A1963" t="str">
        <f>B1924</f>
        <v>electricity, residential, by conversion of hydrogen using fuel cell, SOFC, allocated by exergy, transported by truck, produced by Electrolysis, SOEC using water and electricity from grid</v>
      </c>
      <c r="B1963" s="45">
        <v>1</v>
      </c>
      <c r="C1963" t="str">
        <f>B1930</f>
        <v>kilowatt hour</v>
      </c>
      <c r="E1963" t="str">
        <f>B1927</f>
        <v>CH</v>
      </c>
      <c r="F1963" t="s">
        <v>62</v>
      </c>
      <c r="G1963" t="str">
        <f>B1929</f>
        <v>electricity, from residential heating system</v>
      </c>
      <c r="K1963" t="str">
        <f>B1924</f>
        <v>electricity, residential, by conversion of hydrogen using fuel cell, SOFC, allocated by exergy, transported by truck, produced by Electrolysis, SOEC using water and electricity from grid</v>
      </c>
    </row>
    <row r="1964" spans="1:22" x14ac:dyDescent="0.2">
      <c r="A1964" t="str">
        <f>VLOOKUP(J1964,'dataset mapping'!$A$4:$E$69,2,0)</f>
        <v>fuel cell production, stack solid oxide, 125kW electrical, future</v>
      </c>
      <c r="B1964" s="52">
        <f>(1/(B1953*B1957*B1956))*B1958</f>
        <v>1.5612013277254003E-7</v>
      </c>
      <c r="C1964" t="str">
        <f>VLOOKUP(J1964,'dataset mapping'!$A$4:$E$69,5,0)</f>
        <v>unit</v>
      </c>
      <c r="E1964" t="str">
        <f>VLOOKUP(J1964,'dataset mapping'!$A$4:$E$69,4,0)</f>
        <v>CH</v>
      </c>
      <c r="F1964" t="s">
        <v>86</v>
      </c>
      <c r="G1964" t="str">
        <f>VLOOKUP(J1964,'dataset mapping'!$A$4:$E$69,3,0)</f>
        <v>fuel cell, stack solid oxide, 125kW electrical, future</v>
      </c>
      <c r="H1964" t="s">
        <v>88</v>
      </c>
      <c r="I1964" t="s">
        <v>277</v>
      </c>
      <c r="J1964" t="s">
        <v>274</v>
      </c>
      <c r="K1964" t="str">
        <f>B1924</f>
        <v>electricity, residential, by conversion of hydrogen using fuel cell, SOFC, allocated by exergy, transported by truck, produced by Electrolysis, SOEC using water and electricity from grid</v>
      </c>
      <c r="L1964">
        <f t="shared" ref="L1964:L1969" si="61">IF(OR(B1964&lt;0,B1964=0),1,2)</f>
        <v>2</v>
      </c>
      <c r="M1964">
        <f t="shared" ref="M1964:M1969" si="62">IF(L1964=2,LN(B1964),"")</f>
        <v>-15.672640044182527</v>
      </c>
      <c r="N1964">
        <v>1</v>
      </c>
      <c r="O1964" s="15">
        <v>1.2</v>
      </c>
      <c r="P1964">
        <v>1</v>
      </c>
      <c r="Q1964">
        <v>1.01</v>
      </c>
      <c r="R1964">
        <v>1.2</v>
      </c>
      <c r="S1964">
        <v>1.2</v>
      </c>
      <c r="T1964">
        <v>3</v>
      </c>
      <c r="U1964">
        <f t="shared" ref="U1964:U1969" si="63">LN(SQRT(EXP(
SQRT(
+POWER(LN(N1964),2)
+POWER(LN(O1964),2)
+POWER(LN(P1964),2)
+POWER(LN(Q1964),2)
+POWER(LN(R1964),2)
+POWER(LN(S1964),2)
+POWER(LN(T1964),2)
)
)))</f>
        <v>0.57157051623399524</v>
      </c>
    </row>
    <row r="1965" spans="1:22" x14ac:dyDescent="0.2">
      <c r="A1965" t="s">
        <v>283</v>
      </c>
      <c r="B1965" s="52">
        <f>(1/(B1953*B1957*B1956))*B1958</f>
        <v>1.5612013277254003E-7</v>
      </c>
      <c r="C1965" t="s">
        <v>55</v>
      </c>
      <c r="E1965" t="s">
        <v>64</v>
      </c>
      <c r="F1965" t="s">
        <v>86</v>
      </c>
      <c r="G1965" t="s">
        <v>284</v>
      </c>
      <c r="H1965" t="s">
        <v>88</v>
      </c>
      <c r="I1965" t="s">
        <v>277</v>
      </c>
      <c r="K1965" t="str">
        <f>B1924</f>
        <v>electricity, residential, by conversion of hydrogen using fuel cell, SOFC, allocated by exergy, transported by truck, produced by Electrolysis, SOEC using water and electricity from grid</v>
      </c>
      <c r="L1965">
        <f t="shared" si="61"/>
        <v>2</v>
      </c>
      <c r="M1965">
        <f t="shared" si="62"/>
        <v>-15.672640044182527</v>
      </c>
      <c r="N1965">
        <v>1</v>
      </c>
      <c r="O1965" s="15">
        <v>1.2</v>
      </c>
      <c r="P1965">
        <v>1</v>
      </c>
      <c r="Q1965">
        <v>1.01</v>
      </c>
      <c r="R1965">
        <v>1.2</v>
      </c>
      <c r="S1965">
        <v>1.2</v>
      </c>
      <c r="T1965">
        <v>3</v>
      </c>
      <c r="U1965">
        <f t="shared" si="63"/>
        <v>0.57157051623399524</v>
      </c>
    </row>
    <row r="1966" spans="1:22" x14ac:dyDescent="0.2">
      <c r="A1966" t="s">
        <v>288</v>
      </c>
      <c r="B1966" s="52">
        <f>0.000024*B1958</f>
        <v>2.0738998437504217E-5</v>
      </c>
      <c r="C1966" t="s">
        <v>56</v>
      </c>
      <c r="E1966" t="s">
        <v>64</v>
      </c>
      <c r="F1966" t="s">
        <v>86</v>
      </c>
      <c r="G1966" t="s">
        <v>287</v>
      </c>
      <c r="H1966" t="s">
        <v>88</v>
      </c>
      <c r="K1966" t="str">
        <f>B1924</f>
        <v>electricity, residential, by conversion of hydrogen using fuel cell, SOFC, allocated by exergy, transported by truck, produced by Electrolysis, SOEC using water and electricity from grid</v>
      </c>
      <c r="L1966">
        <f t="shared" si="61"/>
        <v>2</v>
      </c>
      <c r="M1966">
        <f t="shared" si="62"/>
        <v>-10.783494647673981</v>
      </c>
      <c r="N1966">
        <v>1</v>
      </c>
      <c r="O1966" s="15">
        <v>1.2</v>
      </c>
      <c r="P1966">
        <v>1</v>
      </c>
      <c r="Q1966">
        <v>1.01</v>
      </c>
      <c r="R1966">
        <v>1.2</v>
      </c>
      <c r="S1966">
        <v>1.2</v>
      </c>
      <c r="T1966">
        <v>1.05</v>
      </c>
      <c r="U1966">
        <f t="shared" si="63"/>
        <v>0.15984597228197622</v>
      </c>
    </row>
    <row r="1967" spans="1:22" x14ac:dyDescent="0.2">
      <c r="A1967" s="45" t="str">
        <f>"hydrogen supply, transported by "&amp;B1938&amp;", produced by "&amp;B1942&amp;" using "&amp;B1943&amp;" from "&amp;B1944</f>
        <v>hydrogen supply, transported by truck, produced by Electrolysis, SOEC using water and electricity from grid</v>
      </c>
      <c r="B1967" s="53">
        <f>(B1963/B1947)/B1946*B1958</f>
        <v>5.515691073804313E-2</v>
      </c>
      <c r="C1967" t="str">
        <f>VLOOKUP(J1967,'dataset mapping'!$A$4:$E$69,5,0)</f>
        <v>kilogram</v>
      </c>
      <c r="E1967" t="str">
        <f>VLOOKUP(J1967,'dataset mapping'!$A$4:$E$69,4,0)</f>
        <v>CH</v>
      </c>
      <c r="F1967" t="s">
        <v>86</v>
      </c>
      <c r="G1967" t="str">
        <f>"hydrogen, gaseous, from "&amp;B1938</f>
        <v>hydrogen, gaseous, from truck</v>
      </c>
      <c r="H1967" t="s">
        <v>76</v>
      </c>
      <c r="I1967" t="s">
        <v>1054</v>
      </c>
      <c r="J1967" t="s">
        <v>282</v>
      </c>
      <c r="K1967" t="str">
        <f>B1924</f>
        <v>electricity, residential, by conversion of hydrogen using fuel cell, SOFC, allocated by exergy, transported by truck, produced by Electrolysis, SOEC using water and electricity from grid</v>
      </c>
      <c r="L1967">
        <f t="shared" si="61"/>
        <v>2</v>
      </c>
      <c r="M1967">
        <f t="shared" si="62"/>
        <v>-2.8975732330996009</v>
      </c>
      <c r="N1967">
        <v>1</v>
      </c>
      <c r="O1967" s="15">
        <v>1.2</v>
      </c>
      <c r="P1967">
        <v>1</v>
      </c>
      <c r="Q1967">
        <v>1.01</v>
      </c>
      <c r="R1967">
        <v>1.2</v>
      </c>
      <c r="S1967">
        <v>1.2</v>
      </c>
      <c r="T1967">
        <v>1.05</v>
      </c>
      <c r="U1967">
        <f t="shared" si="63"/>
        <v>0.15984597228197622</v>
      </c>
    </row>
    <row r="1968" spans="1:22" x14ac:dyDescent="0.2">
      <c r="A1968" t="str">
        <f>VLOOKUP(J1968,'dataset mapping'!$A$4:$E$69,2,0)</f>
        <v>high pressure hydrogen storage tank</v>
      </c>
      <c r="B1968" s="52">
        <f>((B1959/10)/(B1957*B1953*20))*IF(B1958&lt;&gt;0,B1958,1)</f>
        <v>5.400780843100055E-6</v>
      </c>
      <c r="C1968" t="str">
        <f>VLOOKUP(J1968,'dataset mapping'!$A$4:$E$69,5,0)</f>
        <v>kilogram</v>
      </c>
      <c r="E1968" t="str">
        <f>VLOOKUP(J1968,'dataset mapping'!$A$4:$E$69,4,0)</f>
        <v>GLO</v>
      </c>
      <c r="F1968" t="s">
        <v>86</v>
      </c>
      <c r="G1968" t="str">
        <f>VLOOKUP(J1968,'dataset mapping'!$A$4:$E$69,3,0)</f>
        <v>high pressure hydrogen storage tank</v>
      </c>
      <c r="H1968" t="s">
        <v>88</v>
      </c>
      <c r="I1968" t="s">
        <v>230</v>
      </c>
      <c r="J1968" t="s">
        <v>229</v>
      </c>
      <c r="K1968" t="str">
        <f>B1924</f>
        <v>electricity, residential, by conversion of hydrogen using fuel cell, SOFC, allocated by exergy, transported by truck, produced by Electrolysis, SOEC using water and electricity from grid</v>
      </c>
      <c r="L1968">
        <f t="shared" si="61"/>
        <v>2</v>
      </c>
      <c r="M1968">
        <f t="shared" si="62"/>
        <v>-12.128967014273616</v>
      </c>
      <c r="N1968">
        <v>1</v>
      </c>
      <c r="O1968" s="15">
        <v>1.2</v>
      </c>
      <c r="P1968">
        <v>1</v>
      </c>
      <c r="Q1968">
        <v>1.01</v>
      </c>
      <c r="R1968">
        <v>1.2</v>
      </c>
      <c r="S1968">
        <v>1.2</v>
      </c>
      <c r="T1968">
        <v>3</v>
      </c>
      <c r="U1968">
        <f t="shared" si="63"/>
        <v>0.57157051623399524</v>
      </c>
    </row>
    <row r="1969" spans="1:21" x14ac:dyDescent="0.2">
      <c r="A1969" t="s">
        <v>134</v>
      </c>
      <c r="B1969" s="45">
        <f>B1967*9</f>
        <v>0.49641219664238817</v>
      </c>
      <c r="C1969" t="s">
        <v>56</v>
      </c>
      <c r="D1969" t="s">
        <v>100</v>
      </c>
      <c r="F1969" t="s">
        <v>99</v>
      </c>
      <c r="H1969" t="s">
        <v>131</v>
      </c>
      <c r="I1969" t="s">
        <v>1057</v>
      </c>
      <c r="K1969" t="str">
        <f>B1924</f>
        <v>electricity, residential, by conversion of hydrogen using fuel cell, SOFC, allocated by exergy, transported by truck, produced by Electrolysis, SOEC using water and electricity from grid</v>
      </c>
      <c r="L1969">
        <f t="shared" si="61"/>
        <v>2</v>
      </c>
      <c r="M1969">
        <f t="shared" si="62"/>
        <v>-0.70034865576338168</v>
      </c>
      <c r="N1969">
        <v>1</v>
      </c>
      <c r="O1969" s="15">
        <v>1.2</v>
      </c>
      <c r="P1969">
        <v>1</v>
      </c>
      <c r="Q1969">
        <v>1.01</v>
      </c>
      <c r="R1969">
        <v>1.2</v>
      </c>
      <c r="S1969">
        <v>1.2</v>
      </c>
      <c r="T1969">
        <v>1.05</v>
      </c>
      <c r="U1969">
        <f t="shared" si="63"/>
        <v>0.15984597228197622</v>
      </c>
    </row>
    <row r="1972" spans="1:21" x14ac:dyDescent="0.2">
      <c r="A1972" s="2" t="s">
        <v>50</v>
      </c>
      <c r="B1972" s="44" t="str">
        <f>IF(B1978="megajoule","heat","electricity")&amp;", residential, by "&amp;B1983&amp;" of "&amp;B1982&amp;" using "&amp;B1984&amp;IF(B1985&lt;&gt;0,", allocated by "&amp;B1985,"")&amp;", transported by "&amp;B1986&amp;", produced by "&amp;B1990&amp;" using "&amp;B1991&amp;" from "&amp;B1992</f>
        <v>heat, residential, by combustion of hydrogen using boiler, transported by pipeline, produced by Electrolysis, Alkaline using water and electricity from Solar PV (CH)</v>
      </c>
    </row>
    <row r="1973" spans="1:21" x14ac:dyDescent="0.2">
      <c r="A1973" t="s">
        <v>51</v>
      </c>
      <c r="B1973" s="45" t="e">
        <f>"This dataset represents the supply of 1 "&amp;IF(B1978="megajoule","megajoule of heat","kilowatt hour of electricity")&amp;" in a residence, by "&amp;B1982&amp;" "&amp;B1983&amp;" in a "&amp;B1984/3*40&amp;": "&amp;B2005&amp;". "&amp;A2006&amp;": "&amp;B2006&amp;".  For more information, refer to: "&amp;B1974</f>
        <v>#VALUE!</v>
      </c>
    </row>
    <row r="1974" spans="1:21" x14ac:dyDescent="0.2">
      <c r="A1974" t="s">
        <v>63</v>
      </c>
      <c r="B1974" s="45" t="s">
        <v>1223</v>
      </c>
    </row>
    <row r="1975" spans="1:21" x14ac:dyDescent="0.2">
      <c r="A1975" t="s">
        <v>52</v>
      </c>
      <c r="B1975" s="45" t="s">
        <v>64</v>
      </c>
    </row>
    <row r="1976" spans="1:21" x14ac:dyDescent="0.2">
      <c r="A1976" t="s">
        <v>48</v>
      </c>
      <c r="B1976" s="45">
        <v>25</v>
      </c>
    </row>
    <row r="1977" spans="1:21" x14ac:dyDescent="0.2">
      <c r="A1977" t="s">
        <v>54</v>
      </c>
      <c r="B1977" s="45" t="str">
        <f>INDEX(overview!$B$4:$R$338,MATCH('hydrogen - electrolysis'!B1976,overview!$A$4:$A$338,0),MATCH('hydrogen - electrolysis'!A1977,overview!$B$3:$R$3,0))</f>
        <v>heat, from residential heating system</v>
      </c>
    </row>
    <row r="1978" spans="1:21" x14ac:dyDescent="0.2">
      <c r="A1978" t="s">
        <v>55</v>
      </c>
      <c r="B1978" s="45" t="str">
        <f>INDEX(overview!$B$4:$R$338,MATCH('hydrogen - electrolysis'!B1976,overview!$A$4:$A$338,0),MATCH('hydrogen - electrolysis'!A1978,overview!$B$3:$R$3,0))</f>
        <v>megajoule</v>
      </c>
    </row>
    <row r="1979" spans="1:21" x14ac:dyDescent="0.2">
      <c r="A1979" t="s">
        <v>0</v>
      </c>
      <c r="B1979" s="45" t="str">
        <f>INDEX(overview!$B$4:$R$338,MATCH('hydrogen - electrolysis'!B1976,overview!$A$4:$A$338,0),MATCH('hydrogen - electrolysis'!A1979,overview!$B$3:$R$3,0))</f>
        <v>Switzerland</v>
      </c>
    </row>
    <row r="1980" spans="1:21" x14ac:dyDescent="0.2">
      <c r="A1980" t="s">
        <v>1</v>
      </c>
      <c r="B1980" s="45">
        <f>INDEX(overview!$B$4:$R$338,MATCH('hydrogen - electrolysis'!B1976,overview!$A$4:$A$338,0),MATCH('hydrogen - electrolysis'!A1980,overview!$B$3:$R$3,0))</f>
        <v>2020</v>
      </c>
    </row>
    <row r="1981" spans="1:21" x14ac:dyDescent="0.2">
      <c r="A1981" t="s">
        <v>2</v>
      </c>
      <c r="B1981" s="45" t="str">
        <f>INDEX(overview!$B$4:$R$338,MATCH('hydrogen - electrolysis'!B1976,overview!$A$4:$A$338,0),MATCH('hydrogen - electrolysis'!A1981,overview!$B$3:$R$3,0))</f>
        <v>1 MJ heat</v>
      </c>
    </row>
    <row r="1982" spans="1:21" x14ac:dyDescent="0.2">
      <c r="A1982" t="s">
        <v>5</v>
      </c>
      <c r="B1982" s="45" t="str">
        <f>INDEX(overview!$B$4:$R$338,MATCH('hydrogen - electrolysis'!B1976,overview!$A$4:$A$338,0),MATCH('hydrogen - electrolysis'!A1982,overview!$B$3:$R$3,0))</f>
        <v>hydrogen</v>
      </c>
    </row>
    <row r="1983" spans="1:21" x14ac:dyDescent="0.2">
      <c r="A1983" t="s">
        <v>3</v>
      </c>
      <c r="B1983" s="45" t="str">
        <f>INDEX(overview!$B$4:$R$338,MATCH('hydrogen - electrolysis'!B1976,overview!$A$4:$A$338,0),MATCH('hydrogen - electrolysis'!A1983,overview!$B$3:$R$3,0))</f>
        <v>combustion</v>
      </c>
    </row>
    <row r="1984" spans="1:21" x14ac:dyDescent="0.2">
      <c r="A1984" t="s">
        <v>6</v>
      </c>
      <c r="B1984" s="45" t="str">
        <f>INDEX(overview!$B$4:$R$338,MATCH('hydrogen - electrolysis'!B1976,overview!$A$4:$A$338,0),MATCH('hydrogen - electrolysis'!A1984,overview!$B$3:$R$3,0))</f>
        <v>boiler</v>
      </c>
    </row>
    <row r="1985" spans="1:2" x14ac:dyDescent="0.2">
      <c r="A1985" t="s">
        <v>39</v>
      </c>
      <c r="B1985" s="45">
        <f>INDEX(overview!$B$4:$R$338,MATCH('hydrogen - electrolysis'!B1976,overview!$A$4:$A$338,0),MATCH('hydrogen - electrolysis'!A1985,overview!$B$3:$R$3,0))</f>
        <v>0</v>
      </c>
    </row>
    <row r="1986" spans="1:2" x14ac:dyDescent="0.2">
      <c r="A1986" t="s">
        <v>4</v>
      </c>
      <c r="B1986" s="45" t="str">
        <f>INDEX(overview!$B$4:$R$338,MATCH('hydrogen - electrolysis'!B1976,overview!$A$4:$A$338,0),MATCH('hydrogen - electrolysis'!A1986,overview!$B$3:$R$3,0))</f>
        <v>pipeline</v>
      </c>
    </row>
    <row r="1987" spans="1:2" x14ac:dyDescent="0.2">
      <c r="A1987" t="s">
        <v>38</v>
      </c>
      <c r="B1987" s="45">
        <f>INDEX(overview!$B$4:$R$338,MATCH('hydrogen - electrolysis'!B1976,overview!$A$4:$A$338,0),MATCH('hydrogen - electrolysis'!A1987,overview!$B$3:$R$3,0))</f>
        <v>500</v>
      </c>
    </row>
    <row r="1988" spans="1:2" x14ac:dyDescent="0.2">
      <c r="A1988" t="s">
        <v>12</v>
      </c>
      <c r="B1988" s="45" t="str">
        <f>INDEX(overview!$B$4:$R$338,MATCH('hydrogen - electrolysis'!B1976,overview!$A$4:$A$338,0),MATCH('hydrogen - electrolysis'!A1988,overview!$B$3:$R$3,0))</f>
        <v>Pressure vessel for stationary storage</v>
      </c>
    </row>
    <row r="1989" spans="1:2" x14ac:dyDescent="0.2">
      <c r="A1989" t="s">
        <v>34</v>
      </c>
      <c r="B1989" s="45">
        <f>INDEX(overview!$B$4:$R$338,MATCH('hydrogen - electrolysis'!B1976,overview!$A$4:$A$338,0),MATCH('hydrogen - electrolysis'!A1989,overview!$B$3:$R$3,0))</f>
        <v>0</v>
      </c>
    </row>
    <row r="1990" spans="1:2" x14ac:dyDescent="0.2">
      <c r="A1990" t="s">
        <v>15</v>
      </c>
      <c r="B1990" s="45" t="str">
        <f>INDEX(overview!$B$4:$R$338,MATCH('hydrogen - electrolysis'!B1976,overview!$A$4:$A$338,0),MATCH('hydrogen - electrolysis'!A1990,overview!$B$3:$R$3,0))</f>
        <v>Electrolysis, Alkaline</v>
      </c>
    </row>
    <row r="1991" spans="1:2" x14ac:dyDescent="0.2">
      <c r="A1991" t="s">
        <v>14</v>
      </c>
      <c r="B1991" s="45" t="str">
        <f>INDEX(overview!$B$4:$R$338,MATCH('hydrogen - electrolysis'!B1976,overview!$A$4:$A$338,0),MATCH('hydrogen - electrolysis'!A1991,overview!$B$3:$R$3,0))</f>
        <v>water and electricity</v>
      </c>
    </row>
    <row r="1992" spans="1:2" x14ac:dyDescent="0.2">
      <c r="A1992" t="s">
        <v>26</v>
      </c>
      <c r="B1992" s="45" t="str">
        <f>INDEX(overview!$B$4:$R$338,MATCH('hydrogen - electrolysis'!B1976,overview!$A$4:$A$338,0),MATCH('hydrogen - electrolysis'!A1992,overview!$B$3:$R$3,0))</f>
        <v>Solar PV (CH)</v>
      </c>
    </row>
    <row r="1993" spans="1:2" x14ac:dyDescent="0.2">
      <c r="A1993" t="s">
        <v>29</v>
      </c>
      <c r="B1993" s="45">
        <f>INDEX(overview!$B$4:$R$338,MATCH('hydrogen - electrolysis'!B1976,overview!$A$4:$A$338,0),MATCH('hydrogen - electrolysis'!A1993,overview!$B$3:$R$3,0))</f>
        <v>0</v>
      </c>
    </row>
    <row r="1994" spans="1:2" x14ac:dyDescent="0.2">
      <c r="A1994" t="str">
        <f>IF(B1978="megajoule","Heat","Electricity")&amp;" conversion efficiency [% LHV input]"</f>
        <v>Heat conversion efficiency [% LHV input]</v>
      </c>
      <c r="B1994" s="46">
        <f>INDEX(parameters!$D$4:$N$20,MATCH('hydrogen - electrolysis'!B1982&amp;'hydrogen - electrolysis'!B1984,parameters!$A$4:$A$20,0),MATCH('hydrogen - electrolysis'!A1994,parameters!$D$3:$N$3,0))</f>
        <v>0.94</v>
      </c>
    </row>
    <row r="1995" spans="1:2" x14ac:dyDescent="0.2">
      <c r="A1995" t="str">
        <f>IF(B1978="megajoule","LHV [MJ/kg]","LHV [kWh/kg]")</f>
        <v>LHV [MJ/kg]</v>
      </c>
      <c r="B1995" s="47">
        <f>INDEX(parameters!$D$4:$N$20,MATCH('hydrogen - electrolysis'!B1982&amp;'hydrogen - electrolysis'!B1984,parameters!$A$4:$A$20,0),MATCH('hydrogen - electrolysis'!A1995,parameters!$D$3:$N$3,0))</f>
        <v>120</v>
      </c>
    </row>
    <row r="1996" spans="1:2" x14ac:dyDescent="0.2">
      <c r="A1996" t="s">
        <v>41</v>
      </c>
      <c r="B1996" s="48">
        <f>INDEX(parameters!$D$4:$N$20,MATCH('hydrogen - electrolysis'!B1982&amp;'hydrogen - electrolysis'!B1984,parameters!$A$4:$A$20,0),MATCH('hydrogen - electrolysis'!A1996,parameters!$D$3:$N$3,0))</f>
        <v>2.6666666666666665E-2</v>
      </c>
    </row>
    <row r="1997" spans="1:2" x14ac:dyDescent="0.2">
      <c r="A1997" t="s">
        <v>45</v>
      </c>
      <c r="B1997" s="49">
        <f>INDEX(parameters!$D$4:$N$20,MATCH('hydrogen - electrolysis'!B1982&amp;'hydrogen - electrolysis'!B1984,parameters!$A$4:$A$20,0),MATCH('hydrogen - electrolysis'!A1997,parameters!$D$3:$N$3,0))</f>
        <v>0</v>
      </c>
    </row>
    <row r="1998" spans="1:2" x14ac:dyDescent="0.2">
      <c r="A1998" t="s">
        <v>46</v>
      </c>
      <c r="B1998" s="49">
        <f>INDEX(parameters!$D$4:$N$20,MATCH('hydrogen - electrolysis'!B1982&amp;'hydrogen - electrolysis'!B1984,parameters!$A$4:$A$20,0),MATCH('hydrogen - electrolysis'!A1998,parameters!$D$3:$N$3,0))</f>
        <v>1.4999999999999999E-2</v>
      </c>
    </row>
    <row r="1999" spans="1:2" x14ac:dyDescent="0.2">
      <c r="A1999" t="s">
        <v>43</v>
      </c>
      <c r="B1999" s="49">
        <f>INDEX(parameters!$D$4:$N$20,MATCH('hydrogen - electrolysis'!B1982&amp;'hydrogen - electrolysis'!B1984,parameters!$A$4:$A$20,0),MATCH('hydrogen - electrolysis'!A1999,parameters!$D$3:$N$3,0))</f>
        <v>0</v>
      </c>
    </row>
    <row r="2000" spans="1:2" x14ac:dyDescent="0.2">
      <c r="A2000" t="s">
        <v>44</v>
      </c>
      <c r="B2000" s="49">
        <f>INDEX(parameters!$D$4:$N$20,MATCH('hydrogen - electrolysis'!B1982&amp;'hydrogen - electrolysis'!B1984,parameters!$A$4:$A$20,0),MATCH('hydrogen - electrolysis'!A2000,parameters!$D$3:$N$3,0))</f>
        <v>0</v>
      </c>
    </row>
    <row r="2001" spans="1:22" x14ac:dyDescent="0.2">
      <c r="A2001" t="s">
        <v>634</v>
      </c>
      <c r="B2001" s="51">
        <f>INDEX(parameters!$D$4:$Y$20,MATCH('hydrogen - electrolysis'!B1982&amp;'hydrogen - electrolysis'!B1984,parameters!$A$4:$A$20,0),MATCH('hydrogen - electrolysis'!A2001,parameters!$D$3:$Y$3,0))</f>
        <v>15.957446808510639</v>
      </c>
    </row>
    <row r="2002" spans="1:22" x14ac:dyDescent="0.2">
      <c r="A2002" t="s">
        <v>82</v>
      </c>
      <c r="B2002" s="46">
        <f>IF(B1993&lt;&gt;0,VLOOKUP(B1993,parameters!A1278:B1280,2,0),0)</f>
        <v>0</v>
      </c>
    </row>
    <row r="2003" spans="1:22" x14ac:dyDescent="0.2">
      <c r="A2003" t="s">
        <v>548</v>
      </c>
      <c r="B2003" s="50">
        <f>INDEX(parameters!$D$4:$P$20,MATCH(B1982&amp;B1984,parameters!$A$4:$A$20,0),MATCH(A2003,parameters!$D$3:$P$3,0))</f>
        <v>15</v>
      </c>
    </row>
    <row r="2004" spans="1:22" x14ac:dyDescent="0.2">
      <c r="A2004" t="s">
        <v>547</v>
      </c>
      <c r="B2004" s="51">
        <f>INDEX(parameters!$D$4:$P$20,MATCH(B1982&amp;B1984,parameters!$A$4:$A$20,0),MATCH(A2004,parameters!$D$3:$P$3,0))</f>
        <v>20</v>
      </c>
    </row>
    <row r="2005" spans="1:22" x14ac:dyDescent="0.2">
      <c r="A2005" t="s">
        <v>630</v>
      </c>
      <c r="B2005" s="51">
        <f>INDEX(parameters!$D$4:$T$20,MATCH(B1982&amp;B1984,parameters!$A$4:$A$20,0),MATCH(A2005,parameters!$D$3:$T$3,0))</f>
        <v>2100</v>
      </c>
    </row>
    <row r="2006" spans="1:22" x14ac:dyDescent="0.2">
      <c r="A2006" t="s">
        <v>1005</v>
      </c>
      <c r="B2006" s="50">
        <f>IF(B1978="megajoule",SUMIFS(allocation!$I$4:$I$30,allocation!$B$4:$B$30,B1984,allocation!$C$4:$C$30,B1985),SUMIFS(allocation!$J$4:$J$30,allocation!$B$4:$B$30,B1984,allocation!$C$4:$C$30,B1985))</f>
        <v>0</v>
      </c>
    </row>
    <row r="2007" spans="1:22" x14ac:dyDescent="0.2">
      <c r="A2007" t="s">
        <v>1050</v>
      </c>
      <c r="B2007" s="51">
        <f>INDEX(parameters!$D$4:$AB$20,MATCH(B1982&amp;B1984,parameters!$A$4:$A$20,0),MATCH(A2007,parameters!$D$3:$AB$3,0))</f>
        <v>44.562019013128115</v>
      </c>
    </row>
    <row r="2009" spans="1:22" x14ac:dyDescent="0.2">
      <c r="A2009" s="3" t="s">
        <v>57</v>
      </c>
    </row>
    <row r="2010" spans="1:22" x14ac:dyDescent="0.2">
      <c r="A2010" s="2" t="s">
        <v>58</v>
      </c>
      <c r="B2010" s="44" t="s">
        <v>59</v>
      </c>
      <c r="C2010" s="2" t="s">
        <v>55</v>
      </c>
      <c r="D2010" s="2" t="s">
        <v>60</v>
      </c>
      <c r="E2010" s="2" t="s">
        <v>52</v>
      </c>
      <c r="F2010" s="2" t="s">
        <v>61</v>
      </c>
      <c r="G2010" s="2" t="s">
        <v>54</v>
      </c>
      <c r="H2010" s="2" t="s">
        <v>87</v>
      </c>
      <c r="I2010" s="2" t="s">
        <v>51</v>
      </c>
      <c r="J2010" s="2" t="s">
        <v>138</v>
      </c>
      <c r="K2010" s="2" t="s">
        <v>136</v>
      </c>
      <c r="L2010" s="2" t="s">
        <v>221</v>
      </c>
      <c r="M2010" s="2" t="s">
        <v>379</v>
      </c>
      <c r="N2010" s="2" t="s">
        <v>1059</v>
      </c>
      <c r="O2010" s="2" t="s">
        <v>1060</v>
      </c>
      <c r="P2010" s="2" t="s">
        <v>1061</v>
      </c>
      <c r="Q2010" s="2" t="s">
        <v>1062</v>
      </c>
      <c r="R2010" s="2" t="s">
        <v>1063</v>
      </c>
      <c r="S2010" s="2" t="s">
        <v>1064</v>
      </c>
      <c r="T2010" s="2" t="s">
        <v>1065</v>
      </c>
      <c r="U2010" s="2" t="s">
        <v>380</v>
      </c>
      <c r="V2010" s="2" t="s">
        <v>1128</v>
      </c>
    </row>
    <row r="2011" spans="1:22" x14ac:dyDescent="0.2">
      <c r="A2011" t="str">
        <f>B1972</f>
        <v>heat, residential, by combustion of hydrogen using boiler, transported by pipeline, produced by Electrolysis, Alkaline using water and electricity from Solar PV (CH)</v>
      </c>
      <c r="B2011" s="45">
        <v>1</v>
      </c>
      <c r="C2011" t="str">
        <f>B1978</f>
        <v>megajoule</v>
      </c>
      <c r="E2011" t="str">
        <f>B1975</f>
        <v>CH</v>
      </c>
      <c r="F2011" t="s">
        <v>62</v>
      </c>
      <c r="G2011" t="str">
        <f>B1977</f>
        <v>heat, from residential heating system</v>
      </c>
      <c r="K2011" t="str">
        <f>B1972</f>
        <v>heat, residential, by combustion of hydrogen using boiler, transported by pipeline, produced by Electrolysis, Alkaline using water and electricity from Solar PV (CH)</v>
      </c>
    </row>
    <row r="2012" spans="1:22" x14ac:dyDescent="0.2">
      <c r="A2012" t="s">
        <v>83</v>
      </c>
      <c r="B2012" s="52">
        <f>1/(B2003*B2005*B2004*3.6)</f>
        <v>4.4091710758377425E-7</v>
      </c>
      <c r="C2012" t="s">
        <v>55</v>
      </c>
      <c r="E2012" t="s">
        <v>85</v>
      </c>
      <c r="F2012" t="s">
        <v>86</v>
      </c>
      <c r="G2012" t="s">
        <v>84</v>
      </c>
      <c r="H2012" t="s">
        <v>88</v>
      </c>
      <c r="K2012" t="str">
        <f>B1972</f>
        <v>heat, residential, by combustion of hydrogen using boiler, transported by pipeline, produced by Electrolysis, Alkaline using water and electricity from Solar PV (CH)</v>
      </c>
      <c r="L2012">
        <f t="shared" ref="L2012:L2017" si="64">IF(OR(B2012&lt;0,B2012=0),1,2)</f>
        <v>2</v>
      </c>
      <c r="M2012">
        <f t="shared" ref="M2012:M2017" si="65">IF(L2012=2,LN(B2012),"")</f>
        <v>-14.634408943829779</v>
      </c>
      <c r="N2012">
        <v>1.05</v>
      </c>
      <c r="O2012" s="15">
        <v>1.2</v>
      </c>
      <c r="P2012">
        <v>1</v>
      </c>
      <c r="Q2012">
        <v>1.01</v>
      </c>
      <c r="R2012">
        <v>1.2</v>
      </c>
      <c r="S2012">
        <v>1.2</v>
      </c>
      <c r="T2012">
        <v>3</v>
      </c>
      <c r="U2012">
        <f t="shared" ref="U2012:U2017" si="66">LN(SQRT(EXP(
SQRT(
+POWER(LN(N2012),2)
+POWER(LN(O2012),2)
+POWER(LN(P2012),2)
+POWER(LN(Q2012),2)
+POWER(LN(R2012),2)
+POWER(LN(S2012),2)
+POWER(LN(T2012),2)
)
)))</f>
        <v>0.57209088006881903</v>
      </c>
    </row>
    <row r="2013" spans="1:22" x14ac:dyDescent="0.2">
      <c r="A2013" t="s">
        <v>500</v>
      </c>
      <c r="B2013" s="52">
        <f>B2012*2</f>
        <v>8.8183421516754851E-7</v>
      </c>
      <c r="C2013" t="s">
        <v>267</v>
      </c>
      <c r="E2013" t="s">
        <v>85</v>
      </c>
      <c r="F2013" t="s">
        <v>86</v>
      </c>
      <c r="G2013" t="s">
        <v>501</v>
      </c>
      <c r="H2013" t="s">
        <v>88</v>
      </c>
      <c r="I2013" t="s">
        <v>621</v>
      </c>
      <c r="K2013" t="str">
        <f>B1972</f>
        <v>heat, residential, by combustion of hydrogen using boiler, transported by pipeline, produced by Electrolysis, Alkaline using water and electricity from Solar PV (CH)</v>
      </c>
      <c r="L2013">
        <f t="shared" si="64"/>
        <v>2</v>
      </c>
      <c r="M2013">
        <f t="shared" si="65"/>
        <v>-13.941261763269834</v>
      </c>
      <c r="N2013">
        <v>1.05</v>
      </c>
      <c r="O2013" s="15">
        <v>1.2</v>
      </c>
      <c r="P2013">
        <v>1</v>
      </c>
      <c r="Q2013">
        <v>1.01</v>
      </c>
      <c r="R2013">
        <v>1.2</v>
      </c>
      <c r="S2013">
        <v>1.2</v>
      </c>
      <c r="T2013">
        <v>3</v>
      </c>
      <c r="U2013">
        <f t="shared" si="66"/>
        <v>0.57209088006881903</v>
      </c>
    </row>
    <row r="2014" spans="1:22" x14ac:dyDescent="0.2">
      <c r="A2014" t="s">
        <v>130</v>
      </c>
      <c r="B2014" s="52">
        <v>2.64E-3</v>
      </c>
      <c r="C2014" t="s">
        <v>92</v>
      </c>
      <c r="E2014" t="s">
        <v>64</v>
      </c>
      <c r="F2014" t="s">
        <v>86</v>
      </c>
      <c r="G2014" t="s">
        <v>93</v>
      </c>
      <c r="H2014" t="s">
        <v>78</v>
      </c>
      <c r="I2014" t="s">
        <v>270</v>
      </c>
      <c r="J2014" t="s">
        <v>67</v>
      </c>
      <c r="K2014" t="str">
        <f>B1972</f>
        <v>heat, residential, by combustion of hydrogen using boiler, transported by pipeline, produced by Electrolysis, Alkaline using water and electricity from Solar PV (CH)</v>
      </c>
      <c r="L2014">
        <f t="shared" si="64"/>
        <v>2</v>
      </c>
      <c r="M2014">
        <f t="shared" si="65"/>
        <v>-5.9369763618239126</v>
      </c>
      <c r="N2014">
        <v>1.05</v>
      </c>
      <c r="O2014" s="15">
        <v>1.2</v>
      </c>
      <c r="P2014">
        <v>1</v>
      </c>
      <c r="Q2014">
        <v>1.01</v>
      </c>
      <c r="R2014">
        <v>1.2</v>
      </c>
      <c r="S2014">
        <v>1.2</v>
      </c>
      <c r="T2014">
        <v>1.05</v>
      </c>
      <c r="U2014">
        <f t="shared" si="66"/>
        <v>0.16169679924070957</v>
      </c>
    </row>
    <row r="2015" spans="1:22" x14ac:dyDescent="0.2">
      <c r="A2015" s="45" t="str">
        <f>"hydrogen supply, transported by "&amp;B1986&amp;", produced by "&amp;B1990&amp;" using "&amp;B1991&amp;" from "&amp;B1992</f>
        <v>hydrogen supply, transported by pipeline, produced by Electrolysis, Alkaline using water and electricity from Solar PV (CH)</v>
      </c>
      <c r="B2015" s="53">
        <f>(B2011/B1995)/B1994</f>
        <v>8.8652482269503553E-3</v>
      </c>
      <c r="C2015" t="str">
        <f>VLOOKUP(J2015,'dataset mapping'!$A$4:$E$69,5,0)</f>
        <v>kilogram</v>
      </c>
      <c r="E2015" t="str">
        <f>VLOOKUP(J2015,'dataset mapping'!$A$4:$E$69,4,0)</f>
        <v>CH</v>
      </c>
      <c r="F2015" t="s">
        <v>86</v>
      </c>
      <c r="G2015" t="str">
        <f>"hydrogen, gaseous, from "&amp;B1986</f>
        <v>hydrogen, gaseous, from pipeline</v>
      </c>
      <c r="H2015" t="s">
        <v>76</v>
      </c>
      <c r="I2015" t="s">
        <v>1054</v>
      </c>
      <c r="J2015" t="s">
        <v>291</v>
      </c>
      <c r="K2015" t="str">
        <f>B1972</f>
        <v>heat, residential, by combustion of hydrogen using boiler, transported by pipeline, produced by Electrolysis, Alkaline using water and electricity from Solar PV (CH)</v>
      </c>
      <c r="L2015">
        <f t="shared" si="64"/>
        <v>2</v>
      </c>
      <c r="M2015">
        <f t="shared" si="65"/>
        <v>-4.7256163390639587</v>
      </c>
      <c r="N2015">
        <v>1.05</v>
      </c>
      <c r="O2015" s="15">
        <v>1.2</v>
      </c>
      <c r="P2015">
        <v>1</v>
      </c>
      <c r="Q2015">
        <v>1.01</v>
      </c>
      <c r="R2015">
        <v>1.2</v>
      </c>
      <c r="S2015">
        <v>1.2</v>
      </c>
      <c r="T2015">
        <v>1.05</v>
      </c>
      <c r="U2015">
        <f t="shared" si="66"/>
        <v>0.16169679924070957</v>
      </c>
    </row>
    <row r="2016" spans="1:22" x14ac:dyDescent="0.2">
      <c r="A2016" t="s">
        <v>134</v>
      </c>
      <c r="B2016" s="45">
        <f>B2015*9</f>
        <v>7.9787234042553196E-2</v>
      </c>
      <c r="C2016" t="s">
        <v>56</v>
      </c>
      <c r="D2016" t="s">
        <v>100</v>
      </c>
      <c r="F2016" t="s">
        <v>99</v>
      </c>
      <c r="H2016" t="s">
        <v>131</v>
      </c>
      <c r="I2016" t="s">
        <v>1058</v>
      </c>
      <c r="K2016" t="str">
        <f>B1972</f>
        <v>heat, residential, by combustion of hydrogen using boiler, transported by pipeline, produced by Electrolysis, Alkaline using water and electricity from Solar PV (CH)</v>
      </c>
      <c r="L2016">
        <f t="shared" si="64"/>
        <v>2</v>
      </c>
      <c r="M2016">
        <f t="shared" si="65"/>
        <v>-2.5283917617277392</v>
      </c>
      <c r="N2016">
        <v>1.05</v>
      </c>
      <c r="O2016" s="15">
        <v>1.2</v>
      </c>
      <c r="P2016">
        <v>1</v>
      </c>
      <c r="Q2016">
        <v>1.01</v>
      </c>
      <c r="R2016">
        <v>1.2</v>
      </c>
      <c r="S2016">
        <v>1.2</v>
      </c>
      <c r="T2016">
        <v>1.05</v>
      </c>
      <c r="U2016">
        <f t="shared" si="66"/>
        <v>0.16169679924070957</v>
      </c>
    </row>
    <row r="2017" spans="1:21" x14ac:dyDescent="0.2">
      <c r="A2017" t="s">
        <v>135</v>
      </c>
      <c r="B2017" s="45">
        <f>912.5/1000000*B2015</f>
        <v>8.0895390070921995E-6</v>
      </c>
      <c r="C2017" t="s">
        <v>56</v>
      </c>
      <c r="D2017" t="s">
        <v>100</v>
      </c>
      <c r="F2017" t="s">
        <v>99</v>
      </c>
      <c r="H2017" t="s">
        <v>131</v>
      </c>
      <c r="I2017" t="s">
        <v>1217</v>
      </c>
      <c r="K2017" t="str">
        <f>B1972</f>
        <v>heat, residential, by combustion of hydrogen using boiler, transported by pipeline, produced by Electrolysis, Alkaline using water and electricity from Solar PV (CH)</v>
      </c>
      <c r="L2017">
        <f t="shared" si="64"/>
        <v>2</v>
      </c>
      <c r="M2017">
        <f t="shared" si="65"/>
        <v>-11.724938811571587</v>
      </c>
      <c r="N2017">
        <v>1.05</v>
      </c>
      <c r="O2017" s="15">
        <v>1.2</v>
      </c>
      <c r="P2017">
        <v>1</v>
      </c>
      <c r="Q2017">
        <v>1.01</v>
      </c>
      <c r="R2017">
        <v>1.2</v>
      </c>
      <c r="S2017">
        <v>1.2</v>
      </c>
      <c r="T2017">
        <v>1.5</v>
      </c>
      <c r="U2017">
        <f t="shared" si="66"/>
        <v>0.25816898211842121</v>
      </c>
    </row>
    <row r="2019" spans="1:21" x14ac:dyDescent="0.2">
      <c r="A2019" s="2" t="s">
        <v>50</v>
      </c>
      <c r="B2019" s="44" t="str">
        <f>IF(B2025="megajoule","heat","electricity")&amp;", residential, by "&amp;B2030&amp;" of "&amp;B2029&amp;" using "&amp;B2031&amp;IF(B2032&lt;&gt;0,", allocated by "&amp;B2032,"")&amp;", transported by "&amp;B2033&amp;", produced by "&amp;B2037&amp;" using "&amp;B2038&amp;" from "&amp;B2039</f>
        <v>heat, residential, by combustion of hydrogen using CHP, allocated by exergy, transported by pipeline, produced by Electrolysis, Alkaline using water and electricity from Solar PV (CH)</v>
      </c>
    </row>
    <row r="2020" spans="1:21" x14ac:dyDescent="0.2">
      <c r="A2020" t="s">
        <v>51</v>
      </c>
      <c r="B2020" s="45" t="str">
        <f>"This dataset represents the supply of 1 "&amp;IF(B2025="megajoule","megajoule of heat","kilowatt hour of electricity")&amp;" in a residence, by "&amp;B2029&amp;" "&amp;B2030&amp;" in a "&amp;B2031&amp;". "&amp;" The hydrogen is transported by "&amp;B2033&amp;" over "&amp;B2034&amp;" km from regional storage. "&amp;" The "&amp;B2029&amp;" is produced by  "&amp;B2037&amp;", with "&amp;B2038&amp;" from "&amp;B2039&amp;" as feedstock. "&amp;A2041&amp;": "&amp;(B2041*100)&amp;"%. "&amp;A2042&amp;": "&amp;B2042&amp;". "&amp;A2043&amp;": "&amp;B2043&amp;". "&amp;A2044&amp;": "&amp;(B2044*100)&amp;"%. "&amp;A2045&amp;": "&amp;(B2045*100)&amp;"%. "&amp;A2046&amp;": "&amp;(B2046*100)&amp;"%. "&amp;A2047&amp;": "&amp;B2047&amp;". "&amp;A2048&amp;": "&amp;B2048&amp;". "&amp;A2049&amp;": "&amp;(B2049*100)&amp;"%. "&amp;A2050&amp;": "&amp;B2050&amp;". "&amp;A2051&amp;": "&amp;B2051&amp;". "&amp;A2052&amp;": "&amp;B2052&amp;". "&amp;A2053&amp;": "&amp;B2053&amp;".  For more information, refer to: "&amp;B2021</f>
        <v>This dataset represents the supply of 1 megajoule of heat in a residence, by hydrogen combustion in a CHP.  The hydrogen is transported by pipeline over 500 km from regional storage.  The hydrogen is produced by  Electrolysis, Alkaline, with water and electricity from Solar PV (CH)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2021" spans="1:21" x14ac:dyDescent="0.2">
      <c r="A2021" t="s">
        <v>63</v>
      </c>
      <c r="B2021" s="45" t="s">
        <v>1223</v>
      </c>
    </row>
    <row r="2022" spans="1:21" x14ac:dyDescent="0.2">
      <c r="A2022" t="s">
        <v>52</v>
      </c>
      <c r="B2022" s="45" t="s">
        <v>64</v>
      </c>
    </row>
    <row r="2023" spans="1:21" x14ac:dyDescent="0.2">
      <c r="A2023" t="s">
        <v>48</v>
      </c>
      <c r="B2023" s="45">
        <v>26</v>
      </c>
    </row>
    <row r="2024" spans="1:21" x14ac:dyDescent="0.2">
      <c r="A2024" t="s">
        <v>54</v>
      </c>
      <c r="B2024" s="45" t="str">
        <f>INDEX(overview!$B$4:$R$338,MATCH('hydrogen - electrolysis'!B2023,overview!$A$4:$A$338,0),MATCH('hydrogen - electrolysis'!A2024,overview!$B$3:$R$3,0))</f>
        <v>heat, from residential heating system</v>
      </c>
    </row>
    <row r="2025" spans="1:21" x14ac:dyDescent="0.2">
      <c r="A2025" t="s">
        <v>55</v>
      </c>
      <c r="B2025" s="45" t="str">
        <f>INDEX(overview!$B$4:$R$338,MATCH('hydrogen - electrolysis'!B2023,overview!$A$4:$A$338,0),MATCH('hydrogen - electrolysis'!A2025,overview!$B$3:$R$3,0))</f>
        <v>megajoule</v>
      </c>
    </row>
    <row r="2026" spans="1:21" x14ac:dyDescent="0.2">
      <c r="A2026" t="s">
        <v>0</v>
      </c>
      <c r="B2026" s="45" t="str">
        <f>INDEX(overview!$B$4:$R$338,MATCH('hydrogen - electrolysis'!B2023,overview!$A$4:$A$338,0),MATCH('hydrogen - electrolysis'!A2026,overview!$B$3:$R$3,0))</f>
        <v>Switzerland</v>
      </c>
    </row>
    <row r="2027" spans="1:21" x14ac:dyDescent="0.2">
      <c r="A2027" t="s">
        <v>1</v>
      </c>
      <c r="B2027" s="45">
        <f>INDEX(overview!$B$4:$R$338,MATCH('hydrogen - electrolysis'!B2023,overview!$A$4:$A$338,0),MATCH('hydrogen - electrolysis'!A2027,overview!$B$3:$R$3,0))</f>
        <v>2020</v>
      </c>
    </row>
    <row r="2028" spans="1:21" x14ac:dyDescent="0.2">
      <c r="A2028" t="s">
        <v>2</v>
      </c>
      <c r="B2028" s="45" t="str">
        <f>INDEX(overview!$B$4:$R$338,MATCH('hydrogen - electrolysis'!B2023,overview!$A$4:$A$338,0),MATCH('hydrogen - electrolysis'!A2028,overview!$B$3:$R$3,0))</f>
        <v>1 MJ heat</v>
      </c>
    </row>
    <row r="2029" spans="1:21" x14ac:dyDescent="0.2">
      <c r="A2029" t="s">
        <v>5</v>
      </c>
      <c r="B2029" s="45" t="str">
        <f>INDEX(overview!$B$4:$R$338,MATCH('hydrogen - electrolysis'!B2023,overview!$A$4:$A$338,0),MATCH('hydrogen - electrolysis'!A2029,overview!$B$3:$R$3,0))</f>
        <v>hydrogen</v>
      </c>
    </row>
    <row r="2030" spans="1:21" x14ac:dyDescent="0.2">
      <c r="A2030" t="s">
        <v>3</v>
      </c>
      <c r="B2030" s="45" t="str">
        <f>INDEX(overview!$B$4:$R$338,MATCH('hydrogen - electrolysis'!B2023,overview!$A$4:$A$338,0),MATCH('hydrogen - electrolysis'!A2030,overview!$B$3:$R$3,0))</f>
        <v>combustion</v>
      </c>
    </row>
    <row r="2031" spans="1:21" x14ac:dyDescent="0.2">
      <c r="A2031" t="s">
        <v>6</v>
      </c>
      <c r="B2031" s="45" t="str">
        <f>INDEX(overview!$B$4:$R$338,MATCH('hydrogen - electrolysis'!B2023,overview!$A$4:$A$338,0),MATCH('hydrogen - electrolysis'!A2031,overview!$B$3:$R$3,0))</f>
        <v>CHP</v>
      </c>
    </row>
    <row r="2032" spans="1:21" x14ac:dyDescent="0.2">
      <c r="A2032" t="s">
        <v>39</v>
      </c>
      <c r="B2032" s="45" t="str">
        <f>INDEX(overview!$B$4:$R$338,MATCH('hydrogen - electrolysis'!B2023,overview!$A$4:$A$338,0),MATCH('hydrogen - electrolysis'!A2032,overview!$B$3:$R$3,0))</f>
        <v>exergy</v>
      </c>
    </row>
    <row r="2033" spans="1:2" x14ac:dyDescent="0.2">
      <c r="A2033" t="s">
        <v>4</v>
      </c>
      <c r="B2033" s="45" t="str">
        <f>INDEX(overview!$B$4:$R$338,MATCH('hydrogen - electrolysis'!B2023,overview!$A$4:$A$338,0),MATCH('hydrogen - electrolysis'!A2033,overview!$B$3:$R$3,0))</f>
        <v>pipeline</v>
      </c>
    </row>
    <row r="2034" spans="1:2" x14ac:dyDescent="0.2">
      <c r="A2034" t="s">
        <v>38</v>
      </c>
      <c r="B2034" s="45">
        <f>INDEX(overview!$B$4:$R$338,MATCH('hydrogen - electrolysis'!B2023,overview!$A$4:$A$338,0),MATCH('hydrogen - electrolysis'!A2034,overview!$B$3:$R$3,0))</f>
        <v>500</v>
      </c>
    </row>
    <row r="2035" spans="1:2" x14ac:dyDescent="0.2">
      <c r="A2035" t="s">
        <v>12</v>
      </c>
      <c r="B2035" s="45" t="str">
        <f>INDEX(overview!$B$4:$R$338,MATCH('hydrogen - electrolysis'!B2023,overview!$A$4:$A$338,0),MATCH('hydrogen - electrolysis'!A2035,overview!$B$3:$R$3,0))</f>
        <v>Pressure vessel for stationary storage</v>
      </c>
    </row>
    <row r="2036" spans="1:2" x14ac:dyDescent="0.2">
      <c r="A2036" t="s">
        <v>34</v>
      </c>
      <c r="B2036" s="45">
        <f>INDEX(overview!$B$4:$R$338,MATCH('hydrogen - electrolysis'!B2023,overview!$A$4:$A$338,0),MATCH('hydrogen - electrolysis'!A2036,overview!$B$3:$R$3,0))</f>
        <v>0</v>
      </c>
    </row>
    <row r="2037" spans="1:2" x14ac:dyDescent="0.2">
      <c r="A2037" t="s">
        <v>15</v>
      </c>
      <c r="B2037" s="45" t="str">
        <f>INDEX(overview!$B$4:$R$338,MATCH('hydrogen - electrolysis'!B2023,overview!$A$4:$A$338,0),MATCH('hydrogen - electrolysis'!A2037,overview!$B$3:$R$3,0))</f>
        <v>Electrolysis, Alkaline</v>
      </c>
    </row>
    <row r="2038" spans="1:2" x14ac:dyDescent="0.2">
      <c r="A2038" t="s">
        <v>14</v>
      </c>
      <c r="B2038" s="45" t="str">
        <f>INDEX(overview!$B$4:$R$338,MATCH('hydrogen - electrolysis'!B2023,overview!$A$4:$A$338,0),MATCH('hydrogen - electrolysis'!A2038,overview!$B$3:$R$3,0))</f>
        <v>water and electricity</v>
      </c>
    </row>
    <row r="2039" spans="1:2" x14ac:dyDescent="0.2">
      <c r="A2039" t="s">
        <v>26</v>
      </c>
      <c r="B2039" s="45" t="str">
        <f>INDEX(overview!$B$4:$R$338,MATCH('hydrogen - electrolysis'!B2023,overview!$A$4:$A$338,0),MATCH('hydrogen - electrolysis'!A2039,overview!$B$3:$R$3,0))</f>
        <v>Solar PV (CH)</v>
      </c>
    </row>
    <row r="2040" spans="1:2" x14ac:dyDescent="0.2">
      <c r="A2040" t="s">
        <v>29</v>
      </c>
      <c r="B2040" s="45">
        <f>INDEX(overview!$B$4:$R$338,MATCH('hydrogen - electrolysis'!B2023,overview!$A$4:$A$338,0),MATCH('hydrogen - electrolysis'!A2040,overview!$B$3:$R$3,0))</f>
        <v>0</v>
      </c>
    </row>
    <row r="2041" spans="1:2" x14ac:dyDescent="0.2">
      <c r="A2041" t="str">
        <f>IF(B2025="megajoule","Heat","Electricity")&amp;" conversion efficiency [% LHV input]"</f>
        <v>Heat conversion efficiency [% LHV input]</v>
      </c>
      <c r="B2041" s="46">
        <f>INDEX(parameters!$D$4:$N$20,MATCH('hydrogen - electrolysis'!B2029&amp;'hydrogen - electrolysis'!B2031,parameters!$A$4:$A$20,0),MATCH('hydrogen - electrolysis'!A2041,parameters!$D$3:$N$3,0))</f>
        <v>0.41699999999999998</v>
      </c>
    </row>
    <row r="2042" spans="1:2" x14ac:dyDescent="0.2">
      <c r="A2042" t="str">
        <f>IF(B2025="megajoule","LHV [MJ/kg]","LHV [kWh/kg]")</f>
        <v>LHV [MJ/kg]</v>
      </c>
      <c r="B2042" s="47">
        <f>INDEX(parameters!$D$4:$N$20,MATCH('hydrogen - electrolysis'!B2029&amp;'hydrogen - electrolysis'!B2031,parameters!$A$4:$A$20,0),MATCH('hydrogen - electrolysis'!A2042,parameters!$D$3:$N$3,0))</f>
        <v>120</v>
      </c>
    </row>
    <row r="2043" spans="1:2" x14ac:dyDescent="0.2">
      <c r="A2043" t="s">
        <v>41</v>
      </c>
      <c r="B2043" s="48">
        <f>INDEX(parameters!$D$4:$N$20,MATCH('hydrogen - electrolysis'!B2029&amp;'hydrogen - electrolysis'!B2031,parameters!$A$4:$A$20,0),MATCH('hydrogen - electrolysis'!A2043,parameters!$D$3:$N$3,0))</f>
        <v>2.6666666666666665E-2</v>
      </c>
    </row>
    <row r="2044" spans="1:2" x14ac:dyDescent="0.2">
      <c r="A2044" t="s">
        <v>45</v>
      </c>
      <c r="B2044" s="46">
        <f>INDEX(parameters!$D$4:$N$20,MATCH('hydrogen - electrolysis'!B2029&amp;'hydrogen - electrolysis'!B2031,parameters!$A$4:$A$20,0),MATCH('hydrogen - electrolysis'!A2044,parameters!$D$3:$N$3,0))</f>
        <v>0</v>
      </c>
    </row>
    <row r="2045" spans="1:2" x14ac:dyDescent="0.2">
      <c r="A2045" t="s">
        <v>46</v>
      </c>
      <c r="B2045" s="46">
        <f>INDEX(parameters!$D$4:$N$20,MATCH('hydrogen - electrolysis'!B2029&amp;'hydrogen - electrolysis'!B2031,parameters!$A$4:$A$20,0),MATCH('hydrogen - electrolysis'!A2045,parameters!$D$3:$N$3,0))</f>
        <v>1.4999999999999999E-2</v>
      </c>
    </row>
    <row r="2046" spans="1:2" x14ac:dyDescent="0.2">
      <c r="A2046" t="s">
        <v>43</v>
      </c>
      <c r="B2046" s="46">
        <f>INDEX(parameters!$D$4:$N$20,MATCH('hydrogen - electrolysis'!B2029&amp;'hydrogen - electrolysis'!B2031,parameters!$A$4:$A$20,0),MATCH('hydrogen - electrolysis'!A2046,parameters!$D$3:$N$3,0))</f>
        <v>0</v>
      </c>
    </row>
    <row r="2047" spans="1:2" x14ac:dyDescent="0.2">
      <c r="A2047" t="s">
        <v>44</v>
      </c>
      <c r="B2047" s="46">
        <f>INDEX(parameters!$D$4:$N$20,MATCH('hydrogen - electrolysis'!B2029&amp;'hydrogen - electrolysis'!B2031,parameters!$A$4:$A$20,0),MATCH('hydrogen - electrolysis'!A2047,parameters!$D$3:$N$3,0))</f>
        <v>0</v>
      </c>
    </row>
    <row r="2048" spans="1:2" x14ac:dyDescent="0.2">
      <c r="A2048" t="s">
        <v>634</v>
      </c>
      <c r="B2048" s="51">
        <f>INDEX(parameters!$D$4:$Y$20,MATCH('hydrogen - electrolysis'!B2029&amp;'hydrogen - electrolysis'!B2031,parameters!$A$4:$A$20,0),MATCH('hydrogen - electrolysis'!A2048,parameters!$D$3:$Y$3,0))</f>
        <v>351.41800246609125</v>
      </c>
    </row>
    <row r="2049" spans="1:22" x14ac:dyDescent="0.2">
      <c r="A2049" t="s">
        <v>82</v>
      </c>
      <c r="B2049" s="46">
        <f>IF(B2040&lt;&gt;0,VLOOKUP(B2040,parameters!A1330:B1332,2,0),0)</f>
        <v>0</v>
      </c>
    </row>
    <row r="2050" spans="1:22" x14ac:dyDescent="0.2">
      <c r="A2050" t="s">
        <v>548</v>
      </c>
      <c r="B2050" s="50">
        <f>INDEX(parameters!$D$4:$P$20,MATCH(B2029&amp;B2031,parameters!$A$4:$A$20,0),MATCH(A2050,parameters!$D$3:$P$3,0))</f>
        <v>125</v>
      </c>
    </row>
    <row r="2051" spans="1:22" x14ac:dyDescent="0.2">
      <c r="A2051" t="s">
        <v>547</v>
      </c>
      <c r="B2051" s="51">
        <f>INDEX(parameters!$D$4:$P$20,MATCH(B2029&amp;B2031,parameters!$A$4:$A$20,0),MATCH(A2051,parameters!$D$3:$P$3,0))</f>
        <v>19.512195121951219</v>
      </c>
    </row>
    <row r="2052" spans="1:22" x14ac:dyDescent="0.2">
      <c r="A2052" t="s">
        <v>630</v>
      </c>
      <c r="B2052" s="51">
        <f>INDEX(parameters!$D$4:$T$20,MATCH(B2029&amp;B2031,parameters!$A$4:$A$20,0),MATCH(A2052,parameters!$D$3:$T$3,0))</f>
        <v>4100</v>
      </c>
    </row>
    <row r="2053" spans="1:22" x14ac:dyDescent="0.2">
      <c r="A2053" t="s">
        <v>1005</v>
      </c>
      <c r="B2053" s="50">
        <f>IF(B2025="megajoule",SUMIFS(allocation!$I$4:$I$30,allocation!$B$4:$B$30,B2031,allocation!$C$4:$C$30,B2032),SUMIFS(allocation!$J$4:$J$30,allocation!$B$4:$B$30,B2031,allocation!$C$4:$C$30,B2032))</f>
        <v>0.12860042227295038</v>
      </c>
    </row>
    <row r="2054" spans="1:22" x14ac:dyDescent="0.2">
      <c r="A2054" t="s">
        <v>1050</v>
      </c>
      <c r="B2054" s="51">
        <f>INDEX(parameters!$D$4:$AB$20,MATCH(B2029&amp;B2031,parameters!$A$4:$A$20,0),MATCH(A2054,parameters!$D$3:$AB$3,0))</f>
        <v>2220.7364520822662</v>
      </c>
    </row>
    <row r="2056" spans="1:22" x14ac:dyDescent="0.2">
      <c r="A2056" s="3" t="s">
        <v>57</v>
      </c>
    </row>
    <row r="2057" spans="1:22" x14ac:dyDescent="0.2">
      <c r="A2057" s="2" t="s">
        <v>58</v>
      </c>
      <c r="B2057" s="44" t="s">
        <v>59</v>
      </c>
      <c r="C2057" s="2" t="s">
        <v>55</v>
      </c>
      <c r="D2057" s="2" t="s">
        <v>60</v>
      </c>
      <c r="E2057" s="2" t="s">
        <v>52</v>
      </c>
      <c r="F2057" s="2" t="s">
        <v>61</v>
      </c>
      <c r="G2057" s="2" t="s">
        <v>54</v>
      </c>
      <c r="H2057" s="2" t="s">
        <v>87</v>
      </c>
      <c r="I2057" s="2" t="s">
        <v>51</v>
      </c>
      <c r="J2057" s="2" t="s">
        <v>138</v>
      </c>
      <c r="K2057" s="2" t="s">
        <v>136</v>
      </c>
      <c r="L2057" s="2" t="s">
        <v>221</v>
      </c>
      <c r="M2057" s="2" t="s">
        <v>379</v>
      </c>
      <c r="N2057" s="2" t="s">
        <v>1059</v>
      </c>
      <c r="O2057" s="2" t="s">
        <v>1060</v>
      </c>
      <c r="P2057" s="2" t="s">
        <v>1061</v>
      </c>
      <c r="Q2057" s="2" t="s">
        <v>1062</v>
      </c>
      <c r="R2057" s="2" t="s">
        <v>1063</v>
      </c>
      <c r="S2057" s="2" t="s">
        <v>1064</v>
      </c>
      <c r="T2057" s="2" t="s">
        <v>1065</v>
      </c>
      <c r="U2057" s="2" t="s">
        <v>380</v>
      </c>
      <c r="V2057" s="2" t="s">
        <v>1128</v>
      </c>
    </row>
    <row r="2058" spans="1:22" x14ac:dyDescent="0.2">
      <c r="A2058" t="str">
        <f>B2019</f>
        <v>heat, residential, by combustion of hydrogen using CHP, allocated by exergy, transported by pipeline, produced by Electrolysis, Alkaline using water and electricity from Solar PV (CH)</v>
      </c>
      <c r="B2058" s="45">
        <v>1</v>
      </c>
      <c r="C2058" t="str">
        <f>B2025</f>
        <v>megajoule</v>
      </c>
      <c r="E2058" t="str">
        <f>B2022</f>
        <v>CH</v>
      </c>
      <c r="F2058" t="s">
        <v>62</v>
      </c>
      <c r="G2058" t="str">
        <f>B2024</f>
        <v>heat, from residential heating system</v>
      </c>
      <c r="K2058" t="str">
        <f>B2019</f>
        <v>heat, residential, by combustion of hydrogen using CHP, allocated by exergy, transported by pipeline, produced by Electrolysis, Alkaline using water and electricity from Solar PV (CH)</v>
      </c>
    </row>
    <row r="2059" spans="1:22" x14ac:dyDescent="0.2">
      <c r="A2059" t="str">
        <f>VLOOKUP(J2059,'dataset mapping'!$A$4:$E$69,2,0)</f>
        <v>heat and power co-generation unit construction, 160kW electrical, common components for heat+electricity</v>
      </c>
      <c r="B2059" s="52">
        <f>(1/(B2048*B2052*B2051*3.6))*B2053</f>
        <v>1.270649883812899E-9</v>
      </c>
      <c r="C2059" t="str">
        <f>VLOOKUP(J2059,'dataset mapping'!$A$4:$E$69,5,0)</f>
        <v>unit</v>
      </c>
      <c r="E2059" t="str">
        <f>VLOOKUP(J2059,'dataset mapping'!$A$4:$E$69,4,0)</f>
        <v>RER</v>
      </c>
      <c r="F2059" t="s">
        <v>86</v>
      </c>
      <c r="G2059" t="str">
        <f>VLOOKUP(J2059,'dataset mapping'!$A$4:$E$69,3,0)</f>
        <v>heat and power co-generation unit, 160kW electrical, common components for heat+electricity</v>
      </c>
      <c r="H2059" t="s">
        <v>88</v>
      </c>
      <c r="J2059" t="s">
        <v>145</v>
      </c>
      <c r="K2059" t="str">
        <f>B2019</f>
        <v>heat, residential, by combustion of hydrogen using CHP, allocated by exergy, transported by pipeline, produced by Electrolysis, Alkaline using water and electricity from Solar PV (CH)</v>
      </c>
      <c r="L2059">
        <f>IF(OR(B2059&lt;0,B2059=0),1,2)</f>
        <v>2</v>
      </c>
      <c r="M2059">
        <f>IF(L2059=2,LN(B2059),"")</f>
        <v>-20.48373734782199</v>
      </c>
      <c r="N2059">
        <v>1.05</v>
      </c>
      <c r="O2059" s="15">
        <v>1.2</v>
      </c>
      <c r="P2059">
        <v>1</v>
      </c>
      <c r="Q2059">
        <v>1.01</v>
      </c>
      <c r="R2059">
        <v>1.2</v>
      </c>
      <c r="S2059">
        <v>1.2</v>
      </c>
      <c r="T2059">
        <v>3</v>
      </c>
      <c r="U2059">
        <f t="shared" ref="U2059:U2066" si="67">LN(SQRT(EXP(
SQRT(
+POWER(LN(N2059),2)
+POWER(LN(O2059),2)
+POWER(LN(P2059),2)
+POWER(LN(Q2059),2)
+POWER(LN(R2059),2)
+POWER(LN(S2059),2)
+POWER(LN(T2059),2)
)
)))</f>
        <v>0.57209088006881903</v>
      </c>
    </row>
    <row r="2060" spans="1:22" x14ac:dyDescent="0.2">
      <c r="A2060" t="str">
        <f>VLOOKUP(J2060,'dataset mapping'!$A$4:$E$69,2,0)</f>
        <v>heat and power co-generation unit construction, 160kW electrical, components for electricity only</v>
      </c>
      <c r="B2060" s="52">
        <f>(1/(B2048*B2052*B2051*3.6))*B2053</f>
        <v>1.270649883812899E-9</v>
      </c>
      <c r="C2060" t="str">
        <f>VLOOKUP(J2060,'dataset mapping'!$A$4:$E$69,5,0)</f>
        <v>unit</v>
      </c>
      <c r="E2060" t="str">
        <f>VLOOKUP(J2060,'dataset mapping'!$A$4:$E$69,4,0)</f>
        <v>RER</v>
      </c>
      <c r="F2060" t="s">
        <v>86</v>
      </c>
      <c r="G2060" t="str">
        <f>VLOOKUP(J2060,'dataset mapping'!$A$4:$E$69,3,0)</f>
        <v>heat and power co-generation unit, 160kW electrical, components for electricity only</v>
      </c>
      <c r="H2060" t="s">
        <v>88</v>
      </c>
      <c r="J2060" t="s">
        <v>146</v>
      </c>
      <c r="K2060" t="str">
        <f>B2019</f>
        <v>heat, residential, by combustion of hydrogen using CHP, allocated by exergy, transported by pipeline, produced by Electrolysis, Alkaline using water and electricity from Solar PV (CH)</v>
      </c>
      <c r="L2060">
        <f>IF(OR(B2060&lt;0,B2060=0),1,2)</f>
        <v>2</v>
      </c>
      <c r="M2060">
        <f>IF(L2060=2,LN(B2060),"")</f>
        <v>-20.48373734782199</v>
      </c>
      <c r="N2060">
        <v>1.05</v>
      </c>
      <c r="O2060" s="15">
        <v>1.2</v>
      </c>
      <c r="P2060">
        <v>1</v>
      </c>
      <c r="Q2060">
        <v>1.01</v>
      </c>
      <c r="R2060">
        <v>1.2</v>
      </c>
      <c r="S2060">
        <v>1.2</v>
      </c>
      <c r="T2060">
        <v>3</v>
      </c>
      <c r="U2060">
        <f t="shared" si="67"/>
        <v>0.57209088006881903</v>
      </c>
    </row>
    <row r="2061" spans="1:22" x14ac:dyDescent="0.2">
      <c r="A2061" t="str">
        <f>VLOOKUP(J2061,'dataset mapping'!$A$4:$E$69,2,0)</f>
        <v>heat and power co-generation unit construction, 160kW electrical, components for heat only</v>
      </c>
      <c r="B2061" s="52">
        <f>(1/(B2048*B2052*B2051*3.6))*B2053</f>
        <v>1.270649883812899E-9</v>
      </c>
      <c r="C2061" t="str">
        <f>VLOOKUP(J2061,'dataset mapping'!$A$4:$E$69,5,0)</f>
        <v>unit</v>
      </c>
      <c r="E2061" t="str">
        <f>VLOOKUP(J2061,'dataset mapping'!$A$4:$E$69,4,0)</f>
        <v>RER</v>
      </c>
      <c r="F2061" t="s">
        <v>86</v>
      </c>
      <c r="G2061" t="str">
        <f>VLOOKUP(J2061,'dataset mapping'!$A$4:$E$69,3,0)</f>
        <v>heat and power co-generation unit, 160kW electrical, components for heat only</v>
      </c>
      <c r="H2061" t="s">
        <v>88</v>
      </c>
      <c r="J2061" t="s">
        <v>147</v>
      </c>
      <c r="K2061" t="str">
        <f>B2019</f>
        <v>heat, residential, by combustion of hydrogen using CHP, allocated by exergy, transported by pipeline, produced by Electrolysis, Alkaline using water and electricity from Solar PV (CH)</v>
      </c>
      <c r="L2061">
        <f>IF(OR(B2061&lt;0,B2061=0),1,2)</f>
        <v>2</v>
      </c>
      <c r="M2061">
        <f>IF(L2061=2,LN(B2061),"")</f>
        <v>-20.48373734782199</v>
      </c>
      <c r="N2061">
        <v>1.05</v>
      </c>
      <c r="O2061" s="15">
        <v>1.2</v>
      </c>
      <c r="P2061">
        <v>1</v>
      </c>
      <c r="Q2061">
        <v>1.01</v>
      </c>
      <c r="R2061">
        <v>1.2</v>
      </c>
      <c r="S2061">
        <v>1.2</v>
      </c>
      <c r="T2061">
        <v>3</v>
      </c>
      <c r="U2061">
        <f t="shared" si="67"/>
        <v>0.57209088006881903</v>
      </c>
    </row>
    <row r="2062" spans="1:22" x14ac:dyDescent="0.2">
      <c r="A2062" t="s">
        <v>156</v>
      </c>
      <c r="B2062" s="52">
        <f>0.00000011366*B2053</f>
        <v>1.461672399554354E-8</v>
      </c>
      <c r="C2062" t="s">
        <v>56</v>
      </c>
      <c r="E2062" t="s">
        <v>90</v>
      </c>
      <c r="F2062" t="s">
        <v>86</v>
      </c>
      <c r="G2062" t="s">
        <v>154</v>
      </c>
      <c r="H2062" t="s">
        <v>155</v>
      </c>
      <c r="K2062" t="str">
        <f>B2019</f>
        <v>heat, residential, by combustion of hydrogen using CHP, allocated by exergy, transported by pipeline, produced by Electrolysis, Alkaline using water and electricity from Solar PV (CH)</v>
      </c>
      <c r="L2062">
        <f>IF(OR(B2062&lt;0,B2062=0),1,2)</f>
        <v>2</v>
      </c>
      <c r="M2062">
        <f>IF(L2062=2,LN(B2062),"")</f>
        <v>-18.041099484645969</v>
      </c>
      <c r="N2062">
        <v>1.05</v>
      </c>
      <c r="O2062" s="15">
        <v>1.2</v>
      </c>
      <c r="P2062">
        <v>1</v>
      </c>
      <c r="Q2062">
        <v>1.01</v>
      </c>
      <c r="R2062">
        <v>1.2</v>
      </c>
      <c r="S2062">
        <v>1.2</v>
      </c>
      <c r="T2062">
        <v>1.05</v>
      </c>
      <c r="U2062">
        <f t="shared" si="67"/>
        <v>0.16169679924070957</v>
      </c>
    </row>
    <row r="2063" spans="1:22" x14ac:dyDescent="0.2">
      <c r="A2063" t="s">
        <v>157</v>
      </c>
      <c r="B2063" s="52">
        <f>0.00000011366*B2053*-1</f>
        <v>-1.461672399554354E-8</v>
      </c>
      <c r="C2063" t="s">
        <v>56</v>
      </c>
      <c r="E2063" t="s">
        <v>64</v>
      </c>
      <c r="F2063" t="s">
        <v>86</v>
      </c>
      <c r="G2063" t="s">
        <v>158</v>
      </c>
      <c r="H2063" t="s">
        <v>155</v>
      </c>
      <c r="K2063" t="str">
        <f>B2019</f>
        <v>heat, residential, by combustion of hydrogen using CHP, allocated by exergy, transported by pipeline, produced by Electrolysis, Alkaline using water and electricity from Solar PV (CH)</v>
      </c>
      <c r="L2063">
        <v>2</v>
      </c>
      <c r="M2063">
        <f>IF(L2063=2,LN(B2063*-1),"")</f>
        <v>-18.041099484645969</v>
      </c>
      <c r="N2063">
        <v>1.05</v>
      </c>
      <c r="O2063" s="15">
        <v>1.2</v>
      </c>
      <c r="P2063">
        <v>1</v>
      </c>
      <c r="Q2063">
        <v>1.01</v>
      </c>
      <c r="R2063">
        <v>1.2</v>
      </c>
      <c r="S2063">
        <v>1.2</v>
      </c>
      <c r="T2063">
        <v>3</v>
      </c>
      <c r="U2063">
        <f t="shared" si="67"/>
        <v>0.57209088006881903</v>
      </c>
      <c r="V2063" t="b">
        <v>1</v>
      </c>
    </row>
    <row r="2064" spans="1:22" x14ac:dyDescent="0.2">
      <c r="A2064" s="45" t="str">
        <f>"hydrogen supply, transported by "&amp;B2033&amp;", produced by "&amp;B2037&amp;" using "&amp;B2038&amp;" from "&amp;B2039</f>
        <v>hydrogen supply, transported by pipeline, produced by Electrolysis, Alkaline using water and electricity from Solar PV (CH)</v>
      </c>
      <c r="B2064" s="53">
        <f>(B2058/B2042)/B2041*B2053</f>
        <v>2.56995248347223E-3</v>
      </c>
      <c r="C2064" t="str">
        <f>VLOOKUP(J2064,'dataset mapping'!$A$4:$E$69,5,0)</f>
        <v>kilogram</v>
      </c>
      <c r="E2064" t="str">
        <f>VLOOKUP(J2064,'dataset mapping'!$A$4:$E$69,4,0)</f>
        <v>CH</v>
      </c>
      <c r="F2064" t="s">
        <v>86</v>
      </c>
      <c r="G2064" t="str">
        <f>"hydrogen, gaseous, from "&amp;B672</f>
        <v>hydrogen, gaseous, from pipeline</v>
      </c>
      <c r="H2064" t="s">
        <v>76</v>
      </c>
      <c r="I2064" t="s">
        <v>1054</v>
      </c>
      <c r="J2064" t="s">
        <v>291</v>
      </c>
      <c r="K2064" t="str">
        <f>B2019</f>
        <v>heat, residential, by combustion of hydrogen using CHP, allocated by exergy, transported by pipeline, produced by Electrolysis, Alkaline using water and electricity from Solar PV (CH)</v>
      </c>
      <c r="L2064">
        <f>IF(OR(B2064&lt;0,B2064=0),1,2)</f>
        <v>2</v>
      </c>
      <c r="M2064">
        <f>IF(L2064=2,LN(B2064),"")</f>
        <v>-5.9638678691672418</v>
      </c>
      <c r="N2064">
        <v>1.05</v>
      </c>
      <c r="O2064" s="15">
        <v>1.2</v>
      </c>
      <c r="P2064">
        <v>1</v>
      </c>
      <c r="Q2064">
        <v>1.01</v>
      </c>
      <c r="R2064">
        <v>1.2</v>
      </c>
      <c r="S2064">
        <v>1.2</v>
      </c>
      <c r="T2064">
        <v>1.05</v>
      </c>
      <c r="U2064">
        <f t="shared" si="67"/>
        <v>0.16169679924070957</v>
      </c>
    </row>
    <row r="2065" spans="1:21" x14ac:dyDescent="0.2">
      <c r="A2065" t="s">
        <v>134</v>
      </c>
      <c r="B2065" s="45">
        <f>B2064*9</f>
        <v>2.3129572351250072E-2</v>
      </c>
      <c r="C2065" t="s">
        <v>56</v>
      </c>
      <c r="D2065" t="s">
        <v>100</v>
      </c>
      <c r="F2065" t="s">
        <v>99</v>
      </c>
      <c r="H2065" t="s">
        <v>131</v>
      </c>
      <c r="I2065" t="s">
        <v>1058</v>
      </c>
      <c r="K2065" t="str">
        <f>B2019</f>
        <v>heat, residential, by combustion of hydrogen using CHP, allocated by exergy, transported by pipeline, produced by Electrolysis, Alkaline using water and electricity from Solar PV (CH)</v>
      </c>
      <c r="L2065">
        <f>IF(OR(B2065&lt;0,B2065=0),1,2)</f>
        <v>2</v>
      </c>
      <c r="M2065">
        <f>IF(L2065=2,LN(B2065),"")</f>
        <v>-3.7666432918310226</v>
      </c>
      <c r="N2065">
        <v>1.05</v>
      </c>
      <c r="O2065" s="15">
        <v>1.2</v>
      </c>
      <c r="P2065">
        <v>1</v>
      </c>
      <c r="Q2065">
        <v>1.01</v>
      </c>
      <c r="R2065">
        <v>1.2</v>
      </c>
      <c r="S2065">
        <v>1.2</v>
      </c>
      <c r="T2065">
        <v>1.05</v>
      </c>
      <c r="U2065">
        <f t="shared" si="67"/>
        <v>0.16169679924070957</v>
      </c>
    </row>
    <row r="2066" spans="1:21" x14ac:dyDescent="0.2">
      <c r="A2066" t="s">
        <v>135</v>
      </c>
      <c r="B2066" s="45">
        <f>912.5/1000000*B2064</f>
        <v>2.3450816411684101E-6</v>
      </c>
      <c r="C2066" t="s">
        <v>56</v>
      </c>
      <c r="D2066" t="s">
        <v>100</v>
      </c>
      <c r="F2066" t="s">
        <v>99</v>
      </c>
      <c r="H2066" t="s">
        <v>131</v>
      </c>
      <c r="I2066" t="s">
        <v>1217</v>
      </c>
      <c r="K2066" t="str">
        <f>B2019</f>
        <v>heat, residential, by combustion of hydrogen using CHP, allocated by exergy, transported by pipeline, produced by Electrolysis, Alkaline using water and electricity from Solar PV (CH)</v>
      </c>
      <c r="L2066">
        <f>IF(OR(B2066&lt;0,B2066=0),1,2)</f>
        <v>2</v>
      </c>
      <c r="M2066">
        <f>IF(L2066=2,LN(B2066),"")</f>
        <v>-12.963190341674869</v>
      </c>
      <c r="N2066">
        <v>1.05</v>
      </c>
      <c r="O2066" s="15">
        <v>1.2</v>
      </c>
      <c r="P2066">
        <v>1</v>
      </c>
      <c r="Q2066">
        <v>1.01</v>
      </c>
      <c r="R2066">
        <v>1.2</v>
      </c>
      <c r="S2066">
        <v>1.2</v>
      </c>
      <c r="T2066">
        <v>1.5</v>
      </c>
      <c r="U2066">
        <f t="shared" si="67"/>
        <v>0.25816898211842121</v>
      </c>
    </row>
    <row r="2068" spans="1:21" x14ac:dyDescent="0.2">
      <c r="A2068" s="2" t="s">
        <v>50</v>
      </c>
      <c r="B2068" s="44" t="str">
        <f>IF(B2074="megajoule","heat","electricity")&amp;", residential, by "&amp;B2079&amp;" of "&amp;B2078&amp;" using "&amp;B2080&amp;IF(B2081&lt;&gt;0,", allocated by "&amp;B2081,"")&amp;", transported by "&amp;B2082&amp;", produced by "&amp;B2086&amp;" using "&amp;B2087&amp;" from "&amp;B2088</f>
        <v>heat, residential, by conversion of hydrogen using fuel cell, PEM, allocated by exergy, transported by pipeline, produced by Electrolysis, Alkaline using water and electricity from Solar PV (CH)</v>
      </c>
    </row>
    <row r="2069" spans="1:21" x14ac:dyDescent="0.2">
      <c r="A2069" t="s">
        <v>51</v>
      </c>
      <c r="B2069" s="45" t="str">
        <f>"This dataset represents the supply of 1 "&amp;IF(B2074="megajoule","megajoule of heat","kilowatt hour of electricity")&amp;" in a residence, by "&amp;B2078&amp;" "&amp;B2079&amp;" in a "&amp;B2080&amp;". "&amp;" The hydrogen is transported by "&amp;B2082&amp;" over "&amp;B2083&amp;" km from regional storage. "&amp;" The "&amp;B2078&amp;" is produced by  "&amp;B2086&amp;", with "&amp;B2087&amp;" from "&amp;B2088&amp;" as feedstock. "&amp;A2090&amp;": "&amp;(B2090*100)&amp;"%. "&amp;A2091&amp;": "&amp;B2091&amp;". "&amp;A2092&amp;": "&amp;B2092&amp;". "&amp;A2093&amp;": "&amp;(B2093*100)&amp;"%. "&amp;A2094&amp;": "&amp;(B2094*100)&amp;"%. "&amp;A2095&amp;": "&amp;(B2095*100)&amp;"%. "&amp;A2096&amp;": "&amp;B2096&amp;". "&amp;A2097&amp;": "&amp;B2097&amp;". "&amp;A2098&amp;": "&amp;(B2098*100)&amp;"%. "&amp;A2099&amp;": "&amp;B2099&amp;". "&amp;A2100&amp;": "&amp;B2100&amp;". "&amp;A2101&amp;": "&amp;B2101&amp;". "&amp;A2102&amp;": "&amp;B2102&amp;".  For more information, refer to: "&amp;B2070</f>
        <v>This dataset represents the supply of 1 megajoule of heat in a residence, by hydrogen conversion in a fuel cell, PEM.  The hydrogen is transported by pipeline over 500 km from regional storage.  The hydrogen is produced by  Electrolysis, Alkaline,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2070" spans="1:21" x14ac:dyDescent="0.2">
      <c r="A2070" t="s">
        <v>63</v>
      </c>
      <c r="B2070" s="45" t="s">
        <v>1223</v>
      </c>
    </row>
    <row r="2071" spans="1:21" x14ac:dyDescent="0.2">
      <c r="A2071" t="s">
        <v>52</v>
      </c>
      <c r="B2071" s="45" t="s">
        <v>64</v>
      </c>
    </row>
    <row r="2072" spans="1:21" x14ac:dyDescent="0.2">
      <c r="A2072" t="s">
        <v>48</v>
      </c>
      <c r="B2072" s="45">
        <v>27</v>
      </c>
    </row>
    <row r="2073" spans="1:21" x14ac:dyDescent="0.2">
      <c r="A2073" t="s">
        <v>54</v>
      </c>
      <c r="B2073" s="45" t="str">
        <f>INDEX(overview!$B$4:$R$338,MATCH('hydrogen - electrolysis'!B2072,overview!$A$4:$A$338,0),MATCH('hydrogen - electrolysis'!A2073,overview!$B$3:$R$3,0))</f>
        <v>heat, from residential heating system</v>
      </c>
    </row>
    <row r="2074" spans="1:21" x14ac:dyDescent="0.2">
      <c r="A2074" t="s">
        <v>55</v>
      </c>
      <c r="B2074" s="45" t="str">
        <f>INDEX(overview!$B$4:$R$338,MATCH('hydrogen - electrolysis'!B2072,overview!$A$4:$A$338,0),MATCH('hydrogen - electrolysis'!A2074,overview!$B$3:$R$3,0))</f>
        <v>megajoule</v>
      </c>
    </row>
    <row r="2075" spans="1:21" x14ac:dyDescent="0.2">
      <c r="A2075" t="s">
        <v>0</v>
      </c>
      <c r="B2075" s="45" t="str">
        <f>INDEX(overview!$B$4:$R$338,MATCH('hydrogen - electrolysis'!B2072,overview!$A$4:$A$338,0),MATCH('hydrogen - electrolysis'!A2075,overview!$B$3:$R$3,0))</f>
        <v>Switzerland</v>
      </c>
    </row>
    <row r="2076" spans="1:21" x14ac:dyDescent="0.2">
      <c r="A2076" t="s">
        <v>1</v>
      </c>
      <c r="B2076" s="45">
        <f>INDEX(overview!$B$4:$R$338,MATCH('hydrogen - electrolysis'!B2072,overview!$A$4:$A$338,0),MATCH('hydrogen - electrolysis'!A2076,overview!$B$3:$R$3,0))</f>
        <v>2020</v>
      </c>
    </row>
    <row r="2077" spans="1:21" x14ac:dyDescent="0.2">
      <c r="A2077" t="s">
        <v>2</v>
      </c>
      <c r="B2077" s="45" t="str">
        <f>INDEX(overview!$B$4:$R$338,MATCH('hydrogen - electrolysis'!B2072,overview!$A$4:$A$338,0),MATCH('hydrogen - electrolysis'!A2077,overview!$B$3:$R$3,0))</f>
        <v>1 MJ heat</v>
      </c>
    </row>
    <row r="2078" spans="1:21" x14ac:dyDescent="0.2">
      <c r="A2078" t="s">
        <v>5</v>
      </c>
      <c r="B2078" s="45" t="str">
        <f>INDEX(overview!$B$4:$R$338,MATCH('hydrogen - electrolysis'!B2072,overview!$A$4:$A$338,0),MATCH('hydrogen - electrolysis'!A2078,overview!$B$3:$R$3,0))</f>
        <v>hydrogen</v>
      </c>
    </row>
    <row r="2079" spans="1:21" x14ac:dyDescent="0.2">
      <c r="A2079" t="s">
        <v>3</v>
      </c>
      <c r="B2079" s="45" t="str">
        <f>INDEX(overview!$B$4:$R$338,MATCH('hydrogen - electrolysis'!B2072,overview!$A$4:$A$338,0),MATCH('hydrogen - electrolysis'!A2079,overview!$B$3:$R$3,0))</f>
        <v>conversion</v>
      </c>
    </row>
    <row r="2080" spans="1:21" x14ac:dyDescent="0.2">
      <c r="A2080" t="s">
        <v>6</v>
      </c>
      <c r="B2080" s="45" t="str">
        <f>INDEX(overview!$B$4:$R$338,MATCH('hydrogen - electrolysis'!B2072,overview!$A$4:$A$338,0),MATCH('hydrogen - electrolysis'!A2080,overview!$B$3:$R$3,0))</f>
        <v>fuel cell, PEM</v>
      </c>
    </row>
    <row r="2081" spans="1:2" x14ac:dyDescent="0.2">
      <c r="A2081" t="s">
        <v>39</v>
      </c>
      <c r="B2081" s="45" t="str">
        <f>INDEX(overview!$B$4:$R$338,MATCH('hydrogen - electrolysis'!B2072,overview!$A$4:$A$338,0),MATCH('hydrogen - electrolysis'!A2081,overview!$B$3:$R$3,0))</f>
        <v>exergy</v>
      </c>
    </row>
    <row r="2082" spans="1:2" x14ac:dyDescent="0.2">
      <c r="A2082" t="s">
        <v>4</v>
      </c>
      <c r="B2082" s="45" t="str">
        <f>INDEX(overview!$B$4:$R$338,MATCH('hydrogen - electrolysis'!B2072,overview!$A$4:$A$338,0),MATCH('hydrogen - electrolysis'!A2082,overview!$B$3:$R$3,0))</f>
        <v>pipeline</v>
      </c>
    </row>
    <row r="2083" spans="1:2" x14ac:dyDescent="0.2">
      <c r="A2083" t="s">
        <v>38</v>
      </c>
      <c r="B2083" s="45">
        <f>INDEX(overview!$B$4:$R$338,MATCH('hydrogen - electrolysis'!B2072,overview!$A$4:$A$338,0),MATCH('hydrogen - electrolysis'!A2083,overview!$B$3:$R$3,0))</f>
        <v>500</v>
      </c>
    </row>
    <row r="2084" spans="1:2" x14ac:dyDescent="0.2">
      <c r="A2084" t="s">
        <v>12</v>
      </c>
      <c r="B2084" s="45" t="str">
        <f>INDEX(overview!$B$4:$R$338,MATCH('hydrogen - electrolysis'!B2072,overview!$A$4:$A$338,0),MATCH('hydrogen - electrolysis'!A2084,overview!$B$3:$R$3,0))</f>
        <v>Pressure vessel for stationary storage</v>
      </c>
    </row>
    <row r="2085" spans="1:2" x14ac:dyDescent="0.2">
      <c r="A2085" t="s">
        <v>34</v>
      </c>
      <c r="B2085" s="45">
        <f>INDEX(overview!$B$4:$R$338,MATCH('hydrogen - electrolysis'!B2072,overview!$A$4:$A$338,0),MATCH('hydrogen - electrolysis'!A2085,overview!$B$3:$R$3,0))</f>
        <v>0</v>
      </c>
    </row>
    <row r="2086" spans="1:2" x14ac:dyDescent="0.2">
      <c r="A2086" t="s">
        <v>15</v>
      </c>
      <c r="B2086" s="45" t="str">
        <f>INDEX(overview!$B$4:$R$338,MATCH('hydrogen - electrolysis'!B2072,overview!$A$4:$A$338,0),MATCH('hydrogen - electrolysis'!A2086,overview!$B$3:$R$3,0))</f>
        <v>Electrolysis, Alkaline</v>
      </c>
    </row>
    <row r="2087" spans="1:2" x14ac:dyDescent="0.2">
      <c r="A2087" t="s">
        <v>14</v>
      </c>
      <c r="B2087" s="45" t="str">
        <f>INDEX(overview!$B$4:$R$338,MATCH('hydrogen - electrolysis'!B2072,overview!$A$4:$A$338,0),MATCH('hydrogen - electrolysis'!A2087,overview!$B$3:$R$3,0))</f>
        <v>water and electricity</v>
      </c>
    </row>
    <row r="2088" spans="1:2" x14ac:dyDescent="0.2">
      <c r="A2088" t="s">
        <v>26</v>
      </c>
      <c r="B2088" s="45" t="str">
        <f>INDEX(overview!$B$4:$R$338,MATCH('hydrogen - electrolysis'!B2072,overview!$A$4:$A$338,0),MATCH('hydrogen - electrolysis'!A2088,overview!$B$3:$R$3,0))</f>
        <v>Solar PV (CH)</v>
      </c>
    </row>
    <row r="2089" spans="1:2" x14ac:dyDescent="0.2">
      <c r="A2089" t="s">
        <v>29</v>
      </c>
      <c r="B2089" s="45">
        <f>INDEX(overview!$B$4:$R$338,MATCH('hydrogen - electrolysis'!B2072,overview!$A$4:$A$338,0),MATCH('hydrogen - electrolysis'!A2089,overview!$B$3:$R$3,0))</f>
        <v>0</v>
      </c>
    </row>
    <row r="2090" spans="1:2" x14ac:dyDescent="0.2">
      <c r="A2090" t="str">
        <f>IF(B2074="megajoule","Heat","Electricity")&amp;" conversion efficiency [% LHV input]"</f>
        <v>Heat conversion efficiency [% LHV input]</v>
      </c>
      <c r="B2090" s="46">
        <f>INDEX(parameters!$D$4:$N$20,MATCH('hydrogen - electrolysis'!B2078&amp;'hydrogen - electrolysis'!B2080,parameters!$A$4:$A$20,0),MATCH('hydrogen - electrolysis'!A2090,parameters!$D$3:$N$3,0))</f>
        <v>0.5</v>
      </c>
    </row>
    <row r="2091" spans="1:2" x14ac:dyDescent="0.2">
      <c r="A2091" t="str">
        <f>IF(B2074="megajoule","LHV [MJ/kg]","LHV [kWh/kg]")</f>
        <v>LHV [MJ/kg]</v>
      </c>
      <c r="B2091" s="47">
        <f>INDEX(parameters!$D$4:$N$20,MATCH('hydrogen - electrolysis'!B2078&amp;'hydrogen - electrolysis'!B2080,parameters!$A$4:$A$20,0),MATCH('hydrogen - electrolysis'!A2091,parameters!$D$3:$N$3,0))</f>
        <v>120</v>
      </c>
    </row>
    <row r="2092" spans="1:2" x14ac:dyDescent="0.2">
      <c r="A2092" t="s">
        <v>41</v>
      </c>
      <c r="B2092" s="48">
        <f>INDEX(parameters!$D$4:$N$20,MATCH('hydrogen - electrolysis'!B2078&amp;'hydrogen - electrolysis'!B2080,parameters!$A$4:$A$20,0),MATCH('hydrogen - electrolysis'!A2092,parameters!$D$3:$N$3,0))</f>
        <v>2.6666666666666665E-2</v>
      </c>
    </row>
    <row r="2093" spans="1:2" x14ac:dyDescent="0.2">
      <c r="A2093" t="s">
        <v>45</v>
      </c>
      <c r="B2093" s="46">
        <f>INDEX(parameters!$D$4:$N$20,MATCH('hydrogen - electrolysis'!B2078&amp;'hydrogen - electrolysis'!B2080,parameters!$A$4:$A$20,0),MATCH('hydrogen - electrolysis'!A2093,parameters!$D$3:$N$3,0))</f>
        <v>0</v>
      </c>
    </row>
    <row r="2094" spans="1:2" x14ac:dyDescent="0.2">
      <c r="A2094" t="s">
        <v>46</v>
      </c>
      <c r="B2094" s="46">
        <f>INDEX(parameters!$D$4:$N$20,MATCH('hydrogen - electrolysis'!B2078&amp;'hydrogen - electrolysis'!B2080,parameters!$A$4:$A$20,0),MATCH('hydrogen - electrolysis'!A2094,parameters!$D$3:$N$3,0))</f>
        <v>1.4999999999999999E-2</v>
      </c>
    </row>
    <row r="2095" spans="1:2" x14ac:dyDescent="0.2">
      <c r="A2095" t="s">
        <v>43</v>
      </c>
      <c r="B2095" s="46">
        <f>INDEX(parameters!$D$4:$N$20,MATCH('hydrogen - electrolysis'!B2078&amp;'hydrogen - electrolysis'!B2080,parameters!$A$4:$A$20,0),MATCH('hydrogen - electrolysis'!A2095,parameters!$D$3:$N$3,0))</f>
        <v>0</v>
      </c>
    </row>
    <row r="2096" spans="1:2" x14ac:dyDescent="0.2">
      <c r="A2096" t="s">
        <v>44</v>
      </c>
      <c r="B2096" s="46">
        <f>INDEX(parameters!$D$4:$N$20,MATCH('hydrogen - electrolysis'!B2078&amp;'hydrogen - electrolysis'!B2080,parameters!$A$4:$A$20,0),MATCH('hydrogen - electrolysis'!A2096,parameters!$D$3:$N$3,0))</f>
        <v>0</v>
      </c>
    </row>
    <row r="2097" spans="1:22" x14ac:dyDescent="0.2">
      <c r="A2097" t="s">
        <v>634</v>
      </c>
      <c r="B2097" s="51">
        <f>INDEX(parameters!$D$4:$Y$20,MATCH('hydrogen - electrolysis'!B2078&amp;'hydrogen - electrolysis'!B2080,parameters!$A$4:$A$20,0),MATCH('hydrogen - electrolysis'!A2097,parameters!$D$3:$Y$3,0))</f>
        <v>1.8947368421052633</v>
      </c>
    </row>
    <row r="2098" spans="1:22" x14ac:dyDescent="0.2">
      <c r="A2098" t="s">
        <v>82</v>
      </c>
      <c r="B2098" s="46">
        <f>IF(B2089&lt;&gt;0,VLOOKUP(B2089,parameters!A1384:B1386,2,0),0)</f>
        <v>0</v>
      </c>
    </row>
    <row r="2099" spans="1:22" x14ac:dyDescent="0.2">
      <c r="A2099" t="s">
        <v>548</v>
      </c>
      <c r="B2099" s="50">
        <f>INDEX(parameters!$D$4:$P$20,MATCH(B2078&amp;B2080,parameters!$A$4:$A$20,0),MATCH(A2099,parameters!$D$3:$P$3,0))</f>
        <v>0.8</v>
      </c>
    </row>
    <row r="2100" spans="1:22" x14ac:dyDescent="0.2">
      <c r="A2100" t="s">
        <v>547</v>
      </c>
      <c r="B2100" s="51">
        <f>INDEX(parameters!$D$4:$P$20,MATCH(B2078&amp;B2080,parameters!$A$4:$A$20,0),MATCH(A2100,parameters!$D$3:$P$3,0))</f>
        <v>4.8780487804878048</v>
      </c>
    </row>
    <row r="2101" spans="1:22" x14ac:dyDescent="0.2">
      <c r="A2101" t="s">
        <v>630</v>
      </c>
      <c r="B2101" s="51">
        <f>INDEX(parameters!$D$4:$T$20,MATCH(B2078&amp;B2080,parameters!$A$4:$A$20,0),MATCH(A2101,parameters!$D$3:$T$3,0))</f>
        <v>4100</v>
      </c>
    </row>
    <row r="2102" spans="1:22" x14ac:dyDescent="0.2">
      <c r="A2102" t="s">
        <v>1005</v>
      </c>
      <c r="B2102" s="50">
        <f>IF(B2074="megajoule",SUMIFS(allocation!$I$4:$I$30,allocation!$B$4:$B$30,B2080,allocation!$C$4:$C$30,B2081),SUMIFS(allocation!$J$4:$J$30,allocation!$B$4:$B$30,B2080,allocation!$C$4:$C$30,B2081))</f>
        <v>0.13933980798974457</v>
      </c>
    </row>
    <row r="2103" spans="1:22" x14ac:dyDescent="0.2">
      <c r="A2103" t="s">
        <v>1050</v>
      </c>
      <c r="B2103" s="51">
        <f>INDEX(parameters!$D$4:$AB$20,MATCH(B2078&amp;B2080,parameters!$A$4:$A$20,0),MATCH(A2103,parameters!$D$3:$AB$3,0))</f>
        <v>10.221606648199446</v>
      </c>
    </row>
    <row r="2105" spans="1:22" x14ac:dyDescent="0.2">
      <c r="A2105" s="3" t="s">
        <v>57</v>
      </c>
    </row>
    <row r="2106" spans="1:22" x14ac:dyDescent="0.2">
      <c r="A2106" s="2" t="s">
        <v>58</v>
      </c>
      <c r="B2106" s="44" t="s">
        <v>59</v>
      </c>
      <c r="C2106" s="2" t="s">
        <v>55</v>
      </c>
      <c r="D2106" s="2" t="s">
        <v>60</v>
      </c>
      <c r="E2106" s="2" t="s">
        <v>52</v>
      </c>
      <c r="F2106" s="2" t="s">
        <v>61</v>
      </c>
      <c r="G2106" s="2" t="s">
        <v>54</v>
      </c>
      <c r="H2106" s="2" t="s">
        <v>87</v>
      </c>
      <c r="I2106" s="2" t="s">
        <v>51</v>
      </c>
      <c r="J2106" s="2" t="s">
        <v>138</v>
      </c>
      <c r="K2106" s="2" t="s">
        <v>136</v>
      </c>
      <c r="L2106" s="2" t="s">
        <v>221</v>
      </c>
      <c r="M2106" s="2" t="s">
        <v>379</v>
      </c>
      <c r="N2106" s="2" t="s">
        <v>1059</v>
      </c>
      <c r="O2106" s="2" t="s">
        <v>1060</v>
      </c>
      <c r="P2106" s="2" t="s">
        <v>1061</v>
      </c>
      <c r="Q2106" s="2" t="s">
        <v>1062</v>
      </c>
      <c r="R2106" s="2" t="s">
        <v>1063</v>
      </c>
      <c r="S2106" s="2" t="s">
        <v>1064</v>
      </c>
      <c r="T2106" s="2" t="s">
        <v>1065</v>
      </c>
      <c r="U2106" s="2" t="s">
        <v>380</v>
      </c>
      <c r="V2106" s="2" t="s">
        <v>1128</v>
      </c>
    </row>
    <row r="2107" spans="1:22" x14ac:dyDescent="0.2">
      <c r="A2107" t="str">
        <f>B2068</f>
        <v>heat, residential, by conversion of hydrogen using fuel cell, PEM, allocated by exergy, transported by pipeline, produced by Electrolysis, Alkaline using water and electricity from Solar PV (CH)</v>
      </c>
      <c r="B2107" s="45">
        <v>1</v>
      </c>
      <c r="C2107" t="str">
        <f>B2074</f>
        <v>megajoule</v>
      </c>
      <c r="E2107" t="str">
        <f>B2071</f>
        <v>CH</v>
      </c>
      <c r="F2107" t="s">
        <v>62</v>
      </c>
      <c r="G2107" t="str">
        <f>B2073</f>
        <v>heat, from residential heating system</v>
      </c>
      <c r="K2107" t="str">
        <f>B2068</f>
        <v>heat, residential, by conversion of hydrogen using fuel cell, PEM, allocated by exergy, transported by pipeline, produced by Electrolysis, Alkaline using water and electricity from Solar PV (CH)</v>
      </c>
    </row>
    <row r="2108" spans="1:22" x14ac:dyDescent="0.2">
      <c r="A2108" t="str">
        <f>VLOOKUP(J2108,'dataset mapping'!$A$4:$E$69,2,0)</f>
        <v>fuel cell system assembly, 1 kWe, proton exchange membrane (PEM)</v>
      </c>
      <c r="B2108" s="52">
        <f>(1/(B2097*B2101*B2100*3.6))*B2102</f>
        <v>1.0213951974556892E-6</v>
      </c>
      <c r="C2108" t="str">
        <f>VLOOKUP(J2108,'dataset mapping'!$A$4:$E$69,5,0)</f>
        <v>unit</v>
      </c>
      <c r="E2108" t="str">
        <f>VLOOKUP(J2108,'dataset mapping'!$A$4:$E$69,4,0)</f>
        <v>GLO</v>
      </c>
      <c r="F2108" t="s">
        <v>86</v>
      </c>
      <c r="G2108" t="str">
        <f>VLOOKUP(J2108,'dataset mapping'!$A$4:$E$69,3,0)</f>
        <v>fuel cell system, 1 kWe, proton exchange membrane (PEM)</v>
      </c>
      <c r="H2108" t="s">
        <v>88</v>
      </c>
      <c r="I2108" t="s">
        <v>272</v>
      </c>
      <c r="J2108" t="s">
        <v>273</v>
      </c>
      <c r="K2108" t="str">
        <f>B2068</f>
        <v>heat, residential, by conversion of hydrogen using fuel cell, PEM, allocated by exergy, transported by pipeline, produced by Electrolysis, Alkaline using water and electricity from Solar PV (CH)</v>
      </c>
      <c r="L2108">
        <f>IF(OR(B2108&lt;0,B2108=0),1,2)</f>
        <v>2</v>
      </c>
      <c r="M2108">
        <f>IF(L2108=2,LN(B2108),"")</f>
        <v>-13.794341024667077</v>
      </c>
      <c r="N2108">
        <v>1</v>
      </c>
      <c r="O2108" s="15">
        <v>1.2</v>
      </c>
      <c r="P2108">
        <v>1</v>
      </c>
      <c r="Q2108">
        <v>1.01</v>
      </c>
      <c r="R2108">
        <v>1.2</v>
      </c>
      <c r="S2108">
        <v>1.2</v>
      </c>
      <c r="T2108">
        <v>3</v>
      </c>
      <c r="U2108">
        <f>LN(SQRT(EXP(
SQRT(
+POWER(LN(N2108),2)
+POWER(LN(O2108),2)
+POWER(LN(P2108),2)
+POWER(LN(Q2108),2)
+POWER(LN(R2108),2)
+POWER(LN(S2108),2)
+POWER(LN(T2108),2)
)
)))</f>
        <v>0.57157051623399524</v>
      </c>
    </row>
    <row r="2109" spans="1:22" x14ac:dyDescent="0.2">
      <c r="A2109" s="45" t="str">
        <f>"hydrogen supply, transported by "&amp;B2082&amp;", produced by "&amp;B2086&amp;" using "&amp;B2087&amp;" from "&amp;B2088</f>
        <v>hydrogen supply, transported by pipeline, produced by Electrolysis, Alkaline using water and electricity from Solar PV (CH)</v>
      </c>
      <c r="B2109" s="53">
        <f>(B2107/B2091)/B2090*B2102</f>
        <v>2.3223301331624095E-3</v>
      </c>
      <c r="C2109" t="str">
        <f>VLOOKUP(J2109,'dataset mapping'!$A$4:$E$69,5,0)</f>
        <v>kilogram</v>
      </c>
      <c r="E2109" t="str">
        <f>VLOOKUP(J2109,'dataset mapping'!$A$4:$E$69,4,0)</f>
        <v>CH</v>
      </c>
      <c r="F2109" t="s">
        <v>86</v>
      </c>
      <c r="G2109" t="str">
        <f>"hydrogen, gaseous, from "&amp;B2082</f>
        <v>hydrogen, gaseous, from pipeline</v>
      </c>
      <c r="H2109" t="s">
        <v>76</v>
      </c>
      <c r="I2109" t="s">
        <v>1054</v>
      </c>
      <c r="J2109" t="s">
        <v>291</v>
      </c>
      <c r="K2109" t="str">
        <f>B2068</f>
        <v>heat, residential, by conversion of hydrogen using fuel cell, PEM, allocated by exergy, transported by pipeline, produced by Electrolysis, Alkaline using water and electricity from Solar PV (CH)</v>
      </c>
      <c r="L2109">
        <f>IF(OR(B2109&lt;0,B2109=0),1,2)</f>
        <v>2</v>
      </c>
      <c r="M2109">
        <f>IF(L2109=2,LN(B2109),"")</f>
        <v>-6.0651842296013152</v>
      </c>
      <c r="N2109">
        <v>1</v>
      </c>
      <c r="O2109" s="15">
        <v>1.2</v>
      </c>
      <c r="P2109">
        <v>1</v>
      </c>
      <c r="Q2109">
        <v>1.01</v>
      </c>
      <c r="R2109">
        <v>1.2</v>
      </c>
      <c r="S2109">
        <v>1.2</v>
      </c>
      <c r="T2109">
        <v>1.05</v>
      </c>
      <c r="U2109">
        <f>LN(SQRT(EXP(
SQRT(
+POWER(LN(N2109),2)
+POWER(LN(O2109),2)
+POWER(LN(P2109),2)
+POWER(LN(Q2109),2)
+POWER(LN(R2109),2)
+POWER(LN(S2109),2)
+POWER(LN(T2109),2)
)
)))</f>
        <v>0.15984597228197622</v>
      </c>
    </row>
    <row r="2110" spans="1:22" x14ac:dyDescent="0.2">
      <c r="A2110" t="s">
        <v>134</v>
      </c>
      <c r="B2110" s="53">
        <f>B2109*9</f>
        <v>2.0900971198461685E-2</v>
      </c>
      <c r="C2110" t="s">
        <v>56</v>
      </c>
      <c r="D2110" t="s">
        <v>100</v>
      </c>
      <c r="F2110" t="s">
        <v>99</v>
      </c>
      <c r="H2110" t="s">
        <v>131</v>
      </c>
      <c r="I2110" t="s">
        <v>1057</v>
      </c>
      <c r="K2110" t="str">
        <f>B2068</f>
        <v>heat, residential, by conversion of hydrogen using fuel cell, PEM, allocated by exergy, transported by pipeline, produced by Electrolysis, Alkaline using water and electricity from Solar PV (CH)</v>
      </c>
      <c r="L2110">
        <f>IF(OR(B2110&lt;0,B2110=0),1,2)</f>
        <v>2</v>
      </c>
      <c r="M2110">
        <f>IF(L2110=2,LN(B2110),"")</f>
        <v>-3.8679596522650961</v>
      </c>
      <c r="N2110">
        <v>1</v>
      </c>
      <c r="O2110" s="15">
        <v>1.2</v>
      </c>
      <c r="P2110">
        <v>1</v>
      </c>
      <c r="Q2110">
        <v>1.01</v>
      </c>
      <c r="R2110">
        <v>1.2</v>
      </c>
      <c r="S2110">
        <v>1.2</v>
      </c>
      <c r="T2110">
        <v>1.05</v>
      </c>
      <c r="U2110">
        <f>LN(SQRT(EXP(
SQRT(
+POWER(LN(N2110),2)
+POWER(LN(O2110),2)
+POWER(LN(P2110),2)
+POWER(LN(Q2110),2)
+POWER(LN(R2110),2)
+POWER(LN(S2110),2)
+POWER(LN(T2110),2)
)
)))</f>
        <v>0.15984597228197622</v>
      </c>
    </row>
    <row r="2112" spans="1:22" x14ac:dyDescent="0.2">
      <c r="A2112" s="2" t="s">
        <v>50</v>
      </c>
      <c r="B2112" s="44" t="str">
        <f>IF(B2118="megajoule","heat","electricity")&amp;", residential, by "&amp;B2123&amp;" of "&amp;B2122&amp;" using "&amp;B2124&amp;IF(B2125&lt;&gt;0,", allocated by "&amp;B2125,"")&amp;", transported by "&amp;B2126&amp;", produced by "&amp;B2130&amp;" using "&amp;B2131&amp;" from "&amp;B2132</f>
        <v>heat, residential, by conversion of hydrogen using fuel cell, SOFC, allocated by exergy, transported by pipeline, produced by Electrolysis, Alkaline using water and electricity from Solar PV (CH)</v>
      </c>
    </row>
    <row r="2113" spans="1:2" x14ac:dyDescent="0.2">
      <c r="A2113" t="s">
        <v>51</v>
      </c>
      <c r="B2113" s="45" t="str">
        <f>"This dataset represents the supply of 1 "&amp;IF(B2118="megajoule","megajoule of heat","kilowatt hour of electricity")&amp;" in a residence, by "&amp;B2122&amp;" "&amp;B2123&amp;" in a "&amp;B2124&amp;". "&amp;" The hydrogen is transported by "&amp;B2126&amp;" over "&amp;B2127&amp;" km from regional storage. "&amp;" The "&amp;B2122&amp;" is produced by  "&amp;B2130&amp;", with "&amp;B2131&amp;" from "&amp;B2132&amp;" as feedstock. "&amp;A2134&amp;": "&amp;(B2134*100)&amp;"%. "&amp;A2135&amp;": "&amp;B2135&amp;". "&amp;A2136&amp;": "&amp;B2136&amp;". "&amp;A2137&amp;": "&amp;(B2137*100)&amp;"%. "&amp;A2138&amp;": "&amp;(B2138*100)&amp;"%. "&amp;A2139&amp;": "&amp;(B2139*100)&amp;"%. "&amp;A2140&amp;": "&amp;B2140&amp;". "&amp;A2141&amp;": "&amp;B2141&amp;". "&amp;A2142&amp;": "&amp;(B2142*100)&amp;"%. "&amp;A2143&amp;": "&amp;B2143&amp;". "&amp;A2144&amp;": "&amp;B2144&amp;". "&amp;A2145&amp;": "&amp;B2145&amp;". "&amp;A2146&amp;": "&amp;B2146&amp;".  For more information, refer to: "&amp;B2114</f>
        <v>This dataset represents the supply of 1 megajoule of heat in a residence, by hydrogen conversion in a fuel cell, SOFC.  The hydrogen is transported by pipeline over 500 km from regional storage.  The hydrogen is produced by  Electrolysis, Alkaline,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2114" spans="1:2" x14ac:dyDescent="0.2">
      <c r="A2114" t="s">
        <v>63</v>
      </c>
      <c r="B2114" s="45" t="s">
        <v>1223</v>
      </c>
    </row>
    <row r="2115" spans="1:2" x14ac:dyDescent="0.2">
      <c r="A2115" t="s">
        <v>52</v>
      </c>
      <c r="B2115" s="45" t="s">
        <v>64</v>
      </c>
    </row>
    <row r="2116" spans="1:2" x14ac:dyDescent="0.2">
      <c r="A2116" t="s">
        <v>48</v>
      </c>
      <c r="B2116" s="45">
        <v>28</v>
      </c>
    </row>
    <row r="2117" spans="1:2" x14ac:dyDescent="0.2">
      <c r="A2117" t="s">
        <v>54</v>
      </c>
      <c r="B2117" s="45" t="str">
        <f>INDEX(overview!$B$4:$R$338,MATCH('hydrogen - electrolysis'!B2116,overview!$A$4:$A$338,0),MATCH('hydrogen - electrolysis'!A2117,overview!$B$3:$R$3,0))</f>
        <v>heat, from residential heating system</v>
      </c>
    </row>
    <row r="2118" spans="1:2" x14ac:dyDescent="0.2">
      <c r="A2118" t="s">
        <v>55</v>
      </c>
      <c r="B2118" s="45" t="str">
        <f>INDEX(overview!$B$4:$R$338,MATCH('hydrogen - electrolysis'!B2116,overview!$A$4:$A$338,0),MATCH('hydrogen - electrolysis'!A2118,overview!$B$3:$R$3,0))</f>
        <v>megajoule</v>
      </c>
    </row>
    <row r="2119" spans="1:2" x14ac:dyDescent="0.2">
      <c r="A2119" t="s">
        <v>0</v>
      </c>
      <c r="B2119" s="45" t="str">
        <f>INDEX(overview!$B$4:$R$338,MATCH('hydrogen - electrolysis'!B2116,overview!$A$4:$A$338,0),MATCH('hydrogen - electrolysis'!A2119,overview!$B$3:$R$3,0))</f>
        <v>Switzerland</v>
      </c>
    </row>
    <row r="2120" spans="1:2" x14ac:dyDescent="0.2">
      <c r="A2120" t="s">
        <v>1</v>
      </c>
      <c r="B2120" s="45">
        <f>INDEX(overview!$B$4:$R$338,MATCH('hydrogen - electrolysis'!B2116,overview!$A$4:$A$338,0),MATCH('hydrogen - electrolysis'!A2120,overview!$B$3:$R$3,0))</f>
        <v>2020</v>
      </c>
    </row>
    <row r="2121" spans="1:2" x14ac:dyDescent="0.2">
      <c r="A2121" t="s">
        <v>2</v>
      </c>
      <c r="B2121" s="45" t="str">
        <f>INDEX(overview!$B$4:$R$338,MATCH('hydrogen - electrolysis'!B2116,overview!$A$4:$A$338,0),MATCH('hydrogen - electrolysis'!A2121,overview!$B$3:$R$3,0))</f>
        <v>1 MJ heat</v>
      </c>
    </row>
    <row r="2122" spans="1:2" x14ac:dyDescent="0.2">
      <c r="A2122" t="s">
        <v>5</v>
      </c>
      <c r="B2122" s="45" t="str">
        <f>INDEX(overview!$B$4:$R$338,MATCH('hydrogen - electrolysis'!B2116,overview!$A$4:$A$338,0),MATCH('hydrogen - electrolysis'!A2122,overview!$B$3:$R$3,0))</f>
        <v>hydrogen</v>
      </c>
    </row>
    <row r="2123" spans="1:2" x14ac:dyDescent="0.2">
      <c r="A2123" t="s">
        <v>3</v>
      </c>
      <c r="B2123" s="45" t="str">
        <f>INDEX(overview!$B$4:$R$338,MATCH('hydrogen - electrolysis'!B2116,overview!$A$4:$A$338,0),MATCH('hydrogen - electrolysis'!A2123,overview!$B$3:$R$3,0))</f>
        <v>conversion</v>
      </c>
    </row>
    <row r="2124" spans="1:2" x14ac:dyDescent="0.2">
      <c r="A2124" t="s">
        <v>6</v>
      </c>
      <c r="B2124" s="45" t="str">
        <f>INDEX(overview!$B$4:$R$338,MATCH('hydrogen - electrolysis'!B2116,overview!$A$4:$A$338,0),MATCH('hydrogen - electrolysis'!A2124,overview!$B$3:$R$3,0))</f>
        <v>fuel cell, SOFC</v>
      </c>
    </row>
    <row r="2125" spans="1:2" x14ac:dyDescent="0.2">
      <c r="A2125" t="s">
        <v>39</v>
      </c>
      <c r="B2125" s="45" t="str">
        <f>INDEX(overview!$B$4:$R$338,MATCH('hydrogen - electrolysis'!B2116,overview!$A$4:$A$338,0),MATCH('hydrogen - electrolysis'!A2125,overview!$B$3:$R$3,0))</f>
        <v>exergy</v>
      </c>
    </row>
    <row r="2126" spans="1:2" x14ac:dyDescent="0.2">
      <c r="A2126" t="s">
        <v>4</v>
      </c>
      <c r="B2126" s="45" t="str">
        <f>INDEX(overview!$B$4:$R$338,MATCH('hydrogen - electrolysis'!B2116,overview!$A$4:$A$338,0),MATCH('hydrogen - electrolysis'!A2126,overview!$B$3:$R$3,0))</f>
        <v>pipeline</v>
      </c>
    </row>
    <row r="2127" spans="1:2" x14ac:dyDescent="0.2">
      <c r="A2127" t="s">
        <v>38</v>
      </c>
      <c r="B2127" s="45">
        <f>INDEX(overview!$B$4:$R$338,MATCH('hydrogen - electrolysis'!B2116,overview!$A$4:$A$338,0),MATCH('hydrogen - electrolysis'!A2127,overview!$B$3:$R$3,0))</f>
        <v>500</v>
      </c>
    </row>
    <row r="2128" spans="1:2" x14ac:dyDescent="0.2">
      <c r="A2128" t="s">
        <v>12</v>
      </c>
      <c r="B2128" s="45" t="str">
        <f>INDEX(overview!$B$4:$R$338,MATCH('hydrogen - electrolysis'!B2116,overview!$A$4:$A$338,0),MATCH('hydrogen - electrolysis'!A2128,overview!$B$3:$R$3,0))</f>
        <v>Pressure vessel for stationary storage</v>
      </c>
    </row>
    <row r="2129" spans="1:4" x14ac:dyDescent="0.2">
      <c r="A2129" t="s">
        <v>34</v>
      </c>
      <c r="B2129" s="45">
        <f>INDEX(overview!$B$4:$R$338,MATCH('hydrogen - electrolysis'!B2116,overview!$A$4:$A$338,0),MATCH('hydrogen - electrolysis'!A2129,overview!$B$3:$R$3,0))</f>
        <v>0</v>
      </c>
    </row>
    <row r="2130" spans="1:4" x14ac:dyDescent="0.2">
      <c r="A2130" t="s">
        <v>15</v>
      </c>
      <c r="B2130" s="45" t="str">
        <f>INDEX(overview!$B$4:$R$338,MATCH('hydrogen - electrolysis'!B2116,overview!$A$4:$A$338,0),MATCH('hydrogen - electrolysis'!A2130,overview!$B$3:$R$3,0))</f>
        <v>Electrolysis, Alkaline</v>
      </c>
    </row>
    <row r="2131" spans="1:4" x14ac:dyDescent="0.2">
      <c r="A2131" t="s">
        <v>14</v>
      </c>
      <c r="B2131" s="45" t="str">
        <f>INDEX(overview!$B$4:$R$338,MATCH('hydrogen - electrolysis'!B2116,overview!$A$4:$A$338,0),MATCH('hydrogen - electrolysis'!A2131,overview!$B$3:$R$3,0))</f>
        <v>water and electricity</v>
      </c>
    </row>
    <row r="2132" spans="1:4" x14ac:dyDescent="0.2">
      <c r="A2132" t="s">
        <v>26</v>
      </c>
      <c r="B2132" s="45" t="str">
        <f>INDEX(overview!$B$4:$R$338,MATCH('hydrogen - electrolysis'!B2116,overview!$A$4:$A$338,0),MATCH('hydrogen - electrolysis'!A2132,overview!$B$3:$R$3,0))</f>
        <v>Solar PV (CH)</v>
      </c>
    </row>
    <row r="2133" spans="1:4" x14ac:dyDescent="0.2">
      <c r="A2133" t="s">
        <v>29</v>
      </c>
      <c r="B2133" s="45">
        <f>INDEX(overview!$B$4:$R$338,MATCH('hydrogen - electrolysis'!B2116,overview!$A$4:$A$338,0),MATCH('hydrogen - electrolysis'!A2133,overview!$B$3:$R$3,0))</f>
        <v>0</v>
      </c>
    </row>
    <row r="2134" spans="1:4" x14ac:dyDescent="0.2">
      <c r="A2134" t="str">
        <f>IF(B2118="megajoule","Heat","Electricity")&amp;" conversion efficiency [% LHV input]"</f>
        <v>Heat conversion efficiency [% LHV input]</v>
      </c>
      <c r="B2134" s="46">
        <f>INDEX(parameters!$D$4:$N$20,MATCH('hydrogen - electrolysis'!B2122&amp;'hydrogen - electrolysis'!B2124,parameters!$A$4:$A$20,0),MATCH('hydrogen - electrolysis'!A2134,parameters!$D$3:$N$3,0))</f>
        <v>0.53</v>
      </c>
    </row>
    <row r="2135" spans="1:4" x14ac:dyDescent="0.2">
      <c r="A2135" t="str">
        <f>IF(B2118="megajoule","LHV [MJ/kg]","LHV [kWh/kg]")</f>
        <v>LHV [MJ/kg]</v>
      </c>
      <c r="B2135" s="47">
        <f>INDEX(parameters!$D$4:$N$20,MATCH('hydrogen - electrolysis'!B2122&amp;'hydrogen - electrolysis'!B2124,parameters!$A$4:$A$20,0),MATCH('hydrogen - electrolysis'!A2135,parameters!$D$3:$N$3,0))</f>
        <v>120</v>
      </c>
    </row>
    <row r="2136" spans="1:4" x14ac:dyDescent="0.2">
      <c r="A2136" t="s">
        <v>41</v>
      </c>
      <c r="B2136" s="48">
        <f>INDEX(parameters!$D$4:$N$20,MATCH('hydrogen - electrolysis'!B2122&amp;'hydrogen - electrolysis'!B2124,parameters!$A$4:$A$20,0),MATCH('hydrogen - electrolysis'!A2136,parameters!$D$3:$N$3,0))</f>
        <v>2.6666666666666665E-2</v>
      </c>
    </row>
    <row r="2137" spans="1:4" x14ac:dyDescent="0.2">
      <c r="A2137" t="s">
        <v>45</v>
      </c>
      <c r="B2137" s="46">
        <f>INDEX(parameters!$D$4:$N$20,MATCH('hydrogen - electrolysis'!B2122&amp;'hydrogen - electrolysis'!B2124,parameters!$A$4:$A$20,0),MATCH('hydrogen - electrolysis'!A2137,parameters!$D$3:$N$3,0))</f>
        <v>0</v>
      </c>
    </row>
    <row r="2138" spans="1:4" x14ac:dyDescent="0.2">
      <c r="A2138" t="s">
        <v>46</v>
      </c>
      <c r="B2138" s="46">
        <f>INDEX(parameters!$D$4:$N$20,MATCH('hydrogen - electrolysis'!B2122&amp;'hydrogen - electrolysis'!B2124,parameters!$A$4:$A$20,0),MATCH('hydrogen - electrolysis'!A2138,parameters!$D$3:$N$3,0))</f>
        <v>1.4999999999999999E-2</v>
      </c>
    </row>
    <row r="2139" spans="1:4" x14ac:dyDescent="0.2">
      <c r="A2139" t="s">
        <v>43</v>
      </c>
      <c r="B2139" s="46">
        <f>INDEX(parameters!$D$4:$N$20,MATCH('hydrogen - electrolysis'!B2122&amp;'hydrogen - electrolysis'!B2124,parameters!$A$4:$A$20,0),MATCH('hydrogen - electrolysis'!A2139,parameters!$D$3:$N$3,0))</f>
        <v>0</v>
      </c>
    </row>
    <row r="2140" spans="1:4" x14ac:dyDescent="0.2">
      <c r="A2140" t="s">
        <v>44</v>
      </c>
      <c r="B2140" s="46">
        <f>INDEX(parameters!$D$4:$N$20,MATCH('hydrogen - electrolysis'!B2122&amp;'hydrogen - electrolysis'!B2124,parameters!$A$4:$A$20,0),MATCH('hydrogen - electrolysis'!A2140,parameters!$D$3:$N$3,0))</f>
        <v>0</v>
      </c>
    </row>
    <row r="2141" spans="1:4" x14ac:dyDescent="0.2">
      <c r="A2141" t="s">
        <v>634</v>
      </c>
      <c r="B2141" s="51">
        <f>INDEX(parameters!$D$4:$Y$20,MATCH('hydrogen - electrolysis'!B2122&amp;'hydrogen - electrolysis'!B2124,parameters!$A$4:$A$20,0),MATCH('hydrogen - electrolysis'!A2141,parameters!$D$3:$Y$3,0))</f>
        <v>225</v>
      </c>
      <c r="D2141" s="8"/>
    </row>
    <row r="2142" spans="1:4" x14ac:dyDescent="0.2">
      <c r="A2142" t="s">
        <v>82</v>
      </c>
      <c r="B2142" s="46">
        <f>IF(B2133&lt;&gt;0,VLOOKUP(B2133,parameters!A1433:B1435,2,0),0)</f>
        <v>0</v>
      </c>
    </row>
    <row r="2143" spans="1:4" x14ac:dyDescent="0.2">
      <c r="A2143" t="s">
        <v>548</v>
      </c>
      <c r="B2143" s="50">
        <f>INDEX(parameters!$D$4:$P$20,MATCH(B2122&amp;B2124,parameters!$A$4:$A$20,0),MATCH(A2143,parameters!$D$3:$P$3,0))</f>
        <v>100</v>
      </c>
    </row>
    <row r="2144" spans="1:4" x14ac:dyDescent="0.2">
      <c r="A2144" t="s">
        <v>547</v>
      </c>
      <c r="B2144" s="51">
        <f>INDEX(parameters!$D$4:$P$20,MATCH(B2122&amp;B2124,parameters!$A$4:$A$20,0),MATCH(A2144,parameters!$D$3:$P$3,0))</f>
        <v>6</v>
      </c>
    </row>
    <row r="2145" spans="1:22" x14ac:dyDescent="0.2">
      <c r="A2145" t="s">
        <v>630</v>
      </c>
      <c r="B2145" s="51">
        <f>INDEX(parameters!$D$4:$T$20,MATCH(B2122&amp;B2124,parameters!$A$4:$A$20,0),MATCH(A2145,parameters!$D$3:$T$3,0))</f>
        <v>4100</v>
      </c>
    </row>
    <row r="2146" spans="1:22" x14ac:dyDescent="0.2">
      <c r="A2146" t="s">
        <v>1005</v>
      </c>
      <c r="B2146" s="50">
        <f>IF(B2118="megajoule",SUMIFS(allocation!$I$4:$I$30,allocation!$B$4:$B$30,B2124,allocation!$C$4:$C$30,B2125),SUMIFS(allocation!$J$4:$J$30,allocation!$B$4:$B$30,B2124,allocation!$C$4:$C$30,B2125))</f>
        <v>0.13587506510399097</v>
      </c>
    </row>
    <row r="2147" spans="1:22" x14ac:dyDescent="0.2">
      <c r="A2147" t="s">
        <v>1050</v>
      </c>
      <c r="B2147" s="51">
        <f>INDEX(parameters!$D$4:$AB$20,MATCH(B2122&amp;B2124,parameters!$A$4:$A$20,0),MATCH(A2147,parameters!$D$3:$AB$3,0))</f>
        <v>1153.1249999999998</v>
      </c>
    </row>
    <row r="2149" spans="1:22" x14ac:dyDescent="0.2">
      <c r="A2149" s="3" t="s">
        <v>57</v>
      </c>
    </row>
    <row r="2150" spans="1:22" x14ac:dyDescent="0.2">
      <c r="A2150" s="2" t="s">
        <v>58</v>
      </c>
      <c r="B2150" s="44" t="s">
        <v>59</v>
      </c>
      <c r="C2150" s="2" t="s">
        <v>55</v>
      </c>
      <c r="D2150" s="2" t="s">
        <v>60</v>
      </c>
      <c r="E2150" s="2" t="s">
        <v>52</v>
      </c>
      <c r="F2150" s="2" t="s">
        <v>61</v>
      </c>
      <c r="G2150" s="2" t="s">
        <v>54</v>
      </c>
      <c r="H2150" s="2" t="s">
        <v>87</v>
      </c>
      <c r="I2150" s="2" t="s">
        <v>51</v>
      </c>
      <c r="J2150" s="2" t="s">
        <v>138</v>
      </c>
      <c r="K2150" s="2" t="s">
        <v>136</v>
      </c>
      <c r="L2150" s="2" t="s">
        <v>221</v>
      </c>
      <c r="M2150" s="2" t="s">
        <v>379</v>
      </c>
      <c r="N2150" s="2" t="s">
        <v>1059</v>
      </c>
      <c r="O2150" s="2" t="s">
        <v>1060</v>
      </c>
      <c r="P2150" s="2" t="s">
        <v>1061</v>
      </c>
      <c r="Q2150" s="2" t="s">
        <v>1062</v>
      </c>
      <c r="R2150" s="2" t="s">
        <v>1063</v>
      </c>
      <c r="S2150" s="2" t="s">
        <v>1064</v>
      </c>
      <c r="T2150" s="2" t="s">
        <v>1065</v>
      </c>
      <c r="U2150" s="2" t="s">
        <v>380</v>
      </c>
      <c r="V2150" s="2" t="s">
        <v>1128</v>
      </c>
    </row>
    <row r="2151" spans="1:22" x14ac:dyDescent="0.2">
      <c r="A2151" t="str">
        <f>B2112</f>
        <v>heat, residential, by conversion of hydrogen using fuel cell, SOFC, allocated by exergy, transported by pipeline, produced by Electrolysis, Alkaline using water and electricity from Solar PV (CH)</v>
      </c>
      <c r="B2151" s="45">
        <v>1</v>
      </c>
      <c r="C2151" t="str">
        <f>B2118</f>
        <v>megajoule</v>
      </c>
      <c r="E2151" t="str">
        <f>B2115</f>
        <v>CH</v>
      </c>
      <c r="F2151" t="s">
        <v>62</v>
      </c>
      <c r="G2151" t="str">
        <f>B2117</f>
        <v>heat, from residential heating system</v>
      </c>
      <c r="K2151" t="str">
        <f>B2112</f>
        <v>heat, residential, by conversion of hydrogen using fuel cell, SOFC, allocated by exergy, transported by pipeline, produced by Electrolysis, Alkaline using water and electricity from Solar PV (CH)</v>
      </c>
    </row>
    <row r="2152" spans="1:22" x14ac:dyDescent="0.2">
      <c r="A2152" t="str">
        <f>VLOOKUP(J2152,'dataset mapping'!$A$4:$E$69,2,0)</f>
        <v>fuel cell production, stack solid oxide, 125kW electrical, future</v>
      </c>
      <c r="B2152" s="52">
        <f>(1/(B2141*B2145*B2144*3.6))*B2146</f>
        <v>6.8189834941278219E-9</v>
      </c>
      <c r="C2152" t="str">
        <f>VLOOKUP(J2152,'dataset mapping'!$A$4:$E$69,5,0)</f>
        <v>unit</v>
      </c>
      <c r="E2152" t="str">
        <f>VLOOKUP(J2152,'dataset mapping'!$A$4:$E$69,4,0)</f>
        <v>CH</v>
      </c>
      <c r="F2152" t="s">
        <v>86</v>
      </c>
      <c r="G2152" t="str">
        <f>VLOOKUP(J2152,'dataset mapping'!$A$4:$E$69,3,0)</f>
        <v>fuel cell, stack solid oxide, 125kW electrical, future</v>
      </c>
      <c r="H2152" t="s">
        <v>88</v>
      </c>
      <c r="I2152" t="s">
        <v>277</v>
      </c>
      <c r="J2152" t="s">
        <v>274</v>
      </c>
      <c r="K2152" t="str">
        <f>B2112</f>
        <v>heat, residential, by conversion of hydrogen using fuel cell, SOFC, allocated by exergy, transported by pipeline, produced by Electrolysis, Alkaline using water and electricity from Solar PV (CH)</v>
      </c>
      <c r="L2152">
        <f>IF(OR(B2152&lt;0,B2152=0),1,2)</f>
        <v>2</v>
      </c>
      <c r="M2152">
        <f>IF(L2152=2,LN(B2152),"")</f>
        <v>-18.80355542398161</v>
      </c>
      <c r="N2152">
        <v>1</v>
      </c>
      <c r="O2152" s="15">
        <v>1.2</v>
      </c>
      <c r="P2152">
        <v>1</v>
      </c>
      <c r="Q2152">
        <v>1.01</v>
      </c>
      <c r="R2152">
        <v>1.2</v>
      </c>
      <c r="S2152">
        <v>1.2</v>
      </c>
      <c r="T2152">
        <v>3</v>
      </c>
      <c r="U2152">
        <f>LN(SQRT(EXP(
SQRT(
+POWER(LN(N2152),2)
+POWER(LN(O2152),2)
+POWER(LN(P2152),2)
+POWER(LN(Q2152),2)
+POWER(LN(R2152),2)
+POWER(LN(S2152),2)
+POWER(LN(T2152),2)
)
)))</f>
        <v>0.57157051623399524</v>
      </c>
    </row>
    <row r="2153" spans="1:22" x14ac:dyDescent="0.2">
      <c r="A2153" t="s">
        <v>283</v>
      </c>
      <c r="B2153" s="52">
        <f>(1/(B2141*B2145*B2144*3.6))*B2146</f>
        <v>6.8189834941278219E-9</v>
      </c>
      <c r="C2153" t="s">
        <v>55</v>
      </c>
      <c r="E2153" t="s">
        <v>64</v>
      </c>
      <c r="F2153" t="s">
        <v>86</v>
      </c>
      <c r="G2153" t="s">
        <v>284</v>
      </c>
      <c r="H2153" t="s">
        <v>88</v>
      </c>
      <c r="I2153" t="s">
        <v>277</v>
      </c>
      <c r="K2153" t="str">
        <f>B2112</f>
        <v>heat, residential, by conversion of hydrogen using fuel cell, SOFC, allocated by exergy, transported by pipeline, produced by Electrolysis, Alkaline using water and electricity from Solar PV (CH)</v>
      </c>
      <c r="L2153">
        <f>IF(OR(B2153&lt;0,B2153=0),1,2)</f>
        <v>2</v>
      </c>
      <c r="M2153">
        <f>IF(L2153=2,LN(B2153),"")</f>
        <v>-18.80355542398161</v>
      </c>
      <c r="N2153">
        <v>1</v>
      </c>
      <c r="O2153" s="15">
        <v>1.2</v>
      </c>
      <c r="P2153">
        <v>1</v>
      </c>
      <c r="Q2153">
        <v>1.01</v>
      </c>
      <c r="R2153">
        <v>1.2</v>
      </c>
      <c r="S2153">
        <v>1.2</v>
      </c>
      <c r="T2153">
        <v>3</v>
      </c>
      <c r="U2153">
        <f>LN(SQRT(EXP(
SQRT(
+POWER(LN(N2153),2)
+POWER(LN(O2153),2)
+POWER(LN(P2153),2)
+POWER(LN(Q2153),2)
+POWER(LN(R2153),2)
+POWER(LN(S2153),2)
+POWER(LN(T2153),2)
)
)))</f>
        <v>0.57157051623399524</v>
      </c>
    </row>
    <row r="2154" spans="1:22" x14ac:dyDescent="0.2">
      <c r="A2154" t="s">
        <v>288</v>
      </c>
      <c r="B2154" s="52">
        <f>0.000024*B2146</f>
        <v>3.2610015624957834E-6</v>
      </c>
      <c r="C2154" t="s">
        <v>56</v>
      </c>
      <c r="E2154" t="s">
        <v>64</v>
      </c>
      <c r="F2154" t="s">
        <v>86</v>
      </c>
      <c r="G2154" t="s">
        <v>287</v>
      </c>
      <c r="H2154" t="s">
        <v>88</v>
      </c>
      <c r="K2154" t="str">
        <f>B2112</f>
        <v>heat, residential, by conversion of hydrogen using fuel cell, SOFC, allocated by exergy, transported by pipeline, produced by Electrolysis, Alkaline using water and electricity from Solar PV (CH)</v>
      </c>
      <c r="L2154">
        <f>IF(OR(B2154&lt;0,B2154=0),1,2)</f>
        <v>2</v>
      </c>
      <c r="M2154">
        <f>IF(L2154=2,LN(B2154),"")</f>
        <v>-12.633476182011</v>
      </c>
      <c r="N2154">
        <v>1</v>
      </c>
      <c r="O2154" s="15">
        <v>1.2</v>
      </c>
      <c r="P2154">
        <v>1</v>
      </c>
      <c r="Q2154">
        <v>1.01</v>
      </c>
      <c r="R2154">
        <v>1.2</v>
      </c>
      <c r="S2154">
        <v>1.2</v>
      </c>
      <c r="T2154">
        <v>1.05</v>
      </c>
      <c r="U2154">
        <f>LN(SQRT(EXP(
SQRT(
+POWER(LN(N2154),2)
+POWER(LN(O2154),2)
+POWER(LN(P2154),2)
+POWER(LN(Q2154),2)
+POWER(LN(R2154),2)
+POWER(LN(S2154),2)
+POWER(LN(T2154),2)
)
)))</f>
        <v>0.15984597228197622</v>
      </c>
    </row>
    <row r="2155" spans="1:22" x14ac:dyDescent="0.2">
      <c r="A2155" s="45" t="str">
        <f>"hydrogen supply, transported by "&amp;B2126&amp;", produced by "&amp;B2130&amp;" using "&amp;B2131&amp;" from "&amp;B2132</f>
        <v>hydrogen supply, transported by pipeline, produced by Electrolysis, Alkaline using water and electricity from Solar PV (CH)</v>
      </c>
      <c r="B2155" s="53">
        <f>(B2151/B2135)/B2134*B2146</f>
        <v>2.1364003947168392E-3</v>
      </c>
      <c r="C2155" t="str">
        <f>VLOOKUP(J2155,'dataset mapping'!$A$4:$E$69,5,0)</f>
        <v>kilogram</v>
      </c>
      <c r="E2155" t="str">
        <f>VLOOKUP(J2155,'dataset mapping'!$A$4:$E$69,4,0)</f>
        <v>CH</v>
      </c>
      <c r="F2155" t="s">
        <v>86</v>
      </c>
      <c r="G2155" t="str">
        <f>"hydrogen, gaseous, from "&amp;B2126</f>
        <v>hydrogen, gaseous, from pipeline</v>
      </c>
      <c r="H2155" t="s">
        <v>76</v>
      </c>
      <c r="I2155" t="s">
        <v>1054</v>
      </c>
      <c r="J2155" t="s">
        <v>291</v>
      </c>
      <c r="K2155" t="str">
        <f>B2112</f>
        <v>heat, residential, by conversion of hydrogen using fuel cell, SOFC, allocated by exergy, transported by pipeline, produced by Electrolysis, Alkaline using water and electricity from Solar PV (CH)</v>
      </c>
      <c r="L2155">
        <f>IF(OR(B2155&lt;0,B2155=0),1,2)</f>
        <v>2</v>
      </c>
      <c r="M2155">
        <f>IF(L2155=2,LN(B2155),"")</f>
        <v>-6.1486329247407472</v>
      </c>
      <c r="N2155">
        <v>1</v>
      </c>
      <c r="O2155" s="15">
        <v>1.2</v>
      </c>
      <c r="P2155">
        <v>1</v>
      </c>
      <c r="Q2155">
        <v>1.01</v>
      </c>
      <c r="R2155">
        <v>1.2</v>
      </c>
      <c r="S2155">
        <v>1.2</v>
      </c>
      <c r="T2155">
        <v>1.05</v>
      </c>
      <c r="U2155">
        <f>LN(SQRT(EXP(
SQRT(
+POWER(LN(N2155),2)
+POWER(LN(O2155),2)
+POWER(LN(P2155),2)
+POWER(LN(Q2155),2)
+POWER(LN(R2155),2)
+POWER(LN(S2155),2)
+POWER(LN(T2155),2)
)
)))</f>
        <v>0.15984597228197622</v>
      </c>
    </row>
    <row r="2156" spans="1:22" x14ac:dyDescent="0.2">
      <c r="A2156" t="s">
        <v>134</v>
      </c>
      <c r="B2156" s="45">
        <f>B2155*9</f>
        <v>1.9227603552451553E-2</v>
      </c>
      <c r="C2156" t="s">
        <v>56</v>
      </c>
      <c r="D2156" t="s">
        <v>100</v>
      </c>
      <c r="F2156" t="s">
        <v>99</v>
      </c>
      <c r="H2156" t="s">
        <v>131</v>
      </c>
      <c r="I2156" t="s">
        <v>1057</v>
      </c>
      <c r="K2156" t="str">
        <f>B2112</f>
        <v>heat, residential, by conversion of hydrogen using fuel cell, SOFC, allocated by exergy, transported by pipeline, produced by Electrolysis, Alkaline using water and electricity from Solar PV (CH)</v>
      </c>
      <c r="L2156">
        <f>IF(OR(B2156&lt;0,B2156=0),1,2)</f>
        <v>2</v>
      </c>
      <c r="M2156">
        <f>IF(L2156=2,LN(B2156),"")</f>
        <v>-3.9514083474045276</v>
      </c>
      <c r="N2156">
        <v>1</v>
      </c>
      <c r="O2156" s="15">
        <v>1.2</v>
      </c>
      <c r="P2156">
        <v>1</v>
      </c>
      <c r="Q2156">
        <v>1.01</v>
      </c>
      <c r="R2156">
        <v>1.2</v>
      </c>
      <c r="S2156">
        <v>1.2</v>
      </c>
      <c r="T2156">
        <v>1.05</v>
      </c>
      <c r="U2156">
        <f>LN(SQRT(EXP(
SQRT(
+POWER(LN(N2156),2)
+POWER(LN(O2156),2)
+POWER(LN(P2156),2)
+POWER(LN(Q2156),2)
+POWER(LN(R2156),2)
+POWER(LN(S2156),2)
+POWER(LN(T2156),2)
)
)))</f>
        <v>0.15984597228197622</v>
      </c>
    </row>
    <row r="2158" spans="1:22" x14ac:dyDescent="0.2">
      <c r="A2158" s="2" t="s">
        <v>50</v>
      </c>
      <c r="B2158" s="44" t="str">
        <f>IF(B2164="megajoule","heat","electricity")&amp;", residential, by "&amp;B2169&amp;" of "&amp;B2168&amp;" using "&amp;B2170&amp;IF(B2171&lt;&gt;0,", allocated by "&amp;B2171,"")&amp;", transported by "&amp;B2172&amp;", produced by "&amp;B2176&amp;" using "&amp;B2177&amp;" from "&amp;B2178</f>
        <v>electricity, residential, by combustion of hydrogen using CHP, allocated by exergy, transported by pipeline, produced by Electrolysis, Alkaline using water and electricity from Solar PV (CH)</v>
      </c>
    </row>
    <row r="2159" spans="1:22" x14ac:dyDescent="0.2">
      <c r="A2159" t="s">
        <v>51</v>
      </c>
      <c r="B2159" s="45" t="str">
        <f>"This dataset represents the supply of 1 "&amp;IF(B2164="megajoule","megajoule of heat","kilowatt hour of electricity")&amp;" in a residence, by "&amp;B2168&amp;" "&amp;B2169&amp;" in a "&amp;B2170&amp;". "&amp;" The hydrogen is transported by "&amp;B2172&amp;" over "&amp;B2173&amp;" km from regional storage. "&amp;" The "&amp;B2168&amp;" is produced by  "&amp;B2176&amp;", with "&amp;B2177&amp;" from "&amp;B2178&amp;" as feedstock. "&amp;A2180&amp;": "&amp;(B2180*100)&amp;"%. "&amp;A2181&amp;": "&amp;B2181&amp;". "&amp;A2182&amp;": "&amp;B2182&amp;". "&amp;A2183&amp;": "&amp;(B2183*100)&amp;"%. "&amp;A2184&amp;": "&amp;(B2184*100)&amp;"%. "&amp;A2185&amp;": "&amp;(B2185*100)&amp;"%. "&amp;A2186&amp;": "&amp;B2186&amp;". "&amp;A2187&amp;": "&amp;B2187&amp;". "&amp;A2188&amp;": "&amp;(B2188*100)&amp;"%. "&amp;A2189&amp;": "&amp;B2189&amp;". "&amp;A2190&amp;": "&amp;B2190&amp;". "&amp;A2191&amp;": "&amp;B2191&amp;". "&amp;A2192&amp;": "&amp;B2192&amp;".  For more information, refer to: "&amp;B2160</f>
        <v>This dataset represents the supply of 1 kilowatt hour of electricity in a residence, by hydrogen combustion in a CHP.  The hydrogen is transported by pipeline over 500 km from regional storage.  The hydrogen is produced by  Electrolysis, Alkaline,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2160" spans="1:22" x14ac:dyDescent="0.2">
      <c r="A2160" t="s">
        <v>63</v>
      </c>
      <c r="B2160" s="45" t="s">
        <v>1223</v>
      </c>
    </row>
    <row r="2161" spans="1:2" x14ac:dyDescent="0.2">
      <c r="A2161" t="s">
        <v>52</v>
      </c>
      <c r="B2161" s="45" t="s">
        <v>64</v>
      </c>
    </row>
    <row r="2162" spans="1:2" x14ac:dyDescent="0.2">
      <c r="A2162" t="s">
        <v>48</v>
      </c>
      <c r="B2162" s="45" t="s">
        <v>883</v>
      </c>
    </row>
    <row r="2163" spans="1:2" x14ac:dyDescent="0.2">
      <c r="A2163" t="s">
        <v>54</v>
      </c>
      <c r="B2163" s="45" t="str">
        <f>INDEX(overview!$B$4:$R$338,MATCH('hydrogen - electrolysis'!B2162,overview!$A$4:$A$338,0),MATCH('hydrogen - electrolysis'!A2163,overview!$B$3:$R$3,0))</f>
        <v>electricity, from residential heating system</v>
      </c>
    </row>
    <row r="2164" spans="1:2" x14ac:dyDescent="0.2">
      <c r="A2164" t="s">
        <v>55</v>
      </c>
      <c r="B2164" s="45" t="str">
        <f>INDEX(overview!$B$4:$R$338,MATCH('hydrogen - electrolysis'!B2162,overview!$A$4:$A$338,0),MATCH('hydrogen - electrolysis'!A2164,overview!$B$3:$R$3,0))</f>
        <v>kilowatt hour</v>
      </c>
    </row>
    <row r="2165" spans="1:2" x14ac:dyDescent="0.2">
      <c r="A2165" t="s">
        <v>0</v>
      </c>
      <c r="B2165" s="45" t="str">
        <f>INDEX(overview!$B$4:$R$338,MATCH('hydrogen - electrolysis'!B2162,overview!$A$4:$A$338,0),MATCH('hydrogen - electrolysis'!A2165,overview!$B$3:$R$3,0))</f>
        <v>Switzerland</v>
      </c>
    </row>
    <row r="2166" spans="1:2" x14ac:dyDescent="0.2">
      <c r="A2166" t="s">
        <v>1</v>
      </c>
      <c r="B2166" s="45">
        <f>INDEX(overview!$B$4:$R$338,MATCH('hydrogen - electrolysis'!B2162,overview!$A$4:$A$338,0),MATCH('hydrogen - electrolysis'!A2166,overview!$B$3:$R$3,0))</f>
        <v>2020</v>
      </c>
    </row>
    <row r="2167" spans="1:2" x14ac:dyDescent="0.2">
      <c r="A2167" t="s">
        <v>2</v>
      </c>
      <c r="B2167" s="45" t="str">
        <f>INDEX(overview!$B$4:$R$338,MATCH('hydrogen - electrolysis'!B2162,overview!$A$4:$A$338,0),MATCH('hydrogen - electrolysis'!A2167,overview!$B$3:$R$3,0))</f>
        <v>1 kWh electricity</v>
      </c>
    </row>
    <row r="2168" spans="1:2" x14ac:dyDescent="0.2">
      <c r="A2168" t="s">
        <v>5</v>
      </c>
      <c r="B2168" s="45" t="str">
        <f>INDEX(overview!$B$4:$R$338,MATCH('hydrogen - electrolysis'!B2162,overview!$A$4:$A$338,0),MATCH('hydrogen - electrolysis'!A2168,overview!$B$3:$R$3,0))</f>
        <v>hydrogen</v>
      </c>
    </row>
    <row r="2169" spans="1:2" x14ac:dyDescent="0.2">
      <c r="A2169" t="s">
        <v>3</v>
      </c>
      <c r="B2169" s="45" t="str">
        <f>INDEX(overview!$B$4:$R$338,MATCH('hydrogen - electrolysis'!B2162,overview!$A$4:$A$338,0),MATCH('hydrogen - electrolysis'!A2169,overview!$B$3:$R$3,0))</f>
        <v>combustion</v>
      </c>
    </row>
    <row r="2170" spans="1:2" x14ac:dyDescent="0.2">
      <c r="A2170" t="s">
        <v>6</v>
      </c>
      <c r="B2170" s="45" t="str">
        <f>INDEX(overview!$B$4:$R$338,MATCH('hydrogen - electrolysis'!B2162,overview!$A$4:$A$338,0),MATCH('hydrogen - electrolysis'!A2170,overview!$B$3:$R$3,0))</f>
        <v>CHP</v>
      </c>
    </row>
    <row r="2171" spans="1:2" x14ac:dyDescent="0.2">
      <c r="A2171" t="s">
        <v>39</v>
      </c>
      <c r="B2171" s="45" t="str">
        <f>INDEX(overview!$B$4:$R$338,MATCH('hydrogen - electrolysis'!B2162,overview!$A$4:$A$338,0),MATCH('hydrogen - electrolysis'!A2171,overview!$B$3:$R$3,0))</f>
        <v>exergy</v>
      </c>
    </row>
    <row r="2172" spans="1:2" x14ac:dyDescent="0.2">
      <c r="A2172" t="s">
        <v>4</v>
      </c>
      <c r="B2172" s="45" t="str">
        <f>INDEX(overview!$B$4:$R$338,MATCH('hydrogen - electrolysis'!B2162,overview!$A$4:$A$338,0),MATCH('hydrogen - electrolysis'!A2172,overview!$B$3:$R$3,0))</f>
        <v>pipeline</v>
      </c>
    </row>
    <row r="2173" spans="1:2" x14ac:dyDescent="0.2">
      <c r="A2173" t="s">
        <v>38</v>
      </c>
      <c r="B2173" s="45">
        <f>INDEX(overview!$B$4:$R$338,MATCH('hydrogen - electrolysis'!B2162,overview!$A$4:$A$338,0),MATCH('hydrogen - electrolysis'!A2173,overview!$B$3:$R$3,0))</f>
        <v>500</v>
      </c>
    </row>
    <row r="2174" spans="1:2" x14ac:dyDescent="0.2">
      <c r="A2174" t="s">
        <v>12</v>
      </c>
      <c r="B2174" s="45" t="str">
        <f>INDEX(overview!$B$4:$R$338,MATCH('hydrogen - electrolysis'!B2162,overview!$A$4:$A$338,0),MATCH('hydrogen - electrolysis'!A2174,overview!$B$3:$R$3,0))</f>
        <v>Pressure vessel for stationary storage</v>
      </c>
    </row>
    <row r="2175" spans="1:2" x14ac:dyDescent="0.2">
      <c r="A2175" t="s">
        <v>34</v>
      </c>
      <c r="B2175" s="45">
        <f>INDEX(overview!$B$4:$R$338,MATCH('hydrogen - electrolysis'!B2162,overview!$A$4:$A$338,0),MATCH('hydrogen - electrolysis'!A2175,overview!$B$3:$R$3,0))</f>
        <v>0</v>
      </c>
    </row>
    <row r="2176" spans="1:2" x14ac:dyDescent="0.2">
      <c r="A2176" t="s">
        <v>15</v>
      </c>
      <c r="B2176" s="45" t="str">
        <f>INDEX(overview!$B$4:$R$338,MATCH('hydrogen - electrolysis'!B2162,overview!$A$4:$A$338,0),MATCH('hydrogen - electrolysis'!A2176,overview!$B$3:$R$3,0))</f>
        <v>Electrolysis, Alkaline</v>
      </c>
    </row>
    <row r="2177" spans="1:2" x14ac:dyDescent="0.2">
      <c r="A2177" t="s">
        <v>14</v>
      </c>
      <c r="B2177" s="45" t="str">
        <f>INDEX(overview!$B$4:$R$338,MATCH('hydrogen - electrolysis'!B2162,overview!$A$4:$A$338,0),MATCH('hydrogen - electrolysis'!A2177,overview!$B$3:$R$3,0))</f>
        <v>water and electricity</v>
      </c>
    </row>
    <row r="2178" spans="1:2" x14ac:dyDescent="0.2">
      <c r="A2178" t="s">
        <v>26</v>
      </c>
      <c r="B2178" s="45" t="str">
        <f>INDEX(overview!$B$4:$R$338,MATCH('hydrogen - electrolysis'!B2162,overview!$A$4:$A$338,0),MATCH('hydrogen - electrolysis'!A2178,overview!$B$3:$R$3,0))</f>
        <v>Solar PV (CH)</v>
      </c>
    </row>
    <row r="2179" spans="1:2" x14ac:dyDescent="0.2">
      <c r="A2179" t="s">
        <v>29</v>
      </c>
      <c r="B2179" s="45">
        <f>INDEX(overview!$B$4:$R$338,MATCH('hydrogen - electrolysis'!B2162,overview!$A$4:$A$338,0),MATCH('hydrogen - electrolysis'!A2179,overview!$B$3:$R$3,0))</f>
        <v>0</v>
      </c>
    </row>
    <row r="2180" spans="1:2" x14ac:dyDescent="0.2">
      <c r="A2180" t="str">
        <f>IF(B2164="megajoule","Heat","Electricity")&amp;" conversion efficiency [% LHV input]"</f>
        <v>Electricity conversion efficiency [% LHV input]</v>
      </c>
      <c r="B2180" s="46">
        <f>INDEX(parameters!$D$4:$N$20,MATCH('hydrogen - electrolysis'!B2168&amp;'hydrogen - electrolysis'!B2170,parameters!$A$4:$A$20,0),MATCH('hydrogen - electrolysis'!A2180,parameters!$D$3:$N$3,0))</f>
        <v>0.39400000000000002</v>
      </c>
    </row>
    <row r="2181" spans="1:2" x14ac:dyDescent="0.2">
      <c r="A2181" t="str">
        <f>IF(B2164="megajoule","LHV [MJ/kg]","LHV [kWh/kg]")</f>
        <v>LHV [kWh/kg]</v>
      </c>
      <c r="B2181" s="47">
        <f>INDEX(parameters!$D$4:$N$20,MATCH('hydrogen - electrolysis'!B2168&amp;'hydrogen - electrolysis'!B2170,parameters!$A$4:$A$20,0),MATCH('hydrogen - electrolysis'!A2181,parameters!$D$3:$N$3,0))</f>
        <v>33.333333333333336</v>
      </c>
    </row>
    <row r="2182" spans="1:2" x14ac:dyDescent="0.2">
      <c r="A2182" t="s">
        <v>41</v>
      </c>
      <c r="B2182" s="48">
        <f>INDEX(parameters!$D$4:$N$20,MATCH('hydrogen - electrolysis'!B2168&amp;'hydrogen - electrolysis'!B2170,parameters!$A$4:$A$20,0),MATCH('hydrogen - electrolysis'!A2182,parameters!$D$3:$N$3,0))</f>
        <v>2.6666666666666665E-2</v>
      </c>
    </row>
    <row r="2183" spans="1:2" x14ac:dyDescent="0.2">
      <c r="A2183" t="s">
        <v>45</v>
      </c>
      <c r="B2183" s="46">
        <f>INDEX(parameters!$D$4:$N$20,MATCH('hydrogen - electrolysis'!B2168&amp;'hydrogen - electrolysis'!B2170,parameters!$A$4:$A$20,0),MATCH('hydrogen - electrolysis'!A2183,parameters!$D$3:$N$3,0))</f>
        <v>0</v>
      </c>
    </row>
    <row r="2184" spans="1:2" x14ac:dyDescent="0.2">
      <c r="A2184" t="s">
        <v>46</v>
      </c>
      <c r="B2184" s="46">
        <f>INDEX(parameters!$D$4:$N$20,MATCH('hydrogen - electrolysis'!B2168&amp;'hydrogen - electrolysis'!B2170,parameters!$A$4:$A$20,0),MATCH('hydrogen - electrolysis'!A2184,parameters!$D$3:$N$3,0))</f>
        <v>1.4999999999999999E-2</v>
      </c>
    </row>
    <row r="2185" spans="1:2" x14ac:dyDescent="0.2">
      <c r="A2185" t="s">
        <v>43</v>
      </c>
      <c r="B2185" s="46">
        <f>INDEX(parameters!$D$4:$N$20,MATCH('hydrogen - electrolysis'!B2168&amp;'hydrogen - electrolysis'!B2170,parameters!$A$4:$A$20,0),MATCH('hydrogen - electrolysis'!A2185,parameters!$D$3:$N$3,0))</f>
        <v>0</v>
      </c>
    </row>
    <row r="2186" spans="1:2" x14ac:dyDescent="0.2">
      <c r="A2186" t="s">
        <v>44</v>
      </c>
      <c r="B2186" s="46">
        <f>INDEX(parameters!$D$4:$N$20,MATCH('hydrogen - electrolysis'!B2168&amp;'hydrogen - electrolysis'!B2170,parameters!$A$4:$A$20,0),MATCH('hydrogen - electrolysis'!A2186,parameters!$D$3:$N$3,0))</f>
        <v>0</v>
      </c>
    </row>
    <row r="2187" spans="1:2" x14ac:dyDescent="0.2">
      <c r="A2187" t="s">
        <v>634</v>
      </c>
      <c r="B2187" s="51">
        <f>INDEX(parameters!$D$4:$Y$20,MATCH('hydrogen - electrolysis'!B2168&amp;'hydrogen - electrolysis'!B2170,parameters!$A$4:$A$20,0),MATCH('hydrogen - electrolysis'!A2187,parameters!$D$3:$Y$3,0))</f>
        <v>351.41800246609125</v>
      </c>
    </row>
    <row r="2188" spans="1:2" x14ac:dyDescent="0.2">
      <c r="A2188" t="s">
        <v>82</v>
      </c>
      <c r="B2188" s="46">
        <f>IF(B2179&lt;&gt;0,VLOOKUP(B2179,parameters!A1485:B1487,2,0),0)</f>
        <v>0</v>
      </c>
    </row>
    <row r="2189" spans="1:2" x14ac:dyDescent="0.2">
      <c r="A2189" t="s">
        <v>548</v>
      </c>
      <c r="B2189" s="50">
        <f>INDEX(parameters!$D$4:$P$20,MATCH(B2168&amp;B2170,parameters!$A$4:$A$20,0),MATCH(A2189,parameters!$D$3:$P$3,0))</f>
        <v>125</v>
      </c>
    </row>
    <row r="2190" spans="1:2" x14ac:dyDescent="0.2">
      <c r="A2190" t="s">
        <v>547</v>
      </c>
      <c r="B2190" s="51">
        <f>INDEX(parameters!$D$4:$P$20,MATCH(B2168&amp;B2170,parameters!$A$4:$A$20,0),MATCH(A2190,parameters!$D$3:$P$3,0))</f>
        <v>19.512195121951219</v>
      </c>
    </row>
    <row r="2191" spans="1:2" x14ac:dyDescent="0.2">
      <c r="A2191" t="s">
        <v>630</v>
      </c>
      <c r="B2191" s="51">
        <f>INDEX(parameters!$D$4:$T$20,MATCH(B2168&amp;B2170,parameters!$A$4:$A$20,0),MATCH(A2191,parameters!$D$3:$T$3,0))</f>
        <v>4100</v>
      </c>
    </row>
    <row r="2192" spans="1:2" x14ac:dyDescent="0.2">
      <c r="A2192" t="s">
        <v>1005</v>
      </c>
      <c r="B2192" s="50">
        <f>IF(B2164="megajoule",SUMIFS(allocation!$I$4:$I$30,allocation!$B$4:$B$30,B2170,allocation!$C$4:$C$30,B2171),SUMIFS(allocation!$J$4:$J$30,allocation!$B$4:$B$30,B2170,allocation!$C$4:$C$30,B2171))</f>
        <v>0.87139957772704957</v>
      </c>
    </row>
    <row r="2193" spans="1:22" x14ac:dyDescent="0.2">
      <c r="A2193" t="s">
        <v>1050</v>
      </c>
      <c r="B2193" s="51">
        <f>INDEX(parameters!$D$4:$AB$20,MATCH(B2168&amp;B2170,parameters!$A$4:$A$20,0),MATCH(A2193,parameters!$D$3:$AB$3,0))</f>
        <v>2220.7364520822662</v>
      </c>
    </row>
    <row r="2195" spans="1:22" x14ac:dyDescent="0.2">
      <c r="A2195" s="3" t="s">
        <v>57</v>
      </c>
    </row>
    <row r="2196" spans="1:22" x14ac:dyDescent="0.2">
      <c r="A2196" s="2" t="s">
        <v>58</v>
      </c>
      <c r="B2196" s="44" t="s">
        <v>59</v>
      </c>
      <c r="C2196" s="2" t="s">
        <v>55</v>
      </c>
      <c r="D2196" s="2" t="s">
        <v>60</v>
      </c>
      <c r="E2196" s="2" t="s">
        <v>52</v>
      </c>
      <c r="F2196" s="2" t="s">
        <v>61</v>
      </c>
      <c r="G2196" s="2" t="s">
        <v>54</v>
      </c>
      <c r="H2196" s="2" t="s">
        <v>87</v>
      </c>
      <c r="I2196" s="2" t="s">
        <v>51</v>
      </c>
      <c r="J2196" s="2" t="s">
        <v>138</v>
      </c>
      <c r="K2196" s="2" t="s">
        <v>136</v>
      </c>
      <c r="L2196" s="2" t="s">
        <v>221</v>
      </c>
      <c r="M2196" s="2" t="s">
        <v>379</v>
      </c>
      <c r="N2196" s="2" t="s">
        <v>1059</v>
      </c>
      <c r="O2196" s="2" t="s">
        <v>1060</v>
      </c>
      <c r="P2196" s="2" t="s">
        <v>1061</v>
      </c>
      <c r="Q2196" s="2" t="s">
        <v>1062</v>
      </c>
      <c r="R2196" s="2" t="s">
        <v>1063</v>
      </c>
      <c r="S2196" s="2" t="s">
        <v>1064</v>
      </c>
      <c r="T2196" s="2" t="s">
        <v>1065</v>
      </c>
      <c r="U2196" s="2" t="s">
        <v>380</v>
      </c>
      <c r="V2196" s="2" t="s">
        <v>1128</v>
      </c>
    </row>
    <row r="2197" spans="1:22" x14ac:dyDescent="0.2">
      <c r="A2197" t="str">
        <f>B2158</f>
        <v>electricity, residential, by combustion of hydrogen using CHP, allocated by exergy, transported by pipeline, produced by Electrolysis, Alkaline using water and electricity from Solar PV (CH)</v>
      </c>
      <c r="B2197" s="45">
        <v>1</v>
      </c>
      <c r="C2197" t="str">
        <f>B2164</f>
        <v>kilowatt hour</v>
      </c>
      <c r="E2197" t="str">
        <f>B2161</f>
        <v>CH</v>
      </c>
      <c r="F2197" t="s">
        <v>62</v>
      </c>
      <c r="G2197" t="str">
        <f>B2163</f>
        <v>electricity, from residential heating system</v>
      </c>
      <c r="K2197" t="str">
        <f>B2158</f>
        <v>electricity, residential, by combustion of hydrogen using CHP, allocated by exergy, transported by pipeline, produced by Electrolysis, Alkaline using water and electricity from Solar PV (CH)</v>
      </c>
    </row>
    <row r="2198" spans="1:22" x14ac:dyDescent="0.2">
      <c r="A2198" t="str">
        <f>VLOOKUP(J2198,'dataset mapping'!$A$4:$E$69,2,0)</f>
        <v>heat and power co-generation unit construction, 160kW electrical, common components for heat+electricity</v>
      </c>
      <c r="B2198" s="52">
        <f>(1/(B2187*B2191*B2190))*B2192</f>
        <v>3.0995835856870056E-8</v>
      </c>
      <c r="C2198" t="str">
        <f>VLOOKUP(J2198,'dataset mapping'!$A$4:$E$69,5,0)</f>
        <v>unit</v>
      </c>
      <c r="E2198" t="str">
        <f>VLOOKUP(J2198,'dataset mapping'!$A$4:$E$69,4,0)</f>
        <v>RER</v>
      </c>
      <c r="F2198" t="s">
        <v>86</v>
      </c>
      <c r="G2198" t="str">
        <f>VLOOKUP(J2198,'dataset mapping'!$A$4:$E$69,3,0)</f>
        <v>heat and power co-generation unit, 160kW electrical, common components for heat+electricity</v>
      </c>
      <c r="H2198" t="s">
        <v>88</v>
      </c>
      <c r="J2198" t="s">
        <v>145</v>
      </c>
      <c r="K2198" t="str">
        <f>B2158</f>
        <v>electricity, residential, by combustion of hydrogen using CHP, allocated by exergy, transported by pipeline, produced by Electrolysis, Alkaline using water and electricity from Solar PV (CH)</v>
      </c>
      <c r="L2198">
        <f>IF(OR(B2198&lt;0,B2198=0),1,2)</f>
        <v>2</v>
      </c>
      <c r="M2198">
        <f>IF(L2198=2,LN(B2198),"")</f>
        <v>-17.28941296868171</v>
      </c>
      <c r="N2198">
        <v>1.05</v>
      </c>
      <c r="O2198" s="15">
        <v>1.2</v>
      </c>
      <c r="P2198">
        <v>1</v>
      </c>
      <c r="Q2198">
        <v>1.01</v>
      </c>
      <c r="R2198">
        <v>1.2</v>
      </c>
      <c r="S2198">
        <v>1.2</v>
      </c>
      <c r="T2198">
        <v>3</v>
      </c>
      <c r="U2198">
        <f t="shared" ref="U2198:U2205" si="68">LN(SQRT(EXP(
SQRT(
+POWER(LN(N2198),2)
+POWER(LN(O2198),2)
+POWER(LN(P2198),2)
+POWER(LN(Q2198),2)
+POWER(LN(R2198),2)
+POWER(LN(S2198),2)
+POWER(LN(T2198),2)
)
)))</f>
        <v>0.57209088006881903</v>
      </c>
    </row>
    <row r="2199" spans="1:22" x14ac:dyDescent="0.2">
      <c r="A2199" t="str">
        <f>VLOOKUP(J2199,'dataset mapping'!$A$4:$E$69,2,0)</f>
        <v>heat and power co-generation unit construction, 160kW electrical, components for electricity only</v>
      </c>
      <c r="B2199" s="52">
        <f>(1/(B2187*B2191*B2190))*B2192</f>
        <v>3.0995835856870056E-8</v>
      </c>
      <c r="C2199" t="str">
        <f>VLOOKUP(J2199,'dataset mapping'!$A$4:$E$69,5,0)</f>
        <v>unit</v>
      </c>
      <c r="E2199" t="str">
        <f>VLOOKUP(J2199,'dataset mapping'!$A$4:$E$69,4,0)</f>
        <v>RER</v>
      </c>
      <c r="F2199" t="s">
        <v>86</v>
      </c>
      <c r="G2199" t="str">
        <f>VLOOKUP(J2199,'dataset mapping'!$A$4:$E$69,3,0)</f>
        <v>heat and power co-generation unit, 160kW electrical, components for electricity only</v>
      </c>
      <c r="H2199" t="s">
        <v>88</v>
      </c>
      <c r="J2199" t="s">
        <v>146</v>
      </c>
      <c r="K2199" t="str">
        <f>B2158</f>
        <v>electricity, residential, by combustion of hydrogen using CHP, allocated by exergy, transported by pipeline, produced by Electrolysis, Alkaline using water and electricity from Solar PV (CH)</v>
      </c>
      <c r="L2199">
        <f>IF(OR(B2199&lt;0,B2199=0),1,2)</f>
        <v>2</v>
      </c>
      <c r="M2199">
        <f>IF(L2199=2,LN(B2199),"")</f>
        <v>-17.28941296868171</v>
      </c>
      <c r="N2199">
        <v>1.05</v>
      </c>
      <c r="O2199" s="15">
        <v>1.2</v>
      </c>
      <c r="P2199">
        <v>1</v>
      </c>
      <c r="Q2199">
        <v>1.01</v>
      </c>
      <c r="R2199">
        <v>1.2</v>
      </c>
      <c r="S2199">
        <v>1.2</v>
      </c>
      <c r="T2199">
        <v>3</v>
      </c>
      <c r="U2199">
        <f t="shared" si="68"/>
        <v>0.57209088006881903</v>
      </c>
    </row>
    <row r="2200" spans="1:22" x14ac:dyDescent="0.2">
      <c r="A2200" t="str">
        <f>VLOOKUP(J2200,'dataset mapping'!$A$4:$E$69,2,0)</f>
        <v>heat and power co-generation unit construction, 160kW electrical, components for heat only</v>
      </c>
      <c r="B2200" s="52">
        <f>(1/(B2187*B2191*B2190))*B2192</f>
        <v>3.0995835856870056E-8</v>
      </c>
      <c r="C2200" t="str">
        <f>VLOOKUP(J2200,'dataset mapping'!$A$4:$E$69,5,0)</f>
        <v>unit</v>
      </c>
      <c r="E2200" t="str">
        <f>VLOOKUP(J2200,'dataset mapping'!$A$4:$E$69,4,0)</f>
        <v>RER</v>
      </c>
      <c r="F2200" t="s">
        <v>86</v>
      </c>
      <c r="G2200" t="str">
        <f>VLOOKUP(J2200,'dataset mapping'!$A$4:$E$69,3,0)</f>
        <v>heat and power co-generation unit, 160kW electrical, components for heat only</v>
      </c>
      <c r="H2200" t="s">
        <v>88</v>
      </c>
      <c r="J2200" t="s">
        <v>147</v>
      </c>
      <c r="K2200" t="str">
        <f>B2158</f>
        <v>electricity, residential, by combustion of hydrogen using CHP, allocated by exergy, transported by pipeline, produced by Electrolysis, Alkaline using water and electricity from Solar PV (CH)</v>
      </c>
      <c r="L2200">
        <f>IF(OR(B2200&lt;0,B2200=0),1,2)</f>
        <v>2</v>
      </c>
      <c r="M2200">
        <f>IF(L2200=2,LN(B2200),"")</f>
        <v>-17.28941296868171</v>
      </c>
      <c r="N2200">
        <v>1.05</v>
      </c>
      <c r="O2200" s="15">
        <v>1.2</v>
      </c>
      <c r="P2200">
        <v>1</v>
      </c>
      <c r="Q2200">
        <v>1.01</v>
      </c>
      <c r="R2200">
        <v>1.2</v>
      </c>
      <c r="S2200">
        <v>1.2</v>
      </c>
      <c r="T2200">
        <v>3</v>
      </c>
      <c r="U2200">
        <f t="shared" si="68"/>
        <v>0.57209088006881903</v>
      </c>
    </row>
    <row r="2201" spans="1:22" x14ac:dyDescent="0.2">
      <c r="A2201" t="s">
        <v>156</v>
      </c>
      <c r="B2201" s="52">
        <f>0.00000011366*B2192</f>
        <v>9.9043276004456456E-8</v>
      </c>
      <c r="C2201" t="s">
        <v>56</v>
      </c>
      <c r="E2201" t="s">
        <v>90</v>
      </c>
      <c r="F2201" t="s">
        <v>86</v>
      </c>
      <c r="G2201" t="s">
        <v>154</v>
      </c>
      <c r="H2201" t="s">
        <v>155</v>
      </c>
      <c r="K2201" t="str">
        <f>B2158</f>
        <v>electricity, residential, by combustion of hydrogen using CHP, allocated by exergy, transported by pipeline, produced by Electrolysis, Alkaline using water and electricity from Solar PV (CH)</v>
      </c>
      <c r="L2201">
        <f>IF(OR(B2201&lt;0,B2201=0),1,2)</f>
        <v>2</v>
      </c>
      <c r="M2201">
        <f>IF(L2201=2,LN(B2201),"")</f>
        <v>-16.127708950967754</v>
      </c>
      <c r="N2201">
        <v>1.05</v>
      </c>
      <c r="O2201" s="15">
        <v>1.2</v>
      </c>
      <c r="P2201">
        <v>1</v>
      </c>
      <c r="Q2201">
        <v>1.01</v>
      </c>
      <c r="R2201">
        <v>1.2</v>
      </c>
      <c r="S2201">
        <v>1.2</v>
      </c>
      <c r="T2201">
        <v>1.05</v>
      </c>
      <c r="U2201">
        <f t="shared" si="68"/>
        <v>0.16169679924070957</v>
      </c>
    </row>
    <row r="2202" spans="1:22" x14ac:dyDescent="0.2">
      <c r="A2202" t="s">
        <v>157</v>
      </c>
      <c r="B2202" s="52">
        <f>0.00000011366*B2192*-1</f>
        <v>-9.9043276004456456E-8</v>
      </c>
      <c r="C2202" t="s">
        <v>56</v>
      </c>
      <c r="E2202" t="s">
        <v>64</v>
      </c>
      <c r="F2202" t="s">
        <v>86</v>
      </c>
      <c r="G2202" t="s">
        <v>158</v>
      </c>
      <c r="H2202" t="s">
        <v>155</v>
      </c>
      <c r="K2202" t="str">
        <f>B2158</f>
        <v>electricity, residential, by combustion of hydrogen using CHP, allocated by exergy, transported by pipeline, produced by Electrolysis, Alkaline using water and electricity from Solar PV (CH)</v>
      </c>
      <c r="L2202">
        <v>2</v>
      </c>
      <c r="M2202">
        <f>IF(L2202=2,LN(B2202*-1),"")</f>
        <v>-16.127708950967754</v>
      </c>
      <c r="N2202">
        <v>1.05</v>
      </c>
      <c r="O2202" s="15">
        <v>1.2</v>
      </c>
      <c r="P2202">
        <v>1</v>
      </c>
      <c r="Q2202">
        <v>1.01</v>
      </c>
      <c r="R2202">
        <v>1.2</v>
      </c>
      <c r="S2202">
        <v>1.2</v>
      </c>
      <c r="T2202">
        <v>3</v>
      </c>
      <c r="U2202">
        <f t="shared" si="68"/>
        <v>0.57209088006881903</v>
      </c>
      <c r="V2202" t="b">
        <v>1</v>
      </c>
    </row>
    <row r="2203" spans="1:22" x14ac:dyDescent="0.2">
      <c r="A2203" s="45" t="str">
        <f>"hydrogen supply, transported by "&amp;B2172&amp;", produced by "&amp;B2176&amp;" using "&amp;B2177&amp;" from "&amp;B2178</f>
        <v>hydrogen supply, transported by pipeline, produced by Electrolysis, Alkaline using water and electricity from Solar PV (CH)</v>
      </c>
      <c r="B2203" s="53">
        <f>(B2197/B2181)/B2180*B2192</f>
        <v>6.6350221654343872E-2</v>
      </c>
      <c r="C2203" t="str">
        <f>VLOOKUP(J2203,'dataset mapping'!$A$4:$E$69,5,0)</f>
        <v>kilogram</v>
      </c>
      <c r="E2203" t="str">
        <f>VLOOKUP(J2203,'dataset mapping'!$A$4:$E$69,4,0)</f>
        <v>CH</v>
      </c>
      <c r="F2203" t="s">
        <v>86</v>
      </c>
      <c r="G2203" t="str">
        <f>"hydrogen, gaseous, from "&amp;B812</f>
        <v>hydrogen, gaseous, from pipeline</v>
      </c>
      <c r="H2203" t="s">
        <v>76</v>
      </c>
      <c r="I2203" t="s">
        <v>1054</v>
      </c>
      <c r="J2203" t="s">
        <v>291</v>
      </c>
      <c r="K2203" t="str">
        <f>B2158</f>
        <v>electricity, residential, by combustion of hydrogen using CHP, allocated by exergy, transported by pipeline, produced by Electrolysis, Alkaline using water and electricity from Solar PV (CH)</v>
      </c>
      <c r="L2203">
        <f>IF(OR(B2203&lt;0,B2203=0),1,2)</f>
        <v>2</v>
      </c>
      <c r="M2203">
        <f>IF(L2203=2,LN(B2203),"")</f>
        <v>-2.7128081775260964</v>
      </c>
      <c r="N2203">
        <v>1.05</v>
      </c>
      <c r="O2203" s="15">
        <v>1.2</v>
      </c>
      <c r="P2203">
        <v>1</v>
      </c>
      <c r="Q2203">
        <v>1.01</v>
      </c>
      <c r="R2203">
        <v>1.2</v>
      </c>
      <c r="S2203">
        <v>1.2</v>
      </c>
      <c r="T2203">
        <v>1.05</v>
      </c>
      <c r="U2203">
        <f t="shared" si="68"/>
        <v>0.16169679924070957</v>
      </c>
    </row>
    <row r="2204" spans="1:22" x14ac:dyDescent="0.2">
      <c r="A2204" t="s">
        <v>134</v>
      </c>
      <c r="B2204" s="45">
        <f>B2203*9</f>
        <v>0.59715199488909487</v>
      </c>
      <c r="C2204" t="s">
        <v>56</v>
      </c>
      <c r="D2204" t="s">
        <v>100</v>
      </c>
      <c r="F2204" t="s">
        <v>99</v>
      </c>
      <c r="H2204" t="s">
        <v>131</v>
      </c>
      <c r="I2204" t="s">
        <v>1058</v>
      </c>
      <c r="K2204" t="str">
        <f>B2158</f>
        <v>electricity, residential, by combustion of hydrogen using CHP, allocated by exergy, transported by pipeline, produced by Electrolysis, Alkaline using water and electricity from Solar PV (CH)</v>
      </c>
      <c r="L2204">
        <f>IF(OR(B2204&lt;0,B2204=0),1,2)</f>
        <v>2</v>
      </c>
      <c r="M2204">
        <f>IF(L2204=2,LN(B2204),"")</f>
        <v>-0.51558360018987692</v>
      </c>
      <c r="N2204">
        <v>1.05</v>
      </c>
      <c r="O2204" s="15">
        <v>1.2</v>
      </c>
      <c r="P2204">
        <v>1</v>
      </c>
      <c r="Q2204">
        <v>1.01</v>
      </c>
      <c r="R2204">
        <v>1.2</v>
      </c>
      <c r="S2204">
        <v>1.2</v>
      </c>
      <c r="T2204">
        <v>1.05</v>
      </c>
      <c r="U2204">
        <f t="shared" si="68"/>
        <v>0.16169679924070957</v>
      </c>
    </row>
    <row r="2205" spans="1:22" x14ac:dyDescent="0.2">
      <c r="A2205" t="s">
        <v>135</v>
      </c>
      <c r="B2205" s="45">
        <f>912.5/1000000*B2203</f>
        <v>6.0544577259588785E-5</v>
      </c>
      <c r="C2205" t="s">
        <v>56</v>
      </c>
      <c r="D2205" t="s">
        <v>100</v>
      </c>
      <c r="F2205" t="s">
        <v>99</v>
      </c>
      <c r="H2205" t="s">
        <v>131</v>
      </c>
      <c r="I2205" t="s">
        <v>1217</v>
      </c>
      <c r="K2205" t="str">
        <f>B2158</f>
        <v>electricity, residential, by combustion of hydrogen using CHP, allocated by exergy, transported by pipeline, produced by Electrolysis, Alkaline using water and electricity from Solar PV (CH)</v>
      </c>
      <c r="L2205">
        <f>IF(OR(B2205&lt;0,B2205=0),1,2)</f>
        <v>2</v>
      </c>
      <c r="M2205">
        <f>IF(L2205=2,LN(B2205),"")</f>
        <v>-9.712130650033723</v>
      </c>
      <c r="N2205">
        <v>1.05</v>
      </c>
      <c r="O2205" s="15">
        <v>1.2</v>
      </c>
      <c r="P2205">
        <v>1</v>
      </c>
      <c r="Q2205">
        <v>1.01</v>
      </c>
      <c r="R2205">
        <v>1.2</v>
      </c>
      <c r="S2205">
        <v>1.2</v>
      </c>
      <c r="T2205">
        <v>1.5</v>
      </c>
      <c r="U2205">
        <f t="shared" si="68"/>
        <v>0.25816898211842121</v>
      </c>
    </row>
    <row r="2207" spans="1:22" x14ac:dyDescent="0.2">
      <c r="A2207" s="2" t="s">
        <v>50</v>
      </c>
      <c r="B2207" s="44" t="str">
        <f>IF(B2213="megajoule","heat","electricity")&amp;", residential, by "&amp;B2218&amp;" of "&amp;B2217&amp;" using "&amp;B2219&amp;IF(B2220&lt;&gt;0,", allocated by "&amp;B2220,"")&amp;", transported by "&amp;B2221&amp;", produced by "&amp;B2225&amp;" using "&amp;B2226&amp;" from "&amp;B2227</f>
        <v>electricity, residential, by conversion of hydrogen using fuel cell, PEM, allocated by exergy, transported by pipeline, produced by Electrolysis, Alkaline using water and electricity from Solar PV (CH)</v>
      </c>
    </row>
    <row r="2208" spans="1:22" x14ac:dyDescent="0.2">
      <c r="A2208" t="s">
        <v>51</v>
      </c>
      <c r="B2208" s="45" t="str">
        <f>"This dataset represents the supply of 1 "&amp;IF(B2213="megajoule","megajoule of heat","kilowatt hour of electricity")&amp;" in a residence, by "&amp;B2217&amp;" "&amp;B2218&amp;" in a "&amp;B2219&amp;". "&amp;" The hydrogen is transported by "&amp;B2221&amp;" over "&amp;B2222&amp;" km from regional storage. "&amp;" The "&amp;B2217&amp;" is produced by  "&amp;B2225&amp;", with "&amp;B2226&amp;" from "&amp;B2227&amp;" as feedstock. "&amp;A2229&amp;": "&amp;(B2229*100)&amp;"%. "&amp;A2230&amp;": "&amp;B2230&amp;". "&amp;A2231&amp;": "&amp;B2231&amp;". "&amp;A2232&amp;": "&amp;(B2232*100)&amp;"%. "&amp;A2233&amp;": "&amp;(B2233*100)&amp;"%. "&amp;A2234&amp;": "&amp;(B2234*100)&amp;"%. "&amp;A2235&amp;": "&amp;B2235&amp;". "&amp;A2236&amp;": "&amp;B2236&amp;". "&amp;A2237&amp;": "&amp;(B2237*100)&amp;"%. "&amp;A2238&amp;": "&amp;B2238&amp;". "&amp;A2239&amp;": "&amp;B2239&amp;". "&amp;A2240&amp;": "&amp;B2240&amp;". "&amp;A2241&amp;": "&amp;B2241&amp;".  For more information, refer to: "&amp;B2209</f>
        <v>This dataset represents the supply of 1 kilowatt hour of electricity in a residence, by hydrogen conversion in a fuel cell, PEM.  The hydrogen is transported by pipeline over 500 km from regional storage.  The hydrogen is produced by  Electrolysis, Alkaline, with water and electricity from Solar PV (CH)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2209" spans="1:2" x14ac:dyDescent="0.2">
      <c r="A2209" t="s">
        <v>63</v>
      </c>
      <c r="B2209" s="45" t="s">
        <v>1223</v>
      </c>
    </row>
    <row r="2210" spans="1:2" x14ac:dyDescent="0.2">
      <c r="A2210" t="s">
        <v>52</v>
      </c>
      <c r="B2210" s="45" t="s">
        <v>64</v>
      </c>
    </row>
    <row r="2211" spans="1:2" x14ac:dyDescent="0.2">
      <c r="A2211" t="s">
        <v>48</v>
      </c>
      <c r="B2211" s="45" t="s">
        <v>884</v>
      </c>
    </row>
    <row r="2212" spans="1:2" x14ac:dyDescent="0.2">
      <c r="A2212" t="s">
        <v>54</v>
      </c>
      <c r="B2212" s="45" t="str">
        <f>INDEX(overview!$B$4:$R$338,MATCH('hydrogen - electrolysis'!B2211,overview!$A$4:$A$338,0),MATCH('hydrogen - electrolysis'!A2212,overview!$B$3:$R$3,0))</f>
        <v>electricity, from residential heating system</v>
      </c>
    </row>
    <row r="2213" spans="1:2" x14ac:dyDescent="0.2">
      <c r="A2213" t="s">
        <v>55</v>
      </c>
      <c r="B2213" s="45" t="str">
        <f>INDEX(overview!$B$4:$R$338,MATCH('hydrogen - electrolysis'!B2211,overview!$A$4:$A$338,0),MATCH('hydrogen - electrolysis'!A2213,overview!$B$3:$R$3,0))</f>
        <v>kilowatt hour</v>
      </c>
    </row>
    <row r="2214" spans="1:2" x14ac:dyDescent="0.2">
      <c r="A2214" t="s">
        <v>0</v>
      </c>
      <c r="B2214" s="45" t="str">
        <f>INDEX(overview!$B$4:$R$338,MATCH('hydrogen - electrolysis'!B2211,overview!$A$4:$A$338,0),MATCH('hydrogen - electrolysis'!A2214,overview!$B$3:$R$3,0))</f>
        <v>Switzerland</v>
      </c>
    </row>
    <row r="2215" spans="1:2" x14ac:dyDescent="0.2">
      <c r="A2215" t="s">
        <v>1</v>
      </c>
      <c r="B2215" s="45">
        <f>INDEX(overview!$B$4:$R$338,MATCH('hydrogen - electrolysis'!B2211,overview!$A$4:$A$338,0),MATCH('hydrogen - electrolysis'!A2215,overview!$B$3:$R$3,0))</f>
        <v>2020</v>
      </c>
    </row>
    <row r="2216" spans="1:2" x14ac:dyDescent="0.2">
      <c r="A2216" t="s">
        <v>2</v>
      </c>
      <c r="B2216" s="45" t="str">
        <f>INDEX(overview!$B$4:$R$338,MATCH('hydrogen - electrolysis'!B2211,overview!$A$4:$A$338,0),MATCH('hydrogen - electrolysis'!A2216,overview!$B$3:$R$3,0))</f>
        <v>1 kWh electricity</v>
      </c>
    </row>
    <row r="2217" spans="1:2" x14ac:dyDescent="0.2">
      <c r="A2217" t="s">
        <v>5</v>
      </c>
      <c r="B2217" s="45" t="str">
        <f>INDEX(overview!$B$4:$R$338,MATCH('hydrogen - electrolysis'!B2211,overview!$A$4:$A$338,0),MATCH('hydrogen - electrolysis'!A2217,overview!$B$3:$R$3,0))</f>
        <v>hydrogen</v>
      </c>
    </row>
    <row r="2218" spans="1:2" x14ac:dyDescent="0.2">
      <c r="A2218" t="s">
        <v>3</v>
      </c>
      <c r="B2218" s="45" t="str">
        <f>INDEX(overview!$B$4:$R$338,MATCH('hydrogen - electrolysis'!B2211,overview!$A$4:$A$338,0),MATCH('hydrogen - electrolysis'!A2218,overview!$B$3:$R$3,0))</f>
        <v>conversion</v>
      </c>
    </row>
    <row r="2219" spans="1:2" x14ac:dyDescent="0.2">
      <c r="A2219" t="s">
        <v>6</v>
      </c>
      <c r="B2219" s="45" t="str">
        <f>INDEX(overview!$B$4:$R$338,MATCH('hydrogen - electrolysis'!B2211,overview!$A$4:$A$338,0),MATCH('hydrogen - electrolysis'!A2219,overview!$B$3:$R$3,0))</f>
        <v>fuel cell, PEM</v>
      </c>
    </row>
    <row r="2220" spans="1:2" x14ac:dyDescent="0.2">
      <c r="A2220" t="s">
        <v>39</v>
      </c>
      <c r="B2220" s="45" t="str">
        <f>INDEX(overview!$B$4:$R$338,MATCH('hydrogen - electrolysis'!B2211,overview!$A$4:$A$338,0),MATCH('hydrogen - electrolysis'!A2220,overview!$B$3:$R$3,0))</f>
        <v>exergy</v>
      </c>
    </row>
    <row r="2221" spans="1:2" x14ac:dyDescent="0.2">
      <c r="A2221" t="s">
        <v>4</v>
      </c>
      <c r="B2221" s="45" t="str">
        <f>INDEX(overview!$B$4:$R$338,MATCH('hydrogen - electrolysis'!B2211,overview!$A$4:$A$338,0),MATCH('hydrogen - electrolysis'!A2221,overview!$B$3:$R$3,0))</f>
        <v>pipeline</v>
      </c>
    </row>
    <row r="2222" spans="1:2" x14ac:dyDescent="0.2">
      <c r="A2222" t="s">
        <v>38</v>
      </c>
      <c r="B2222" s="45">
        <f>INDEX(overview!$B$4:$R$338,MATCH('hydrogen - electrolysis'!B2211,overview!$A$4:$A$338,0),MATCH('hydrogen - electrolysis'!A2222,overview!$B$3:$R$3,0))</f>
        <v>500</v>
      </c>
    </row>
    <row r="2223" spans="1:2" x14ac:dyDescent="0.2">
      <c r="A2223" t="s">
        <v>12</v>
      </c>
      <c r="B2223" s="45" t="str">
        <f>INDEX(overview!$B$4:$R$338,MATCH('hydrogen - electrolysis'!B2211,overview!$A$4:$A$338,0),MATCH('hydrogen - electrolysis'!A2223,overview!$B$3:$R$3,0))</f>
        <v>Pressure vessel for stationary storage</v>
      </c>
    </row>
    <row r="2224" spans="1:2" x14ac:dyDescent="0.2">
      <c r="A2224" t="s">
        <v>34</v>
      </c>
      <c r="B2224" s="45">
        <f>INDEX(overview!$B$4:$R$338,MATCH('hydrogen - electrolysis'!B2211,overview!$A$4:$A$338,0),MATCH('hydrogen - electrolysis'!A2224,overview!$B$3:$R$3,0))</f>
        <v>0</v>
      </c>
    </row>
    <row r="2225" spans="1:2" x14ac:dyDescent="0.2">
      <c r="A2225" t="s">
        <v>15</v>
      </c>
      <c r="B2225" s="45" t="str">
        <f>INDEX(overview!$B$4:$R$338,MATCH('hydrogen - electrolysis'!B2211,overview!$A$4:$A$338,0),MATCH('hydrogen - electrolysis'!A2225,overview!$B$3:$R$3,0))</f>
        <v>Electrolysis, Alkaline</v>
      </c>
    </row>
    <row r="2226" spans="1:2" x14ac:dyDescent="0.2">
      <c r="A2226" t="s">
        <v>14</v>
      </c>
      <c r="B2226" s="45" t="str">
        <f>INDEX(overview!$B$4:$R$338,MATCH('hydrogen - electrolysis'!B2211,overview!$A$4:$A$338,0),MATCH('hydrogen - electrolysis'!A2226,overview!$B$3:$R$3,0))</f>
        <v>water and electricity</v>
      </c>
    </row>
    <row r="2227" spans="1:2" x14ac:dyDescent="0.2">
      <c r="A2227" t="s">
        <v>26</v>
      </c>
      <c r="B2227" s="45" t="str">
        <f>INDEX(overview!$B$4:$R$338,MATCH('hydrogen - electrolysis'!B2211,overview!$A$4:$A$338,0),MATCH('hydrogen - electrolysis'!A2227,overview!$B$3:$R$3,0))</f>
        <v>Solar PV (CH)</v>
      </c>
    </row>
    <row r="2228" spans="1:2" x14ac:dyDescent="0.2">
      <c r="A2228" t="s">
        <v>29</v>
      </c>
      <c r="B2228" s="45">
        <f>INDEX(overview!$B$4:$R$338,MATCH('hydrogen - electrolysis'!B2211,overview!$A$4:$A$338,0),MATCH('hydrogen - electrolysis'!A2228,overview!$B$3:$R$3,0))</f>
        <v>0</v>
      </c>
    </row>
    <row r="2229" spans="1:2" x14ac:dyDescent="0.2">
      <c r="A2229" t="str">
        <f>IF(B2213="megajoule","Heat","Electricity")&amp;" conversion efficiency [% LHV input]"</f>
        <v>Electricity conversion efficiency [% LHV input]</v>
      </c>
      <c r="B2229" s="46">
        <f>INDEX(parameters!$D$4:$N$20,MATCH('hydrogen - electrolysis'!B2217&amp;'hydrogen - electrolysis'!B2219,parameters!$A$4:$A$20,0),MATCH('hydrogen - electrolysis'!A2229,parameters!$D$3:$N$3,0))</f>
        <v>0.45</v>
      </c>
    </row>
    <row r="2230" spans="1:2" x14ac:dyDescent="0.2">
      <c r="A2230" t="str">
        <f>IF(B2213="megajoule","LHV [MJ/kg]","LHV [kWh/kg]")</f>
        <v>LHV [kWh/kg]</v>
      </c>
      <c r="B2230" s="47">
        <f>INDEX(parameters!$D$4:$N$20,MATCH('hydrogen - electrolysis'!B2217&amp;'hydrogen - electrolysis'!B2219,parameters!$A$4:$A$20,0),MATCH('hydrogen - electrolysis'!A2230,parameters!$D$3:$N$3,0))</f>
        <v>33.333333333333336</v>
      </c>
    </row>
    <row r="2231" spans="1:2" x14ac:dyDescent="0.2">
      <c r="A2231" t="s">
        <v>41</v>
      </c>
      <c r="B2231" s="48">
        <f>INDEX(parameters!$D$4:$N$20,MATCH('hydrogen - electrolysis'!B2217&amp;'hydrogen - electrolysis'!B2219,parameters!$A$4:$A$20,0),MATCH('hydrogen - electrolysis'!A2231,parameters!$D$3:$N$3,0))</f>
        <v>2.6666666666666665E-2</v>
      </c>
    </row>
    <row r="2232" spans="1:2" x14ac:dyDescent="0.2">
      <c r="A2232" t="s">
        <v>45</v>
      </c>
      <c r="B2232" s="46">
        <f>INDEX(parameters!$D$4:$N$20,MATCH('hydrogen - electrolysis'!B2217&amp;'hydrogen - electrolysis'!B2219,parameters!$A$4:$A$20,0),MATCH('hydrogen - electrolysis'!A2232,parameters!$D$3:$N$3,0))</f>
        <v>0</v>
      </c>
    </row>
    <row r="2233" spans="1:2" x14ac:dyDescent="0.2">
      <c r="A2233" t="s">
        <v>46</v>
      </c>
      <c r="B2233" s="46">
        <f>INDEX(parameters!$D$4:$N$20,MATCH('hydrogen - electrolysis'!B2217&amp;'hydrogen - electrolysis'!B2219,parameters!$A$4:$A$20,0),MATCH('hydrogen - electrolysis'!A2233,parameters!$D$3:$N$3,0))</f>
        <v>1.4999999999999999E-2</v>
      </c>
    </row>
    <row r="2234" spans="1:2" x14ac:dyDescent="0.2">
      <c r="A2234" t="s">
        <v>43</v>
      </c>
      <c r="B2234" s="46">
        <f>INDEX(parameters!$D$4:$N$20,MATCH('hydrogen - electrolysis'!B2217&amp;'hydrogen - electrolysis'!B2219,parameters!$A$4:$A$20,0),MATCH('hydrogen - electrolysis'!A2234,parameters!$D$3:$N$3,0))</f>
        <v>0</v>
      </c>
    </row>
    <row r="2235" spans="1:2" x14ac:dyDescent="0.2">
      <c r="A2235" t="s">
        <v>44</v>
      </c>
      <c r="B2235" s="46">
        <f>INDEX(parameters!$D$4:$N$20,MATCH('hydrogen - electrolysis'!B2217&amp;'hydrogen - electrolysis'!B2219,parameters!$A$4:$A$20,0),MATCH('hydrogen - electrolysis'!A2235,parameters!$D$3:$N$3,0))</f>
        <v>0</v>
      </c>
    </row>
    <row r="2236" spans="1:2" x14ac:dyDescent="0.2">
      <c r="A2236" t="s">
        <v>634</v>
      </c>
      <c r="B2236" s="51">
        <f>INDEX(parameters!$D$4:$Y$20,MATCH('hydrogen - electrolysis'!B2217&amp;'hydrogen - electrolysis'!B2219,parameters!$A$4:$A$20,0),MATCH('hydrogen - electrolysis'!A2236,parameters!$D$3:$Y$3,0))</f>
        <v>1.8947368421052633</v>
      </c>
    </row>
    <row r="2237" spans="1:2" x14ac:dyDescent="0.2">
      <c r="A2237" t="s">
        <v>82</v>
      </c>
      <c r="B2237" s="46">
        <f>IF(B2228&lt;&gt;0,VLOOKUP(B2228,parameters!A1539:B1541,2,0),0)</f>
        <v>0</v>
      </c>
    </row>
    <row r="2238" spans="1:2" x14ac:dyDescent="0.2">
      <c r="A2238" t="s">
        <v>548</v>
      </c>
      <c r="B2238" s="50">
        <f>INDEX(parameters!$D$4:$P$20,MATCH(B2217&amp;B2219,parameters!$A$4:$A$20,0),MATCH(A2238,parameters!$D$3:$P$3,0))</f>
        <v>0.8</v>
      </c>
    </row>
    <row r="2239" spans="1:2" x14ac:dyDescent="0.2">
      <c r="A2239" t="s">
        <v>547</v>
      </c>
      <c r="B2239" s="51">
        <f>INDEX(parameters!$D$4:$P$20,MATCH(B2217&amp;B2219,parameters!$A$4:$A$20,0),MATCH(A2239,parameters!$D$3:$P$3,0))</f>
        <v>4.8780487804878048</v>
      </c>
    </row>
    <row r="2240" spans="1:2" x14ac:dyDescent="0.2">
      <c r="A2240" t="s">
        <v>630</v>
      </c>
      <c r="B2240" s="51">
        <f>INDEX(parameters!$D$4:$T$20,MATCH(B2217&amp;B2219,parameters!$A$4:$A$20,0),MATCH(A2240,parameters!$D$3:$T$3,0))</f>
        <v>4100</v>
      </c>
    </row>
    <row r="2241" spans="1:22" x14ac:dyDescent="0.2">
      <c r="A2241" t="s">
        <v>1005</v>
      </c>
      <c r="B2241" s="50">
        <f>IF(B2213="megajoule",SUMIFS(allocation!$I$4:$I$30,allocation!$B$4:$B$30,B2219,allocation!$C$4:$C$30,B2220),SUMIFS(allocation!$J$4:$J$30,allocation!$B$4:$B$30,B2219,allocation!$C$4:$C$30,B2220))</f>
        <v>0.86066019201025545</v>
      </c>
    </row>
    <row r="2242" spans="1:22" x14ac:dyDescent="0.2">
      <c r="A2242" t="s">
        <v>1050</v>
      </c>
      <c r="B2242" s="51">
        <f>INDEX(parameters!$D$4:$AB$20,MATCH(B2217&amp;B2219,parameters!$A$4:$A$20,0),MATCH(A2242,parameters!$D$3:$AB$3,0))</f>
        <v>10.221606648199446</v>
      </c>
    </row>
    <row r="2244" spans="1:22" x14ac:dyDescent="0.2">
      <c r="A2244" s="3" t="s">
        <v>57</v>
      </c>
    </row>
    <row r="2245" spans="1:22" x14ac:dyDescent="0.2">
      <c r="A2245" s="2" t="s">
        <v>58</v>
      </c>
      <c r="B2245" s="44" t="s">
        <v>59</v>
      </c>
      <c r="C2245" s="2" t="s">
        <v>55</v>
      </c>
      <c r="D2245" s="2" t="s">
        <v>60</v>
      </c>
      <c r="E2245" s="2" t="s">
        <v>52</v>
      </c>
      <c r="F2245" s="2" t="s">
        <v>61</v>
      </c>
      <c r="G2245" s="2" t="s">
        <v>54</v>
      </c>
      <c r="H2245" s="2" t="s">
        <v>87</v>
      </c>
      <c r="I2245" s="2" t="s">
        <v>51</v>
      </c>
      <c r="J2245" s="2" t="s">
        <v>138</v>
      </c>
      <c r="K2245" s="2" t="s">
        <v>136</v>
      </c>
      <c r="L2245" s="2" t="s">
        <v>221</v>
      </c>
      <c r="M2245" s="2" t="s">
        <v>379</v>
      </c>
      <c r="N2245" s="2" t="s">
        <v>1059</v>
      </c>
      <c r="O2245" s="2" t="s">
        <v>1060</v>
      </c>
      <c r="P2245" s="2" t="s">
        <v>1061</v>
      </c>
      <c r="Q2245" s="2" t="s">
        <v>1062</v>
      </c>
      <c r="R2245" s="2" t="s">
        <v>1063</v>
      </c>
      <c r="S2245" s="2" t="s">
        <v>1064</v>
      </c>
      <c r="T2245" s="2" t="s">
        <v>1065</v>
      </c>
      <c r="U2245" s="2" t="s">
        <v>380</v>
      </c>
      <c r="V2245" s="2" t="s">
        <v>1128</v>
      </c>
    </row>
    <row r="2246" spans="1:22" x14ac:dyDescent="0.2">
      <c r="A2246" t="str">
        <f>B2207</f>
        <v>electricity, residential, by conversion of hydrogen using fuel cell, PEM, allocated by exergy, transported by pipeline, produced by Electrolysis, Alkaline using water and electricity from Solar PV (CH)</v>
      </c>
      <c r="B2246" s="45">
        <v>1</v>
      </c>
      <c r="C2246" t="str">
        <f>B2213</f>
        <v>kilowatt hour</v>
      </c>
      <c r="E2246" t="str">
        <f>B2210</f>
        <v>CH</v>
      </c>
      <c r="F2246" t="s">
        <v>62</v>
      </c>
      <c r="G2246" t="str">
        <f>B2212</f>
        <v>electricity, from residential heating system</v>
      </c>
      <c r="K2246" t="str">
        <f>B2207</f>
        <v>electricity, residential, by conversion of hydrogen using fuel cell, PEM, allocated by exergy, transported by pipeline, produced by Electrolysis, Alkaline using water and electricity from Solar PV (CH)</v>
      </c>
    </row>
    <row r="2247" spans="1:22" x14ac:dyDescent="0.2">
      <c r="A2247" t="str">
        <f>VLOOKUP(J2247,'dataset mapping'!$A$4:$E$69,2,0)</f>
        <v>fuel cell system assembly, 1 kWe, proton exchange membrane (PEM)</v>
      </c>
      <c r="B2247" s="52">
        <f>(1/(B2236*B2240*B2239))*B2241</f>
        <v>2.2711866178048405E-5</v>
      </c>
      <c r="C2247" t="str">
        <f>VLOOKUP(J2247,'dataset mapping'!$A$4:$E$69,5,0)</f>
        <v>unit</v>
      </c>
      <c r="E2247" t="str">
        <f>VLOOKUP(J2247,'dataset mapping'!$A$4:$E$69,4,0)</f>
        <v>GLO</v>
      </c>
      <c r="F2247" t="s">
        <v>86</v>
      </c>
      <c r="G2247" t="str">
        <f>VLOOKUP(J2247,'dataset mapping'!$A$4:$E$69,3,0)</f>
        <v>fuel cell system, 1 kWe, proton exchange membrane (PEM)</v>
      </c>
      <c r="H2247" t="s">
        <v>88</v>
      </c>
      <c r="I2247" t="s">
        <v>272</v>
      </c>
      <c r="J2247" t="s">
        <v>273</v>
      </c>
      <c r="K2247" t="str">
        <f>B2207</f>
        <v>electricity, residential, by conversion of hydrogen using fuel cell, PEM, allocated by exergy, transported by pipeline, produced by Electrolysis, Alkaline using water and electricity from Solar PV (CH)</v>
      </c>
      <c r="L2247">
        <f>IF(OR(B2247&lt;0,B2247=0),1,2)</f>
        <v>2</v>
      </c>
      <c r="M2247">
        <f>IF(L2247=2,LN(B2247),"")</f>
        <v>-10.692623030936341</v>
      </c>
      <c r="N2247">
        <v>1</v>
      </c>
      <c r="O2247" s="15">
        <v>1.2</v>
      </c>
      <c r="P2247">
        <v>1</v>
      </c>
      <c r="Q2247">
        <v>1.01</v>
      </c>
      <c r="R2247">
        <v>1.2</v>
      </c>
      <c r="S2247">
        <v>1.2</v>
      </c>
      <c r="T2247">
        <v>3</v>
      </c>
      <c r="U2247">
        <f>LN(SQRT(EXP(
SQRT(
+POWER(LN(N2247),2)
+POWER(LN(O2247),2)
+POWER(LN(P2247),2)
+POWER(LN(Q2247),2)
+POWER(LN(R2247),2)
+POWER(LN(S2247),2)
+POWER(LN(T2247),2)
)
)))</f>
        <v>0.57157051623399524</v>
      </c>
    </row>
    <row r="2248" spans="1:22" x14ac:dyDescent="0.2">
      <c r="A2248" s="45" t="str">
        <f>"hydrogen supply, transported by "&amp;B2221&amp;", produced by "&amp;B2225&amp;" using "&amp;B2226&amp;" from "&amp;B2227</f>
        <v>hydrogen supply, transported by pipeline, produced by Electrolysis, Alkaline using water and electricity from Solar PV (CH)</v>
      </c>
      <c r="B2248" s="53">
        <f>(B2246/B2230)/B2229*B2241</f>
        <v>5.7377346134017029E-2</v>
      </c>
      <c r="C2248" t="str">
        <f>VLOOKUP(J2248,'dataset mapping'!$A$4:$E$69,5,0)</f>
        <v>kilogram</v>
      </c>
      <c r="E2248" t="str">
        <f>VLOOKUP(J2248,'dataset mapping'!$A$4:$E$69,4,0)</f>
        <v>CH</v>
      </c>
      <c r="F2248" t="s">
        <v>86</v>
      </c>
      <c r="G2248" t="str">
        <f>"hydrogen, gaseous, from "&amp;B2221</f>
        <v>hydrogen, gaseous, from pipeline</v>
      </c>
      <c r="H2248" t="s">
        <v>76</v>
      </c>
      <c r="I2248" t="s">
        <v>1054</v>
      </c>
      <c r="J2248" t="s">
        <v>291</v>
      </c>
      <c r="K2248" t="str">
        <f>B2207</f>
        <v>electricity, residential, by conversion of hydrogen using fuel cell, PEM, allocated by exergy, transported by pipeline, produced by Electrolysis, Alkaline using water and electricity from Solar PV (CH)</v>
      </c>
      <c r="L2248">
        <f>IF(OR(B2248&lt;0,B2248=0),1,2)</f>
        <v>2</v>
      </c>
      <c r="M2248">
        <f>IF(L2248=2,LN(B2248),"")</f>
        <v>-2.8581057202127536</v>
      </c>
      <c r="N2248">
        <v>1</v>
      </c>
      <c r="O2248" s="15">
        <v>1.2</v>
      </c>
      <c r="P2248">
        <v>1</v>
      </c>
      <c r="Q2248">
        <v>1.01</v>
      </c>
      <c r="R2248">
        <v>1.2</v>
      </c>
      <c r="S2248">
        <v>1.2</v>
      </c>
      <c r="T2248">
        <v>1.05</v>
      </c>
      <c r="U2248">
        <f>LN(SQRT(EXP(
SQRT(
+POWER(LN(N2248),2)
+POWER(LN(O2248),2)
+POWER(LN(P2248),2)
+POWER(LN(Q2248),2)
+POWER(LN(R2248),2)
+POWER(LN(S2248),2)
+POWER(LN(T2248),2)
)
)))</f>
        <v>0.15984597228197622</v>
      </c>
    </row>
    <row r="2249" spans="1:22" x14ac:dyDescent="0.2">
      <c r="A2249" t="s">
        <v>134</v>
      </c>
      <c r="B2249" s="53">
        <f>B2248*9</f>
        <v>0.51639611520615325</v>
      </c>
      <c r="C2249" t="s">
        <v>56</v>
      </c>
      <c r="D2249" t="s">
        <v>100</v>
      </c>
      <c r="F2249" t="s">
        <v>99</v>
      </c>
      <c r="H2249" t="s">
        <v>131</v>
      </c>
      <c r="I2249" t="s">
        <v>1057</v>
      </c>
      <c r="K2249" t="str">
        <f>B2207</f>
        <v>electricity, residential, by conversion of hydrogen using fuel cell, PEM, allocated by exergy, transported by pipeline, produced by Electrolysis, Alkaline using water and electricity from Solar PV (CH)</v>
      </c>
      <c r="L2249">
        <f>IF(OR(B2249&lt;0,B2249=0),1,2)</f>
        <v>2</v>
      </c>
      <c r="M2249">
        <f>IF(L2249=2,LN(B2249),"")</f>
        <v>-0.6608811428765341</v>
      </c>
      <c r="N2249">
        <v>1</v>
      </c>
      <c r="O2249" s="15">
        <v>1.2</v>
      </c>
      <c r="P2249">
        <v>1</v>
      </c>
      <c r="Q2249">
        <v>1.01</v>
      </c>
      <c r="R2249">
        <v>1.2</v>
      </c>
      <c r="S2249">
        <v>1.2</v>
      </c>
      <c r="T2249">
        <v>1.05</v>
      </c>
      <c r="U2249">
        <f>LN(SQRT(EXP(
SQRT(
+POWER(LN(N2249),2)
+POWER(LN(O2249),2)
+POWER(LN(P2249),2)
+POWER(LN(Q2249),2)
+POWER(LN(R2249),2)
+POWER(LN(S2249),2)
+POWER(LN(T2249),2)
)
)))</f>
        <v>0.15984597228197622</v>
      </c>
    </row>
    <row r="2251" spans="1:22" x14ac:dyDescent="0.2">
      <c r="A2251" s="2" t="s">
        <v>50</v>
      </c>
      <c r="B2251" s="44" t="str">
        <f>IF(B2257="megajoule","heat","electricity")&amp;", residential, by "&amp;B2262&amp;" of "&amp;B2261&amp;" using "&amp;B2263&amp;IF(B2264&lt;&gt;0,", allocated by "&amp;B2264,"")&amp;", transported by "&amp;B2265&amp;", produced by "&amp;B2269&amp;" using "&amp;B2270&amp;" from "&amp;B2271</f>
        <v>electricity, residential, by conversion of hydrogen using fuel cell, SOFC, allocated by exergy, transported by pipeline, produced by Electrolysis, Alkaline using water and electricity from Solar PV (CH)</v>
      </c>
    </row>
    <row r="2252" spans="1:22" x14ac:dyDescent="0.2">
      <c r="A2252" t="s">
        <v>51</v>
      </c>
      <c r="B2252" s="45" t="str">
        <f>"This dataset represents the supply of 1 "&amp;IF(B2257="megajoule","megajoule of heat","kilowatt hour of electricity")&amp;" in a residence, by "&amp;B2261&amp;" "&amp;B2262&amp;" in a "&amp;B2263&amp;". "&amp;" The hydrogen is transported by "&amp;B2265&amp;" over "&amp;B2266&amp;" km from regional storage. "&amp;" The "&amp;B2261&amp;" is produced by  "&amp;B2269&amp;", with "&amp;B2270&amp;" from "&amp;B2271&amp;" as feedstock. "&amp;A2273&amp;": "&amp;(B2273*100)&amp;"%. "&amp;A2274&amp;": "&amp;B2274&amp;". "&amp;A2275&amp;": "&amp;B2275&amp;". "&amp;A2276&amp;": "&amp;(B2276*100)&amp;"%. "&amp;A2277&amp;": "&amp;(B2277*100)&amp;"%. "&amp;A2278&amp;": "&amp;(B2278*100)&amp;"%. "&amp;A2279&amp;": "&amp;B2279&amp;". "&amp;A2280&amp;": "&amp;B2280&amp;". "&amp;A2281&amp;": "&amp;(B2281*100)&amp;"%. "&amp;A2282&amp;": "&amp;B2282&amp;". "&amp;A2283&amp;": "&amp;B2283&amp;". "&amp;A2284&amp;": "&amp;B2284&amp;". "&amp;A2285&amp;": "&amp;B2285&amp;".  For more information, refer to: "&amp;B2253</f>
        <v>This dataset represents the supply of 1 kilowatt hour of electricity in a residence, by hydrogen conversion in a fuel cell, SOFC.  The hydrogen is transported by pipeline over 500 km from regional storage.  The hydrogen is produced by  Electrolysis, Alkaline, with water and electricity from Solar PV (CH)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2253" spans="1:22" x14ac:dyDescent="0.2">
      <c r="A2253" t="s">
        <v>63</v>
      </c>
      <c r="B2253" s="45" t="s">
        <v>1223</v>
      </c>
    </row>
    <row r="2254" spans="1:22" x14ac:dyDescent="0.2">
      <c r="A2254" t="s">
        <v>52</v>
      </c>
      <c r="B2254" s="45" t="s">
        <v>64</v>
      </c>
    </row>
    <row r="2255" spans="1:22" x14ac:dyDescent="0.2">
      <c r="A2255" t="s">
        <v>48</v>
      </c>
      <c r="B2255" s="45" t="s">
        <v>885</v>
      </c>
    </row>
    <row r="2256" spans="1:22" x14ac:dyDescent="0.2">
      <c r="A2256" t="s">
        <v>54</v>
      </c>
      <c r="B2256" s="45" t="str">
        <f>INDEX(overview!$B$4:$R$338,MATCH('hydrogen - electrolysis'!B2255,overview!$A$4:$A$338,0),MATCH('hydrogen - electrolysis'!A2256,overview!$B$3:$R$3,0))</f>
        <v>electricity, from residential heating system</v>
      </c>
    </row>
    <row r="2257" spans="1:2" x14ac:dyDescent="0.2">
      <c r="A2257" t="s">
        <v>55</v>
      </c>
      <c r="B2257" s="45" t="str">
        <f>INDEX(overview!$B$4:$R$338,MATCH('hydrogen - electrolysis'!B2255,overview!$A$4:$A$338,0),MATCH('hydrogen - electrolysis'!A2257,overview!$B$3:$R$3,0))</f>
        <v>kilowatt hour</v>
      </c>
    </row>
    <row r="2258" spans="1:2" x14ac:dyDescent="0.2">
      <c r="A2258" t="s">
        <v>0</v>
      </c>
      <c r="B2258" s="45" t="str">
        <f>INDEX(overview!$B$4:$R$338,MATCH('hydrogen - electrolysis'!B2255,overview!$A$4:$A$338,0),MATCH('hydrogen - electrolysis'!A2258,overview!$B$3:$R$3,0))</f>
        <v>Switzerland</v>
      </c>
    </row>
    <row r="2259" spans="1:2" x14ac:dyDescent="0.2">
      <c r="A2259" t="s">
        <v>1</v>
      </c>
      <c r="B2259" s="45">
        <f>INDEX(overview!$B$4:$R$338,MATCH('hydrogen - electrolysis'!B2255,overview!$A$4:$A$338,0),MATCH('hydrogen - electrolysis'!A2259,overview!$B$3:$R$3,0))</f>
        <v>2020</v>
      </c>
    </row>
    <row r="2260" spans="1:2" x14ac:dyDescent="0.2">
      <c r="A2260" t="s">
        <v>2</v>
      </c>
      <c r="B2260" s="45" t="str">
        <f>INDEX(overview!$B$4:$R$338,MATCH('hydrogen - electrolysis'!B2255,overview!$A$4:$A$338,0),MATCH('hydrogen - electrolysis'!A2260,overview!$B$3:$R$3,0))</f>
        <v>1 kWh electricity</v>
      </c>
    </row>
    <row r="2261" spans="1:2" x14ac:dyDescent="0.2">
      <c r="A2261" t="s">
        <v>5</v>
      </c>
      <c r="B2261" s="45" t="str">
        <f>INDEX(overview!$B$4:$R$338,MATCH('hydrogen - electrolysis'!B2255,overview!$A$4:$A$338,0),MATCH('hydrogen - electrolysis'!A2261,overview!$B$3:$R$3,0))</f>
        <v>hydrogen</v>
      </c>
    </row>
    <row r="2262" spans="1:2" x14ac:dyDescent="0.2">
      <c r="A2262" t="s">
        <v>3</v>
      </c>
      <c r="B2262" s="45" t="str">
        <f>INDEX(overview!$B$4:$R$338,MATCH('hydrogen - electrolysis'!B2255,overview!$A$4:$A$338,0),MATCH('hydrogen - electrolysis'!A2262,overview!$B$3:$R$3,0))</f>
        <v>conversion</v>
      </c>
    </row>
    <row r="2263" spans="1:2" x14ac:dyDescent="0.2">
      <c r="A2263" t="s">
        <v>6</v>
      </c>
      <c r="B2263" s="45" t="str">
        <f>INDEX(overview!$B$4:$R$338,MATCH('hydrogen - electrolysis'!B2255,overview!$A$4:$A$338,0),MATCH('hydrogen - electrolysis'!A2263,overview!$B$3:$R$3,0))</f>
        <v>fuel cell, SOFC</v>
      </c>
    </row>
    <row r="2264" spans="1:2" x14ac:dyDescent="0.2">
      <c r="A2264" t="s">
        <v>39</v>
      </c>
      <c r="B2264" s="45" t="str">
        <f>INDEX(overview!$B$4:$R$338,MATCH('hydrogen - electrolysis'!B2255,overview!$A$4:$A$338,0),MATCH('hydrogen - electrolysis'!A2264,overview!$B$3:$R$3,0))</f>
        <v>exergy</v>
      </c>
    </row>
    <row r="2265" spans="1:2" x14ac:dyDescent="0.2">
      <c r="A2265" t="s">
        <v>4</v>
      </c>
      <c r="B2265" s="45" t="str">
        <f>INDEX(overview!$B$4:$R$338,MATCH('hydrogen - electrolysis'!B2255,overview!$A$4:$A$338,0),MATCH('hydrogen - electrolysis'!A2265,overview!$B$3:$R$3,0))</f>
        <v>pipeline</v>
      </c>
    </row>
    <row r="2266" spans="1:2" x14ac:dyDescent="0.2">
      <c r="A2266" t="s">
        <v>38</v>
      </c>
      <c r="B2266" s="45">
        <f>INDEX(overview!$B$4:$R$338,MATCH('hydrogen - electrolysis'!B2255,overview!$A$4:$A$338,0),MATCH('hydrogen - electrolysis'!A2266,overview!$B$3:$R$3,0))</f>
        <v>500</v>
      </c>
    </row>
    <row r="2267" spans="1:2" x14ac:dyDescent="0.2">
      <c r="A2267" t="s">
        <v>12</v>
      </c>
      <c r="B2267" s="45" t="str">
        <f>INDEX(overview!$B$4:$R$338,MATCH('hydrogen - electrolysis'!B2255,overview!$A$4:$A$338,0),MATCH('hydrogen - electrolysis'!A2267,overview!$B$3:$R$3,0))</f>
        <v>Pressure vessel for stationary storage</v>
      </c>
    </row>
    <row r="2268" spans="1:2" x14ac:dyDescent="0.2">
      <c r="A2268" t="s">
        <v>34</v>
      </c>
      <c r="B2268" s="45">
        <f>INDEX(overview!$B$4:$R$338,MATCH('hydrogen - electrolysis'!B2255,overview!$A$4:$A$338,0),MATCH('hydrogen - electrolysis'!A2268,overview!$B$3:$R$3,0))</f>
        <v>0</v>
      </c>
    </row>
    <row r="2269" spans="1:2" x14ac:dyDescent="0.2">
      <c r="A2269" t="s">
        <v>15</v>
      </c>
      <c r="B2269" s="45" t="str">
        <f>INDEX(overview!$B$4:$R$338,MATCH('hydrogen - electrolysis'!B2255,overview!$A$4:$A$338,0),MATCH('hydrogen - electrolysis'!A2269,overview!$B$3:$R$3,0))</f>
        <v>Electrolysis, Alkaline</v>
      </c>
    </row>
    <row r="2270" spans="1:2" x14ac:dyDescent="0.2">
      <c r="A2270" t="s">
        <v>14</v>
      </c>
      <c r="B2270" s="45" t="str">
        <f>INDEX(overview!$B$4:$R$338,MATCH('hydrogen - electrolysis'!B2255,overview!$A$4:$A$338,0),MATCH('hydrogen - electrolysis'!A2270,overview!$B$3:$R$3,0))</f>
        <v>water and electricity</v>
      </c>
    </row>
    <row r="2271" spans="1:2" x14ac:dyDescent="0.2">
      <c r="A2271" t="s">
        <v>26</v>
      </c>
      <c r="B2271" s="45" t="str">
        <f>INDEX(overview!$B$4:$R$338,MATCH('hydrogen - electrolysis'!B2255,overview!$A$4:$A$338,0),MATCH('hydrogen - electrolysis'!A2271,overview!$B$3:$R$3,0))</f>
        <v>Solar PV (CH)</v>
      </c>
    </row>
    <row r="2272" spans="1:2" x14ac:dyDescent="0.2">
      <c r="A2272" t="s">
        <v>29</v>
      </c>
      <c r="B2272" s="45">
        <f>INDEX(overview!$B$4:$R$338,MATCH('hydrogen - electrolysis'!B2255,overview!$A$4:$A$338,0),MATCH('hydrogen - electrolysis'!A2272,overview!$B$3:$R$3,0))</f>
        <v>0</v>
      </c>
    </row>
    <row r="2273" spans="1:4" x14ac:dyDescent="0.2">
      <c r="A2273" t="str">
        <f>IF(B2257="megajoule","Heat","Electricity")&amp;" conversion efficiency [% LHV input]"</f>
        <v>Electricity conversion efficiency [% LHV input]</v>
      </c>
      <c r="B2273" s="46">
        <f>INDEX(parameters!$D$4:$N$20,MATCH('hydrogen - electrolysis'!B2261&amp;'hydrogen - electrolysis'!B2263,parameters!$A$4:$A$20,0),MATCH('hydrogen - electrolysis'!A2273,parameters!$D$3:$N$3,0))</f>
        <v>0.47</v>
      </c>
    </row>
    <row r="2274" spans="1:4" x14ac:dyDescent="0.2">
      <c r="A2274" t="str">
        <f>IF(B2257="megajoule","LHV [MJ/kg]","LHV [kWh/kg]")</f>
        <v>LHV [kWh/kg]</v>
      </c>
      <c r="B2274" s="47">
        <f>INDEX(parameters!$D$4:$N$20,MATCH('hydrogen - electrolysis'!B2261&amp;'hydrogen - electrolysis'!B2263,parameters!$A$4:$A$20,0),MATCH('hydrogen - electrolysis'!A2274,parameters!$D$3:$N$3,0))</f>
        <v>33.333333333333336</v>
      </c>
    </row>
    <row r="2275" spans="1:4" x14ac:dyDescent="0.2">
      <c r="A2275" t="s">
        <v>41</v>
      </c>
      <c r="B2275" s="48">
        <f>INDEX(parameters!$D$4:$N$20,MATCH('hydrogen - electrolysis'!B2261&amp;'hydrogen - electrolysis'!B2263,parameters!$A$4:$A$20,0),MATCH('hydrogen - electrolysis'!A2275,parameters!$D$3:$N$3,0))</f>
        <v>2.6666666666666665E-2</v>
      </c>
    </row>
    <row r="2276" spans="1:4" x14ac:dyDescent="0.2">
      <c r="A2276" t="s">
        <v>45</v>
      </c>
      <c r="B2276" s="46">
        <f>INDEX(parameters!$D$4:$N$20,MATCH('hydrogen - electrolysis'!B2261&amp;'hydrogen - electrolysis'!B2263,parameters!$A$4:$A$20,0),MATCH('hydrogen - electrolysis'!A2276,parameters!$D$3:$N$3,0))</f>
        <v>0</v>
      </c>
    </row>
    <row r="2277" spans="1:4" x14ac:dyDescent="0.2">
      <c r="A2277" t="s">
        <v>46</v>
      </c>
      <c r="B2277" s="46">
        <f>INDEX(parameters!$D$4:$N$20,MATCH('hydrogen - electrolysis'!B2261&amp;'hydrogen - electrolysis'!B2263,parameters!$A$4:$A$20,0),MATCH('hydrogen - electrolysis'!A2277,parameters!$D$3:$N$3,0))</f>
        <v>1.4999999999999999E-2</v>
      </c>
    </row>
    <row r="2278" spans="1:4" x14ac:dyDescent="0.2">
      <c r="A2278" t="s">
        <v>43</v>
      </c>
      <c r="B2278" s="46">
        <f>INDEX(parameters!$D$4:$N$20,MATCH('hydrogen - electrolysis'!B2261&amp;'hydrogen - electrolysis'!B2263,parameters!$A$4:$A$20,0),MATCH('hydrogen - electrolysis'!A2278,parameters!$D$3:$N$3,0))</f>
        <v>0</v>
      </c>
    </row>
    <row r="2279" spans="1:4" x14ac:dyDescent="0.2">
      <c r="A2279" t="s">
        <v>44</v>
      </c>
      <c r="B2279" s="46">
        <f>INDEX(parameters!$D$4:$N$20,MATCH('hydrogen - electrolysis'!B2261&amp;'hydrogen - electrolysis'!B2263,parameters!$A$4:$A$20,0),MATCH('hydrogen - electrolysis'!A2279,parameters!$D$3:$N$3,0))</f>
        <v>0</v>
      </c>
    </row>
    <row r="2280" spans="1:4" x14ac:dyDescent="0.2">
      <c r="A2280" t="s">
        <v>634</v>
      </c>
      <c r="B2280" s="51">
        <f>INDEX(parameters!$D$4:$Y$20,MATCH('hydrogen - electrolysis'!B2261&amp;'hydrogen - electrolysis'!B2263,parameters!$A$4:$A$20,0),MATCH('hydrogen - electrolysis'!A2280,parameters!$D$3:$Y$3,0))</f>
        <v>225</v>
      </c>
      <c r="D2280" s="8"/>
    </row>
    <row r="2281" spans="1:4" x14ac:dyDescent="0.2">
      <c r="A2281" t="s">
        <v>82</v>
      </c>
      <c r="B2281" s="46">
        <f>IF(B2272&lt;&gt;0,VLOOKUP(B2272,parameters!A1588:B1590,2,0),0)</f>
        <v>0</v>
      </c>
    </row>
    <row r="2282" spans="1:4" x14ac:dyDescent="0.2">
      <c r="A2282" t="s">
        <v>548</v>
      </c>
      <c r="B2282" s="50">
        <f>INDEX(parameters!$D$4:$P$20,MATCH(B2261&amp;B2263,parameters!$A$4:$A$20,0),MATCH(A2282,parameters!$D$3:$P$3,0))</f>
        <v>100</v>
      </c>
    </row>
    <row r="2283" spans="1:4" x14ac:dyDescent="0.2">
      <c r="A2283" t="s">
        <v>547</v>
      </c>
      <c r="B2283" s="51">
        <f>INDEX(parameters!$D$4:$P$20,MATCH(B2261&amp;B2263,parameters!$A$4:$A$20,0),MATCH(A2283,parameters!$D$3:$P$3,0))</f>
        <v>6</v>
      </c>
    </row>
    <row r="2284" spans="1:4" x14ac:dyDescent="0.2">
      <c r="A2284" t="s">
        <v>630</v>
      </c>
      <c r="B2284" s="51">
        <f>INDEX(parameters!$D$4:$T$20,MATCH(B2261&amp;B2263,parameters!$A$4:$A$20,0),MATCH(A2284,parameters!$D$3:$T$3,0))</f>
        <v>4100</v>
      </c>
    </row>
    <row r="2285" spans="1:4" x14ac:dyDescent="0.2">
      <c r="A2285" t="s">
        <v>1005</v>
      </c>
      <c r="B2285" s="50">
        <f>IF(B2257="megajoule",SUMIFS(allocation!$I$4:$I$30,allocation!$B$4:$B$30,B2263,allocation!$C$4:$C$30,B2264),SUMIFS(allocation!$J$4:$J$30,allocation!$B$4:$B$30,B2263,allocation!$C$4:$C$30,B2264))</f>
        <v>0.86412493489600906</v>
      </c>
    </row>
    <row r="2286" spans="1:4" x14ac:dyDescent="0.2">
      <c r="A2286" t="s">
        <v>1050</v>
      </c>
      <c r="B2286" s="51">
        <f>INDEX(parameters!$D$4:$AB$20,MATCH(B2261&amp;B2263,parameters!$A$4:$A$20,0),MATCH(A2286,parameters!$D$3:$AB$3,0))</f>
        <v>1153.1249999999998</v>
      </c>
    </row>
    <row r="2288" spans="1:4" x14ac:dyDescent="0.2">
      <c r="A2288" s="3" t="s">
        <v>57</v>
      </c>
    </row>
    <row r="2289" spans="1:22" x14ac:dyDescent="0.2">
      <c r="A2289" s="2" t="s">
        <v>58</v>
      </c>
      <c r="B2289" s="44" t="s">
        <v>59</v>
      </c>
      <c r="C2289" s="2" t="s">
        <v>55</v>
      </c>
      <c r="D2289" s="2" t="s">
        <v>60</v>
      </c>
      <c r="E2289" s="2" t="s">
        <v>52</v>
      </c>
      <c r="F2289" s="2" t="s">
        <v>61</v>
      </c>
      <c r="G2289" s="2" t="s">
        <v>54</v>
      </c>
      <c r="H2289" s="2" t="s">
        <v>87</v>
      </c>
      <c r="I2289" s="2" t="s">
        <v>51</v>
      </c>
      <c r="J2289" s="2" t="s">
        <v>138</v>
      </c>
      <c r="K2289" s="2" t="s">
        <v>136</v>
      </c>
      <c r="L2289" s="2" t="s">
        <v>221</v>
      </c>
      <c r="M2289" s="2" t="s">
        <v>379</v>
      </c>
      <c r="N2289" s="2" t="s">
        <v>1059</v>
      </c>
      <c r="O2289" s="2" t="s">
        <v>1060</v>
      </c>
      <c r="P2289" s="2" t="s">
        <v>1061</v>
      </c>
      <c r="Q2289" s="2" t="s">
        <v>1062</v>
      </c>
      <c r="R2289" s="2" t="s">
        <v>1063</v>
      </c>
      <c r="S2289" s="2" t="s">
        <v>1064</v>
      </c>
      <c r="T2289" s="2" t="s">
        <v>1065</v>
      </c>
      <c r="U2289" s="2" t="s">
        <v>380</v>
      </c>
      <c r="V2289" s="2" t="s">
        <v>1128</v>
      </c>
    </row>
    <row r="2290" spans="1:22" x14ac:dyDescent="0.2">
      <c r="A2290" t="str">
        <f>B2251</f>
        <v>electricity, residential, by conversion of hydrogen using fuel cell, SOFC, allocated by exergy, transported by pipeline, produced by Electrolysis, Alkaline using water and electricity from Solar PV (CH)</v>
      </c>
      <c r="B2290" s="45">
        <v>1</v>
      </c>
      <c r="C2290" t="str">
        <f>B2257</f>
        <v>kilowatt hour</v>
      </c>
      <c r="E2290" t="str">
        <f>B2254</f>
        <v>CH</v>
      </c>
      <c r="F2290" t="s">
        <v>62</v>
      </c>
      <c r="G2290" t="str">
        <f>B2256</f>
        <v>electricity, from residential heating system</v>
      </c>
      <c r="K2290" t="str">
        <f>B2251</f>
        <v>electricity, residential, by conversion of hydrogen using fuel cell, SOFC, allocated by exergy, transported by pipeline, produced by Electrolysis, Alkaline using water and electricity from Solar PV (CH)</v>
      </c>
    </row>
    <row r="2291" spans="1:22" x14ac:dyDescent="0.2">
      <c r="A2291" t="str">
        <f>VLOOKUP(J2291,'dataset mapping'!$A$4:$E$69,2,0)</f>
        <v>fuel cell production, stack solid oxide, 125kW electrical, future</v>
      </c>
      <c r="B2291" s="52">
        <f>(1/(B2280*B2284*B2283))*B2285</f>
        <v>1.5612013277254003E-7</v>
      </c>
      <c r="C2291" t="str">
        <f>VLOOKUP(J2291,'dataset mapping'!$A$4:$E$69,5,0)</f>
        <v>unit</v>
      </c>
      <c r="E2291" t="str">
        <f>VLOOKUP(J2291,'dataset mapping'!$A$4:$E$69,4,0)</f>
        <v>CH</v>
      </c>
      <c r="F2291" t="s">
        <v>86</v>
      </c>
      <c r="G2291" t="str">
        <f>VLOOKUP(J2291,'dataset mapping'!$A$4:$E$69,3,0)</f>
        <v>fuel cell, stack solid oxide, 125kW electrical, future</v>
      </c>
      <c r="H2291" t="s">
        <v>88</v>
      </c>
      <c r="I2291" t="s">
        <v>277</v>
      </c>
      <c r="J2291" t="s">
        <v>274</v>
      </c>
      <c r="K2291" t="str">
        <f>B2251</f>
        <v>electricity, residential, by conversion of hydrogen using fuel cell, SOFC, allocated by exergy, transported by pipeline, produced by Electrolysis, Alkaline using water and electricity from Solar PV (CH)</v>
      </c>
      <c r="L2291">
        <f>IF(OR(B2291&lt;0,B2291=0),1,2)</f>
        <v>2</v>
      </c>
      <c r="M2291">
        <f>IF(L2291=2,LN(B2291),"")</f>
        <v>-15.672640044182527</v>
      </c>
      <c r="N2291">
        <v>1</v>
      </c>
      <c r="O2291" s="15">
        <v>1.2</v>
      </c>
      <c r="P2291">
        <v>1</v>
      </c>
      <c r="Q2291">
        <v>1.01</v>
      </c>
      <c r="R2291">
        <v>1.2</v>
      </c>
      <c r="S2291">
        <v>1.2</v>
      </c>
      <c r="T2291">
        <v>3</v>
      </c>
      <c r="U2291">
        <f>LN(SQRT(EXP(
SQRT(
+POWER(LN(N2291),2)
+POWER(LN(O2291),2)
+POWER(LN(P2291),2)
+POWER(LN(Q2291),2)
+POWER(LN(R2291),2)
+POWER(LN(S2291),2)
+POWER(LN(T2291),2)
)
)))</f>
        <v>0.57157051623399524</v>
      </c>
    </row>
    <row r="2292" spans="1:22" x14ac:dyDescent="0.2">
      <c r="A2292" t="s">
        <v>283</v>
      </c>
      <c r="B2292" s="52">
        <f>(1/(B2280*B2284*B2283))*B2285</f>
        <v>1.5612013277254003E-7</v>
      </c>
      <c r="C2292" t="s">
        <v>55</v>
      </c>
      <c r="E2292" t="s">
        <v>64</v>
      </c>
      <c r="F2292" t="s">
        <v>86</v>
      </c>
      <c r="G2292" t="s">
        <v>284</v>
      </c>
      <c r="H2292" t="s">
        <v>88</v>
      </c>
      <c r="I2292" t="s">
        <v>277</v>
      </c>
      <c r="K2292" t="str">
        <f>B2251</f>
        <v>electricity, residential, by conversion of hydrogen using fuel cell, SOFC, allocated by exergy, transported by pipeline, produced by Electrolysis, Alkaline using water and electricity from Solar PV (CH)</v>
      </c>
      <c r="L2292">
        <f>IF(OR(B2292&lt;0,B2292=0),1,2)</f>
        <v>2</v>
      </c>
      <c r="M2292">
        <f>IF(L2292=2,LN(B2292),"")</f>
        <v>-15.672640044182527</v>
      </c>
      <c r="N2292">
        <v>1</v>
      </c>
      <c r="O2292" s="15">
        <v>1.2</v>
      </c>
      <c r="P2292">
        <v>1</v>
      </c>
      <c r="Q2292">
        <v>1.01</v>
      </c>
      <c r="R2292">
        <v>1.2</v>
      </c>
      <c r="S2292">
        <v>1.2</v>
      </c>
      <c r="T2292">
        <v>3</v>
      </c>
      <c r="U2292">
        <f>LN(SQRT(EXP(
SQRT(
+POWER(LN(N2292),2)
+POWER(LN(O2292),2)
+POWER(LN(P2292),2)
+POWER(LN(Q2292),2)
+POWER(LN(R2292),2)
+POWER(LN(S2292),2)
+POWER(LN(T2292),2)
)
)))</f>
        <v>0.57157051623399524</v>
      </c>
    </row>
    <row r="2293" spans="1:22" x14ac:dyDescent="0.2">
      <c r="A2293" t="s">
        <v>288</v>
      </c>
      <c r="B2293" s="52">
        <f>0.000024*B2285</f>
        <v>2.0738998437504217E-5</v>
      </c>
      <c r="C2293" t="s">
        <v>56</v>
      </c>
      <c r="E2293" t="s">
        <v>64</v>
      </c>
      <c r="F2293" t="s">
        <v>86</v>
      </c>
      <c r="G2293" t="s">
        <v>287</v>
      </c>
      <c r="H2293" t="s">
        <v>88</v>
      </c>
      <c r="K2293" t="str">
        <f>B2251</f>
        <v>electricity, residential, by conversion of hydrogen using fuel cell, SOFC, allocated by exergy, transported by pipeline, produced by Electrolysis, Alkaline using water and electricity from Solar PV (CH)</v>
      </c>
      <c r="L2293">
        <f>IF(OR(B2293&lt;0,B2293=0),1,2)</f>
        <v>2</v>
      </c>
      <c r="M2293">
        <f>IF(L2293=2,LN(B2293),"")</f>
        <v>-10.783494647673981</v>
      </c>
      <c r="N2293">
        <v>1</v>
      </c>
      <c r="O2293" s="15">
        <v>1.2</v>
      </c>
      <c r="P2293">
        <v>1</v>
      </c>
      <c r="Q2293">
        <v>1.01</v>
      </c>
      <c r="R2293">
        <v>1.2</v>
      </c>
      <c r="S2293">
        <v>1.2</v>
      </c>
      <c r="T2293">
        <v>1.05</v>
      </c>
      <c r="U2293">
        <f>LN(SQRT(EXP(
SQRT(
+POWER(LN(N2293),2)
+POWER(LN(O2293),2)
+POWER(LN(P2293),2)
+POWER(LN(Q2293),2)
+POWER(LN(R2293),2)
+POWER(LN(S2293),2)
+POWER(LN(T2293),2)
)
)))</f>
        <v>0.15984597228197622</v>
      </c>
    </row>
    <row r="2294" spans="1:22" x14ac:dyDescent="0.2">
      <c r="A2294" s="45" t="str">
        <f>"hydrogen supply, transported by "&amp;B2265&amp;", produced by "&amp;B2269&amp;" using "&amp;B2270&amp;" from "&amp;B2271</f>
        <v>hydrogen supply, transported by pipeline, produced by Electrolysis, Alkaline using water and electricity from Solar PV (CH)</v>
      </c>
      <c r="B2294" s="53">
        <f>(B2290/B2274)/B2273*B2285</f>
        <v>5.515691073804313E-2</v>
      </c>
      <c r="C2294" t="str">
        <f>VLOOKUP(J2294,'dataset mapping'!$A$4:$E$69,5,0)</f>
        <v>kilogram</v>
      </c>
      <c r="E2294" t="str">
        <f>VLOOKUP(J2294,'dataset mapping'!$A$4:$E$69,4,0)</f>
        <v>CH</v>
      </c>
      <c r="F2294" t="s">
        <v>86</v>
      </c>
      <c r="G2294" t="str">
        <f>"hydrogen, gaseous, from "&amp;B2265</f>
        <v>hydrogen, gaseous, from pipeline</v>
      </c>
      <c r="H2294" t="s">
        <v>76</v>
      </c>
      <c r="I2294" t="s">
        <v>1054</v>
      </c>
      <c r="J2294" t="s">
        <v>291</v>
      </c>
      <c r="K2294" t="str">
        <f>B2251</f>
        <v>electricity, residential, by conversion of hydrogen using fuel cell, SOFC, allocated by exergy, transported by pipeline, produced by Electrolysis, Alkaline using water and electricity from Solar PV (CH)</v>
      </c>
      <c r="L2294">
        <f>IF(OR(B2294&lt;0,B2294=0),1,2)</f>
        <v>2</v>
      </c>
      <c r="M2294">
        <f>IF(L2294=2,LN(B2294),"")</f>
        <v>-2.8975732330996009</v>
      </c>
      <c r="N2294">
        <v>1</v>
      </c>
      <c r="O2294" s="15">
        <v>1.2</v>
      </c>
      <c r="P2294">
        <v>1</v>
      </c>
      <c r="Q2294">
        <v>1.01</v>
      </c>
      <c r="R2294">
        <v>1.2</v>
      </c>
      <c r="S2294">
        <v>1.2</v>
      </c>
      <c r="T2294">
        <v>1.05</v>
      </c>
      <c r="U2294">
        <f>LN(SQRT(EXP(
SQRT(
+POWER(LN(N2294),2)
+POWER(LN(O2294),2)
+POWER(LN(P2294),2)
+POWER(LN(Q2294),2)
+POWER(LN(R2294),2)
+POWER(LN(S2294),2)
+POWER(LN(T2294),2)
)
)))</f>
        <v>0.15984597228197622</v>
      </c>
    </row>
    <row r="2295" spans="1:22" x14ac:dyDescent="0.2">
      <c r="A2295" t="s">
        <v>134</v>
      </c>
      <c r="B2295" s="45">
        <f>B2294*9</f>
        <v>0.49641219664238817</v>
      </c>
      <c r="C2295" t="s">
        <v>56</v>
      </c>
      <c r="D2295" t="s">
        <v>100</v>
      </c>
      <c r="F2295" t="s">
        <v>99</v>
      </c>
      <c r="H2295" t="s">
        <v>131</v>
      </c>
      <c r="I2295" t="s">
        <v>1057</v>
      </c>
      <c r="K2295" t="str">
        <f>B2251</f>
        <v>electricity, residential, by conversion of hydrogen using fuel cell, SOFC, allocated by exergy, transported by pipeline, produced by Electrolysis, Alkaline using water and electricity from Solar PV (CH)</v>
      </c>
      <c r="L2295">
        <f>IF(OR(B2295&lt;0,B2295=0),1,2)</f>
        <v>2</v>
      </c>
      <c r="M2295">
        <f>IF(L2295=2,LN(B2295),"")</f>
        <v>-0.70034865576338168</v>
      </c>
      <c r="N2295">
        <v>1</v>
      </c>
      <c r="O2295" s="15">
        <v>1.2</v>
      </c>
      <c r="P2295">
        <v>1</v>
      </c>
      <c r="Q2295">
        <v>1.01</v>
      </c>
      <c r="R2295">
        <v>1.2</v>
      </c>
      <c r="S2295">
        <v>1.2</v>
      </c>
      <c r="T2295">
        <v>1.05</v>
      </c>
      <c r="U2295">
        <f>LN(SQRT(EXP(
SQRT(
+POWER(LN(N2295),2)
+POWER(LN(O2295),2)
+POWER(LN(P2295),2)
+POWER(LN(Q2295),2)
+POWER(LN(R2295),2)
+POWER(LN(S2295),2)
+POWER(LN(T2295),2)
)
)))</f>
        <v>0.15984597228197622</v>
      </c>
    </row>
    <row r="2297" spans="1:22" x14ac:dyDescent="0.2">
      <c r="A2297" s="2" t="s">
        <v>50</v>
      </c>
      <c r="B2297" s="44" t="str">
        <f>IF(B2303="megajoule","heat","electricity")&amp;", residential, by "&amp;B2308&amp;" of "&amp;B2307&amp;" using "&amp;B2309&amp;IF(B2310&lt;&gt;0,", allocated by "&amp;B2310,"")&amp;", transported by "&amp;B2311&amp;", produced by "&amp;B2315&amp;" using "&amp;B2316&amp;" from "&amp;B2317</f>
        <v>heat, residential, by combustion of hydrogen using boiler, transported by truck, produced by Electrolysis, Alkaline using water and electricity from Solar PV (CH)</v>
      </c>
    </row>
    <row r="2298" spans="1:22" x14ac:dyDescent="0.2">
      <c r="A2298" t="s">
        <v>51</v>
      </c>
      <c r="B2298" s="45" t="str">
        <f>"This dataset represents the supply of 1 "&amp;IF(B2303="megajoule","megajoule of heat","kilowatt hour of electricity")&amp;" in a residence, by "&amp;B2307&amp;" "&amp;B2308&amp;" in a "&amp;B2309&amp;". "&amp;" The hydrogen is transported by "&amp;B2311&amp;" over "&amp;B2312&amp;" km from regional storage. "&amp;" The "&amp;B2307&amp;" is produced by  "&amp;B2315&amp;", with "&amp;B2316&amp;" from "&amp;B2317&amp;" as feedstock. "&amp;A2319&amp;": "&amp;(B2319*100)&amp;"%. "&amp;A2320&amp;": "&amp;B2320&amp;". "&amp;A2321&amp;": "&amp;B2321&amp;". "&amp;A2322&amp;": "&amp;(B2322*100)&amp;"%. "&amp;A2323&amp;": "&amp;(B2323*100)&amp;"%. "&amp;A2324&amp;": "&amp;(B2324*100)&amp;"%. "&amp;A2325&amp;": "&amp;B2325&amp;". "&amp;A2326&amp;": "&amp;B2326&amp;". "&amp;A2327&amp;": "&amp;(B2327*100)&amp;"%. "&amp;A2328&amp;": "&amp;B2328&amp;". "&amp;A2329&amp;": "&amp;B2329&amp;". "&amp;A2330&amp;": "&amp;B2330&amp;". "&amp;A2331&amp;": "&amp;B2331&amp;".  For more information, refer to: "&amp;B2299</f>
        <v>This dataset represents the supply of 1 megajoule of heat in a residence, by hydrogen combustion in a boiler.  The hydrogen is transported by truck over 200 km from regional storage.  The hydrogen is produced by  Electrolysis, Alkaline, with water and electricity from Solar PV (CH)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2299" spans="1:22" x14ac:dyDescent="0.2">
      <c r="A2299" t="s">
        <v>63</v>
      </c>
      <c r="B2299" s="45" t="s">
        <v>1223</v>
      </c>
    </row>
    <row r="2300" spans="1:22" x14ac:dyDescent="0.2">
      <c r="A2300" t="s">
        <v>52</v>
      </c>
      <c r="B2300" s="45" t="s">
        <v>64</v>
      </c>
    </row>
    <row r="2301" spans="1:22" x14ac:dyDescent="0.2">
      <c r="A2301" t="s">
        <v>48</v>
      </c>
      <c r="B2301" s="45">
        <v>29</v>
      </c>
    </row>
    <row r="2302" spans="1:22" x14ac:dyDescent="0.2">
      <c r="A2302" t="s">
        <v>54</v>
      </c>
      <c r="B2302" s="45" t="str">
        <f>INDEX(overview!$B$4:$R$338,MATCH('hydrogen - electrolysis'!B2301,overview!$A$4:$A$338,0),MATCH('hydrogen - electrolysis'!A2302,overview!$B$3:$R$3,0))</f>
        <v>heat, from residential heating system</v>
      </c>
    </row>
    <row r="2303" spans="1:22" x14ac:dyDescent="0.2">
      <c r="A2303" t="s">
        <v>55</v>
      </c>
      <c r="B2303" s="45" t="str">
        <f>INDEX(overview!$B$4:$R$338,MATCH('hydrogen - electrolysis'!B2301,overview!$A$4:$A$338,0),MATCH('hydrogen - electrolysis'!A2303,overview!$B$3:$R$3,0))</f>
        <v>megajoule</v>
      </c>
    </row>
    <row r="2304" spans="1:22" x14ac:dyDescent="0.2">
      <c r="A2304" t="s">
        <v>0</v>
      </c>
      <c r="B2304" s="45" t="str">
        <f>INDEX(overview!$B$4:$R$338,MATCH('hydrogen - electrolysis'!B2301,overview!$A$4:$A$338,0),MATCH('hydrogen - electrolysis'!A2304,overview!$B$3:$R$3,0))</f>
        <v>Switzerland</v>
      </c>
    </row>
    <row r="2305" spans="1:2" x14ac:dyDescent="0.2">
      <c r="A2305" t="s">
        <v>1</v>
      </c>
      <c r="B2305" s="45">
        <f>INDEX(overview!$B$4:$R$338,MATCH('hydrogen - electrolysis'!B2301,overview!$A$4:$A$338,0),MATCH('hydrogen - electrolysis'!A2305,overview!$B$3:$R$3,0))</f>
        <v>2020</v>
      </c>
    </row>
    <row r="2306" spans="1:2" x14ac:dyDescent="0.2">
      <c r="A2306" t="s">
        <v>2</v>
      </c>
      <c r="B2306" s="45" t="str">
        <f>INDEX(overview!$B$4:$R$338,MATCH('hydrogen - electrolysis'!B2301,overview!$A$4:$A$338,0),MATCH('hydrogen - electrolysis'!A2306,overview!$B$3:$R$3,0))</f>
        <v>1 MJ heat</v>
      </c>
    </row>
    <row r="2307" spans="1:2" x14ac:dyDescent="0.2">
      <c r="A2307" t="s">
        <v>5</v>
      </c>
      <c r="B2307" s="45" t="str">
        <f>INDEX(overview!$B$4:$R$338,MATCH('hydrogen - electrolysis'!B2301,overview!$A$4:$A$338,0),MATCH('hydrogen - electrolysis'!A2307,overview!$B$3:$R$3,0))</f>
        <v>hydrogen</v>
      </c>
    </row>
    <row r="2308" spans="1:2" x14ac:dyDescent="0.2">
      <c r="A2308" t="s">
        <v>3</v>
      </c>
      <c r="B2308" s="45" t="str">
        <f>INDEX(overview!$B$4:$R$338,MATCH('hydrogen - electrolysis'!B2301,overview!$A$4:$A$338,0),MATCH('hydrogen - electrolysis'!A2308,overview!$B$3:$R$3,0))</f>
        <v>combustion</v>
      </c>
    </row>
    <row r="2309" spans="1:2" x14ac:dyDescent="0.2">
      <c r="A2309" t="s">
        <v>6</v>
      </c>
      <c r="B2309" s="45" t="str">
        <f>INDEX(overview!$B$4:$R$338,MATCH('hydrogen - electrolysis'!B2301,overview!$A$4:$A$338,0),MATCH('hydrogen - electrolysis'!A2309,overview!$B$3:$R$3,0))</f>
        <v>boiler</v>
      </c>
    </row>
    <row r="2310" spans="1:2" x14ac:dyDescent="0.2">
      <c r="A2310" t="s">
        <v>39</v>
      </c>
      <c r="B2310" s="45">
        <f>INDEX(overview!$B$4:$R$338,MATCH('hydrogen - electrolysis'!B2301,overview!$A$4:$A$338,0),MATCH('hydrogen - electrolysis'!A2310,overview!$B$3:$R$3,0))</f>
        <v>0</v>
      </c>
    </row>
    <row r="2311" spans="1:2" x14ac:dyDescent="0.2">
      <c r="A2311" t="s">
        <v>4</v>
      </c>
      <c r="B2311" s="45" t="str">
        <f>INDEX(overview!$B$4:$R$338,MATCH('hydrogen - electrolysis'!B2301,overview!$A$4:$A$338,0),MATCH('hydrogen - electrolysis'!A2311,overview!$B$3:$R$3,0))</f>
        <v>truck</v>
      </c>
    </row>
    <row r="2312" spans="1:2" x14ac:dyDescent="0.2">
      <c r="A2312" t="s">
        <v>38</v>
      </c>
      <c r="B2312" s="45">
        <f>INDEX(overview!$B$4:$R$338,MATCH('hydrogen - electrolysis'!B2301,overview!$A$4:$A$338,0),MATCH('hydrogen - electrolysis'!A2312,overview!$B$3:$R$3,0))</f>
        <v>200</v>
      </c>
    </row>
    <row r="2313" spans="1:2" x14ac:dyDescent="0.2">
      <c r="A2313" t="s">
        <v>12</v>
      </c>
      <c r="B2313" s="45" t="str">
        <f>INDEX(overview!$B$4:$R$338,MATCH('hydrogen - electrolysis'!B2301,overview!$A$4:$A$338,0),MATCH('hydrogen - electrolysis'!A2313,overview!$B$3:$R$3,0))</f>
        <v>Pressure vessel for stationary storage</v>
      </c>
    </row>
    <row r="2314" spans="1:2" x14ac:dyDescent="0.2">
      <c r="A2314" t="s">
        <v>34</v>
      </c>
      <c r="B2314" s="45">
        <f>INDEX(overview!$B$4:$R$338,MATCH('hydrogen - electrolysis'!B2301,overview!$A$4:$A$338,0),MATCH('hydrogen - electrolysis'!A2314,overview!$B$3:$R$3,0))</f>
        <v>0</v>
      </c>
    </row>
    <row r="2315" spans="1:2" x14ac:dyDescent="0.2">
      <c r="A2315" t="s">
        <v>15</v>
      </c>
      <c r="B2315" s="45" t="str">
        <f>INDEX(overview!$B$4:$R$338,MATCH('hydrogen - electrolysis'!B2301,overview!$A$4:$A$338,0),MATCH('hydrogen - electrolysis'!A2315,overview!$B$3:$R$3,0))</f>
        <v>Electrolysis, Alkaline</v>
      </c>
    </row>
    <row r="2316" spans="1:2" x14ac:dyDescent="0.2">
      <c r="A2316" t="s">
        <v>14</v>
      </c>
      <c r="B2316" s="45" t="str">
        <f>INDEX(overview!$B$4:$R$338,MATCH('hydrogen - electrolysis'!B2301,overview!$A$4:$A$338,0),MATCH('hydrogen - electrolysis'!A2316,overview!$B$3:$R$3,0))</f>
        <v>water and electricity</v>
      </c>
    </row>
    <row r="2317" spans="1:2" x14ac:dyDescent="0.2">
      <c r="A2317" t="s">
        <v>26</v>
      </c>
      <c r="B2317" s="45" t="str">
        <f>INDEX(overview!$B$4:$R$338,MATCH('hydrogen - electrolysis'!B2301,overview!$A$4:$A$338,0),MATCH('hydrogen - electrolysis'!A2317,overview!$B$3:$R$3,0))</f>
        <v>Solar PV (CH)</v>
      </c>
    </row>
    <row r="2318" spans="1:2" x14ac:dyDescent="0.2">
      <c r="A2318" t="s">
        <v>29</v>
      </c>
      <c r="B2318" s="45">
        <f>INDEX(overview!$B$4:$R$338,MATCH('hydrogen - electrolysis'!B2301,overview!$A$4:$A$338,0),MATCH('hydrogen - electrolysis'!A2318,overview!$B$3:$R$3,0))</f>
        <v>0</v>
      </c>
    </row>
    <row r="2319" spans="1:2" x14ac:dyDescent="0.2">
      <c r="A2319" t="str">
        <f>IF(B2303="megajoule","Heat","Electricity")&amp;" conversion efficiency [% LHV input]"</f>
        <v>Heat conversion efficiency [% LHV input]</v>
      </c>
      <c r="B2319" s="46">
        <f>INDEX(parameters!$D$4:$N$20,MATCH('hydrogen - electrolysis'!B2307&amp;'hydrogen - electrolysis'!B2309,parameters!$A$4:$A$20,0),MATCH('hydrogen - electrolysis'!A2319,parameters!$D$3:$N$3,0))</f>
        <v>0.94</v>
      </c>
    </row>
    <row r="2320" spans="1:2" x14ac:dyDescent="0.2">
      <c r="A2320" t="str">
        <f>IF(B2303="megajoule","LHV [MJ/kg]","LHV [kWh/kg]")</f>
        <v>LHV [MJ/kg]</v>
      </c>
      <c r="B2320" s="47">
        <f>INDEX(parameters!$D$4:$N$20,MATCH('hydrogen - electrolysis'!B2307&amp;'hydrogen - electrolysis'!B2309,parameters!$A$4:$A$20,0),MATCH('hydrogen - electrolysis'!A2320,parameters!$D$3:$N$3,0))</f>
        <v>120</v>
      </c>
    </row>
    <row r="2321" spans="1:22" x14ac:dyDescent="0.2">
      <c r="A2321" t="s">
        <v>41</v>
      </c>
      <c r="B2321" s="48">
        <f>INDEX(parameters!$D$4:$N$20,MATCH('hydrogen - electrolysis'!B2307&amp;'hydrogen - electrolysis'!B2309,parameters!$A$4:$A$20,0),MATCH('hydrogen - electrolysis'!A2321,parameters!$D$3:$N$3,0))</f>
        <v>2.6666666666666665E-2</v>
      </c>
    </row>
    <row r="2322" spans="1:22" x14ac:dyDescent="0.2">
      <c r="A2322" t="s">
        <v>45</v>
      </c>
      <c r="B2322" s="49">
        <f>INDEX(parameters!$D$4:$N$20,MATCH('hydrogen - electrolysis'!B2307&amp;'hydrogen - electrolysis'!B2309,parameters!$A$4:$A$20,0),MATCH('hydrogen - electrolysis'!A2322,parameters!$D$3:$N$3,0))</f>
        <v>0</v>
      </c>
    </row>
    <row r="2323" spans="1:22" x14ac:dyDescent="0.2">
      <c r="A2323" t="s">
        <v>46</v>
      </c>
      <c r="B2323" s="49">
        <f>INDEX(parameters!$D$4:$N$20,MATCH('hydrogen - electrolysis'!B2307&amp;'hydrogen - electrolysis'!B2309,parameters!$A$4:$A$20,0),MATCH('hydrogen - electrolysis'!A2323,parameters!$D$3:$N$3,0))</f>
        <v>1.4999999999999999E-2</v>
      </c>
    </row>
    <row r="2324" spans="1:22" x14ac:dyDescent="0.2">
      <c r="A2324" t="s">
        <v>43</v>
      </c>
      <c r="B2324" s="49">
        <f>INDEX(parameters!$D$4:$N$20,MATCH('hydrogen - electrolysis'!B2307&amp;'hydrogen - electrolysis'!B2309,parameters!$A$4:$A$20,0),MATCH('hydrogen - electrolysis'!A2324,parameters!$D$3:$N$3,0))</f>
        <v>0</v>
      </c>
    </row>
    <row r="2325" spans="1:22" x14ac:dyDescent="0.2">
      <c r="A2325" t="s">
        <v>44</v>
      </c>
      <c r="B2325" s="49">
        <f>INDEX(parameters!$D$4:$N$20,MATCH('hydrogen - electrolysis'!B2307&amp;'hydrogen - electrolysis'!B2309,parameters!$A$4:$A$20,0),MATCH('hydrogen - electrolysis'!A2325,parameters!$D$3:$N$3,0))</f>
        <v>0</v>
      </c>
    </row>
    <row r="2326" spans="1:22" x14ac:dyDescent="0.2">
      <c r="A2326" t="s">
        <v>634</v>
      </c>
      <c r="B2326" s="51">
        <f>INDEX(parameters!$D$4:$Y$20,MATCH('hydrogen - electrolysis'!B2307&amp;'hydrogen - electrolysis'!B2309,parameters!$A$4:$A$20,0),MATCH('hydrogen - electrolysis'!A2326,parameters!$D$3:$Y$3,0))</f>
        <v>15.957446808510639</v>
      </c>
    </row>
    <row r="2327" spans="1:22" x14ac:dyDescent="0.2">
      <c r="A2327" t="s">
        <v>82</v>
      </c>
      <c r="B2327" s="46">
        <f>IF(B2318&lt;&gt;0,VLOOKUP(B2318,parameters!A1485:B1487,2,0),0)</f>
        <v>0</v>
      </c>
    </row>
    <row r="2328" spans="1:22" x14ac:dyDescent="0.2">
      <c r="A2328" t="s">
        <v>548</v>
      </c>
      <c r="B2328" s="50">
        <f>INDEX(parameters!$D$4:$P$20,MATCH(B2307&amp;B2309,parameters!$A$4:$A$20,0),MATCH(A2328,parameters!$D$3:$P$3,0))</f>
        <v>15</v>
      </c>
    </row>
    <row r="2329" spans="1:22" x14ac:dyDescent="0.2">
      <c r="A2329" t="s">
        <v>547</v>
      </c>
      <c r="B2329" s="51">
        <f>INDEX(parameters!$D$4:$P$20,MATCH(B2307&amp;B2309,parameters!$A$4:$A$20,0),MATCH(A2329,parameters!$D$3:$P$3,0))</f>
        <v>20</v>
      </c>
    </row>
    <row r="2330" spans="1:22" x14ac:dyDescent="0.2">
      <c r="A2330" t="s">
        <v>630</v>
      </c>
      <c r="B2330" s="51">
        <f>INDEX(parameters!$D$4:$T$20,MATCH(B2307&amp;B2309,parameters!$A$4:$A$20,0),MATCH(A2330,parameters!$D$3:$T$3,0))</f>
        <v>2100</v>
      </c>
    </row>
    <row r="2331" spans="1:22" x14ac:dyDescent="0.2">
      <c r="A2331" t="s">
        <v>1005</v>
      </c>
      <c r="B2331" s="50">
        <f>IF(B2303="megajoule",SUMIFS(allocation!$I$4:$I$30,allocation!$B$4:$B$30,B2309,allocation!$C$4:$C$30,B2310),SUMIFS(allocation!$J$4:$J$30,allocation!$B$4:$B$30,B2309,allocation!$C$4:$C$30,B2310))</f>
        <v>0</v>
      </c>
    </row>
    <row r="2332" spans="1:22" x14ac:dyDescent="0.2">
      <c r="A2332" t="s">
        <v>1050</v>
      </c>
      <c r="B2332" s="51">
        <f>INDEX(parameters!$D$4:$AB$20,MATCH(B2307&amp;B2309,parameters!$A$4:$A$20,0),MATCH(A2332,parameters!$D$3:$AB$3,0))</f>
        <v>44.562019013128115</v>
      </c>
    </row>
    <row r="2334" spans="1:22" x14ac:dyDescent="0.2">
      <c r="A2334" s="3" t="s">
        <v>57</v>
      </c>
    </row>
    <row r="2335" spans="1:22" x14ac:dyDescent="0.2">
      <c r="A2335" s="2" t="s">
        <v>58</v>
      </c>
      <c r="B2335" s="44" t="s">
        <v>59</v>
      </c>
      <c r="C2335" s="2" t="s">
        <v>55</v>
      </c>
      <c r="D2335" s="2" t="s">
        <v>60</v>
      </c>
      <c r="E2335" s="2" t="s">
        <v>52</v>
      </c>
      <c r="F2335" s="2" t="s">
        <v>61</v>
      </c>
      <c r="G2335" s="2" t="s">
        <v>54</v>
      </c>
      <c r="H2335" s="2" t="s">
        <v>87</v>
      </c>
      <c r="I2335" s="2" t="s">
        <v>51</v>
      </c>
      <c r="J2335" s="2" t="s">
        <v>138</v>
      </c>
      <c r="K2335" s="2" t="s">
        <v>136</v>
      </c>
      <c r="L2335" s="2" t="s">
        <v>221</v>
      </c>
      <c r="M2335" s="2" t="s">
        <v>379</v>
      </c>
      <c r="N2335" s="2" t="s">
        <v>1059</v>
      </c>
      <c r="O2335" s="2" t="s">
        <v>1060</v>
      </c>
      <c r="P2335" s="2" t="s">
        <v>1061</v>
      </c>
      <c r="Q2335" s="2" t="s">
        <v>1062</v>
      </c>
      <c r="R2335" s="2" t="s">
        <v>1063</v>
      </c>
      <c r="S2335" s="2" t="s">
        <v>1064</v>
      </c>
      <c r="T2335" s="2" t="s">
        <v>1065</v>
      </c>
      <c r="U2335" s="2" t="s">
        <v>380</v>
      </c>
      <c r="V2335" s="2" t="s">
        <v>1128</v>
      </c>
    </row>
    <row r="2336" spans="1:22" x14ac:dyDescent="0.2">
      <c r="A2336" t="str">
        <f>B2297</f>
        <v>heat, residential, by combustion of hydrogen using boiler, transported by truck, produced by Electrolysis, Alkaline using water and electricity from Solar PV (CH)</v>
      </c>
      <c r="B2336" s="45">
        <v>1</v>
      </c>
      <c r="C2336" t="str">
        <f>B2303</f>
        <v>megajoule</v>
      </c>
      <c r="E2336" t="str">
        <f>B2300</f>
        <v>CH</v>
      </c>
      <c r="F2336" t="s">
        <v>62</v>
      </c>
      <c r="G2336" t="str">
        <f>B2302</f>
        <v>heat, from residential heating system</v>
      </c>
      <c r="K2336" t="str">
        <f>B2297</f>
        <v>heat, residential, by combustion of hydrogen using boiler, transported by truck, produced by Electrolysis, Alkaline using water and electricity from Solar PV (CH)</v>
      </c>
    </row>
    <row r="2337" spans="1:21" x14ac:dyDescent="0.2">
      <c r="A2337" t="s">
        <v>83</v>
      </c>
      <c r="B2337" s="52">
        <f>1/(B2328*B2330*B2329*3.6)</f>
        <v>4.4091710758377425E-7</v>
      </c>
      <c r="C2337" t="s">
        <v>55</v>
      </c>
      <c r="E2337" t="s">
        <v>85</v>
      </c>
      <c r="F2337" t="s">
        <v>86</v>
      </c>
      <c r="G2337" t="s">
        <v>84</v>
      </c>
      <c r="H2337" t="s">
        <v>88</v>
      </c>
      <c r="K2337" t="str">
        <f>B2297</f>
        <v>heat, residential, by combustion of hydrogen using boiler, transported by truck, produced by Electrolysis, Alkaline using water and electricity from Solar PV (CH)</v>
      </c>
      <c r="L2337">
        <f t="shared" ref="L2337:L2342" si="69">IF(OR(B2337&lt;0,B2337=0),1,2)</f>
        <v>2</v>
      </c>
      <c r="M2337">
        <f t="shared" ref="M2337:M2342" si="70">IF(L2337=2,LN(B2337),"")</f>
        <v>-14.634408943829779</v>
      </c>
      <c r="N2337">
        <v>1.05</v>
      </c>
      <c r="O2337" s="15">
        <v>1.2</v>
      </c>
      <c r="P2337">
        <v>1</v>
      </c>
      <c r="Q2337">
        <v>1.01</v>
      </c>
      <c r="R2337">
        <v>1.2</v>
      </c>
      <c r="S2337">
        <v>1.2</v>
      </c>
      <c r="T2337">
        <v>3</v>
      </c>
      <c r="U2337">
        <f t="shared" ref="U2337:U2342" si="71">LN(SQRT(EXP(
SQRT(
+POWER(LN(N2337),2)
+POWER(LN(O2337),2)
+POWER(LN(P2337),2)
+POWER(LN(Q2337),2)
+POWER(LN(R2337),2)
+POWER(LN(S2337),2)
+POWER(LN(T2337),2)
)
)))</f>
        <v>0.57209088006881903</v>
      </c>
    </row>
    <row r="2338" spans="1:21" x14ac:dyDescent="0.2">
      <c r="A2338" t="s">
        <v>500</v>
      </c>
      <c r="B2338" s="52">
        <f>B2337*2</f>
        <v>8.8183421516754851E-7</v>
      </c>
      <c r="C2338" t="s">
        <v>267</v>
      </c>
      <c r="E2338" t="s">
        <v>85</v>
      </c>
      <c r="F2338" t="s">
        <v>86</v>
      </c>
      <c r="G2338" t="s">
        <v>501</v>
      </c>
      <c r="H2338" t="s">
        <v>88</v>
      </c>
      <c r="I2338" t="s">
        <v>621</v>
      </c>
      <c r="K2338" t="str">
        <f>B2297</f>
        <v>heat, residential, by combustion of hydrogen using boiler, transported by truck, produced by Electrolysis, Alkaline using water and electricity from Solar PV (CH)</v>
      </c>
      <c r="L2338">
        <f t="shared" si="69"/>
        <v>2</v>
      </c>
      <c r="M2338">
        <f t="shared" si="70"/>
        <v>-13.941261763269834</v>
      </c>
      <c r="N2338">
        <v>1.05</v>
      </c>
      <c r="O2338" s="15">
        <v>1.2</v>
      </c>
      <c r="P2338">
        <v>1</v>
      </c>
      <c r="Q2338">
        <v>1.01</v>
      </c>
      <c r="R2338">
        <v>1.2</v>
      </c>
      <c r="S2338">
        <v>1.2</v>
      </c>
      <c r="T2338">
        <v>3</v>
      </c>
      <c r="U2338">
        <f t="shared" si="71"/>
        <v>0.57209088006881903</v>
      </c>
    </row>
    <row r="2339" spans="1:21" x14ac:dyDescent="0.2">
      <c r="A2339" s="45" t="str">
        <f>"hydrogen supply, transported by "&amp;B2311&amp;", produced by "&amp;B2315&amp;" using "&amp;B2316&amp;" from "&amp;B2317</f>
        <v>hydrogen supply, transported by truck, produced by Electrolysis, Alkaline using water and electricity from Solar PV (CH)</v>
      </c>
      <c r="B2339" s="53">
        <f>(B2336/B2320)/B2319</f>
        <v>8.8652482269503553E-3</v>
      </c>
      <c r="C2339" t="str">
        <f>VLOOKUP(J2339,'dataset mapping'!$A$4:$E$69,5,0)</f>
        <v>kilogram</v>
      </c>
      <c r="E2339" t="str">
        <f>VLOOKUP(J2339,'dataset mapping'!$A$4:$E$69,4,0)</f>
        <v>CH</v>
      </c>
      <c r="F2339" t="s">
        <v>86</v>
      </c>
      <c r="G2339" t="str">
        <f>"hydrogen, gaseous, from "&amp;B2311</f>
        <v>hydrogen, gaseous, from truck</v>
      </c>
      <c r="H2339" t="s">
        <v>76</v>
      </c>
      <c r="I2339" t="s">
        <v>1054</v>
      </c>
      <c r="J2339" t="s">
        <v>291</v>
      </c>
      <c r="K2339" t="str">
        <f>B2297</f>
        <v>heat, residential, by combustion of hydrogen using boiler, transported by truck, produced by Electrolysis, Alkaline using water and electricity from Solar PV (CH)</v>
      </c>
      <c r="L2339">
        <f t="shared" si="69"/>
        <v>2</v>
      </c>
      <c r="M2339">
        <f t="shared" si="70"/>
        <v>-4.7256163390639587</v>
      </c>
      <c r="N2339">
        <v>1.05</v>
      </c>
      <c r="O2339" s="15">
        <v>1.2</v>
      </c>
      <c r="P2339">
        <v>1</v>
      </c>
      <c r="Q2339">
        <v>1.01</v>
      </c>
      <c r="R2339">
        <v>1.2</v>
      </c>
      <c r="S2339">
        <v>1.2</v>
      </c>
      <c r="T2339">
        <v>1.05</v>
      </c>
      <c r="U2339">
        <f t="shared" si="71"/>
        <v>0.16169679924070957</v>
      </c>
    </row>
    <row r="2340" spans="1:21" x14ac:dyDescent="0.2">
      <c r="A2340" t="str">
        <f>VLOOKUP(J2340,'dataset mapping'!$A$4:$E$69,2,0)</f>
        <v>high pressure hydrogen storage tank</v>
      </c>
      <c r="B2340" s="52">
        <f>((B2332/10)/(B2330*B2326*20*3.6))*IF(B2331&lt;&gt;0,B2331,1)</f>
        <v>1.8469267139479905E-6</v>
      </c>
      <c r="C2340" t="str">
        <f>VLOOKUP(J2340,'dataset mapping'!$A$4:$E$69,5,0)</f>
        <v>kilogram</v>
      </c>
      <c r="E2340" t="str">
        <f>VLOOKUP(J2340,'dataset mapping'!$A$4:$E$69,4,0)</f>
        <v>GLO</v>
      </c>
      <c r="F2340" t="s">
        <v>86</v>
      </c>
      <c r="G2340" t="str">
        <f>VLOOKUP(J2340,'dataset mapping'!$A$4:$E$69,3,0)</f>
        <v>high pressure hydrogen storage tank</v>
      </c>
      <c r="H2340" t="s">
        <v>88</v>
      </c>
      <c r="I2340" t="s">
        <v>230</v>
      </c>
      <c r="J2340" t="s">
        <v>229</v>
      </c>
      <c r="K2340" t="str">
        <f>B2297</f>
        <v>heat, residential, by combustion of hydrogen using boiler, transported by truck, produced by Electrolysis, Alkaline using water and electricity from Solar PV (CH)</v>
      </c>
      <c r="L2340">
        <f t="shared" si="69"/>
        <v>2</v>
      </c>
      <c r="M2340">
        <f t="shared" si="70"/>
        <v>-13.20198753595994</v>
      </c>
      <c r="N2340">
        <v>1.05</v>
      </c>
      <c r="O2340" s="15">
        <v>1.2</v>
      </c>
      <c r="P2340">
        <v>1</v>
      </c>
      <c r="Q2340">
        <v>1.01</v>
      </c>
      <c r="R2340">
        <v>1.2</v>
      </c>
      <c r="S2340">
        <v>1.2</v>
      </c>
      <c r="T2340">
        <v>3</v>
      </c>
      <c r="U2340">
        <f t="shared" si="71"/>
        <v>0.57209088006881903</v>
      </c>
    </row>
    <row r="2341" spans="1:21" x14ac:dyDescent="0.2">
      <c r="A2341" t="s">
        <v>134</v>
      </c>
      <c r="B2341" s="45">
        <f>B2339*9</f>
        <v>7.9787234042553196E-2</v>
      </c>
      <c r="C2341" t="s">
        <v>56</v>
      </c>
      <c r="D2341" t="s">
        <v>100</v>
      </c>
      <c r="F2341" t="s">
        <v>99</v>
      </c>
      <c r="H2341" t="s">
        <v>131</v>
      </c>
      <c r="I2341" t="s">
        <v>1058</v>
      </c>
      <c r="K2341" t="str">
        <f>B2297</f>
        <v>heat, residential, by combustion of hydrogen using boiler, transported by truck, produced by Electrolysis, Alkaline using water and electricity from Solar PV (CH)</v>
      </c>
      <c r="L2341">
        <f t="shared" si="69"/>
        <v>2</v>
      </c>
      <c r="M2341">
        <f t="shared" si="70"/>
        <v>-2.5283917617277392</v>
      </c>
      <c r="N2341">
        <v>1.05</v>
      </c>
      <c r="O2341" s="15">
        <v>1.2</v>
      </c>
      <c r="P2341">
        <v>1</v>
      </c>
      <c r="Q2341">
        <v>1.01</v>
      </c>
      <c r="R2341">
        <v>1.2</v>
      </c>
      <c r="S2341">
        <v>1.2</v>
      </c>
      <c r="T2341">
        <v>1.05</v>
      </c>
      <c r="U2341">
        <f t="shared" si="71"/>
        <v>0.16169679924070957</v>
      </c>
    </row>
    <row r="2342" spans="1:21" x14ac:dyDescent="0.2">
      <c r="A2342" t="s">
        <v>135</v>
      </c>
      <c r="B2342" s="45">
        <f>912.5/1000000*B2339</f>
        <v>8.0895390070921995E-6</v>
      </c>
      <c r="C2342" t="s">
        <v>56</v>
      </c>
      <c r="D2342" t="s">
        <v>100</v>
      </c>
      <c r="F2342" t="s">
        <v>99</v>
      </c>
      <c r="H2342" t="s">
        <v>131</v>
      </c>
      <c r="I2342" t="s">
        <v>1217</v>
      </c>
      <c r="K2342" t="str">
        <f>B2297</f>
        <v>heat, residential, by combustion of hydrogen using boiler, transported by truck, produced by Electrolysis, Alkaline using water and electricity from Solar PV (CH)</v>
      </c>
      <c r="L2342">
        <f t="shared" si="69"/>
        <v>2</v>
      </c>
      <c r="M2342">
        <f t="shared" si="70"/>
        <v>-11.724938811571587</v>
      </c>
      <c r="N2342">
        <v>1.05</v>
      </c>
      <c r="O2342" s="15">
        <v>1.2</v>
      </c>
      <c r="P2342">
        <v>1</v>
      </c>
      <c r="Q2342">
        <v>1.01</v>
      </c>
      <c r="R2342">
        <v>1.2</v>
      </c>
      <c r="S2342">
        <v>1.2</v>
      </c>
      <c r="T2342">
        <v>1.5</v>
      </c>
      <c r="U2342">
        <f t="shared" si="71"/>
        <v>0.25816898211842121</v>
      </c>
    </row>
    <row r="2344" spans="1:21" x14ac:dyDescent="0.2">
      <c r="A2344" s="2" t="s">
        <v>50</v>
      </c>
      <c r="B2344" s="44" t="str">
        <f>IF(B2350="megajoule","heat","electricity")&amp;", residential, by "&amp;B2355&amp;" of "&amp;B2354&amp;" using "&amp;B2356&amp;IF(B2357&lt;&gt;0,", allocated by "&amp;B2357,"")&amp;", transported by "&amp;B2358&amp;", produced by "&amp;B2362&amp;" using "&amp;B2363&amp;" from "&amp;B2364</f>
        <v>heat, residential, by combustion of hydrogen using CHP, allocated by exergy, transported by truck, produced by Electrolysis, Alkaline using water and electricity from Solar PV (CH)</v>
      </c>
    </row>
    <row r="2345" spans="1:21" x14ac:dyDescent="0.2">
      <c r="A2345" t="s">
        <v>51</v>
      </c>
      <c r="B2345" s="45" t="str">
        <f>"This dataset represents the supply of 1 "&amp;IF(B2350="megajoule","megajoule of heat","kilowatt hour of electricity")&amp;" in a residence, by "&amp;B2354&amp;" "&amp;B2355&amp;" in a "&amp;B2356&amp;". "&amp;" The hydrogen is transported by "&amp;B2358&amp;" over "&amp;B2359&amp;" km from regional storage. "&amp;" The "&amp;B2354&amp;" is produced by  "&amp;B2362&amp;", with "&amp;B2363&amp;" from "&amp;B2364&amp;" as feedstock. "&amp;A2366&amp;": "&amp;(B2366*100)&amp;"%. "&amp;A2367&amp;": "&amp;B2367&amp;". "&amp;A2368&amp;": "&amp;B2368&amp;". "&amp;A2369&amp;": "&amp;(B2369*100)&amp;"%. "&amp;A2370&amp;": "&amp;(B2370*100)&amp;"%. "&amp;A2371&amp;": "&amp;(B2371*100)&amp;"%. "&amp;A2372&amp;": "&amp;B2372&amp;". "&amp;A2373&amp;": "&amp;B2373&amp;". "&amp;A2374&amp;": "&amp;(B2374*100)&amp;"%. "&amp;A2375&amp;": "&amp;B2375&amp;". "&amp;A2376&amp;": "&amp;B2376&amp;". "&amp;A2377&amp;": "&amp;B2377&amp;". "&amp;A2378&amp;": "&amp;B2378&amp;".  For more information, refer to: "&amp;B2346</f>
        <v>This dataset represents the supply of 1 megajoule of heat in a residence, by hydrogen combustion in a CHP.  The hydrogen is transported by truck over 200 km from regional storage.  The hydrogen is produced by  Electrolysis, Alkaline, with water and electricity from Solar PV (CH)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2346" spans="1:21" x14ac:dyDescent="0.2">
      <c r="A2346" t="s">
        <v>63</v>
      </c>
      <c r="B2346" s="45" t="s">
        <v>1223</v>
      </c>
    </row>
    <row r="2347" spans="1:21" x14ac:dyDescent="0.2">
      <c r="A2347" t="s">
        <v>52</v>
      </c>
      <c r="B2347" s="45" t="s">
        <v>64</v>
      </c>
    </row>
    <row r="2348" spans="1:21" x14ac:dyDescent="0.2">
      <c r="A2348" t="s">
        <v>48</v>
      </c>
      <c r="B2348" s="45">
        <v>30</v>
      </c>
    </row>
    <row r="2349" spans="1:21" x14ac:dyDescent="0.2">
      <c r="A2349" t="s">
        <v>54</v>
      </c>
      <c r="B2349" s="45" t="str">
        <f>INDEX(overview!$B$4:$R$338,MATCH('hydrogen - electrolysis'!B2348,overview!$A$4:$A$338,0),MATCH('hydrogen - electrolysis'!A2349,overview!$B$3:$R$3,0))</f>
        <v>heat, from residential heating system</v>
      </c>
    </row>
    <row r="2350" spans="1:21" x14ac:dyDescent="0.2">
      <c r="A2350" t="s">
        <v>55</v>
      </c>
      <c r="B2350" s="45" t="str">
        <f>INDEX(overview!$B$4:$R$338,MATCH('hydrogen - electrolysis'!B2348,overview!$A$4:$A$338,0),MATCH('hydrogen - electrolysis'!A2350,overview!$B$3:$R$3,0))</f>
        <v>megajoule</v>
      </c>
    </row>
    <row r="2351" spans="1:21" x14ac:dyDescent="0.2">
      <c r="A2351" t="s">
        <v>0</v>
      </c>
      <c r="B2351" s="45" t="str">
        <f>INDEX(overview!$B$4:$R$338,MATCH('hydrogen - electrolysis'!B2348,overview!$A$4:$A$338,0),MATCH('hydrogen - electrolysis'!A2351,overview!$B$3:$R$3,0))</f>
        <v>Switzerland</v>
      </c>
    </row>
    <row r="2352" spans="1:21" x14ac:dyDescent="0.2">
      <c r="A2352" t="s">
        <v>1</v>
      </c>
      <c r="B2352" s="45">
        <f>INDEX(overview!$B$4:$R$338,MATCH('hydrogen - electrolysis'!B2348,overview!$A$4:$A$338,0),MATCH('hydrogen - electrolysis'!A2352,overview!$B$3:$R$3,0))</f>
        <v>2020</v>
      </c>
    </row>
    <row r="2353" spans="1:2" x14ac:dyDescent="0.2">
      <c r="A2353" t="s">
        <v>2</v>
      </c>
      <c r="B2353" s="45" t="str">
        <f>INDEX(overview!$B$4:$R$338,MATCH('hydrogen - electrolysis'!B2348,overview!$A$4:$A$338,0),MATCH('hydrogen - electrolysis'!A2353,overview!$B$3:$R$3,0))</f>
        <v>1 MJ heat</v>
      </c>
    </row>
    <row r="2354" spans="1:2" x14ac:dyDescent="0.2">
      <c r="A2354" t="s">
        <v>5</v>
      </c>
      <c r="B2354" s="45" t="str">
        <f>INDEX(overview!$B$4:$R$338,MATCH('hydrogen - electrolysis'!B2348,overview!$A$4:$A$338,0),MATCH('hydrogen - electrolysis'!A2354,overview!$B$3:$R$3,0))</f>
        <v>hydrogen</v>
      </c>
    </row>
    <row r="2355" spans="1:2" x14ac:dyDescent="0.2">
      <c r="A2355" t="s">
        <v>3</v>
      </c>
      <c r="B2355" s="45" t="str">
        <f>INDEX(overview!$B$4:$R$338,MATCH('hydrogen - electrolysis'!B2348,overview!$A$4:$A$338,0),MATCH('hydrogen - electrolysis'!A2355,overview!$B$3:$R$3,0))</f>
        <v>combustion</v>
      </c>
    </row>
    <row r="2356" spans="1:2" x14ac:dyDescent="0.2">
      <c r="A2356" t="s">
        <v>6</v>
      </c>
      <c r="B2356" s="45" t="str">
        <f>INDEX(overview!$B$4:$R$338,MATCH('hydrogen - electrolysis'!B2348,overview!$A$4:$A$338,0),MATCH('hydrogen - electrolysis'!A2356,overview!$B$3:$R$3,0))</f>
        <v>CHP</v>
      </c>
    </row>
    <row r="2357" spans="1:2" x14ac:dyDescent="0.2">
      <c r="A2357" t="s">
        <v>39</v>
      </c>
      <c r="B2357" s="45" t="str">
        <f>INDEX(overview!$B$4:$R$338,MATCH('hydrogen - electrolysis'!B2348,overview!$A$4:$A$338,0),MATCH('hydrogen - electrolysis'!A2357,overview!$B$3:$R$3,0))</f>
        <v>exergy</v>
      </c>
    </row>
    <row r="2358" spans="1:2" x14ac:dyDescent="0.2">
      <c r="A2358" t="s">
        <v>4</v>
      </c>
      <c r="B2358" s="45" t="str">
        <f>INDEX(overview!$B$4:$R$338,MATCH('hydrogen - electrolysis'!B2348,overview!$A$4:$A$338,0),MATCH('hydrogen - electrolysis'!A2358,overview!$B$3:$R$3,0))</f>
        <v>truck</v>
      </c>
    </row>
    <row r="2359" spans="1:2" x14ac:dyDescent="0.2">
      <c r="A2359" t="s">
        <v>38</v>
      </c>
      <c r="B2359" s="45">
        <f>INDEX(overview!$B$4:$R$338,MATCH('hydrogen - electrolysis'!B2348,overview!$A$4:$A$338,0),MATCH('hydrogen - electrolysis'!A2359,overview!$B$3:$R$3,0))</f>
        <v>200</v>
      </c>
    </row>
    <row r="2360" spans="1:2" x14ac:dyDescent="0.2">
      <c r="A2360" t="s">
        <v>12</v>
      </c>
      <c r="B2360" s="45" t="str">
        <f>INDEX(overview!$B$4:$R$338,MATCH('hydrogen - electrolysis'!B2348,overview!$A$4:$A$338,0),MATCH('hydrogen - electrolysis'!A2360,overview!$B$3:$R$3,0))</f>
        <v>Pressure vessel for stationary storage</v>
      </c>
    </row>
    <row r="2361" spans="1:2" x14ac:dyDescent="0.2">
      <c r="A2361" t="s">
        <v>34</v>
      </c>
      <c r="B2361" s="45">
        <f>INDEX(overview!$B$4:$R$338,MATCH('hydrogen - electrolysis'!B2348,overview!$A$4:$A$338,0),MATCH('hydrogen - electrolysis'!A2361,overview!$B$3:$R$3,0))</f>
        <v>0</v>
      </c>
    </row>
    <row r="2362" spans="1:2" x14ac:dyDescent="0.2">
      <c r="A2362" t="s">
        <v>15</v>
      </c>
      <c r="B2362" s="45" t="str">
        <f>INDEX(overview!$B$4:$R$338,MATCH('hydrogen - electrolysis'!B2348,overview!$A$4:$A$338,0),MATCH('hydrogen - electrolysis'!A2362,overview!$B$3:$R$3,0))</f>
        <v>Electrolysis, Alkaline</v>
      </c>
    </row>
    <row r="2363" spans="1:2" x14ac:dyDescent="0.2">
      <c r="A2363" t="s">
        <v>14</v>
      </c>
      <c r="B2363" s="45" t="str">
        <f>INDEX(overview!$B$4:$R$338,MATCH('hydrogen - electrolysis'!B2348,overview!$A$4:$A$338,0),MATCH('hydrogen - electrolysis'!A2363,overview!$B$3:$R$3,0))</f>
        <v>water and electricity</v>
      </c>
    </row>
    <row r="2364" spans="1:2" x14ac:dyDescent="0.2">
      <c r="A2364" t="s">
        <v>26</v>
      </c>
      <c r="B2364" s="45" t="str">
        <f>INDEX(overview!$B$4:$R$338,MATCH('hydrogen - electrolysis'!B2348,overview!$A$4:$A$338,0),MATCH('hydrogen - electrolysis'!A2364,overview!$B$3:$R$3,0))</f>
        <v>Solar PV (CH)</v>
      </c>
    </row>
    <row r="2365" spans="1:2" x14ac:dyDescent="0.2">
      <c r="A2365" t="s">
        <v>29</v>
      </c>
      <c r="B2365" s="45">
        <f>INDEX(overview!$B$4:$R$338,MATCH('hydrogen - electrolysis'!B2348,overview!$A$4:$A$338,0),MATCH('hydrogen - electrolysis'!A2365,overview!$B$3:$R$3,0))</f>
        <v>0</v>
      </c>
    </row>
    <row r="2366" spans="1:2" x14ac:dyDescent="0.2">
      <c r="A2366" t="str">
        <f>IF(B2350="megajoule","Heat","Electricity")&amp;" conversion efficiency [% LHV input]"</f>
        <v>Heat conversion efficiency [% LHV input]</v>
      </c>
      <c r="B2366" s="46">
        <f>INDEX(parameters!$D$4:$N$20,MATCH('hydrogen - electrolysis'!B2354&amp;'hydrogen - electrolysis'!B2356,parameters!$A$4:$A$20,0),MATCH('hydrogen - electrolysis'!A2366,parameters!$D$3:$N$3,0))</f>
        <v>0.41699999999999998</v>
      </c>
    </row>
    <row r="2367" spans="1:2" x14ac:dyDescent="0.2">
      <c r="A2367" t="str">
        <f>IF(B2350="megajoule","LHV [MJ/kg]","LHV [kWh/kg]")</f>
        <v>LHV [MJ/kg]</v>
      </c>
      <c r="B2367" s="47">
        <f>INDEX(parameters!$D$4:$N$20,MATCH('hydrogen - electrolysis'!B2354&amp;'hydrogen - electrolysis'!B2356,parameters!$A$4:$A$20,0),MATCH('hydrogen - electrolysis'!A2367,parameters!$D$3:$N$3,0))</f>
        <v>120</v>
      </c>
    </row>
    <row r="2368" spans="1:2" x14ac:dyDescent="0.2">
      <c r="A2368" t="s">
        <v>41</v>
      </c>
      <c r="B2368" s="48">
        <f>INDEX(parameters!$D$4:$N$20,MATCH('hydrogen - electrolysis'!B2354&amp;'hydrogen - electrolysis'!B2356,parameters!$A$4:$A$20,0),MATCH('hydrogen - electrolysis'!A2368,parameters!$D$3:$N$3,0))</f>
        <v>2.6666666666666665E-2</v>
      </c>
    </row>
    <row r="2369" spans="1:22" x14ac:dyDescent="0.2">
      <c r="A2369" t="s">
        <v>45</v>
      </c>
      <c r="B2369" s="46">
        <f>INDEX(parameters!$D$4:$N$20,MATCH('hydrogen - electrolysis'!B2354&amp;'hydrogen - electrolysis'!B2356,parameters!$A$4:$A$20,0),MATCH('hydrogen - electrolysis'!A2369,parameters!$D$3:$N$3,0))</f>
        <v>0</v>
      </c>
    </row>
    <row r="2370" spans="1:22" x14ac:dyDescent="0.2">
      <c r="A2370" t="s">
        <v>46</v>
      </c>
      <c r="B2370" s="46">
        <f>INDEX(parameters!$D$4:$N$20,MATCH('hydrogen - electrolysis'!B2354&amp;'hydrogen - electrolysis'!B2356,parameters!$A$4:$A$20,0),MATCH('hydrogen - electrolysis'!A2370,parameters!$D$3:$N$3,0))</f>
        <v>1.4999999999999999E-2</v>
      </c>
    </row>
    <row r="2371" spans="1:22" x14ac:dyDescent="0.2">
      <c r="A2371" t="s">
        <v>43</v>
      </c>
      <c r="B2371" s="46">
        <f>INDEX(parameters!$D$4:$N$20,MATCH('hydrogen - electrolysis'!B2354&amp;'hydrogen - electrolysis'!B2356,parameters!$A$4:$A$20,0),MATCH('hydrogen - electrolysis'!A2371,parameters!$D$3:$N$3,0))</f>
        <v>0</v>
      </c>
    </row>
    <row r="2372" spans="1:22" x14ac:dyDescent="0.2">
      <c r="A2372" t="s">
        <v>44</v>
      </c>
      <c r="B2372" s="46">
        <f>INDEX(parameters!$D$4:$N$20,MATCH('hydrogen - electrolysis'!B2354&amp;'hydrogen - electrolysis'!B2356,parameters!$A$4:$A$20,0),MATCH('hydrogen - electrolysis'!A2372,parameters!$D$3:$N$3,0))</f>
        <v>0</v>
      </c>
    </row>
    <row r="2373" spans="1:22" x14ac:dyDescent="0.2">
      <c r="A2373" t="s">
        <v>634</v>
      </c>
      <c r="B2373" s="51">
        <f>INDEX(parameters!$D$4:$Y$20,MATCH('hydrogen - electrolysis'!B2354&amp;'hydrogen - electrolysis'!B2356,parameters!$A$4:$A$20,0),MATCH('hydrogen - electrolysis'!A2373,parameters!$D$3:$Y$3,0))</f>
        <v>351.41800246609125</v>
      </c>
    </row>
    <row r="2374" spans="1:22" x14ac:dyDescent="0.2">
      <c r="A2374" t="s">
        <v>82</v>
      </c>
      <c r="B2374" s="46">
        <f>IF(B2365&lt;&gt;0,VLOOKUP(B2365,parameters!A1536:B1538,2,0),0)</f>
        <v>0</v>
      </c>
    </row>
    <row r="2375" spans="1:22" x14ac:dyDescent="0.2">
      <c r="A2375" t="s">
        <v>548</v>
      </c>
      <c r="B2375" s="50">
        <f>INDEX(parameters!$D$4:$P$20,MATCH(B2354&amp;B2356,parameters!$A$4:$A$20,0),MATCH(A2375,parameters!$D$3:$P$3,0))</f>
        <v>125</v>
      </c>
    </row>
    <row r="2376" spans="1:22" x14ac:dyDescent="0.2">
      <c r="A2376" t="s">
        <v>547</v>
      </c>
      <c r="B2376" s="51">
        <f>INDEX(parameters!$D$4:$P$20,MATCH(B2354&amp;B2356,parameters!$A$4:$A$20,0),MATCH(A2376,parameters!$D$3:$P$3,0))</f>
        <v>19.512195121951219</v>
      </c>
    </row>
    <row r="2377" spans="1:22" x14ac:dyDescent="0.2">
      <c r="A2377" t="s">
        <v>630</v>
      </c>
      <c r="B2377" s="51">
        <f>INDEX(parameters!$D$4:$T$20,MATCH(B2354&amp;B2356,parameters!$A$4:$A$20,0),MATCH(A2377,parameters!$D$3:$T$3,0))</f>
        <v>4100</v>
      </c>
    </row>
    <row r="2378" spans="1:22" x14ac:dyDescent="0.2">
      <c r="A2378" t="s">
        <v>1005</v>
      </c>
      <c r="B2378" s="50">
        <f>IF(B2350="megajoule",SUMIFS(allocation!$I$4:$I$30,allocation!$B$4:$B$30,B2356,allocation!$C$4:$C$30,B2357),SUMIFS(allocation!$J$4:$J$30,allocation!$B$4:$B$30,B2356,allocation!$C$4:$C$30,B2357))</f>
        <v>0.12860042227295038</v>
      </c>
    </row>
    <row r="2379" spans="1:22" x14ac:dyDescent="0.2">
      <c r="A2379" t="s">
        <v>1050</v>
      </c>
      <c r="B2379" s="51">
        <f>INDEX(parameters!$D$4:$AB$20,MATCH(B2354&amp;B2356,parameters!$A$4:$A$20,0),MATCH(A2379,parameters!$D$3:$AB$3,0))</f>
        <v>2220.7364520822662</v>
      </c>
    </row>
    <row r="2381" spans="1:22" x14ac:dyDescent="0.2">
      <c r="A2381" s="3" t="s">
        <v>57</v>
      </c>
    </row>
    <row r="2382" spans="1:22" x14ac:dyDescent="0.2">
      <c r="A2382" s="2" t="s">
        <v>58</v>
      </c>
      <c r="B2382" s="44" t="s">
        <v>59</v>
      </c>
      <c r="C2382" s="2" t="s">
        <v>55</v>
      </c>
      <c r="D2382" s="2" t="s">
        <v>60</v>
      </c>
      <c r="E2382" s="2" t="s">
        <v>52</v>
      </c>
      <c r="F2382" s="2" t="s">
        <v>61</v>
      </c>
      <c r="G2382" s="2" t="s">
        <v>54</v>
      </c>
      <c r="H2382" s="2" t="s">
        <v>87</v>
      </c>
      <c r="I2382" s="2" t="s">
        <v>51</v>
      </c>
      <c r="J2382" s="2" t="s">
        <v>138</v>
      </c>
      <c r="K2382" s="2" t="s">
        <v>136</v>
      </c>
      <c r="L2382" s="2" t="s">
        <v>221</v>
      </c>
      <c r="M2382" s="2" t="s">
        <v>379</v>
      </c>
      <c r="N2382" s="2" t="s">
        <v>1059</v>
      </c>
      <c r="O2382" s="2" t="s">
        <v>1060</v>
      </c>
      <c r="P2382" s="2" t="s">
        <v>1061</v>
      </c>
      <c r="Q2382" s="2" t="s">
        <v>1062</v>
      </c>
      <c r="R2382" s="2" t="s">
        <v>1063</v>
      </c>
      <c r="S2382" s="2" t="s">
        <v>1064</v>
      </c>
      <c r="T2382" s="2" t="s">
        <v>1065</v>
      </c>
      <c r="U2382" s="2" t="s">
        <v>380</v>
      </c>
      <c r="V2382" s="2" t="s">
        <v>1128</v>
      </c>
    </row>
    <row r="2383" spans="1:22" x14ac:dyDescent="0.2">
      <c r="A2383" t="str">
        <f>B2344</f>
        <v>heat, residential, by combustion of hydrogen using CHP, allocated by exergy, transported by truck, produced by Electrolysis, Alkaline using water and electricity from Solar PV (CH)</v>
      </c>
      <c r="B2383" s="45">
        <v>1</v>
      </c>
      <c r="C2383" t="str">
        <f>B2350</f>
        <v>megajoule</v>
      </c>
      <c r="E2383" t="str">
        <f>B2347</f>
        <v>CH</v>
      </c>
      <c r="F2383" t="s">
        <v>62</v>
      </c>
      <c r="G2383" t="str">
        <f>B2349</f>
        <v>heat, from residential heating system</v>
      </c>
      <c r="K2383" t="str">
        <f>B2344</f>
        <v>heat, residential, by combustion of hydrogen using CHP, allocated by exergy, transported by truck, produced by Electrolysis, Alkaline using water and electricity from Solar PV (CH)</v>
      </c>
    </row>
    <row r="2384" spans="1:22" x14ac:dyDescent="0.2">
      <c r="A2384" t="str">
        <f>VLOOKUP(J2384,'dataset mapping'!$A$4:$E$69,2,0)</f>
        <v>heat and power co-generation unit construction, 160kW electrical, common components for heat+electricity</v>
      </c>
      <c r="B2384" s="52">
        <f>(1/(B2373*B2377*B2376*3.6))*B2378</f>
        <v>1.270649883812899E-9</v>
      </c>
      <c r="C2384" t="str">
        <f>VLOOKUP(J2384,'dataset mapping'!$A$4:$E$69,5,0)</f>
        <v>unit</v>
      </c>
      <c r="E2384" t="str">
        <f>VLOOKUP(J2384,'dataset mapping'!$A$4:$E$69,4,0)</f>
        <v>RER</v>
      </c>
      <c r="F2384" t="s">
        <v>86</v>
      </c>
      <c r="G2384" t="str">
        <f>VLOOKUP(J2384,'dataset mapping'!$A$4:$E$69,3,0)</f>
        <v>heat and power co-generation unit, 160kW electrical, common components for heat+electricity</v>
      </c>
      <c r="H2384" t="s">
        <v>88</v>
      </c>
      <c r="J2384" t="s">
        <v>145</v>
      </c>
      <c r="K2384" t="str">
        <f>B2344</f>
        <v>heat, residential, by combustion of hydrogen using CHP, allocated by exergy, transported by truck, produced by Electrolysis, Alkaline using water and electricity from Solar PV (CH)</v>
      </c>
      <c r="L2384">
        <f>IF(OR(B2384&lt;0,B2384=0),1,2)</f>
        <v>2</v>
      </c>
      <c r="M2384">
        <f>IF(L2384=2,LN(B2384),"")</f>
        <v>-20.48373734782199</v>
      </c>
      <c r="N2384">
        <v>1.05</v>
      </c>
      <c r="O2384" s="15">
        <v>1.2</v>
      </c>
      <c r="P2384">
        <v>1</v>
      </c>
      <c r="Q2384">
        <v>1.01</v>
      </c>
      <c r="R2384">
        <v>1.2</v>
      </c>
      <c r="S2384">
        <v>1.2</v>
      </c>
      <c r="T2384">
        <v>3</v>
      </c>
      <c r="U2384">
        <f t="shared" ref="U2384:U2392" si="72">LN(SQRT(EXP(
SQRT(
+POWER(LN(N2384),2)
+POWER(LN(O2384),2)
+POWER(LN(P2384),2)
+POWER(LN(Q2384),2)
+POWER(LN(R2384),2)
+POWER(LN(S2384),2)
+POWER(LN(T2384),2)
)
)))</f>
        <v>0.57209088006881903</v>
      </c>
    </row>
    <row r="2385" spans="1:22" x14ac:dyDescent="0.2">
      <c r="A2385" t="str">
        <f>VLOOKUP(J2385,'dataset mapping'!$A$4:$E$69,2,0)</f>
        <v>heat and power co-generation unit construction, 160kW electrical, components for electricity only</v>
      </c>
      <c r="B2385" s="52">
        <f>(1/(B2373*B2377*B2376*3.6))*B2378</f>
        <v>1.270649883812899E-9</v>
      </c>
      <c r="C2385" t="str">
        <f>VLOOKUP(J2385,'dataset mapping'!$A$4:$E$69,5,0)</f>
        <v>unit</v>
      </c>
      <c r="E2385" t="str">
        <f>VLOOKUP(J2385,'dataset mapping'!$A$4:$E$69,4,0)</f>
        <v>RER</v>
      </c>
      <c r="F2385" t="s">
        <v>86</v>
      </c>
      <c r="G2385" t="str">
        <f>VLOOKUP(J2385,'dataset mapping'!$A$4:$E$69,3,0)</f>
        <v>heat and power co-generation unit, 160kW electrical, components for electricity only</v>
      </c>
      <c r="H2385" t="s">
        <v>88</v>
      </c>
      <c r="J2385" t="s">
        <v>146</v>
      </c>
      <c r="K2385" t="str">
        <f>B2344</f>
        <v>heat, residential, by combustion of hydrogen using CHP, allocated by exergy, transported by truck, produced by Electrolysis, Alkaline using water and electricity from Solar PV (CH)</v>
      </c>
      <c r="L2385">
        <f>IF(OR(B2385&lt;0,B2385=0),1,2)</f>
        <v>2</v>
      </c>
      <c r="M2385">
        <f>IF(L2385=2,LN(B2385),"")</f>
        <v>-20.48373734782199</v>
      </c>
      <c r="N2385">
        <v>1.05</v>
      </c>
      <c r="O2385" s="15">
        <v>1.2</v>
      </c>
      <c r="P2385">
        <v>1</v>
      </c>
      <c r="Q2385">
        <v>1.01</v>
      </c>
      <c r="R2385">
        <v>1.2</v>
      </c>
      <c r="S2385">
        <v>1.2</v>
      </c>
      <c r="T2385">
        <v>3</v>
      </c>
      <c r="U2385">
        <f t="shared" si="72"/>
        <v>0.57209088006881903</v>
      </c>
    </row>
    <row r="2386" spans="1:22" x14ac:dyDescent="0.2">
      <c r="A2386" t="str">
        <f>VLOOKUP(J2386,'dataset mapping'!$A$4:$E$69,2,0)</f>
        <v>heat and power co-generation unit construction, 160kW electrical, components for heat only</v>
      </c>
      <c r="B2386" s="52">
        <f>(1/(B2373*B2377*B2376*3.6))*B2378</f>
        <v>1.270649883812899E-9</v>
      </c>
      <c r="C2386" t="str">
        <f>VLOOKUP(J2386,'dataset mapping'!$A$4:$E$69,5,0)</f>
        <v>unit</v>
      </c>
      <c r="E2386" t="str">
        <f>VLOOKUP(J2386,'dataset mapping'!$A$4:$E$69,4,0)</f>
        <v>RER</v>
      </c>
      <c r="F2386" t="s">
        <v>86</v>
      </c>
      <c r="G2386" t="str">
        <f>VLOOKUP(J2386,'dataset mapping'!$A$4:$E$69,3,0)</f>
        <v>heat and power co-generation unit, 160kW electrical, components for heat only</v>
      </c>
      <c r="H2386" t="s">
        <v>88</v>
      </c>
      <c r="J2386" t="s">
        <v>147</v>
      </c>
      <c r="K2386" t="str">
        <f>B2344</f>
        <v>heat, residential, by combustion of hydrogen using CHP, allocated by exergy, transported by truck, produced by Electrolysis, Alkaline using water and electricity from Solar PV (CH)</v>
      </c>
      <c r="L2386">
        <f>IF(OR(B2386&lt;0,B2386=0),1,2)</f>
        <v>2</v>
      </c>
      <c r="M2386">
        <f>IF(L2386=2,LN(B2386),"")</f>
        <v>-20.48373734782199</v>
      </c>
      <c r="N2386">
        <v>1.05</v>
      </c>
      <c r="O2386" s="15">
        <v>1.2</v>
      </c>
      <c r="P2386">
        <v>1</v>
      </c>
      <c r="Q2386">
        <v>1.01</v>
      </c>
      <c r="R2386">
        <v>1.2</v>
      </c>
      <c r="S2386">
        <v>1.2</v>
      </c>
      <c r="T2386">
        <v>3</v>
      </c>
      <c r="U2386">
        <f t="shared" si="72"/>
        <v>0.57209088006881903</v>
      </c>
    </row>
    <row r="2387" spans="1:22" x14ac:dyDescent="0.2">
      <c r="A2387" t="s">
        <v>156</v>
      </c>
      <c r="B2387" s="52">
        <f>0.00000011366*B2378</f>
        <v>1.461672399554354E-8</v>
      </c>
      <c r="C2387" t="s">
        <v>56</v>
      </c>
      <c r="E2387" t="s">
        <v>90</v>
      </c>
      <c r="F2387" t="s">
        <v>86</v>
      </c>
      <c r="G2387" t="s">
        <v>154</v>
      </c>
      <c r="H2387" t="s">
        <v>155</v>
      </c>
      <c r="K2387" t="str">
        <f>B2344</f>
        <v>heat, residential, by combustion of hydrogen using CHP, allocated by exergy, transported by truck, produced by Electrolysis, Alkaline using water and electricity from Solar PV (CH)</v>
      </c>
      <c r="L2387">
        <f>IF(OR(B2387&lt;0,B2387=0),1,2)</f>
        <v>2</v>
      </c>
      <c r="M2387">
        <f>IF(L2387=2,LN(B2387),"")</f>
        <v>-18.041099484645969</v>
      </c>
      <c r="N2387">
        <v>1.05</v>
      </c>
      <c r="O2387" s="15">
        <v>1.2</v>
      </c>
      <c r="P2387">
        <v>1</v>
      </c>
      <c r="Q2387">
        <v>1.01</v>
      </c>
      <c r="R2387">
        <v>1.2</v>
      </c>
      <c r="S2387">
        <v>1.2</v>
      </c>
      <c r="T2387">
        <v>1.05</v>
      </c>
      <c r="U2387">
        <f t="shared" si="72"/>
        <v>0.16169679924070957</v>
      </c>
    </row>
    <row r="2388" spans="1:22" x14ac:dyDescent="0.2">
      <c r="A2388" t="s">
        <v>157</v>
      </c>
      <c r="B2388" s="52">
        <f>0.00000011366*B2378*-1</f>
        <v>-1.461672399554354E-8</v>
      </c>
      <c r="C2388" t="s">
        <v>56</v>
      </c>
      <c r="E2388" t="s">
        <v>64</v>
      </c>
      <c r="F2388" t="s">
        <v>86</v>
      </c>
      <c r="G2388" t="s">
        <v>158</v>
      </c>
      <c r="H2388" t="s">
        <v>155</v>
      </c>
      <c r="K2388" t="str">
        <f>B2344</f>
        <v>heat, residential, by combustion of hydrogen using CHP, allocated by exergy, transported by truck, produced by Electrolysis, Alkaline using water and electricity from Solar PV (CH)</v>
      </c>
      <c r="L2388">
        <v>2</v>
      </c>
      <c r="M2388">
        <f>IF(L2388=2,LN(B2388*-1),"")</f>
        <v>-18.041099484645969</v>
      </c>
      <c r="N2388">
        <v>1.05</v>
      </c>
      <c r="O2388" s="15">
        <v>1.2</v>
      </c>
      <c r="P2388">
        <v>1</v>
      </c>
      <c r="Q2388">
        <v>1.01</v>
      </c>
      <c r="R2388">
        <v>1.2</v>
      </c>
      <c r="S2388">
        <v>1.2</v>
      </c>
      <c r="T2388">
        <v>3</v>
      </c>
      <c r="U2388">
        <f t="shared" si="72"/>
        <v>0.57209088006881903</v>
      </c>
      <c r="V2388" t="b">
        <v>1</v>
      </c>
    </row>
    <row r="2389" spans="1:22" x14ac:dyDescent="0.2">
      <c r="A2389" s="45" t="str">
        <f>"hydrogen supply, transported by "&amp;B2358&amp;", produced by "&amp;B2362&amp;" using "&amp;B2363&amp;" from "&amp;B2364</f>
        <v>hydrogen supply, transported by truck, produced by Electrolysis, Alkaline using water and electricity from Solar PV (CH)</v>
      </c>
      <c r="B2389" s="53">
        <f>(B2383/B2367)/B2366*B2378</f>
        <v>2.56995248347223E-3</v>
      </c>
      <c r="C2389" t="str">
        <f>VLOOKUP(J2389,'dataset mapping'!$A$4:$E$69,5,0)</f>
        <v>kilogram</v>
      </c>
      <c r="E2389" t="str">
        <f>VLOOKUP(J2389,'dataset mapping'!$A$4:$E$69,4,0)</f>
        <v>CH</v>
      </c>
      <c r="F2389" t="s">
        <v>86</v>
      </c>
      <c r="G2389" t="str">
        <f>"hydrogen, gaseous, from "&amp;B997</f>
        <v>hydrogen, gaseous, from truck</v>
      </c>
      <c r="H2389" t="s">
        <v>76</v>
      </c>
      <c r="I2389" t="s">
        <v>1054</v>
      </c>
      <c r="J2389" t="s">
        <v>291</v>
      </c>
      <c r="K2389" t="str">
        <f>B2344</f>
        <v>heat, residential, by combustion of hydrogen using CHP, allocated by exergy, transported by truck, produced by Electrolysis, Alkaline using water and electricity from Solar PV (CH)</v>
      </c>
      <c r="L2389">
        <f>IF(OR(B2389&lt;0,B2389=0),1,2)</f>
        <v>2</v>
      </c>
      <c r="M2389">
        <f>IF(L2389=2,LN(B2389),"")</f>
        <v>-5.9638678691672418</v>
      </c>
      <c r="N2389">
        <v>1.05</v>
      </c>
      <c r="O2389" s="15">
        <v>1.2</v>
      </c>
      <c r="P2389">
        <v>1</v>
      </c>
      <c r="Q2389">
        <v>1.01</v>
      </c>
      <c r="R2389">
        <v>1.2</v>
      </c>
      <c r="S2389">
        <v>1.2</v>
      </c>
      <c r="T2389">
        <v>1.05</v>
      </c>
      <c r="U2389">
        <f t="shared" si="72"/>
        <v>0.16169679924070957</v>
      </c>
    </row>
    <row r="2390" spans="1:22" x14ac:dyDescent="0.2">
      <c r="A2390" t="str">
        <f>VLOOKUP(J2390,'dataset mapping'!$A$4:$E$69,2,0)</f>
        <v>high pressure hydrogen storage tank</v>
      </c>
      <c r="B2390" s="52">
        <f>((B2379/10)/(B2377*B2373*20*3.6))*IF(B2378&lt;&gt;0,B2378,1)</f>
        <v>2.7529546486023421E-7</v>
      </c>
      <c r="C2390" t="str">
        <f>VLOOKUP(J2390,'dataset mapping'!$A$4:$E$69,5,0)</f>
        <v>kilogram</v>
      </c>
      <c r="E2390" t="str">
        <f>VLOOKUP(J2390,'dataset mapping'!$A$4:$E$69,4,0)</f>
        <v>GLO</v>
      </c>
      <c r="F2390" t="s">
        <v>86</v>
      </c>
      <c r="G2390" t="str">
        <f>VLOOKUP(J2390,'dataset mapping'!$A$4:$E$69,3,0)</f>
        <v>high pressure hydrogen storage tank</v>
      </c>
      <c r="H2390" t="s">
        <v>88</v>
      </c>
      <c r="I2390" t="s">
        <v>279</v>
      </c>
      <c r="J2390" t="s">
        <v>229</v>
      </c>
      <c r="K2390" t="str">
        <f>B2344</f>
        <v>heat, residential, by combustion of hydrogen using CHP, allocated by exergy, transported by truck, produced by Electrolysis, Alkaline using water and electricity from Solar PV (CH)</v>
      </c>
      <c r="L2390">
        <f>IF(OR(B2390&lt;0,B2390=0),1,2)</f>
        <v>2</v>
      </c>
      <c r="M2390">
        <f>IF(L2390=2,LN(B2390),"")</f>
        <v>-15.105420898379837</v>
      </c>
      <c r="N2390">
        <v>1.05</v>
      </c>
      <c r="O2390" s="15">
        <v>1.2</v>
      </c>
      <c r="P2390">
        <v>1</v>
      </c>
      <c r="Q2390">
        <v>1.01</v>
      </c>
      <c r="R2390">
        <v>1.2</v>
      </c>
      <c r="S2390">
        <v>1.2</v>
      </c>
      <c r="T2390">
        <v>3</v>
      </c>
      <c r="U2390">
        <f t="shared" si="72"/>
        <v>0.57209088006881903</v>
      </c>
    </row>
    <row r="2391" spans="1:22" x14ac:dyDescent="0.2">
      <c r="A2391" t="s">
        <v>134</v>
      </c>
      <c r="B2391" s="45">
        <f>B2389*9</f>
        <v>2.3129572351250072E-2</v>
      </c>
      <c r="C2391" t="s">
        <v>56</v>
      </c>
      <c r="D2391" t="s">
        <v>100</v>
      </c>
      <c r="F2391" t="s">
        <v>99</v>
      </c>
      <c r="H2391" t="s">
        <v>131</v>
      </c>
      <c r="I2391" t="s">
        <v>1058</v>
      </c>
      <c r="K2391" t="str">
        <f>B2344</f>
        <v>heat, residential, by combustion of hydrogen using CHP, allocated by exergy, transported by truck, produced by Electrolysis, Alkaline using water and electricity from Solar PV (CH)</v>
      </c>
      <c r="L2391">
        <f>IF(OR(B2391&lt;0,B2391=0),1,2)</f>
        <v>2</v>
      </c>
      <c r="M2391">
        <f>IF(L2391=2,LN(B2391),"")</f>
        <v>-3.7666432918310226</v>
      </c>
      <c r="N2391">
        <v>1.05</v>
      </c>
      <c r="O2391" s="15">
        <v>1.2</v>
      </c>
      <c r="P2391">
        <v>1</v>
      </c>
      <c r="Q2391">
        <v>1.01</v>
      </c>
      <c r="R2391">
        <v>1.2</v>
      </c>
      <c r="S2391">
        <v>1.2</v>
      </c>
      <c r="T2391">
        <v>1.05</v>
      </c>
      <c r="U2391">
        <f t="shared" si="72"/>
        <v>0.16169679924070957</v>
      </c>
    </row>
    <row r="2392" spans="1:22" x14ac:dyDescent="0.2">
      <c r="A2392" t="s">
        <v>135</v>
      </c>
      <c r="B2392" s="45">
        <f>912.5/1000000*B2389</f>
        <v>2.3450816411684101E-6</v>
      </c>
      <c r="C2392" t="s">
        <v>56</v>
      </c>
      <c r="D2392" t="s">
        <v>100</v>
      </c>
      <c r="F2392" t="s">
        <v>99</v>
      </c>
      <c r="H2392" t="s">
        <v>131</v>
      </c>
      <c r="I2392" t="s">
        <v>1217</v>
      </c>
      <c r="K2392" t="str">
        <f>B2344</f>
        <v>heat, residential, by combustion of hydrogen using CHP, allocated by exergy, transported by truck, produced by Electrolysis, Alkaline using water and electricity from Solar PV (CH)</v>
      </c>
      <c r="L2392">
        <f>IF(OR(B2392&lt;0,B2392=0),1,2)</f>
        <v>2</v>
      </c>
      <c r="M2392">
        <f>IF(L2392=2,LN(B2392),"")</f>
        <v>-12.963190341674869</v>
      </c>
      <c r="N2392">
        <v>1.05</v>
      </c>
      <c r="O2392" s="15">
        <v>1.2</v>
      </c>
      <c r="P2392">
        <v>1</v>
      </c>
      <c r="Q2392">
        <v>1.01</v>
      </c>
      <c r="R2392">
        <v>1.2</v>
      </c>
      <c r="S2392">
        <v>1.2</v>
      </c>
      <c r="T2392">
        <v>1.5</v>
      </c>
      <c r="U2392">
        <f t="shared" si="72"/>
        <v>0.25816898211842121</v>
      </c>
    </row>
    <row r="2394" spans="1:22" x14ac:dyDescent="0.2">
      <c r="A2394" s="2" t="s">
        <v>50</v>
      </c>
      <c r="B2394" s="44" t="str">
        <f>IF(B2400="megajoule","heat","electricity")&amp;", residential, by "&amp;B2405&amp;" of "&amp;B2404&amp;" using "&amp;B2406&amp;IF(B2407&lt;&gt;0,", allocated by "&amp;B2407,"")&amp;", transported by "&amp;B2408&amp;", produced by "&amp;B2412&amp;" using "&amp;B2413&amp;" from "&amp;B2414</f>
        <v>heat, residential, by conversion of hydrogen using fuel cell, PEM, allocated by exergy, transported by truck, produced by Electrolysis, Alkaline using water and electricity from Solar PV (CH)</v>
      </c>
    </row>
    <row r="2395" spans="1:22" x14ac:dyDescent="0.2">
      <c r="A2395" t="s">
        <v>51</v>
      </c>
      <c r="B2395" s="45" t="str">
        <f>"This dataset represents the supply of 1 "&amp;IF(B2400="megajoule","megajoule of heat","kilowatt hour of electricity")&amp;" in a residence, by "&amp;B2404&amp;" "&amp;B2405&amp;" in a "&amp;B2406&amp;". "&amp;" The hydrogen is transported by "&amp;B2408&amp;" over "&amp;B2409&amp;" km from regional storage. "&amp;" The "&amp;B2404&amp;" is produced by  "&amp;B2412&amp;", with "&amp;B2413&amp;" from "&amp;B2414&amp;" as feedstock. "&amp;A2416&amp;": "&amp;(B2416*100)&amp;"%. "&amp;A2417&amp;": "&amp;B2417&amp;". "&amp;A2418&amp;": "&amp;B2418&amp;". "&amp;A2419&amp;": "&amp;(B2419*100)&amp;"%. "&amp;A2420&amp;": "&amp;(B2420*100)&amp;"%. "&amp;A2421&amp;": "&amp;(B2421*100)&amp;"%. "&amp;A2422&amp;": "&amp;B2422&amp;". "&amp;A2423&amp;": "&amp;B2423&amp;". "&amp;A2424&amp;": "&amp;(B2424*100)&amp;"%. "&amp;A2425&amp;": "&amp;B2425&amp;". "&amp;A2426&amp;": "&amp;B2426&amp;". "&amp;A2427&amp;": "&amp;B2427&amp;". "&amp;A2428&amp;": "&amp;B2428&amp;".  For more information, refer to: "&amp;B2396</f>
        <v>This dataset represents the supply of 1 megajoule of heat in a residence, by hydrogen conversion in a fuel cell, PEM.  The hydrogen is transported by truck over 200 km from regional storage.  The hydrogen is produced by  Electrolysis, Alkaline,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2396" spans="1:22" x14ac:dyDescent="0.2">
      <c r="A2396" t="s">
        <v>63</v>
      </c>
      <c r="B2396" s="45" t="s">
        <v>1223</v>
      </c>
    </row>
    <row r="2397" spans="1:22" x14ac:dyDescent="0.2">
      <c r="A2397" t="s">
        <v>52</v>
      </c>
      <c r="B2397" s="45" t="s">
        <v>64</v>
      </c>
    </row>
    <row r="2398" spans="1:22" x14ac:dyDescent="0.2">
      <c r="A2398" t="s">
        <v>48</v>
      </c>
      <c r="B2398" s="45">
        <v>31</v>
      </c>
    </row>
    <row r="2399" spans="1:22" x14ac:dyDescent="0.2">
      <c r="A2399" t="s">
        <v>54</v>
      </c>
      <c r="B2399" s="45" t="str">
        <f>INDEX(overview!$B$4:$R$338,MATCH('hydrogen - electrolysis'!B2398,overview!$A$4:$A$338,0),MATCH('hydrogen - electrolysis'!A2399,overview!$B$3:$R$3,0))</f>
        <v>heat, from residential heating system</v>
      </c>
    </row>
    <row r="2400" spans="1:22" x14ac:dyDescent="0.2">
      <c r="A2400" t="s">
        <v>55</v>
      </c>
      <c r="B2400" s="45" t="str">
        <f>INDEX(overview!$B$4:$R$338,MATCH('hydrogen - electrolysis'!B2398,overview!$A$4:$A$338,0),MATCH('hydrogen - electrolysis'!A2400,overview!$B$3:$R$3,0))</f>
        <v>megajoule</v>
      </c>
    </row>
    <row r="2401" spans="1:2" x14ac:dyDescent="0.2">
      <c r="A2401" t="s">
        <v>0</v>
      </c>
      <c r="B2401" s="45" t="str">
        <f>INDEX(overview!$B$4:$R$338,MATCH('hydrogen - electrolysis'!B2398,overview!$A$4:$A$338,0),MATCH('hydrogen - electrolysis'!A2401,overview!$B$3:$R$3,0))</f>
        <v>Switzerland</v>
      </c>
    </row>
    <row r="2402" spans="1:2" x14ac:dyDescent="0.2">
      <c r="A2402" t="s">
        <v>1</v>
      </c>
      <c r="B2402" s="45">
        <f>INDEX(overview!$B$4:$R$338,MATCH('hydrogen - electrolysis'!B2398,overview!$A$4:$A$338,0),MATCH('hydrogen - electrolysis'!A2402,overview!$B$3:$R$3,0))</f>
        <v>2020</v>
      </c>
    </row>
    <row r="2403" spans="1:2" x14ac:dyDescent="0.2">
      <c r="A2403" t="s">
        <v>2</v>
      </c>
      <c r="B2403" s="45" t="str">
        <f>INDEX(overview!$B$4:$R$338,MATCH('hydrogen - electrolysis'!B2398,overview!$A$4:$A$338,0),MATCH('hydrogen - electrolysis'!A2403,overview!$B$3:$R$3,0))</f>
        <v>1 MJ heat</v>
      </c>
    </row>
    <row r="2404" spans="1:2" x14ac:dyDescent="0.2">
      <c r="A2404" t="s">
        <v>5</v>
      </c>
      <c r="B2404" s="45" t="str">
        <f>INDEX(overview!$B$4:$R$338,MATCH('hydrogen - electrolysis'!B2398,overview!$A$4:$A$338,0),MATCH('hydrogen - electrolysis'!A2404,overview!$B$3:$R$3,0))</f>
        <v>hydrogen</v>
      </c>
    </row>
    <row r="2405" spans="1:2" x14ac:dyDescent="0.2">
      <c r="A2405" t="s">
        <v>3</v>
      </c>
      <c r="B2405" s="45" t="str">
        <f>INDEX(overview!$B$4:$R$338,MATCH('hydrogen - electrolysis'!B2398,overview!$A$4:$A$338,0),MATCH('hydrogen - electrolysis'!A2405,overview!$B$3:$R$3,0))</f>
        <v>conversion</v>
      </c>
    </row>
    <row r="2406" spans="1:2" x14ac:dyDescent="0.2">
      <c r="A2406" t="s">
        <v>6</v>
      </c>
      <c r="B2406" s="45" t="str">
        <f>INDEX(overview!$B$4:$R$338,MATCH('hydrogen - electrolysis'!B2398,overview!$A$4:$A$338,0),MATCH('hydrogen - electrolysis'!A2406,overview!$B$3:$R$3,0))</f>
        <v>fuel cell, PEM</v>
      </c>
    </row>
    <row r="2407" spans="1:2" x14ac:dyDescent="0.2">
      <c r="A2407" t="s">
        <v>39</v>
      </c>
      <c r="B2407" s="45" t="str">
        <f>INDEX(overview!$B$4:$R$338,MATCH('hydrogen - electrolysis'!B2398,overview!$A$4:$A$338,0),MATCH('hydrogen - electrolysis'!A2407,overview!$B$3:$R$3,0))</f>
        <v>exergy</v>
      </c>
    </row>
    <row r="2408" spans="1:2" x14ac:dyDescent="0.2">
      <c r="A2408" t="s">
        <v>4</v>
      </c>
      <c r="B2408" s="45" t="str">
        <f>INDEX(overview!$B$4:$R$338,MATCH('hydrogen - electrolysis'!B2398,overview!$A$4:$A$338,0),MATCH('hydrogen - electrolysis'!A2408,overview!$B$3:$R$3,0))</f>
        <v>truck</v>
      </c>
    </row>
    <row r="2409" spans="1:2" x14ac:dyDescent="0.2">
      <c r="A2409" t="s">
        <v>38</v>
      </c>
      <c r="B2409" s="45">
        <f>INDEX(overview!$B$4:$R$338,MATCH('hydrogen - electrolysis'!B2398,overview!$A$4:$A$338,0),MATCH('hydrogen - electrolysis'!A2409,overview!$B$3:$R$3,0))</f>
        <v>200</v>
      </c>
    </row>
    <row r="2410" spans="1:2" x14ac:dyDescent="0.2">
      <c r="A2410" t="s">
        <v>12</v>
      </c>
      <c r="B2410" s="45" t="str">
        <f>INDEX(overview!$B$4:$R$338,MATCH('hydrogen - electrolysis'!B2398,overview!$A$4:$A$338,0),MATCH('hydrogen - electrolysis'!A2410,overview!$B$3:$R$3,0))</f>
        <v>Pressure vessel for stationary storage</v>
      </c>
    </row>
    <row r="2411" spans="1:2" x14ac:dyDescent="0.2">
      <c r="A2411" t="s">
        <v>34</v>
      </c>
      <c r="B2411" s="45">
        <f>INDEX(overview!$B$4:$R$338,MATCH('hydrogen - electrolysis'!B2398,overview!$A$4:$A$338,0),MATCH('hydrogen - electrolysis'!A2411,overview!$B$3:$R$3,0))</f>
        <v>0</v>
      </c>
    </row>
    <row r="2412" spans="1:2" x14ac:dyDescent="0.2">
      <c r="A2412" t="s">
        <v>15</v>
      </c>
      <c r="B2412" s="45" t="str">
        <f>INDEX(overview!$B$4:$R$338,MATCH('hydrogen - electrolysis'!B2398,overview!$A$4:$A$338,0),MATCH('hydrogen - electrolysis'!A2412,overview!$B$3:$R$3,0))</f>
        <v>Electrolysis, Alkaline</v>
      </c>
    </row>
    <row r="2413" spans="1:2" x14ac:dyDescent="0.2">
      <c r="A2413" t="s">
        <v>14</v>
      </c>
      <c r="B2413" s="45" t="str">
        <f>INDEX(overview!$B$4:$R$338,MATCH('hydrogen - electrolysis'!B2398,overview!$A$4:$A$338,0),MATCH('hydrogen - electrolysis'!A2413,overview!$B$3:$R$3,0))</f>
        <v>water and electricity</v>
      </c>
    </row>
    <row r="2414" spans="1:2" x14ac:dyDescent="0.2">
      <c r="A2414" t="s">
        <v>26</v>
      </c>
      <c r="B2414" s="45" t="str">
        <f>INDEX(overview!$B$4:$R$338,MATCH('hydrogen - electrolysis'!B2398,overview!$A$4:$A$338,0),MATCH('hydrogen - electrolysis'!A2414,overview!$B$3:$R$3,0))</f>
        <v>Solar PV (CH)</v>
      </c>
    </row>
    <row r="2415" spans="1:2" x14ac:dyDescent="0.2">
      <c r="A2415" t="s">
        <v>29</v>
      </c>
      <c r="B2415" s="45">
        <f>INDEX(overview!$B$4:$R$338,MATCH('hydrogen - electrolysis'!B2398,overview!$A$4:$A$338,0),MATCH('hydrogen - electrolysis'!A2415,overview!$B$3:$R$3,0))</f>
        <v>0</v>
      </c>
    </row>
    <row r="2416" spans="1:2" x14ac:dyDescent="0.2">
      <c r="A2416" t="str">
        <f>IF(B2400="megajoule","Heat","Electricity")&amp;" conversion efficiency [% LHV input]"</f>
        <v>Heat conversion efficiency [% LHV input]</v>
      </c>
      <c r="B2416" s="46">
        <f>INDEX(parameters!$D$4:$N$20,MATCH('hydrogen - electrolysis'!B2404&amp;'hydrogen - electrolysis'!B2406,parameters!$A$4:$A$20,0),MATCH('hydrogen - electrolysis'!A2416,parameters!$D$3:$N$3,0))</f>
        <v>0.5</v>
      </c>
    </row>
    <row r="2417" spans="1:22" x14ac:dyDescent="0.2">
      <c r="A2417" t="str">
        <f>IF(B2400="megajoule","LHV [MJ/kg]","LHV [kWh/kg]")</f>
        <v>LHV [MJ/kg]</v>
      </c>
      <c r="B2417" s="47">
        <f>INDEX(parameters!$D$4:$N$20,MATCH('hydrogen - electrolysis'!B2404&amp;'hydrogen - electrolysis'!B2406,parameters!$A$4:$A$20,0),MATCH('hydrogen - electrolysis'!A2417,parameters!$D$3:$N$3,0))</f>
        <v>120</v>
      </c>
    </row>
    <row r="2418" spans="1:22" x14ac:dyDescent="0.2">
      <c r="A2418" t="s">
        <v>41</v>
      </c>
      <c r="B2418" s="48">
        <f>INDEX(parameters!$D$4:$N$20,MATCH('hydrogen - electrolysis'!B2404&amp;'hydrogen - electrolysis'!B2406,parameters!$A$4:$A$20,0),MATCH('hydrogen - electrolysis'!A2418,parameters!$D$3:$N$3,0))</f>
        <v>2.6666666666666665E-2</v>
      </c>
    </row>
    <row r="2419" spans="1:22" x14ac:dyDescent="0.2">
      <c r="A2419" t="s">
        <v>45</v>
      </c>
      <c r="B2419" s="46">
        <f>INDEX(parameters!$D$4:$N$20,MATCH('hydrogen - electrolysis'!B2404&amp;'hydrogen - electrolysis'!B2406,parameters!$A$4:$A$20,0),MATCH('hydrogen - electrolysis'!A2419,parameters!$D$3:$N$3,0))</f>
        <v>0</v>
      </c>
    </row>
    <row r="2420" spans="1:22" x14ac:dyDescent="0.2">
      <c r="A2420" t="s">
        <v>46</v>
      </c>
      <c r="B2420" s="46">
        <f>INDEX(parameters!$D$4:$N$20,MATCH('hydrogen - electrolysis'!B2404&amp;'hydrogen - electrolysis'!B2406,parameters!$A$4:$A$20,0),MATCH('hydrogen - electrolysis'!A2420,parameters!$D$3:$N$3,0))</f>
        <v>1.4999999999999999E-2</v>
      </c>
    </row>
    <row r="2421" spans="1:22" x14ac:dyDescent="0.2">
      <c r="A2421" t="s">
        <v>43</v>
      </c>
      <c r="B2421" s="46">
        <f>INDEX(parameters!$D$4:$N$20,MATCH('hydrogen - electrolysis'!B2404&amp;'hydrogen - electrolysis'!B2406,parameters!$A$4:$A$20,0),MATCH('hydrogen - electrolysis'!A2421,parameters!$D$3:$N$3,0))</f>
        <v>0</v>
      </c>
    </row>
    <row r="2422" spans="1:22" x14ac:dyDescent="0.2">
      <c r="A2422" t="s">
        <v>44</v>
      </c>
      <c r="B2422" s="46">
        <f>INDEX(parameters!$D$4:$N$20,MATCH('hydrogen - electrolysis'!B2404&amp;'hydrogen - electrolysis'!B2406,parameters!$A$4:$A$20,0),MATCH('hydrogen - electrolysis'!A2422,parameters!$D$3:$N$3,0))</f>
        <v>0</v>
      </c>
    </row>
    <row r="2423" spans="1:22" x14ac:dyDescent="0.2">
      <c r="A2423" t="s">
        <v>634</v>
      </c>
      <c r="B2423" s="51">
        <f>INDEX(parameters!$D$4:$Y$20,MATCH('hydrogen - electrolysis'!B2404&amp;'hydrogen - electrolysis'!B2406,parameters!$A$4:$A$20,0),MATCH('hydrogen - electrolysis'!A2423,parameters!$D$3:$Y$3,0))</f>
        <v>1.8947368421052633</v>
      </c>
    </row>
    <row r="2424" spans="1:22" x14ac:dyDescent="0.2">
      <c r="A2424" t="s">
        <v>82</v>
      </c>
      <c r="B2424" s="46">
        <f>IF(B2415&lt;&gt;0,VLOOKUP(B2415,parameters!A1589:B1591,2,0),0)</f>
        <v>0</v>
      </c>
    </row>
    <row r="2425" spans="1:22" x14ac:dyDescent="0.2">
      <c r="A2425" t="s">
        <v>548</v>
      </c>
      <c r="B2425" s="50">
        <f>INDEX(parameters!$D$4:$P$20,MATCH(B2404&amp;B2406,parameters!$A$4:$A$20,0),MATCH(A2425,parameters!$D$3:$P$3,0))</f>
        <v>0.8</v>
      </c>
    </row>
    <row r="2426" spans="1:22" x14ac:dyDescent="0.2">
      <c r="A2426" t="s">
        <v>547</v>
      </c>
      <c r="B2426" s="51">
        <f>INDEX(parameters!$D$4:$P$20,MATCH(B2404&amp;B2406,parameters!$A$4:$A$20,0),MATCH(A2426,parameters!$D$3:$P$3,0))</f>
        <v>4.8780487804878048</v>
      </c>
    </row>
    <row r="2427" spans="1:22" x14ac:dyDescent="0.2">
      <c r="A2427" t="s">
        <v>630</v>
      </c>
      <c r="B2427" s="51">
        <f>INDEX(parameters!$D$4:$T$20,MATCH(B2404&amp;B2406,parameters!$A$4:$A$20,0),MATCH(A2427,parameters!$D$3:$T$3,0))</f>
        <v>4100</v>
      </c>
    </row>
    <row r="2428" spans="1:22" x14ac:dyDescent="0.2">
      <c r="A2428" t="s">
        <v>1005</v>
      </c>
      <c r="B2428" s="50">
        <f>IF(B2400="megajoule",SUMIFS(allocation!$I$4:$I$30,allocation!$B$4:$B$30,B2406,allocation!$C$4:$C$30,B2407),SUMIFS(allocation!$J$4:$J$30,allocation!$B$4:$B$30,B2406,allocation!$C$4:$C$30,B2407))</f>
        <v>0.13933980798974457</v>
      </c>
    </row>
    <row r="2429" spans="1:22" x14ac:dyDescent="0.2">
      <c r="A2429" t="s">
        <v>1050</v>
      </c>
      <c r="B2429" s="51">
        <f>INDEX(parameters!$D$4:$AB$20,MATCH(B2404&amp;B2406,parameters!$A$4:$A$20,0),MATCH(A2429,parameters!$D$3:$AB$3,0))</f>
        <v>10.221606648199446</v>
      </c>
    </row>
    <row r="2431" spans="1:22" x14ac:dyDescent="0.2">
      <c r="A2431" s="3" t="s">
        <v>57</v>
      </c>
    </row>
    <row r="2432" spans="1:22" x14ac:dyDescent="0.2">
      <c r="A2432" s="2" t="s">
        <v>58</v>
      </c>
      <c r="B2432" s="44" t="s">
        <v>59</v>
      </c>
      <c r="C2432" s="2" t="s">
        <v>55</v>
      </c>
      <c r="D2432" s="2" t="s">
        <v>60</v>
      </c>
      <c r="E2432" s="2" t="s">
        <v>52</v>
      </c>
      <c r="F2432" s="2" t="s">
        <v>61</v>
      </c>
      <c r="G2432" s="2" t="s">
        <v>54</v>
      </c>
      <c r="H2432" s="2" t="s">
        <v>87</v>
      </c>
      <c r="I2432" s="2" t="s">
        <v>51</v>
      </c>
      <c r="J2432" s="2" t="s">
        <v>138</v>
      </c>
      <c r="K2432" s="2" t="s">
        <v>136</v>
      </c>
      <c r="L2432" s="2" t="s">
        <v>221</v>
      </c>
      <c r="M2432" s="2" t="s">
        <v>379</v>
      </c>
      <c r="N2432" s="2" t="s">
        <v>1059</v>
      </c>
      <c r="O2432" s="2" t="s">
        <v>1060</v>
      </c>
      <c r="P2432" s="2" t="s">
        <v>1061</v>
      </c>
      <c r="Q2432" s="2" t="s">
        <v>1062</v>
      </c>
      <c r="R2432" s="2" t="s">
        <v>1063</v>
      </c>
      <c r="S2432" s="2" t="s">
        <v>1064</v>
      </c>
      <c r="T2432" s="2" t="s">
        <v>1065</v>
      </c>
      <c r="U2432" s="2" t="s">
        <v>380</v>
      </c>
      <c r="V2432" s="2" t="s">
        <v>1128</v>
      </c>
    </row>
    <row r="2433" spans="1:21" x14ac:dyDescent="0.2">
      <c r="A2433" t="str">
        <f>B2394</f>
        <v>heat, residential, by conversion of hydrogen using fuel cell, PEM, allocated by exergy, transported by truck, produced by Electrolysis, Alkaline using water and electricity from Solar PV (CH)</v>
      </c>
      <c r="B2433" s="45">
        <v>1</v>
      </c>
      <c r="C2433" t="str">
        <f>B2400</f>
        <v>megajoule</v>
      </c>
      <c r="E2433" t="str">
        <f>B2397</f>
        <v>CH</v>
      </c>
      <c r="F2433" t="s">
        <v>62</v>
      </c>
      <c r="G2433" t="str">
        <f>B2399</f>
        <v>heat, from residential heating system</v>
      </c>
      <c r="K2433" t="str">
        <f>B2394</f>
        <v>heat, residential, by conversion of hydrogen using fuel cell, PEM, allocated by exergy, transported by truck, produced by Electrolysis, Alkaline using water and electricity from Solar PV (CH)</v>
      </c>
    </row>
    <row r="2434" spans="1:21" x14ac:dyDescent="0.2">
      <c r="A2434" t="str">
        <f>VLOOKUP(J2434,'dataset mapping'!$A$4:$E$69,2,0)</f>
        <v>fuel cell system assembly, 1 kWe, proton exchange membrane (PEM)</v>
      </c>
      <c r="B2434" s="52">
        <f>(1/(B2423*B2427*B2426*3.6))*B2428</f>
        <v>1.0213951974556892E-6</v>
      </c>
      <c r="C2434" t="str">
        <f>VLOOKUP(J2434,'dataset mapping'!$A$4:$E$69,5,0)</f>
        <v>unit</v>
      </c>
      <c r="E2434" t="str">
        <f>VLOOKUP(J2434,'dataset mapping'!$A$4:$E$69,4,0)</f>
        <v>GLO</v>
      </c>
      <c r="F2434" t="s">
        <v>86</v>
      </c>
      <c r="G2434" t="str">
        <f>VLOOKUP(J2434,'dataset mapping'!$A$4:$E$69,3,0)</f>
        <v>fuel cell system, 1 kWe, proton exchange membrane (PEM)</v>
      </c>
      <c r="H2434" t="s">
        <v>88</v>
      </c>
      <c r="I2434" t="s">
        <v>272</v>
      </c>
      <c r="J2434" t="s">
        <v>273</v>
      </c>
      <c r="K2434" t="str">
        <f>B2394</f>
        <v>heat, residential, by conversion of hydrogen using fuel cell, PEM, allocated by exergy, transported by truck, produced by Electrolysis, Alkaline using water and electricity from Solar PV (CH)</v>
      </c>
      <c r="L2434">
        <f>IF(OR(B2434&lt;0,B2434=0),1,2)</f>
        <v>2</v>
      </c>
      <c r="M2434">
        <f>IF(L2434=2,LN(B2434),"")</f>
        <v>-13.794341024667077</v>
      </c>
      <c r="N2434">
        <v>1</v>
      </c>
      <c r="O2434" s="15">
        <v>1.2</v>
      </c>
      <c r="P2434">
        <v>1</v>
      </c>
      <c r="Q2434">
        <v>1.01</v>
      </c>
      <c r="R2434">
        <v>1.2</v>
      </c>
      <c r="S2434">
        <v>1.2</v>
      </c>
      <c r="T2434">
        <v>3</v>
      </c>
      <c r="U2434">
        <f>LN(SQRT(EXP(
SQRT(
+POWER(LN(N2434),2)
+POWER(LN(O2434),2)
+POWER(LN(P2434),2)
+POWER(LN(Q2434),2)
+POWER(LN(R2434),2)
+POWER(LN(S2434),2)
+POWER(LN(T2434),2)
)
)))</f>
        <v>0.57157051623399524</v>
      </c>
    </row>
    <row r="2435" spans="1:21" x14ac:dyDescent="0.2">
      <c r="A2435" s="45" t="str">
        <f>"hydrogen supply, transported by "&amp;B2408&amp;", produced by "&amp;B2412&amp;" using "&amp;B2413&amp;" from "&amp;B2414</f>
        <v>hydrogen supply, transported by truck, produced by Electrolysis, Alkaline using water and electricity from Solar PV (CH)</v>
      </c>
      <c r="B2435" s="53">
        <f>(B2433/B2417)/B2416*B2428</f>
        <v>2.3223301331624095E-3</v>
      </c>
      <c r="C2435" t="str">
        <f>VLOOKUP(J2435,'dataset mapping'!$A$4:$E$69,5,0)</f>
        <v>kilogram</v>
      </c>
      <c r="E2435" t="str">
        <f>VLOOKUP(J2435,'dataset mapping'!$A$4:$E$69,4,0)</f>
        <v>CH</v>
      </c>
      <c r="F2435" t="s">
        <v>86</v>
      </c>
      <c r="G2435" t="str">
        <f>"hydrogen, gaseous, from "&amp;B2408</f>
        <v>hydrogen, gaseous, from truck</v>
      </c>
      <c r="H2435" t="s">
        <v>76</v>
      </c>
      <c r="I2435" t="s">
        <v>1054</v>
      </c>
      <c r="J2435" t="s">
        <v>291</v>
      </c>
      <c r="K2435" t="str">
        <f>B2394</f>
        <v>heat, residential, by conversion of hydrogen using fuel cell, PEM, allocated by exergy, transported by truck, produced by Electrolysis, Alkaline using water and electricity from Solar PV (CH)</v>
      </c>
      <c r="L2435">
        <f>IF(OR(B2435&lt;0,B2435=0),1,2)</f>
        <v>2</v>
      </c>
      <c r="M2435">
        <f>IF(L2435=2,LN(B2435),"")</f>
        <v>-6.0651842296013152</v>
      </c>
      <c r="N2435">
        <v>1</v>
      </c>
      <c r="O2435" s="15">
        <v>1.2</v>
      </c>
      <c r="P2435">
        <v>1</v>
      </c>
      <c r="Q2435">
        <v>1.01</v>
      </c>
      <c r="R2435">
        <v>1.2</v>
      </c>
      <c r="S2435">
        <v>1.2</v>
      </c>
      <c r="T2435">
        <v>1.05</v>
      </c>
      <c r="U2435">
        <f>LN(SQRT(EXP(
SQRT(
+POWER(LN(N2435),2)
+POWER(LN(O2435),2)
+POWER(LN(P2435),2)
+POWER(LN(Q2435),2)
+POWER(LN(R2435),2)
+POWER(LN(S2435),2)
+POWER(LN(T2435),2)
)
)))</f>
        <v>0.15984597228197622</v>
      </c>
    </row>
    <row r="2436" spans="1:21" x14ac:dyDescent="0.2">
      <c r="A2436" t="str">
        <f>VLOOKUP(J2436,'dataset mapping'!$A$4:$E$69,2,0)</f>
        <v>high pressure hydrogen storage tank</v>
      </c>
      <c r="B2436" s="52">
        <f>((B2429/10)/(B2427*B2423*20*3.6))*IF(B2428&lt;&gt;0,B2428,1)</f>
        <v>2.5464146196956242E-7</v>
      </c>
      <c r="C2436" t="str">
        <f>VLOOKUP(J2436,'dataset mapping'!$A$4:$E$69,5,0)</f>
        <v>kilogram</v>
      </c>
      <c r="E2436" t="str">
        <f>VLOOKUP(J2436,'dataset mapping'!$A$4:$E$69,4,0)</f>
        <v>GLO</v>
      </c>
      <c r="F2436" t="s">
        <v>86</v>
      </c>
      <c r="G2436" t="str">
        <f>VLOOKUP(J2436,'dataset mapping'!$A$4:$E$69,3,0)</f>
        <v>high pressure hydrogen storage tank</v>
      </c>
      <c r="H2436" t="s">
        <v>88</v>
      </c>
      <c r="I2436" t="s">
        <v>280</v>
      </c>
      <c r="J2436" t="s">
        <v>229</v>
      </c>
      <c r="K2436" t="str">
        <f>B2394</f>
        <v>heat, residential, by conversion of hydrogen using fuel cell, PEM, allocated by exergy, transported by truck, produced by Electrolysis, Alkaline using water and electricity from Solar PV (CH)</v>
      </c>
      <c r="L2436">
        <f>IF(OR(B2436&lt;0,B2436=0),1,2)</f>
        <v>2</v>
      </c>
      <c r="M2436">
        <f>IF(L2436=2,LN(B2436),"")</f>
        <v>-15.183409312669692</v>
      </c>
      <c r="N2436">
        <v>1</v>
      </c>
      <c r="O2436" s="15">
        <v>1.2</v>
      </c>
      <c r="P2436">
        <v>1</v>
      </c>
      <c r="Q2436">
        <v>1.01</v>
      </c>
      <c r="R2436">
        <v>1.2</v>
      </c>
      <c r="S2436">
        <v>1.2</v>
      </c>
      <c r="T2436">
        <v>3</v>
      </c>
      <c r="U2436">
        <f>LN(SQRT(EXP(
SQRT(
+POWER(LN(N2436),2)
+POWER(LN(O2436),2)
+POWER(LN(P2436),2)
+POWER(LN(Q2436),2)
+POWER(LN(R2436),2)
+POWER(LN(S2436),2)
+POWER(LN(T2436),2)
)
)))</f>
        <v>0.57157051623399524</v>
      </c>
    </row>
    <row r="2437" spans="1:21" x14ac:dyDescent="0.2">
      <c r="A2437" t="s">
        <v>134</v>
      </c>
      <c r="B2437" s="45">
        <f>B2435*9</f>
        <v>2.0900971198461685E-2</v>
      </c>
      <c r="C2437" t="s">
        <v>56</v>
      </c>
      <c r="D2437" t="s">
        <v>100</v>
      </c>
      <c r="F2437" t="s">
        <v>99</v>
      </c>
      <c r="H2437" t="s">
        <v>131</v>
      </c>
      <c r="I2437" t="s">
        <v>1057</v>
      </c>
      <c r="K2437" t="str">
        <f>B2394</f>
        <v>heat, residential, by conversion of hydrogen using fuel cell, PEM, allocated by exergy, transported by truck, produced by Electrolysis, Alkaline using water and electricity from Solar PV (CH)</v>
      </c>
      <c r="L2437">
        <f>IF(OR(B2437&lt;0,B2437=0),1,2)</f>
        <v>2</v>
      </c>
      <c r="M2437">
        <f>IF(L2437=2,LN(B2437),"")</f>
        <v>-3.8679596522650961</v>
      </c>
      <c r="N2437">
        <v>1</v>
      </c>
      <c r="O2437" s="15">
        <v>1.2</v>
      </c>
      <c r="P2437">
        <v>1</v>
      </c>
      <c r="Q2437">
        <v>1.01</v>
      </c>
      <c r="R2437">
        <v>1.2</v>
      </c>
      <c r="S2437">
        <v>1.2</v>
      </c>
      <c r="T2437">
        <v>1.05</v>
      </c>
      <c r="U2437">
        <f>LN(SQRT(EXP(
SQRT(
+POWER(LN(N2437),2)
+POWER(LN(O2437),2)
+POWER(LN(P2437),2)
+POWER(LN(Q2437),2)
+POWER(LN(R2437),2)
+POWER(LN(S2437),2)
+POWER(LN(T2437),2)
)
)))</f>
        <v>0.15984597228197622</v>
      </c>
    </row>
    <row r="2439" spans="1:21" x14ac:dyDescent="0.2">
      <c r="A2439" s="2" t="s">
        <v>50</v>
      </c>
      <c r="B2439" s="44" t="str">
        <f>IF(B2445="megajoule","heat","electricity")&amp;", residential, by "&amp;B2450&amp;" of "&amp;B2449&amp;" using "&amp;B2451&amp;IF(B2452&lt;&gt;0,", allocated by "&amp;B2452,"")&amp;", transported by "&amp;B2453&amp;", produced by "&amp;B2457&amp;" using "&amp;B2458&amp;" from "&amp;B2459</f>
        <v>heat, residential, by conversion of hydrogen using fuel cell, SOFC, allocated by exergy, transported by truck, produced by Electrolysis, Alkaline using water and electricity from Solar PV (CH)</v>
      </c>
    </row>
    <row r="2440" spans="1:21" x14ac:dyDescent="0.2">
      <c r="A2440" t="s">
        <v>51</v>
      </c>
      <c r="B2440" s="45" t="str">
        <f>"This dataset represents the supply of 1 "&amp;IF(B2445="megajoule","megajoule of heat","kilowatt hour of electricity")&amp;" in a residence, by "&amp;B2449&amp;" "&amp;B2450&amp;" in a "&amp;B2451&amp;". "&amp;" The hydrogen is transported by "&amp;B2453&amp;" over "&amp;B2454&amp;" km from regional storage. "&amp;" The "&amp;B2449&amp;" is produced by  "&amp;B2457&amp;", with "&amp;B2458&amp;" from "&amp;B2459&amp;" as feedstock. "&amp;A2461&amp;": "&amp;(B2461*100)&amp;"%. "&amp;A2462&amp;": "&amp;B2462&amp;". "&amp;A2463&amp;": "&amp;B2463&amp;". "&amp;A2464&amp;": "&amp;(B2464*100)&amp;"%. "&amp;A2465&amp;": "&amp;(B2465*100)&amp;"%. "&amp;A2466&amp;": "&amp;(B2466*100)&amp;"%. "&amp;A2467&amp;": "&amp;B2467&amp;". "&amp;A2468&amp;": "&amp;B2468&amp;". "&amp;A2469&amp;": "&amp;(B2469*100)&amp;"%. "&amp;A2470&amp;": "&amp;B2470&amp;". "&amp;A2471&amp;": "&amp;B2471&amp;". "&amp;A2472&amp;": "&amp;B2472&amp;". "&amp;A2473&amp;": "&amp;B2473&amp;".  For more information, refer to: "&amp;B2441</f>
        <v>This dataset represents the supply of 1 megajoule of heat in a residence, by hydrogen conversion in a fuel cell, SOFC.  The hydrogen is transported by truck over 200 km from regional storage.  The hydrogen is produced by  Electrolysis, Alkaline,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2441" spans="1:21" x14ac:dyDescent="0.2">
      <c r="A2441" t="s">
        <v>63</v>
      </c>
      <c r="B2441" s="45" t="s">
        <v>1223</v>
      </c>
    </row>
    <row r="2442" spans="1:21" x14ac:dyDescent="0.2">
      <c r="A2442" t="s">
        <v>52</v>
      </c>
      <c r="B2442" s="45" t="s">
        <v>64</v>
      </c>
    </row>
    <row r="2443" spans="1:21" x14ac:dyDescent="0.2">
      <c r="A2443" t="s">
        <v>48</v>
      </c>
      <c r="B2443" s="45">
        <v>32</v>
      </c>
    </row>
    <row r="2444" spans="1:21" x14ac:dyDescent="0.2">
      <c r="A2444" t="s">
        <v>54</v>
      </c>
      <c r="B2444" s="45" t="str">
        <f>INDEX(overview!$B$4:$R$338,MATCH('hydrogen - electrolysis'!B2443,overview!$A$4:$A$338,0),MATCH('hydrogen - electrolysis'!A2444,overview!$B$3:$R$3,0))</f>
        <v>heat, from residential heating system</v>
      </c>
    </row>
    <row r="2445" spans="1:21" x14ac:dyDescent="0.2">
      <c r="A2445" t="s">
        <v>55</v>
      </c>
      <c r="B2445" s="45" t="str">
        <f>INDEX(overview!$B$4:$R$338,MATCH('hydrogen - electrolysis'!B2443,overview!$A$4:$A$338,0),MATCH('hydrogen - electrolysis'!A2445,overview!$B$3:$R$3,0))</f>
        <v>megajoule</v>
      </c>
    </row>
    <row r="2446" spans="1:21" x14ac:dyDescent="0.2">
      <c r="A2446" t="s">
        <v>0</v>
      </c>
      <c r="B2446" s="45" t="str">
        <f>INDEX(overview!$B$4:$R$338,MATCH('hydrogen - electrolysis'!B2443,overview!$A$4:$A$338,0),MATCH('hydrogen - electrolysis'!A2446,overview!$B$3:$R$3,0))</f>
        <v>Switzerland</v>
      </c>
    </row>
    <row r="2447" spans="1:21" x14ac:dyDescent="0.2">
      <c r="A2447" t="s">
        <v>1</v>
      </c>
      <c r="B2447" s="45">
        <f>INDEX(overview!$B$4:$R$338,MATCH('hydrogen - electrolysis'!B2443,overview!$A$4:$A$338,0),MATCH('hydrogen - electrolysis'!A2447,overview!$B$3:$R$3,0))</f>
        <v>2020</v>
      </c>
    </row>
    <row r="2448" spans="1:21" x14ac:dyDescent="0.2">
      <c r="A2448" t="s">
        <v>2</v>
      </c>
      <c r="B2448" s="45" t="str">
        <f>INDEX(overview!$B$4:$R$338,MATCH('hydrogen - electrolysis'!B2443,overview!$A$4:$A$338,0),MATCH('hydrogen - electrolysis'!A2448,overview!$B$3:$R$3,0))</f>
        <v>1 MJ heat</v>
      </c>
    </row>
    <row r="2449" spans="1:2" x14ac:dyDescent="0.2">
      <c r="A2449" t="s">
        <v>5</v>
      </c>
      <c r="B2449" s="45" t="str">
        <f>INDEX(overview!$B$4:$R$338,MATCH('hydrogen - electrolysis'!B2443,overview!$A$4:$A$338,0),MATCH('hydrogen - electrolysis'!A2449,overview!$B$3:$R$3,0))</f>
        <v>hydrogen</v>
      </c>
    </row>
    <row r="2450" spans="1:2" x14ac:dyDescent="0.2">
      <c r="A2450" t="s">
        <v>3</v>
      </c>
      <c r="B2450" s="45" t="str">
        <f>INDEX(overview!$B$4:$R$338,MATCH('hydrogen - electrolysis'!B2443,overview!$A$4:$A$338,0),MATCH('hydrogen - electrolysis'!A2450,overview!$B$3:$R$3,0))</f>
        <v>conversion</v>
      </c>
    </row>
    <row r="2451" spans="1:2" x14ac:dyDescent="0.2">
      <c r="A2451" t="s">
        <v>6</v>
      </c>
      <c r="B2451" s="45" t="str">
        <f>INDEX(overview!$B$4:$R$338,MATCH('hydrogen - electrolysis'!B2443,overview!$A$4:$A$338,0),MATCH('hydrogen - electrolysis'!A2451,overview!$B$3:$R$3,0))</f>
        <v>fuel cell, SOFC</v>
      </c>
    </row>
    <row r="2452" spans="1:2" x14ac:dyDescent="0.2">
      <c r="A2452" t="s">
        <v>39</v>
      </c>
      <c r="B2452" s="45" t="str">
        <f>INDEX(overview!$B$4:$R$338,MATCH('hydrogen - electrolysis'!B2443,overview!$A$4:$A$338,0),MATCH('hydrogen - electrolysis'!A2452,overview!$B$3:$R$3,0))</f>
        <v>exergy</v>
      </c>
    </row>
    <row r="2453" spans="1:2" x14ac:dyDescent="0.2">
      <c r="A2453" t="s">
        <v>4</v>
      </c>
      <c r="B2453" s="45" t="str">
        <f>INDEX(overview!$B$4:$R$338,MATCH('hydrogen - electrolysis'!B2443,overview!$A$4:$A$338,0),MATCH('hydrogen - electrolysis'!A2453,overview!$B$3:$R$3,0))</f>
        <v>truck</v>
      </c>
    </row>
    <row r="2454" spans="1:2" x14ac:dyDescent="0.2">
      <c r="A2454" t="s">
        <v>38</v>
      </c>
      <c r="B2454" s="45">
        <f>INDEX(overview!$B$4:$R$338,MATCH('hydrogen - electrolysis'!B2443,overview!$A$4:$A$338,0),MATCH('hydrogen - electrolysis'!A2454,overview!$B$3:$R$3,0))</f>
        <v>200</v>
      </c>
    </row>
    <row r="2455" spans="1:2" x14ac:dyDescent="0.2">
      <c r="A2455" t="s">
        <v>12</v>
      </c>
      <c r="B2455" s="45" t="str">
        <f>INDEX(overview!$B$4:$R$338,MATCH('hydrogen - electrolysis'!B2443,overview!$A$4:$A$338,0),MATCH('hydrogen - electrolysis'!A2455,overview!$B$3:$R$3,0))</f>
        <v>Pressure vessel for stationary storage</v>
      </c>
    </row>
    <row r="2456" spans="1:2" x14ac:dyDescent="0.2">
      <c r="A2456" t="s">
        <v>34</v>
      </c>
      <c r="B2456" s="45">
        <f>INDEX(overview!$B$4:$R$338,MATCH('hydrogen - electrolysis'!B2443,overview!$A$4:$A$338,0),MATCH('hydrogen - electrolysis'!A2456,overview!$B$3:$R$3,0))</f>
        <v>0</v>
      </c>
    </row>
    <row r="2457" spans="1:2" x14ac:dyDescent="0.2">
      <c r="A2457" t="s">
        <v>15</v>
      </c>
      <c r="B2457" s="45" t="str">
        <f>INDEX(overview!$B$4:$R$338,MATCH('hydrogen - electrolysis'!B2443,overview!$A$4:$A$338,0),MATCH('hydrogen - electrolysis'!A2457,overview!$B$3:$R$3,0))</f>
        <v>Electrolysis, Alkaline</v>
      </c>
    </row>
    <row r="2458" spans="1:2" x14ac:dyDescent="0.2">
      <c r="A2458" t="s">
        <v>14</v>
      </c>
      <c r="B2458" s="45" t="str">
        <f>INDEX(overview!$B$4:$R$338,MATCH('hydrogen - electrolysis'!B2443,overview!$A$4:$A$338,0),MATCH('hydrogen - electrolysis'!A2458,overview!$B$3:$R$3,0))</f>
        <v>water and electricity</v>
      </c>
    </row>
    <row r="2459" spans="1:2" x14ac:dyDescent="0.2">
      <c r="A2459" t="s">
        <v>26</v>
      </c>
      <c r="B2459" s="45" t="str">
        <f>INDEX(overview!$B$4:$R$338,MATCH('hydrogen - electrolysis'!B2443,overview!$A$4:$A$338,0),MATCH('hydrogen - electrolysis'!A2459,overview!$B$3:$R$3,0))</f>
        <v>Solar PV (CH)</v>
      </c>
    </row>
    <row r="2460" spans="1:2" x14ac:dyDescent="0.2">
      <c r="A2460" t="s">
        <v>29</v>
      </c>
      <c r="B2460" s="45">
        <f>INDEX(overview!$B$4:$R$338,MATCH('hydrogen - electrolysis'!B2443,overview!$A$4:$A$338,0),MATCH('hydrogen - electrolysis'!A2460,overview!$B$3:$R$3,0))</f>
        <v>0</v>
      </c>
    </row>
    <row r="2461" spans="1:2" x14ac:dyDescent="0.2">
      <c r="A2461" t="str">
        <f>IF(B2445="megajoule","Heat","Electricity")&amp;" conversion efficiency [% LHV input]"</f>
        <v>Heat conversion efficiency [% LHV input]</v>
      </c>
      <c r="B2461" s="46">
        <f>INDEX(parameters!$D$4:$N$20,MATCH('hydrogen - electrolysis'!B2449&amp;'hydrogen - electrolysis'!B2451,parameters!$A$4:$A$20,0),MATCH('hydrogen - electrolysis'!A2461,parameters!$D$3:$N$3,0))</f>
        <v>0.53</v>
      </c>
    </row>
    <row r="2462" spans="1:2" x14ac:dyDescent="0.2">
      <c r="A2462" t="str">
        <f>IF(B2445="megajoule","LHV [MJ/kg]","LHV [kWh/kg]")</f>
        <v>LHV [MJ/kg]</v>
      </c>
      <c r="B2462" s="47">
        <f>INDEX(parameters!$D$4:$N$20,MATCH('hydrogen - electrolysis'!B2449&amp;'hydrogen - electrolysis'!B2451,parameters!$A$4:$A$20,0),MATCH('hydrogen - electrolysis'!A2462,parameters!$D$3:$N$3,0))</f>
        <v>120</v>
      </c>
    </row>
    <row r="2463" spans="1:2" x14ac:dyDescent="0.2">
      <c r="A2463" t="s">
        <v>41</v>
      </c>
      <c r="B2463" s="48">
        <f>INDEX(parameters!$D$4:$N$20,MATCH('hydrogen - electrolysis'!B2449&amp;'hydrogen - electrolysis'!B2451,parameters!$A$4:$A$20,0),MATCH('hydrogen - electrolysis'!A2463,parameters!$D$3:$N$3,0))</f>
        <v>2.6666666666666665E-2</v>
      </c>
    </row>
    <row r="2464" spans="1:2" x14ac:dyDescent="0.2">
      <c r="A2464" t="s">
        <v>45</v>
      </c>
      <c r="B2464" s="46">
        <f>INDEX(parameters!$D$4:$N$20,MATCH('hydrogen - electrolysis'!B2449&amp;'hydrogen - electrolysis'!B2451,parameters!$A$4:$A$20,0),MATCH('hydrogen - electrolysis'!A2464,parameters!$D$3:$N$3,0))</f>
        <v>0</v>
      </c>
    </row>
    <row r="2465" spans="1:22" x14ac:dyDescent="0.2">
      <c r="A2465" t="s">
        <v>46</v>
      </c>
      <c r="B2465" s="46">
        <f>INDEX(parameters!$D$4:$N$20,MATCH('hydrogen - electrolysis'!B2449&amp;'hydrogen - electrolysis'!B2451,parameters!$A$4:$A$20,0),MATCH('hydrogen - electrolysis'!A2465,parameters!$D$3:$N$3,0))</f>
        <v>1.4999999999999999E-2</v>
      </c>
    </row>
    <row r="2466" spans="1:22" x14ac:dyDescent="0.2">
      <c r="A2466" t="s">
        <v>43</v>
      </c>
      <c r="B2466" s="46">
        <f>INDEX(parameters!$D$4:$N$20,MATCH('hydrogen - electrolysis'!B2449&amp;'hydrogen - electrolysis'!B2451,parameters!$A$4:$A$20,0),MATCH('hydrogen - electrolysis'!A2466,parameters!$D$3:$N$3,0))</f>
        <v>0</v>
      </c>
    </row>
    <row r="2467" spans="1:22" x14ac:dyDescent="0.2">
      <c r="A2467" t="s">
        <v>44</v>
      </c>
      <c r="B2467" s="46">
        <f>INDEX(parameters!$D$4:$N$20,MATCH('hydrogen - electrolysis'!B2449&amp;'hydrogen - electrolysis'!B2451,parameters!$A$4:$A$20,0),MATCH('hydrogen - electrolysis'!A2467,parameters!$D$3:$N$3,0))</f>
        <v>0</v>
      </c>
    </row>
    <row r="2468" spans="1:22" x14ac:dyDescent="0.2">
      <c r="A2468" t="s">
        <v>634</v>
      </c>
      <c r="B2468" s="51">
        <f>INDEX(parameters!$D$4:$Y$20,MATCH('hydrogen - electrolysis'!B2449&amp;'hydrogen - electrolysis'!B2451,parameters!$A$4:$A$20,0),MATCH('hydrogen - electrolysis'!A2468,parameters!$D$3:$Y$3,0))</f>
        <v>225</v>
      </c>
      <c r="D2468" s="8"/>
    </row>
    <row r="2469" spans="1:22" x14ac:dyDescent="0.2">
      <c r="A2469" t="s">
        <v>82</v>
      </c>
      <c r="B2469" s="46">
        <f>IF(B2460&lt;&gt;0,VLOOKUP(B2460,parameters!A1637:B1639,2,0),0)</f>
        <v>0</v>
      </c>
    </row>
    <row r="2470" spans="1:22" x14ac:dyDescent="0.2">
      <c r="A2470" t="s">
        <v>548</v>
      </c>
      <c r="B2470" s="50">
        <f>INDEX(parameters!$D$4:$P$20,MATCH(B2449&amp;B2451,parameters!$A$4:$A$20,0),MATCH(A2470,parameters!$D$3:$P$3,0))</f>
        <v>100</v>
      </c>
    </row>
    <row r="2471" spans="1:22" x14ac:dyDescent="0.2">
      <c r="A2471" t="s">
        <v>547</v>
      </c>
      <c r="B2471" s="51">
        <f>INDEX(parameters!$D$4:$P$20,MATCH(B2449&amp;B2451,parameters!$A$4:$A$20,0),MATCH(A2471,parameters!$D$3:$P$3,0))</f>
        <v>6</v>
      </c>
    </row>
    <row r="2472" spans="1:22" x14ac:dyDescent="0.2">
      <c r="A2472" t="s">
        <v>630</v>
      </c>
      <c r="B2472" s="51">
        <f>INDEX(parameters!$D$4:$T$20,MATCH(B2449&amp;B2451,parameters!$A$4:$A$20,0),MATCH(A2472,parameters!$D$3:$T$3,0))</f>
        <v>4100</v>
      </c>
    </row>
    <row r="2473" spans="1:22" x14ac:dyDescent="0.2">
      <c r="A2473" t="s">
        <v>1005</v>
      </c>
      <c r="B2473" s="50">
        <f>IF(B2445="megajoule",SUMIFS(allocation!$I$4:$I$30,allocation!$B$4:$B$30,B2451,allocation!$C$4:$C$30,B2452),SUMIFS(allocation!$J$4:$J$30,allocation!$B$4:$B$30,B2451,allocation!$C$4:$C$30,B2452))</f>
        <v>0.13587506510399097</v>
      </c>
    </row>
    <row r="2474" spans="1:22" x14ac:dyDescent="0.2">
      <c r="A2474" t="s">
        <v>1050</v>
      </c>
      <c r="B2474" s="51">
        <f>INDEX(parameters!$D$4:$AB$20,MATCH(B2449&amp;B2451,parameters!$A$4:$A$20,0),MATCH(A2474,parameters!$D$3:$AB$3,0))</f>
        <v>1153.1249999999998</v>
      </c>
    </row>
    <row r="2476" spans="1:22" x14ac:dyDescent="0.2">
      <c r="A2476" s="3" t="s">
        <v>57</v>
      </c>
    </row>
    <row r="2477" spans="1:22" x14ac:dyDescent="0.2">
      <c r="A2477" s="2" t="s">
        <v>58</v>
      </c>
      <c r="B2477" s="44" t="s">
        <v>59</v>
      </c>
      <c r="C2477" s="2" t="s">
        <v>55</v>
      </c>
      <c r="D2477" s="2" t="s">
        <v>60</v>
      </c>
      <c r="E2477" s="2" t="s">
        <v>52</v>
      </c>
      <c r="F2477" s="2" t="s">
        <v>61</v>
      </c>
      <c r="G2477" s="2" t="s">
        <v>54</v>
      </c>
      <c r="H2477" s="2" t="s">
        <v>87</v>
      </c>
      <c r="I2477" s="2" t="s">
        <v>51</v>
      </c>
      <c r="J2477" s="2" t="s">
        <v>138</v>
      </c>
      <c r="K2477" s="2" t="s">
        <v>136</v>
      </c>
      <c r="L2477" s="2" t="s">
        <v>221</v>
      </c>
      <c r="M2477" s="2" t="s">
        <v>379</v>
      </c>
      <c r="N2477" s="2" t="s">
        <v>1059</v>
      </c>
      <c r="O2477" s="2" t="s">
        <v>1060</v>
      </c>
      <c r="P2477" s="2" t="s">
        <v>1061</v>
      </c>
      <c r="Q2477" s="2" t="s">
        <v>1062</v>
      </c>
      <c r="R2477" s="2" t="s">
        <v>1063</v>
      </c>
      <c r="S2477" s="2" t="s">
        <v>1064</v>
      </c>
      <c r="T2477" s="2" t="s">
        <v>1065</v>
      </c>
      <c r="U2477" s="2" t="s">
        <v>380</v>
      </c>
      <c r="V2477" s="2" t="s">
        <v>1128</v>
      </c>
    </row>
    <row r="2478" spans="1:22" x14ac:dyDescent="0.2">
      <c r="A2478" t="str">
        <f>B2439</f>
        <v>heat, residential, by conversion of hydrogen using fuel cell, SOFC, allocated by exergy, transported by truck, produced by Electrolysis, Alkaline using water and electricity from Solar PV (CH)</v>
      </c>
      <c r="B2478" s="45">
        <v>1</v>
      </c>
      <c r="C2478" t="str">
        <f>B2445</f>
        <v>megajoule</v>
      </c>
      <c r="E2478" t="str">
        <f>B2442</f>
        <v>CH</v>
      </c>
      <c r="F2478" t="s">
        <v>62</v>
      </c>
      <c r="G2478" t="str">
        <f>B2444</f>
        <v>heat, from residential heating system</v>
      </c>
      <c r="K2478" t="str">
        <f>B2439</f>
        <v>heat, residential, by conversion of hydrogen using fuel cell, SOFC, allocated by exergy, transported by truck, produced by Electrolysis, Alkaline using water and electricity from Solar PV (CH)</v>
      </c>
    </row>
    <row r="2479" spans="1:22" x14ac:dyDescent="0.2">
      <c r="A2479" t="str">
        <f>VLOOKUP(J2479,'dataset mapping'!$A$4:$E$69,2,0)</f>
        <v>fuel cell production, stack solid oxide, 125kW electrical, future</v>
      </c>
      <c r="B2479" s="52">
        <f>(1/(B2468*B2472*B2471*3.6))*B2473</f>
        <v>6.8189834941278219E-9</v>
      </c>
      <c r="C2479" t="str">
        <f>VLOOKUP(J2479,'dataset mapping'!$A$4:$E$69,5,0)</f>
        <v>unit</v>
      </c>
      <c r="E2479" t="str">
        <f>VLOOKUP(J2479,'dataset mapping'!$A$4:$E$69,4,0)</f>
        <v>CH</v>
      </c>
      <c r="F2479" t="s">
        <v>86</v>
      </c>
      <c r="G2479" t="str">
        <f>VLOOKUP(J2479,'dataset mapping'!$A$4:$E$69,3,0)</f>
        <v>fuel cell, stack solid oxide, 125kW electrical, future</v>
      </c>
      <c r="H2479" t="s">
        <v>88</v>
      </c>
      <c r="I2479" t="s">
        <v>277</v>
      </c>
      <c r="J2479" t="s">
        <v>274</v>
      </c>
      <c r="K2479" t="str">
        <f>B2439</f>
        <v>heat, residential, by conversion of hydrogen using fuel cell, SOFC, allocated by exergy, transported by truck, produced by Electrolysis, Alkaline using water and electricity from Solar PV (CH)</v>
      </c>
      <c r="L2479">
        <f t="shared" ref="L2479:L2484" si="73">IF(OR(B2479&lt;0,B2479=0),1,2)</f>
        <v>2</v>
      </c>
      <c r="M2479">
        <f t="shared" ref="M2479:M2484" si="74">IF(L2479=2,LN(B2479),"")</f>
        <v>-18.80355542398161</v>
      </c>
      <c r="N2479">
        <v>1</v>
      </c>
      <c r="O2479" s="15">
        <v>1.2</v>
      </c>
      <c r="P2479">
        <v>1</v>
      </c>
      <c r="Q2479">
        <v>1.01</v>
      </c>
      <c r="R2479">
        <v>1.2</v>
      </c>
      <c r="S2479">
        <v>1.2</v>
      </c>
      <c r="T2479">
        <v>3</v>
      </c>
      <c r="U2479">
        <f t="shared" ref="U2479:U2484" si="75">LN(SQRT(EXP(
SQRT(
+POWER(LN(N2479),2)
+POWER(LN(O2479),2)
+POWER(LN(P2479),2)
+POWER(LN(Q2479),2)
+POWER(LN(R2479),2)
+POWER(LN(S2479),2)
+POWER(LN(T2479),2)
)
)))</f>
        <v>0.57157051623399524</v>
      </c>
    </row>
    <row r="2480" spans="1:22" x14ac:dyDescent="0.2">
      <c r="A2480" t="s">
        <v>283</v>
      </c>
      <c r="B2480" s="52">
        <f>(1/(B2468*B2472*B2471*3.6))*B2473</f>
        <v>6.8189834941278219E-9</v>
      </c>
      <c r="C2480" t="s">
        <v>55</v>
      </c>
      <c r="E2480" t="s">
        <v>64</v>
      </c>
      <c r="F2480" t="s">
        <v>86</v>
      </c>
      <c r="G2480" t="s">
        <v>284</v>
      </c>
      <c r="H2480" t="s">
        <v>88</v>
      </c>
      <c r="I2480" t="s">
        <v>277</v>
      </c>
      <c r="K2480" t="str">
        <f>B2439</f>
        <v>heat, residential, by conversion of hydrogen using fuel cell, SOFC, allocated by exergy, transported by truck, produced by Electrolysis, Alkaline using water and electricity from Solar PV (CH)</v>
      </c>
      <c r="L2480">
        <f t="shared" si="73"/>
        <v>2</v>
      </c>
      <c r="M2480">
        <f t="shared" si="74"/>
        <v>-18.80355542398161</v>
      </c>
      <c r="N2480">
        <v>1</v>
      </c>
      <c r="O2480" s="15">
        <v>1.2</v>
      </c>
      <c r="P2480">
        <v>1</v>
      </c>
      <c r="Q2480">
        <v>1.01</v>
      </c>
      <c r="R2480">
        <v>1.2</v>
      </c>
      <c r="S2480">
        <v>1.2</v>
      </c>
      <c r="T2480">
        <v>3</v>
      </c>
      <c r="U2480">
        <f t="shared" si="75"/>
        <v>0.57157051623399524</v>
      </c>
    </row>
    <row r="2481" spans="1:21" x14ac:dyDescent="0.2">
      <c r="A2481" t="s">
        <v>288</v>
      </c>
      <c r="B2481" s="52">
        <f>0.000024*B2473</f>
        <v>3.2610015624957834E-6</v>
      </c>
      <c r="C2481" t="s">
        <v>56</v>
      </c>
      <c r="E2481" t="s">
        <v>64</v>
      </c>
      <c r="F2481" t="s">
        <v>86</v>
      </c>
      <c r="G2481" t="s">
        <v>287</v>
      </c>
      <c r="H2481" t="s">
        <v>88</v>
      </c>
      <c r="K2481" t="str">
        <f>B2439</f>
        <v>heat, residential, by conversion of hydrogen using fuel cell, SOFC, allocated by exergy, transported by truck, produced by Electrolysis, Alkaline using water and electricity from Solar PV (CH)</v>
      </c>
      <c r="L2481">
        <f t="shared" si="73"/>
        <v>2</v>
      </c>
      <c r="M2481">
        <f t="shared" si="74"/>
        <v>-12.633476182011</v>
      </c>
      <c r="N2481">
        <v>1</v>
      </c>
      <c r="O2481" s="15">
        <v>1.2</v>
      </c>
      <c r="P2481">
        <v>1</v>
      </c>
      <c r="Q2481">
        <v>1.01</v>
      </c>
      <c r="R2481">
        <v>1.2</v>
      </c>
      <c r="S2481">
        <v>1.2</v>
      </c>
      <c r="T2481">
        <v>1.05</v>
      </c>
      <c r="U2481">
        <f t="shared" si="75"/>
        <v>0.15984597228197622</v>
      </c>
    </row>
    <row r="2482" spans="1:21" x14ac:dyDescent="0.2">
      <c r="A2482" s="45" t="str">
        <f>"hydrogen supply, transported by "&amp;B2453&amp;", produced by "&amp;B2457&amp;" using "&amp;B2458&amp;" from "&amp;B2459</f>
        <v>hydrogen supply, transported by truck, produced by Electrolysis, Alkaline using water and electricity from Solar PV (CH)</v>
      </c>
      <c r="B2482" s="53">
        <f>(B2478/B2462)/B2461*B2473</f>
        <v>2.1364003947168392E-3</v>
      </c>
      <c r="C2482" t="str">
        <f>VLOOKUP(J2482,'dataset mapping'!$A$4:$E$69,5,0)</f>
        <v>kilogram</v>
      </c>
      <c r="E2482" t="str">
        <f>VLOOKUP(J2482,'dataset mapping'!$A$4:$E$69,4,0)</f>
        <v>CH</v>
      </c>
      <c r="F2482" t="s">
        <v>86</v>
      </c>
      <c r="G2482" t="str">
        <f>"hydrogen, gaseous, from "&amp;B2453</f>
        <v>hydrogen, gaseous, from truck</v>
      </c>
      <c r="H2482" t="s">
        <v>76</v>
      </c>
      <c r="I2482" t="s">
        <v>1054</v>
      </c>
      <c r="J2482" t="s">
        <v>291</v>
      </c>
      <c r="K2482" t="str">
        <f>B2439</f>
        <v>heat, residential, by conversion of hydrogen using fuel cell, SOFC, allocated by exergy, transported by truck, produced by Electrolysis, Alkaline using water and electricity from Solar PV (CH)</v>
      </c>
      <c r="L2482">
        <f t="shared" si="73"/>
        <v>2</v>
      </c>
      <c r="M2482">
        <f t="shared" si="74"/>
        <v>-6.1486329247407472</v>
      </c>
      <c r="N2482">
        <v>1</v>
      </c>
      <c r="O2482" s="15">
        <v>1.2</v>
      </c>
      <c r="P2482">
        <v>1</v>
      </c>
      <c r="Q2482">
        <v>1.01</v>
      </c>
      <c r="R2482">
        <v>1.2</v>
      </c>
      <c r="S2482">
        <v>1.2</v>
      </c>
      <c r="T2482">
        <v>1.05</v>
      </c>
      <c r="U2482">
        <f t="shared" si="75"/>
        <v>0.15984597228197622</v>
      </c>
    </row>
    <row r="2483" spans="1:21" x14ac:dyDescent="0.2">
      <c r="A2483" t="str">
        <f>VLOOKUP(J2483,'dataset mapping'!$A$4:$E$69,2,0)</f>
        <v>high pressure hydrogen storage tank</v>
      </c>
      <c r="B2483" s="52">
        <f>((B2474/10)/(B2472*B2468*20*3.6))*IF(B2473&lt;&gt;0,B2473,1)</f>
        <v>2.3589421024998428E-7</v>
      </c>
      <c r="C2483" t="str">
        <f>VLOOKUP(J2483,'dataset mapping'!$A$4:$E$69,5,0)</f>
        <v>kilogram</v>
      </c>
      <c r="E2483" t="str">
        <f>VLOOKUP(J2483,'dataset mapping'!$A$4:$E$69,4,0)</f>
        <v>GLO</v>
      </c>
      <c r="F2483" t="s">
        <v>86</v>
      </c>
      <c r="G2483" t="str">
        <f>VLOOKUP(J2483,'dataset mapping'!$A$4:$E$69,3,0)</f>
        <v>high pressure hydrogen storage tank</v>
      </c>
      <c r="H2483" t="s">
        <v>88</v>
      </c>
      <c r="I2483" t="s">
        <v>230</v>
      </c>
      <c r="J2483" t="s">
        <v>229</v>
      </c>
      <c r="K2483" t="str">
        <f>B2439</f>
        <v>heat, residential, by conversion of hydrogen using fuel cell, SOFC, allocated by exergy, transported by truck, produced by Electrolysis, Alkaline using water and electricity from Solar PV (CH)</v>
      </c>
      <c r="L2483">
        <f t="shared" si="73"/>
        <v>2</v>
      </c>
      <c r="M2483">
        <f t="shared" si="74"/>
        <v>-15.259882394072699</v>
      </c>
      <c r="N2483">
        <v>1</v>
      </c>
      <c r="O2483" s="15">
        <v>1.2</v>
      </c>
      <c r="P2483">
        <v>1</v>
      </c>
      <c r="Q2483">
        <v>1.01</v>
      </c>
      <c r="R2483">
        <v>1.2</v>
      </c>
      <c r="S2483">
        <v>1.2</v>
      </c>
      <c r="T2483">
        <v>3</v>
      </c>
      <c r="U2483">
        <f t="shared" si="75"/>
        <v>0.57157051623399524</v>
      </c>
    </row>
    <row r="2484" spans="1:21" x14ac:dyDescent="0.2">
      <c r="A2484" t="s">
        <v>134</v>
      </c>
      <c r="B2484" s="45">
        <f>B2482*9</f>
        <v>1.9227603552451553E-2</v>
      </c>
      <c r="C2484" t="s">
        <v>56</v>
      </c>
      <c r="D2484" t="s">
        <v>100</v>
      </c>
      <c r="F2484" t="s">
        <v>99</v>
      </c>
      <c r="H2484" t="s">
        <v>131</v>
      </c>
      <c r="I2484" t="s">
        <v>1057</v>
      </c>
      <c r="K2484" t="str">
        <f>B2439</f>
        <v>heat, residential, by conversion of hydrogen using fuel cell, SOFC, allocated by exergy, transported by truck, produced by Electrolysis, Alkaline using water and electricity from Solar PV (CH)</v>
      </c>
      <c r="L2484">
        <f t="shared" si="73"/>
        <v>2</v>
      </c>
      <c r="M2484">
        <f t="shared" si="74"/>
        <v>-3.9514083474045276</v>
      </c>
      <c r="N2484">
        <v>1</v>
      </c>
      <c r="O2484" s="15">
        <v>1.2</v>
      </c>
      <c r="P2484">
        <v>1</v>
      </c>
      <c r="Q2484">
        <v>1.01</v>
      </c>
      <c r="R2484">
        <v>1.2</v>
      </c>
      <c r="S2484">
        <v>1.2</v>
      </c>
      <c r="T2484">
        <v>1.05</v>
      </c>
      <c r="U2484">
        <f t="shared" si="75"/>
        <v>0.15984597228197622</v>
      </c>
    </row>
    <row r="2486" spans="1:21" x14ac:dyDescent="0.2">
      <c r="A2486" s="2" t="s">
        <v>50</v>
      </c>
      <c r="B2486" s="44" t="str">
        <f>IF(B2492="megajoule","heat","electricity")&amp;", residential, by "&amp;B2497&amp;" of "&amp;B2496&amp;" using "&amp;B2498&amp;IF(B2499&lt;&gt;0,", allocated by "&amp;B2499,"")&amp;", transported by "&amp;B2500&amp;", produced by "&amp;B2504&amp;" using "&amp;B2505&amp;" from "&amp;B2506</f>
        <v>electricity, residential, by combustion of hydrogen using CHP, allocated by exergy, transported by truck, produced by Electrolysis, Alkaline using water and electricity from Solar PV (CH)</v>
      </c>
    </row>
    <row r="2487" spans="1:21" x14ac:dyDescent="0.2">
      <c r="A2487" t="s">
        <v>51</v>
      </c>
      <c r="B2487" s="45" t="str">
        <f>"This dataset represents the supply of 1 "&amp;IF(B2492="megajoule","megajoule of heat","kilowatt hour of electricity")&amp;" in a residence, by "&amp;B2496&amp;" "&amp;B2497&amp;" in a "&amp;B2498&amp;". "&amp;" The hydrogen is transported by "&amp;B2500&amp;" over "&amp;B2501&amp;" km from regional storage. "&amp;" The "&amp;B2496&amp;" is produced by  "&amp;B2504&amp;", with "&amp;B2505&amp;" from "&amp;B2506&amp;" as feedstock. "&amp;A2508&amp;": "&amp;(B2508*100)&amp;"%. "&amp;A2509&amp;": "&amp;B2509&amp;". "&amp;A2510&amp;": "&amp;B2510&amp;". "&amp;A2511&amp;": "&amp;(B2511*100)&amp;"%. "&amp;A2512&amp;": "&amp;(B2512*100)&amp;"%. "&amp;A2513&amp;": "&amp;(B2513*100)&amp;"%. "&amp;A2514&amp;": "&amp;B2514&amp;". "&amp;A2515&amp;": "&amp;B2515&amp;". "&amp;A2516&amp;": "&amp;(B2516*100)&amp;"%. "&amp;A2517&amp;": "&amp;B2517&amp;". "&amp;A2518&amp;": "&amp;B2518&amp;". "&amp;A2519&amp;": "&amp;B2519&amp;". "&amp;A2520&amp;": "&amp;B2520&amp;".  For more information, refer to: "&amp;B2488</f>
        <v>This dataset represents the supply of 1 kilowatt hour of electricity in a residence, by hydrogen combustion in a CHP.  The hydrogen is transported by truck over 200 km from regional storage.  The hydrogen is produced by  Electrolysis, Alkaline,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2488" spans="1:21" x14ac:dyDescent="0.2">
      <c r="A2488" t="s">
        <v>63</v>
      </c>
      <c r="B2488" s="45" t="s">
        <v>1223</v>
      </c>
    </row>
    <row r="2489" spans="1:21" x14ac:dyDescent="0.2">
      <c r="A2489" t="s">
        <v>52</v>
      </c>
      <c r="B2489" s="45" t="s">
        <v>64</v>
      </c>
    </row>
    <row r="2490" spans="1:21" x14ac:dyDescent="0.2">
      <c r="A2490" t="s">
        <v>48</v>
      </c>
      <c r="B2490" s="45" t="s">
        <v>886</v>
      </c>
    </row>
    <row r="2491" spans="1:21" x14ac:dyDescent="0.2">
      <c r="A2491" t="s">
        <v>54</v>
      </c>
      <c r="B2491" s="45" t="str">
        <f>INDEX(overview!$B$4:$R$338,MATCH('hydrogen - electrolysis'!B2490,overview!$A$4:$A$338,0),MATCH('hydrogen - electrolysis'!A2491,overview!$B$3:$R$3,0))</f>
        <v>electricity, from residential heating system</v>
      </c>
    </row>
    <row r="2492" spans="1:21" x14ac:dyDescent="0.2">
      <c r="A2492" t="s">
        <v>55</v>
      </c>
      <c r="B2492" s="45" t="str">
        <f>INDEX(overview!$B$4:$R$338,MATCH('hydrogen - electrolysis'!B2490,overview!$A$4:$A$338,0),MATCH('hydrogen - electrolysis'!A2492,overview!$B$3:$R$3,0))</f>
        <v>kilowatt hour</v>
      </c>
    </row>
    <row r="2493" spans="1:21" x14ac:dyDescent="0.2">
      <c r="A2493" t="s">
        <v>0</v>
      </c>
      <c r="B2493" s="45" t="str">
        <f>INDEX(overview!$B$4:$R$338,MATCH('hydrogen - electrolysis'!B2490,overview!$A$4:$A$338,0),MATCH('hydrogen - electrolysis'!A2493,overview!$B$3:$R$3,0))</f>
        <v>Switzerland</v>
      </c>
    </row>
    <row r="2494" spans="1:21" x14ac:dyDescent="0.2">
      <c r="A2494" t="s">
        <v>1</v>
      </c>
      <c r="B2494" s="45">
        <f>INDEX(overview!$B$4:$R$338,MATCH('hydrogen - electrolysis'!B2490,overview!$A$4:$A$338,0),MATCH('hydrogen - electrolysis'!A2494,overview!$B$3:$R$3,0))</f>
        <v>2020</v>
      </c>
    </row>
    <row r="2495" spans="1:21" x14ac:dyDescent="0.2">
      <c r="A2495" t="s">
        <v>2</v>
      </c>
      <c r="B2495" s="45" t="str">
        <f>INDEX(overview!$B$4:$R$338,MATCH('hydrogen - electrolysis'!B2490,overview!$A$4:$A$338,0),MATCH('hydrogen - electrolysis'!A2495,overview!$B$3:$R$3,0))</f>
        <v>1 kWh electricity</v>
      </c>
    </row>
    <row r="2496" spans="1:21" x14ac:dyDescent="0.2">
      <c r="A2496" t="s">
        <v>5</v>
      </c>
      <c r="B2496" s="45" t="str">
        <f>INDEX(overview!$B$4:$R$338,MATCH('hydrogen - electrolysis'!B2490,overview!$A$4:$A$338,0),MATCH('hydrogen - electrolysis'!A2496,overview!$B$3:$R$3,0))</f>
        <v>hydrogen</v>
      </c>
    </row>
    <row r="2497" spans="1:2" x14ac:dyDescent="0.2">
      <c r="A2497" t="s">
        <v>3</v>
      </c>
      <c r="B2497" s="45" t="str">
        <f>INDEX(overview!$B$4:$R$338,MATCH('hydrogen - electrolysis'!B2490,overview!$A$4:$A$338,0),MATCH('hydrogen - electrolysis'!A2497,overview!$B$3:$R$3,0))</f>
        <v>combustion</v>
      </c>
    </row>
    <row r="2498" spans="1:2" x14ac:dyDescent="0.2">
      <c r="A2498" t="s">
        <v>6</v>
      </c>
      <c r="B2498" s="45" t="str">
        <f>INDEX(overview!$B$4:$R$338,MATCH('hydrogen - electrolysis'!B2490,overview!$A$4:$A$338,0),MATCH('hydrogen - electrolysis'!A2498,overview!$B$3:$R$3,0))</f>
        <v>CHP</v>
      </c>
    </row>
    <row r="2499" spans="1:2" x14ac:dyDescent="0.2">
      <c r="A2499" t="s">
        <v>39</v>
      </c>
      <c r="B2499" s="45" t="str">
        <f>INDEX(overview!$B$4:$R$338,MATCH('hydrogen - electrolysis'!B2490,overview!$A$4:$A$338,0),MATCH('hydrogen - electrolysis'!A2499,overview!$B$3:$R$3,0))</f>
        <v>exergy</v>
      </c>
    </row>
    <row r="2500" spans="1:2" x14ac:dyDescent="0.2">
      <c r="A2500" t="s">
        <v>4</v>
      </c>
      <c r="B2500" s="45" t="str">
        <f>INDEX(overview!$B$4:$R$338,MATCH('hydrogen - electrolysis'!B2490,overview!$A$4:$A$338,0),MATCH('hydrogen - electrolysis'!A2500,overview!$B$3:$R$3,0))</f>
        <v>truck</v>
      </c>
    </row>
    <row r="2501" spans="1:2" x14ac:dyDescent="0.2">
      <c r="A2501" t="s">
        <v>38</v>
      </c>
      <c r="B2501" s="45">
        <f>INDEX(overview!$B$4:$R$338,MATCH('hydrogen - electrolysis'!B2490,overview!$A$4:$A$338,0),MATCH('hydrogen - electrolysis'!A2501,overview!$B$3:$R$3,0))</f>
        <v>200</v>
      </c>
    </row>
    <row r="2502" spans="1:2" x14ac:dyDescent="0.2">
      <c r="A2502" t="s">
        <v>12</v>
      </c>
      <c r="B2502" s="45" t="str">
        <f>INDEX(overview!$B$4:$R$338,MATCH('hydrogen - electrolysis'!B2490,overview!$A$4:$A$338,0),MATCH('hydrogen - electrolysis'!A2502,overview!$B$3:$R$3,0))</f>
        <v>Pressure vessel for stationary storage</v>
      </c>
    </row>
    <row r="2503" spans="1:2" x14ac:dyDescent="0.2">
      <c r="A2503" t="s">
        <v>34</v>
      </c>
      <c r="B2503" s="45">
        <f>INDEX(overview!$B$4:$R$338,MATCH('hydrogen - electrolysis'!B2490,overview!$A$4:$A$338,0),MATCH('hydrogen - electrolysis'!A2503,overview!$B$3:$R$3,0))</f>
        <v>0</v>
      </c>
    </row>
    <row r="2504" spans="1:2" x14ac:dyDescent="0.2">
      <c r="A2504" t="s">
        <v>15</v>
      </c>
      <c r="B2504" s="45" t="str">
        <f>INDEX(overview!$B$4:$R$338,MATCH('hydrogen - electrolysis'!B2490,overview!$A$4:$A$338,0),MATCH('hydrogen - electrolysis'!A2504,overview!$B$3:$R$3,0))</f>
        <v>Electrolysis, Alkaline</v>
      </c>
    </row>
    <row r="2505" spans="1:2" x14ac:dyDescent="0.2">
      <c r="A2505" t="s">
        <v>14</v>
      </c>
      <c r="B2505" s="45" t="str">
        <f>INDEX(overview!$B$4:$R$338,MATCH('hydrogen - electrolysis'!B2490,overview!$A$4:$A$338,0),MATCH('hydrogen - electrolysis'!A2505,overview!$B$3:$R$3,0))</f>
        <v>water and electricity</v>
      </c>
    </row>
    <row r="2506" spans="1:2" x14ac:dyDescent="0.2">
      <c r="A2506" t="s">
        <v>26</v>
      </c>
      <c r="B2506" s="45" t="str">
        <f>INDEX(overview!$B$4:$R$338,MATCH('hydrogen - electrolysis'!B2490,overview!$A$4:$A$338,0),MATCH('hydrogen - electrolysis'!A2506,overview!$B$3:$R$3,0))</f>
        <v>Solar PV (CH)</v>
      </c>
    </row>
    <row r="2507" spans="1:2" x14ac:dyDescent="0.2">
      <c r="A2507" t="s">
        <v>29</v>
      </c>
      <c r="B2507" s="45">
        <f>INDEX(overview!$B$4:$R$338,MATCH('hydrogen - electrolysis'!B2490,overview!$A$4:$A$338,0),MATCH('hydrogen - electrolysis'!A2507,overview!$B$3:$R$3,0))</f>
        <v>0</v>
      </c>
    </row>
    <row r="2508" spans="1:2" x14ac:dyDescent="0.2">
      <c r="A2508" t="str">
        <f>IF(B2492="megajoule","Heat","Electricity")&amp;" conversion efficiency [% LHV input]"</f>
        <v>Electricity conversion efficiency [% LHV input]</v>
      </c>
      <c r="B2508" s="46">
        <f>INDEX(parameters!$D$4:$N$20,MATCH('hydrogen - electrolysis'!B2496&amp;'hydrogen - electrolysis'!B2498,parameters!$A$4:$A$20,0),MATCH('hydrogen - electrolysis'!A2508,parameters!$D$3:$N$3,0))</f>
        <v>0.39400000000000002</v>
      </c>
    </row>
    <row r="2509" spans="1:2" x14ac:dyDescent="0.2">
      <c r="A2509" t="str">
        <f>IF(B2492="megajoule","LHV [MJ/kg]","LHV [kWh/kg]")</f>
        <v>LHV [kWh/kg]</v>
      </c>
      <c r="B2509" s="47">
        <f>INDEX(parameters!$D$4:$N$20,MATCH('hydrogen - electrolysis'!B2496&amp;'hydrogen - electrolysis'!B2498,parameters!$A$4:$A$20,0),MATCH('hydrogen - electrolysis'!A2509,parameters!$D$3:$N$3,0))</f>
        <v>33.333333333333336</v>
      </c>
    </row>
    <row r="2510" spans="1:2" x14ac:dyDescent="0.2">
      <c r="A2510" t="s">
        <v>41</v>
      </c>
      <c r="B2510" s="48">
        <f>INDEX(parameters!$D$4:$N$20,MATCH('hydrogen - electrolysis'!B2496&amp;'hydrogen - electrolysis'!B2498,parameters!$A$4:$A$20,0),MATCH('hydrogen - electrolysis'!A2510,parameters!$D$3:$N$3,0))</f>
        <v>2.6666666666666665E-2</v>
      </c>
    </row>
    <row r="2511" spans="1:2" x14ac:dyDescent="0.2">
      <c r="A2511" t="s">
        <v>45</v>
      </c>
      <c r="B2511" s="46">
        <f>INDEX(parameters!$D$4:$N$20,MATCH('hydrogen - electrolysis'!B2496&amp;'hydrogen - electrolysis'!B2498,parameters!$A$4:$A$20,0),MATCH('hydrogen - electrolysis'!A2511,parameters!$D$3:$N$3,0))</f>
        <v>0</v>
      </c>
    </row>
    <row r="2512" spans="1:2" x14ac:dyDescent="0.2">
      <c r="A2512" t="s">
        <v>46</v>
      </c>
      <c r="B2512" s="46">
        <f>INDEX(parameters!$D$4:$N$20,MATCH('hydrogen - electrolysis'!B2496&amp;'hydrogen - electrolysis'!B2498,parameters!$A$4:$A$20,0),MATCH('hydrogen - electrolysis'!A2512,parameters!$D$3:$N$3,0))</f>
        <v>1.4999999999999999E-2</v>
      </c>
    </row>
    <row r="2513" spans="1:22" x14ac:dyDescent="0.2">
      <c r="A2513" t="s">
        <v>43</v>
      </c>
      <c r="B2513" s="46">
        <f>INDEX(parameters!$D$4:$N$20,MATCH('hydrogen - electrolysis'!B2496&amp;'hydrogen - electrolysis'!B2498,parameters!$A$4:$A$20,0),MATCH('hydrogen - electrolysis'!A2513,parameters!$D$3:$N$3,0))</f>
        <v>0</v>
      </c>
    </row>
    <row r="2514" spans="1:22" x14ac:dyDescent="0.2">
      <c r="A2514" t="s">
        <v>44</v>
      </c>
      <c r="B2514" s="46">
        <f>INDEX(parameters!$D$4:$N$20,MATCH('hydrogen - electrolysis'!B2496&amp;'hydrogen - electrolysis'!B2498,parameters!$A$4:$A$20,0),MATCH('hydrogen - electrolysis'!A2514,parameters!$D$3:$N$3,0))</f>
        <v>0</v>
      </c>
    </row>
    <row r="2515" spans="1:22" x14ac:dyDescent="0.2">
      <c r="A2515" t="s">
        <v>634</v>
      </c>
      <c r="B2515" s="51">
        <f>INDEX(parameters!$D$4:$Y$20,MATCH('hydrogen - electrolysis'!B2496&amp;'hydrogen - electrolysis'!B2498,parameters!$A$4:$A$20,0),MATCH('hydrogen - electrolysis'!A2515,parameters!$D$3:$Y$3,0))</f>
        <v>351.41800246609125</v>
      </c>
    </row>
    <row r="2516" spans="1:22" x14ac:dyDescent="0.2">
      <c r="A2516" t="s">
        <v>82</v>
      </c>
      <c r="B2516" s="46">
        <f>IF(B2507&lt;&gt;0,VLOOKUP(B2507,parameters!A1688:B1690,2,0),0)</f>
        <v>0</v>
      </c>
    </row>
    <row r="2517" spans="1:22" x14ac:dyDescent="0.2">
      <c r="A2517" t="s">
        <v>548</v>
      </c>
      <c r="B2517" s="50">
        <f>INDEX(parameters!$D$4:$P$20,MATCH(B2496&amp;B2498,parameters!$A$4:$A$20,0),MATCH(A2517,parameters!$D$3:$P$3,0))</f>
        <v>125</v>
      </c>
    </row>
    <row r="2518" spans="1:22" x14ac:dyDescent="0.2">
      <c r="A2518" t="s">
        <v>547</v>
      </c>
      <c r="B2518" s="51">
        <f>INDEX(parameters!$D$4:$P$20,MATCH(B2496&amp;B2498,parameters!$A$4:$A$20,0),MATCH(A2518,parameters!$D$3:$P$3,0))</f>
        <v>19.512195121951219</v>
      </c>
    </row>
    <row r="2519" spans="1:22" x14ac:dyDescent="0.2">
      <c r="A2519" t="s">
        <v>630</v>
      </c>
      <c r="B2519" s="51">
        <f>INDEX(parameters!$D$4:$T$20,MATCH(B2496&amp;B2498,parameters!$A$4:$A$20,0),MATCH(A2519,parameters!$D$3:$T$3,0))</f>
        <v>4100</v>
      </c>
    </row>
    <row r="2520" spans="1:22" x14ac:dyDescent="0.2">
      <c r="A2520" t="s">
        <v>1005</v>
      </c>
      <c r="B2520" s="50">
        <f>IF(B2492="megajoule",SUMIFS(allocation!$I$4:$I$30,allocation!$B$4:$B$30,B2498,allocation!$C$4:$C$30,B2499),SUMIFS(allocation!$J$4:$J$30,allocation!$B$4:$B$30,B2498,allocation!$C$4:$C$30,B2499))</f>
        <v>0.87139957772704957</v>
      </c>
    </row>
    <row r="2521" spans="1:22" x14ac:dyDescent="0.2">
      <c r="A2521" t="s">
        <v>1050</v>
      </c>
      <c r="B2521" s="51">
        <f>INDEX(parameters!$D$4:$AB$20,MATCH(B2496&amp;B2498,parameters!$A$4:$A$20,0),MATCH(A2521,parameters!$D$3:$AB$3,0))</f>
        <v>2220.7364520822662</v>
      </c>
    </row>
    <row r="2523" spans="1:22" x14ac:dyDescent="0.2">
      <c r="A2523" s="3" t="s">
        <v>57</v>
      </c>
    </row>
    <row r="2524" spans="1:22" x14ac:dyDescent="0.2">
      <c r="A2524" s="2" t="s">
        <v>58</v>
      </c>
      <c r="B2524" s="44" t="s">
        <v>59</v>
      </c>
      <c r="C2524" s="2" t="s">
        <v>55</v>
      </c>
      <c r="D2524" s="2" t="s">
        <v>60</v>
      </c>
      <c r="E2524" s="2" t="s">
        <v>52</v>
      </c>
      <c r="F2524" s="2" t="s">
        <v>61</v>
      </c>
      <c r="G2524" s="2" t="s">
        <v>54</v>
      </c>
      <c r="H2524" s="2" t="s">
        <v>87</v>
      </c>
      <c r="I2524" s="2" t="s">
        <v>51</v>
      </c>
      <c r="J2524" s="2" t="s">
        <v>138</v>
      </c>
      <c r="K2524" s="2" t="s">
        <v>136</v>
      </c>
      <c r="L2524" s="2" t="s">
        <v>221</v>
      </c>
      <c r="M2524" s="2" t="s">
        <v>379</v>
      </c>
      <c r="N2524" s="2" t="s">
        <v>1059</v>
      </c>
      <c r="O2524" s="2" t="s">
        <v>1060</v>
      </c>
      <c r="P2524" s="2" t="s">
        <v>1061</v>
      </c>
      <c r="Q2524" s="2" t="s">
        <v>1062</v>
      </c>
      <c r="R2524" s="2" t="s">
        <v>1063</v>
      </c>
      <c r="S2524" s="2" t="s">
        <v>1064</v>
      </c>
      <c r="T2524" s="2" t="s">
        <v>1065</v>
      </c>
      <c r="U2524" s="2" t="s">
        <v>380</v>
      </c>
      <c r="V2524" s="2" t="s">
        <v>1128</v>
      </c>
    </row>
    <row r="2525" spans="1:22" x14ac:dyDescent="0.2">
      <c r="A2525" t="str">
        <f>B2486</f>
        <v>electricity, residential, by combustion of hydrogen using CHP, allocated by exergy, transported by truck, produced by Electrolysis, Alkaline using water and electricity from Solar PV (CH)</v>
      </c>
      <c r="B2525" s="45">
        <v>1</v>
      </c>
      <c r="C2525" t="str">
        <f>B2492</f>
        <v>kilowatt hour</v>
      </c>
      <c r="E2525" t="str">
        <f>B2489</f>
        <v>CH</v>
      </c>
      <c r="F2525" t="s">
        <v>62</v>
      </c>
      <c r="G2525" t="str">
        <f>B2491</f>
        <v>electricity, from residential heating system</v>
      </c>
      <c r="K2525" t="str">
        <f>B2486</f>
        <v>electricity, residential, by combustion of hydrogen using CHP, allocated by exergy, transported by truck, produced by Electrolysis, Alkaline using water and electricity from Solar PV (CH)</v>
      </c>
    </row>
    <row r="2526" spans="1:22" x14ac:dyDescent="0.2">
      <c r="A2526" t="str">
        <f>VLOOKUP(J2526,'dataset mapping'!$A$4:$E$69,2,0)</f>
        <v>heat and power co-generation unit construction, 160kW electrical, common components for heat+electricity</v>
      </c>
      <c r="B2526" s="52">
        <f>(1/(B2515*B2519*B2518))*B2520</f>
        <v>3.0995835856870056E-8</v>
      </c>
      <c r="C2526" t="str">
        <f>VLOOKUP(J2526,'dataset mapping'!$A$4:$E$69,5,0)</f>
        <v>unit</v>
      </c>
      <c r="E2526" t="str">
        <f>VLOOKUP(J2526,'dataset mapping'!$A$4:$E$69,4,0)</f>
        <v>RER</v>
      </c>
      <c r="F2526" t="s">
        <v>86</v>
      </c>
      <c r="G2526" t="str">
        <f>VLOOKUP(J2526,'dataset mapping'!$A$4:$E$69,3,0)</f>
        <v>heat and power co-generation unit, 160kW electrical, common components for heat+electricity</v>
      </c>
      <c r="H2526" t="s">
        <v>88</v>
      </c>
      <c r="J2526" t="s">
        <v>145</v>
      </c>
      <c r="K2526" t="str">
        <f>B2486</f>
        <v>electricity, residential, by combustion of hydrogen using CHP, allocated by exergy, transported by truck, produced by Electrolysis, Alkaline using water and electricity from Solar PV (CH)</v>
      </c>
      <c r="L2526">
        <f>IF(OR(B2526&lt;0,B2526=0),1,2)</f>
        <v>2</v>
      </c>
      <c r="M2526">
        <f>IF(L2526=2,LN(B2526),"")</f>
        <v>-17.28941296868171</v>
      </c>
      <c r="N2526">
        <v>1.05</v>
      </c>
      <c r="O2526" s="15">
        <v>1.2</v>
      </c>
      <c r="P2526">
        <v>1</v>
      </c>
      <c r="Q2526">
        <v>1.01</v>
      </c>
      <c r="R2526">
        <v>1.2</v>
      </c>
      <c r="S2526">
        <v>1.2</v>
      </c>
      <c r="T2526">
        <v>3</v>
      </c>
      <c r="U2526">
        <f t="shared" ref="U2526:U2534" si="76">LN(SQRT(EXP(
SQRT(
+POWER(LN(N2526),2)
+POWER(LN(O2526),2)
+POWER(LN(P2526),2)
+POWER(LN(Q2526),2)
+POWER(LN(R2526),2)
+POWER(LN(S2526),2)
+POWER(LN(T2526),2)
)
)))</f>
        <v>0.57209088006881903</v>
      </c>
    </row>
    <row r="2527" spans="1:22" x14ac:dyDescent="0.2">
      <c r="A2527" t="str">
        <f>VLOOKUP(J2527,'dataset mapping'!$A$4:$E$69,2,0)</f>
        <v>heat and power co-generation unit construction, 160kW electrical, components for electricity only</v>
      </c>
      <c r="B2527" s="52">
        <f>(1/(B2515*B2519*B2518))*B2520</f>
        <v>3.0995835856870056E-8</v>
      </c>
      <c r="C2527" t="str">
        <f>VLOOKUP(J2527,'dataset mapping'!$A$4:$E$69,5,0)</f>
        <v>unit</v>
      </c>
      <c r="E2527" t="str">
        <f>VLOOKUP(J2527,'dataset mapping'!$A$4:$E$69,4,0)</f>
        <v>RER</v>
      </c>
      <c r="F2527" t="s">
        <v>86</v>
      </c>
      <c r="G2527" t="str">
        <f>VLOOKUP(J2527,'dataset mapping'!$A$4:$E$69,3,0)</f>
        <v>heat and power co-generation unit, 160kW electrical, components for electricity only</v>
      </c>
      <c r="H2527" t="s">
        <v>88</v>
      </c>
      <c r="J2527" t="s">
        <v>146</v>
      </c>
      <c r="K2527" t="str">
        <f>B2486</f>
        <v>electricity, residential, by combustion of hydrogen using CHP, allocated by exergy, transported by truck, produced by Electrolysis, Alkaline using water and electricity from Solar PV (CH)</v>
      </c>
      <c r="L2527">
        <f>IF(OR(B2527&lt;0,B2527=0),1,2)</f>
        <v>2</v>
      </c>
      <c r="M2527">
        <f>IF(L2527=2,LN(B2527),"")</f>
        <v>-17.28941296868171</v>
      </c>
      <c r="N2527">
        <v>1.05</v>
      </c>
      <c r="O2527" s="15">
        <v>1.2</v>
      </c>
      <c r="P2527">
        <v>1</v>
      </c>
      <c r="Q2527">
        <v>1.01</v>
      </c>
      <c r="R2527">
        <v>1.2</v>
      </c>
      <c r="S2527">
        <v>1.2</v>
      </c>
      <c r="T2527">
        <v>3</v>
      </c>
      <c r="U2527">
        <f t="shared" si="76"/>
        <v>0.57209088006881903</v>
      </c>
    </row>
    <row r="2528" spans="1:22" x14ac:dyDescent="0.2">
      <c r="A2528" t="str">
        <f>VLOOKUP(J2528,'dataset mapping'!$A$4:$E$69,2,0)</f>
        <v>heat and power co-generation unit construction, 160kW electrical, components for heat only</v>
      </c>
      <c r="B2528" s="52">
        <f>(1/(B2515*B2519*B2518))*B2520</f>
        <v>3.0995835856870056E-8</v>
      </c>
      <c r="C2528" t="str">
        <f>VLOOKUP(J2528,'dataset mapping'!$A$4:$E$69,5,0)</f>
        <v>unit</v>
      </c>
      <c r="E2528" t="str">
        <f>VLOOKUP(J2528,'dataset mapping'!$A$4:$E$69,4,0)</f>
        <v>RER</v>
      </c>
      <c r="F2528" t="s">
        <v>86</v>
      </c>
      <c r="G2528" t="str">
        <f>VLOOKUP(J2528,'dataset mapping'!$A$4:$E$69,3,0)</f>
        <v>heat and power co-generation unit, 160kW electrical, components for heat only</v>
      </c>
      <c r="H2528" t="s">
        <v>88</v>
      </c>
      <c r="J2528" t="s">
        <v>147</v>
      </c>
      <c r="K2528" t="str">
        <f>B2486</f>
        <v>electricity, residential, by combustion of hydrogen using CHP, allocated by exergy, transported by truck, produced by Electrolysis, Alkaline using water and electricity from Solar PV (CH)</v>
      </c>
      <c r="L2528">
        <f>IF(OR(B2528&lt;0,B2528=0),1,2)</f>
        <v>2</v>
      </c>
      <c r="M2528">
        <f>IF(L2528=2,LN(B2528),"")</f>
        <v>-17.28941296868171</v>
      </c>
      <c r="N2528">
        <v>1.05</v>
      </c>
      <c r="O2528" s="15">
        <v>1.2</v>
      </c>
      <c r="P2528">
        <v>1</v>
      </c>
      <c r="Q2528">
        <v>1.01</v>
      </c>
      <c r="R2528">
        <v>1.2</v>
      </c>
      <c r="S2528">
        <v>1.2</v>
      </c>
      <c r="T2528">
        <v>3</v>
      </c>
      <c r="U2528">
        <f t="shared" si="76"/>
        <v>0.57209088006881903</v>
      </c>
    </row>
    <row r="2529" spans="1:22" x14ac:dyDescent="0.2">
      <c r="A2529" t="s">
        <v>156</v>
      </c>
      <c r="B2529" s="52">
        <f>0.00000011366*B2520</f>
        <v>9.9043276004456456E-8</v>
      </c>
      <c r="C2529" t="s">
        <v>56</v>
      </c>
      <c r="E2529" t="s">
        <v>90</v>
      </c>
      <c r="F2529" t="s">
        <v>86</v>
      </c>
      <c r="G2529" t="s">
        <v>154</v>
      </c>
      <c r="H2529" t="s">
        <v>155</v>
      </c>
      <c r="K2529" t="str">
        <f>B2486</f>
        <v>electricity, residential, by combustion of hydrogen using CHP, allocated by exergy, transported by truck, produced by Electrolysis, Alkaline using water and electricity from Solar PV (CH)</v>
      </c>
      <c r="L2529">
        <f>IF(OR(B2529&lt;0,B2529=0),1,2)</f>
        <v>2</v>
      </c>
      <c r="M2529">
        <f>IF(L2529=2,LN(B2529),"")</f>
        <v>-16.127708950967754</v>
      </c>
      <c r="N2529">
        <v>1.05</v>
      </c>
      <c r="O2529" s="15">
        <v>1.2</v>
      </c>
      <c r="P2529">
        <v>1</v>
      </c>
      <c r="Q2529">
        <v>1.01</v>
      </c>
      <c r="R2529">
        <v>1.2</v>
      </c>
      <c r="S2529">
        <v>1.2</v>
      </c>
      <c r="T2529">
        <v>1.05</v>
      </c>
      <c r="U2529">
        <f t="shared" si="76"/>
        <v>0.16169679924070957</v>
      </c>
    </row>
    <row r="2530" spans="1:22" x14ac:dyDescent="0.2">
      <c r="A2530" t="s">
        <v>157</v>
      </c>
      <c r="B2530" s="52">
        <f>0.00000011366*B2520*-1</f>
        <v>-9.9043276004456456E-8</v>
      </c>
      <c r="C2530" t="s">
        <v>56</v>
      </c>
      <c r="E2530" t="s">
        <v>64</v>
      </c>
      <c r="F2530" t="s">
        <v>86</v>
      </c>
      <c r="G2530" t="s">
        <v>158</v>
      </c>
      <c r="H2530" t="s">
        <v>155</v>
      </c>
      <c r="K2530" t="str">
        <f>B2486</f>
        <v>electricity, residential, by combustion of hydrogen using CHP, allocated by exergy, transported by truck, produced by Electrolysis, Alkaline using water and electricity from Solar PV (CH)</v>
      </c>
      <c r="L2530">
        <v>2</v>
      </c>
      <c r="M2530">
        <f>IF(L2530=2,LN(B2530*-1),"")</f>
        <v>-16.127708950967754</v>
      </c>
      <c r="N2530">
        <v>1.05</v>
      </c>
      <c r="O2530" s="15">
        <v>1.2</v>
      </c>
      <c r="P2530">
        <v>1</v>
      </c>
      <c r="Q2530">
        <v>1.01</v>
      </c>
      <c r="R2530">
        <v>1.2</v>
      </c>
      <c r="S2530">
        <v>1.2</v>
      </c>
      <c r="T2530">
        <v>3</v>
      </c>
      <c r="U2530">
        <f t="shared" si="76"/>
        <v>0.57209088006881903</v>
      </c>
      <c r="V2530" t="b">
        <v>1</v>
      </c>
    </row>
    <row r="2531" spans="1:22" x14ac:dyDescent="0.2">
      <c r="A2531" s="45" t="str">
        <f>"hydrogen supply, transported by "&amp;B2500&amp;", produced by "&amp;B2504&amp;" using "&amp;B2505&amp;" from "&amp;B2506</f>
        <v>hydrogen supply, transported by truck, produced by Electrolysis, Alkaline using water and electricity from Solar PV (CH)</v>
      </c>
      <c r="B2531" s="53">
        <f>(B2525/B2509)/B2508*B2520</f>
        <v>6.6350221654343872E-2</v>
      </c>
      <c r="C2531" t="str">
        <f>VLOOKUP(J2531,'dataset mapping'!$A$4:$E$69,5,0)</f>
        <v>kilogram</v>
      </c>
      <c r="E2531" t="str">
        <f>VLOOKUP(J2531,'dataset mapping'!$A$4:$E$69,4,0)</f>
        <v>CH</v>
      </c>
      <c r="F2531" t="s">
        <v>86</v>
      </c>
      <c r="G2531" t="str">
        <f>"hydrogen, gaseous, from "&amp;B1139</f>
        <v>hydrogen, gaseous, from truck</v>
      </c>
      <c r="H2531" t="s">
        <v>76</v>
      </c>
      <c r="I2531" t="s">
        <v>1054</v>
      </c>
      <c r="J2531" t="s">
        <v>291</v>
      </c>
      <c r="K2531" t="str">
        <f>B2486</f>
        <v>electricity, residential, by combustion of hydrogen using CHP, allocated by exergy, transported by truck, produced by Electrolysis, Alkaline using water and electricity from Solar PV (CH)</v>
      </c>
      <c r="L2531">
        <f>IF(OR(B2531&lt;0,B2531=0),1,2)</f>
        <v>2</v>
      </c>
      <c r="M2531">
        <f>IF(L2531=2,LN(B2531),"")</f>
        <v>-2.7128081775260964</v>
      </c>
      <c r="N2531">
        <v>1.05</v>
      </c>
      <c r="O2531" s="15">
        <v>1.2</v>
      </c>
      <c r="P2531">
        <v>1</v>
      </c>
      <c r="Q2531">
        <v>1.01</v>
      </c>
      <c r="R2531">
        <v>1.2</v>
      </c>
      <c r="S2531">
        <v>1.2</v>
      </c>
      <c r="T2531">
        <v>1.05</v>
      </c>
      <c r="U2531">
        <f t="shared" si="76"/>
        <v>0.16169679924070957</v>
      </c>
    </row>
    <row r="2532" spans="1:22" x14ac:dyDescent="0.2">
      <c r="A2532" t="str">
        <f>VLOOKUP(J2532,'dataset mapping'!$A$4:$E$69,2,0)</f>
        <v>high pressure hydrogen storage tank</v>
      </c>
      <c r="B2532" s="52">
        <f>((B2521/10)/(B2519*B2515*20))*IF(B2520&lt;&gt;0,B2520,1)</f>
        <v>6.7154714683034044E-6</v>
      </c>
      <c r="C2532" t="str">
        <f>VLOOKUP(J2532,'dataset mapping'!$A$4:$E$69,5,0)</f>
        <v>kilogram</v>
      </c>
      <c r="E2532" t="str">
        <f>VLOOKUP(J2532,'dataset mapping'!$A$4:$E$69,4,0)</f>
        <v>GLO</v>
      </c>
      <c r="F2532" t="s">
        <v>86</v>
      </c>
      <c r="G2532" t="str">
        <f>VLOOKUP(J2532,'dataset mapping'!$A$4:$E$69,3,0)</f>
        <v>high pressure hydrogen storage tank</v>
      </c>
      <c r="H2532" t="s">
        <v>88</v>
      </c>
      <c r="I2532" t="s">
        <v>279</v>
      </c>
      <c r="J2532" t="s">
        <v>229</v>
      </c>
      <c r="K2532" t="str">
        <f>B2486</f>
        <v>electricity, residential, by combustion of hydrogen using CHP, allocated by exergy, transported by truck, produced by Electrolysis, Alkaline using water and electricity from Solar PV (CH)</v>
      </c>
      <c r="L2532">
        <f>IF(OR(B2532&lt;0,B2532=0),1,2)</f>
        <v>2</v>
      </c>
      <c r="M2532">
        <f>IF(L2532=2,LN(B2532),"")</f>
        <v>-11.911096519239557</v>
      </c>
      <c r="N2532">
        <v>1.05</v>
      </c>
      <c r="O2532" s="15">
        <v>1.2</v>
      </c>
      <c r="P2532">
        <v>1</v>
      </c>
      <c r="Q2532">
        <v>1.01</v>
      </c>
      <c r="R2532">
        <v>1.2</v>
      </c>
      <c r="S2532">
        <v>1.2</v>
      </c>
      <c r="T2532">
        <v>3</v>
      </c>
      <c r="U2532">
        <f t="shared" si="76"/>
        <v>0.57209088006881903</v>
      </c>
    </row>
    <row r="2533" spans="1:22" x14ac:dyDescent="0.2">
      <c r="A2533" t="s">
        <v>134</v>
      </c>
      <c r="B2533" s="45">
        <f>B2531*9</f>
        <v>0.59715199488909487</v>
      </c>
      <c r="C2533" t="s">
        <v>56</v>
      </c>
      <c r="D2533" t="s">
        <v>100</v>
      </c>
      <c r="F2533" t="s">
        <v>99</v>
      </c>
      <c r="H2533" t="s">
        <v>131</v>
      </c>
      <c r="I2533" t="s">
        <v>1058</v>
      </c>
      <c r="K2533" t="str">
        <f>B2486</f>
        <v>electricity, residential, by combustion of hydrogen using CHP, allocated by exergy, transported by truck, produced by Electrolysis, Alkaline using water and electricity from Solar PV (CH)</v>
      </c>
      <c r="L2533">
        <f>IF(OR(B2533&lt;0,B2533=0),1,2)</f>
        <v>2</v>
      </c>
      <c r="M2533">
        <f>IF(L2533=2,LN(B2533),"")</f>
        <v>-0.51558360018987692</v>
      </c>
      <c r="N2533">
        <v>1.05</v>
      </c>
      <c r="O2533" s="15">
        <v>1.2</v>
      </c>
      <c r="P2533">
        <v>1</v>
      </c>
      <c r="Q2533">
        <v>1.01</v>
      </c>
      <c r="R2533">
        <v>1.2</v>
      </c>
      <c r="S2533">
        <v>1.2</v>
      </c>
      <c r="T2533">
        <v>1.05</v>
      </c>
      <c r="U2533">
        <f t="shared" si="76"/>
        <v>0.16169679924070957</v>
      </c>
    </row>
    <row r="2534" spans="1:22" x14ac:dyDescent="0.2">
      <c r="A2534" t="s">
        <v>135</v>
      </c>
      <c r="B2534" s="45">
        <f>912.5/1000000*B2531</f>
        <v>6.0544577259588785E-5</v>
      </c>
      <c r="C2534" t="s">
        <v>56</v>
      </c>
      <c r="D2534" t="s">
        <v>100</v>
      </c>
      <c r="F2534" t="s">
        <v>99</v>
      </c>
      <c r="H2534" t="s">
        <v>131</v>
      </c>
      <c r="I2534" t="s">
        <v>1217</v>
      </c>
      <c r="K2534" t="str">
        <f>B2486</f>
        <v>electricity, residential, by combustion of hydrogen using CHP, allocated by exergy, transported by truck, produced by Electrolysis, Alkaline using water and electricity from Solar PV (CH)</v>
      </c>
      <c r="L2534">
        <f>IF(OR(B2534&lt;0,B2534=0),1,2)</f>
        <v>2</v>
      </c>
      <c r="M2534">
        <f>IF(L2534=2,LN(B2534),"")</f>
        <v>-9.712130650033723</v>
      </c>
      <c r="N2534">
        <v>1.05</v>
      </c>
      <c r="O2534" s="15">
        <v>1.2</v>
      </c>
      <c r="P2534">
        <v>1</v>
      </c>
      <c r="Q2534">
        <v>1.01</v>
      </c>
      <c r="R2534">
        <v>1.2</v>
      </c>
      <c r="S2534">
        <v>1.2</v>
      </c>
      <c r="T2534">
        <v>1.5</v>
      </c>
      <c r="U2534">
        <f t="shared" si="76"/>
        <v>0.25816898211842121</v>
      </c>
    </row>
    <row r="2536" spans="1:22" x14ac:dyDescent="0.2">
      <c r="A2536" s="2" t="s">
        <v>50</v>
      </c>
      <c r="B2536" s="44" t="str">
        <f>IF(B2542="megajoule","heat","electricity")&amp;", residential, by "&amp;B2547&amp;" of "&amp;B2546&amp;" using "&amp;B2548&amp;IF(B2549&lt;&gt;0,", allocated by "&amp;B2549,"")&amp;", transported by "&amp;B2550&amp;", produced by "&amp;B2554&amp;" using "&amp;B2555&amp;" from "&amp;B2556</f>
        <v>electricity, residential, by conversion of hydrogen using fuel cell, PEM, allocated by exergy, transported by truck, produced by Electrolysis, Alkaline using water and electricity from Solar PV (CH)</v>
      </c>
    </row>
    <row r="2537" spans="1:22" x14ac:dyDescent="0.2">
      <c r="A2537" t="s">
        <v>51</v>
      </c>
      <c r="B2537" s="45" t="str">
        <f>"This dataset represents the supply of 1 "&amp;IF(B2542="megajoule","megajoule of heat","kilowatt hour of electricity")&amp;" in a residence, by "&amp;B2546&amp;" "&amp;B2547&amp;" in a "&amp;B2548&amp;". "&amp;" The hydrogen is transported by "&amp;B2550&amp;" over "&amp;B2551&amp;" km from regional storage. "&amp;" The "&amp;B2546&amp;" is produced by  "&amp;B2554&amp;", with "&amp;B2555&amp;" from "&amp;B2556&amp;" as feedstock. "&amp;A2558&amp;": "&amp;(B2558*100)&amp;"%. "&amp;A2559&amp;": "&amp;B2559&amp;". "&amp;A2560&amp;": "&amp;B2560&amp;". "&amp;A2561&amp;": "&amp;(B2561*100)&amp;"%. "&amp;A2562&amp;": "&amp;(B2562*100)&amp;"%. "&amp;A2563&amp;": "&amp;(B2563*100)&amp;"%. "&amp;A2564&amp;": "&amp;B2564&amp;". "&amp;A2565&amp;": "&amp;B2565&amp;". "&amp;A2566&amp;": "&amp;(B2566*100)&amp;"%. "&amp;A2567&amp;": "&amp;B2567&amp;". "&amp;A2568&amp;": "&amp;B2568&amp;". "&amp;A2569&amp;": "&amp;B2569&amp;". "&amp;A2570&amp;": "&amp;B2570&amp;".  For more information, refer to: "&amp;B2538</f>
        <v>This dataset represents the supply of 1 kilowatt hour of electricity in a residence, by hydrogen conversion in a fuel cell, PEM.  The hydrogen is transported by truck over 200 km from regional storage.  The hydrogen is produced by  Electrolysis, Alkaline, with water and electricity from Solar PV (CH)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2538" spans="1:22" x14ac:dyDescent="0.2">
      <c r="A2538" t="s">
        <v>63</v>
      </c>
      <c r="B2538" s="45" t="s">
        <v>1223</v>
      </c>
    </row>
    <row r="2539" spans="1:22" x14ac:dyDescent="0.2">
      <c r="A2539" t="s">
        <v>52</v>
      </c>
      <c r="B2539" s="45" t="s">
        <v>64</v>
      </c>
    </row>
    <row r="2540" spans="1:22" x14ac:dyDescent="0.2">
      <c r="A2540" t="s">
        <v>48</v>
      </c>
      <c r="B2540" s="45" t="s">
        <v>887</v>
      </c>
    </row>
    <row r="2541" spans="1:22" x14ac:dyDescent="0.2">
      <c r="A2541" t="s">
        <v>54</v>
      </c>
      <c r="B2541" s="45" t="str">
        <f>INDEX(overview!$B$4:$R$338,MATCH('hydrogen - electrolysis'!B2540,overview!$A$4:$A$338,0),MATCH('hydrogen - electrolysis'!A2541,overview!$B$3:$R$3,0))</f>
        <v>electricity, from residential heating system</v>
      </c>
    </row>
    <row r="2542" spans="1:22" x14ac:dyDescent="0.2">
      <c r="A2542" t="s">
        <v>55</v>
      </c>
      <c r="B2542" s="45" t="str">
        <f>INDEX(overview!$B$4:$R$338,MATCH('hydrogen - electrolysis'!B2540,overview!$A$4:$A$338,0),MATCH('hydrogen - electrolysis'!A2542,overview!$B$3:$R$3,0))</f>
        <v>kilowatt hour</v>
      </c>
    </row>
    <row r="2543" spans="1:22" x14ac:dyDescent="0.2">
      <c r="A2543" t="s">
        <v>0</v>
      </c>
      <c r="B2543" s="45" t="str">
        <f>INDEX(overview!$B$4:$R$338,MATCH('hydrogen - electrolysis'!B2540,overview!$A$4:$A$338,0),MATCH('hydrogen - electrolysis'!A2543,overview!$B$3:$R$3,0))</f>
        <v>Switzerland</v>
      </c>
    </row>
    <row r="2544" spans="1:22" x14ac:dyDescent="0.2">
      <c r="A2544" t="s">
        <v>1</v>
      </c>
      <c r="B2544" s="45">
        <f>INDEX(overview!$B$4:$R$338,MATCH('hydrogen - electrolysis'!B2540,overview!$A$4:$A$338,0),MATCH('hydrogen - electrolysis'!A2544,overview!$B$3:$R$3,0))</f>
        <v>2020</v>
      </c>
    </row>
    <row r="2545" spans="1:2" x14ac:dyDescent="0.2">
      <c r="A2545" t="s">
        <v>2</v>
      </c>
      <c r="B2545" s="45" t="str">
        <f>INDEX(overview!$B$4:$R$338,MATCH('hydrogen - electrolysis'!B2540,overview!$A$4:$A$338,0),MATCH('hydrogen - electrolysis'!A2545,overview!$B$3:$R$3,0))</f>
        <v>1 kWh electricity</v>
      </c>
    </row>
    <row r="2546" spans="1:2" x14ac:dyDescent="0.2">
      <c r="A2546" t="s">
        <v>5</v>
      </c>
      <c r="B2546" s="45" t="str">
        <f>INDEX(overview!$B$4:$R$338,MATCH('hydrogen - electrolysis'!B2540,overview!$A$4:$A$338,0),MATCH('hydrogen - electrolysis'!A2546,overview!$B$3:$R$3,0))</f>
        <v>hydrogen</v>
      </c>
    </row>
    <row r="2547" spans="1:2" x14ac:dyDescent="0.2">
      <c r="A2547" t="s">
        <v>3</v>
      </c>
      <c r="B2547" s="45" t="str">
        <f>INDEX(overview!$B$4:$R$338,MATCH('hydrogen - electrolysis'!B2540,overview!$A$4:$A$338,0),MATCH('hydrogen - electrolysis'!A2547,overview!$B$3:$R$3,0))</f>
        <v>conversion</v>
      </c>
    </row>
    <row r="2548" spans="1:2" x14ac:dyDescent="0.2">
      <c r="A2548" t="s">
        <v>6</v>
      </c>
      <c r="B2548" s="45" t="str">
        <f>INDEX(overview!$B$4:$R$338,MATCH('hydrogen - electrolysis'!B2540,overview!$A$4:$A$338,0),MATCH('hydrogen - electrolysis'!A2548,overview!$B$3:$R$3,0))</f>
        <v>fuel cell, PEM</v>
      </c>
    </row>
    <row r="2549" spans="1:2" x14ac:dyDescent="0.2">
      <c r="A2549" t="s">
        <v>39</v>
      </c>
      <c r="B2549" s="45" t="str">
        <f>INDEX(overview!$B$4:$R$338,MATCH('hydrogen - electrolysis'!B2540,overview!$A$4:$A$338,0),MATCH('hydrogen - electrolysis'!A2549,overview!$B$3:$R$3,0))</f>
        <v>exergy</v>
      </c>
    </row>
    <row r="2550" spans="1:2" x14ac:dyDescent="0.2">
      <c r="A2550" t="s">
        <v>4</v>
      </c>
      <c r="B2550" s="45" t="str">
        <f>INDEX(overview!$B$4:$R$338,MATCH('hydrogen - electrolysis'!B2540,overview!$A$4:$A$338,0),MATCH('hydrogen - electrolysis'!A2550,overview!$B$3:$R$3,0))</f>
        <v>truck</v>
      </c>
    </row>
    <row r="2551" spans="1:2" x14ac:dyDescent="0.2">
      <c r="A2551" t="s">
        <v>38</v>
      </c>
      <c r="B2551" s="45">
        <f>INDEX(overview!$B$4:$R$338,MATCH('hydrogen - electrolysis'!B2540,overview!$A$4:$A$338,0),MATCH('hydrogen - electrolysis'!A2551,overview!$B$3:$R$3,0))</f>
        <v>200</v>
      </c>
    </row>
    <row r="2552" spans="1:2" x14ac:dyDescent="0.2">
      <c r="A2552" t="s">
        <v>12</v>
      </c>
      <c r="B2552" s="45" t="str">
        <f>INDEX(overview!$B$4:$R$338,MATCH('hydrogen - electrolysis'!B2540,overview!$A$4:$A$338,0),MATCH('hydrogen - electrolysis'!A2552,overview!$B$3:$R$3,0))</f>
        <v>Pressure vessel for stationary storage</v>
      </c>
    </row>
    <row r="2553" spans="1:2" x14ac:dyDescent="0.2">
      <c r="A2553" t="s">
        <v>34</v>
      </c>
      <c r="B2553" s="45">
        <f>INDEX(overview!$B$4:$R$338,MATCH('hydrogen - electrolysis'!B2540,overview!$A$4:$A$338,0),MATCH('hydrogen - electrolysis'!A2553,overview!$B$3:$R$3,0))</f>
        <v>0</v>
      </c>
    </row>
    <row r="2554" spans="1:2" x14ac:dyDescent="0.2">
      <c r="A2554" t="s">
        <v>15</v>
      </c>
      <c r="B2554" s="45" t="str">
        <f>INDEX(overview!$B$4:$R$338,MATCH('hydrogen - electrolysis'!B2540,overview!$A$4:$A$338,0),MATCH('hydrogen - electrolysis'!A2554,overview!$B$3:$R$3,0))</f>
        <v>Electrolysis, Alkaline</v>
      </c>
    </row>
    <row r="2555" spans="1:2" x14ac:dyDescent="0.2">
      <c r="A2555" t="s">
        <v>14</v>
      </c>
      <c r="B2555" s="45" t="str">
        <f>INDEX(overview!$B$4:$R$338,MATCH('hydrogen - electrolysis'!B2540,overview!$A$4:$A$338,0),MATCH('hydrogen - electrolysis'!A2555,overview!$B$3:$R$3,0))</f>
        <v>water and electricity</v>
      </c>
    </row>
    <row r="2556" spans="1:2" x14ac:dyDescent="0.2">
      <c r="A2556" t="s">
        <v>26</v>
      </c>
      <c r="B2556" s="45" t="str">
        <f>INDEX(overview!$B$4:$R$338,MATCH('hydrogen - electrolysis'!B2540,overview!$A$4:$A$338,0),MATCH('hydrogen - electrolysis'!A2556,overview!$B$3:$R$3,0))</f>
        <v>Solar PV (CH)</v>
      </c>
    </row>
    <row r="2557" spans="1:2" x14ac:dyDescent="0.2">
      <c r="A2557" t="s">
        <v>29</v>
      </c>
      <c r="B2557" s="45">
        <f>INDEX(overview!$B$4:$R$338,MATCH('hydrogen - electrolysis'!B2540,overview!$A$4:$A$338,0),MATCH('hydrogen - electrolysis'!A2557,overview!$B$3:$R$3,0))</f>
        <v>0</v>
      </c>
    </row>
    <row r="2558" spans="1:2" x14ac:dyDescent="0.2">
      <c r="A2558" t="str">
        <f>IF(B2542="megajoule","Heat","Electricity")&amp;" conversion efficiency [% LHV input]"</f>
        <v>Electricity conversion efficiency [% LHV input]</v>
      </c>
      <c r="B2558" s="46">
        <f>INDEX(parameters!$D$4:$N$20,MATCH('hydrogen - electrolysis'!B2546&amp;'hydrogen - electrolysis'!B2548,parameters!$A$4:$A$20,0),MATCH('hydrogen - electrolysis'!A2558,parameters!$D$3:$N$3,0))</f>
        <v>0.45</v>
      </c>
    </row>
    <row r="2559" spans="1:2" x14ac:dyDescent="0.2">
      <c r="A2559" t="str">
        <f>IF(B2542="megajoule","LHV [MJ/kg]","LHV [kWh/kg]")</f>
        <v>LHV [kWh/kg]</v>
      </c>
      <c r="B2559" s="47">
        <f>INDEX(parameters!$D$4:$N$20,MATCH('hydrogen - electrolysis'!B2546&amp;'hydrogen - electrolysis'!B2548,parameters!$A$4:$A$20,0),MATCH('hydrogen - electrolysis'!A2559,parameters!$D$3:$N$3,0))</f>
        <v>33.333333333333336</v>
      </c>
    </row>
    <row r="2560" spans="1:2" x14ac:dyDescent="0.2">
      <c r="A2560" t="s">
        <v>41</v>
      </c>
      <c r="B2560" s="48">
        <f>INDEX(parameters!$D$4:$N$20,MATCH('hydrogen - electrolysis'!B2546&amp;'hydrogen - electrolysis'!B2548,parameters!$A$4:$A$20,0),MATCH('hydrogen - electrolysis'!A2560,parameters!$D$3:$N$3,0))</f>
        <v>2.6666666666666665E-2</v>
      </c>
    </row>
    <row r="2561" spans="1:22" x14ac:dyDescent="0.2">
      <c r="A2561" t="s">
        <v>45</v>
      </c>
      <c r="B2561" s="46">
        <f>INDEX(parameters!$D$4:$N$20,MATCH('hydrogen - electrolysis'!B2546&amp;'hydrogen - electrolysis'!B2548,parameters!$A$4:$A$20,0),MATCH('hydrogen - electrolysis'!A2561,parameters!$D$3:$N$3,0))</f>
        <v>0</v>
      </c>
    </row>
    <row r="2562" spans="1:22" x14ac:dyDescent="0.2">
      <c r="A2562" t="s">
        <v>46</v>
      </c>
      <c r="B2562" s="46">
        <f>INDEX(parameters!$D$4:$N$20,MATCH('hydrogen - electrolysis'!B2546&amp;'hydrogen - electrolysis'!B2548,parameters!$A$4:$A$20,0),MATCH('hydrogen - electrolysis'!A2562,parameters!$D$3:$N$3,0))</f>
        <v>1.4999999999999999E-2</v>
      </c>
    </row>
    <row r="2563" spans="1:22" x14ac:dyDescent="0.2">
      <c r="A2563" t="s">
        <v>43</v>
      </c>
      <c r="B2563" s="46">
        <f>INDEX(parameters!$D$4:$N$20,MATCH('hydrogen - electrolysis'!B2546&amp;'hydrogen - electrolysis'!B2548,parameters!$A$4:$A$20,0),MATCH('hydrogen - electrolysis'!A2563,parameters!$D$3:$N$3,0))</f>
        <v>0</v>
      </c>
    </row>
    <row r="2564" spans="1:22" x14ac:dyDescent="0.2">
      <c r="A2564" t="s">
        <v>44</v>
      </c>
      <c r="B2564" s="46">
        <f>INDEX(parameters!$D$4:$N$20,MATCH('hydrogen - electrolysis'!B2546&amp;'hydrogen - electrolysis'!B2548,parameters!$A$4:$A$20,0),MATCH('hydrogen - electrolysis'!A2564,parameters!$D$3:$N$3,0))</f>
        <v>0</v>
      </c>
    </row>
    <row r="2565" spans="1:22" x14ac:dyDescent="0.2">
      <c r="A2565" t="s">
        <v>634</v>
      </c>
      <c r="B2565" s="51">
        <f>INDEX(parameters!$D$4:$Y$20,MATCH('hydrogen - electrolysis'!B2546&amp;'hydrogen - electrolysis'!B2548,parameters!$A$4:$A$20,0),MATCH('hydrogen - electrolysis'!A2565,parameters!$D$3:$Y$3,0))</f>
        <v>1.8947368421052633</v>
      </c>
    </row>
    <row r="2566" spans="1:22" x14ac:dyDescent="0.2">
      <c r="A2566" t="s">
        <v>82</v>
      </c>
      <c r="B2566" s="46">
        <f>IF(B2557&lt;&gt;0,VLOOKUP(B2557,parameters!A1741:B1743,2,0),0)</f>
        <v>0</v>
      </c>
    </row>
    <row r="2567" spans="1:22" x14ac:dyDescent="0.2">
      <c r="A2567" t="s">
        <v>548</v>
      </c>
      <c r="B2567" s="50">
        <f>INDEX(parameters!$D$4:$P$20,MATCH(B2546&amp;B2548,parameters!$A$4:$A$20,0),MATCH(A2567,parameters!$D$3:$P$3,0))</f>
        <v>0.8</v>
      </c>
    </row>
    <row r="2568" spans="1:22" x14ac:dyDescent="0.2">
      <c r="A2568" t="s">
        <v>547</v>
      </c>
      <c r="B2568" s="51">
        <f>INDEX(parameters!$D$4:$P$20,MATCH(B2546&amp;B2548,parameters!$A$4:$A$20,0),MATCH(A2568,parameters!$D$3:$P$3,0))</f>
        <v>4.8780487804878048</v>
      </c>
    </row>
    <row r="2569" spans="1:22" x14ac:dyDescent="0.2">
      <c r="A2569" t="s">
        <v>630</v>
      </c>
      <c r="B2569" s="51">
        <f>INDEX(parameters!$D$4:$T$20,MATCH(B2546&amp;B2548,parameters!$A$4:$A$20,0),MATCH(A2569,parameters!$D$3:$T$3,0))</f>
        <v>4100</v>
      </c>
    </row>
    <row r="2570" spans="1:22" x14ac:dyDescent="0.2">
      <c r="A2570" t="s">
        <v>1005</v>
      </c>
      <c r="B2570" s="50">
        <f>IF(B2542="megajoule",SUMIFS(allocation!$I$4:$I$30,allocation!$B$4:$B$30,B2548,allocation!$C$4:$C$30,B2549),SUMIFS(allocation!$J$4:$J$30,allocation!$B$4:$B$30,B2548,allocation!$C$4:$C$30,B2549))</f>
        <v>0.86066019201025545</v>
      </c>
    </row>
    <row r="2571" spans="1:22" x14ac:dyDescent="0.2">
      <c r="A2571" t="s">
        <v>1050</v>
      </c>
      <c r="B2571" s="51">
        <f>INDEX(parameters!$D$4:$AB$20,MATCH(B2546&amp;B2548,parameters!$A$4:$A$20,0),MATCH(A2571,parameters!$D$3:$AB$3,0))</f>
        <v>10.221606648199446</v>
      </c>
    </row>
    <row r="2573" spans="1:22" x14ac:dyDescent="0.2">
      <c r="A2573" s="3" t="s">
        <v>57</v>
      </c>
    </row>
    <row r="2574" spans="1:22" x14ac:dyDescent="0.2">
      <c r="A2574" s="2" t="s">
        <v>58</v>
      </c>
      <c r="B2574" s="44" t="s">
        <v>59</v>
      </c>
      <c r="C2574" s="2" t="s">
        <v>55</v>
      </c>
      <c r="D2574" s="2" t="s">
        <v>60</v>
      </c>
      <c r="E2574" s="2" t="s">
        <v>52</v>
      </c>
      <c r="F2574" s="2" t="s">
        <v>61</v>
      </c>
      <c r="G2574" s="2" t="s">
        <v>54</v>
      </c>
      <c r="H2574" s="2" t="s">
        <v>87</v>
      </c>
      <c r="I2574" s="2" t="s">
        <v>51</v>
      </c>
      <c r="J2574" s="2" t="s">
        <v>138</v>
      </c>
      <c r="K2574" s="2" t="s">
        <v>136</v>
      </c>
      <c r="L2574" s="2" t="s">
        <v>221</v>
      </c>
      <c r="M2574" s="2" t="s">
        <v>379</v>
      </c>
      <c r="N2574" s="2" t="s">
        <v>1059</v>
      </c>
      <c r="O2574" s="2" t="s">
        <v>1060</v>
      </c>
      <c r="P2574" s="2" t="s">
        <v>1061</v>
      </c>
      <c r="Q2574" s="2" t="s">
        <v>1062</v>
      </c>
      <c r="R2574" s="2" t="s">
        <v>1063</v>
      </c>
      <c r="S2574" s="2" t="s">
        <v>1064</v>
      </c>
      <c r="T2574" s="2" t="s">
        <v>1065</v>
      </c>
      <c r="U2574" s="2" t="s">
        <v>380</v>
      </c>
      <c r="V2574" s="2" t="s">
        <v>1128</v>
      </c>
    </row>
    <row r="2575" spans="1:22" x14ac:dyDescent="0.2">
      <c r="A2575" t="str">
        <f>B2536</f>
        <v>electricity, residential, by conversion of hydrogen using fuel cell, PEM, allocated by exergy, transported by truck, produced by Electrolysis, Alkaline using water and electricity from Solar PV (CH)</v>
      </c>
      <c r="B2575" s="45">
        <v>1</v>
      </c>
      <c r="C2575" t="str">
        <f>B2542</f>
        <v>kilowatt hour</v>
      </c>
      <c r="E2575" t="str">
        <f>B2539</f>
        <v>CH</v>
      </c>
      <c r="F2575" t="s">
        <v>62</v>
      </c>
      <c r="G2575" t="str">
        <f>B2541</f>
        <v>electricity, from residential heating system</v>
      </c>
      <c r="K2575" t="str">
        <f>B2536</f>
        <v>electricity, residential, by conversion of hydrogen using fuel cell, PEM, allocated by exergy, transported by truck, produced by Electrolysis, Alkaline using water and electricity from Solar PV (CH)</v>
      </c>
    </row>
    <row r="2576" spans="1:22" x14ac:dyDescent="0.2">
      <c r="A2576" t="str">
        <f>VLOOKUP(J2576,'dataset mapping'!$A$4:$E$69,2,0)</f>
        <v>fuel cell system assembly, 1 kWe, proton exchange membrane (PEM)</v>
      </c>
      <c r="B2576" s="52">
        <f>(1/(B2565*B2569*B2568))*B2570</f>
        <v>2.2711866178048405E-5</v>
      </c>
      <c r="C2576" t="str">
        <f>VLOOKUP(J2576,'dataset mapping'!$A$4:$E$69,5,0)</f>
        <v>unit</v>
      </c>
      <c r="E2576" t="str">
        <f>VLOOKUP(J2576,'dataset mapping'!$A$4:$E$69,4,0)</f>
        <v>GLO</v>
      </c>
      <c r="F2576" t="s">
        <v>86</v>
      </c>
      <c r="G2576" t="str">
        <f>VLOOKUP(J2576,'dataset mapping'!$A$4:$E$69,3,0)</f>
        <v>fuel cell system, 1 kWe, proton exchange membrane (PEM)</v>
      </c>
      <c r="H2576" t="s">
        <v>88</v>
      </c>
      <c r="I2576" t="s">
        <v>272</v>
      </c>
      <c r="J2576" t="s">
        <v>273</v>
      </c>
      <c r="K2576" t="str">
        <f>B2536</f>
        <v>electricity, residential, by conversion of hydrogen using fuel cell, PEM, allocated by exergy, transported by truck, produced by Electrolysis, Alkaline using water and electricity from Solar PV (CH)</v>
      </c>
      <c r="L2576">
        <f>IF(OR(B2576&lt;0,B2576=0),1,2)</f>
        <v>2</v>
      </c>
      <c r="M2576">
        <f>IF(L2576=2,LN(B2576),"")</f>
        <v>-10.692623030936341</v>
      </c>
      <c r="N2576">
        <v>1</v>
      </c>
      <c r="O2576" s="15">
        <v>1.2</v>
      </c>
      <c r="P2576">
        <v>1</v>
      </c>
      <c r="Q2576">
        <v>1.01</v>
      </c>
      <c r="R2576">
        <v>1.2</v>
      </c>
      <c r="S2576">
        <v>1.2</v>
      </c>
      <c r="T2576">
        <v>3</v>
      </c>
      <c r="U2576">
        <f>LN(SQRT(EXP(
SQRT(
+POWER(LN(N2576),2)
+POWER(LN(O2576),2)
+POWER(LN(P2576),2)
+POWER(LN(Q2576),2)
+POWER(LN(R2576),2)
+POWER(LN(S2576),2)
+POWER(LN(T2576),2)
)
)))</f>
        <v>0.57157051623399524</v>
      </c>
    </row>
    <row r="2577" spans="1:21" x14ac:dyDescent="0.2">
      <c r="A2577" s="45" t="str">
        <f>"hydrogen supply, transported by "&amp;B2550&amp;", produced by "&amp;B2554&amp;" using "&amp;B2555&amp;" from "&amp;B2556</f>
        <v>hydrogen supply, transported by truck, produced by Electrolysis, Alkaline using water and electricity from Solar PV (CH)</v>
      </c>
      <c r="B2577" s="53">
        <f>(B2575/B2559)/B2558*B2570</f>
        <v>5.7377346134017029E-2</v>
      </c>
      <c r="C2577" t="str">
        <f>VLOOKUP(J2577,'dataset mapping'!$A$4:$E$69,5,0)</f>
        <v>kilogram</v>
      </c>
      <c r="E2577" t="str">
        <f>VLOOKUP(J2577,'dataset mapping'!$A$4:$E$69,4,0)</f>
        <v>CH</v>
      </c>
      <c r="F2577" t="s">
        <v>86</v>
      </c>
      <c r="G2577" t="str">
        <f>"hydrogen, gaseous, from "&amp;B2550</f>
        <v>hydrogen, gaseous, from truck</v>
      </c>
      <c r="H2577" t="s">
        <v>76</v>
      </c>
      <c r="I2577" t="s">
        <v>1054</v>
      </c>
      <c r="J2577" t="s">
        <v>291</v>
      </c>
      <c r="K2577" t="str">
        <f>B2536</f>
        <v>electricity, residential, by conversion of hydrogen using fuel cell, PEM, allocated by exergy, transported by truck, produced by Electrolysis, Alkaline using water and electricity from Solar PV (CH)</v>
      </c>
      <c r="L2577">
        <f>IF(OR(B2577&lt;0,B2577=0),1,2)</f>
        <v>2</v>
      </c>
      <c r="M2577">
        <f>IF(L2577=2,LN(B2577),"")</f>
        <v>-2.8581057202127536</v>
      </c>
      <c r="N2577">
        <v>1</v>
      </c>
      <c r="O2577" s="15">
        <v>1.2</v>
      </c>
      <c r="P2577">
        <v>1</v>
      </c>
      <c r="Q2577">
        <v>1.01</v>
      </c>
      <c r="R2577">
        <v>1.2</v>
      </c>
      <c r="S2577">
        <v>1.2</v>
      </c>
      <c r="T2577">
        <v>1.05</v>
      </c>
      <c r="U2577">
        <f>LN(SQRT(EXP(
SQRT(
+POWER(LN(N2577),2)
+POWER(LN(O2577),2)
+POWER(LN(P2577),2)
+POWER(LN(Q2577),2)
+POWER(LN(R2577),2)
+POWER(LN(S2577),2)
+POWER(LN(T2577),2)
)
)))</f>
        <v>0.15984597228197622</v>
      </c>
    </row>
    <row r="2578" spans="1:21" x14ac:dyDescent="0.2">
      <c r="A2578" t="str">
        <f>VLOOKUP(J2578,'dataset mapping'!$A$4:$E$69,2,0)</f>
        <v>high pressure hydrogen storage tank</v>
      </c>
      <c r="B2578" s="52">
        <f>((B2571/10)/(B2569*B2565*20))*IF(B2570&lt;&gt;0,B2570,1)</f>
        <v>5.6622381053306285E-6</v>
      </c>
      <c r="C2578" t="str">
        <f>VLOOKUP(J2578,'dataset mapping'!$A$4:$E$69,5,0)</f>
        <v>kilogram</v>
      </c>
      <c r="E2578" t="str">
        <f>VLOOKUP(J2578,'dataset mapping'!$A$4:$E$69,4,0)</f>
        <v>GLO</v>
      </c>
      <c r="F2578" t="s">
        <v>86</v>
      </c>
      <c r="G2578" t="str">
        <f>VLOOKUP(J2578,'dataset mapping'!$A$4:$E$69,3,0)</f>
        <v>high pressure hydrogen storage tank</v>
      </c>
      <c r="H2578" t="s">
        <v>88</v>
      </c>
      <c r="I2578" t="s">
        <v>280</v>
      </c>
      <c r="J2578" t="s">
        <v>229</v>
      </c>
      <c r="K2578" t="str">
        <f>B2536</f>
        <v>electricity, residential, by conversion of hydrogen using fuel cell, PEM, allocated by exergy, transported by truck, produced by Electrolysis, Alkaline using water and electricity from Solar PV (CH)</v>
      </c>
      <c r="L2578">
        <f>IF(OR(B2578&lt;0,B2578=0),1,2)</f>
        <v>2</v>
      </c>
      <c r="M2578">
        <f>IF(L2578=2,LN(B2578),"")</f>
        <v>-12.081691318938956</v>
      </c>
      <c r="N2578">
        <v>1</v>
      </c>
      <c r="O2578" s="15">
        <v>1.2</v>
      </c>
      <c r="P2578">
        <v>1</v>
      </c>
      <c r="Q2578">
        <v>1.01</v>
      </c>
      <c r="R2578">
        <v>1.2</v>
      </c>
      <c r="S2578">
        <v>1.2</v>
      </c>
      <c r="T2578">
        <v>3</v>
      </c>
      <c r="U2578">
        <f>LN(SQRT(EXP(
SQRT(
+POWER(LN(N2578),2)
+POWER(LN(O2578),2)
+POWER(LN(P2578),2)
+POWER(LN(Q2578),2)
+POWER(LN(R2578),2)
+POWER(LN(S2578),2)
+POWER(LN(T2578),2)
)
)))</f>
        <v>0.57157051623399524</v>
      </c>
    </row>
    <row r="2579" spans="1:21" x14ac:dyDescent="0.2">
      <c r="A2579" t="s">
        <v>134</v>
      </c>
      <c r="B2579" s="45">
        <f>B2577*9</f>
        <v>0.51639611520615325</v>
      </c>
      <c r="C2579" t="s">
        <v>56</v>
      </c>
      <c r="D2579" t="s">
        <v>100</v>
      </c>
      <c r="F2579" t="s">
        <v>99</v>
      </c>
      <c r="H2579" t="s">
        <v>131</v>
      </c>
      <c r="I2579" t="s">
        <v>1057</v>
      </c>
      <c r="K2579" t="str">
        <f>B2536</f>
        <v>electricity, residential, by conversion of hydrogen using fuel cell, PEM, allocated by exergy, transported by truck, produced by Electrolysis, Alkaline using water and electricity from Solar PV (CH)</v>
      </c>
      <c r="L2579">
        <f>IF(OR(B2579&lt;0,B2579=0),1,2)</f>
        <v>2</v>
      </c>
      <c r="M2579">
        <f>IF(L2579=2,LN(B2579),"")</f>
        <v>-0.6608811428765341</v>
      </c>
      <c r="N2579">
        <v>1</v>
      </c>
      <c r="O2579" s="15">
        <v>1.2</v>
      </c>
      <c r="P2579">
        <v>1</v>
      </c>
      <c r="Q2579">
        <v>1.01</v>
      </c>
      <c r="R2579">
        <v>1.2</v>
      </c>
      <c r="S2579">
        <v>1.2</v>
      </c>
      <c r="T2579">
        <v>1.05</v>
      </c>
      <c r="U2579">
        <f>LN(SQRT(EXP(
SQRT(
+POWER(LN(N2579),2)
+POWER(LN(O2579),2)
+POWER(LN(P2579),2)
+POWER(LN(Q2579),2)
+POWER(LN(R2579),2)
+POWER(LN(S2579),2)
+POWER(LN(T2579),2)
)
)))</f>
        <v>0.15984597228197622</v>
      </c>
    </row>
    <row r="2581" spans="1:21" x14ac:dyDescent="0.2">
      <c r="A2581" s="2" t="s">
        <v>50</v>
      </c>
      <c r="B2581" s="44" t="str">
        <f>IF(B2587="megajoule","heat","electricity")&amp;", residential, by "&amp;B2592&amp;" of "&amp;B2591&amp;" using "&amp;B2593&amp;IF(B2594&lt;&gt;0,", allocated by "&amp;B2594,"")&amp;", transported by "&amp;B2595&amp;", produced by "&amp;B2599&amp;" using "&amp;B2600&amp;" from "&amp;B2601</f>
        <v>electricity, residential, by conversion of hydrogen using fuel cell, SOFC, allocated by exergy, transported by truck, produced by Electrolysis, Alkaline using water and electricity from Solar PV (CH)</v>
      </c>
    </row>
    <row r="2582" spans="1:21" x14ac:dyDescent="0.2">
      <c r="A2582" t="s">
        <v>51</v>
      </c>
      <c r="B2582" s="45" t="str">
        <f>"This dataset represents the supply of 1 "&amp;IF(B2587="megajoule","megajoule of heat","kilowatt hour of electricity")&amp;" in a residence, by "&amp;B2591&amp;" "&amp;B2592&amp;" in a "&amp;B2593&amp;". "&amp;" The hydrogen is transported by "&amp;B2595&amp;" over "&amp;B2596&amp;" km from regional storage. "&amp;" The "&amp;B2591&amp;" is produced by  "&amp;B2599&amp;", with "&amp;B2600&amp;" from "&amp;B2601&amp;" as feedstock. "&amp;A2603&amp;": "&amp;(B2603*100)&amp;"%. "&amp;A2604&amp;": "&amp;B2604&amp;". "&amp;A2605&amp;": "&amp;B2605&amp;". "&amp;A2606&amp;": "&amp;(B2606*100)&amp;"%. "&amp;A2607&amp;": "&amp;(B2607*100)&amp;"%. "&amp;A2608&amp;": "&amp;(B2608*100)&amp;"%. "&amp;A2609&amp;": "&amp;B2609&amp;". "&amp;A2610&amp;": "&amp;B2610&amp;". "&amp;A2611&amp;": "&amp;(B2611*100)&amp;"%. "&amp;A2612&amp;": "&amp;B2612&amp;". "&amp;A2613&amp;": "&amp;B2613&amp;". "&amp;A2614&amp;": "&amp;B2614&amp;". "&amp;A2615&amp;": "&amp;B2615&amp;".  For more information, refer to: "&amp;B2583</f>
        <v>This dataset represents the supply of 1 kilowatt hour of electricity in a residence, by hydrogen conversion in a fuel cell, SOFC.  The hydrogen is transported by truck over 200 km from regional storage.  The hydrogen is produced by  Electrolysis, Alkaline, with water and electricity from Solar PV (CH)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2583" spans="1:21" x14ac:dyDescent="0.2">
      <c r="A2583" t="s">
        <v>63</v>
      </c>
      <c r="B2583" s="45" t="s">
        <v>1223</v>
      </c>
    </row>
    <row r="2584" spans="1:21" x14ac:dyDescent="0.2">
      <c r="A2584" t="s">
        <v>52</v>
      </c>
      <c r="B2584" s="45" t="s">
        <v>64</v>
      </c>
    </row>
    <row r="2585" spans="1:21" x14ac:dyDescent="0.2">
      <c r="A2585" t="s">
        <v>48</v>
      </c>
      <c r="B2585" s="45" t="s">
        <v>888</v>
      </c>
    </row>
    <row r="2586" spans="1:21" x14ac:dyDescent="0.2">
      <c r="A2586" t="s">
        <v>54</v>
      </c>
      <c r="B2586" s="45" t="str">
        <f>INDEX(overview!$B$4:$R$338,MATCH('hydrogen - electrolysis'!B2585,overview!$A$4:$A$338,0),MATCH('hydrogen - electrolysis'!A2586,overview!$B$3:$R$3,0))</f>
        <v>electricity, from residential heating system</v>
      </c>
    </row>
    <row r="2587" spans="1:21" x14ac:dyDescent="0.2">
      <c r="A2587" t="s">
        <v>55</v>
      </c>
      <c r="B2587" s="45" t="str">
        <f>INDEX(overview!$B$4:$R$338,MATCH('hydrogen - electrolysis'!B2585,overview!$A$4:$A$338,0),MATCH('hydrogen - electrolysis'!A2587,overview!$B$3:$R$3,0))</f>
        <v>kilowatt hour</v>
      </c>
    </row>
    <row r="2588" spans="1:21" x14ac:dyDescent="0.2">
      <c r="A2588" t="s">
        <v>0</v>
      </c>
      <c r="B2588" s="45" t="str">
        <f>INDEX(overview!$B$4:$R$338,MATCH('hydrogen - electrolysis'!B2585,overview!$A$4:$A$338,0),MATCH('hydrogen - electrolysis'!A2588,overview!$B$3:$R$3,0))</f>
        <v>Switzerland</v>
      </c>
    </row>
    <row r="2589" spans="1:21" x14ac:dyDescent="0.2">
      <c r="A2589" t="s">
        <v>1</v>
      </c>
      <c r="B2589" s="45">
        <f>INDEX(overview!$B$4:$R$338,MATCH('hydrogen - electrolysis'!B2585,overview!$A$4:$A$338,0),MATCH('hydrogen - electrolysis'!A2589,overview!$B$3:$R$3,0))</f>
        <v>2020</v>
      </c>
    </row>
    <row r="2590" spans="1:21" x14ac:dyDescent="0.2">
      <c r="A2590" t="s">
        <v>2</v>
      </c>
      <c r="B2590" s="45" t="str">
        <f>INDEX(overview!$B$4:$R$338,MATCH('hydrogen - electrolysis'!B2585,overview!$A$4:$A$338,0),MATCH('hydrogen - electrolysis'!A2590,overview!$B$3:$R$3,0))</f>
        <v>1 kWh electricity</v>
      </c>
    </row>
    <row r="2591" spans="1:21" x14ac:dyDescent="0.2">
      <c r="A2591" t="s">
        <v>5</v>
      </c>
      <c r="B2591" s="45" t="str">
        <f>INDEX(overview!$B$4:$R$338,MATCH('hydrogen - electrolysis'!B2585,overview!$A$4:$A$338,0),MATCH('hydrogen - electrolysis'!A2591,overview!$B$3:$R$3,0))</f>
        <v>hydrogen</v>
      </c>
    </row>
    <row r="2592" spans="1:21" x14ac:dyDescent="0.2">
      <c r="A2592" t="s">
        <v>3</v>
      </c>
      <c r="B2592" s="45" t="str">
        <f>INDEX(overview!$B$4:$R$338,MATCH('hydrogen - electrolysis'!B2585,overview!$A$4:$A$338,0),MATCH('hydrogen - electrolysis'!A2592,overview!$B$3:$R$3,0))</f>
        <v>conversion</v>
      </c>
    </row>
    <row r="2593" spans="1:2" x14ac:dyDescent="0.2">
      <c r="A2593" t="s">
        <v>6</v>
      </c>
      <c r="B2593" s="45" t="str">
        <f>INDEX(overview!$B$4:$R$338,MATCH('hydrogen - electrolysis'!B2585,overview!$A$4:$A$338,0),MATCH('hydrogen - electrolysis'!A2593,overview!$B$3:$R$3,0))</f>
        <v>fuel cell, SOFC</v>
      </c>
    </row>
    <row r="2594" spans="1:2" x14ac:dyDescent="0.2">
      <c r="A2594" t="s">
        <v>39</v>
      </c>
      <c r="B2594" s="45" t="str">
        <f>INDEX(overview!$B$4:$R$338,MATCH('hydrogen - electrolysis'!B2585,overview!$A$4:$A$338,0),MATCH('hydrogen - electrolysis'!A2594,overview!$B$3:$R$3,0))</f>
        <v>exergy</v>
      </c>
    </row>
    <row r="2595" spans="1:2" x14ac:dyDescent="0.2">
      <c r="A2595" t="s">
        <v>4</v>
      </c>
      <c r="B2595" s="45" t="str">
        <f>INDEX(overview!$B$4:$R$338,MATCH('hydrogen - electrolysis'!B2585,overview!$A$4:$A$338,0),MATCH('hydrogen - electrolysis'!A2595,overview!$B$3:$R$3,0))</f>
        <v>truck</v>
      </c>
    </row>
    <row r="2596" spans="1:2" x14ac:dyDescent="0.2">
      <c r="A2596" t="s">
        <v>38</v>
      </c>
      <c r="B2596" s="45">
        <f>INDEX(overview!$B$4:$R$338,MATCH('hydrogen - electrolysis'!B2585,overview!$A$4:$A$338,0),MATCH('hydrogen - electrolysis'!A2596,overview!$B$3:$R$3,0))</f>
        <v>200</v>
      </c>
    </row>
    <row r="2597" spans="1:2" x14ac:dyDescent="0.2">
      <c r="A2597" t="s">
        <v>12</v>
      </c>
      <c r="B2597" s="45" t="str">
        <f>INDEX(overview!$B$4:$R$338,MATCH('hydrogen - electrolysis'!B2585,overview!$A$4:$A$338,0),MATCH('hydrogen - electrolysis'!A2597,overview!$B$3:$R$3,0))</f>
        <v>Pressure vessel for stationary storage</v>
      </c>
    </row>
    <row r="2598" spans="1:2" x14ac:dyDescent="0.2">
      <c r="A2598" t="s">
        <v>34</v>
      </c>
      <c r="B2598" s="45">
        <f>INDEX(overview!$B$4:$R$338,MATCH('hydrogen - electrolysis'!B2585,overview!$A$4:$A$338,0),MATCH('hydrogen - electrolysis'!A2598,overview!$B$3:$R$3,0))</f>
        <v>0</v>
      </c>
    </row>
    <row r="2599" spans="1:2" x14ac:dyDescent="0.2">
      <c r="A2599" t="s">
        <v>15</v>
      </c>
      <c r="B2599" s="45" t="str">
        <f>INDEX(overview!$B$4:$R$338,MATCH('hydrogen - electrolysis'!B2585,overview!$A$4:$A$338,0),MATCH('hydrogen - electrolysis'!A2599,overview!$B$3:$R$3,0))</f>
        <v>Electrolysis, Alkaline</v>
      </c>
    </row>
    <row r="2600" spans="1:2" x14ac:dyDescent="0.2">
      <c r="A2600" t="s">
        <v>14</v>
      </c>
      <c r="B2600" s="45" t="str">
        <f>INDEX(overview!$B$4:$R$338,MATCH('hydrogen - electrolysis'!B2585,overview!$A$4:$A$338,0),MATCH('hydrogen - electrolysis'!A2600,overview!$B$3:$R$3,0))</f>
        <v>water and electricity</v>
      </c>
    </row>
    <row r="2601" spans="1:2" x14ac:dyDescent="0.2">
      <c r="A2601" t="s">
        <v>26</v>
      </c>
      <c r="B2601" s="45" t="str">
        <f>INDEX(overview!$B$4:$R$338,MATCH('hydrogen - electrolysis'!B2585,overview!$A$4:$A$338,0),MATCH('hydrogen - electrolysis'!A2601,overview!$B$3:$R$3,0))</f>
        <v>Solar PV (CH)</v>
      </c>
    </row>
    <row r="2602" spans="1:2" x14ac:dyDescent="0.2">
      <c r="A2602" t="s">
        <v>29</v>
      </c>
      <c r="B2602" s="45">
        <f>INDEX(overview!$B$4:$R$338,MATCH('hydrogen - electrolysis'!B2585,overview!$A$4:$A$338,0),MATCH('hydrogen - electrolysis'!A2602,overview!$B$3:$R$3,0))</f>
        <v>0</v>
      </c>
    </row>
    <row r="2603" spans="1:2" x14ac:dyDescent="0.2">
      <c r="A2603" t="str">
        <f>IF(B2587="megajoule","Heat","Electricity")&amp;" conversion efficiency [% LHV input]"</f>
        <v>Electricity conversion efficiency [% LHV input]</v>
      </c>
      <c r="B2603" s="46">
        <f>INDEX(parameters!$D$4:$N$20,MATCH('hydrogen - electrolysis'!B2591&amp;'hydrogen - electrolysis'!B2593,parameters!$A$4:$A$20,0),MATCH('hydrogen - electrolysis'!A2603,parameters!$D$3:$N$3,0))</f>
        <v>0.47</v>
      </c>
    </row>
    <row r="2604" spans="1:2" x14ac:dyDescent="0.2">
      <c r="A2604" t="str">
        <f>IF(B2587="megajoule","LHV [MJ/kg]","LHV [kWh/kg]")</f>
        <v>LHV [kWh/kg]</v>
      </c>
      <c r="B2604" s="47">
        <f>INDEX(parameters!$D$4:$N$20,MATCH('hydrogen - electrolysis'!B2591&amp;'hydrogen - electrolysis'!B2593,parameters!$A$4:$A$20,0),MATCH('hydrogen - electrolysis'!A2604,parameters!$D$3:$N$3,0))</f>
        <v>33.333333333333336</v>
      </c>
    </row>
    <row r="2605" spans="1:2" x14ac:dyDescent="0.2">
      <c r="A2605" t="s">
        <v>41</v>
      </c>
      <c r="B2605" s="48">
        <f>INDEX(parameters!$D$4:$N$20,MATCH('hydrogen - electrolysis'!B2591&amp;'hydrogen - electrolysis'!B2593,parameters!$A$4:$A$20,0),MATCH('hydrogen - electrolysis'!A2605,parameters!$D$3:$N$3,0))</f>
        <v>2.6666666666666665E-2</v>
      </c>
    </row>
    <row r="2606" spans="1:2" x14ac:dyDescent="0.2">
      <c r="A2606" t="s">
        <v>45</v>
      </c>
      <c r="B2606" s="46">
        <f>INDEX(parameters!$D$4:$N$20,MATCH('hydrogen - electrolysis'!B2591&amp;'hydrogen - electrolysis'!B2593,parameters!$A$4:$A$20,0),MATCH('hydrogen - electrolysis'!A2606,parameters!$D$3:$N$3,0))</f>
        <v>0</v>
      </c>
    </row>
    <row r="2607" spans="1:2" x14ac:dyDescent="0.2">
      <c r="A2607" t="s">
        <v>46</v>
      </c>
      <c r="B2607" s="46">
        <f>INDEX(parameters!$D$4:$N$20,MATCH('hydrogen - electrolysis'!B2591&amp;'hydrogen - electrolysis'!B2593,parameters!$A$4:$A$20,0),MATCH('hydrogen - electrolysis'!A2607,parameters!$D$3:$N$3,0))</f>
        <v>1.4999999999999999E-2</v>
      </c>
    </row>
    <row r="2608" spans="1:2" x14ac:dyDescent="0.2">
      <c r="A2608" t="s">
        <v>43</v>
      </c>
      <c r="B2608" s="46">
        <f>INDEX(parameters!$D$4:$N$20,MATCH('hydrogen - electrolysis'!B2591&amp;'hydrogen - electrolysis'!B2593,parameters!$A$4:$A$20,0),MATCH('hydrogen - electrolysis'!A2608,parameters!$D$3:$N$3,0))</f>
        <v>0</v>
      </c>
    </row>
    <row r="2609" spans="1:22" x14ac:dyDescent="0.2">
      <c r="A2609" t="s">
        <v>44</v>
      </c>
      <c r="B2609" s="46">
        <f>INDEX(parameters!$D$4:$N$20,MATCH('hydrogen - electrolysis'!B2591&amp;'hydrogen - electrolysis'!B2593,parameters!$A$4:$A$20,0),MATCH('hydrogen - electrolysis'!A2609,parameters!$D$3:$N$3,0))</f>
        <v>0</v>
      </c>
    </row>
    <row r="2610" spans="1:22" x14ac:dyDescent="0.2">
      <c r="A2610" t="s">
        <v>634</v>
      </c>
      <c r="B2610" s="51">
        <f>INDEX(parameters!$D$4:$Y$20,MATCH('hydrogen - electrolysis'!B2591&amp;'hydrogen - electrolysis'!B2593,parameters!$A$4:$A$20,0),MATCH('hydrogen - electrolysis'!A2610,parameters!$D$3:$Y$3,0))</f>
        <v>225</v>
      </c>
      <c r="D2610" s="8"/>
    </row>
    <row r="2611" spans="1:22" x14ac:dyDescent="0.2">
      <c r="A2611" t="s">
        <v>82</v>
      </c>
      <c r="B2611" s="46">
        <f>IF(B2602&lt;&gt;0,VLOOKUP(B2602,parameters!A1789:B1791,2,0),0)</f>
        <v>0</v>
      </c>
    </row>
    <row r="2612" spans="1:22" x14ac:dyDescent="0.2">
      <c r="A2612" t="s">
        <v>548</v>
      </c>
      <c r="B2612" s="50">
        <f>INDEX(parameters!$D$4:$P$20,MATCH(B2591&amp;B2593,parameters!$A$4:$A$20,0),MATCH(A2612,parameters!$D$3:$P$3,0))</f>
        <v>100</v>
      </c>
    </row>
    <row r="2613" spans="1:22" x14ac:dyDescent="0.2">
      <c r="A2613" t="s">
        <v>547</v>
      </c>
      <c r="B2613" s="51">
        <f>INDEX(parameters!$D$4:$P$20,MATCH(B2591&amp;B2593,parameters!$A$4:$A$20,0),MATCH(A2613,parameters!$D$3:$P$3,0))</f>
        <v>6</v>
      </c>
    </row>
    <row r="2614" spans="1:22" x14ac:dyDescent="0.2">
      <c r="A2614" t="s">
        <v>630</v>
      </c>
      <c r="B2614" s="51">
        <f>INDEX(parameters!$D$4:$T$20,MATCH(B2591&amp;B2593,parameters!$A$4:$A$20,0),MATCH(A2614,parameters!$D$3:$T$3,0))</f>
        <v>4100</v>
      </c>
    </row>
    <row r="2615" spans="1:22" x14ac:dyDescent="0.2">
      <c r="A2615" t="s">
        <v>1005</v>
      </c>
      <c r="B2615" s="50">
        <f>IF(B2587="megajoule",SUMIFS(allocation!$I$4:$I$30,allocation!$B$4:$B$30,B2593,allocation!$C$4:$C$30,B2594),SUMIFS(allocation!$J$4:$J$30,allocation!$B$4:$B$30,B2593,allocation!$C$4:$C$30,B2594))</f>
        <v>0.86412493489600906</v>
      </c>
    </row>
    <row r="2616" spans="1:22" x14ac:dyDescent="0.2">
      <c r="A2616" t="s">
        <v>1050</v>
      </c>
      <c r="B2616" s="51">
        <f>INDEX(parameters!$D$4:$AB$20,MATCH(B2591&amp;B2593,parameters!$A$4:$A$20,0),MATCH(A2616,parameters!$D$3:$AB$3,0))</f>
        <v>1153.1249999999998</v>
      </c>
    </row>
    <row r="2618" spans="1:22" x14ac:dyDescent="0.2">
      <c r="A2618" s="3" t="s">
        <v>57</v>
      </c>
    </row>
    <row r="2619" spans="1:22" x14ac:dyDescent="0.2">
      <c r="A2619" s="2" t="s">
        <v>58</v>
      </c>
      <c r="B2619" s="44" t="s">
        <v>59</v>
      </c>
      <c r="C2619" s="2" t="s">
        <v>55</v>
      </c>
      <c r="D2619" s="2" t="s">
        <v>60</v>
      </c>
      <c r="E2619" s="2" t="s">
        <v>52</v>
      </c>
      <c r="F2619" s="2" t="s">
        <v>61</v>
      </c>
      <c r="G2619" s="2" t="s">
        <v>54</v>
      </c>
      <c r="H2619" s="2" t="s">
        <v>87</v>
      </c>
      <c r="I2619" s="2" t="s">
        <v>51</v>
      </c>
      <c r="J2619" s="2" t="s">
        <v>138</v>
      </c>
      <c r="K2619" s="2" t="s">
        <v>136</v>
      </c>
      <c r="L2619" s="2" t="s">
        <v>221</v>
      </c>
      <c r="M2619" s="2" t="s">
        <v>379</v>
      </c>
      <c r="N2619" s="2" t="s">
        <v>1059</v>
      </c>
      <c r="O2619" s="2" t="s">
        <v>1060</v>
      </c>
      <c r="P2619" s="2" t="s">
        <v>1061</v>
      </c>
      <c r="Q2619" s="2" t="s">
        <v>1062</v>
      </c>
      <c r="R2619" s="2" t="s">
        <v>1063</v>
      </c>
      <c r="S2619" s="2" t="s">
        <v>1064</v>
      </c>
      <c r="T2619" s="2" t="s">
        <v>1065</v>
      </c>
      <c r="U2619" s="2" t="s">
        <v>380</v>
      </c>
      <c r="V2619" s="2" t="s">
        <v>1128</v>
      </c>
    </row>
    <row r="2620" spans="1:22" x14ac:dyDescent="0.2">
      <c r="A2620" t="str">
        <f>B2581</f>
        <v>electricity, residential, by conversion of hydrogen using fuel cell, SOFC, allocated by exergy, transported by truck, produced by Electrolysis, Alkaline using water and electricity from Solar PV (CH)</v>
      </c>
      <c r="B2620" s="45">
        <v>1</v>
      </c>
      <c r="C2620" t="str">
        <f>B2587</f>
        <v>kilowatt hour</v>
      </c>
      <c r="E2620" t="str">
        <f>B2584</f>
        <v>CH</v>
      </c>
      <c r="F2620" t="s">
        <v>62</v>
      </c>
      <c r="G2620" t="str">
        <f>B2586</f>
        <v>electricity, from residential heating system</v>
      </c>
      <c r="K2620" t="str">
        <f>B2581</f>
        <v>electricity, residential, by conversion of hydrogen using fuel cell, SOFC, allocated by exergy, transported by truck, produced by Electrolysis, Alkaline using water and electricity from Solar PV (CH)</v>
      </c>
    </row>
    <row r="2621" spans="1:22" x14ac:dyDescent="0.2">
      <c r="A2621" t="str">
        <f>VLOOKUP(J2621,'dataset mapping'!$A$4:$E$69,2,0)</f>
        <v>fuel cell production, stack solid oxide, 125kW electrical, future</v>
      </c>
      <c r="B2621" s="52">
        <f>(1/(B2610*B2614*B2613))*B2615</f>
        <v>1.5612013277254003E-7</v>
      </c>
      <c r="C2621" t="str">
        <f>VLOOKUP(J2621,'dataset mapping'!$A$4:$E$69,5,0)</f>
        <v>unit</v>
      </c>
      <c r="E2621" t="str">
        <f>VLOOKUP(J2621,'dataset mapping'!$A$4:$E$69,4,0)</f>
        <v>CH</v>
      </c>
      <c r="F2621" t="s">
        <v>86</v>
      </c>
      <c r="G2621" t="str">
        <f>VLOOKUP(J2621,'dataset mapping'!$A$4:$E$69,3,0)</f>
        <v>fuel cell, stack solid oxide, 125kW electrical, future</v>
      </c>
      <c r="H2621" t="s">
        <v>88</v>
      </c>
      <c r="I2621" t="s">
        <v>277</v>
      </c>
      <c r="J2621" t="s">
        <v>274</v>
      </c>
      <c r="K2621" t="str">
        <f>B2581</f>
        <v>electricity, residential, by conversion of hydrogen using fuel cell, SOFC, allocated by exergy, transported by truck, produced by Electrolysis, Alkaline using water and electricity from Solar PV (CH)</v>
      </c>
      <c r="L2621">
        <f t="shared" ref="L2621:L2626" si="77">IF(OR(B2621&lt;0,B2621=0),1,2)</f>
        <v>2</v>
      </c>
      <c r="M2621">
        <f t="shared" ref="M2621:M2626" si="78">IF(L2621=2,LN(B2621),"")</f>
        <v>-15.672640044182527</v>
      </c>
      <c r="N2621">
        <v>1</v>
      </c>
      <c r="O2621" s="15">
        <v>1.2</v>
      </c>
      <c r="P2621">
        <v>1</v>
      </c>
      <c r="Q2621">
        <v>1.01</v>
      </c>
      <c r="R2621">
        <v>1.2</v>
      </c>
      <c r="S2621">
        <v>1.2</v>
      </c>
      <c r="T2621">
        <v>3</v>
      </c>
      <c r="U2621">
        <f t="shared" ref="U2621:U2626" si="79">LN(SQRT(EXP(
SQRT(
+POWER(LN(N2621),2)
+POWER(LN(O2621),2)
+POWER(LN(P2621),2)
+POWER(LN(Q2621),2)
+POWER(LN(R2621),2)
+POWER(LN(S2621),2)
+POWER(LN(T2621),2)
)
)))</f>
        <v>0.57157051623399524</v>
      </c>
    </row>
    <row r="2622" spans="1:22" x14ac:dyDescent="0.2">
      <c r="A2622" t="s">
        <v>283</v>
      </c>
      <c r="B2622" s="52">
        <f>(1/(B2610*B2614*B2613))*B2615</f>
        <v>1.5612013277254003E-7</v>
      </c>
      <c r="C2622" t="s">
        <v>55</v>
      </c>
      <c r="E2622" t="s">
        <v>64</v>
      </c>
      <c r="F2622" t="s">
        <v>86</v>
      </c>
      <c r="G2622" t="s">
        <v>284</v>
      </c>
      <c r="H2622" t="s">
        <v>88</v>
      </c>
      <c r="I2622" t="s">
        <v>277</v>
      </c>
      <c r="K2622" t="str">
        <f>B2581</f>
        <v>electricity, residential, by conversion of hydrogen using fuel cell, SOFC, allocated by exergy, transported by truck, produced by Electrolysis, Alkaline using water and electricity from Solar PV (CH)</v>
      </c>
      <c r="L2622">
        <f t="shared" si="77"/>
        <v>2</v>
      </c>
      <c r="M2622">
        <f t="shared" si="78"/>
        <v>-15.672640044182527</v>
      </c>
      <c r="N2622">
        <v>1</v>
      </c>
      <c r="O2622" s="15">
        <v>1.2</v>
      </c>
      <c r="P2622">
        <v>1</v>
      </c>
      <c r="Q2622">
        <v>1.01</v>
      </c>
      <c r="R2622">
        <v>1.2</v>
      </c>
      <c r="S2622">
        <v>1.2</v>
      </c>
      <c r="T2622">
        <v>3</v>
      </c>
      <c r="U2622">
        <f t="shared" si="79"/>
        <v>0.57157051623399524</v>
      </c>
    </row>
    <row r="2623" spans="1:22" x14ac:dyDescent="0.2">
      <c r="A2623" t="s">
        <v>288</v>
      </c>
      <c r="B2623" s="52">
        <f>0.000024*B2615</f>
        <v>2.0738998437504217E-5</v>
      </c>
      <c r="C2623" t="s">
        <v>56</v>
      </c>
      <c r="E2623" t="s">
        <v>64</v>
      </c>
      <c r="F2623" t="s">
        <v>86</v>
      </c>
      <c r="G2623" t="s">
        <v>287</v>
      </c>
      <c r="H2623" t="s">
        <v>88</v>
      </c>
      <c r="K2623" t="str">
        <f>B2581</f>
        <v>electricity, residential, by conversion of hydrogen using fuel cell, SOFC, allocated by exergy, transported by truck, produced by Electrolysis, Alkaline using water and electricity from Solar PV (CH)</v>
      </c>
      <c r="L2623">
        <f t="shared" si="77"/>
        <v>2</v>
      </c>
      <c r="M2623">
        <f t="shared" si="78"/>
        <v>-10.783494647673981</v>
      </c>
      <c r="N2623">
        <v>1</v>
      </c>
      <c r="O2623" s="15">
        <v>1.2</v>
      </c>
      <c r="P2623">
        <v>1</v>
      </c>
      <c r="Q2623">
        <v>1.01</v>
      </c>
      <c r="R2623">
        <v>1.2</v>
      </c>
      <c r="S2623">
        <v>1.2</v>
      </c>
      <c r="T2623">
        <v>1.05</v>
      </c>
      <c r="U2623">
        <f t="shared" si="79"/>
        <v>0.15984597228197622</v>
      </c>
    </row>
    <row r="2624" spans="1:22" x14ac:dyDescent="0.2">
      <c r="A2624" s="45" t="str">
        <f>"hydrogen supply, transported by "&amp;B2595&amp;", produced by "&amp;B2599&amp;" using "&amp;B2600&amp;" from "&amp;B2601</f>
        <v>hydrogen supply, transported by truck, produced by Electrolysis, Alkaline using water and electricity from Solar PV (CH)</v>
      </c>
      <c r="B2624" s="53">
        <f>(B2620/B2604)/B2603*B2615</f>
        <v>5.515691073804313E-2</v>
      </c>
      <c r="C2624" t="str">
        <f>VLOOKUP(J2624,'dataset mapping'!$A$4:$E$69,5,0)</f>
        <v>kilogram</v>
      </c>
      <c r="E2624" t="str">
        <f>VLOOKUP(J2624,'dataset mapping'!$A$4:$E$69,4,0)</f>
        <v>CH</v>
      </c>
      <c r="F2624" t="s">
        <v>86</v>
      </c>
      <c r="G2624" t="str">
        <f>"hydrogen, gaseous, from "&amp;B2595</f>
        <v>hydrogen, gaseous, from truck</v>
      </c>
      <c r="H2624" t="s">
        <v>76</v>
      </c>
      <c r="I2624" t="s">
        <v>1054</v>
      </c>
      <c r="J2624" t="s">
        <v>291</v>
      </c>
      <c r="K2624" t="str">
        <f>B2581</f>
        <v>electricity, residential, by conversion of hydrogen using fuel cell, SOFC, allocated by exergy, transported by truck, produced by Electrolysis, Alkaline using water and electricity from Solar PV (CH)</v>
      </c>
      <c r="L2624">
        <f t="shared" si="77"/>
        <v>2</v>
      </c>
      <c r="M2624">
        <f t="shared" si="78"/>
        <v>-2.8975732330996009</v>
      </c>
      <c r="N2624">
        <v>1</v>
      </c>
      <c r="O2624" s="15">
        <v>1.2</v>
      </c>
      <c r="P2624">
        <v>1</v>
      </c>
      <c r="Q2624">
        <v>1.01</v>
      </c>
      <c r="R2624">
        <v>1.2</v>
      </c>
      <c r="S2624">
        <v>1.2</v>
      </c>
      <c r="T2624">
        <v>1.05</v>
      </c>
      <c r="U2624">
        <f t="shared" si="79"/>
        <v>0.15984597228197622</v>
      </c>
    </row>
    <row r="2625" spans="1:21" x14ac:dyDescent="0.2">
      <c r="A2625" t="str">
        <f>VLOOKUP(J2625,'dataset mapping'!$A$4:$E$69,2,0)</f>
        <v>high pressure hydrogen storage tank</v>
      </c>
      <c r="B2625" s="52">
        <f>((B2616/10)/(B2614*B2610*20))*IF(B2615&lt;&gt;0,B2615,1)</f>
        <v>5.400780843100055E-6</v>
      </c>
      <c r="C2625" t="str">
        <f>VLOOKUP(J2625,'dataset mapping'!$A$4:$E$69,5,0)</f>
        <v>kilogram</v>
      </c>
      <c r="E2625" t="str">
        <f>VLOOKUP(J2625,'dataset mapping'!$A$4:$E$69,4,0)</f>
        <v>GLO</v>
      </c>
      <c r="F2625" t="s">
        <v>86</v>
      </c>
      <c r="G2625" t="str">
        <f>VLOOKUP(J2625,'dataset mapping'!$A$4:$E$69,3,0)</f>
        <v>high pressure hydrogen storage tank</v>
      </c>
      <c r="H2625" t="s">
        <v>88</v>
      </c>
      <c r="I2625" t="s">
        <v>230</v>
      </c>
      <c r="J2625" t="s">
        <v>229</v>
      </c>
      <c r="K2625" t="str">
        <f>B2581</f>
        <v>electricity, residential, by conversion of hydrogen using fuel cell, SOFC, allocated by exergy, transported by truck, produced by Electrolysis, Alkaline using water and electricity from Solar PV (CH)</v>
      </c>
      <c r="L2625">
        <f t="shared" si="77"/>
        <v>2</v>
      </c>
      <c r="M2625">
        <f t="shared" si="78"/>
        <v>-12.128967014273616</v>
      </c>
      <c r="N2625">
        <v>1</v>
      </c>
      <c r="O2625" s="15">
        <v>1.2</v>
      </c>
      <c r="P2625">
        <v>1</v>
      </c>
      <c r="Q2625">
        <v>1.01</v>
      </c>
      <c r="R2625">
        <v>1.2</v>
      </c>
      <c r="S2625">
        <v>1.2</v>
      </c>
      <c r="T2625">
        <v>3</v>
      </c>
      <c r="U2625">
        <f t="shared" si="79"/>
        <v>0.57157051623399524</v>
      </c>
    </row>
    <row r="2626" spans="1:21" x14ac:dyDescent="0.2">
      <c r="A2626" t="s">
        <v>134</v>
      </c>
      <c r="B2626" s="45">
        <f>B2624*9</f>
        <v>0.49641219664238817</v>
      </c>
      <c r="C2626" t="s">
        <v>56</v>
      </c>
      <c r="D2626" t="s">
        <v>100</v>
      </c>
      <c r="F2626" t="s">
        <v>99</v>
      </c>
      <c r="H2626" t="s">
        <v>131</v>
      </c>
      <c r="I2626" t="s">
        <v>1057</v>
      </c>
      <c r="K2626" t="str">
        <f>B2581</f>
        <v>electricity, residential, by conversion of hydrogen using fuel cell, SOFC, allocated by exergy, transported by truck, produced by Electrolysis, Alkaline using water and electricity from Solar PV (CH)</v>
      </c>
      <c r="L2626">
        <f t="shared" si="77"/>
        <v>2</v>
      </c>
      <c r="M2626">
        <f t="shared" si="78"/>
        <v>-0.70034865576338168</v>
      </c>
      <c r="N2626">
        <v>1</v>
      </c>
      <c r="O2626" s="15">
        <v>1.2</v>
      </c>
      <c r="P2626">
        <v>1</v>
      </c>
      <c r="Q2626">
        <v>1.01</v>
      </c>
      <c r="R2626">
        <v>1.2</v>
      </c>
      <c r="S2626">
        <v>1.2</v>
      </c>
      <c r="T2626">
        <v>1.05</v>
      </c>
      <c r="U2626">
        <f t="shared" si="79"/>
        <v>0.15984597228197622</v>
      </c>
    </row>
    <row r="2628" spans="1:21" x14ac:dyDescent="0.2">
      <c r="A2628" s="2" t="s">
        <v>50</v>
      </c>
      <c r="B2628" s="44" t="str">
        <f>IF(B2634="megajoule","heat","electricity")&amp;", residential, by "&amp;B2639&amp;" of "&amp;B2638&amp;" using "&amp;B2640&amp;IF(B2641&lt;&gt;0,", allocated by "&amp;B2641,"")&amp;", transported by "&amp;B2642&amp;", produced by "&amp;B2646&amp;" using "&amp;B2647&amp;" from "&amp;B2648</f>
        <v>heat, residential, by combustion of hydrogen using boiler, transported by pipeline, produced by Electrolysis, PEM using water and electricity from Solar PV (CH)</v>
      </c>
    </row>
    <row r="2629" spans="1:21" x14ac:dyDescent="0.2">
      <c r="A2629" t="s">
        <v>51</v>
      </c>
      <c r="B2629" s="45" t="str">
        <f>"This dataset represents the supply of 1 "&amp;IF(B2634="megajoule","megajoule of heat","kilowatt hour of electricity")&amp;" in a residence, by "&amp;B2638&amp;" "&amp;B2639&amp;" in a "&amp;B2640&amp;". "&amp;" The hydrogen is transported by "&amp;B2642&amp;" over "&amp;B2643&amp;" km from regional storage. "&amp;" The "&amp;B2638&amp;" is produced by  "&amp;B2646&amp;", with "&amp;B2647&amp;" from "&amp;B2648&amp;" as feedstock. "&amp;A2650&amp;": "&amp;(B2650*100)&amp;"%. "&amp;A2651&amp;": "&amp;B2651&amp;". "&amp;A2652&amp;": "&amp;B2652&amp;". "&amp;A2653&amp;": "&amp;(B2653*100)&amp;"%. "&amp;A2654&amp;": "&amp;(B2654*100)&amp;"%. "&amp;A2655&amp;": "&amp;(B2655*100)&amp;"%. "&amp;A2656&amp;": "&amp;B2656&amp;". "&amp;A2657&amp;": "&amp;B2657&amp;". "&amp;A2658&amp;": "&amp;(B2658*100)&amp;"%. "&amp;A2659&amp;": "&amp;B2659&amp;". "&amp;A2660&amp;": "&amp;B2660&amp;". "&amp;A2661&amp;": "&amp;B2661&amp;". "&amp;A2662&amp;": "&amp;B2662&amp;".  For more information, refer to: "&amp;B2630</f>
        <v>This dataset represents the supply of 1 megajoule of heat in a residence, by hydrogen combustion in a boiler.  The hydrogen is transported by pipeline over 500 km from regional storage.  The hydrogen is produced by  Electrolysis, PEM, with water and electricity from Solar PV (CH)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2630" spans="1:21" x14ac:dyDescent="0.2">
      <c r="A2630" t="s">
        <v>63</v>
      </c>
      <c r="B2630" s="45" t="s">
        <v>1223</v>
      </c>
    </row>
    <row r="2631" spans="1:21" x14ac:dyDescent="0.2">
      <c r="A2631" t="s">
        <v>52</v>
      </c>
      <c r="B2631" s="45" t="s">
        <v>64</v>
      </c>
    </row>
    <row r="2632" spans="1:21" x14ac:dyDescent="0.2">
      <c r="A2632" t="s">
        <v>48</v>
      </c>
      <c r="B2632" s="45">
        <v>33</v>
      </c>
    </row>
    <row r="2633" spans="1:21" x14ac:dyDescent="0.2">
      <c r="A2633" t="s">
        <v>54</v>
      </c>
      <c r="B2633" s="45" t="str">
        <f>INDEX(overview!$B$4:$R$338,MATCH('hydrogen - electrolysis'!B2632,overview!$A$4:$A$338,0),MATCH('hydrogen - electrolysis'!A2633,overview!$B$3:$R$3,0))</f>
        <v>heat, from residential heating system</v>
      </c>
    </row>
    <row r="2634" spans="1:21" x14ac:dyDescent="0.2">
      <c r="A2634" t="s">
        <v>55</v>
      </c>
      <c r="B2634" s="45" t="str">
        <f>INDEX(overview!$B$4:$R$338,MATCH('hydrogen - electrolysis'!B2632,overview!$A$4:$A$338,0),MATCH('hydrogen - electrolysis'!A2634,overview!$B$3:$R$3,0))</f>
        <v>megajoule</v>
      </c>
    </row>
    <row r="2635" spans="1:21" x14ac:dyDescent="0.2">
      <c r="A2635" t="s">
        <v>0</v>
      </c>
      <c r="B2635" s="45" t="str">
        <f>INDEX(overview!$B$4:$R$338,MATCH('hydrogen - electrolysis'!B2632,overview!$A$4:$A$338,0),MATCH('hydrogen - electrolysis'!A2635,overview!$B$3:$R$3,0))</f>
        <v>Switzerland</v>
      </c>
    </row>
    <row r="2636" spans="1:21" x14ac:dyDescent="0.2">
      <c r="A2636" t="s">
        <v>1</v>
      </c>
      <c r="B2636" s="45">
        <f>INDEX(overview!$B$4:$R$338,MATCH('hydrogen - electrolysis'!B2632,overview!$A$4:$A$338,0),MATCH('hydrogen - electrolysis'!A2636,overview!$B$3:$R$3,0))</f>
        <v>2020</v>
      </c>
    </row>
    <row r="2637" spans="1:21" x14ac:dyDescent="0.2">
      <c r="A2637" t="s">
        <v>2</v>
      </c>
      <c r="B2637" s="45" t="str">
        <f>INDEX(overview!$B$4:$R$338,MATCH('hydrogen - electrolysis'!B2632,overview!$A$4:$A$338,0),MATCH('hydrogen - electrolysis'!A2637,overview!$B$3:$R$3,0))</f>
        <v>1 MJ heat</v>
      </c>
    </row>
    <row r="2638" spans="1:21" x14ac:dyDescent="0.2">
      <c r="A2638" t="s">
        <v>5</v>
      </c>
      <c r="B2638" s="45" t="str">
        <f>INDEX(overview!$B$4:$R$338,MATCH('hydrogen - electrolysis'!B2632,overview!$A$4:$A$338,0),MATCH('hydrogen - electrolysis'!A2638,overview!$B$3:$R$3,0))</f>
        <v>hydrogen</v>
      </c>
    </row>
    <row r="2639" spans="1:21" x14ac:dyDescent="0.2">
      <c r="A2639" t="s">
        <v>3</v>
      </c>
      <c r="B2639" s="45" t="str">
        <f>INDEX(overview!$B$4:$R$338,MATCH('hydrogen - electrolysis'!B2632,overview!$A$4:$A$338,0),MATCH('hydrogen - electrolysis'!A2639,overview!$B$3:$R$3,0))</f>
        <v>combustion</v>
      </c>
    </row>
    <row r="2640" spans="1:21" x14ac:dyDescent="0.2">
      <c r="A2640" t="s">
        <v>6</v>
      </c>
      <c r="B2640" s="45" t="str">
        <f>INDEX(overview!$B$4:$R$338,MATCH('hydrogen - electrolysis'!B2632,overview!$A$4:$A$338,0),MATCH('hydrogen - electrolysis'!A2640,overview!$B$3:$R$3,0))</f>
        <v>boiler</v>
      </c>
    </row>
    <row r="2641" spans="1:2" x14ac:dyDescent="0.2">
      <c r="A2641" t="s">
        <v>39</v>
      </c>
      <c r="B2641" s="45">
        <f>INDEX(overview!$B$4:$R$338,MATCH('hydrogen - electrolysis'!B2632,overview!$A$4:$A$338,0),MATCH('hydrogen - electrolysis'!A2641,overview!$B$3:$R$3,0))</f>
        <v>0</v>
      </c>
    </row>
    <row r="2642" spans="1:2" x14ac:dyDescent="0.2">
      <c r="A2642" t="s">
        <v>4</v>
      </c>
      <c r="B2642" s="45" t="str">
        <f>INDEX(overview!$B$4:$R$338,MATCH('hydrogen - electrolysis'!B2632,overview!$A$4:$A$338,0),MATCH('hydrogen - electrolysis'!A2642,overview!$B$3:$R$3,0))</f>
        <v>pipeline</v>
      </c>
    </row>
    <row r="2643" spans="1:2" x14ac:dyDescent="0.2">
      <c r="A2643" t="s">
        <v>38</v>
      </c>
      <c r="B2643" s="45">
        <f>INDEX(overview!$B$4:$R$338,MATCH('hydrogen - electrolysis'!B2632,overview!$A$4:$A$338,0),MATCH('hydrogen - electrolysis'!A2643,overview!$B$3:$R$3,0))</f>
        <v>500</v>
      </c>
    </row>
    <row r="2644" spans="1:2" x14ac:dyDescent="0.2">
      <c r="A2644" t="s">
        <v>12</v>
      </c>
      <c r="B2644" s="45" t="str">
        <f>INDEX(overview!$B$4:$R$338,MATCH('hydrogen - electrolysis'!B2632,overview!$A$4:$A$338,0),MATCH('hydrogen - electrolysis'!A2644,overview!$B$3:$R$3,0))</f>
        <v>Pressure vessel for stationary storage</v>
      </c>
    </row>
    <row r="2645" spans="1:2" x14ac:dyDescent="0.2">
      <c r="A2645" t="s">
        <v>34</v>
      </c>
      <c r="B2645" s="45">
        <f>INDEX(overview!$B$4:$R$338,MATCH('hydrogen - electrolysis'!B2632,overview!$A$4:$A$338,0),MATCH('hydrogen - electrolysis'!A2645,overview!$B$3:$R$3,0))</f>
        <v>0</v>
      </c>
    </row>
    <row r="2646" spans="1:2" x14ac:dyDescent="0.2">
      <c r="A2646" t="s">
        <v>15</v>
      </c>
      <c r="B2646" s="45" t="str">
        <f>INDEX(overview!$B$4:$R$338,MATCH('hydrogen - electrolysis'!B2632,overview!$A$4:$A$338,0),MATCH('hydrogen - electrolysis'!A2646,overview!$B$3:$R$3,0))</f>
        <v>Electrolysis, PEM</v>
      </c>
    </row>
    <row r="2647" spans="1:2" x14ac:dyDescent="0.2">
      <c r="A2647" t="s">
        <v>14</v>
      </c>
      <c r="B2647" s="45" t="str">
        <f>INDEX(overview!$B$4:$R$338,MATCH('hydrogen - electrolysis'!B2632,overview!$A$4:$A$338,0),MATCH('hydrogen - electrolysis'!A2647,overview!$B$3:$R$3,0))</f>
        <v>water and electricity</v>
      </c>
    </row>
    <row r="2648" spans="1:2" x14ac:dyDescent="0.2">
      <c r="A2648" t="s">
        <v>26</v>
      </c>
      <c r="B2648" s="45" t="str">
        <f>INDEX(overview!$B$4:$R$338,MATCH('hydrogen - electrolysis'!B2632,overview!$A$4:$A$338,0),MATCH('hydrogen - electrolysis'!A2648,overview!$B$3:$R$3,0))</f>
        <v>Solar PV (CH)</v>
      </c>
    </row>
    <row r="2649" spans="1:2" x14ac:dyDescent="0.2">
      <c r="A2649" t="s">
        <v>29</v>
      </c>
      <c r="B2649" s="45">
        <f>INDEX(overview!$B$4:$R$338,MATCH('hydrogen - electrolysis'!B2632,overview!$A$4:$A$338,0),MATCH('hydrogen - electrolysis'!A2649,overview!$B$3:$R$3,0))</f>
        <v>0</v>
      </c>
    </row>
    <row r="2650" spans="1:2" x14ac:dyDescent="0.2">
      <c r="A2650" t="str">
        <f>IF(B2634="megajoule","Heat","Electricity")&amp;" conversion efficiency [% LHV input]"</f>
        <v>Heat conversion efficiency [% LHV input]</v>
      </c>
      <c r="B2650" s="46">
        <f>INDEX(parameters!$D$4:$N$20,MATCH('hydrogen - electrolysis'!B2638&amp;'hydrogen - electrolysis'!B2640,parameters!$A$4:$A$20,0),MATCH('hydrogen - electrolysis'!A2650,parameters!$D$3:$N$3,0))</f>
        <v>0.94</v>
      </c>
    </row>
    <row r="2651" spans="1:2" x14ac:dyDescent="0.2">
      <c r="A2651" t="str">
        <f>IF(B2634="megajoule","LHV [MJ/kg]","LHV [kWh/kg]")</f>
        <v>LHV [MJ/kg]</v>
      </c>
      <c r="B2651" s="47">
        <f>INDEX(parameters!$D$4:$N$20,MATCH('hydrogen - electrolysis'!B2638&amp;'hydrogen - electrolysis'!B2640,parameters!$A$4:$A$20,0),MATCH('hydrogen - electrolysis'!A2651,parameters!$D$3:$N$3,0))</f>
        <v>120</v>
      </c>
    </row>
    <row r="2652" spans="1:2" x14ac:dyDescent="0.2">
      <c r="A2652" t="s">
        <v>41</v>
      </c>
      <c r="B2652" s="48">
        <f>INDEX(parameters!$D$4:$N$20,MATCH('hydrogen - electrolysis'!B2638&amp;'hydrogen - electrolysis'!B2640,parameters!$A$4:$A$20,0),MATCH('hydrogen - electrolysis'!A2652,parameters!$D$3:$N$3,0))</f>
        <v>2.6666666666666665E-2</v>
      </c>
    </row>
    <row r="2653" spans="1:2" x14ac:dyDescent="0.2">
      <c r="A2653" t="s">
        <v>45</v>
      </c>
      <c r="B2653" s="49">
        <f>INDEX(parameters!$D$4:$N$20,MATCH('hydrogen - electrolysis'!B2638&amp;'hydrogen - electrolysis'!B2640,parameters!$A$4:$A$20,0),MATCH('hydrogen - electrolysis'!A2653,parameters!$D$3:$N$3,0))</f>
        <v>0</v>
      </c>
    </row>
    <row r="2654" spans="1:2" x14ac:dyDescent="0.2">
      <c r="A2654" t="s">
        <v>46</v>
      </c>
      <c r="B2654" s="49">
        <f>INDEX(parameters!$D$4:$N$20,MATCH('hydrogen - electrolysis'!B2638&amp;'hydrogen - electrolysis'!B2640,parameters!$A$4:$A$20,0),MATCH('hydrogen - electrolysis'!A2654,parameters!$D$3:$N$3,0))</f>
        <v>1.4999999999999999E-2</v>
      </c>
    </row>
    <row r="2655" spans="1:2" x14ac:dyDescent="0.2">
      <c r="A2655" t="s">
        <v>43</v>
      </c>
      <c r="B2655" s="49">
        <f>INDEX(parameters!$D$4:$N$20,MATCH('hydrogen - electrolysis'!B2638&amp;'hydrogen - electrolysis'!B2640,parameters!$A$4:$A$20,0),MATCH('hydrogen - electrolysis'!A2655,parameters!$D$3:$N$3,0))</f>
        <v>0</v>
      </c>
    </row>
    <row r="2656" spans="1:2" x14ac:dyDescent="0.2">
      <c r="A2656" t="s">
        <v>44</v>
      </c>
      <c r="B2656" s="49">
        <f>INDEX(parameters!$D$4:$N$20,MATCH('hydrogen - electrolysis'!B2638&amp;'hydrogen - electrolysis'!B2640,parameters!$A$4:$A$20,0),MATCH('hydrogen - electrolysis'!A2656,parameters!$D$3:$N$3,0))</f>
        <v>0</v>
      </c>
    </row>
    <row r="2657" spans="1:22" x14ac:dyDescent="0.2">
      <c r="A2657" t="s">
        <v>634</v>
      </c>
      <c r="B2657" s="51">
        <f>INDEX(parameters!$D$4:$Y$20,MATCH('hydrogen - electrolysis'!B2638&amp;'hydrogen - electrolysis'!B2640,parameters!$A$4:$A$20,0),MATCH('hydrogen - electrolysis'!A2657,parameters!$D$3:$Y$3,0))</f>
        <v>15.957446808510639</v>
      </c>
    </row>
    <row r="2658" spans="1:22" x14ac:dyDescent="0.2">
      <c r="A2658" t="s">
        <v>82</v>
      </c>
      <c r="B2658" s="46">
        <f>IF(B2649&lt;&gt;0,VLOOKUP(B2649,parameters!A1688:B1690,2,0),0)</f>
        <v>0</v>
      </c>
    </row>
    <row r="2659" spans="1:22" x14ac:dyDescent="0.2">
      <c r="A2659" t="s">
        <v>548</v>
      </c>
      <c r="B2659" s="50">
        <f>INDEX(parameters!$D$4:$P$20,MATCH(B2638&amp;B2640,parameters!$A$4:$A$20,0),MATCH(A2659,parameters!$D$3:$P$3,0))</f>
        <v>15</v>
      </c>
    </row>
    <row r="2660" spans="1:22" x14ac:dyDescent="0.2">
      <c r="A2660" t="s">
        <v>547</v>
      </c>
      <c r="B2660" s="51">
        <f>INDEX(parameters!$D$4:$P$20,MATCH(B2638&amp;B2640,parameters!$A$4:$A$20,0),MATCH(A2660,parameters!$D$3:$P$3,0))</f>
        <v>20</v>
      </c>
    </row>
    <row r="2661" spans="1:22" x14ac:dyDescent="0.2">
      <c r="A2661" t="s">
        <v>630</v>
      </c>
      <c r="B2661" s="51">
        <f>INDEX(parameters!$D$4:$T$20,MATCH(B2638&amp;B2640,parameters!$A$4:$A$20,0),MATCH(A2661,parameters!$D$3:$T$3,0))</f>
        <v>2100</v>
      </c>
    </row>
    <row r="2662" spans="1:22" x14ac:dyDescent="0.2">
      <c r="A2662" t="s">
        <v>1005</v>
      </c>
      <c r="B2662" s="50">
        <f>IF(B2634="megajoule",SUMIFS(allocation!$I$4:$I$30,allocation!$B$4:$B$30,B2640,allocation!$C$4:$C$30,B2641),SUMIFS(allocation!$J$4:$J$30,allocation!$B$4:$B$30,B2640,allocation!$C$4:$C$30,B2641))</f>
        <v>0</v>
      </c>
    </row>
    <row r="2663" spans="1:22" x14ac:dyDescent="0.2">
      <c r="A2663" t="s">
        <v>1050</v>
      </c>
      <c r="B2663" s="51">
        <f>INDEX(parameters!$D$4:$AB$20,MATCH(B2638&amp;B2640,parameters!$A$4:$A$20,0),MATCH(A2663,parameters!$D$3:$AB$3,0))</f>
        <v>44.562019013128115</v>
      </c>
    </row>
    <row r="2665" spans="1:22" x14ac:dyDescent="0.2">
      <c r="A2665" s="3" t="s">
        <v>57</v>
      </c>
    </row>
    <row r="2666" spans="1:22" x14ac:dyDescent="0.2">
      <c r="A2666" s="2" t="s">
        <v>58</v>
      </c>
      <c r="B2666" s="44" t="s">
        <v>59</v>
      </c>
      <c r="C2666" s="2" t="s">
        <v>55</v>
      </c>
      <c r="D2666" s="2" t="s">
        <v>60</v>
      </c>
      <c r="E2666" s="2" t="s">
        <v>52</v>
      </c>
      <c r="F2666" s="2" t="s">
        <v>61</v>
      </c>
      <c r="G2666" s="2" t="s">
        <v>54</v>
      </c>
      <c r="H2666" s="2" t="s">
        <v>87</v>
      </c>
      <c r="I2666" s="2" t="s">
        <v>51</v>
      </c>
      <c r="J2666" s="2" t="s">
        <v>138</v>
      </c>
      <c r="K2666" s="2" t="s">
        <v>136</v>
      </c>
      <c r="L2666" s="2" t="s">
        <v>221</v>
      </c>
      <c r="M2666" s="2" t="s">
        <v>379</v>
      </c>
      <c r="N2666" s="2" t="s">
        <v>1059</v>
      </c>
      <c r="O2666" s="2" t="s">
        <v>1060</v>
      </c>
      <c r="P2666" s="2" t="s">
        <v>1061</v>
      </c>
      <c r="Q2666" s="2" t="s">
        <v>1062</v>
      </c>
      <c r="R2666" s="2" t="s">
        <v>1063</v>
      </c>
      <c r="S2666" s="2" t="s">
        <v>1064</v>
      </c>
      <c r="T2666" s="2" t="s">
        <v>1065</v>
      </c>
      <c r="U2666" s="2" t="s">
        <v>380</v>
      </c>
      <c r="V2666" s="2" t="s">
        <v>1128</v>
      </c>
    </row>
    <row r="2667" spans="1:22" x14ac:dyDescent="0.2">
      <c r="A2667" t="str">
        <f>B2628</f>
        <v>heat, residential, by combustion of hydrogen using boiler, transported by pipeline, produced by Electrolysis, PEM using water and electricity from Solar PV (CH)</v>
      </c>
      <c r="B2667" s="45">
        <v>1</v>
      </c>
      <c r="C2667" t="str">
        <f>B2634</f>
        <v>megajoule</v>
      </c>
      <c r="E2667" t="str">
        <f>B2631</f>
        <v>CH</v>
      </c>
      <c r="F2667" t="s">
        <v>62</v>
      </c>
      <c r="G2667" t="str">
        <f>B2633</f>
        <v>heat, from residential heating system</v>
      </c>
      <c r="K2667" t="str">
        <f>B2628</f>
        <v>heat, residential, by combustion of hydrogen using boiler, transported by pipeline, produced by Electrolysis, PEM using water and electricity from Solar PV (CH)</v>
      </c>
    </row>
    <row r="2668" spans="1:22" x14ac:dyDescent="0.2">
      <c r="A2668" t="s">
        <v>83</v>
      </c>
      <c r="B2668" s="52">
        <f>1/(B2659*B2661*B2660*3.6)</f>
        <v>4.4091710758377425E-7</v>
      </c>
      <c r="C2668" t="s">
        <v>55</v>
      </c>
      <c r="E2668" t="s">
        <v>85</v>
      </c>
      <c r="F2668" t="s">
        <v>86</v>
      </c>
      <c r="G2668" t="s">
        <v>84</v>
      </c>
      <c r="H2668" t="s">
        <v>88</v>
      </c>
      <c r="K2668" t="str">
        <f>B2628</f>
        <v>heat, residential, by combustion of hydrogen using boiler, transported by pipeline, produced by Electrolysis, PEM using water and electricity from Solar PV (CH)</v>
      </c>
      <c r="L2668">
        <f t="shared" ref="L2668:L2673" si="80">IF(OR(B2668&lt;0,B2668=0),1,2)</f>
        <v>2</v>
      </c>
      <c r="M2668">
        <f t="shared" ref="M2668:M2673" si="81">IF(L2668=2,LN(B2668),"")</f>
        <v>-14.634408943829779</v>
      </c>
      <c r="N2668">
        <v>1.05</v>
      </c>
      <c r="O2668" s="15">
        <v>1.2</v>
      </c>
      <c r="P2668">
        <v>1</v>
      </c>
      <c r="Q2668">
        <v>1.01</v>
      </c>
      <c r="R2668">
        <v>1.2</v>
      </c>
      <c r="S2668">
        <v>1.2</v>
      </c>
      <c r="T2668">
        <v>3</v>
      </c>
      <c r="U2668">
        <f t="shared" ref="U2668:U2673" si="82">LN(SQRT(EXP(
SQRT(
+POWER(LN(N2668),2)
+POWER(LN(O2668),2)
+POWER(LN(P2668),2)
+POWER(LN(Q2668),2)
+POWER(LN(R2668),2)
+POWER(LN(S2668),2)
+POWER(LN(T2668),2)
)
)))</f>
        <v>0.57209088006881903</v>
      </c>
    </row>
    <row r="2669" spans="1:22" x14ac:dyDescent="0.2">
      <c r="A2669" t="s">
        <v>500</v>
      </c>
      <c r="B2669" s="52">
        <f>B2668*2</f>
        <v>8.8183421516754851E-7</v>
      </c>
      <c r="C2669" t="s">
        <v>267</v>
      </c>
      <c r="E2669" t="s">
        <v>85</v>
      </c>
      <c r="F2669" t="s">
        <v>86</v>
      </c>
      <c r="G2669" t="s">
        <v>501</v>
      </c>
      <c r="H2669" t="s">
        <v>88</v>
      </c>
      <c r="I2669" t="s">
        <v>621</v>
      </c>
      <c r="K2669" t="str">
        <f>B2628</f>
        <v>heat, residential, by combustion of hydrogen using boiler, transported by pipeline, produced by Electrolysis, PEM using water and electricity from Solar PV (CH)</v>
      </c>
      <c r="L2669">
        <f t="shared" si="80"/>
        <v>2</v>
      </c>
      <c r="M2669">
        <f t="shared" si="81"/>
        <v>-13.941261763269834</v>
      </c>
      <c r="N2669">
        <v>1.05</v>
      </c>
      <c r="O2669" s="15">
        <v>1.2</v>
      </c>
      <c r="P2669">
        <v>1</v>
      </c>
      <c r="Q2669">
        <v>1.01</v>
      </c>
      <c r="R2669">
        <v>1.2</v>
      </c>
      <c r="S2669">
        <v>1.2</v>
      </c>
      <c r="T2669">
        <v>3</v>
      </c>
      <c r="U2669">
        <f t="shared" si="82"/>
        <v>0.57209088006881903</v>
      </c>
    </row>
    <row r="2670" spans="1:22" x14ac:dyDescent="0.2">
      <c r="A2670" t="s">
        <v>130</v>
      </c>
      <c r="B2670" s="52">
        <v>2.64E-3</v>
      </c>
      <c r="C2670" t="s">
        <v>92</v>
      </c>
      <c r="E2670" t="s">
        <v>64</v>
      </c>
      <c r="F2670" t="s">
        <v>86</v>
      </c>
      <c r="G2670" t="s">
        <v>93</v>
      </c>
      <c r="H2670" t="s">
        <v>78</v>
      </c>
      <c r="I2670" t="s">
        <v>270</v>
      </c>
      <c r="J2670" t="s">
        <v>67</v>
      </c>
      <c r="K2670" t="str">
        <f>B2628</f>
        <v>heat, residential, by combustion of hydrogen using boiler, transported by pipeline, produced by Electrolysis, PEM using water and electricity from Solar PV (CH)</v>
      </c>
      <c r="L2670">
        <f t="shared" si="80"/>
        <v>2</v>
      </c>
      <c r="M2670">
        <f t="shared" si="81"/>
        <v>-5.9369763618239126</v>
      </c>
      <c r="N2670">
        <v>1.05</v>
      </c>
      <c r="O2670" s="15">
        <v>1.2</v>
      </c>
      <c r="P2670">
        <v>1</v>
      </c>
      <c r="Q2670">
        <v>1.01</v>
      </c>
      <c r="R2670">
        <v>1.2</v>
      </c>
      <c r="S2670">
        <v>1.2</v>
      </c>
      <c r="T2670">
        <v>1.05</v>
      </c>
      <c r="U2670">
        <f t="shared" si="82"/>
        <v>0.16169679924070957</v>
      </c>
    </row>
    <row r="2671" spans="1:22" x14ac:dyDescent="0.2">
      <c r="A2671" s="45" t="str">
        <f>"hydrogen supply, transported by "&amp;B2642&amp;", produced by "&amp;B2646&amp;" using "&amp;B2647&amp;" from "&amp;B2648</f>
        <v>hydrogen supply, transported by pipeline, produced by Electrolysis, PEM using water and electricity from Solar PV (CH)</v>
      </c>
      <c r="B2671" s="53">
        <f>(B2667/B2651)/B2650</f>
        <v>8.8652482269503553E-3</v>
      </c>
      <c r="C2671" t="str">
        <f>VLOOKUP(J2671,'dataset mapping'!$A$4:$E$69,5,0)</f>
        <v>kilogram</v>
      </c>
      <c r="E2671" t="str">
        <f>VLOOKUP(J2671,'dataset mapping'!$A$4:$E$69,4,0)</f>
        <v>CH</v>
      </c>
      <c r="F2671" t="s">
        <v>86</v>
      </c>
      <c r="G2671" t="str">
        <f>"hydrogen, gaseous, from "&amp;B2642</f>
        <v>hydrogen, gaseous, from pipeline</v>
      </c>
      <c r="H2671" t="s">
        <v>76</v>
      </c>
      <c r="I2671" t="s">
        <v>1054</v>
      </c>
      <c r="J2671" t="s">
        <v>292</v>
      </c>
      <c r="K2671" t="str">
        <f>B2628</f>
        <v>heat, residential, by combustion of hydrogen using boiler, transported by pipeline, produced by Electrolysis, PEM using water and electricity from Solar PV (CH)</v>
      </c>
      <c r="L2671">
        <f t="shared" si="80"/>
        <v>2</v>
      </c>
      <c r="M2671">
        <f t="shared" si="81"/>
        <v>-4.7256163390639587</v>
      </c>
      <c r="N2671">
        <v>1.05</v>
      </c>
      <c r="O2671" s="15">
        <v>1.2</v>
      </c>
      <c r="P2671">
        <v>1</v>
      </c>
      <c r="Q2671">
        <v>1.01</v>
      </c>
      <c r="R2671">
        <v>1.2</v>
      </c>
      <c r="S2671">
        <v>1.2</v>
      </c>
      <c r="T2671">
        <v>1.05</v>
      </c>
      <c r="U2671">
        <f t="shared" si="82"/>
        <v>0.16169679924070957</v>
      </c>
    </row>
    <row r="2672" spans="1:22" x14ac:dyDescent="0.2">
      <c r="A2672" t="s">
        <v>134</v>
      </c>
      <c r="B2672" s="45">
        <f>B2671*9</f>
        <v>7.9787234042553196E-2</v>
      </c>
      <c r="C2672" t="s">
        <v>56</v>
      </c>
      <c r="D2672" t="s">
        <v>100</v>
      </c>
      <c r="F2672" t="s">
        <v>99</v>
      </c>
      <c r="H2672" t="s">
        <v>131</v>
      </c>
      <c r="I2672" t="s">
        <v>1058</v>
      </c>
      <c r="K2672" t="str">
        <f>B2628</f>
        <v>heat, residential, by combustion of hydrogen using boiler, transported by pipeline, produced by Electrolysis, PEM using water and electricity from Solar PV (CH)</v>
      </c>
      <c r="L2672">
        <f t="shared" si="80"/>
        <v>2</v>
      </c>
      <c r="M2672">
        <f t="shared" si="81"/>
        <v>-2.5283917617277392</v>
      </c>
      <c r="N2672">
        <v>1.05</v>
      </c>
      <c r="O2672" s="15">
        <v>1.2</v>
      </c>
      <c r="P2672">
        <v>1</v>
      </c>
      <c r="Q2672">
        <v>1.01</v>
      </c>
      <c r="R2672">
        <v>1.2</v>
      </c>
      <c r="S2672">
        <v>1.2</v>
      </c>
      <c r="T2672">
        <v>1.05</v>
      </c>
      <c r="U2672">
        <f t="shared" si="82"/>
        <v>0.16169679924070957</v>
      </c>
    </row>
    <row r="2673" spans="1:21" x14ac:dyDescent="0.2">
      <c r="A2673" t="s">
        <v>135</v>
      </c>
      <c r="B2673" s="45">
        <f>912.5/1000000*B2671</f>
        <v>8.0895390070921995E-6</v>
      </c>
      <c r="C2673" t="s">
        <v>56</v>
      </c>
      <c r="D2673" t="s">
        <v>100</v>
      </c>
      <c r="F2673" t="s">
        <v>99</v>
      </c>
      <c r="H2673" t="s">
        <v>131</v>
      </c>
      <c r="I2673" t="s">
        <v>1217</v>
      </c>
      <c r="K2673" t="str">
        <f>B2628</f>
        <v>heat, residential, by combustion of hydrogen using boiler, transported by pipeline, produced by Electrolysis, PEM using water and electricity from Solar PV (CH)</v>
      </c>
      <c r="L2673">
        <f t="shared" si="80"/>
        <v>2</v>
      </c>
      <c r="M2673">
        <f t="shared" si="81"/>
        <v>-11.724938811571587</v>
      </c>
      <c r="N2673">
        <v>1.05</v>
      </c>
      <c r="O2673" s="15">
        <v>1.2</v>
      </c>
      <c r="P2673">
        <v>1</v>
      </c>
      <c r="Q2673">
        <v>1.01</v>
      </c>
      <c r="R2673">
        <v>1.2</v>
      </c>
      <c r="S2673">
        <v>1.2</v>
      </c>
      <c r="T2673">
        <v>1.5</v>
      </c>
      <c r="U2673">
        <f t="shared" si="82"/>
        <v>0.25816898211842121</v>
      </c>
    </row>
    <row r="2675" spans="1:21" x14ac:dyDescent="0.2">
      <c r="A2675" s="2" t="s">
        <v>50</v>
      </c>
      <c r="B2675" s="44" t="str">
        <f>IF(B2681="megajoule","heat","electricity")&amp;", residential, by "&amp;B2686&amp;" of "&amp;B2685&amp;" using "&amp;B2687&amp;IF(B2688&lt;&gt;0,", allocated by "&amp;B2688,"")&amp;", transported by "&amp;B2689&amp;", produced by "&amp;B2693&amp;" using "&amp;B2694&amp;" from "&amp;B2695</f>
        <v>heat, residential, by combustion of hydrogen using CHP, allocated by exergy, transported by pipeline, produced by Electrolysis, PEM using water and electricity from Solar PV (CH)</v>
      </c>
    </row>
    <row r="2676" spans="1:21" x14ac:dyDescent="0.2">
      <c r="A2676" t="s">
        <v>51</v>
      </c>
      <c r="B2676" s="45" t="str">
        <f>"This dataset represents the supply of 1 "&amp;IF(B2681="megajoule","megajoule of heat","kilowatt hour of electricity")&amp;" in a residence, by "&amp;B2685&amp;" "&amp;B2686&amp;" in a "&amp;B2687&amp;". "&amp;" The hydrogen is transported by "&amp;B2689&amp;" over "&amp;B2690&amp;" km from regional storage. "&amp;" The "&amp;B2685&amp;" is produced by  "&amp;B2693&amp;", with "&amp;B2694&amp;" from "&amp;B2695&amp;" as feedstock. "&amp;A2697&amp;": "&amp;(B2697*100)&amp;"%. "&amp;A2698&amp;": "&amp;B2698&amp;". "&amp;A2699&amp;": "&amp;B2699&amp;". "&amp;A2700&amp;": "&amp;(B2700*100)&amp;"%. "&amp;A2701&amp;": "&amp;(B2701*100)&amp;"%. "&amp;A2702&amp;": "&amp;(B2702*100)&amp;"%. "&amp;A2703&amp;": "&amp;B2703&amp;". "&amp;A2704&amp;": "&amp;B2704&amp;". "&amp;A2705&amp;": "&amp;(B2705*100)&amp;"%. "&amp;A2706&amp;": "&amp;B2706&amp;". "&amp;A2707&amp;": "&amp;B2707&amp;". "&amp;A2708&amp;": "&amp;B2708&amp;". "&amp;A2709&amp;": "&amp;B2709&amp;".  For more information, refer to: "&amp;B2677</f>
        <v>This dataset represents the supply of 1 megajoule of heat in a residence, by hydrogen combustion in a CHP.  The hydrogen is transported by pipeline over 500 km from regional storage.  The hydrogen is produced by  Electrolysis, PEM, with water and electricity from Solar PV (CH)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2677" spans="1:21" x14ac:dyDescent="0.2">
      <c r="A2677" t="s">
        <v>63</v>
      </c>
      <c r="B2677" s="45" t="s">
        <v>1223</v>
      </c>
    </row>
    <row r="2678" spans="1:21" x14ac:dyDescent="0.2">
      <c r="A2678" t="s">
        <v>52</v>
      </c>
      <c r="B2678" s="45" t="s">
        <v>64</v>
      </c>
    </row>
    <row r="2679" spans="1:21" x14ac:dyDescent="0.2">
      <c r="A2679" t="s">
        <v>48</v>
      </c>
      <c r="B2679" s="45">
        <v>34</v>
      </c>
    </row>
    <row r="2680" spans="1:21" x14ac:dyDescent="0.2">
      <c r="A2680" t="s">
        <v>54</v>
      </c>
      <c r="B2680" s="45" t="str">
        <f>INDEX(overview!$B$4:$R$338,MATCH('hydrogen - electrolysis'!B2679,overview!$A$4:$A$338,0),MATCH('hydrogen - electrolysis'!A2680,overview!$B$3:$R$3,0))</f>
        <v>heat, from residential heating system</v>
      </c>
    </row>
    <row r="2681" spans="1:21" x14ac:dyDescent="0.2">
      <c r="A2681" t="s">
        <v>55</v>
      </c>
      <c r="B2681" s="45" t="str">
        <f>INDEX(overview!$B$4:$R$338,MATCH('hydrogen - electrolysis'!B2679,overview!$A$4:$A$338,0),MATCH('hydrogen - electrolysis'!A2681,overview!$B$3:$R$3,0))</f>
        <v>megajoule</v>
      </c>
    </row>
    <row r="2682" spans="1:21" x14ac:dyDescent="0.2">
      <c r="A2682" t="s">
        <v>0</v>
      </c>
      <c r="B2682" s="45" t="str">
        <f>INDEX(overview!$B$4:$R$338,MATCH('hydrogen - electrolysis'!B2679,overview!$A$4:$A$338,0),MATCH('hydrogen - electrolysis'!A2682,overview!$B$3:$R$3,0))</f>
        <v>Switzerland</v>
      </c>
    </row>
    <row r="2683" spans="1:21" x14ac:dyDescent="0.2">
      <c r="A2683" t="s">
        <v>1</v>
      </c>
      <c r="B2683" s="45">
        <f>INDEX(overview!$B$4:$R$338,MATCH('hydrogen - electrolysis'!B2679,overview!$A$4:$A$338,0),MATCH('hydrogen - electrolysis'!A2683,overview!$B$3:$R$3,0))</f>
        <v>2020</v>
      </c>
    </row>
    <row r="2684" spans="1:21" x14ac:dyDescent="0.2">
      <c r="A2684" t="s">
        <v>2</v>
      </c>
      <c r="B2684" s="45" t="str">
        <f>INDEX(overview!$B$4:$R$338,MATCH('hydrogen - electrolysis'!B2679,overview!$A$4:$A$338,0),MATCH('hydrogen - electrolysis'!A2684,overview!$B$3:$R$3,0))</f>
        <v>1 MJ heat</v>
      </c>
    </row>
    <row r="2685" spans="1:21" x14ac:dyDescent="0.2">
      <c r="A2685" t="s">
        <v>5</v>
      </c>
      <c r="B2685" s="45" t="str">
        <f>INDEX(overview!$B$4:$R$338,MATCH('hydrogen - electrolysis'!B2679,overview!$A$4:$A$338,0),MATCH('hydrogen - electrolysis'!A2685,overview!$B$3:$R$3,0))</f>
        <v>hydrogen</v>
      </c>
    </row>
    <row r="2686" spans="1:21" x14ac:dyDescent="0.2">
      <c r="A2686" t="s">
        <v>3</v>
      </c>
      <c r="B2686" s="45" t="str">
        <f>INDEX(overview!$B$4:$R$338,MATCH('hydrogen - electrolysis'!B2679,overview!$A$4:$A$338,0),MATCH('hydrogen - electrolysis'!A2686,overview!$B$3:$R$3,0))</f>
        <v>combustion</v>
      </c>
    </row>
    <row r="2687" spans="1:21" x14ac:dyDescent="0.2">
      <c r="A2687" t="s">
        <v>6</v>
      </c>
      <c r="B2687" s="45" t="str">
        <f>INDEX(overview!$B$4:$R$338,MATCH('hydrogen - electrolysis'!B2679,overview!$A$4:$A$338,0),MATCH('hydrogen - electrolysis'!A2687,overview!$B$3:$R$3,0))</f>
        <v>CHP</v>
      </c>
    </row>
    <row r="2688" spans="1:21" x14ac:dyDescent="0.2">
      <c r="A2688" t="s">
        <v>39</v>
      </c>
      <c r="B2688" s="45" t="str">
        <f>INDEX(overview!$B$4:$R$338,MATCH('hydrogen - electrolysis'!B2679,overview!$A$4:$A$338,0),MATCH('hydrogen - electrolysis'!A2688,overview!$B$3:$R$3,0))</f>
        <v>exergy</v>
      </c>
    </row>
    <row r="2689" spans="1:2" x14ac:dyDescent="0.2">
      <c r="A2689" t="s">
        <v>4</v>
      </c>
      <c r="B2689" s="45" t="str">
        <f>INDEX(overview!$B$4:$R$338,MATCH('hydrogen - electrolysis'!B2679,overview!$A$4:$A$338,0),MATCH('hydrogen - electrolysis'!A2689,overview!$B$3:$R$3,0))</f>
        <v>pipeline</v>
      </c>
    </row>
    <row r="2690" spans="1:2" x14ac:dyDescent="0.2">
      <c r="A2690" t="s">
        <v>38</v>
      </c>
      <c r="B2690" s="45">
        <f>INDEX(overview!$B$4:$R$338,MATCH('hydrogen - electrolysis'!B2679,overview!$A$4:$A$338,0),MATCH('hydrogen - electrolysis'!A2690,overview!$B$3:$R$3,0))</f>
        <v>500</v>
      </c>
    </row>
    <row r="2691" spans="1:2" x14ac:dyDescent="0.2">
      <c r="A2691" t="s">
        <v>12</v>
      </c>
      <c r="B2691" s="45" t="str">
        <f>INDEX(overview!$B$4:$R$338,MATCH('hydrogen - electrolysis'!B2679,overview!$A$4:$A$338,0),MATCH('hydrogen - electrolysis'!A2691,overview!$B$3:$R$3,0))</f>
        <v>Pressure vessel for stationary storage</v>
      </c>
    </row>
    <row r="2692" spans="1:2" x14ac:dyDescent="0.2">
      <c r="A2692" t="s">
        <v>34</v>
      </c>
      <c r="B2692" s="45">
        <f>INDEX(overview!$B$4:$R$338,MATCH('hydrogen - electrolysis'!B2679,overview!$A$4:$A$338,0),MATCH('hydrogen - electrolysis'!A2692,overview!$B$3:$R$3,0))</f>
        <v>0</v>
      </c>
    </row>
    <row r="2693" spans="1:2" x14ac:dyDescent="0.2">
      <c r="A2693" t="s">
        <v>15</v>
      </c>
      <c r="B2693" s="45" t="str">
        <f>INDEX(overview!$B$4:$R$338,MATCH('hydrogen - electrolysis'!B2679,overview!$A$4:$A$338,0),MATCH('hydrogen - electrolysis'!A2693,overview!$B$3:$R$3,0))</f>
        <v>Electrolysis, PEM</v>
      </c>
    </row>
    <row r="2694" spans="1:2" x14ac:dyDescent="0.2">
      <c r="A2694" t="s">
        <v>14</v>
      </c>
      <c r="B2694" s="45" t="str">
        <f>INDEX(overview!$B$4:$R$338,MATCH('hydrogen - electrolysis'!B2679,overview!$A$4:$A$338,0),MATCH('hydrogen - electrolysis'!A2694,overview!$B$3:$R$3,0))</f>
        <v>water and electricity</v>
      </c>
    </row>
    <row r="2695" spans="1:2" x14ac:dyDescent="0.2">
      <c r="A2695" t="s">
        <v>26</v>
      </c>
      <c r="B2695" s="45" t="str">
        <f>INDEX(overview!$B$4:$R$338,MATCH('hydrogen - electrolysis'!B2679,overview!$A$4:$A$338,0),MATCH('hydrogen - electrolysis'!A2695,overview!$B$3:$R$3,0))</f>
        <v>Solar PV (CH)</v>
      </c>
    </row>
    <row r="2696" spans="1:2" x14ac:dyDescent="0.2">
      <c r="A2696" t="s">
        <v>29</v>
      </c>
      <c r="B2696" s="45">
        <f>INDEX(overview!$B$4:$R$338,MATCH('hydrogen - electrolysis'!B2679,overview!$A$4:$A$338,0),MATCH('hydrogen - electrolysis'!A2696,overview!$B$3:$R$3,0))</f>
        <v>0</v>
      </c>
    </row>
    <row r="2697" spans="1:2" x14ac:dyDescent="0.2">
      <c r="A2697" t="str">
        <f>IF(B2681="megajoule","Heat","Electricity")&amp;" conversion efficiency [% LHV input]"</f>
        <v>Heat conversion efficiency [% LHV input]</v>
      </c>
      <c r="B2697" s="46">
        <f>INDEX(parameters!$D$4:$N$20,MATCH('hydrogen - electrolysis'!B2685&amp;'hydrogen - electrolysis'!B2687,parameters!$A$4:$A$20,0),MATCH('hydrogen - electrolysis'!A2697,parameters!$D$3:$N$3,0))</f>
        <v>0.41699999999999998</v>
      </c>
    </row>
    <row r="2698" spans="1:2" x14ac:dyDescent="0.2">
      <c r="A2698" t="str">
        <f>IF(B2681="megajoule","LHV [MJ/kg]","LHV [kWh/kg]")</f>
        <v>LHV [MJ/kg]</v>
      </c>
      <c r="B2698" s="47">
        <f>INDEX(parameters!$D$4:$N$20,MATCH('hydrogen - electrolysis'!B2685&amp;'hydrogen - electrolysis'!B2687,parameters!$A$4:$A$20,0),MATCH('hydrogen - electrolysis'!A2698,parameters!$D$3:$N$3,0))</f>
        <v>120</v>
      </c>
    </row>
    <row r="2699" spans="1:2" x14ac:dyDescent="0.2">
      <c r="A2699" t="s">
        <v>41</v>
      </c>
      <c r="B2699" s="48">
        <f>INDEX(parameters!$D$4:$N$20,MATCH('hydrogen - electrolysis'!B2685&amp;'hydrogen - electrolysis'!B2687,parameters!$A$4:$A$20,0),MATCH('hydrogen - electrolysis'!A2699,parameters!$D$3:$N$3,0))</f>
        <v>2.6666666666666665E-2</v>
      </c>
    </row>
    <row r="2700" spans="1:2" x14ac:dyDescent="0.2">
      <c r="A2700" t="s">
        <v>45</v>
      </c>
      <c r="B2700" s="46">
        <f>INDEX(parameters!$D$4:$N$20,MATCH('hydrogen - electrolysis'!B2685&amp;'hydrogen - electrolysis'!B2687,parameters!$A$4:$A$20,0),MATCH('hydrogen - electrolysis'!A2700,parameters!$D$3:$N$3,0))</f>
        <v>0</v>
      </c>
    </row>
    <row r="2701" spans="1:2" x14ac:dyDescent="0.2">
      <c r="A2701" t="s">
        <v>46</v>
      </c>
      <c r="B2701" s="46">
        <f>INDEX(parameters!$D$4:$N$20,MATCH('hydrogen - electrolysis'!B2685&amp;'hydrogen - electrolysis'!B2687,parameters!$A$4:$A$20,0),MATCH('hydrogen - electrolysis'!A2701,parameters!$D$3:$N$3,0))</f>
        <v>1.4999999999999999E-2</v>
      </c>
    </row>
    <row r="2702" spans="1:2" x14ac:dyDescent="0.2">
      <c r="A2702" t="s">
        <v>43</v>
      </c>
      <c r="B2702" s="46">
        <f>INDEX(parameters!$D$4:$N$20,MATCH('hydrogen - electrolysis'!B2685&amp;'hydrogen - electrolysis'!B2687,parameters!$A$4:$A$20,0),MATCH('hydrogen - electrolysis'!A2702,parameters!$D$3:$N$3,0))</f>
        <v>0</v>
      </c>
    </row>
    <row r="2703" spans="1:2" x14ac:dyDescent="0.2">
      <c r="A2703" t="s">
        <v>44</v>
      </c>
      <c r="B2703" s="46">
        <f>INDEX(parameters!$D$4:$N$20,MATCH('hydrogen - electrolysis'!B2685&amp;'hydrogen - electrolysis'!B2687,parameters!$A$4:$A$20,0),MATCH('hydrogen - electrolysis'!A2703,parameters!$D$3:$N$3,0))</f>
        <v>0</v>
      </c>
    </row>
    <row r="2704" spans="1:2" x14ac:dyDescent="0.2">
      <c r="A2704" t="s">
        <v>634</v>
      </c>
      <c r="B2704" s="51">
        <f>INDEX(parameters!$D$4:$Y$20,MATCH('hydrogen - electrolysis'!B2685&amp;'hydrogen - electrolysis'!B2687,parameters!$A$4:$A$20,0),MATCH('hydrogen - electrolysis'!A2704,parameters!$D$3:$Y$3,0))</f>
        <v>351.41800246609125</v>
      </c>
    </row>
    <row r="2705" spans="1:22" x14ac:dyDescent="0.2">
      <c r="A2705" t="s">
        <v>82</v>
      </c>
      <c r="B2705" s="46">
        <f>IF(B2696&lt;&gt;0,VLOOKUP(B2696,parameters!A1740:B1742,2,0),0)</f>
        <v>0</v>
      </c>
    </row>
    <row r="2706" spans="1:22" x14ac:dyDescent="0.2">
      <c r="A2706" t="s">
        <v>548</v>
      </c>
      <c r="B2706" s="50">
        <f>INDEX(parameters!$D$4:$P$20,MATCH(B2685&amp;B2687,parameters!$A$4:$A$20,0),MATCH(A2706,parameters!$D$3:$P$3,0))</f>
        <v>125</v>
      </c>
    </row>
    <row r="2707" spans="1:22" x14ac:dyDescent="0.2">
      <c r="A2707" t="s">
        <v>547</v>
      </c>
      <c r="B2707" s="51">
        <f>INDEX(parameters!$D$4:$P$20,MATCH(B2685&amp;B2687,parameters!$A$4:$A$20,0),MATCH(A2707,parameters!$D$3:$P$3,0))</f>
        <v>19.512195121951219</v>
      </c>
    </row>
    <row r="2708" spans="1:22" x14ac:dyDescent="0.2">
      <c r="A2708" t="s">
        <v>630</v>
      </c>
      <c r="B2708" s="51">
        <f>INDEX(parameters!$D$4:$T$20,MATCH(B2685&amp;B2687,parameters!$A$4:$A$20,0),MATCH(A2708,parameters!$D$3:$T$3,0))</f>
        <v>4100</v>
      </c>
    </row>
    <row r="2709" spans="1:22" x14ac:dyDescent="0.2">
      <c r="A2709" t="s">
        <v>1005</v>
      </c>
      <c r="B2709" s="50">
        <f>IF(B2681="megajoule",SUMIFS(allocation!$I$4:$I$30,allocation!$B$4:$B$30,B2687,allocation!$C$4:$C$30,B2688),SUMIFS(allocation!$J$4:$J$30,allocation!$B$4:$B$30,B2687,allocation!$C$4:$C$30,B2688))</f>
        <v>0.12860042227295038</v>
      </c>
    </row>
    <row r="2710" spans="1:22" x14ac:dyDescent="0.2">
      <c r="A2710" t="s">
        <v>1050</v>
      </c>
      <c r="B2710" s="51">
        <f>INDEX(parameters!$D$4:$AB$20,MATCH(B2685&amp;B2687,parameters!$A$4:$A$20,0),MATCH(A2710,parameters!$D$3:$AB$3,0))</f>
        <v>2220.7364520822662</v>
      </c>
    </row>
    <row r="2712" spans="1:22" x14ac:dyDescent="0.2">
      <c r="A2712" s="3" t="s">
        <v>57</v>
      </c>
    </row>
    <row r="2713" spans="1:22" x14ac:dyDescent="0.2">
      <c r="A2713" s="2" t="s">
        <v>58</v>
      </c>
      <c r="B2713" s="44" t="s">
        <v>59</v>
      </c>
      <c r="C2713" s="2" t="s">
        <v>55</v>
      </c>
      <c r="D2713" s="2" t="s">
        <v>60</v>
      </c>
      <c r="E2713" s="2" t="s">
        <v>52</v>
      </c>
      <c r="F2713" s="2" t="s">
        <v>61</v>
      </c>
      <c r="G2713" s="2" t="s">
        <v>54</v>
      </c>
      <c r="H2713" s="2" t="s">
        <v>87</v>
      </c>
      <c r="I2713" s="2" t="s">
        <v>51</v>
      </c>
      <c r="J2713" s="2" t="s">
        <v>138</v>
      </c>
      <c r="K2713" s="2" t="s">
        <v>136</v>
      </c>
      <c r="L2713" s="2" t="s">
        <v>221</v>
      </c>
      <c r="M2713" s="2" t="s">
        <v>379</v>
      </c>
      <c r="N2713" s="2" t="s">
        <v>1059</v>
      </c>
      <c r="O2713" s="2" t="s">
        <v>1060</v>
      </c>
      <c r="P2713" s="2" t="s">
        <v>1061</v>
      </c>
      <c r="Q2713" s="2" t="s">
        <v>1062</v>
      </c>
      <c r="R2713" s="2" t="s">
        <v>1063</v>
      </c>
      <c r="S2713" s="2" t="s">
        <v>1064</v>
      </c>
      <c r="T2713" s="2" t="s">
        <v>1065</v>
      </c>
      <c r="U2713" s="2" t="s">
        <v>380</v>
      </c>
      <c r="V2713" s="2" t="s">
        <v>1128</v>
      </c>
    </row>
    <row r="2714" spans="1:22" x14ac:dyDescent="0.2">
      <c r="A2714" t="str">
        <f>B2675</f>
        <v>heat, residential, by combustion of hydrogen using CHP, allocated by exergy, transported by pipeline, produced by Electrolysis, PEM using water and electricity from Solar PV (CH)</v>
      </c>
      <c r="B2714" s="45">
        <v>1</v>
      </c>
      <c r="C2714" t="str">
        <f>B2681</f>
        <v>megajoule</v>
      </c>
      <c r="E2714" t="str">
        <f>B2678</f>
        <v>CH</v>
      </c>
      <c r="F2714" t="s">
        <v>62</v>
      </c>
      <c r="G2714" t="str">
        <f>B2680</f>
        <v>heat, from residential heating system</v>
      </c>
      <c r="K2714" t="str">
        <f>B2675</f>
        <v>heat, residential, by combustion of hydrogen using CHP, allocated by exergy, transported by pipeline, produced by Electrolysis, PEM using water and electricity from Solar PV (CH)</v>
      </c>
    </row>
    <row r="2715" spans="1:22" x14ac:dyDescent="0.2">
      <c r="A2715" t="str">
        <f>VLOOKUP(J2715,'dataset mapping'!$A$4:$E$69,2,0)</f>
        <v>heat and power co-generation unit construction, 160kW electrical, common components for heat+electricity</v>
      </c>
      <c r="B2715" s="52">
        <f>(1/(B2704*B2708*B2707*3.6))*B2709</f>
        <v>1.270649883812899E-9</v>
      </c>
      <c r="C2715" t="str">
        <f>VLOOKUP(J2715,'dataset mapping'!$A$4:$E$69,5,0)</f>
        <v>unit</v>
      </c>
      <c r="E2715" t="str">
        <f>VLOOKUP(J2715,'dataset mapping'!$A$4:$E$69,4,0)</f>
        <v>RER</v>
      </c>
      <c r="F2715" t="s">
        <v>86</v>
      </c>
      <c r="G2715" t="str">
        <f>VLOOKUP(J2715,'dataset mapping'!$A$4:$E$69,3,0)</f>
        <v>heat and power co-generation unit, 160kW electrical, common components for heat+electricity</v>
      </c>
      <c r="H2715" t="s">
        <v>88</v>
      </c>
      <c r="J2715" t="s">
        <v>145</v>
      </c>
      <c r="K2715" t="str">
        <f>B2675</f>
        <v>heat, residential, by combustion of hydrogen using CHP, allocated by exergy, transported by pipeline, produced by Electrolysis, PEM using water and electricity from Solar PV (CH)</v>
      </c>
      <c r="L2715">
        <f t="shared" ref="L2715:L2722" si="83">IF(OR(B2715&lt;0,B2715=0),1,2)</f>
        <v>2</v>
      </c>
      <c r="M2715">
        <f t="shared" ref="M2715:M2722" si="84">IF(L2715=2,LN(B2715),"")</f>
        <v>-20.48373734782199</v>
      </c>
      <c r="N2715">
        <v>1.05</v>
      </c>
      <c r="O2715" s="15">
        <v>1.2</v>
      </c>
      <c r="P2715">
        <v>1</v>
      </c>
      <c r="Q2715">
        <v>1.01</v>
      </c>
      <c r="R2715">
        <v>1.2</v>
      </c>
      <c r="S2715">
        <v>1.2</v>
      </c>
      <c r="T2715">
        <v>3</v>
      </c>
      <c r="U2715">
        <f t="shared" ref="U2715:U2722" si="85">LN(SQRT(EXP(
SQRT(
+POWER(LN(N2715),2)
+POWER(LN(O2715),2)
+POWER(LN(P2715),2)
+POWER(LN(Q2715),2)
+POWER(LN(R2715),2)
+POWER(LN(S2715),2)
+POWER(LN(T2715),2)
)
)))</f>
        <v>0.57209088006881903</v>
      </c>
    </row>
    <row r="2716" spans="1:22" x14ac:dyDescent="0.2">
      <c r="A2716" t="str">
        <f>VLOOKUP(J2716,'dataset mapping'!$A$4:$E$69,2,0)</f>
        <v>heat and power co-generation unit construction, 160kW electrical, components for electricity only</v>
      </c>
      <c r="B2716" s="52">
        <f>(1/(B2704*B2708*B2707*3.6))*B2709</f>
        <v>1.270649883812899E-9</v>
      </c>
      <c r="C2716" t="str">
        <f>VLOOKUP(J2716,'dataset mapping'!$A$4:$E$69,5,0)</f>
        <v>unit</v>
      </c>
      <c r="E2716" t="str">
        <f>VLOOKUP(J2716,'dataset mapping'!$A$4:$E$69,4,0)</f>
        <v>RER</v>
      </c>
      <c r="F2716" t="s">
        <v>86</v>
      </c>
      <c r="G2716" t="str">
        <f>VLOOKUP(J2716,'dataset mapping'!$A$4:$E$69,3,0)</f>
        <v>heat and power co-generation unit, 160kW electrical, components for electricity only</v>
      </c>
      <c r="H2716" t="s">
        <v>88</v>
      </c>
      <c r="J2716" t="s">
        <v>146</v>
      </c>
      <c r="K2716" t="str">
        <f>B2675</f>
        <v>heat, residential, by combustion of hydrogen using CHP, allocated by exergy, transported by pipeline, produced by Electrolysis, PEM using water and electricity from Solar PV (CH)</v>
      </c>
      <c r="L2716">
        <f t="shared" si="83"/>
        <v>2</v>
      </c>
      <c r="M2716">
        <f t="shared" si="84"/>
        <v>-20.48373734782199</v>
      </c>
      <c r="N2716">
        <v>1.05</v>
      </c>
      <c r="O2716" s="15">
        <v>1.2</v>
      </c>
      <c r="P2716">
        <v>1</v>
      </c>
      <c r="Q2716">
        <v>1.01</v>
      </c>
      <c r="R2716">
        <v>1.2</v>
      </c>
      <c r="S2716">
        <v>1.2</v>
      </c>
      <c r="T2716">
        <v>3</v>
      </c>
      <c r="U2716">
        <f t="shared" si="85"/>
        <v>0.57209088006881903</v>
      </c>
    </row>
    <row r="2717" spans="1:22" x14ac:dyDescent="0.2">
      <c r="A2717" t="str">
        <f>VLOOKUP(J2717,'dataset mapping'!$A$4:$E$69,2,0)</f>
        <v>heat and power co-generation unit construction, 160kW electrical, components for heat only</v>
      </c>
      <c r="B2717" s="52">
        <f>(1/(B2704*B2708*B2707*3.6))*B2709</f>
        <v>1.270649883812899E-9</v>
      </c>
      <c r="C2717" t="str">
        <f>VLOOKUP(J2717,'dataset mapping'!$A$4:$E$69,5,0)</f>
        <v>unit</v>
      </c>
      <c r="E2717" t="str">
        <f>VLOOKUP(J2717,'dataset mapping'!$A$4:$E$69,4,0)</f>
        <v>RER</v>
      </c>
      <c r="F2717" t="s">
        <v>86</v>
      </c>
      <c r="G2717" t="str">
        <f>VLOOKUP(J2717,'dataset mapping'!$A$4:$E$69,3,0)</f>
        <v>heat and power co-generation unit, 160kW electrical, components for heat only</v>
      </c>
      <c r="H2717" t="s">
        <v>88</v>
      </c>
      <c r="J2717" t="s">
        <v>147</v>
      </c>
      <c r="K2717" t="str">
        <f>B2675</f>
        <v>heat, residential, by combustion of hydrogen using CHP, allocated by exergy, transported by pipeline, produced by Electrolysis, PEM using water and electricity from Solar PV (CH)</v>
      </c>
      <c r="L2717">
        <f t="shared" si="83"/>
        <v>2</v>
      </c>
      <c r="M2717">
        <f t="shared" si="84"/>
        <v>-20.48373734782199</v>
      </c>
      <c r="N2717">
        <v>1.05</v>
      </c>
      <c r="O2717" s="15">
        <v>1.2</v>
      </c>
      <c r="P2717">
        <v>1</v>
      </c>
      <c r="Q2717">
        <v>1.01</v>
      </c>
      <c r="R2717">
        <v>1.2</v>
      </c>
      <c r="S2717">
        <v>1.2</v>
      </c>
      <c r="T2717">
        <v>3</v>
      </c>
      <c r="U2717">
        <f t="shared" si="85"/>
        <v>0.57209088006881903</v>
      </c>
    </row>
    <row r="2718" spans="1:22" x14ac:dyDescent="0.2">
      <c r="A2718" t="s">
        <v>156</v>
      </c>
      <c r="B2718" s="52">
        <f>0.00000011366*B2709</f>
        <v>1.461672399554354E-8</v>
      </c>
      <c r="C2718" t="s">
        <v>56</v>
      </c>
      <c r="E2718" t="s">
        <v>90</v>
      </c>
      <c r="F2718" t="s">
        <v>86</v>
      </c>
      <c r="G2718" t="s">
        <v>154</v>
      </c>
      <c r="H2718" t="s">
        <v>155</v>
      </c>
      <c r="K2718" t="str">
        <f>B2675</f>
        <v>heat, residential, by combustion of hydrogen using CHP, allocated by exergy, transported by pipeline, produced by Electrolysis, PEM using water and electricity from Solar PV (CH)</v>
      </c>
      <c r="L2718">
        <f t="shared" si="83"/>
        <v>2</v>
      </c>
      <c r="M2718">
        <f t="shared" si="84"/>
        <v>-18.041099484645969</v>
      </c>
      <c r="N2718">
        <v>1.05</v>
      </c>
      <c r="O2718" s="15">
        <v>1.2</v>
      </c>
      <c r="P2718">
        <v>1</v>
      </c>
      <c r="Q2718">
        <v>1.01</v>
      </c>
      <c r="R2718">
        <v>1.2</v>
      </c>
      <c r="S2718">
        <v>1.2</v>
      </c>
      <c r="T2718">
        <v>1.05</v>
      </c>
      <c r="U2718">
        <f t="shared" si="85"/>
        <v>0.16169679924070957</v>
      </c>
    </row>
    <row r="2719" spans="1:22" x14ac:dyDescent="0.2">
      <c r="A2719" t="s">
        <v>157</v>
      </c>
      <c r="B2719" s="52">
        <f>0.00000011366*B2709*-1</f>
        <v>-1.461672399554354E-8</v>
      </c>
      <c r="C2719" t="s">
        <v>56</v>
      </c>
      <c r="E2719" t="s">
        <v>64</v>
      </c>
      <c r="F2719" t="s">
        <v>86</v>
      </c>
      <c r="G2719" t="s">
        <v>158</v>
      </c>
      <c r="H2719" t="s">
        <v>155</v>
      </c>
      <c r="K2719" t="str">
        <f>B2675</f>
        <v>heat, residential, by combustion of hydrogen using CHP, allocated by exergy, transported by pipeline, produced by Electrolysis, PEM using water and electricity from Solar PV (CH)</v>
      </c>
      <c r="L2719">
        <v>2</v>
      </c>
      <c r="M2719">
        <f>IF(L2719=2,LN(B2719*-1),"")</f>
        <v>-18.041099484645969</v>
      </c>
      <c r="N2719">
        <v>1.05</v>
      </c>
      <c r="O2719" s="15">
        <v>1.2</v>
      </c>
      <c r="P2719">
        <v>1</v>
      </c>
      <c r="Q2719">
        <v>1.01</v>
      </c>
      <c r="R2719">
        <v>1.2</v>
      </c>
      <c r="S2719">
        <v>1.2</v>
      </c>
      <c r="T2719">
        <v>3</v>
      </c>
      <c r="U2719">
        <f>LN(SQRT(EXP(
SQRT(
+POWER(LN(N2719),2)
+POWER(LN(O2719),2)
+POWER(LN(P2719),2)
+POWER(LN(Q2719),2)
+POWER(LN(R2719),2)
+POWER(LN(S2719),2)
+POWER(LN(T2719),2)
)
)))</f>
        <v>0.57209088006881903</v>
      </c>
      <c r="V2719" t="b">
        <v>1</v>
      </c>
    </row>
    <row r="2720" spans="1:22" x14ac:dyDescent="0.2">
      <c r="A2720" s="45" t="str">
        <f>"hydrogen supply, transported by "&amp;B2689&amp;", produced by "&amp;B2693&amp;" using "&amp;B2694&amp;" from "&amp;B2695</f>
        <v>hydrogen supply, transported by pipeline, produced by Electrolysis, PEM using water and electricity from Solar PV (CH)</v>
      </c>
      <c r="B2720" s="53">
        <f>(B2714/B2698)/B2697*B2709</f>
        <v>2.56995248347223E-3</v>
      </c>
      <c r="C2720" t="str">
        <f>VLOOKUP(J2720,'dataset mapping'!$A$4:$E$69,5,0)</f>
        <v>kilogram</v>
      </c>
      <c r="E2720" t="str">
        <f>VLOOKUP(J2720,'dataset mapping'!$A$4:$E$69,4,0)</f>
        <v>CH</v>
      </c>
      <c r="F2720" t="s">
        <v>86</v>
      </c>
      <c r="G2720" t="str">
        <f>"hydrogen, gaseous, from "&amp;B1329</f>
        <v>hydrogen, gaseous, from pipeline</v>
      </c>
      <c r="H2720" t="s">
        <v>76</v>
      </c>
      <c r="I2720" t="s">
        <v>1054</v>
      </c>
      <c r="J2720" t="s">
        <v>292</v>
      </c>
      <c r="K2720" t="str">
        <f>B2675</f>
        <v>heat, residential, by combustion of hydrogen using CHP, allocated by exergy, transported by pipeline, produced by Electrolysis, PEM using water and electricity from Solar PV (CH)</v>
      </c>
      <c r="L2720">
        <f t="shared" si="83"/>
        <v>2</v>
      </c>
      <c r="M2720">
        <f t="shared" si="84"/>
        <v>-5.9638678691672418</v>
      </c>
      <c r="N2720">
        <v>1.05</v>
      </c>
      <c r="O2720" s="15">
        <v>1.2</v>
      </c>
      <c r="P2720">
        <v>1</v>
      </c>
      <c r="Q2720">
        <v>1.01</v>
      </c>
      <c r="R2720">
        <v>1.2</v>
      </c>
      <c r="S2720">
        <v>1.2</v>
      </c>
      <c r="T2720">
        <v>1.05</v>
      </c>
      <c r="U2720">
        <f t="shared" si="85"/>
        <v>0.16169679924070957</v>
      </c>
    </row>
    <row r="2721" spans="1:21" x14ac:dyDescent="0.2">
      <c r="A2721" t="s">
        <v>134</v>
      </c>
      <c r="B2721" s="45">
        <f>B2720*9</f>
        <v>2.3129572351250072E-2</v>
      </c>
      <c r="C2721" t="s">
        <v>56</v>
      </c>
      <c r="D2721" t="s">
        <v>100</v>
      </c>
      <c r="F2721" t="s">
        <v>99</v>
      </c>
      <c r="H2721" t="s">
        <v>131</v>
      </c>
      <c r="I2721" t="s">
        <v>1058</v>
      </c>
      <c r="K2721" t="str">
        <f>B2675</f>
        <v>heat, residential, by combustion of hydrogen using CHP, allocated by exergy, transported by pipeline, produced by Electrolysis, PEM using water and electricity from Solar PV (CH)</v>
      </c>
      <c r="L2721">
        <f t="shared" si="83"/>
        <v>2</v>
      </c>
      <c r="M2721">
        <f t="shared" si="84"/>
        <v>-3.7666432918310226</v>
      </c>
      <c r="N2721">
        <v>1.05</v>
      </c>
      <c r="O2721" s="15">
        <v>1.2</v>
      </c>
      <c r="P2721">
        <v>1</v>
      </c>
      <c r="Q2721">
        <v>1.01</v>
      </c>
      <c r="R2721">
        <v>1.2</v>
      </c>
      <c r="S2721">
        <v>1.2</v>
      </c>
      <c r="T2721">
        <v>1.05</v>
      </c>
      <c r="U2721">
        <f t="shared" si="85"/>
        <v>0.16169679924070957</v>
      </c>
    </row>
    <row r="2722" spans="1:21" x14ac:dyDescent="0.2">
      <c r="A2722" t="s">
        <v>135</v>
      </c>
      <c r="B2722" s="45">
        <f>912.5/1000000*B2720</f>
        <v>2.3450816411684101E-6</v>
      </c>
      <c r="C2722" t="s">
        <v>56</v>
      </c>
      <c r="D2722" t="s">
        <v>100</v>
      </c>
      <c r="F2722" t="s">
        <v>99</v>
      </c>
      <c r="H2722" t="s">
        <v>131</v>
      </c>
      <c r="I2722" t="s">
        <v>1217</v>
      </c>
      <c r="K2722" t="str">
        <f>B2675</f>
        <v>heat, residential, by combustion of hydrogen using CHP, allocated by exergy, transported by pipeline, produced by Electrolysis, PEM using water and electricity from Solar PV (CH)</v>
      </c>
      <c r="L2722">
        <f t="shared" si="83"/>
        <v>2</v>
      </c>
      <c r="M2722">
        <f t="shared" si="84"/>
        <v>-12.963190341674869</v>
      </c>
      <c r="N2722">
        <v>1.05</v>
      </c>
      <c r="O2722" s="15">
        <v>1.2</v>
      </c>
      <c r="P2722">
        <v>1</v>
      </c>
      <c r="Q2722">
        <v>1.01</v>
      </c>
      <c r="R2722">
        <v>1.2</v>
      </c>
      <c r="S2722">
        <v>1.2</v>
      </c>
      <c r="T2722">
        <v>1.5</v>
      </c>
      <c r="U2722">
        <f t="shared" si="85"/>
        <v>0.25816898211842121</v>
      </c>
    </row>
    <row r="2724" spans="1:21" x14ac:dyDescent="0.2">
      <c r="A2724" s="2" t="s">
        <v>50</v>
      </c>
      <c r="B2724" s="44" t="str">
        <f>IF(B2730="megajoule","heat","electricity")&amp;", residential, by "&amp;B2735&amp;" of "&amp;B2734&amp;" using "&amp;B2736&amp;IF(B2737&lt;&gt;0,", allocated by "&amp;B2737,"")&amp;", transported by "&amp;B2738&amp;", produced by "&amp;B2742&amp;" using "&amp;B2743&amp;" from "&amp;B2744</f>
        <v>heat, residential, by conversion of hydrogen using fuel cell, PEM, allocated by exergy, transported by pipeline, produced by Electrolysis, PEM using water and electricity from Solar PV (CH)</v>
      </c>
    </row>
    <row r="2725" spans="1:21" x14ac:dyDescent="0.2">
      <c r="A2725" t="s">
        <v>51</v>
      </c>
      <c r="B2725" s="45" t="str">
        <f>"This dataset represents the supply of 1 "&amp;IF(B2730="megajoule","megajoule of heat","kilowatt hour of electricity")&amp;" in a residence, by "&amp;B2734&amp;" "&amp;B2735&amp;" in a "&amp;B2736&amp;". "&amp;" The hydrogen is transported by "&amp;B2738&amp;" over "&amp;B2739&amp;" km from regional storage. "&amp;" The "&amp;B2734&amp;" is produced by  "&amp;B2742&amp;", with "&amp;B2743&amp;" from "&amp;B2744&amp;" as feedstock. "&amp;A2746&amp;": "&amp;(B2746*100)&amp;"%. "&amp;A2747&amp;": "&amp;B2747&amp;". "&amp;A2748&amp;": "&amp;B2748&amp;". "&amp;A2749&amp;": "&amp;(B2749*100)&amp;"%. "&amp;A2750&amp;": "&amp;(B2750*100)&amp;"%. "&amp;A2751&amp;": "&amp;(B2751*100)&amp;"%. "&amp;A2752&amp;": "&amp;B2752&amp;". "&amp;A2753&amp;": "&amp;B2753&amp;". "&amp;A2754&amp;": "&amp;(B2754*100)&amp;"%. "&amp;A2755&amp;": "&amp;B2755&amp;". "&amp;A2756&amp;": "&amp;B2756&amp;". "&amp;A2757&amp;": "&amp;B2757&amp;". "&amp;A2758&amp;": "&amp;B2758&amp;".  For more information, refer to: "&amp;B2726</f>
        <v>This dataset represents the supply of 1 megajoule of heat in a residence, by hydrogen conversion in a fuel cell, PEM.  The hydrogen is transported by pipeline over 500 km from regional storage.  The hydrogen is produced by  Electrolysis, PEM,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2726" spans="1:21" x14ac:dyDescent="0.2">
      <c r="A2726" t="s">
        <v>63</v>
      </c>
      <c r="B2726" s="45" t="s">
        <v>1223</v>
      </c>
    </row>
    <row r="2727" spans="1:21" x14ac:dyDescent="0.2">
      <c r="A2727" t="s">
        <v>52</v>
      </c>
      <c r="B2727" s="45" t="s">
        <v>64</v>
      </c>
    </row>
    <row r="2728" spans="1:21" x14ac:dyDescent="0.2">
      <c r="A2728" t="s">
        <v>48</v>
      </c>
      <c r="B2728" s="45">
        <v>35</v>
      </c>
    </row>
    <row r="2729" spans="1:21" x14ac:dyDescent="0.2">
      <c r="A2729" t="s">
        <v>54</v>
      </c>
      <c r="B2729" s="45" t="str">
        <f>INDEX(overview!$B$4:$R$338,MATCH('hydrogen - electrolysis'!B2728,overview!$A$4:$A$338,0),MATCH('hydrogen - electrolysis'!A2729,overview!$B$3:$R$3,0))</f>
        <v>heat, from residential heating system</v>
      </c>
    </row>
    <row r="2730" spans="1:21" x14ac:dyDescent="0.2">
      <c r="A2730" t="s">
        <v>55</v>
      </c>
      <c r="B2730" s="45" t="str">
        <f>INDEX(overview!$B$4:$R$338,MATCH('hydrogen - electrolysis'!B2728,overview!$A$4:$A$338,0),MATCH('hydrogen - electrolysis'!A2730,overview!$B$3:$R$3,0))</f>
        <v>megajoule</v>
      </c>
    </row>
    <row r="2731" spans="1:21" x14ac:dyDescent="0.2">
      <c r="A2731" t="s">
        <v>0</v>
      </c>
      <c r="B2731" s="45" t="str">
        <f>INDEX(overview!$B$4:$R$338,MATCH('hydrogen - electrolysis'!B2728,overview!$A$4:$A$338,0),MATCH('hydrogen - electrolysis'!A2731,overview!$B$3:$R$3,0))</f>
        <v>Switzerland</v>
      </c>
    </row>
    <row r="2732" spans="1:21" x14ac:dyDescent="0.2">
      <c r="A2732" t="s">
        <v>1</v>
      </c>
      <c r="B2732" s="45">
        <f>INDEX(overview!$B$4:$R$338,MATCH('hydrogen - electrolysis'!B2728,overview!$A$4:$A$338,0),MATCH('hydrogen - electrolysis'!A2732,overview!$B$3:$R$3,0))</f>
        <v>2020</v>
      </c>
    </row>
    <row r="2733" spans="1:21" x14ac:dyDescent="0.2">
      <c r="A2733" t="s">
        <v>2</v>
      </c>
      <c r="B2733" s="45" t="str">
        <f>INDEX(overview!$B$4:$R$338,MATCH('hydrogen - electrolysis'!B2728,overview!$A$4:$A$338,0),MATCH('hydrogen - electrolysis'!A2733,overview!$B$3:$R$3,0))</f>
        <v>1 MJ heat</v>
      </c>
    </row>
    <row r="2734" spans="1:21" x14ac:dyDescent="0.2">
      <c r="A2734" t="s">
        <v>5</v>
      </c>
      <c r="B2734" s="45" t="str">
        <f>INDEX(overview!$B$4:$R$338,MATCH('hydrogen - electrolysis'!B2728,overview!$A$4:$A$338,0),MATCH('hydrogen - electrolysis'!A2734,overview!$B$3:$R$3,0))</f>
        <v>hydrogen</v>
      </c>
    </row>
    <row r="2735" spans="1:21" x14ac:dyDescent="0.2">
      <c r="A2735" t="s">
        <v>3</v>
      </c>
      <c r="B2735" s="45" t="str">
        <f>INDEX(overview!$B$4:$R$338,MATCH('hydrogen - electrolysis'!B2728,overview!$A$4:$A$338,0),MATCH('hydrogen - electrolysis'!A2735,overview!$B$3:$R$3,0))</f>
        <v>conversion</v>
      </c>
    </row>
    <row r="2736" spans="1:21" x14ac:dyDescent="0.2">
      <c r="A2736" t="s">
        <v>6</v>
      </c>
      <c r="B2736" s="45" t="str">
        <f>INDEX(overview!$B$4:$R$338,MATCH('hydrogen - electrolysis'!B2728,overview!$A$4:$A$338,0),MATCH('hydrogen - electrolysis'!A2736,overview!$B$3:$R$3,0))</f>
        <v>fuel cell, PEM</v>
      </c>
    </row>
    <row r="2737" spans="1:2" x14ac:dyDescent="0.2">
      <c r="A2737" t="s">
        <v>39</v>
      </c>
      <c r="B2737" s="45" t="str">
        <f>INDEX(overview!$B$4:$R$338,MATCH('hydrogen - electrolysis'!B2728,overview!$A$4:$A$338,0),MATCH('hydrogen - electrolysis'!A2737,overview!$B$3:$R$3,0))</f>
        <v>exergy</v>
      </c>
    </row>
    <row r="2738" spans="1:2" x14ac:dyDescent="0.2">
      <c r="A2738" t="s">
        <v>4</v>
      </c>
      <c r="B2738" s="45" t="str">
        <f>INDEX(overview!$B$4:$R$338,MATCH('hydrogen - electrolysis'!B2728,overview!$A$4:$A$338,0),MATCH('hydrogen - electrolysis'!A2738,overview!$B$3:$R$3,0))</f>
        <v>pipeline</v>
      </c>
    </row>
    <row r="2739" spans="1:2" x14ac:dyDescent="0.2">
      <c r="A2739" t="s">
        <v>38</v>
      </c>
      <c r="B2739" s="45">
        <f>INDEX(overview!$B$4:$R$338,MATCH('hydrogen - electrolysis'!B2728,overview!$A$4:$A$338,0),MATCH('hydrogen - electrolysis'!A2739,overview!$B$3:$R$3,0))</f>
        <v>500</v>
      </c>
    </row>
    <row r="2740" spans="1:2" x14ac:dyDescent="0.2">
      <c r="A2740" t="s">
        <v>12</v>
      </c>
      <c r="B2740" s="45" t="str">
        <f>INDEX(overview!$B$4:$R$338,MATCH('hydrogen - electrolysis'!B2728,overview!$A$4:$A$338,0),MATCH('hydrogen - electrolysis'!A2740,overview!$B$3:$R$3,0))</f>
        <v>Pressure vessel for stationary storage</v>
      </c>
    </row>
    <row r="2741" spans="1:2" x14ac:dyDescent="0.2">
      <c r="A2741" t="s">
        <v>34</v>
      </c>
      <c r="B2741" s="45">
        <f>INDEX(overview!$B$4:$R$338,MATCH('hydrogen - electrolysis'!B2728,overview!$A$4:$A$338,0),MATCH('hydrogen - electrolysis'!A2741,overview!$B$3:$R$3,0))</f>
        <v>0</v>
      </c>
    </row>
    <row r="2742" spans="1:2" x14ac:dyDescent="0.2">
      <c r="A2742" t="s">
        <v>15</v>
      </c>
      <c r="B2742" s="45" t="str">
        <f>INDEX(overview!$B$4:$R$338,MATCH('hydrogen - electrolysis'!B2728,overview!$A$4:$A$338,0),MATCH('hydrogen - electrolysis'!A2742,overview!$B$3:$R$3,0))</f>
        <v>Electrolysis, PEM</v>
      </c>
    </row>
    <row r="2743" spans="1:2" x14ac:dyDescent="0.2">
      <c r="A2743" t="s">
        <v>14</v>
      </c>
      <c r="B2743" s="45" t="str">
        <f>INDEX(overview!$B$4:$R$338,MATCH('hydrogen - electrolysis'!B2728,overview!$A$4:$A$338,0),MATCH('hydrogen - electrolysis'!A2743,overview!$B$3:$R$3,0))</f>
        <v>water and electricity</v>
      </c>
    </row>
    <row r="2744" spans="1:2" x14ac:dyDescent="0.2">
      <c r="A2744" t="s">
        <v>26</v>
      </c>
      <c r="B2744" s="45" t="str">
        <f>INDEX(overview!$B$4:$R$338,MATCH('hydrogen - electrolysis'!B2728,overview!$A$4:$A$338,0),MATCH('hydrogen - electrolysis'!A2744,overview!$B$3:$R$3,0))</f>
        <v>Solar PV (CH)</v>
      </c>
    </row>
    <row r="2745" spans="1:2" x14ac:dyDescent="0.2">
      <c r="A2745" t="s">
        <v>29</v>
      </c>
      <c r="B2745" s="45">
        <f>INDEX(overview!$B$4:$R$338,MATCH('hydrogen - electrolysis'!B2728,overview!$A$4:$A$338,0),MATCH('hydrogen - electrolysis'!A2745,overview!$B$3:$R$3,0))</f>
        <v>0</v>
      </c>
    </row>
    <row r="2746" spans="1:2" x14ac:dyDescent="0.2">
      <c r="A2746" t="str">
        <f>IF(B2730="megajoule","Heat","Electricity")&amp;" conversion efficiency [% LHV input]"</f>
        <v>Heat conversion efficiency [% LHV input]</v>
      </c>
      <c r="B2746" s="46">
        <f>INDEX(parameters!$D$4:$N$20,MATCH('hydrogen - electrolysis'!B2734&amp;'hydrogen - electrolysis'!B2736,parameters!$A$4:$A$20,0),MATCH('hydrogen - electrolysis'!A2746,parameters!$D$3:$N$3,0))</f>
        <v>0.5</v>
      </c>
    </row>
    <row r="2747" spans="1:2" x14ac:dyDescent="0.2">
      <c r="A2747" t="str">
        <f>IF(B2730="megajoule","LHV [MJ/kg]","LHV [kWh/kg]")</f>
        <v>LHV [MJ/kg]</v>
      </c>
      <c r="B2747" s="47">
        <f>INDEX(parameters!$D$4:$N$20,MATCH('hydrogen - electrolysis'!B2734&amp;'hydrogen - electrolysis'!B2736,parameters!$A$4:$A$20,0),MATCH('hydrogen - electrolysis'!A2747,parameters!$D$3:$N$3,0))</f>
        <v>120</v>
      </c>
    </row>
    <row r="2748" spans="1:2" x14ac:dyDescent="0.2">
      <c r="A2748" t="s">
        <v>41</v>
      </c>
      <c r="B2748" s="48">
        <f>INDEX(parameters!$D$4:$N$20,MATCH('hydrogen - electrolysis'!B2734&amp;'hydrogen - electrolysis'!B2736,parameters!$A$4:$A$20,0),MATCH('hydrogen - electrolysis'!A2748,parameters!$D$3:$N$3,0))</f>
        <v>2.6666666666666665E-2</v>
      </c>
    </row>
    <row r="2749" spans="1:2" x14ac:dyDescent="0.2">
      <c r="A2749" t="s">
        <v>45</v>
      </c>
      <c r="B2749" s="46">
        <f>INDEX(parameters!$D$4:$N$20,MATCH('hydrogen - electrolysis'!B2734&amp;'hydrogen - electrolysis'!B2736,parameters!$A$4:$A$20,0),MATCH('hydrogen - electrolysis'!A2749,parameters!$D$3:$N$3,0))</f>
        <v>0</v>
      </c>
    </row>
    <row r="2750" spans="1:2" x14ac:dyDescent="0.2">
      <c r="A2750" t="s">
        <v>46</v>
      </c>
      <c r="B2750" s="46">
        <f>INDEX(parameters!$D$4:$N$20,MATCH('hydrogen - electrolysis'!B2734&amp;'hydrogen - electrolysis'!B2736,parameters!$A$4:$A$20,0),MATCH('hydrogen - electrolysis'!A2750,parameters!$D$3:$N$3,0))</f>
        <v>1.4999999999999999E-2</v>
      </c>
    </row>
    <row r="2751" spans="1:2" x14ac:dyDescent="0.2">
      <c r="A2751" t="s">
        <v>43</v>
      </c>
      <c r="B2751" s="46">
        <f>INDEX(parameters!$D$4:$N$20,MATCH('hydrogen - electrolysis'!B2734&amp;'hydrogen - electrolysis'!B2736,parameters!$A$4:$A$20,0),MATCH('hydrogen - electrolysis'!A2751,parameters!$D$3:$N$3,0))</f>
        <v>0</v>
      </c>
    </row>
    <row r="2752" spans="1:2" x14ac:dyDescent="0.2">
      <c r="A2752" t="s">
        <v>44</v>
      </c>
      <c r="B2752" s="46">
        <f>INDEX(parameters!$D$4:$N$20,MATCH('hydrogen - electrolysis'!B2734&amp;'hydrogen - electrolysis'!B2736,parameters!$A$4:$A$20,0),MATCH('hydrogen - electrolysis'!A2752,parameters!$D$3:$N$3,0))</f>
        <v>0</v>
      </c>
    </row>
    <row r="2753" spans="1:22" x14ac:dyDescent="0.2">
      <c r="A2753" t="s">
        <v>634</v>
      </c>
      <c r="B2753" s="51">
        <f>INDEX(parameters!$D$4:$Y$20,MATCH('hydrogen - electrolysis'!B2734&amp;'hydrogen - electrolysis'!B2736,parameters!$A$4:$A$20,0),MATCH('hydrogen - electrolysis'!A2753,parameters!$D$3:$Y$3,0))</f>
        <v>1.8947368421052633</v>
      </c>
    </row>
    <row r="2754" spans="1:22" x14ac:dyDescent="0.2">
      <c r="A2754" t="s">
        <v>82</v>
      </c>
      <c r="B2754" s="46">
        <f>IF(B2745&lt;&gt;0,VLOOKUP(B2745,parameters!A1794:B1796,2,0),0)</f>
        <v>0</v>
      </c>
    </row>
    <row r="2755" spans="1:22" x14ac:dyDescent="0.2">
      <c r="A2755" t="s">
        <v>548</v>
      </c>
      <c r="B2755" s="50">
        <f>INDEX(parameters!$D$4:$P$20,MATCH(B2734&amp;B2736,parameters!$A$4:$A$20,0),MATCH(A2755,parameters!$D$3:$P$3,0))</f>
        <v>0.8</v>
      </c>
    </row>
    <row r="2756" spans="1:22" x14ac:dyDescent="0.2">
      <c r="A2756" t="s">
        <v>547</v>
      </c>
      <c r="B2756" s="51">
        <f>INDEX(parameters!$D$4:$P$20,MATCH(B2734&amp;B2736,parameters!$A$4:$A$20,0),MATCH(A2756,parameters!$D$3:$P$3,0))</f>
        <v>4.8780487804878048</v>
      </c>
    </row>
    <row r="2757" spans="1:22" x14ac:dyDescent="0.2">
      <c r="A2757" t="s">
        <v>630</v>
      </c>
      <c r="B2757" s="51">
        <f>INDEX(parameters!$D$4:$T$20,MATCH(B2734&amp;B2736,parameters!$A$4:$A$20,0),MATCH(A2757,parameters!$D$3:$T$3,0))</f>
        <v>4100</v>
      </c>
    </row>
    <row r="2758" spans="1:22" x14ac:dyDescent="0.2">
      <c r="A2758" t="s">
        <v>1005</v>
      </c>
      <c r="B2758" s="50">
        <f>IF(B2730="megajoule",SUMIFS(allocation!$I$4:$I$30,allocation!$B$4:$B$30,B2736,allocation!$C$4:$C$30,B2737),SUMIFS(allocation!$J$4:$J$30,allocation!$B$4:$B$30,B2736,allocation!$C$4:$C$30,B2737))</f>
        <v>0.13933980798974457</v>
      </c>
    </row>
    <row r="2759" spans="1:22" x14ac:dyDescent="0.2">
      <c r="A2759" t="s">
        <v>1050</v>
      </c>
      <c r="B2759" s="51">
        <f>INDEX(parameters!$D$4:$AB$20,MATCH(B2734&amp;B2736,parameters!$A$4:$A$20,0),MATCH(A2759,parameters!$D$3:$AB$3,0))</f>
        <v>10.221606648199446</v>
      </c>
    </row>
    <row r="2761" spans="1:22" x14ac:dyDescent="0.2">
      <c r="A2761" s="3" t="s">
        <v>57</v>
      </c>
    </row>
    <row r="2762" spans="1:22" x14ac:dyDescent="0.2">
      <c r="A2762" s="2" t="s">
        <v>58</v>
      </c>
      <c r="B2762" s="44" t="s">
        <v>59</v>
      </c>
      <c r="C2762" s="2" t="s">
        <v>55</v>
      </c>
      <c r="D2762" s="2" t="s">
        <v>60</v>
      </c>
      <c r="E2762" s="2" t="s">
        <v>52</v>
      </c>
      <c r="F2762" s="2" t="s">
        <v>61</v>
      </c>
      <c r="G2762" s="2" t="s">
        <v>54</v>
      </c>
      <c r="H2762" s="2" t="s">
        <v>87</v>
      </c>
      <c r="I2762" s="2" t="s">
        <v>51</v>
      </c>
      <c r="J2762" s="2" t="s">
        <v>138</v>
      </c>
      <c r="K2762" s="2" t="s">
        <v>136</v>
      </c>
      <c r="L2762" s="2" t="s">
        <v>221</v>
      </c>
      <c r="M2762" s="2" t="s">
        <v>379</v>
      </c>
      <c r="N2762" s="2" t="s">
        <v>1059</v>
      </c>
      <c r="O2762" s="2" t="s">
        <v>1060</v>
      </c>
      <c r="P2762" s="2" t="s">
        <v>1061</v>
      </c>
      <c r="Q2762" s="2" t="s">
        <v>1062</v>
      </c>
      <c r="R2762" s="2" t="s">
        <v>1063</v>
      </c>
      <c r="S2762" s="2" t="s">
        <v>1064</v>
      </c>
      <c r="T2762" s="2" t="s">
        <v>1065</v>
      </c>
      <c r="U2762" s="2" t="s">
        <v>380</v>
      </c>
      <c r="V2762" s="2" t="s">
        <v>1128</v>
      </c>
    </row>
    <row r="2763" spans="1:22" x14ac:dyDescent="0.2">
      <c r="A2763" t="str">
        <f>B2724</f>
        <v>heat, residential, by conversion of hydrogen using fuel cell, PEM, allocated by exergy, transported by pipeline, produced by Electrolysis, PEM using water and electricity from Solar PV (CH)</v>
      </c>
      <c r="B2763" s="45">
        <v>1</v>
      </c>
      <c r="C2763" t="str">
        <f>B2730</f>
        <v>megajoule</v>
      </c>
      <c r="E2763" t="str">
        <f>B2727</f>
        <v>CH</v>
      </c>
      <c r="F2763" t="s">
        <v>62</v>
      </c>
      <c r="G2763" t="str">
        <f>B2729</f>
        <v>heat, from residential heating system</v>
      </c>
      <c r="K2763" t="str">
        <f>B2724</f>
        <v>heat, residential, by conversion of hydrogen using fuel cell, PEM, allocated by exergy, transported by pipeline, produced by Electrolysis, PEM using water and electricity from Solar PV (CH)</v>
      </c>
    </row>
    <row r="2764" spans="1:22" x14ac:dyDescent="0.2">
      <c r="A2764" t="str">
        <f>VLOOKUP(J2764,'dataset mapping'!$A$4:$E$69,2,0)</f>
        <v>fuel cell system assembly, 1 kWe, proton exchange membrane (PEM)</v>
      </c>
      <c r="B2764" s="52">
        <f>(1/(B2753*B2757*B2756*3.6))*B2758</f>
        <v>1.0213951974556892E-6</v>
      </c>
      <c r="C2764" t="str">
        <f>VLOOKUP(J2764,'dataset mapping'!$A$4:$E$69,5,0)</f>
        <v>unit</v>
      </c>
      <c r="E2764" t="str">
        <f>VLOOKUP(J2764,'dataset mapping'!$A$4:$E$69,4,0)</f>
        <v>GLO</v>
      </c>
      <c r="F2764" t="s">
        <v>86</v>
      </c>
      <c r="G2764" t="str">
        <f>VLOOKUP(J2764,'dataset mapping'!$A$4:$E$69,3,0)</f>
        <v>fuel cell system, 1 kWe, proton exchange membrane (PEM)</v>
      </c>
      <c r="H2764" t="s">
        <v>88</v>
      </c>
      <c r="I2764" t="s">
        <v>272</v>
      </c>
      <c r="J2764" t="s">
        <v>273</v>
      </c>
      <c r="K2764" t="str">
        <f>B2724</f>
        <v>heat, residential, by conversion of hydrogen using fuel cell, PEM, allocated by exergy, transported by pipeline, produced by Electrolysis, PEM using water and electricity from Solar PV (CH)</v>
      </c>
      <c r="L2764">
        <f t="shared" ref="L2764:L2766" si="86">IF(OR(B2764&lt;0,B2764=0),1,2)</f>
        <v>2</v>
      </c>
      <c r="M2764">
        <f t="shared" ref="M2764:M2766" si="87">IF(L2764=2,LN(B2764),"")</f>
        <v>-13.794341024667077</v>
      </c>
      <c r="N2764">
        <v>1</v>
      </c>
      <c r="O2764" s="15">
        <v>1.2</v>
      </c>
      <c r="P2764">
        <v>1</v>
      </c>
      <c r="Q2764">
        <v>1.01</v>
      </c>
      <c r="R2764">
        <v>1.2</v>
      </c>
      <c r="S2764">
        <v>1.2</v>
      </c>
      <c r="T2764">
        <v>3</v>
      </c>
      <c r="U2764">
        <f t="shared" ref="U2764:U2766" si="88">LN(SQRT(EXP(
SQRT(
+POWER(LN(N2764),2)
+POWER(LN(O2764),2)
+POWER(LN(P2764),2)
+POWER(LN(Q2764),2)
+POWER(LN(R2764),2)
+POWER(LN(S2764),2)
+POWER(LN(T2764),2)
)
)))</f>
        <v>0.57157051623399524</v>
      </c>
    </row>
    <row r="2765" spans="1:22" x14ac:dyDescent="0.2">
      <c r="A2765" s="45" t="str">
        <f>"hydrogen supply, transported by "&amp;B2738&amp;", produced by "&amp;B2742&amp;" using "&amp;B2743&amp;" from "&amp;B2744</f>
        <v>hydrogen supply, transported by pipeline, produced by Electrolysis, PEM using water and electricity from Solar PV (CH)</v>
      </c>
      <c r="B2765" s="53">
        <f>(B2763/B2747)/B2746*B2758</f>
        <v>2.3223301331624095E-3</v>
      </c>
      <c r="C2765" t="str">
        <f>VLOOKUP(J2765,'dataset mapping'!$A$4:$E$69,5,0)</f>
        <v>kilogram</v>
      </c>
      <c r="E2765" t="str">
        <f>VLOOKUP(J2765,'dataset mapping'!$A$4:$E$69,4,0)</f>
        <v>CH</v>
      </c>
      <c r="F2765" t="s">
        <v>86</v>
      </c>
      <c r="G2765" t="str">
        <f>"hydrogen, gaseous, from "&amp;B2738</f>
        <v>hydrogen, gaseous, from pipeline</v>
      </c>
      <c r="H2765" t="s">
        <v>76</v>
      </c>
      <c r="I2765" t="s">
        <v>1054</v>
      </c>
      <c r="J2765" t="s">
        <v>292</v>
      </c>
      <c r="K2765" t="str">
        <f>B2724</f>
        <v>heat, residential, by conversion of hydrogen using fuel cell, PEM, allocated by exergy, transported by pipeline, produced by Electrolysis, PEM using water and electricity from Solar PV (CH)</v>
      </c>
      <c r="L2765">
        <f t="shared" si="86"/>
        <v>2</v>
      </c>
      <c r="M2765">
        <f t="shared" si="87"/>
        <v>-6.0651842296013152</v>
      </c>
      <c r="N2765">
        <v>1</v>
      </c>
      <c r="O2765" s="15">
        <v>1.2</v>
      </c>
      <c r="P2765">
        <v>1</v>
      </c>
      <c r="Q2765">
        <v>1.01</v>
      </c>
      <c r="R2765">
        <v>1.2</v>
      </c>
      <c r="S2765">
        <v>1.2</v>
      </c>
      <c r="T2765">
        <v>1.05</v>
      </c>
      <c r="U2765">
        <f t="shared" si="88"/>
        <v>0.15984597228197622</v>
      </c>
    </row>
    <row r="2766" spans="1:22" x14ac:dyDescent="0.2">
      <c r="A2766" t="s">
        <v>134</v>
      </c>
      <c r="B2766" s="53">
        <f>B2765*9</f>
        <v>2.0900971198461685E-2</v>
      </c>
      <c r="C2766" t="s">
        <v>56</v>
      </c>
      <c r="D2766" t="s">
        <v>100</v>
      </c>
      <c r="F2766" t="s">
        <v>99</v>
      </c>
      <c r="H2766" t="s">
        <v>131</v>
      </c>
      <c r="I2766" t="s">
        <v>1057</v>
      </c>
      <c r="K2766" t="str">
        <f>B2724</f>
        <v>heat, residential, by conversion of hydrogen using fuel cell, PEM, allocated by exergy, transported by pipeline, produced by Electrolysis, PEM using water and electricity from Solar PV (CH)</v>
      </c>
      <c r="L2766">
        <f t="shared" si="86"/>
        <v>2</v>
      </c>
      <c r="M2766">
        <f t="shared" si="87"/>
        <v>-3.8679596522650961</v>
      </c>
      <c r="N2766">
        <v>1</v>
      </c>
      <c r="O2766" s="15">
        <v>1.2</v>
      </c>
      <c r="P2766">
        <v>1</v>
      </c>
      <c r="Q2766">
        <v>1.01</v>
      </c>
      <c r="R2766">
        <v>1.2</v>
      </c>
      <c r="S2766">
        <v>1.2</v>
      </c>
      <c r="T2766">
        <v>1.05</v>
      </c>
      <c r="U2766">
        <f t="shared" si="88"/>
        <v>0.15984597228197622</v>
      </c>
    </row>
    <row r="2768" spans="1:22" x14ac:dyDescent="0.2">
      <c r="A2768" s="2" t="s">
        <v>50</v>
      </c>
      <c r="B2768" s="44" t="str">
        <f>IF(B2774="megajoule","heat","electricity")&amp;", residential, by "&amp;B2779&amp;" of "&amp;B2778&amp;" using "&amp;B2780&amp;IF(B2781&lt;&gt;0,", allocated by "&amp;B2781,"")&amp;", transported by "&amp;B2782&amp;", produced by "&amp;B2786&amp;" using "&amp;B2787&amp;" from "&amp;B2788</f>
        <v>heat, residential, by conversion of hydrogen using fuel cell, SOFC, allocated by exergy, transported by pipeline, produced by Electrolysis, PEM using water and electricity from Solar PV (CH)</v>
      </c>
    </row>
    <row r="2769" spans="1:2" x14ac:dyDescent="0.2">
      <c r="A2769" t="s">
        <v>51</v>
      </c>
      <c r="B2769" s="45" t="str">
        <f>"This dataset represents the supply of 1 "&amp;IF(B2774="megajoule","megajoule of heat","kilowatt hour of electricity")&amp;" in a residence, by "&amp;B2778&amp;" "&amp;B2779&amp;" in a "&amp;B2780&amp;". "&amp;" The hydrogen is transported by "&amp;B2782&amp;" over "&amp;B2783&amp;" km from regional storage. "&amp;" The "&amp;B2778&amp;" is produced by  "&amp;B2786&amp;", with "&amp;B2787&amp;" from "&amp;B2788&amp;" as feedstock. "&amp;A2790&amp;": "&amp;(B2790*100)&amp;"%. "&amp;A2791&amp;": "&amp;B2791&amp;". "&amp;A2792&amp;": "&amp;B2792&amp;". "&amp;A2793&amp;": "&amp;(B2793*100)&amp;"%. "&amp;A2794&amp;": "&amp;(B2794*100)&amp;"%. "&amp;A2795&amp;": "&amp;(B2795*100)&amp;"%. "&amp;A2796&amp;": "&amp;B2796&amp;". "&amp;A2797&amp;": "&amp;B2797&amp;". "&amp;A2798&amp;": "&amp;(B2798*100)&amp;"%. "&amp;A2799&amp;": "&amp;B2799&amp;". "&amp;A2800&amp;": "&amp;B2800&amp;". "&amp;A2801&amp;": "&amp;B2801&amp;". "&amp;A2802&amp;": "&amp;B2802&amp;".  For more information, refer to: "&amp;B2770</f>
        <v>This dataset represents the supply of 1 megajoule of heat in a residence, by hydrogen conversion in a fuel cell, SOFC.  The hydrogen is transported by pipeline over 500 km from regional storage.  The hydrogen is produced by  Electrolysis, PEM,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2770" spans="1:2" x14ac:dyDescent="0.2">
      <c r="A2770" t="s">
        <v>63</v>
      </c>
      <c r="B2770" s="45" t="s">
        <v>1223</v>
      </c>
    </row>
    <row r="2771" spans="1:2" x14ac:dyDescent="0.2">
      <c r="A2771" t="s">
        <v>52</v>
      </c>
      <c r="B2771" s="45" t="s">
        <v>64</v>
      </c>
    </row>
    <row r="2772" spans="1:2" x14ac:dyDescent="0.2">
      <c r="A2772" t="s">
        <v>48</v>
      </c>
      <c r="B2772" s="45">
        <v>36</v>
      </c>
    </row>
    <row r="2773" spans="1:2" x14ac:dyDescent="0.2">
      <c r="A2773" t="s">
        <v>54</v>
      </c>
      <c r="B2773" s="45" t="str">
        <f>INDEX(overview!$B$4:$R$338,MATCH('hydrogen - electrolysis'!B2772,overview!$A$4:$A$338,0),MATCH('hydrogen - electrolysis'!A2773,overview!$B$3:$R$3,0))</f>
        <v>heat, from residential heating system</v>
      </c>
    </row>
    <row r="2774" spans="1:2" x14ac:dyDescent="0.2">
      <c r="A2774" t="s">
        <v>55</v>
      </c>
      <c r="B2774" s="45" t="str">
        <f>INDEX(overview!$B$4:$R$338,MATCH('hydrogen - electrolysis'!B2772,overview!$A$4:$A$338,0),MATCH('hydrogen - electrolysis'!A2774,overview!$B$3:$R$3,0))</f>
        <v>megajoule</v>
      </c>
    </row>
    <row r="2775" spans="1:2" x14ac:dyDescent="0.2">
      <c r="A2775" t="s">
        <v>0</v>
      </c>
      <c r="B2775" s="45" t="str">
        <f>INDEX(overview!$B$4:$R$338,MATCH('hydrogen - electrolysis'!B2772,overview!$A$4:$A$338,0),MATCH('hydrogen - electrolysis'!A2775,overview!$B$3:$R$3,0))</f>
        <v>Switzerland</v>
      </c>
    </row>
    <row r="2776" spans="1:2" x14ac:dyDescent="0.2">
      <c r="A2776" t="s">
        <v>1</v>
      </c>
      <c r="B2776" s="45">
        <f>INDEX(overview!$B$4:$R$338,MATCH('hydrogen - electrolysis'!B2772,overview!$A$4:$A$338,0),MATCH('hydrogen - electrolysis'!A2776,overview!$B$3:$R$3,0))</f>
        <v>2020</v>
      </c>
    </row>
    <row r="2777" spans="1:2" x14ac:dyDescent="0.2">
      <c r="A2777" t="s">
        <v>2</v>
      </c>
      <c r="B2777" s="45" t="str">
        <f>INDEX(overview!$B$4:$R$338,MATCH('hydrogen - electrolysis'!B2772,overview!$A$4:$A$338,0),MATCH('hydrogen - electrolysis'!A2777,overview!$B$3:$R$3,0))</f>
        <v>1 MJ heat</v>
      </c>
    </row>
    <row r="2778" spans="1:2" x14ac:dyDescent="0.2">
      <c r="A2778" t="s">
        <v>5</v>
      </c>
      <c r="B2778" s="45" t="str">
        <f>INDEX(overview!$B$4:$R$338,MATCH('hydrogen - electrolysis'!B2772,overview!$A$4:$A$338,0),MATCH('hydrogen - electrolysis'!A2778,overview!$B$3:$R$3,0))</f>
        <v>hydrogen</v>
      </c>
    </row>
    <row r="2779" spans="1:2" x14ac:dyDescent="0.2">
      <c r="A2779" t="s">
        <v>3</v>
      </c>
      <c r="B2779" s="45" t="str">
        <f>INDEX(overview!$B$4:$R$338,MATCH('hydrogen - electrolysis'!B2772,overview!$A$4:$A$338,0),MATCH('hydrogen - electrolysis'!A2779,overview!$B$3:$R$3,0))</f>
        <v>conversion</v>
      </c>
    </row>
    <row r="2780" spans="1:2" x14ac:dyDescent="0.2">
      <c r="A2780" t="s">
        <v>6</v>
      </c>
      <c r="B2780" s="45" t="str">
        <f>INDEX(overview!$B$4:$R$338,MATCH('hydrogen - electrolysis'!B2772,overview!$A$4:$A$338,0),MATCH('hydrogen - electrolysis'!A2780,overview!$B$3:$R$3,0))</f>
        <v>fuel cell, SOFC</v>
      </c>
    </row>
    <row r="2781" spans="1:2" x14ac:dyDescent="0.2">
      <c r="A2781" t="s">
        <v>39</v>
      </c>
      <c r="B2781" s="45" t="str">
        <f>INDEX(overview!$B$4:$R$338,MATCH('hydrogen - electrolysis'!B2772,overview!$A$4:$A$338,0),MATCH('hydrogen - electrolysis'!A2781,overview!$B$3:$R$3,0))</f>
        <v>exergy</v>
      </c>
    </row>
    <row r="2782" spans="1:2" x14ac:dyDescent="0.2">
      <c r="A2782" t="s">
        <v>4</v>
      </c>
      <c r="B2782" s="45" t="str">
        <f>INDEX(overview!$B$4:$R$338,MATCH('hydrogen - electrolysis'!B2772,overview!$A$4:$A$338,0),MATCH('hydrogen - electrolysis'!A2782,overview!$B$3:$R$3,0))</f>
        <v>pipeline</v>
      </c>
    </row>
    <row r="2783" spans="1:2" x14ac:dyDescent="0.2">
      <c r="A2783" t="s">
        <v>38</v>
      </c>
      <c r="B2783" s="45">
        <f>INDEX(overview!$B$4:$R$338,MATCH('hydrogen - electrolysis'!B2772,overview!$A$4:$A$338,0),MATCH('hydrogen - electrolysis'!A2783,overview!$B$3:$R$3,0))</f>
        <v>500</v>
      </c>
    </row>
    <row r="2784" spans="1:2" x14ac:dyDescent="0.2">
      <c r="A2784" t="s">
        <v>12</v>
      </c>
      <c r="B2784" s="45" t="str">
        <f>INDEX(overview!$B$4:$R$338,MATCH('hydrogen - electrolysis'!B2772,overview!$A$4:$A$338,0),MATCH('hydrogen - electrolysis'!A2784,overview!$B$3:$R$3,0))</f>
        <v>Pressure vessel for stationary storage</v>
      </c>
    </row>
    <row r="2785" spans="1:4" x14ac:dyDescent="0.2">
      <c r="A2785" t="s">
        <v>34</v>
      </c>
      <c r="B2785" s="45">
        <f>INDEX(overview!$B$4:$R$338,MATCH('hydrogen - electrolysis'!B2772,overview!$A$4:$A$338,0),MATCH('hydrogen - electrolysis'!A2785,overview!$B$3:$R$3,0))</f>
        <v>0</v>
      </c>
    </row>
    <row r="2786" spans="1:4" x14ac:dyDescent="0.2">
      <c r="A2786" t="s">
        <v>15</v>
      </c>
      <c r="B2786" s="45" t="str">
        <f>INDEX(overview!$B$4:$R$338,MATCH('hydrogen - electrolysis'!B2772,overview!$A$4:$A$338,0),MATCH('hydrogen - electrolysis'!A2786,overview!$B$3:$R$3,0))</f>
        <v>Electrolysis, PEM</v>
      </c>
    </row>
    <row r="2787" spans="1:4" x14ac:dyDescent="0.2">
      <c r="A2787" t="s">
        <v>14</v>
      </c>
      <c r="B2787" s="45" t="str">
        <f>INDEX(overview!$B$4:$R$338,MATCH('hydrogen - electrolysis'!B2772,overview!$A$4:$A$338,0),MATCH('hydrogen - electrolysis'!A2787,overview!$B$3:$R$3,0))</f>
        <v>water and electricity</v>
      </c>
    </row>
    <row r="2788" spans="1:4" x14ac:dyDescent="0.2">
      <c r="A2788" t="s">
        <v>26</v>
      </c>
      <c r="B2788" s="45" t="str">
        <f>INDEX(overview!$B$4:$R$338,MATCH('hydrogen - electrolysis'!B2772,overview!$A$4:$A$338,0),MATCH('hydrogen - electrolysis'!A2788,overview!$B$3:$R$3,0))</f>
        <v>Solar PV (CH)</v>
      </c>
    </row>
    <row r="2789" spans="1:4" x14ac:dyDescent="0.2">
      <c r="A2789" t="s">
        <v>29</v>
      </c>
      <c r="B2789" s="45">
        <f>INDEX(overview!$B$4:$R$338,MATCH('hydrogen - electrolysis'!B2772,overview!$A$4:$A$338,0),MATCH('hydrogen - electrolysis'!A2789,overview!$B$3:$R$3,0))</f>
        <v>0</v>
      </c>
    </row>
    <row r="2790" spans="1:4" x14ac:dyDescent="0.2">
      <c r="A2790" t="str">
        <f>IF(B2774="megajoule","Heat","Electricity")&amp;" conversion efficiency [% LHV input]"</f>
        <v>Heat conversion efficiency [% LHV input]</v>
      </c>
      <c r="B2790" s="46">
        <f>INDEX(parameters!$D$4:$N$20,MATCH('hydrogen - electrolysis'!B2778&amp;'hydrogen - electrolysis'!B2780,parameters!$A$4:$A$20,0),MATCH('hydrogen - electrolysis'!A2790,parameters!$D$3:$N$3,0))</f>
        <v>0.53</v>
      </c>
    </row>
    <row r="2791" spans="1:4" x14ac:dyDescent="0.2">
      <c r="A2791" t="str">
        <f>IF(B2774="megajoule","LHV [MJ/kg]","LHV [kWh/kg]")</f>
        <v>LHV [MJ/kg]</v>
      </c>
      <c r="B2791" s="47">
        <f>INDEX(parameters!$D$4:$N$20,MATCH('hydrogen - electrolysis'!B2778&amp;'hydrogen - electrolysis'!B2780,parameters!$A$4:$A$20,0),MATCH('hydrogen - electrolysis'!A2791,parameters!$D$3:$N$3,0))</f>
        <v>120</v>
      </c>
    </row>
    <row r="2792" spans="1:4" x14ac:dyDescent="0.2">
      <c r="A2792" t="s">
        <v>41</v>
      </c>
      <c r="B2792" s="48">
        <f>INDEX(parameters!$D$4:$N$20,MATCH('hydrogen - electrolysis'!B2778&amp;'hydrogen - electrolysis'!B2780,parameters!$A$4:$A$20,0),MATCH('hydrogen - electrolysis'!A2792,parameters!$D$3:$N$3,0))</f>
        <v>2.6666666666666665E-2</v>
      </c>
    </row>
    <row r="2793" spans="1:4" x14ac:dyDescent="0.2">
      <c r="A2793" t="s">
        <v>45</v>
      </c>
      <c r="B2793" s="46">
        <f>INDEX(parameters!$D$4:$N$20,MATCH('hydrogen - electrolysis'!B2778&amp;'hydrogen - electrolysis'!B2780,parameters!$A$4:$A$20,0),MATCH('hydrogen - electrolysis'!A2793,parameters!$D$3:$N$3,0))</f>
        <v>0</v>
      </c>
    </row>
    <row r="2794" spans="1:4" x14ac:dyDescent="0.2">
      <c r="A2794" t="s">
        <v>46</v>
      </c>
      <c r="B2794" s="46">
        <f>INDEX(parameters!$D$4:$N$20,MATCH('hydrogen - electrolysis'!B2778&amp;'hydrogen - electrolysis'!B2780,parameters!$A$4:$A$20,0),MATCH('hydrogen - electrolysis'!A2794,parameters!$D$3:$N$3,0))</f>
        <v>1.4999999999999999E-2</v>
      </c>
    </row>
    <row r="2795" spans="1:4" x14ac:dyDescent="0.2">
      <c r="A2795" t="s">
        <v>43</v>
      </c>
      <c r="B2795" s="46">
        <f>INDEX(parameters!$D$4:$N$20,MATCH('hydrogen - electrolysis'!B2778&amp;'hydrogen - electrolysis'!B2780,parameters!$A$4:$A$20,0),MATCH('hydrogen - electrolysis'!A2795,parameters!$D$3:$N$3,0))</f>
        <v>0</v>
      </c>
    </row>
    <row r="2796" spans="1:4" x14ac:dyDescent="0.2">
      <c r="A2796" t="s">
        <v>44</v>
      </c>
      <c r="B2796" s="46">
        <f>INDEX(parameters!$D$4:$N$20,MATCH('hydrogen - electrolysis'!B2778&amp;'hydrogen - electrolysis'!B2780,parameters!$A$4:$A$20,0),MATCH('hydrogen - electrolysis'!A2796,parameters!$D$3:$N$3,0))</f>
        <v>0</v>
      </c>
    </row>
    <row r="2797" spans="1:4" x14ac:dyDescent="0.2">
      <c r="A2797" t="s">
        <v>634</v>
      </c>
      <c r="B2797" s="51">
        <f>INDEX(parameters!$D$4:$Y$20,MATCH('hydrogen - electrolysis'!B2778&amp;'hydrogen - electrolysis'!B2780,parameters!$A$4:$A$20,0),MATCH('hydrogen - electrolysis'!A2797,parameters!$D$3:$Y$3,0))</f>
        <v>225</v>
      </c>
      <c r="D2797" s="8"/>
    </row>
    <row r="2798" spans="1:4" x14ac:dyDescent="0.2">
      <c r="A2798" t="s">
        <v>82</v>
      </c>
      <c r="B2798" s="46">
        <f>IF(B2789&lt;&gt;0,VLOOKUP(B2789,parameters!A1843:B1845,2,0),0)</f>
        <v>0</v>
      </c>
    </row>
    <row r="2799" spans="1:4" x14ac:dyDescent="0.2">
      <c r="A2799" t="s">
        <v>548</v>
      </c>
      <c r="B2799" s="50">
        <f>INDEX(parameters!$D$4:$P$20,MATCH(B2778&amp;B2780,parameters!$A$4:$A$20,0),MATCH(A2799,parameters!$D$3:$P$3,0))</f>
        <v>100</v>
      </c>
    </row>
    <row r="2800" spans="1:4" x14ac:dyDescent="0.2">
      <c r="A2800" t="s">
        <v>547</v>
      </c>
      <c r="B2800" s="51">
        <f>INDEX(parameters!$D$4:$P$20,MATCH(B2778&amp;B2780,parameters!$A$4:$A$20,0),MATCH(A2800,parameters!$D$3:$P$3,0))</f>
        <v>6</v>
      </c>
    </row>
    <row r="2801" spans="1:22" x14ac:dyDescent="0.2">
      <c r="A2801" t="s">
        <v>630</v>
      </c>
      <c r="B2801" s="51">
        <f>INDEX(parameters!$D$4:$T$20,MATCH(B2778&amp;B2780,parameters!$A$4:$A$20,0),MATCH(A2801,parameters!$D$3:$T$3,0))</f>
        <v>4100</v>
      </c>
    </row>
    <row r="2802" spans="1:22" x14ac:dyDescent="0.2">
      <c r="A2802" t="s">
        <v>1005</v>
      </c>
      <c r="B2802" s="50">
        <f>IF(B2774="megajoule",SUMIFS(allocation!$I$4:$I$30,allocation!$B$4:$B$30,B2780,allocation!$C$4:$C$30,B2781),SUMIFS(allocation!$J$4:$J$30,allocation!$B$4:$B$30,B2780,allocation!$C$4:$C$30,B2781))</f>
        <v>0.13587506510399097</v>
      </c>
    </row>
    <row r="2803" spans="1:22" x14ac:dyDescent="0.2">
      <c r="A2803" t="s">
        <v>1050</v>
      </c>
      <c r="B2803" s="51">
        <f>INDEX(parameters!$D$4:$AB$20,MATCH(B2778&amp;B2780,parameters!$A$4:$A$20,0),MATCH(A2803,parameters!$D$3:$AB$3,0))</f>
        <v>1153.1249999999998</v>
      </c>
    </row>
    <row r="2805" spans="1:22" x14ac:dyDescent="0.2">
      <c r="A2805" s="3" t="s">
        <v>57</v>
      </c>
    </row>
    <row r="2806" spans="1:22" x14ac:dyDescent="0.2">
      <c r="A2806" s="2" t="s">
        <v>58</v>
      </c>
      <c r="B2806" s="44" t="s">
        <v>59</v>
      </c>
      <c r="C2806" s="2" t="s">
        <v>55</v>
      </c>
      <c r="D2806" s="2" t="s">
        <v>60</v>
      </c>
      <c r="E2806" s="2" t="s">
        <v>52</v>
      </c>
      <c r="F2806" s="2" t="s">
        <v>61</v>
      </c>
      <c r="G2806" s="2" t="s">
        <v>54</v>
      </c>
      <c r="H2806" s="2" t="s">
        <v>87</v>
      </c>
      <c r="I2806" s="2" t="s">
        <v>51</v>
      </c>
      <c r="J2806" s="2" t="s">
        <v>138</v>
      </c>
      <c r="K2806" s="2" t="s">
        <v>136</v>
      </c>
      <c r="L2806" s="2" t="s">
        <v>221</v>
      </c>
      <c r="M2806" s="2" t="s">
        <v>379</v>
      </c>
      <c r="N2806" s="2" t="s">
        <v>1059</v>
      </c>
      <c r="O2806" s="2" t="s">
        <v>1060</v>
      </c>
      <c r="P2806" s="2" t="s">
        <v>1061</v>
      </c>
      <c r="Q2806" s="2" t="s">
        <v>1062</v>
      </c>
      <c r="R2806" s="2" t="s">
        <v>1063</v>
      </c>
      <c r="S2806" s="2" t="s">
        <v>1064</v>
      </c>
      <c r="T2806" s="2" t="s">
        <v>1065</v>
      </c>
      <c r="U2806" s="2" t="s">
        <v>380</v>
      </c>
      <c r="V2806" s="2" t="s">
        <v>1128</v>
      </c>
    </row>
    <row r="2807" spans="1:22" x14ac:dyDescent="0.2">
      <c r="A2807" t="str">
        <f>B2768</f>
        <v>heat, residential, by conversion of hydrogen using fuel cell, SOFC, allocated by exergy, transported by pipeline, produced by Electrolysis, PEM using water and electricity from Solar PV (CH)</v>
      </c>
      <c r="B2807" s="45">
        <v>1</v>
      </c>
      <c r="C2807" t="str">
        <f>B2774</f>
        <v>megajoule</v>
      </c>
      <c r="E2807" t="str">
        <f>B2771</f>
        <v>CH</v>
      </c>
      <c r="F2807" t="s">
        <v>62</v>
      </c>
      <c r="G2807" t="str">
        <f>B2773</f>
        <v>heat, from residential heating system</v>
      </c>
      <c r="K2807" t="str">
        <f>B2768</f>
        <v>heat, residential, by conversion of hydrogen using fuel cell, SOFC, allocated by exergy, transported by pipeline, produced by Electrolysis, PEM using water and electricity from Solar PV (CH)</v>
      </c>
    </row>
    <row r="2808" spans="1:22" x14ac:dyDescent="0.2">
      <c r="A2808" t="str">
        <f>VLOOKUP(J2808,'dataset mapping'!$A$4:$E$69,2,0)</f>
        <v>fuel cell production, stack solid oxide, 125kW electrical, future</v>
      </c>
      <c r="B2808" s="52">
        <f>(1/(B2797*B2801*B2800*3.6))*B2802</f>
        <v>6.8189834941278219E-9</v>
      </c>
      <c r="C2808" t="str">
        <f>VLOOKUP(J2808,'dataset mapping'!$A$4:$E$69,5,0)</f>
        <v>unit</v>
      </c>
      <c r="E2808" t="str">
        <f>VLOOKUP(J2808,'dataset mapping'!$A$4:$E$69,4,0)</f>
        <v>CH</v>
      </c>
      <c r="F2808" t="s">
        <v>86</v>
      </c>
      <c r="G2808" t="str">
        <f>VLOOKUP(J2808,'dataset mapping'!$A$4:$E$69,3,0)</f>
        <v>fuel cell, stack solid oxide, 125kW electrical, future</v>
      </c>
      <c r="H2808" t="s">
        <v>88</v>
      </c>
      <c r="I2808" t="s">
        <v>277</v>
      </c>
      <c r="J2808" t="s">
        <v>274</v>
      </c>
      <c r="K2808" t="str">
        <f>B2768</f>
        <v>heat, residential, by conversion of hydrogen using fuel cell, SOFC, allocated by exergy, transported by pipeline, produced by Electrolysis, PEM using water and electricity from Solar PV (CH)</v>
      </c>
      <c r="L2808">
        <f t="shared" ref="L2808:L2812" si="89">IF(OR(B2808&lt;0,B2808=0),1,2)</f>
        <v>2</v>
      </c>
      <c r="M2808">
        <f t="shared" ref="M2808:M2812" si="90">IF(L2808=2,LN(B2808),"")</f>
        <v>-18.80355542398161</v>
      </c>
      <c r="N2808">
        <v>1</v>
      </c>
      <c r="O2808" s="15">
        <v>1.2</v>
      </c>
      <c r="P2808">
        <v>1</v>
      </c>
      <c r="Q2808">
        <v>1.01</v>
      </c>
      <c r="R2808">
        <v>1.2</v>
      </c>
      <c r="S2808">
        <v>1.2</v>
      </c>
      <c r="T2808">
        <v>3</v>
      </c>
      <c r="U2808">
        <f t="shared" ref="U2808:U2812" si="91">LN(SQRT(EXP(
SQRT(
+POWER(LN(N2808),2)
+POWER(LN(O2808),2)
+POWER(LN(P2808),2)
+POWER(LN(Q2808),2)
+POWER(LN(R2808),2)
+POWER(LN(S2808),2)
+POWER(LN(T2808),2)
)
)))</f>
        <v>0.57157051623399524</v>
      </c>
    </row>
    <row r="2809" spans="1:22" x14ac:dyDescent="0.2">
      <c r="A2809" t="s">
        <v>283</v>
      </c>
      <c r="B2809" s="52">
        <f>(1/(B2797*B2801*B2800*3.6))*B2802</f>
        <v>6.8189834941278219E-9</v>
      </c>
      <c r="C2809" t="s">
        <v>55</v>
      </c>
      <c r="E2809" t="s">
        <v>64</v>
      </c>
      <c r="F2809" t="s">
        <v>86</v>
      </c>
      <c r="G2809" t="s">
        <v>284</v>
      </c>
      <c r="H2809" t="s">
        <v>88</v>
      </c>
      <c r="I2809" t="s">
        <v>277</v>
      </c>
      <c r="K2809" t="str">
        <f>B2768</f>
        <v>heat, residential, by conversion of hydrogen using fuel cell, SOFC, allocated by exergy, transported by pipeline, produced by Electrolysis, PEM using water and electricity from Solar PV (CH)</v>
      </c>
      <c r="L2809">
        <f t="shared" si="89"/>
        <v>2</v>
      </c>
      <c r="M2809">
        <f t="shared" si="90"/>
        <v>-18.80355542398161</v>
      </c>
      <c r="N2809">
        <v>1</v>
      </c>
      <c r="O2809" s="15">
        <v>1.2</v>
      </c>
      <c r="P2809">
        <v>1</v>
      </c>
      <c r="Q2809">
        <v>1.01</v>
      </c>
      <c r="R2809">
        <v>1.2</v>
      </c>
      <c r="S2809">
        <v>1.2</v>
      </c>
      <c r="T2809">
        <v>3</v>
      </c>
      <c r="U2809">
        <f t="shared" si="91"/>
        <v>0.57157051623399524</v>
      </c>
    </row>
    <row r="2810" spans="1:22" x14ac:dyDescent="0.2">
      <c r="A2810" t="s">
        <v>288</v>
      </c>
      <c r="B2810" s="52">
        <f>0.000024*B2802</f>
        <v>3.2610015624957834E-6</v>
      </c>
      <c r="C2810" t="s">
        <v>56</v>
      </c>
      <c r="E2810" t="s">
        <v>64</v>
      </c>
      <c r="F2810" t="s">
        <v>86</v>
      </c>
      <c r="G2810" t="s">
        <v>287</v>
      </c>
      <c r="H2810" t="s">
        <v>88</v>
      </c>
      <c r="K2810" t="str">
        <f>B2768</f>
        <v>heat, residential, by conversion of hydrogen using fuel cell, SOFC, allocated by exergy, transported by pipeline, produced by Electrolysis, PEM using water and electricity from Solar PV (CH)</v>
      </c>
      <c r="L2810">
        <f t="shared" si="89"/>
        <v>2</v>
      </c>
      <c r="M2810">
        <f t="shared" si="90"/>
        <v>-12.633476182011</v>
      </c>
      <c r="N2810">
        <v>1</v>
      </c>
      <c r="O2810" s="15">
        <v>1.2</v>
      </c>
      <c r="P2810">
        <v>1</v>
      </c>
      <c r="Q2810">
        <v>1.01</v>
      </c>
      <c r="R2810">
        <v>1.2</v>
      </c>
      <c r="S2810">
        <v>1.2</v>
      </c>
      <c r="T2810">
        <v>1.05</v>
      </c>
      <c r="U2810">
        <f t="shared" si="91"/>
        <v>0.15984597228197622</v>
      </c>
    </row>
    <row r="2811" spans="1:22" x14ac:dyDescent="0.2">
      <c r="A2811" s="45" t="str">
        <f>"hydrogen supply, transported by "&amp;B2782&amp;", produced by "&amp;B2786&amp;" using "&amp;B2787&amp;" from "&amp;B2788</f>
        <v>hydrogen supply, transported by pipeline, produced by Electrolysis, PEM using water and electricity from Solar PV (CH)</v>
      </c>
      <c r="B2811" s="53">
        <f>(B2807/B2791)/B2790*B2802</f>
        <v>2.1364003947168392E-3</v>
      </c>
      <c r="C2811" t="str">
        <f>VLOOKUP(J2811,'dataset mapping'!$A$4:$E$69,5,0)</f>
        <v>kilogram</v>
      </c>
      <c r="E2811" t="str">
        <f>VLOOKUP(J2811,'dataset mapping'!$A$4:$E$69,4,0)</f>
        <v>CH</v>
      </c>
      <c r="F2811" t="s">
        <v>86</v>
      </c>
      <c r="G2811" t="str">
        <f>"hydrogen, gaseous, from "&amp;B2782</f>
        <v>hydrogen, gaseous, from pipeline</v>
      </c>
      <c r="H2811" t="s">
        <v>76</v>
      </c>
      <c r="I2811" t="s">
        <v>1054</v>
      </c>
      <c r="J2811" t="s">
        <v>292</v>
      </c>
      <c r="K2811" t="str">
        <f>B2768</f>
        <v>heat, residential, by conversion of hydrogen using fuel cell, SOFC, allocated by exergy, transported by pipeline, produced by Electrolysis, PEM using water and electricity from Solar PV (CH)</v>
      </c>
      <c r="L2811">
        <f t="shared" si="89"/>
        <v>2</v>
      </c>
      <c r="M2811">
        <f t="shared" si="90"/>
        <v>-6.1486329247407472</v>
      </c>
      <c r="N2811">
        <v>1</v>
      </c>
      <c r="O2811" s="15">
        <v>1.2</v>
      </c>
      <c r="P2811">
        <v>1</v>
      </c>
      <c r="Q2811">
        <v>1.01</v>
      </c>
      <c r="R2811">
        <v>1.2</v>
      </c>
      <c r="S2811">
        <v>1.2</v>
      </c>
      <c r="T2811">
        <v>1.05</v>
      </c>
      <c r="U2811">
        <f t="shared" si="91"/>
        <v>0.15984597228197622</v>
      </c>
    </row>
    <row r="2812" spans="1:22" x14ac:dyDescent="0.2">
      <c r="A2812" t="s">
        <v>134</v>
      </c>
      <c r="B2812" s="45">
        <f>B2811*9</f>
        <v>1.9227603552451553E-2</v>
      </c>
      <c r="C2812" t="s">
        <v>56</v>
      </c>
      <c r="D2812" t="s">
        <v>100</v>
      </c>
      <c r="F2812" t="s">
        <v>99</v>
      </c>
      <c r="H2812" t="s">
        <v>131</v>
      </c>
      <c r="I2812" t="s">
        <v>1057</v>
      </c>
      <c r="K2812" t="str">
        <f>B2768</f>
        <v>heat, residential, by conversion of hydrogen using fuel cell, SOFC, allocated by exergy, transported by pipeline, produced by Electrolysis, PEM using water and electricity from Solar PV (CH)</v>
      </c>
      <c r="L2812">
        <f t="shared" si="89"/>
        <v>2</v>
      </c>
      <c r="M2812">
        <f t="shared" si="90"/>
        <v>-3.9514083474045276</v>
      </c>
      <c r="N2812">
        <v>1</v>
      </c>
      <c r="O2812" s="15">
        <v>1.2</v>
      </c>
      <c r="P2812">
        <v>1</v>
      </c>
      <c r="Q2812">
        <v>1.01</v>
      </c>
      <c r="R2812">
        <v>1.2</v>
      </c>
      <c r="S2812">
        <v>1.2</v>
      </c>
      <c r="T2812">
        <v>1.05</v>
      </c>
      <c r="U2812">
        <f t="shared" si="91"/>
        <v>0.15984597228197622</v>
      </c>
    </row>
    <row r="2814" spans="1:22" x14ac:dyDescent="0.2">
      <c r="A2814" s="2" t="s">
        <v>50</v>
      </c>
      <c r="B2814" s="44" t="str">
        <f>IF(B2820="megajoule","heat","electricity")&amp;", residential, by "&amp;B2825&amp;" of "&amp;B2824&amp;" using "&amp;B2826&amp;IF(B2827&lt;&gt;0,", allocated by "&amp;B2827,"")&amp;", transported by "&amp;B2828&amp;", produced by "&amp;B2832&amp;" using "&amp;B2833&amp;" from "&amp;B2834</f>
        <v>electricity, residential, by combustion of hydrogen using CHP, allocated by exergy, transported by pipeline, produced by Electrolysis, PEM using water and electricity from Solar PV (CH)</v>
      </c>
    </row>
    <row r="2815" spans="1:22" x14ac:dyDescent="0.2">
      <c r="A2815" t="s">
        <v>51</v>
      </c>
      <c r="B2815" s="45" t="str">
        <f>"This dataset represents the supply of 1 "&amp;IF(B2820="megajoule","megajoule of heat","kilowatt hour of electricity")&amp;" in a residence, by "&amp;B2824&amp;" "&amp;B2825&amp;" in a "&amp;B2826&amp;". "&amp;" The hydrogen is transported by "&amp;B2828&amp;" over "&amp;B2829&amp;" km from regional storage. "&amp;" The "&amp;B2824&amp;" is produced by  "&amp;B2832&amp;", with "&amp;B2833&amp;" from "&amp;B2834&amp;" as feedstock. "&amp;A2836&amp;": "&amp;(B2836*100)&amp;"%. "&amp;A2837&amp;": "&amp;B2837&amp;". "&amp;A2838&amp;": "&amp;B2838&amp;". "&amp;A2839&amp;": "&amp;(B2839*100)&amp;"%. "&amp;A2840&amp;": "&amp;(B2840*100)&amp;"%. "&amp;A2841&amp;": "&amp;(B2841*100)&amp;"%. "&amp;A2842&amp;": "&amp;B2842&amp;". "&amp;A2843&amp;": "&amp;B2843&amp;". "&amp;A2844&amp;": "&amp;(B2844*100)&amp;"%. "&amp;A2845&amp;": "&amp;B2845&amp;". "&amp;A2846&amp;": "&amp;B2846&amp;". "&amp;A2847&amp;": "&amp;B2847&amp;". "&amp;A2848&amp;": "&amp;B2848&amp;".  For more information, refer to: "&amp;B2816</f>
        <v>This dataset represents the supply of 1 kilowatt hour of electricity in a residence, by hydrogen combustion in a CHP.  The hydrogen is transported by pipeline over 500 km from regional storage.  The hydrogen is produced by  Electrolysis, PEM,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2816" spans="1:22" x14ac:dyDescent="0.2">
      <c r="A2816" t="s">
        <v>63</v>
      </c>
      <c r="B2816" s="45" t="s">
        <v>1223</v>
      </c>
    </row>
    <row r="2817" spans="1:2" x14ac:dyDescent="0.2">
      <c r="A2817" t="s">
        <v>52</v>
      </c>
      <c r="B2817" s="45" t="s">
        <v>64</v>
      </c>
    </row>
    <row r="2818" spans="1:2" x14ac:dyDescent="0.2">
      <c r="A2818" t="s">
        <v>48</v>
      </c>
      <c r="B2818" s="45" t="s">
        <v>889</v>
      </c>
    </row>
    <row r="2819" spans="1:2" x14ac:dyDescent="0.2">
      <c r="A2819" t="s">
        <v>54</v>
      </c>
      <c r="B2819" s="45" t="str">
        <f>INDEX(overview!$B$4:$R$338,MATCH('hydrogen - electrolysis'!B2818,overview!$A$4:$A$338,0),MATCH('hydrogen - electrolysis'!A2819,overview!$B$3:$R$3,0))</f>
        <v>electricity, from residential heating system</v>
      </c>
    </row>
    <row r="2820" spans="1:2" x14ac:dyDescent="0.2">
      <c r="A2820" t="s">
        <v>55</v>
      </c>
      <c r="B2820" s="45" t="str">
        <f>INDEX(overview!$B$4:$R$338,MATCH('hydrogen - electrolysis'!B2818,overview!$A$4:$A$338,0),MATCH('hydrogen - electrolysis'!A2820,overview!$B$3:$R$3,0))</f>
        <v>kilowatt hour</v>
      </c>
    </row>
    <row r="2821" spans="1:2" x14ac:dyDescent="0.2">
      <c r="A2821" t="s">
        <v>0</v>
      </c>
      <c r="B2821" s="45" t="str">
        <f>INDEX(overview!$B$4:$R$338,MATCH('hydrogen - electrolysis'!B2818,overview!$A$4:$A$338,0),MATCH('hydrogen - electrolysis'!A2821,overview!$B$3:$R$3,0))</f>
        <v>Switzerland</v>
      </c>
    </row>
    <row r="2822" spans="1:2" x14ac:dyDescent="0.2">
      <c r="A2822" t="s">
        <v>1</v>
      </c>
      <c r="B2822" s="45">
        <f>INDEX(overview!$B$4:$R$338,MATCH('hydrogen - electrolysis'!B2818,overview!$A$4:$A$338,0),MATCH('hydrogen - electrolysis'!A2822,overview!$B$3:$R$3,0))</f>
        <v>2020</v>
      </c>
    </row>
    <row r="2823" spans="1:2" x14ac:dyDescent="0.2">
      <c r="A2823" t="s">
        <v>2</v>
      </c>
      <c r="B2823" s="45" t="str">
        <f>INDEX(overview!$B$4:$R$338,MATCH('hydrogen - electrolysis'!B2818,overview!$A$4:$A$338,0),MATCH('hydrogen - electrolysis'!A2823,overview!$B$3:$R$3,0))</f>
        <v>1 kWh electricity</v>
      </c>
    </row>
    <row r="2824" spans="1:2" x14ac:dyDescent="0.2">
      <c r="A2824" t="s">
        <v>5</v>
      </c>
      <c r="B2824" s="45" t="str">
        <f>INDEX(overview!$B$4:$R$338,MATCH('hydrogen - electrolysis'!B2818,overview!$A$4:$A$338,0),MATCH('hydrogen - electrolysis'!A2824,overview!$B$3:$R$3,0))</f>
        <v>hydrogen</v>
      </c>
    </row>
    <row r="2825" spans="1:2" x14ac:dyDescent="0.2">
      <c r="A2825" t="s">
        <v>3</v>
      </c>
      <c r="B2825" s="45" t="str">
        <f>INDEX(overview!$B$4:$R$338,MATCH('hydrogen - electrolysis'!B2818,overview!$A$4:$A$338,0),MATCH('hydrogen - electrolysis'!A2825,overview!$B$3:$R$3,0))</f>
        <v>combustion</v>
      </c>
    </row>
    <row r="2826" spans="1:2" x14ac:dyDescent="0.2">
      <c r="A2826" t="s">
        <v>6</v>
      </c>
      <c r="B2826" s="45" t="str">
        <f>INDEX(overview!$B$4:$R$338,MATCH('hydrogen - electrolysis'!B2818,overview!$A$4:$A$338,0),MATCH('hydrogen - electrolysis'!A2826,overview!$B$3:$R$3,0))</f>
        <v>CHP</v>
      </c>
    </row>
    <row r="2827" spans="1:2" x14ac:dyDescent="0.2">
      <c r="A2827" t="s">
        <v>39</v>
      </c>
      <c r="B2827" s="45" t="str">
        <f>INDEX(overview!$B$4:$R$338,MATCH('hydrogen - electrolysis'!B2818,overview!$A$4:$A$338,0),MATCH('hydrogen - electrolysis'!A2827,overview!$B$3:$R$3,0))</f>
        <v>exergy</v>
      </c>
    </row>
    <row r="2828" spans="1:2" x14ac:dyDescent="0.2">
      <c r="A2828" t="s">
        <v>4</v>
      </c>
      <c r="B2828" s="45" t="str">
        <f>INDEX(overview!$B$4:$R$338,MATCH('hydrogen - electrolysis'!B2818,overview!$A$4:$A$338,0),MATCH('hydrogen - electrolysis'!A2828,overview!$B$3:$R$3,0))</f>
        <v>pipeline</v>
      </c>
    </row>
    <row r="2829" spans="1:2" x14ac:dyDescent="0.2">
      <c r="A2829" t="s">
        <v>38</v>
      </c>
      <c r="B2829" s="45">
        <f>INDEX(overview!$B$4:$R$338,MATCH('hydrogen - electrolysis'!B2818,overview!$A$4:$A$338,0),MATCH('hydrogen - electrolysis'!A2829,overview!$B$3:$R$3,0))</f>
        <v>500</v>
      </c>
    </row>
    <row r="2830" spans="1:2" x14ac:dyDescent="0.2">
      <c r="A2830" t="s">
        <v>12</v>
      </c>
      <c r="B2830" s="45" t="str">
        <f>INDEX(overview!$B$4:$R$338,MATCH('hydrogen - electrolysis'!B2818,overview!$A$4:$A$338,0),MATCH('hydrogen - electrolysis'!A2830,overview!$B$3:$R$3,0))</f>
        <v>Pressure vessel for stationary storage</v>
      </c>
    </row>
    <row r="2831" spans="1:2" x14ac:dyDescent="0.2">
      <c r="A2831" t="s">
        <v>34</v>
      </c>
      <c r="B2831" s="45">
        <f>INDEX(overview!$B$4:$R$338,MATCH('hydrogen - electrolysis'!B2818,overview!$A$4:$A$338,0),MATCH('hydrogen - electrolysis'!A2831,overview!$B$3:$R$3,0))</f>
        <v>0</v>
      </c>
    </row>
    <row r="2832" spans="1:2" x14ac:dyDescent="0.2">
      <c r="A2832" t="s">
        <v>15</v>
      </c>
      <c r="B2832" s="45" t="str">
        <f>INDEX(overview!$B$4:$R$338,MATCH('hydrogen - electrolysis'!B2818,overview!$A$4:$A$338,0),MATCH('hydrogen - electrolysis'!A2832,overview!$B$3:$R$3,0))</f>
        <v>Electrolysis, PEM</v>
      </c>
    </row>
    <row r="2833" spans="1:2" x14ac:dyDescent="0.2">
      <c r="A2833" t="s">
        <v>14</v>
      </c>
      <c r="B2833" s="45" t="str">
        <f>INDEX(overview!$B$4:$R$338,MATCH('hydrogen - electrolysis'!B2818,overview!$A$4:$A$338,0),MATCH('hydrogen - electrolysis'!A2833,overview!$B$3:$R$3,0))</f>
        <v>water and electricity</v>
      </c>
    </row>
    <row r="2834" spans="1:2" x14ac:dyDescent="0.2">
      <c r="A2834" t="s">
        <v>26</v>
      </c>
      <c r="B2834" s="45" t="str">
        <f>INDEX(overview!$B$4:$R$338,MATCH('hydrogen - electrolysis'!B2818,overview!$A$4:$A$338,0),MATCH('hydrogen - electrolysis'!A2834,overview!$B$3:$R$3,0))</f>
        <v>Solar PV (CH)</v>
      </c>
    </row>
    <row r="2835" spans="1:2" x14ac:dyDescent="0.2">
      <c r="A2835" t="s">
        <v>29</v>
      </c>
      <c r="B2835" s="45">
        <f>INDEX(overview!$B$4:$R$338,MATCH('hydrogen - electrolysis'!B2818,overview!$A$4:$A$338,0),MATCH('hydrogen - electrolysis'!A2835,overview!$B$3:$R$3,0))</f>
        <v>0</v>
      </c>
    </row>
    <row r="2836" spans="1:2" x14ac:dyDescent="0.2">
      <c r="A2836" t="str">
        <f>IF(B2820="megajoule","Heat","Electricity")&amp;" conversion efficiency [% LHV input]"</f>
        <v>Electricity conversion efficiency [% LHV input]</v>
      </c>
      <c r="B2836" s="46">
        <f>INDEX(parameters!$D$4:$N$20,MATCH('hydrogen - electrolysis'!B2824&amp;'hydrogen - electrolysis'!B2826,parameters!$A$4:$A$20,0),MATCH('hydrogen - electrolysis'!A2836,parameters!$D$3:$N$3,0))</f>
        <v>0.39400000000000002</v>
      </c>
    </row>
    <row r="2837" spans="1:2" x14ac:dyDescent="0.2">
      <c r="A2837" t="str">
        <f>IF(B2820="megajoule","LHV [MJ/kg]","LHV [kWh/kg]")</f>
        <v>LHV [kWh/kg]</v>
      </c>
      <c r="B2837" s="47">
        <f>INDEX(parameters!$D$4:$N$20,MATCH('hydrogen - electrolysis'!B2824&amp;'hydrogen - electrolysis'!B2826,parameters!$A$4:$A$20,0),MATCH('hydrogen - electrolysis'!A2837,parameters!$D$3:$N$3,0))</f>
        <v>33.333333333333336</v>
      </c>
    </row>
    <row r="2838" spans="1:2" x14ac:dyDescent="0.2">
      <c r="A2838" t="s">
        <v>41</v>
      </c>
      <c r="B2838" s="48">
        <f>INDEX(parameters!$D$4:$N$20,MATCH('hydrogen - electrolysis'!B2824&amp;'hydrogen - electrolysis'!B2826,parameters!$A$4:$A$20,0),MATCH('hydrogen - electrolysis'!A2838,parameters!$D$3:$N$3,0))</f>
        <v>2.6666666666666665E-2</v>
      </c>
    </row>
    <row r="2839" spans="1:2" x14ac:dyDescent="0.2">
      <c r="A2839" t="s">
        <v>45</v>
      </c>
      <c r="B2839" s="46">
        <f>INDEX(parameters!$D$4:$N$20,MATCH('hydrogen - electrolysis'!B2824&amp;'hydrogen - electrolysis'!B2826,parameters!$A$4:$A$20,0),MATCH('hydrogen - electrolysis'!A2839,parameters!$D$3:$N$3,0))</f>
        <v>0</v>
      </c>
    </row>
    <row r="2840" spans="1:2" x14ac:dyDescent="0.2">
      <c r="A2840" t="s">
        <v>46</v>
      </c>
      <c r="B2840" s="46">
        <f>INDEX(parameters!$D$4:$N$20,MATCH('hydrogen - electrolysis'!B2824&amp;'hydrogen - electrolysis'!B2826,parameters!$A$4:$A$20,0),MATCH('hydrogen - electrolysis'!A2840,parameters!$D$3:$N$3,0))</f>
        <v>1.4999999999999999E-2</v>
      </c>
    </row>
    <row r="2841" spans="1:2" x14ac:dyDescent="0.2">
      <c r="A2841" t="s">
        <v>43</v>
      </c>
      <c r="B2841" s="46">
        <f>INDEX(parameters!$D$4:$N$20,MATCH('hydrogen - electrolysis'!B2824&amp;'hydrogen - electrolysis'!B2826,parameters!$A$4:$A$20,0),MATCH('hydrogen - electrolysis'!A2841,parameters!$D$3:$N$3,0))</f>
        <v>0</v>
      </c>
    </row>
    <row r="2842" spans="1:2" x14ac:dyDescent="0.2">
      <c r="A2842" t="s">
        <v>44</v>
      </c>
      <c r="B2842" s="46">
        <f>INDEX(parameters!$D$4:$N$20,MATCH('hydrogen - electrolysis'!B2824&amp;'hydrogen - electrolysis'!B2826,parameters!$A$4:$A$20,0),MATCH('hydrogen - electrolysis'!A2842,parameters!$D$3:$N$3,0))</f>
        <v>0</v>
      </c>
    </row>
    <row r="2843" spans="1:2" x14ac:dyDescent="0.2">
      <c r="A2843" t="s">
        <v>634</v>
      </c>
      <c r="B2843" s="51">
        <f>INDEX(parameters!$D$4:$Y$20,MATCH('hydrogen - electrolysis'!B2824&amp;'hydrogen - electrolysis'!B2826,parameters!$A$4:$A$20,0),MATCH('hydrogen - electrolysis'!A2843,parameters!$D$3:$Y$3,0))</f>
        <v>351.41800246609125</v>
      </c>
    </row>
    <row r="2844" spans="1:2" x14ac:dyDescent="0.2">
      <c r="A2844" t="s">
        <v>82</v>
      </c>
      <c r="B2844" s="46">
        <f>IF(B2835&lt;&gt;0,VLOOKUP(B2835,parameters!A1895:B1897,2,0),0)</f>
        <v>0</v>
      </c>
    </row>
    <row r="2845" spans="1:2" x14ac:dyDescent="0.2">
      <c r="A2845" t="s">
        <v>548</v>
      </c>
      <c r="B2845" s="50">
        <f>INDEX(parameters!$D$4:$P$20,MATCH(B2824&amp;B2826,parameters!$A$4:$A$20,0),MATCH(A2845,parameters!$D$3:$P$3,0))</f>
        <v>125</v>
      </c>
    </row>
    <row r="2846" spans="1:2" x14ac:dyDescent="0.2">
      <c r="A2846" t="s">
        <v>547</v>
      </c>
      <c r="B2846" s="51">
        <f>INDEX(parameters!$D$4:$P$20,MATCH(B2824&amp;B2826,parameters!$A$4:$A$20,0),MATCH(A2846,parameters!$D$3:$P$3,0))</f>
        <v>19.512195121951219</v>
      </c>
    </row>
    <row r="2847" spans="1:2" x14ac:dyDescent="0.2">
      <c r="A2847" t="s">
        <v>630</v>
      </c>
      <c r="B2847" s="51">
        <f>INDEX(parameters!$D$4:$T$20,MATCH(B2824&amp;B2826,parameters!$A$4:$A$20,0),MATCH(A2847,parameters!$D$3:$T$3,0))</f>
        <v>4100</v>
      </c>
    </row>
    <row r="2848" spans="1:2" x14ac:dyDescent="0.2">
      <c r="A2848" t="s">
        <v>1005</v>
      </c>
      <c r="B2848" s="50">
        <f>IF(B2820="megajoule",SUMIFS(allocation!$I$4:$I$30,allocation!$B$4:$B$30,B2826,allocation!$C$4:$C$30,B2827),SUMIFS(allocation!$J$4:$J$30,allocation!$B$4:$B$30,B2826,allocation!$C$4:$C$30,B2827))</f>
        <v>0.87139957772704957</v>
      </c>
    </row>
    <row r="2849" spans="1:22" x14ac:dyDescent="0.2">
      <c r="A2849" t="s">
        <v>1050</v>
      </c>
      <c r="B2849" s="51">
        <f>INDEX(parameters!$D$4:$AB$20,MATCH(B2824&amp;B2826,parameters!$A$4:$A$20,0),MATCH(A2849,parameters!$D$3:$AB$3,0))</f>
        <v>2220.7364520822662</v>
      </c>
    </row>
    <row r="2851" spans="1:22" x14ac:dyDescent="0.2">
      <c r="A2851" s="3" t="s">
        <v>57</v>
      </c>
    </row>
    <row r="2852" spans="1:22" x14ac:dyDescent="0.2">
      <c r="A2852" s="2" t="s">
        <v>58</v>
      </c>
      <c r="B2852" s="44" t="s">
        <v>59</v>
      </c>
      <c r="C2852" s="2" t="s">
        <v>55</v>
      </c>
      <c r="D2852" s="2" t="s">
        <v>60</v>
      </c>
      <c r="E2852" s="2" t="s">
        <v>52</v>
      </c>
      <c r="F2852" s="2" t="s">
        <v>61</v>
      </c>
      <c r="G2852" s="2" t="s">
        <v>54</v>
      </c>
      <c r="H2852" s="2" t="s">
        <v>87</v>
      </c>
      <c r="I2852" s="2" t="s">
        <v>51</v>
      </c>
      <c r="J2852" s="2" t="s">
        <v>138</v>
      </c>
      <c r="K2852" s="2" t="s">
        <v>136</v>
      </c>
      <c r="L2852" s="2" t="s">
        <v>221</v>
      </c>
      <c r="M2852" s="2" t="s">
        <v>379</v>
      </c>
      <c r="N2852" s="2" t="s">
        <v>1059</v>
      </c>
      <c r="O2852" s="2" t="s">
        <v>1060</v>
      </c>
      <c r="P2852" s="2" t="s">
        <v>1061</v>
      </c>
      <c r="Q2852" s="2" t="s">
        <v>1062</v>
      </c>
      <c r="R2852" s="2" t="s">
        <v>1063</v>
      </c>
      <c r="S2852" s="2" t="s">
        <v>1064</v>
      </c>
      <c r="T2852" s="2" t="s">
        <v>1065</v>
      </c>
      <c r="U2852" s="2" t="s">
        <v>380</v>
      </c>
      <c r="V2852" s="2" t="s">
        <v>1128</v>
      </c>
    </row>
    <row r="2853" spans="1:22" x14ac:dyDescent="0.2">
      <c r="A2853" t="str">
        <f>B2814</f>
        <v>electricity, residential, by combustion of hydrogen using CHP, allocated by exergy, transported by pipeline, produced by Electrolysis, PEM using water and electricity from Solar PV (CH)</v>
      </c>
      <c r="B2853" s="45">
        <v>1</v>
      </c>
      <c r="C2853" t="str">
        <f>B2820</f>
        <v>kilowatt hour</v>
      </c>
      <c r="E2853" t="str">
        <f>B2817</f>
        <v>CH</v>
      </c>
      <c r="F2853" t="s">
        <v>62</v>
      </c>
      <c r="G2853" t="str">
        <f>B2819</f>
        <v>electricity, from residential heating system</v>
      </c>
      <c r="K2853" t="str">
        <f>B2814</f>
        <v>electricity, residential, by combustion of hydrogen using CHP, allocated by exergy, transported by pipeline, produced by Electrolysis, PEM using water and electricity from Solar PV (CH)</v>
      </c>
    </row>
    <row r="2854" spans="1:22" x14ac:dyDescent="0.2">
      <c r="A2854" t="str">
        <f>VLOOKUP(J2854,'dataset mapping'!$A$4:$E$69,2,0)</f>
        <v>heat and power co-generation unit construction, 160kW electrical, common components for heat+electricity</v>
      </c>
      <c r="B2854" s="52">
        <f>(1/(B2843*B2847*B2846))*B2848</f>
        <v>3.0995835856870056E-8</v>
      </c>
      <c r="C2854" t="str">
        <f>VLOOKUP(J2854,'dataset mapping'!$A$4:$E$69,5,0)</f>
        <v>unit</v>
      </c>
      <c r="E2854" t="str">
        <f>VLOOKUP(J2854,'dataset mapping'!$A$4:$E$69,4,0)</f>
        <v>RER</v>
      </c>
      <c r="F2854" t="s">
        <v>86</v>
      </c>
      <c r="G2854" t="str">
        <f>VLOOKUP(J2854,'dataset mapping'!$A$4:$E$69,3,0)</f>
        <v>heat and power co-generation unit, 160kW electrical, common components for heat+electricity</v>
      </c>
      <c r="H2854" t="s">
        <v>88</v>
      </c>
      <c r="J2854" t="s">
        <v>145</v>
      </c>
      <c r="K2854" t="str">
        <f>B2814</f>
        <v>electricity, residential, by combustion of hydrogen using CHP, allocated by exergy, transported by pipeline, produced by Electrolysis, PEM using water and electricity from Solar PV (CH)</v>
      </c>
      <c r="L2854">
        <f t="shared" ref="L2854:L2861" si="92">IF(OR(B2854&lt;0,B2854=0),1,2)</f>
        <v>2</v>
      </c>
      <c r="M2854">
        <f t="shared" ref="M2854:M2861" si="93">IF(L2854=2,LN(B2854),"")</f>
        <v>-17.28941296868171</v>
      </c>
      <c r="N2854">
        <v>1.05</v>
      </c>
      <c r="O2854" s="15">
        <v>1.2</v>
      </c>
      <c r="P2854">
        <v>1</v>
      </c>
      <c r="Q2854">
        <v>1.01</v>
      </c>
      <c r="R2854">
        <v>1.2</v>
      </c>
      <c r="S2854">
        <v>1.2</v>
      </c>
      <c r="T2854">
        <v>3</v>
      </c>
      <c r="U2854">
        <f t="shared" ref="U2854:U2861" si="94">LN(SQRT(EXP(
SQRT(
+POWER(LN(N2854),2)
+POWER(LN(O2854),2)
+POWER(LN(P2854),2)
+POWER(LN(Q2854),2)
+POWER(LN(R2854),2)
+POWER(LN(S2854),2)
+POWER(LN(T2854),2)
)
)))</f>
        <v>0.57209088006881903</v>
      </c>
    </row>
    <row r="2855" spans="1:22" x14ac:dyDescent="0.2">
      <c r="A2855" t="str">
        <f>VLOOKUP(J2855,'dataset mapping'!$A$4:$E$69,2,0)</f>
        <v>heat and power co-generation unit construction, 160kW electrical, components for electricity only</v>
      </c>
      <c r="B2855" s="52">
        <f>(1/(B2843*B2847*B2846))*B2848</f>
        <v>3.0995835856870056E-8</v>
      </c>
      <c r="C2855" t="str">
        <f>VLOOKUP(J2855,'dataset mapping'!$A$4:$E$69,5,0)</f>
        <v>unit</v>
      </c>
      <c r="E2855" t="str">
        <f>VLOOKUP(J2855,'dataset mapping'!$A$4:$E$69,4,0)</f>
        <v>RER</v>
      </c>
      <c r="F2855" t="s">
        <v>86</v>
      </c>
      <c r="G2855" t="str">
        <f>VLOOKUP(J2855,'dataset mapping'!$A$4:$E$69,3,0)</f>
        <v>heat and power co-generation unit, 160kW electrical, components for electricity only</v>
      </c>
      <c r="H2855" t="s">
        <v>88</v>
      </c>
      <c r="J2855" t="s">
        <v>146</v>
      </c>
      <c r="K2855" t="str">
        <f>B2814</f>
        <v>electricity, residential, by combustion of hydrogen using CHP, allocated by exergy, transported by pipeline, produced by Electrolysis, PEM using water and electricity from Solar PV (CH)</v>
      </c>
      <c r="L2855">
        <f t="shared" si="92"/>
        <v>2</v>
      </c>
      <c r="M2855">
        <f t="shared" si="93"/>
        <v>-17.28941296868171</v>
      </c>
      <c r="N2855">
        <v>1.05</v>
      </c>
      <c r="O2855" s="15">
        <v>1.2</v>
      </c>
      <c r="P2855">
        <v>1</v>
      </c>
      <c r="Q2855">
        <v>1.01</v>
      </c>
      <c r="R2855">
        <v>1.2</v>
      </c>
      <c r="S2855">
        <v>1.2</v>
      </c>
      <c r="T2855">
        <v>3</v>
      </c>
      <c r="U2855">
        <f t="shared" si="94"/>
        <v>0.57209088006881903</v>
      </c>
    </row>
    <row r="2856" spans="1:22" x14ac:dyDescent="0.2">
      <c r="A2856" t="str">
        <f>VLOOKUP(J2856,'dataset mapping'!$A$4:$E$69,2,0)</f>
        <v>heat and power co-generation unit construction, 160kW electrical, components for heat only</v>
      </c>
      <c r="B2856" s="52">
        <f>(1/(B2843*B2847*B2846))*B2848</f>
        <v>3.0995835856870056E-8</v>
      </c>
      <c r="C2856" t="str">
        <f>VLOOKUP(J2856,'dataset mapping'!$A$4:$E$69,5,0)</f>
        <v>unit</v>
      </c>
      <c r="E2856" t="str">
        <f>VLOOKUP(J2856,'dataset mapping'!$A$4:$E$69,4,0)</f>
        <v>RER</v>
      </c>
      <c r="F2856" t="s">
        <v>86</v>
      </c>
      <c r="G2856" t="str">
        <f>VLOOKUP(J2856,'dataset mapping'!$A$4:$E$69,3,0)</f>
        <v>heat and power co-generation unit, 160kW electrical, components for heat only</v>
      </c>
      <c r="H2856" t="s">
        <v>88</v>
      </c>
      <c r="J2856" t="s">
        <v>147</v>
      </c>
      <c r="K2856" t="str">
        <f>B2814</f>
        <v>electricity, residential, by combustion of hydrogen using CHP, allocated by exergy, transported by pipeline, produced by Electrolysis, PEM using water and electricity from Solar PV (CH)</v>
      </c>
      <c r="L2856">
        <f t="shared" si="92"/>
        <v>2</v>
      </c>
      <c r="M2856">
        <f t="shared" si="93"/>
        <v>-17.28941296868171</v>
      </c>
      <c r="N2856">
        <v>1.05</v>
      </c>
      <c r="O2856" s="15">
        <v>1.2</v>
      </c>
      <c r="P2856">
        <v>1</v>
      </c>
      <c r="Q2856">
        <v>1.01</v>
      </c>
      <c r="R2856">
        <v>1.2</v>
      </c>
      <c r="S2856">
        <v>1.2</v>
      </c>
      <c r="T2856">
        <v>3</v>
      </c>
      <c r="U2856">
        <f t="shared" si="94"/>
        <v>0.57209088006881903</v>
      </c>
    </row>
    <row r="2857" spans="1:22" x14ac:dyDescent="0.2">
      <c r="A2857" t="s">
        <v>156</v>
      </c>
      <c r="B2857" s="52">
        <f>0.00000011366*B2848</f>
        <v>9.9043276004456456E-8</v>
      </c>
      <c r="C2857" t="s">
        <v>56</v>
      </c>
      <c r="E2857" t="s">
        <v>90</v>
      </c>
      <c r="F2857" t="s">
        <v>86</v>
      </c>
      <c r="G2857" t="s">
        <v>154</v>
      </c>
      <c r="H2857" t="s">
        <v>155</v>
      </c>
      <c r="K2857" t="str">
        <f>B2814</f>
        <v>electricity, residential, by combustion of hydrogen using CHP, allocated by exergy, transported by pipeline, produced by Electrolysis, PEM using water and electricity from Solar PV (CH)</v>
      </c>
      <c r="L2857">
        <f t="shared" si="92"/>
        <v>2</v>
      </c>
      <c r="M2857">
        <f t="shared" si="93"/>
        <v>-16.127708950967754</v>
      </c>
      <c r="N2857">
        <v>1.05</v>
      </c>
      <c r="O2857" s="15">
        <v>1.2</v>
      </c>
      <c r="P2857">
        <v>1</v>
      </c>
      <c r="Q2857">
        <v>1.01</v>
      </c>
      <c r="R2857">
        <v>1.2</v>
      </c>
      <c r="S2857">
        <v>1.2</v>
      </c>
      <c r="T2857">
        <v>1.05</v>
      </c>
      <c r="U2857">
        <f t="shared" si="94"/>
        <v>0.16169679924070957</v>
      </c>
    </row>
    <row r="2858" spans="1:22" x14ac:dyDescent="0.2">
      <c r="A2858" t="s">
        <v>157</v>
      </c>
      <c r="B2858" s="52">
        <f>0.00000011366*B2848*-1</f>
        <v>-9.9043276004456456E-8</v>
      </c>
      <c r="C2858" t="s">
        <v>56</v>
      </c>
      <c r="E2858" t="s">
        <v>64</v>
      </c>
      <c r="F2858" t="s">
        <v>86</v>
      </c>
      <c r="G2858" t="s">
        <v>158</v>
      </c>
      <c r="H2858" t="s">
        <v>155</v>
      </c>
      <c r="K2858" t="str">
        <f>B2814</f>
        <v>electricity, residential, by combustion of hydrogen using CHP, allocated by exergy, transported by pipeline, produced by Electrolysis, PEM using water and electricity from Solar PV (CH)</v>
      </c>
      <c r="L2858">
        <v>2</v>
      </c>
      <c r="M2858">
        <f>IF(L2858=2,LN(B2858*-1),"")</f>
        <v>-16.127708950967754</v>
      </c>
      <c r="N2858">
        <v>1.05</v>
      </c>
      <c r="O2858" s="15">
        <v>1.2</v>
      </c>
      <c r="P2858">
        <v>1</v>
      </c>
      <c r="Q2858">
        <v>1.01</v>
      </c>
      <c r="R2858">
        <v>1.2</v>
      </c>
      <c r="S2858">
        <v>1.2</v>
      </c>
      <c r="T2858">
        <v>3</v>
      </c>
      <c r="U2858">
        <f>LN(SQRT(EXP(
SQRT(
+POWER(LN(N2858),2)
+POWER(LN(O2858),2)
+POWER(LN(P2858),2)
+POWER(LN(Q2858),2)
+POWER(LN(R2858),2)
+POWER(LN(S2858),2)
+POWER(LN(T2858),2)
)
)))</f>
        <v>0.57209088006881903</v>
      </c>
      <c r="V2858" t="b">
        <v>1</v>
      </c>
    </row>
    <row r="2859" spans="1:22" x14ac:dyDescent="0.2">
      <c r="A2859" s="45" t="str">
        <f>"hydrogen supply, transported by "&amp;B2828&amp;", produced by "&amp;B2832&amp;" using "&amp;B2833&amp;" from "&amp;B2834</f>
        <v>hydrogen supply, transported by pipeline, produced by Electrolysis, PEM using water and electricity from Solar PV (CH)</v>
      </c>
      <c r="B2859" s="53">
        <f>(B2853/B2837)/B2836*B2848</f>
        <v>6.6350221654343872E-2</v>
      </c>
      <c r="C2859" t="str">
        <f>VLOOKUP(J2859,'dataset mapping'!$A$4:$E$69,5,0)</f>
        <v>kilogram</v>
      </c>
      <c r="E2859" t="str">
        <f>VLOOKUP(J2859,'dataset mapping'!$A$4:$E$69,4,0)</f>
        <v>CH</v>
      </c>
      <c r="F2859" t="s">
        <v>86</v>
      </c>
      <c r="G2859" t="str">
        <f>"hydrogen, gaseous, from "&amp;B1469</f>
        <v>hydrogen, gaseous, from pipeline</v>
      </c>
      <c r="H2859" t="s">
        <v>76</v>
      </c>
      <c r="I2859" t="s">
        <v>1054</v>
      </c>
      <c r="J2859" t="s">
        <v>292</v>
      </c>
      <c r="K2859" t="str">
        <f>B2814</f>
        <v>electricity, residential, by combustion of hydrogen using CHP, allocated by exergy, transported by pipeline, produced by Electrolysis, PEM using water and electricity from Solar PV (CH)</v>
      </c>
      <c r="L2859">
        <f t="shared" si="92"/>
        <v>2</v>
      </c>
      <c r="M2859">
        <f t="shared" si="93"/>
        <v>-2.7128081775260964</v>
      </c>
      <c r="N2859">
        <v>1.05</v>
      </c>
      <c r="O2859" s="15">
        <v>1.2</v>
      </c>
      <c r="P2859">
        <v>1</v>
      </c>
      <c r="Q2859">
        <v>1.01</v>
      </c>
      <c r="R2859">
        <v>1.2</v>
      </c>
      <c r="S2859">
        <v>1.2</v>
      </c>
      <c r="T2859">
        <v>1.05</v>
      </c>
      <c r="U2859">
        <f t="shared" si="94"/>
        <v>0.16169679924070957</v>
      </c>
    </row>
    <row r="2860" spans="1:22" x14ac:dyDescent="0.2">
      <c r="A2860" t="s">
        <v>134</v>
      </c>
      <c r="B2860" s="45">
        <f>B2859*9</f>
        <v>0.59715199488909487</v>
      </c>
      <c r="C2860" t="s">
        <v>56</v>
      </c>
      <c r="D2860" t="s">
        <v>100</v>
      </c>
      <c r="F2860" t="s">
        <v>99</v>
      </c>
      <c r="H2860" t="s">
        <v>131</v>
      </c>
      <c r="I2860" t="s">
        <v>1058</v>
      </c>
      <c r="K2860" t="str">
        <f>B2814</f>
        <v>electricity, residential, by combustion of hydrogen using CHP, allocated by exergy, transported by pipeline, produced by Electrolysis, PEM using water and electricity from Solar PV (CH)</v>
      </c>
      <c r="L2860">
        <f t="shared" si="92"/>
        <v>2</v>
      </c>
      <c r="M2860">
        <f t="shared" si="93"/>
        <v>-0.51558360018987692</v>
      </c>
      <c r="N2860">
        <v>1.05</v>
      </c>
      <c r="O2860" s="15">
        <v>1.2</v>
      </c>
      <c r="P2860">
        <v>1</v>
      </c>
      <c r="Q2860">
        <v>1.01</v>
      </c>
      <c r="R2860">
        <v>1.2</v>
      </c>
      <c r="S2860">
        <v>1.2</v>
      </c>
      <c r="T2860">
        <v>1.05</v>
      </c>
      <c r="U2860">
        <f t="shared" si="94"/>
        <v>0.16169679924070957</v>
      </c>
    </row>
    <row r="2861" spans="1:22" x14ac:dyDescent="0.2">
      <c r="A2861" t="s">
        <v>135</v>
      </c>
      <c r="B2861" s="45">
        <f>912.5/1000000*B2859</f>
        <v>6.0544577259588785E-5</v>
      </c>
      <c r="C2861" t="s">
        <v>56</v>
      </c>
      <c r="D2861" t="s">
        <v>100</v>
      </c>
      <c r="F2861" t="s">
        <v>99</v>
      </c>
      <c r="H2861" t="s">
        <v>131</v>
      </c>
      <c r="I2861" t="s">
        <v>1217</v>
      </c>
      <c r="K2861" t="str">
        <f>B2814</f>
        <v>electricity, residential, by combustion of hydrogen using CHP, allocated by exergy, transported by pipeline, produced by Electrolysis, PEM using water and electricity from Solar PV (CH)</v>
      </c>
      <c r="L2861">
        <f t="shared" si="92"/>
        <v>2</v>
      </c>
      <c r="M2861">
        <f t="shared" si="93"/>
        <v>-9.712130650033723</v>
      </c>
      <c r="N2861">
        <v>1.05</v>
      </c>
      <c r="O2861" s="15">
        <v>1.2</v>
      </c>
      <c r="P2861">
        <v>1</v>
      </c>
      <c r="Q2861">
        <v>1.01</v>
      </c>
      <c r="R2861">
        <v>1.2</v>
      </c>
      <c r="S2861">
        <v>1.2</v>
      </c>
      <c r="T2861">
        <v>1.5</v>
      </c>
      <c r="U2861">
        <f t="shared" si="94"/>
        <v>0.25816898211842121</v>
      </c>
    </row>
    <row r="2863" spans="1:22" x14ac:dyDescent="0.2">
      <c r="A2863" s="2" t="s">
        <v>50</v>
      </c>
      <c r="B2863" s="44" t="str">
        <f>IF(B2869="megajoule","heat","electricity")&amp;", residential, by "&amp;B2874&amp;" of "&amp;B2873&amp;" using "&amp;B2875&amp;IF(B2876&lt;&gt;0,", allocated by "&amp;B2876,"")&amp;", transported by "&amp;B2877&amp;", produced by "&amp;B2881&amp;" using "&amp;B2882&amp;" from "&amp;B2883</f>
        <v>electricity, residential, by conversion of hydrogen using fuel cell, PEM, allocated by exergy, transported by pipeline, produced by Electrolysis, PEM using water and electricity from Solar PV (CH)</v>
      </c>
    </row>
    <row r="2864" spans="1:22" x14ac:dyDescent="0.2">
      <c r="A2864" t="s">
        <v>51</v>
      </c>
      <c r="B2864" s="45" t="str">
        <f>"This dataset represents the supply of 1 "&amp;IF(B2869="megajoule","megajoule of heat","kilowatt hour of electricity")&amp;" in a residence, by "&amp;B2873&amp;" "&amp;B2874&amp;" in a "&amp;B2875&amp;". "&amp;" The hydrogen is transported by "&amp;B2877&amp;" over "&amp;B2878&amp;" km from regional storage. "&amp;" The "&amp;B2873&amp;" is produced by  "&amp;B2881&amp;", with "&amp;B2882&amp;" from "&amp;B2883&amp;" as feedstock. "&amp;A2885&amp;": "&amp;(B2885*100)&amp;"%. "&amp;A2886&amp;": "&amp;B2886&amp;". "&amp;A2887&amp;": "&amp;B2887&amp;". "&amp;A2888&amp;": "&amp;(B2888*100)&amp;"%. "&amp;A2889&amp;": "&amp;(B2889*100)&amp;"%. "&amp;A2890&amp;": "&amp;(B2890*100)&amp;"%. "&amp;A2891&amp;": "&amp;B2891&amp;". "&amp;A2892&amp;": "&amp;B2892&amp;". "&amp;A2893&amp;": "&amp;(B2893*100)&amp;"%. "&amp;A2894&amp;": "&amp;B2894&amp;". "&amp;A2895&amp;": "&amp;B2895&amp;". "&amp;A2896&amp;": "&amp;B2896&amp;". "&amp;A2897&amp;": "&amp;B2897&amp;".  For more information, refer to: "&amp;B2865</f>
        <v>This dataset represents the supply of 1 kilowatt hour of electricity in a residence, by hydrogen conversion in a fuel cell, PEM.  The hydrogen is transported by pipeline over 500 km from regional storage.  The hydrogen is produced by  Electrolysis, PEM, with water and electricity from Solar PV (CH)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2865" spans="1:2" x14ac:dyDescent="0.2">
      <c r="A2865" t="s">
        <v>63</v>
      </c>
      <c r="B2865" s="45" t="s">
        <v>1223</v>
      </c>
    </row>
    <row r="2866" spans="1:2" x14ac:dyDescent="0.2">
      <c r="A2866" t="s">
        <v>52</v>
      </c>
      <c r="B2866" s="45" t="s">
        <v>64</v>
      </c>
    </row>
    <row r="2867" spans="1:2" x14ac:dyDescent="0.2">
      <c r="A2867" t="s">
        <v>48</v>
      </c>
      <c r="B2867" s="45" t="s">
        <v>890</v>
      </c>
    </row>
    <row r="2868" spans="1:2" x14ac:dyDescent="0.2">
      <c r="A2868" t="s">
        <v>54</v>
      </c>
      <c r="B2868" s="45" t="str">
        <f>INDEX(overview!$B$4:$R$338,MATCH('hydrogen - electrolysis'!B2867,overview!$A$4:$A$338,0),MATCH('hydrogen - electrolysis'!A2868,overview!$B$3:$R$3,0))</f>
        <v>electricity, from residential heating system</v>
      </c>
    </row>
    <row r="2869" spans="1:2" x14ac:dyDescent="0.2">
      <c r="A2869" t="s">
        <v>55</v>
      </c>
      <c r="B2869" s="45" t="str">
        <f>INDEX(overview!$B$4:$R$338,MATCH('hydrogen - electrolysis'!B2867,overview!$A$4:$A$338,0),MATCH('hydrogen - electrolysis'!A2869,overview!$B$3:$R$3,0))</f>
        <v>kilowatt hour</v>
      </c>
    </row>
    <row r="2870" spans="1:2" x14ac:dyDescent="0.2">
      <c r="A2870" t="s">
        <v>0</v>
      </c>
      <c r="B2870" s="45" t="str">
        <f>INDEX(overview!$B$4:$R$338,MATCH('hydrogen - electrolysis'!B2867,overview!$A$4:$A$338,0),MATCH('hydrogen - electrolysis'!A2870,overview!$B$3:$R$3,0))</f>
        <v>Switzerland</v>
      </c>
    </row>
    <row r="2871" spans="1:2" x14ac:dyDescent="0.2">
      <c r="A2871" t="s">
        <v>1</v>
      </c>
      <c r="B2871" s="45">
        <f>INDEX(overview!$B$4:$R$338,MATCH('hydrogen - electrolysis'!B2867,overview!$A$4:$A$338,0),MATCH('hydrogen - electrolysis'!A2871,overview!$B$3:$R$3,0))</f>
        <v>2020</v>
      </c>
    </row>
    <row r="2872" spans="1:2" x14ac:dyDescent="0.2">
      <c r="A2872" t="s">
        <v>2</v>
      </c>
      <c r="B2872" s="45" t="str">
        <f>INDEX(overview!$B$4:$R$338,MATCH('hydrogen - electrolysis'!B2867,overview!$A$4:$A$338,0),MATCH('hydrogen - electrolysis'!A2872,overview!$B$3:$R$3,0))</f>
        <v>1 kWh electricity</v>
      </c>
    </row>
    <row r="2873" spans="1:2" x14ac:dyDescent="0.2">
      <c r="A2873" t="s">
        <v>5</v>
      </c>
      <c r="B2873" s="45" t="str">
        <f>INDEX(overview!$B$4:$R$338,MATCH('hydrogen - electrolysis'!B2867,overview!$A$4:$A$338,0),MATCH('hydrogen - electrolysis'!A2873,overview!$B$3:$R$3,0))</f>
        <v>hydrogen</v>
      </c>
    </row>
    <row r="2874" spans="1:2" x14ac:dyDescent="0.2">
      <c r="A2874" t="s">
        <v>3</v>
      </c>
      <c r="B2874" s="45" t="str">
        <f>INDEX(overview!$B$4:$R$338,MATCH('hydrogen - electrolysis'!B2867,overview!$A$4:$A$338,0),MATCH('hydrogen - electrolysis'!A2874,overview!$B$3:$R$3,0))</f>
        <v>conversion</v>
      </c>
    </row>
    <row r="2875" spans="1:2" x14ac:dyDescent="0.2">
      <c r="A2875" t="s">
        <v>6</v>
      </c>
      <c r="B2875" s="45" t="str">
        <f>INDEX(overview!$B$4:$R$338,MATCH('hydrogen - electrolysis'!B2867,overview!$A$4:$A$338,0),MATCH('hydrogen - electrolysis'!A2875,overview!$B$3:$R$3,0))</f>
        <v>fuel cell, PEM</v>
      </c>
    </row>
    <row r="2876" spans="1:2" x14ac:dyDescent="0.2">
      <c r="A2876" t="s">
        <v>39</v>
      </c>
      <c r="B2876" s="45" t="str">
        <f>INDEX(overview!$B$4:$R$338,MATCH('hydrogen - electrolysis'!B2867,overview!$A$4:$A$338,0),MATCH('hydrogen - electrolysis'!A2876,overview!$B$3:$R$3,0))</f>
        <v>exergy</v>
      </c>
    </row>
    <row r="2877" spans="1:2" x14ac:dyDescent="0.2">
      <c r="A2877" t="s">
        <v>4</v>
      </c>
      <c r="B2877" s="45" t="str">
        <f>INDEX(overview!$B$4:$R$338,MATCH('hydrogen - electrolysis'!B2867,overview!$A$4:$A$338,0),MATCH('hydrogen - electrolysis'!A2877,overview!$B$3:$R$3,0))</f>
        <v>pipeline</v>
      </c>
    </row>
    <row r="2878" spans="1:2" x14ac:dyDescent="0.2">
      <c r="A2878" t="s">
        <v>38</v>
      </c>
      <c r="B2878" s="45">
        <f>INDEX(overview!$B$4:$R$338,MATCH('hydrogen - electrolysis'!B2867,overview!$A$4:$A$338,0),MATCH('hydrogen - electrolysis'!A2878,overview!$B$3:$R$3,0))</f>
        <v>500</v>
      </c>
    </row>
    <row r="2879" spans="1:2" x14ac:dyDescent="0.2">
      <c r="A2879" t="s">
        <v>12</v>
      </c>
      <c r="B2879" s="45" t="str">
        <f>INDEX(overview!$B$4:$R$338,MATCH('hydrogen - electrolysis'!B2867,overview!$A$4:$A$338,0),MATCH('hydrogen - electrolysis'!A2879,overview!$B$3:$R$3,0))</f>
        <v>Pressure vessel for stationary storage</v>
      </c>
    </row>
    <row r="2880" spans="1:2" x14ac:dyDescent="0.2">
      <c r="A2880" t="s">
        <v>34</v>
      </c>
      <c r="B2880" s="45">
        <f>INDEX(overview!$B$4:$R$338,MATCH('hydrogen - electrolysis'!B2867,overview!$A$4:$A$338,0),MATCH('hydrogen - electrolysis'!A2880,overview!$B$3:$R$3,0))</f>
        <v>0</v>
      </c>
    </row>
    <row r="2881" spans="1:2" x14ac:dyDescent="0.2">
      <c r="A2881" t="s">
        <v>15</v>
      </c>
      <c r="B2881" s="45" t="str">
        <f>INDEX(overview!$B$4:$R$338,MATCH('hydrogen - electrolysis'!B2867,overview!$A$4:$A$338,0),MATCH('hydrogen - electrolysis'!A2881,overview!$B$3:$R$3,0))</f>
        <v>Electrolysis, PEM</v>
      </c>
    </row>
    <row r="2882" spans="1:2" x14ac:dyDescent="0.2">
      <c r="A2882" t="s">
        <v>14</v>
      </c>
      <c r="B2882" s="45" t="str">
        <f>INDEX(overview!$B$4:$R$338,MATCH('hydrogen - electrolysis'!B2867,overview!$A$4:$A$338,0),MATCH('hydrogen - electrolysis'!A2882,overview!$B$3:$R$3,0))</f>
        <v>water and electricity</v>
      </c>
    </row>
    <row r="2883" spans="1:2" x14ac:dyDescent="0.2">
      <c r="A2883" t="s">
        <v>26</v>
      </c>
      <c r="B2883" s="45" t="str">
        <f>INDEX(overview!$B$4:$R$338,MATCH('hydrogen - electrolysis'!B2867,overview!$A$4:$A$338,0),MATCH('hydrogen - electrolysis'!A2883,overview!$B$3:$R$3,0))</f>
        <v>Solar PV (CH)</v>
      </c>
    </row>
    <row r="2884" spans="1:2" x14ac:dyDescent="0.2">
      <c r="A2884" t="s">
        <v>29</v>
      </c>
      <c r="B2884" s="45">
        <f>INDEX(overview!$B$4:$R$338,MATCH('hydrogen - electrolysis'!B2867,overview!$A$4:$A$338,0),MATCH('hydrogen - electrolysis'!A2884,overview!$B$3:$R$3,0))</f>
        <v>0</v>
      </c>
    </row>
    <row r="2885" spans="1:2" x14ac:dyDescent="0.2">
      <c r="A2885" t="str">
        <f>IF(B2869="megajoule","Heat","Electricity")&amp;" conversion efficiency [% LHV input]"</f>
        <v>Electricity conversion efficiency [% LHV input]</v>
      </c>
      <c r="B2885" s="46">
        <f>INDEX(parameters!$D$4:$N$20,MATCH('hydrogen - electrolysis'!B2873&amp;'hydrogen - electrolysis'!B2875,parameters!$A$4:$A$20,0),MATCH('hydrogen - electrolysis'!A2885,parameters!$D$3:$N$3,0))</f>
        <v>0.45</v>
      </c>
    </row>
    <row r="2886" spans="1:2" x14ac:dyDescent="0.2">
      <c r="A2886" t="str">
        <f>IF(B2869="megajoule","LHV [MJ/kg]","LHV [kWh/kg]")</f>
        <v>LHV [kWh/kg]</v>
      </c>
      <c r="B2886" s="47">
        <f>INDEX(parameters!$D$4:$N$20,MATCH('hydrogen - electrolysis'!B2873&amp;'hydrogen - electrolysis'!B2875,parameters!$A$4:$A$20,0),MATCH('hydrogen - electrolysis'!A2886,parameters!$D$3:$N$3,0))</f>
        <v>33.333333333333336</v>
      </c>
    </row>
    <row r="2887" spans="1:2" x14ac:dyDescent="0.2">
      <c r="A2887" t="s">
        <v>41</v>
      </c>
      <c r="B2887" s="48">
        <f>INDEX(parameters!$D$4:$N$20,MATCH('hydrogen - electrolysis'!B2873&amp;'hydrogen - electrolysis'!B2875,parameters!$A$4:$A$20,0),MATCH('hydrogen - electrolysis'!A2887,parameters!$D$3:$N$3,0))</f>
        <v>2.6666666666666665E-2</v>
      </c>
    </row>
    <row r="2888" spans="1:2" x14ac:dyDescent="0.2">
      <c r="A2888" t="s">
        <v>45</v>
      </c>
      <c r="B2888" s="46">
        <f>INDEX(parameters!$D$4:$N$20,MATCH('hydrogen - electrolysis'!B2873&amp;'hydrogen - electrolysis'!B2875,parameters!$A$4:$A$20,0),MATCH('hydrogen - electrolysis'!A2888,parameters!$D$3:$N$3,0))</f>
        <v>0</v>
      </c>
    </row>
    <row r="2889" spans="1:2" x14ac:dyDescent="0.2">
      <c r="A2889" t="s">
        <v>46</v>
      </c>
      <c r="B2889" s="46">
        <f>INDEX(parameters!$D$4:$N$20,MATCH('hydrogen - electrolysis'!B2873&amp;'hydrogen - electrolysis'!B2875,parameters!$A$4:$A$20,0),MATCH('hydrogen - electrolysis'!A2889,parameters!$D$3:$N$3,0))</f>
        <v>1.4999999999999999E-2</v>
      </c>
    </row>
    <row r="2890" spans="1:2" x14ac:dyDescent="0.2">
      <c r="A2890" t="s">
        <v>43</v>
      </c>
      <c r="B2890" s="46">
        <f>INDEX(parameters!$D$4:$N$20,MATCH('hydrogen - electrolysis'!B2873&amp;'hydrogen - electrolysis'!B2875,parameters!$A$4:$A$20,0),MATCH('hydrogen - electrolysis'!A2890,parameters!$D$3:$N$3,0))</f>
        <v>0</v>
      </c>
    </row>
    <row r="2891" spans="1:2" x14ac:dyDescent="0.2">
      <c r="A2891" t="s">
        <v>44</v>
      </c>
      <c r="B2891" s="46">
        <f>INDEX(parameters!$D$4:$N$20,MATCH('hydrogen - electrolysis'!B2873&amp;'hydrogen - electrolysis'!B2875,parameters!$A$4:$A$20,0),MATCH('hydrogen - electrolysis'!A2891,parameters!$D$3:$N$3,0))</f>
        <v>0</v>
      </c>
    </row>
    <row r="2892" spans="1:2" x14ac:dyDescent="0.2">
      <c r="A2892" t="s">
        <v>634</v>
      </c>
      <c r="B2892" s="51">
        <f>INDEX(parameters!$D$4:$Y$20,MATCH('hydrogen - electrolysis'!B2873&amp;'hydrogen - electrolysis'!B2875,parameters!$A$4:$A$20,0),MATCH('hydrogen - electrolysis'!A2892,parameters!$D$3:$Y$3,0))</f>
        <v>1.8947368421052633</v>
      </c>
    </row>
    <row r="2893" spans="1:2" x14ac:dyDescent="0.2">
      <c r="A2893" t="s">
        <v>82</v>
      </c>
      <c r="B2893" s="46">
        <f>IF(B2884&lt;&gt;0,VLOOKUP(B2884,parameters!A1949:B1951,2,0),0)</f>
        <v>0</v>
      </c>
    </row>
    <row r="2894" spans="1:2" x14ac:dyDescent="0.2">
      <c r="A2894" t="s">
        <v>548</v>
      </c>
      <c r="B2894" s="50">
        <f>INDEX(parameters!$D$4:$P$20,MATCH(B2873&amp;B2875,parameters!$A$4:$A$20,0),MATCH(A2894,parameters!$D$3:$P$3,0))</f>
        <v>0.8</v>
      </c>
    </row>
    <row r="2895" spans="1:2" x14ac:dyDescent="0.2">
      <c r="A2895" t="s">
        <v>547</v>
      </c>
      <c r="B2895" s="51">
        <f>INDEX(parameters!$D$4:$P$20,MATCH(B2873&amp;B2875,parameters!$A$4:$A$20,0),MATCH(A2895,parameters!$D$3:$P$3,0))</f>
        <v>4.8780487804878048</v>
      </c>
    </row>
    <row r="2896" spans="1:2" x14ac:dyDescent="0.2">
      <c r="A2896" t="s">
        <v>630</v>
      </c>
      <c r="B2896" s="51">
        <f>INDEX(parameters!$D$4:$T$20,MATCH(B2873&amp;B2875,parameters!$A$4:$A$20,0),MATCH(A2896,parameters!$D$3:$T$3,0))</f>
        <v>4100</v>
      </c>
    </row>
    <row r="2897" spans="1:22" x14ac:dyDescent="0.2">
      <c r="A2897" t="s">
        <v>1005</v>
      </c>
      <c r="B2897" s="50">
        <f>IF(B2869="megajoule",SUMIFS(allocation!$I$4:$I$30,allocation!$B$4:$B$30,B2875,allocation!$C$4:$C$30,B2876),SUMIFS(allocation!$J$4:$J$30,allocation!$B$4:$B$30,B2875,allocation!$C$4:$C$30,B2876))</f>
        <v>0.86066019201025545</v>
      </c>
    </row>
    <row r="2898" spans="1:22" x14ac:dyDescent="0.2">
      <c r="A2898" t="s">
        <v>1050</v>
      </c>
      <c r="B2898" s="51">
        <f>INDEX(parameters!$D$4:$AB$20,MATCH(B2873&amp;B2875,parameters!$A$4:$A$20,0),MATCH(A2898,parameters!$D$3:$AB$3,0))</f>
        <v>10.221606648199446</v>
      </c>
    </row>
    <row r="2900" spans="1:22" x14ac:dyDescent="0.2">
      <c r="A2900" s="3" t="s">
        <v>57</v>
      </c>
    </row>
    <row r="2901" spans="1:22" x14ac:dyDescent="0.2">
      <c r="A2901" s="2" t="s">
        <v>58</v>
      </c>
      <c r="B2901" s="44" t="s">
        <v>59</v>
      </c>
      <c r="C2901" s="2" t="s">
        <v>55</v>
      </c>
      <c r="D2901" s="2" t="s">
        <v>60</v>
      </c>
      <c r="E2901" s="2" t="s">
        <v>52</v>
      </c>
      <c r="F2901" s="2" t="s">
        <v>61</v>
      </c>
      <c r="G2901" s="2" t="s">
        <v>54</v>
      </c>
      <c r="H2901" s="2" t="s">
        <v>87</v>
      </c>
      <c r="I2901" s="2" t="s">
        <v>51</v>
      </c>
      <c r="J2901" s="2" t="s">
        <v>138</v>
      </c>
      <c r="K2901" s="2" t="s">
        <v>136</v>
      </c>
      <c r="L2901" s="2" t="s">
        <v>221</v>
      </c>
      <c r="M2901" s="2" t="s">
        <v>379</v>
      </c>
      <c r="N2901" s="2" t="s">
        <v>1059</v>
      </c>
      <c r="O2901" s="2" t="s">
        <v>1060</v>
      </c>
      <c r="P2901" s="2" t="s">
        <v>1061</v>
      </c>
      <c r="Q2901" s="2" t="s">
        <v>1062</v>
      </c>
      <c r="R2901" s="2" t="s">
        <v>1063</v>
      </c>
      <c r="S2901" s="2" t="s">
        <v>1064</v>
      </c>
      <c r="T2901" s="2" t="s">
        <v>1065</v>
      </c>
      <c r="U2901" s="2" t="s">
        <v>380</v>
      </c>
      <c r="V2901" s="2" t="s">
        <v>1128</v>
      </c>
    </row>
    <row r="2902" spans="1:22" x14ac:dyDescent="0.2">
      <c r="A2902" t="str">
        <f>B2863</f>
        <v>electricity, residential, by conversion of hydrogen using fuel cell, PEM, allocated by exergy, transported by pipeline, produced by Electrolysis, PEM using water and electricity from Solar PV (CH)</v>
      </c>
      <c r="B2902" s="45">
        <v>1</v>
      </c>
      <c r="C2902" t="str">
        <f>B2869</f>
        <v>kilowatt hour</v>
      </c>
      <c r="E2902" t="str">
        <f>B2866</f>
        <v>CH</v>
      </c>
      <c r="F2902" t="s">
        <v>62</v>
      </c>
      <c r="G2902" t="str">
        <f>B2868</f>
        <v>electricity, from residential heating system</v>
      </c>
      <c r="K2902" t="str">
        <f>B2863</f>
        <v>electricity, residential, by conversion of hydrogen using fuel cell, PEM, allocated by exergy, transported by pipeline, produced by Electrolysis, PEM using water and electricity from Solar PV (CH)</v>
      </c>
    </row>
    <row r="2903" spans="1:22" x14ac:dyDescent="0.2">
      <c r="A2903" t="str">
        <f>VLOOKUP(J2903,'dataset mapping'!$A$4:$E$69,2,0)</f>
        <v>fuel cell system assembly, 1 kWe, proton exchange membrane (PEM)</v>
      </c>
      <c r="B2903" s="52">
        <f>(1/(B2892*B2896*B2895))*B2897</f>
        <v>2.2711866178048405E-5</v>
      </c>
      <c r="C2903" t="str">
        <f>VLOOKUP(J2903,'dataset mapping'!$A$4:$E$69,5,0)</f>
        <v>unit</v>
      </c>
      <c r="E2903" t="str">
        <f>VLOOKUP(J2903,'dataset mapping'!$A$4:$E$69,4,0)</f>
        <v>GLO</v>
      </c>
      <c r="F2903" t="s">
        <v>86</v>
      </c>
      <c r="G2903" t="str">
        <f>VLOOKUP(J2903,'dataset mapping'!$A$4:$E$69,3,0)</f>
        <v>fuel cell system, 1 kWe, proton exchange membrane (PEM)</v>
      </c>
      <c r="H2903" t="s">
        <v>88</v>
      </c>
      <c r="I2903" t="s">
        <v>272</v>
      </c>
      <c r="J2903" t="s">
        <v>273</v>
      </c>
      <c r="K2903" t="str">
        <f>B2863</f>
        <v>electricity, residential, by conversion of hydrogen using fuel cell, PEM, allocated by exergy, transported by pipeline, produced by Electrolysis, PEM using water and electricity from Solar PV (CH)</v>
      </c>
      <c r="L2903">
        <f t="shared" ref="L2903:L2905" si="95">IF(OR(B2903&lt;0,B2903=0),1,2)</f>
        <v>2</v>
      </c>
      <c r="M2903">
        <f t="shared" ref="M2903:M2905" si="96">IF(L2903=2,LN(B2903),"")</f>
        <v>-10.692623030936341</v>
      </c>
      <c r="N2903">
        <v>1</v>
      </c>
      <c r="O2903" s="15">
        <v>1.2</v>
      </c>
      <c r="P2903">
        <v>1</v>
      </c>
      <c r="Q2903">
        <v>1.01</v>
      </c>
      <c r="R2903">
        <v>1.2</v>
      </c>
      <c r="S2903">
        <v>1.2</v>
      </c>
      <c r="T2903">
        <v>3</v>
      </c>
      <c r="U2903">
        <f t="shared" ref="U2903:U2905" si="97">LN(SQRT(EXP(
SQRT(
+POWER(LN(N2903),2)
+POWER(LN(O2903),2)
+POWER(LN(P2903),2)
+POWER(LN(Q2903),2)
+POWER(LN(R2903),2)
+POWER(LN(S2903),2)
+POWER(LN(T2903),2)
)
)))</f>
        <v>0.57157051623399524</v>
      </c>
    </row>
    <row r="2904" spans="1:22" x14ac:dyDescent="0.2">
      <c r="A2904" s="45" t="str">
        <f>"hydrogen supply, transported by "&amp;B2877&amp;", produced by "&amp;B2881&amp;" using "&amp;B2882&amp;" from "&amp;B2883</f>
        <v>hydrogen supply, transported by pipeline, produced by Electrolysis, PEM using water and electricity from Solar PV (CH)</v>
      </c>
      <c r="B2904" s="53">
        <f>(B2902/B2886)/B2885*B2897</f>
        <v>5.7377346134017029E-2</v>
      </c>
      <c r="C2904" t="str">
        <f>VLOOKUP(J2904,'dataset mapping'!$A$4:$E$69,5,0)</f>
        <v>kilogram</v>
      </c>
      <c r="E2904" t="str">
        <f>VLOOKUP(J2904,'dataset mapping'!$A$4:$E$69,4,0)</f>
        <v>CH</v>
      </c>
      <c r="F2904" t="s">
        <v>86</v>
      </c>
      <c r="G2904" t="str">
        <f>"hydrogen, gaseous, from "&amp;B2877</f>
        <v>hydrogen, gaseous, from pipeline</v>
      </c>
      <c r="H2904" t="s">
        <v>76</v>
      </c>
      <c r="I2904" t="s">
        <v>1054</v>
      </c>
      <c r="J2904" t="s">
        <v>292</v>
      </c>
      <c r="K2904" t="str">
        <f>B2863</f>
        <v>electricity, residential, by conversion of hydrogen using fuel cell, PEM, allocated by exergy, transported by pipeline, produced by Electrolysis, PEM using water and electricity from Solar PV (CH)</v>
      </c>
      <c r="L2904">
        <f t="shared" si="95"/>
        <v>2</v>
      </c>
      <c r="M2904">
        <f t="shared" si="96"/>
        <v>-2.8581057202127536</v>
      </c>
      <c r="N2904">
        <v>1</v>
      </c>
      <c r="O2904" s="15">
        <v>1.2</v>
      </c>
      <c r="P2904">
        <v>1</v>
      </c>
      <c r="Q2904">
        <v>1.01</v>
      </c>
      <c r="R2904">
        <v>1.2</v>
      </c>
      <c r="S2904">
        <v>1.2</v>
      </c>
      <c r="T2904">
        <v>1.05</v>
      </c>
      <c r="U2904">
        <f t="shared" si="97"/>
        <v>0.15984597228197622</v>
      </c>
    </row>
    <row r="2905" spans="1:22" x14ac:dyDescent="0.2">
      <c r="A2905" t="s">
        <v>134</v>
      </c>
      <c r="B2905" s="53">
        <f>B2904*9</f>
        <v>0.51639611520615325</v>
      </c>
      <c r="C2905" t="s">
        <v>56</v>
      </c>
      <c r="D2905" t="s">
        <v>100</v>
      </c>
      <c r="F2905" t="s">
        <v>99</v>
      </c>
      <c r="H2905" t="s">
        <v>131</v>
      </c>
      <c r="I2905" t="s">
        <v>1057</v>
      </c>
      <c r="K2905" t="str">
        <f>B2863</f>
        <v>electricity, residential, by conversion of hydrogen using fuel cell, PEM, allocated by exergy, transported by pipeline, produced by Electrolysis, PEM using water and electricity from Solar PV (CH)</v>
      </c>
      <c r="L2905">
        <f t="shared" si="95"/>
        <v>2</v>
      </c>
      <c r="M2905">
        <f t="shared" si="96"/>
        <v>-0.6608811428765341</v>
      </c>
      <c r="N2905">
        <v>1</v>
      </c>
      <c r="O2905" s="15">
        <v>1.2</v>
      </c>
      <c r="P2905">
        <v>1</v>
      </c>
      <c r="Q2905">
        <v>1.01</v>
      </c>
      <c r="R2905">
        <v>1.2</v>
      </c>
      <c r="S2905">
        <v>1.2</v>
      </c>
      <c r="T2905">
        <v>1.05</v>
      </c>
      <c r="U2905">
        <f t="shared" si="97"/>
        <v>0.15984597228197622</v>
      </c>
    </row>
    <row r="2907" spans="1:22" x14ac:dyDescent="0.2">
      <c r="A2907" s="2" t="s">
        <v>50</v>
      </c>
      <c r="B2907" s="44" t="str">
        <f>IF(B2913="megajoule","heat","electricity")&amp;", residential, by "&amp;B2918&amp;" of "&amp;B2917&amp;" using "&amp;B2919&amp;IF(B2920&lt;&gt;0,", allocated by "&amp;B2920,"")&amp;", transported by "&amp;B2921&amp;", produced by "&amp;B2925&amp;" using "&amp;B2926&amp;" from "&amp;B2927</f>
        <v>electricity, residential, by conversion of hydrogen using fuel cell, SOFC, allocated by exergy, transported by pipeline, produced by Electrolysis, PEM using water and electricity from Solar PV (CH)</v>
      </c>
    </row>
    <row r="2908" spans="1:22" x14ac:dyDescent="0.2">
      <c r="A2908" t="s">
        <v>51</v>
      </c>
      <c r="B2908" s="45" t="str">
        <f>"This dataset represents the supply of 1 "&amp;IF(B2913="megajoule","megajoule of heat","kilowatt hour of electricity")&amp;" in a residence, by "&amp;B2917&amp;" "&amp;B2918&amp;" in a "&amp;B2919&amp;". "&amp;" The hydrogen is transported by "&amp;B2921&amp;" over "&amp;B2922&amp;" km from regional storage. "&amp;" The "&amp;B2917&amp;" is produced by  "&amp;B2925&amp;", with "&amp;B2926&amp;" from "&amp;B2927&amp;" as feedstock. "&amp;A2929&amp;": "&amp;(B2929*100)&amp;"%. "&amp;A2930&amp;": "&amp;B2930&amp;". "&amp;A2931&amp;": "&amp;B2931&amp;". "&amp;A2932&amp;": "&amp;(B2932*100)&amp;"%. "&amp;A2933&amp;": "&amp;(B2933*100)&amp;"%. "&amp;A2934&amp;": "&amp;(B2934*100)&amp;"%. "&amp;A2935&amp;": "&amp;B2935&amp;". "&amp;A2936&amp;": "&amp;B2936&amp;". "&amp;A2937&amp;": "&amp;(B2937*100)&amp;"%. "&amp;A2938&amp;": "&amp;B2938&amp;". "&amp;A2939&amp;": "&amp;B2939&amp;". "&amp;A2940&amp;": "&amp;B2940&amp;". "&amp;A2941&amp;": "&amp;B2941&amp;".  For more information, refer to: "&amp;B2909</f>
        <v>This dataset represents the supply of 1 kilowatt hour of electricity in a residence, by hydrogen conversion in a fuel cell, SOFC.  The hydrogen is transported by pipeline over 500 km from regional storage.  The hydrogen is produced by  Electrolysis, PEM, with water and electricity from Solar PV (CH)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2909" spans="1:22" x14ac:dyDescent="0.2">
      <c r="A2909" t="s">
        <v>63</v>
      </c>
      <c r="B2909" s="45" t="s">
        <v>1223</v>
      </c>
    </row>
    <row r="2910" spans="1:22" x14ac:dyDescent="0.2">
      <c r="A2910" t="s">
        <v>52</v>
      </c>
      <c r="B2910" s="45" t="s">
        <v>64</v>
      </c>
    </row>
    <row r="2911" spans="1:22" x14ac:dyDescent="0.2">
      <c r="A2911" t="s">
        <v>48</v>
      </c>
      <c r="B2911" s="45" t="s">
        <v>891</v>
      </c>
    </row>
    <row r="2912" spans="1:22" x14ac:dyDescent="0.2">
      <c r="A2912" t="s">
        <v>54</v>
      </c>
      <c r="B2912" s="45" t="str">
        <f>INDEX(overview!$B$4:$R$338,MATCH('hydrogen - electrolysis'!B2911,overview!$A$4:$A$338,0),MATCH('hydrogen - electrolysis'!A2912,overview!$B$3:$R$3,0))</f>
        <v>electricity, from residential heating system</v>
      </c>
    </row>
    <row r="2913" spans="1:2" x14ac:dyDescent="0.2">
      <c r="A2913" t="s">
        <v>55</v>
      </c>
      <c r="B2913" s="45" t="str">
        <f>INDEX(overview!$B$4:$R$338,MATCH('hydrogen - electrolysis'!B2911,overview!$A$4:$A$338,0),MATCH('hydrogen - electrolysis'!A2913,overview!$B$3:$R$3,0))</f>
        <v>kilowatt hour</v>
      </c>
    </row>
    <row r="2914" spans="1:2" x14ac:dyDescent="0.2">
      <c r="A2914" t="s">
        <v>0</v>
      </c>
      <c r="B2914" s="45" t="str">
        <f>INDEX(overview!$B$4:$R$338,MATCH('hydrogen - electrolysis'!B2911,overview!$A$4:$A$338,0),MATCH('hydrogen - electrolysis'!A2914,overview!$B$3:$R$3,0))</f>
        <v>Switzerland</v>
      </c>
    </row>
    <row r="2915" spans="1:2" x14ac:dyDescent="0.2">
      <c r="A2915" t="s">
        <v>1</v>
      </c>
      <c r="B2915" s="45">
        <f>INDEX(overview!$B$4:$R$338,MATCH('hydrogen - electrolysis'!B2911,overview!$A$4:$A$338,0),MATCH('hydrogen - electrolysis'!A2915,overview!$B$3:$R$3,0))</f>
        <v>2020</v>
      </c>
    </row>
    <row r="2916" spans="1:2" x14ac:dyDescent="0.2">
      <c r="A2916" t="s">
        <v>2</v>
      </c>
      <c r="B2916" s="45" t="str">
        <f>INDEX(overview!$B$4:$R$338,MATCH('hydrogen - electrolysis'!B2911,overview!$A$4:$A$338,0),MATCH('hydrogen - electrolysis'!A2916,overview!$B$3:$R$3,0))</f>
        <v>1 kWh electricity</v>
      </c>
    </row>
    <row r="2917" spans="1:2" x14ac:dyDescent="0.2">
      <c r="A2917" t="s">
        <v>5</v>
      </c>
      <c r="B2917" s="45" t="str">
        <f>INDEX(overview!$B$4:$R$338,MATCH('hydrogen - electrolysis'!B2911,overview!$A$4:$A$338,0),MATCH('hydrogen - electrolysis'!A2917,overview!$B$3:$R$3,0))</f>
        <v>hydrogen</v>
      </c>
    </row>
    <row r="2918" spans="1:2" x14ac:dyDescent="0.2">
      <c r="A2918" t="s">
        <v>3</v>
      </c>
      <c r="B2918" s="45" t="str">
        <f>INDEX(overview!$B$4:$R$338,MATCH('hydrogen - electrolysis'!B2911,overview!$A$4:$A$338,0),MATCH('hydrogen - electrolysis'!A2918,overview!$B$3:$R$3,0))</f>
        <v>conversion</v>
      </c>
    </row>
    <row r="2919" spans="1:2" x14ac:dyDescent="0.2">
      <c r="A2919" t="s">
        <v>6</v>
      </c>
      <c r="B2919" s="45" t="str">
        <f>INDEX(overview!$B$4:$R$338,MATCH('hydrogen - electrolysis'!B2911,overview!$A$4:$A$338,0),MATCH('hydrogen - electrolysis'!A2919,overview!$B$3:$R$3,0))</f>
        <v>fuel cell, SOFC</v>
      </c>
    </row>
    <row r="2920" spans="1:2" x14ac:dyDescent="0.2">
      <c r="A2920" t="s">
        <v>39</v>
      </c>
      <c r="B2920" s="45" t="str">
        <f>INDEX(overview!$B$4:$R$338,MATCH('hydrogen - electrolysis'!B2911,overview!$A$4:$A$338,0),MATCH('hydrogen - electrolysis'!A2920,overview!$B$3:$R$3,0))</f>
        <v>exergy</v>
      </c>
    </row>
    <row r="2921" spans="1:2" x14ac:dyDescent="0.2">
      <c r="A2921" t="s">
        <v>4</v>
      </c>
      <c r="B2921" s="45" t="str">
        <f>INDEX(overview!$B$4:$R$338,MATCH('hydrogen - electrolysis'!B2911,overview!$A$4:$A$338,0),MATCH('hydrogen - electrolysis'!A2921,overview!$B$3:$R$3,0))</f>
        <v>pipeline</v>
      </c>
    </row>
    <row r="2922" spans="1:2" x14ac:dyDescent="0.2">
      <c r="A2922" t="s">
        <v>38</v>
      </c>
      <c r="B2922" s="45">
        <f>INDEX(overview!$B$4:$R$338,MATCH('hydrogen - electrolysis'!B2911,overview!$A$4:$A$338,0),MATCH('hydrogen - electrolysis'!A2922,overview!$B$3:$R$3,0))</f>
        <v>500</v>
      </c>
    </row>
    <row r="2923" spans="1:2" x14ac:dyDescent="0.2">
      <c r="A2923" t="s">
        <v>12</v>
      </c>
      <c r="B2923" s="45" t="str">
        <f>INDEX(overview!$B$4:$R$338,MATCH('hydrogen - electrolysis'!B2911,overview!$A$4:$A$338,0),MATCH('hydrogen - electrolysis'!A2923,overview!$B$3:$R$3,0))</f>
        <v>Pressure vessel for stationary storage</v>
      </c>
    </row>
    <row r="2924" spans="1:2" x14ac:dyDescent="0.2">
      <c r="A2924" t="s">
        <v>34</v>
      </c>
      <c r="B2924" s="45">
        <f>INDEX(overview!$B$4:$R$338,MATCH('hydrogen - electrolysis'!B2911,overview!$A$4:$A$338,0),MATCH('hydrogen - electrolysis'!A2924,overview!$B$3:$R$3,0))</f>
        <v>0</v>
      </c>
    </row>
    <row r="2925" spans="1:2" x14ac:dyDescent="0.2">
      <c r="A2925" t="s">
        <v>15</v>
      </c>
      <c r="B2925" s="45" t="str">
        <f>INDEX(overview!$B$4:$R$338,MATCH('hydrogen - electrolysis'!B2911,overview!$A$4:$A$338,0),MATCH('hydrogen - electrolysis'!A2925,overview!$B$3:$R$3,0))</f>
        <v>Electrolysis, PEM</v>
      </c>
    </row>
    <row r="2926" spans="1:2" x14ac:dyDescent="0.2">
      <c r="A2926" t="s">
        <v>14</v>
      </c>
      <c r="B2926" s="45" t="str">
        <f>INDEX(overview!$B$4:$R$338,MATCH('hydrogen - electrolysis'!B2911,overview!$A$4:$A$338,0),MATCH('hydrogen - electrolysis'!A2926,overview!$B$3:$R$3,0))</f>
        <v>water and electricity</v>
      </c>
    </row>
    <row r="2927" spans="1:2" x14ac:dyDescent="0.2">
      <c r="A2927" t="s">
        <v>26</v>
      </c>
      <c r="B2927" s="45" t="str">
        <f>INDEX(overview!$B$4:$R$338,MATCH('hydrogen - electrolysis'!B2911,overview!$A$4:$A$338,0),MATCH('hydrogen - electrolysis'!A2927,overview!$B$3:$R$3,0))</f>
        <v>Solar PV (CH)</v>
      </c>
    </row>
    <row r="2928" spans="1:2" x14ac:dyDescent="0.2">
      <c r="A2928" t="s">
        <v>29</v>
      </c>
      <c r="B2928" s="45">
        <f>INDEX(overview!$B$4:$R$338,MATCH('hydrogen - electrolysis'!B2911,overview!$A$4:$A$338,0),MATCH('hydrogen - electrolysis'!A2928,overview!$B$3:$R$3,0))</f>
        <v>0</v>
      </c>
    </row>
    <row r="2929" spans="1:4" x14ac:dyDescent="0.2">
      <c r="A2929" t="str">
        <f>IF(B2913="megajoule","Heat","Electricity")&amp;" conversion efficiency [% LHV input]"</f>
        <v>Electricity conversion efficiency [% LHV input]</v>
      </c>
      <c r="B2929" s="46">
        <f>INDEX(parameters!$D$4:$N$20,MATCH('hydrogen - electrolysis'!B2917&amp;'hydrogen - electrolysis'!B2919,parameters!$A$4:$A$20,0),MATCH('hydrogen - electrolysis'!A2929,parameters!$D$3:$N$3,0))</f>
        <v>0.47</v>
      </c>
    </row>
    <row r="2930" spans="1:4" x14ac:dyDescent="0.2">
      <c r="A2930" t="str">
        <f>IF(B2913="megajoule","LHV [MJ/kg]","LHV [kWh/kg]")</f>
        <v>LHV [kWh/kg]</v>
      </c>
      <c r="B2930" s="47">
        <f>INDEX(parameters!$D$4:$N$20,MATCH('hydrogen - electrolysis'!B2917&amp;'hydrogen - electrolysis'!B2919,parameters!$A$4:$A$20,0),MATCH('hydrogen - electrolysis'!A2930,parameters!$D$3:$N$3,0))</f>
        <v>33.333333333333336</v>
      </c>
    </row>
    <row r="2931" spans="1:4" x14ac:dyDescent="0.2">
      <c r="A2931" t="s">
        <v>41</v>
      </c>
      <c r="B2931" s="48">
        <f>INDEX(parameters!$D$4:$N$20,MATCH('hydrogen - electrolysis'!B2917&amp;'hydrogen - electrolysis'!B2919,parameters!$A$4:$A$20,0),MATCH('hydrogen - electrolysis'!A2931,parameters!$D$3:$N$3,0))</f>
        <v>2.6666666666666665E-2</v>
      </c>
    </row>
    <row r="2932" spans="1:4" x14ac:dyDescent="0.2">
      <c r="A2932" t="s">
        <v>45</v>
      </c>
      <c r="B2932" s="46">
        <f>INDEX(parameters!$D$4:$N$20,MATCH('hydrogen - electrolysis'!B2917&amp;'hydrogen - electrolysis'!B2919,parameters!$A$4:$A$20,0),MATCH('hydrogen - electrolysis'!A2932,parameters!$D$3:$N$3,0))</f>
        <v>0</v>
      </c>
    </row>
    <row r="2933" spans="1:4" x14ac:dyDescent="0.2">
      <c r="A2933" t="s">
        <v>46</v>
      </c>
      <c r="B2933" s="46">
        <f>INDEX(parameters!$D$4:$N$20,MATCH('hydrogen - electrolysis'!B2917&amp;'hydrogen - electrolysis'!B2919,parameters!$A$4:$A$20,0),MATCH('hydrogen - electrolysis'!A2933,parameters!$D$3:$N$3,0))</f>
        <v>1.4999999999999999E-2</v>
      </c>
    </row>
    <row r="2934" spans="1:4" x14ac:dyDescent="0.2">
      <c r="A2934" t="s">
        <v>43</v>
      </c>
      <c r="B2934" s="46">
        <f>INDEX(parameters!$D$4:$N$20,MATCH('hydrogen - electrolysis'!B2917&amp;'hydrogen - electrolysis'!B2919,parameters!$A$4:$A$20,0),MATCH('hydrogen - electrolysis'!A2934,parameters!$D$3:$N$3,0))</f>
        <v>0</v>
      </c>
    </row>
    <row r="2935" spans="1:4" x14ac:dyDescent="0.2">
      <c r="A2935" t="s">
        <v>44</v>
      </c>
      <c r="B2935" s="46">
        <f>INDEX(parameters!$D$4:$N$20,MATCH('hydrogen - electrolysis'!B2917&amp;'hydrogen - electrolysis'!B2919,parameters!$A$4:$A$20,0),MATCH('hydrogen - electrolysis'!A2935,parameters!$D$3:$N$3,0))</f>
        <v>0</v>
      </c>
    </row>
    <row r="2936" spans="1:4" x14ac:dyDescent="0.2">
      <c r="A2936" t="s">
        <v>634</v>
      </c>
      <c r="B2936" s="51">
        <f>INDEX(parameters!$D$4:$Y$20,MATCH('hydrogen - electrolysis'!B2917&amp;'hydrogen - electrolysis'!B2919,parameters!$A$4:$A$20,0),MATCH('hydrogen - electrolysis'!A2936,parameters!$D$3:$Y$3,0))</f>
        <v>225</v>
      </c>
      <c r="D2936" s="8"/>
    </row>
    <row r="2937" spans="1:4" x14ac:dyDescent="0.2">
      <c r="A2937" t="s">
        <v>82</v>
      </c>
      <c r="B2937" s="46">
        <f>IF(B2928&lt;&gt;0,VLOOKUP(B2928,parameters!A1998:B2000,2,0),0)</f>
        <v>0</v>
      </c>
    </row>
    <row r="2938" spans="1:4" x14ac:dyDescent="0.2">
      <c r="A2938" t="s">
        <v>548</v>
      </c>
      <c r="B2938" s="50">
        <f>INDEX(parameters!$D$4:$P$20,MATCH(B2917&amp;B2919,parameters!$A$4:$A$20,0),MATCH(A2938,parameters!$D$3:$P$3,0))</f>
        <v>100</v>
      </c>
    </row>
    <row r="2939" spans="1:4" x14ac:dyDescent="0.2">
      <c r="A2939" t="s">
        <v>547</v>
      </c>
      <c r="B2939" s="51">
        <f>INDEX(parameters!$D$4:$P$20,MATCH(B2917&amp;B2919,parameters!$A$4:$A$20,0),MATCH(A2939,parameters!$D$3:$P$3,0))</f>
        <v>6</v>
      </c>
    </row>
    <row r="2940" spans="1:4" x14ac:dyDescent="0.2">
      <c r="A2940" t="s">
        <v>630</v>
      </c>
      <c r="B2940" s="51">
        <f>INDEX(parameters!$D$4:$T$20,MATCH(B2917&amp;B2919,parameters!$A$4:$A$20,0),MATCH(A2940,parameters!$D$3:$T$3,0))</f>
        <v>4100</v>
      </c>
    </row>
    <row r="2941" spans="1:4" x14ac:dyDescent="0.2">
      <c r="A2941" t="s">
        <v>1005</v>
      </c>
      <c r="B2941" s="50">
        <f>IF(B2913="megajoule",SUMIFS(allocation!$I$4:$I$30,allocation!$B$4:$B$30,B2919,allocation!$C$4:$C$30,B2920),SUMIFS(allocation!$J$4:$J$30,allocation!$B$4:$B$30,B2919,allocation!$C$4:$C$30,B2920))</f>
        <v>0.86412493489600906</v>
      </c>
    </row>
    <row r="2942" spans="1:4" x14ac:dyDescent="0.2">
      <c r="A2942" t="s">
        <v>1050</v>
      </c>
      <c r="B2942" s="51">
        <f>INDEX(parameters!$D$4:$AB$20,MATCH(B2917&amp;B2919,parameters!$A$4:$A$20,0),MATCH(A2942,parameters!$D$3:$AB$3,0))</f>
        <v>1153.1249999999998</v>
      </c>
    </row>
    <row r="2944" spans="1:4" x14ac:dyDescent="0.2">
      <c r="A2944" s="3" t="s">
        <v>57</v>
      </c>
    </row>
    <row r="2945" spans="1:22" x14ac:dyDescent="0.2">
      <c r="A2945" s="2" t="s">
        <v>58</v>
      </c>
      <c r="B2945" s="44" t="s">
        <v>59</v>
      </c>
      <c r="C2945" s="2" t="s">
        <v>55</v>
      </c>
      <c r="D2945" s="2" t="s">
        <v>60</v>
      </c>
      <c r="E2945" s="2" t="s">
        <v>52</v>
      </c>
      <c r="F2945" s="2" t="s">
        <v>61</v>
      </c>
      <c r="G2945" s="2" t="s">
        <v>54</v>
      </c>
      <c r="H2945" s="2" t="s">
        <v>87</v>
      </c>
      <c r="I2945" s="2" t="s">
        <v>51</v>
      </c>
      <c r="J2945" s="2" t="s">
        <v>138</v>
      </c>
      <c r="K2945" s="2" t="s">
        <v>136</v>
      </c>
      <c r="L2945" s="2" t="s">
        <v>221</v>
      </c>
      <c r="M2945" s="2" t="s">
        <v>379</v>
      </c>
      <c r="N2945" s="2" t="s">
        <v>1059</v>
      </c>
      <c r="O2945" s="2" t="s">
        <v>1060</v>
      </c>
      <c r="P2945" s="2" t="s">
        <v>1061</v>
      </c>
      <c r="Q2945" s="2" t="s">
        <v>1062</v>
      </c>
      <c r="R2945" s="2" t="s">
        <v>1063</v>
      </c>
      <c r="S2945" s="2" t="s">
        <v>1064</v>
      </c>
      <c r="T2945" s="2" t="s">
        <v>1065</v>
      </c>
      <c r="U2945" s="2" t="s">
        <v>380</v>
      </c>
      <c r="V2945" s="2" t="s">
        <v>1128</v>
      </c>
    </row>
    <row r="2946" spans="1:22" x14ac:dyDescent="0.2">
      <c r="A2946" t="str">
        <f>B2907</f>
        <v>electricity, residential, by conversion of hydrogen using fuel cell, SOFC, allocated by exergy, transported by pipeline, produced by Electrolysis, PEM using water and electricity from Solar PV (CH)</v>
      </c>
      <c r="B2946" s="45">
        <v>1</v>
      </c>
      <c r="C2946" t="str">
        <f>B2913</f>
        <v>kilowatt hour</v>
      </c>
      <c r="E2946" t="str">
        <f>B2910</f>
        <v>CH</v>
      </c>
      <c r="F2946" t="s">
        <v>62</v>
      </c>
      <c r="G2946" t="str">
        <f>B2912</f>
        <v>electricity, from residential heating system</v>
      </c>
      <c r="K2946" t="str">
        <f>B2907</f>
        <v>electricity, residential, by conversion of hydrogen using fuel cell, SOFC, allocated by exergy, transported by pipeline, produced by Electrolysis, PEM using water and electricity from Solar PV (CH)</v>
      </c>
    </row>
    <row r="2947" spans="1:22" x14ac:dyDescent="0.2">
      <c r="A2947" t="str">
        <f>VLOOKUP(J2947,'dataset mapping'!$A$4:$E$69,2,0)</f>
        <v>fuel cell production, stack solid oxide, 125kW electrical, future</v>
      </c>
      <c r="B2947" s="52">
        <f>(1/(B2936*B2940*B2939))*B2941</f>
        <v>1.5612013277254003E-7</v>
      </c>
      <c r="C2947" t="str">
        <f>VLOOKUP(J2947,'dataset mapping'!$A$4:$E$69,5,0)</f>
        <v>unit</v>
      </c>
      <c r="E2947" t="str">
        <f>VLOOKUP(J2947,'dataset mapping'!$A$4:$E$69,4,0)</f>
        <v>CH</v>
      </c>
      <c r="F2947" t="s">
        <v>86</v>
      </c>
      <c r="G2947" t="str">
        <f>VLOOKUP(J2947,'dataset mapping'!$A$4:$E$69,3,0)</f>
        <v>fuel cell, stack solid oxide, 125kW electrical, future</v>
      </c>
      <c r="H2947" t="s">
        <v>88</v>
      </c>
      <c r="I2947" t="s">
        <v>277</v>
      </c>
      <c r="J2947" t="s">
        <v>274</v>
      </c>
      <c r="K2947" t="str">
        <f>B2907</f>
        <v>electricity, residential, by conversion of hydrogen using fuel cell, SOFC, allocated by exergy, transported by pipeline, produced by Electrolysis, PEM using water and electricity from Solar PV (CH)</v>
      </c>
      <c r="L2947">
        <f t="shared" ref="L2947:L2951" si="98">IF(OR(B2947&lt;0,B2947=0),1,2)</f>
        <v>2</v>
      </c>
      <c r="M2947">
        <f t="shared" ref="M2947:M2951" si="99">IF(L2947=2,LN(B2947),"")</f>
        <v>-15.672640044182527</v>
      </c>
      <c r="N2947">
        <v>1</v>
      </c>
      <c r="O2947" s="15">
        <v>1.2</v>
      </c>
      <c r="P2947">
        <v>1</v>
      </c>
      <c r="Q2947">
        <v>1.01</v>
      </c>
      <c r="R2947">
        <v>1.2</v>
      </c>
      <c r="S2947">
        <v>1.2</v>
      </c>
      <c r="T2947">
        <v>3</v>
      </c>
      <c r="U2947">
        <f t="shared" ref="U2947:U2951" si="100">LN(SQRT(EXP(
SQRT(
+POWER(LN(N2947),2)
+POWER(LN(O2947),2)
+POWER(LN(P2947),2)
+POWER(LN(Q2947),2)
+POWER(LN(R2947),2)
+POWER(LN(S2947),2)
+POWER(LN(T2947),2)
)
)))</f>
        <v>0.57157051623399524</v>
      </c>
    </row>
    <row r="2948" spans="1:22" x14ac:dyDescent="0.2">
      <c r="A2948" t="s">
        <v>283</v>
      </c>
      <c r="B2948" s="52">
        <f>(1/(B2936*B2940*B2939))*B2941</f>
        <v>1.5612013277254003E-7</v>
      </c>
      <c r="C2948" t="s">
        <v>55</v>
      </c>
      <c r="E2948" t="s">
        <v>64</v>
      </c>
      <c r="F2948" t="s">
        <v>86</v>
      </c>
      <c r="G2948" t="s">
        <v>284</v>
      </c>
      <c r="H2948" t="s">
        <v>88</v>
      </c>
      <c r="I2948" t="s">
        <v>277</v>
      </c>
      <c r="K2948" t="str">
        <f>B2907</f>
        <v>electricity, residential, by conversion of hydrogen using fuel cell, SOFC, allocated by exergy, transported by pipeline, produced by Electrolysis, PEM using water and electricity from Solar PV (CH)</v>
      </c>
      <c r="L2948">
        <f t="shared" si="98"/>
        <v>2</v>
      </c>
      <c r="M2948">
        <f t="shared" si="99"/>
        <v>-15.672640044182527</v>
      </c>
      <c r="N2948">
        <v>1</v>
      </c>
      <c r="O2948" s="15">
        <v>1.2</v>
      </c>
      <c r="P2948">
        <v>1</v>
      </c>
      <c r="Q2948">
        <v>1.01</v>
      </c>
      <c r="R2948">
        <v>1.2</v>
      </c>
      <c r="S2948">
        <v>1.2</v>
      </c>
      <c r="T2948">
        <v>3</v>
      </c>
      <c r="U2948">
        <f t="shared" si="100"/>
        <v>0.57157051623399524</v>
      </c>
    </row>
    <row r="2949" spans="1:22" x14ac:dyDescent="0.2">
      <c r="A2949" t="s">
        <v>288</v>
      </c>
      <c r="B2949" s="52">
        <f>0.000024*B2941</f>
        <v>2.0738998437504217E-5</v>
      </c>
      <c r="C2949" t="s">
        <v>56</v>
      </c>
      <c r="E2949" t="s">
        <v>64</v>
      </c>
      <c r="F2949" t="s">
        <v>86</v>
      </c>
      <c r="G2949" t="s">
        <v>287</v>
      </c>
      <c r="H2949" t="s">
        <v>88</v>
      </c>
      <c r="K2949" t="str">
        <f>B2907</f>
        <v>electricity, residential, by conversion of hydrogen using fuel cell, SOFC, allocated by exergy, transported by pipeline, produced by Electrolysis, PEM using water and electricity from Solar PV (CH)</v>
      </c>
      <c r="L2949">
        <f t="shared" si="98"/>
        <v>2</v>
      </c>
      <c r="M2949">
        <f t="shared" si="99"/>
        <v>-10.783494647673981</v>
      </c>
      <c r="N2949">
        <v>1</v>
      </c>
      <c r="O2949" s="15">
        <v>1.2</v>
      </c>
      <c r="P2949">
        <v>1</v>
      </c>
      <c r="Q2949">
        <v>1.01</v>
      </c>
      <c r="R2949">
        <v>1.2</v>
      </c>
      <c r="S2949">
        <v>1.2</v>
      </c>
      <c r="T2949">
        <v>1.05</v>
      </c>
      <c r="U2949">
        <f t="shared" si="100"/>
        <v>0.15984597228197622</v>
      </c>
    </row>
    <row r="2950" spans="1:22" x14ac:dyDescent="0.2">
      <c r="A2950" s="45" t="str">
        <f>"hydrogen supply, transported by "&amp;B2921&amp;", produced by "&amp;B2925&amp;" using "&amp;B2926&amp;" from "&amp;B2927</f>
        <v>hydrogen supply, transported by pipeline, produced by Electrolysis, PEM using water and electricity from Solar PV (CH)</v>
      </c>
      <c r="B2950" s="53">
        <f>(B2946/B2930)/B2929*B2941</f>
        <v>5.515691073804313E-2</v>
      </c>
      <c r="C2950" t="str">
        <f>VLOOKUP(J2950,'dataset mapping'!$A$4:$E$69,5,0)</f>
        <v>kilogram</v>
      </c>
      <c r="E2950" t="str">
        <f>VLOOKUP(J2950,'dataset mapping'!$A$4:$E$69,4,0)</f>
        <v>CH</v>
      </c>
      <c r="F2950" t="s">
        <v>86</v>
      </c>
      <c r="G2950" t="str">
        <f>"hydrogen, gaseous, from "&amp;B2921</f>
        <v>hydrogen, gaseous, from pipeline</v>
      </c>
      <c r="H2950" t="s">
        <v>76</v>
      </c>
      <c r="I2950" t="s">
        <v>1054</v>
      </c>
      <c r="J2950" t="s">
        <v>292</v>
      </c>
      <c r="K2950" t="str">
        <f>B2907</f>
        <v>electricity, residential, by conversion of hydrogen using fuel cell, SOFC, allocated by exergy, transported by pipeline, produced by Electrolysis, PEM using water and electricity from Solar PV (CH)</v>
      </c>
      <c r="L2950">
        <f t="shared" si="98"/>
        <v>2</v>
      </c>
      <c r="M2950">
        <f t="shared" si="99"/>
        <v>-2.8975732330996009</v>
      </c>
      <c r="N2950">
        <v>1</v>
      </c>
      <c r="O2950" s="15">
        <v>1.2</v>
      </c>
      <c r="P2950">
        <v>1</v>
      </c>
      <c r="Q2950">
        <v>1.01</v>
      </c>
      <c r="R2950">
        <v>1.2</v>
      </c>
      <c r="S2950">
        <v>1.2</v>
      </c>
      <c r="T2950">
        <v>1.05</v>
      </c>
      <c r="U2950">
        <f t="shared" si="100"/>
        <v>0.15984597228197622</v>
      </c>
    </row>
    <row r="2951" spans="1:22" x14ac:dyDescent="0.2">
      <c r="A2951" t="s">
        <v>134</v>
      </c>
      <c r="B2951" s="45">
        <f>B2950*9</f>
        <v>0.49641219664238817</v>
      </c>
      <c r="C2951" t="s">
        <v>56</v>
      </c>
      <c r="D2951" t="s">
        <v>100</v>
      </c>
      <c r="F2951" t="s">
        <v>99</v>
      </c>
      <c r="H2951" t="s">
        <v>131</v>
      </c>
      <c r="I2951" t="s">
        <v>1057</v>
      </c>
      <c r="K2951" t="str">
        <f>B2907</f>
        <v>electricity, residential, by conversion of hydrogen using fuel cell, SOFC, allocated by exergy, transported by pipeline, produced by Electrolysis, PEM using water and electricity from Solar PV (CH)</v>
      </c>
      <c r="L2951">
        <f t="shared" si="98"/>
        <v>2</v>
      </c>
      <c r="M2951">
        <f t="shared" si="99"/>
        <v>-0.70034865576338168</v>
      </c>
      <c r="N2951">
        <v>1</v>
      </c>
      <c r="O2951" s="15">
        <v>1.2</v>
      </c>
      <c r="P2951">
        <v>1</v>
      </c>
      <c r="Q2951">
        <v>1.01</v>
      </c>
      <c r="R2951">
        <v>1.2</v>
      </c>
      <c r="S2951">
        <v>1.2</v>
      </c>
      <c r="T2951">
        <v>1.05</v>
      </c>
      <c r="U2951">
        <f t="shared" si="100"/>
        <v>0.15984597228197622</v>
      </c>
    </row>
    <row r="2953" spans="1:22" x14ac:dyDescent="0.2">
      <c r="A2953" s="2" t="s">
        <v>50</v>
      </c>
      <c r="B2953" s="44" t="str">
        <f>IF(B2959="megajoule","heat","electricity")&amp;", residential, by "&amp;B2964&amp;" of "&amp;B2963&amp;" using "&amp;B2965&amp;IF(B2966&lt;&gt;0,", allocated by "&amp;B2966,"")&amp;", transported by "&amp;B2967&amp;", produced by "&amp;B2971&amp;" using "&amp;B2972&amp;" from "&amp;B2973</f>
        <v>heat, residential, by combustion of hydrogen using boiler, transported by truck, produced by Electrolysis, PEM using water and electricity from Solar PV (CH)</v>
      </c>
    </row>
    <row r="2954" spans="1:22" x14ac:dyDescent="0.2">
      <c r="A2954" t="s">
        <v>51</v>
      </c>
      <c r="B2954" s="45" t="e">
        <f>"This dataset represents the supply of 1 "&amp;IF(B2959="megajoule","megajoule of heat","kilowatt hour of electricity")&amp;" in a residence, by "&amp;B2963&amp;" "&amp;B2964/3*40&amp;": "&amp;B2985&amp;". "&amp;A2986&amp;": "&amp;B2986&amp;". "&amp;A2987&amp;": "&amp;B2987&amp;".  For more information, refer to: "&amp;B2955</f>
        <v>#VALUE!</v>
      </c>
    </row>
    <row r="2955" spans="1:22" x14ac:dyDescent="0.2">
      <c r="A2955" t="s">
        <v>63</v>
      </c>
      <c r="B2955" s="45" t="s">
        <v>1223</v>
      </c>
    </row>
    <row r="2956" spans="1:22" x14ac:dyDescent="0.2">
      <c r="A2956" t="s">
        <v>52</v>
      </c>
      <c r="B2956" s="45" t="s">
        <v>64</v>
      </c>
    </row>
    <row r="2957" spans="1:22" x14ac:dyDescent="0.2">
      <c r="A2957" t="s">
        <v>48</v>
      </c>
      <c r="B2957" s="45">
        <v>37</v>
      </c>
    </row>
    <row r="2958" spans="1:22" x14ac:dyDescent="0.2">
      <c r="A2958" t="s">
        <v>54</v>
      </c>
      <c r="B2958" s="45" t="str">
        <f>INDEX(overview!$B$4:$R$338,MATCH('hydrogen - electrolysis'!B2957,overview!$A$4:$A$338,0),MATCH('hydrogen - electrolysis'!A2958,overview!$B$3:$R$3,0))</f>
        <v>heat, from residential heating system</v>
      </c>
    </row>
    <row r="2959" spans="1:22" x14ac:dyDescent="0.2">
      <c r="A2959" t="s">
        <v>55</v>
      </c>
      <c r="B2959" s="45" t="str">
        <f>INDEX(overview!$B$4:$R$338,MATCH('hydrogen - electrolysis'!B2957,overview!$A$4:$A$338,0),MATCH('hydrogen - electrolysis'!A2959,overview!$B$3:$R$3,0))</f>
        <v>megajoule</v>
      </c>
    </row>
    <row r="2960" spans="1:22" x14ac:dyDescent="0.2">
      <c r="A2960" t="s">
        <v>0</v>
      </c>
      <c r="B2960" s="45" t="str">
        <f>INDEX(overview!$B$4:$R$338,MATCH('hydrogen - electrolysis'!B2957,overview!$A$4:$A$338,0),MATCH('hydrogen - electrolysis'!A2960,overview!$B$3:$R$3,0))</f>
        <v>Switzerland</v>
      </c>
    </row>
    <row r="2961" spans="1:2" x14ac:dyDescent="0.2">
      <c r="A2961" t="s">
        <v>1</v>
      </c>
      <c r="B2961" s="45">
        <f>INDEX(overview!$B$4:$R$338,MATCH('hydrogen - electrolysis'!B2957,overview!$A$4:$A$338,0),MATCH('hydrogen - electrolysis'!A2961,overview!$B$3:$R$3,0))</f>
        <v>2020</v>
      </c>
    </row>
    <row r="2962" spans="1:2" x14ac:dyDescent="0.2">
      <c r="A2962" t="s">
        <v>2</v>
      </c>
      <c r="B2962" s="45" t="str">
        <f>INDEX(overview!$B$4:$R$338,MATCH('hydrogen - electrolysis'!B2957,overview!$A$4:$A$338,0),MATCH('hydrogen - electrolysis'!A2962,overview!$B$3:$R$3,0))</f>
        <v>1 MJ heat</v>
      </c>
    </row>
    <row r="2963" spans="1:2" x14ac:dyDescent="0.2">
      <c r="A2963" t="s">
        <v>5</v>
      </c>
      <c r="B2963" s="45" t="str">
        <f>INDEX(overview!$B$4:$R$338,MATCH('hydrogen - electrolysis'!B2957,overview!$A$4:$A$338,0),MATCH('hydrogen - electrolysis'!A2963,overview!$B$3:$R$3,0))</f>
        <v>hydrogen</v>
      </c>
    </row>
    <row r="2964" spans="1:2" x14ac:dyDescent="0.2">
      <c r="A2964" t="s">
        <v>3</v>
      </c>
      <c r="B2964" s="45" t="str">
        <f>INDEX(overview!$B$4:$R$338,MATCH('hydrogen - electrolysis'!B2957,overview!$A$4:$A$338,0),MATCH('hydrogen - electrolysis'!A2964,overview!$B$3:$R$3,0))</f>
        <v>combustion</v>
      </c>
    </row>
    <row r="2965" spans="1:2" x14ac:dyDescent="0.2">
      <c r="A2965" t="s">
        <v>6</v>
      </c>
      <c r="B2965" s="45" t="str">
        <f>INDEX(overview!$B$4:$R$338,MATCH('hydrogen - electrolysis'!B2957,overview!$A$4:$A$338,0),MATCH('hydrogen - electrolysis'!A2965,overview!$B$3:$R$3,0))</f>
        <v>boiler</v>
      </c>
    </row>
    <row r="2966" spans="1:2" x14ac:dyDescent="0.2">
      <c r="A2966" t="s">
        <v>39</v>
      </c>
      <c r="B2966" s="45">
        <f>INDEX(overview!$B$4:$R$338,MATCH('hydrogen - electrolysis'!B2957,overview!$A$4:$A$338,0),MATCH('hydrogen - electrolysis'!A2966,overview!$B$3:$R$3,0))</f>
        <v>0</v>
      </c>
    </row>
    <row r="2967" spans="1:2" x14ac:dyDescent="0.2">
      <c r="A2967" t="s">
        <v>4</v>
      </c>
      <c r="B2967" s="45" t="str">
        <f>INDEX(overview!$B$4:$R$338,MATCH('hydrogen - electrolysis'!B2957,overview!$A$4:$A$338,0),MATCH('hydrogen - electrolysis'!A2967,overview!$B$3:$R$3,0))</f>
        <v>truck</v>
      </c>
    </row>
    <row r="2968" spans="1:2" x14ac:dyDescent="0.2">
      <c r="A2968" t="s">
        <v>38</v>
      </c>
      <c r="B2968" s="45">
        <f>INDEX(overview!$B$4:$R$338,MATCH('hydrogen - electrolysis'!B2957,overview!$A$4:$A$338,0),MATCH('hydrogen - electrolysis'!A2968,overview!$B$3:$R$3,0))</f>
        <v>200</v>
      </c>
    </row>
    <row r="2969" spans="1:2" x14ac:dyDescent="0.2">
      <c r="A2969" t="s">
        <v>12</v>
      </c>
      <c r="B2969" s="45" t="str">
        <f>INDEX(overview!$B$4:$R$338,MATCH('hydrogen - electrolysis'!B2957,overview!$A$4:$A$338,0),MATCH('hydrogen - electrolysis'!A2969,overview!$B$3:$R$3,0))</f>
        <v>Pressure vessel for stationary storage</v>
      </c>
    </row>
    <row r="2970" spans="1:2" x14ac:dyDescent="0.2">
      <c r="A2970" t="s">
        <v>34</v>
      </c>
      <c r="B2970" s="45">
        <f>INDEX(overview!$B$4:$R$338,MATCH('hydrogen - electrolysis'!B2957,overview!$A$4:$A$338,0),MATCH('hydrogen - electrolysis'!A2970,overview!$B$3:$R$3,0))</f>
        <v>0</v>
      </c>
    </row>
    <row r="2971" spans="1:2" x14ac:dyDescent="0.2">
      <c r="A2971" t="s">
        <v>15</v>
      </c>
      <c r="B2971" s="45" t="str">
        <f>INDEX(overview!$B$4:$R$338,MATCH('hydrogen - electrolysis'!B2957,overview!$A$4:$A$338,0),MATCH('hydrogen - electrolysis'!A2971,overview!$B$3:$R$3,0))</f>
        <v>Electrolysis, PEM</v>
      </c>
    </row>
    <row r="2972" spans="1:2" x14ac:dyDescent="0.2">
      <c r="A2972" t="s">
        <v>14</v>
      </c>
      <c r="B2972" s="45" t="str">
        <f>INDEX(overview!$B$4:$R$338,MATCH('hydrogen - electrolysis'!B2957,overview!$A$4:$A$338,0),MATCH('hydrogen - electrolysis'!A2972,overview!$B$3:$R$3,0))</f>
        <v>water and electricity</v>
      </c>
    </row>
    <row r="2973" spans="1:2" x14ac:dyDescent="0.2">
      <c r="A2973" t="s">
        <v>26</v>
      </c>
      <c r="B2973" s="45" t="str">
        <f>INDEX(overview!$B$4:$R$338,MATCH('hydrogen - electrolysis'!B2957,overview!$A$4:$A$338,0),MATCH('hydrogen - electrolysis'!A2973,overview!$B$3:$R$3,0))</f>
        <v>Solar PV (CH)</v>
      </c>
    </row>
    <row r="2974" spans="1:2" x14ac:dyDescent="0.2">
      <c r="A2974" t="s">
        <v>29</v>
      </c>
      <c r="B2974" s="45">
        <f>INDEX(overview!$B$4:$R$338,MATCH('hydrogen - electrolysis'!B2957,overview!$A$4:$A$338,0),MATCH('hydrogen - electrolysis'!A2974,overview!$B$3:$R$3,0))</f>
        <v>0</v>
      </c>
    </row>
    <row r="2975" spans="1:2" x14ac:dyDescent="0.2">
      <c r="A2975" t="str">
        <f>IF(B2959="megajoule","Heat","Electricity")&amp;" conversion efficiency [% LHV input]"</f>
        <v>Heat conversion efficiency [% LHV input]</v>
      </c>
      <c r="B2975" s="46">
        <f>INDEX(parameters!$D$4:$N$20,MATCH('hydrogen - electrolysis'!B2963&amp;'hydrogen - electrolysis'!B2965,parameters!$A$4:$A$20,0),MATCH('hydrogen - electrolysis'!A2975,parameters!$D$3:$N$3,0))</f>
        <v>0.94</v>
      </c>
    </row>
    <row r="2976" spans="1:2" x14ac:dyDescent="0.2">
      <c r="A2976" t="str">
        <f>IF(B2959="megajoule","LHV [MJ/kg]","LHV [kWh/kg]")</f>
        <v>LHV [MJ/kg]</v>
      </c>
      <c r="B2976" s="47">
        <f>INDEX(parameters!$D$4:$N$20,MATCH('hydrogen - electrolysis'!B2963&amp;'hydrogen - electrolysis'!B2965,parameters!$A$4:$A$20,0),MATCH('hydrogen - electrolysis'!A2976,parameters!$D$3:$N$3,0))</f>
        <v>120</v>
      </c>
    </row>
    <row r="2977" spans="1:22" x14ac:dyDescent="0.2">
      <c r="A2977" t="s">
        <v>41</v>
      </c>
      <c r="B2977" s="48">
        <f>INDEX(parameters!$D$4:$N$20,MATCH('hydrogen - electrolysis'!B2963&amp;'hydrogen - electrolysis'!B2965,parameters!$A$4:$A$20,0),MATCH('hydrogen - electrolysis'!A2977,parameters!$D$3:$N$3,0))</f>
        <v>2.6666666666666665E-2</v>
      </c>
    </row>
    <row r="2978" spans="1:22" x14ac:dyDescent="0.2">
      <c r="A2978" t="s">
        <v>45</v>
      </c>
      <c r="B2978" s="49">
        <f>INDEX(parameters!$D$4:$N$20,MATCH('hydrogen - electrolysis'!B2963&amp;'hydrogen - electrolysis'!B2965,parameters!$A$4:$A$20,0),MATCH('hydrogen - electrolysis'!A2978,parameters!$D$3:$N$3,0))</f>
        <v>0</v>
      </c>
    </row>
    <row r="2979" spans="1:22" x14ac:dyDescent="0.2">
      <c r="A2979" t="s">
        <v>46</v>
      </c>
      <c r="B2979" s="49">
        <f>INDEX(parameters!$D$4:$N$20,MATCH('hydrogen - electrolysis'!B2963&amp;'hydrogen - electrolysis'!B2965,parameters!$A$4:$A$20,0),MATCH('hydrogen - electrolysis'!A2979,parameters!$D$3:$N$3,0))</f>
        <v>1.4999999999999999E-2</v>
      </c>
    </row>
    <row r="2980" spans="1:22" x14ac:dyDescent="0.2">
      <c r="A2980" t="s">
        <v>43</v>
      </c>
      <c r="B2980" s="49">
        <f>INDEX(parameters!$D$4:$N$20,MATCH('hydrogen - electrolysis'!B2963&amp;'hydrogen - electrolysis'!B2965,parameters!$A$4:$A$20,0),MATCH('hydrogen - electrolysis'!A2980,parameters!$D$3:$N$3,0))</f>
        <v>0</v>
      </c>
    </row>
    <row r="2981" spans="1:22" x14ac:dyDescent="0.2">
      <c r="A2981" t="s">
        <v>44</v>
      </c>
      <c r="B2981" s="49">
        <f>INDEX(parameters!$D$4:$N$20,MATCH('hydrogen - electrolysis'!B2963&amp;'hydrogen - electrolysis'!B2965,parameters!$A$4:$A$20,0),MATCH('hydrogen - electrolysis'!A2981,parameters!$D$3:$N$3,0))</f>
        <v>0</v>
      </c>
    </row>
    <row r="2982" spans="1:22" x14ac:dyDescent="0.2">
      <c r="A2982" t="s">
        <v>634</v>
      </c>
      <c r="B2982" s="51">
        <f>INDEX(parameters!$D$4:$Y$20,MATCH('hydrogen - electrolysis'!B2963&amp;'hydrogen - electrolysis'!B2965,parameters!$A$4:$A$20,0),MATCH('hydrogen - electrolysis'!A2982,parameters!$D$3:$Y$3,0))</f>
        <v>15.957446808510639</v>
      </c>
    </row>
    <row r="2983" spans="1:22" x14ac:dyDescent="0.2">
      <c r="A2983" t="s">
        <v>82</v>
      </c>
      <c r="B2983" s="46">
        <f>IF(B2974&lt;&gt;0,VLOOKUP(B2974,parameters!A1895:B1897,2,0),0)</f>
        <v>0</v>
      </c>
    </row>
    <row r="2984" spans="1:22" x14ac:dyDescent="0.2">
      <c r="A2984" t="s">
        <v>548</v>
      </c>
      <c r="B2984" s="50">
        <f>INDEX(parameters!$D$4:$P$20,MATCH(B2963&amp;B2965,parameters!$A$4:$A$20,0),MATCH(A2984,parameters!$D$3:$P$3,0))</f>
        <v>15</v>
      </c>
    </row>
    <row r="2985" spans="1:22" x14ac:dyDescent="0.2">
      <c r="A2985" t="s">
        <v>547</v>
      </c>
      <c r="B2985" s="51">
        <f>INDEX(parameters!$D$4:$P$20,MATCH(B2963&amp;B2965,parameters!$A$4:$A$20,0),MATCH(A2985,parameters!$D$3:$P$3,0))</f>
        <v>20</v>
      </c>
    </row>
    <row r="2986" spans="1:22" x14ac:dyDescent="0.2">
      <c r="A2986" t="s">
        <v>630</v>
      </c>
      <c r="B2986" s="51">
        <f>INDEX(parameters!$D$4:$T$20,MATCH(B2963&amp;B2965,parameters!$A$4:$A$20,0),MATCH(A2986,parameters!$D$3:$T$3,0))</f>
        <v>2100</v>
      </c>
    </row>
    <row r="2987" spans="1:22" x14ac:dyDescent="0.2">
      <c r="A2987" t="s">
        <v>1005</v>
      </c>
      <c r="B2987" s="50">
        <f>IF(B2959="megajoule",SUMIFS(allocation!$I$4:$I$30,allocation!$B$4:$B$30,B2965,allocation!$C$4:$C$30,B2966),SUMIFS(allocation!$J$4:$J$30,allocation!$B$4:$B$30,B2965,allocation!$C$4:$C$30,B2966))</f>
        <v>0</v>
      </c>
    </row>
    <row r="2988" spans="1:22" x14ac:dyDescent="0.2">
      <c r="A2988" t="s">
        <v>1050</v>
      </c>
      <c r="B2988" s="51">
        <f>INDEX(parameters!$D$4:$AB$20,MATCH(B2963&amp;B2965,parameters!$A$4:$A$20,0),MATCH(A2988,parameters!$D$3:$AB$3,0))</f>
        <v>44.562019013128115</v>
      </c>
    </row>
    <row r="2990" spans="1:22" x14ac:dyDescent="0.2">
      <c r="A2990" s="3" t="s">
        <v>57</v>
      </c>
    </row>
    <row r="2991" spans="1:22" x14ac:dyDescent="0.2">
      <c r="A2991" s="2" t="s">
        <v>58</v>
      </c>
      <c r="B2991" s="44" t="s">
        <v>59</v>
      </c>
      <c r="C2991" s="2" t="s">
        <v>55</v>
      </c>
      <c r="D2991" s="2" t="s">
        <v>60</v>
      </c>
      <c r="E2991" s="2" t="s">
        <v>52</v>
      </c>
      <c r="F2991" s="2" t="s">
        <v>61</v>
      </c>
      <c r="G2991" s="2" t="s">
        <v>54</v>
      </c>
      <c r="H2991" s="2" t="s">
        <v>87</v>
      </c>
      <c r="I2991" s="2" t="s">
        <v>51</v>
      </c>
      <c r="J2991" s="2" t="s">
        <v>138</v>
      </c>
      <c r="K2991" s="2" t="s">
        <v>136</v>
      </c>
      <c r="L2991" s="2" t="s">
        <v>221</v>
      </c>
      <c r="M2991" s="2" t="s">
        <v>379</v>
      </c>
      <c r="N2991" s="2" t="s">
        <v>1059</v>
      </c>
      <c r="O2991" s="2" t="s">
        <v>1060</v>
      </c>
      <c r="P2991" s="2" t="s">
        <v>1061</v>
      </c>
      <c r="Q2991" s="2" t="s">
        <v>1062</v>
      </c>
      <c r="R2991" s="2" t="s">
        <v>1063</v>
      </c>
      <c r="S2991" s="2" t="s">
        <v>1064</v>
      </c>
      <c r="T2991" s="2" t="s">
        <v>1065</v>
      </c>
      <c r="U2991" s="2" t="s">
        <v>380</v>
      </c>
      <c r="V2991" s="2" t="s">
        <v>1128</v>
      </c>
    </row>
    <row r="2992" spans="1:22" x14ac:dyDescent="0.2">
      <c r="A2992" t="str">
        <f>B2953</f>
        <v>heat, residential, by combustion of hydrogen using boiler, transported by truck, produced by Electrolysis, PEM using water and electricity from Solar PV (CH)</v>
      </c>
      <c r="B2992" s="45">
        <v>1</v>
      </c>
      <c r="C2992" t="str">
        <f>B2959</f>
        <v>megajoule</v>
      </c>
      <c r="E2992" t="str">
        <f>B2956</f>
        <v>CH</v>
      </c>
      <c r="F2992" t="s">
        <v>62</v>
      </c>
      <c r="G2992" t="str">
        <f>B2958</f>
        <v>heat, from residential heating system</v>
      </c>
      <c r="K2992" t="str">
        <f>B2953</f>
        <v>heat, residential, by combustion of hydrogen using boiler, transported by truck, produced by Electrolysis, PEM using water and electricity from Solar PV (CH)</v>
      </c>
    </row>
    <row r="2993" spans="1:21" x14ac:dyDescent="0.2">
      <c r="A2993" t="s">
        <v>83</v>
      </c>
      <c r="B2993" s="52">
        <f>1/(B2984*B2986*B2985*3.6)</f>
        <v>4.4091710758377425E-7</v>
      </c>
      <c r="C2993" t="s">
        <v>55</v>
      </c>
      <c r="E2993" t="s">
        <v>85</v>
      </c>
      <c r="F2993" t="s">
        <v>86</v>
      </c>
      <c r="G2993" t="s">
        <v>84</v>
      </c>
      <c r="H2993" t="s">
        <v>88</v>
      </c>
      <c r="K2993" t="str">
        <f>B2953</f>
        <v>heat, residential, by combustion of hydrogen using boiler, transported by truck, produced by Electrolysis, PEM using water and electricity from Solar PV (CH)</v>
      </c>
      <c r="L2993">
        <f t="shared" ref="L2993:L2998" si="101">IF(OR(B2993&lt;0,B2993=0),1,2)</f>
        <v>2</v>
      </c>
      <c r="M2993">
        <f t="shared" ref="M2993:M2998" si="102">IF(L2993=2,LN(B2993),"")</f>
        <v>-14.634408943829779</v>
      </c>
      <c r="N2993">
        <v>1.05</v>
      </c>
      <c r="O2993" s="15">
        <v>1.2</v>
      </c>
      <c r="P2993">
        <v>1</v>
      </c>
      <c r="Q2993">
        <v>1.01</v>
      </c>
      <c r="R2993">
        <v>1.2</v>
      </c>
      <c r="S2993">
        <v>1.2</v>
      </c>
      <c r="T2993">
        <v>3</v>
      </c>
      <c r="U2993">
        <f t="shared" ref="U2993:U2998" si="103">LN(SQRT(EXP(
SQRT(
+POWER(LN(N2993),2)
+POWER(LN(O2993),2)
+POWER(LN(P2993),2)
+POWER(LN(Q2993),2)
+POWER(LN(R2993),2)
+POWER(LN(S2993),2)
+POWER(LN(T2993),2)
)
)))</f>
        <v>0.57209088006881903</v>
      </c>
    </row>
    <row r="2994" spans="1:21" x14ac:dyDescent="0.2">
      <c r="A2994" t="s">
        <v>500</v>
      </c>
      <c r="B2994" s="52">
        <f>B2993*2</f>
        <v>8.8183421516754851E-7</v>
      </c>
      <c r="C2994" t="s">
        <v>267</v>
      </c>
      <c r="E2994" t="s">
        <v>85</v>
      </c>
      <c r="F2994" t="s">
        <v>86</v>
      </c>
      <c r="G2994" t="s">
        <v>501</v>
      </c>
      <c r="H2994" t="s">
        <v>88</v>
      </c>
      <c r="I2994" t="s">
        <v>621</v>
      </c>
      <c r="K2994" t="str">
        <f>B2953</f>
        <v>heat, residential, by combustion of hydrogen using boiler, transported by truck, produced by Electrolysis, PEM using water and electricity from Solar PV (CH)</v>
      </c>
      <c r="L2994">
        <f t="shared" si="101"/>
        <v>2</v>
      </c>
      <c r="M2994">
        <f t="shared" si="102"/>
        <v>-13.941261763269834</v>
      </c>
      <c r="N2994">
        <v>1.05</v>
      </c>
      <c r="O2994" s="15">
        <v>1.2</v>
      </c>
      <c r="P2994">
        <v>1</v>
      </c>
      <c r="Q2994">
        <v>1.01</v>
      </c>
      <c r="R2994">
        <v>1.2</v>
      </c>
      <c r="S2994">
        <v>1.2</v>
      </c>
      <c r="T2994">
        <v>3</v>
      </c>
      <c r="U2994">
        <f t="shared" si="103"/>
        <v>0.57209088006881903</v>
      </c>
    </row>
    <row r="2995" spans="1:21" x14ac:dyDescent="0.2">
      <c r="A2995" s="45" t="str">
        <f>"hydrogen supply, transported by "&amp;B2967&amp;", produced by "&amp;B2971&amp;" using "&amp;B2972&amp;" from "&amp;B2973</f>
        <v>hydrogen supply, transported by truck, produced by Electrolysis, PEM using water and electricity from Solar PV (CH)</v>
      </c>
      <c r="B2995" s="53">
        <f>(B2992/B2976)/B2975</f>
        <v>8.8652482269503553E-3</v>
      </c>
      <c r="C2995" t="str">
        <f>VLOOKUP(J2995,'dataset mapping'!$A$4:$E$69,5,0)</f>
        <v>kilogram</v>
      </c>
      <c r="E2995" t="str">
        <f>VLOOKUP(J2995,'dataset mapping'!$A$4:$E$69,4,0)</f>
        <v>CH</v>
      </c>
      <c r="F2995" t="s">
        <v>86</v>
      </c>
      <c r="G2995" t="str">
        <f>"hydrogen, gaseous, from "&amp;B2967</f>
        <v>hydrogen, gaseous, from truck</v>
      </c>
      <c r="H2995" t="s">
        <v>76</v>
      </c>
      <c r="I2995" t="s">
        <v>1054</v>
      </c>
      <c r="J2995" t="s">
        <v>292</v>
      </c>
      <c r="K2995" t="str">
        <f>B2953</f>
        <v>heat, residential, by combustion of hydrogen using boiler, transported by truck, produced by Electrolysis, PEM using water and electricity from Solar PV (CH)</v>
      </c>
      <c r="L2995">
        <f t="shared" si="101"/>
        <v>2</v>
      </c>
      <c r="M2995">
        <f t="shared" si="102"/>
        <v>-4.7256163390639587</v>
      </c>
      <c r="N2995">
        <v>1.05</v>
      </c>
      <c r="O2995" s="15">
        <v>1.2</v>
      </c>
      <c r="P2995">
        <v>1</v>
      </c>
      <c r="Q2995">
        <v>1.01</v>
      </c>
      <c r="R2995">
        <v>1.2</v>
      </c>
      <c r="S2995">
        <v>1.2</v>
      </c>
      <c r="T2995">
        <v>1.05</v>
      </c>
      <c r="U2995">
        <f t="shared" si="103"/>
        <v>0.16169679924070957</v>
      </c>
    </row>
    <row r="2996" spans="1:21" x14ac:dyDescent="0.2">
      <c r="A2996" t="str">
        <f>VLOOKUP(J2996,'dataset mapping'!$A$4:$E$69,2,0)</f>
        <v>high pressure hydrogen storage tank</v>
      </c>
      <c r="B2996" s="52">
        <f>((B2988/10)/(B2986*B2982*20*3.6))*IF(B2987&lt;&gt;0,B2987,1)</f>
        <v>1.8469267139479905E-6</v>
      </c>
      <c r="C2996" t="str">
        <f>VLOOKUP(J2996,'dataset mapping'!$A$4:$E$69,5,0)</f>
        <v>kilogram</v>
      </c>
      <c r="E2996" t="str">
        <f>VLOOKUP(J2996,'dataset mapping'!$A$4:$E$69,4,0)</f>
        <v>GLO</v>
      </c>
      <c r="F2996" t="s">
        <v>86</v>
      </c>
      <c r="G2996" t="str">
        <f>VLOOKUP(J2996,'dataset mapping'!$A$4:$E$69,3,0)</f>
        <v>high pressure hydrogen storage tank</v>
      </c>
      <c r="H2996" t="s">
        <v>88</v>
      </c>
      <c r="I2996" t="s">
        <v>230</v>
      </c>
      <c r="J2996" t="s">
        <v>229</v>
      </c>
      <c r="K2996" t="str">
        <f>B2953</f>
        <v>heat, residential, by combustion of hydrogen using boiler, transported by truck, produced by Electrolysis, PEM using water and electricity from Solar PV (CH)</v>
      </c>
      <c r="L2996">
        <f t="shared" si="101"/>
        <v>2</v>
      </c>
      <c r="M2996">
        <f t="shared" si="102"/>
        <v>-13.20198753595994</v>
      </c>
      <c r="N2996">
        <v>1.05</v>
      </c>
      <c r="O2996" s="15">
        <v>1.2</v>
      </c>
      <c r="P2996">
        <v>1</v>
      </c>
      <c r="Q2996">
        <v>1.01</v>
      </c>
      <c r="R2996">
        <v>1.2</v>
      </c>
      <c r="S2996">
        <v>1.2</v>
      </c>
      <c r="T2996">
        <v>3</v>
      </c>
      <c r="U2996">
        <f t="shared" si="103"/>
        <v>0.57209088006881903</v>
      </c>
    </row>
    <row r="2997" spans="1:21" x14ac:dyDescent="0.2">
      <c r="A2997" t="s">
        <v>134</v>
      </c>
      <c r="B2997" s="45">
        <f>B2995*9</f>
        <v>7.9787234042553196E-2</v>
      </c>
      <c r="C2997" t="s">
        <v>56</v>
      </c>
      <c r="D2997" t="s">
        <v>100</v>
      </c>
      <c r="F2997" t="s">
        <v>99</v>
      </c>
      <c r="H2997" t="s">
        <v>131</v>
      </c>
      <c r="I2997" t="s">
        <v>1058</v>
      </c>
      <c r="K2997" t="str">
        <f>B2953</f>
        <v>heat, residential, by combustion of hydrogen using boiler, transported by truck, produced by Electrolysis, PEM using water and electricity from Solar PV (CH)</v>
      </c>
      <c r="L2997">
        <f t="shared" si="101"/>
        <v>2</v>
      </c>
      <c r="M2997">
        <f t="shared" si="102"/>
        <v>-2.5283917617277392</v>
      </c>
      <c r="N2997">
        <v>1.05</v>
      </c>
      <c r="O2997" s="15">
        <v>1.2</v>
      </c>
      <c r="P2997">
        <v>1</v>
      </c>
      <c r="Q2997">
        <v>1.01</v>
      </c>
      <c r="R2997">
        <v>1.2</v>
      </c>
      <c r="S2997">
        <v>1.2</v>
      </c>
      <c r="T2997">
        <v>1.05</v>
      </c>
      <c r="U2997">
        <f t="shared" si="103"/>
        <v>0.16169679924070957</v>
      </c>
    </row>
    <row r="2998" spans="1:21" x14ac:dyDescent="0.2">
      <c r="A2998" t="s">
        <v>135</v>
      </c>
      <c r="B2998" s="45">
        <f>912.5/1000000*B2995</f>
        <v>8.0895390070921995E-6</v>
      </c>
      <c r="C2998" t="s">
        <v>56</v>
      </c>
      <c r="D2998" t="s">
        <v>100</v>
      </c>
      <c r="F2998" t="s">
        <v>99</v>
      </c>
      <c r="H2998" t="s">
        <v>131</v>
      </c>
      <c r="I2998" t="s">
        <v>1217</v>
      </c>
      <c r="K2998" t="str">
        <f>B2953</f>
        <v>heat, residential, by combustion of hydrogen using boiler, transported by truck, produced by Electrolysis, PEM using water and electricity from Solar PV (CH)</v>
      </c>
      <c r="L2998">
        <f t="shared" si="101"/>
        <v>2</v>
      </c>
      <c r="M2998">
        <f t="shared" si="102"/>
        <v>-11.724938811571587</v>
      </c>
      <c r="N2998">
        <v>1.05</v>
      </c>
      <c r="O2998" s="15">
        <v>1.2</v>
      </c>
      <c r="P2998">
        <v>1</v>
      </c>
      <c r="Q2998">
        <v>1.01</v>
      </c>
      <c r="R2998">
        <v>1.2</v>
      </c>
      <c r="S2998">
        <v>1.2</v>
      </c>
      <c r="T2998">
        <v>1.5</v>
      </c>
      <c r="U2998">
        <f t="shared" si="103"/>
        <v>0.25816898211842121</v>
      </c>
    </row>
    <row r="3000" spans="1:21" x14ac:dyDescent="0.2">
      <c r="A3000" s="2" t="s">
        <v>50</v>
      </c>
      <c r="B3000" s="44" t="str">
        <f>IF(B3006="megajoule","heat","electricity")&amp;", residential, by "&amp;B3011&amp;" of "&amp;B3010&amp;" using "&amp;B3012&amp;IF(B3013&lt;&gt;0,", allocated by "&amp;B3013,"")&amp;", transported by "&amp;B3014&amp;", produced by "&amp;B3018&amp;" using "&amp;B3019&amp;" from "&amp;B3020</f>
        <v>heat, residential, by combustion of hydrogen using CHP, allocated by exergy, transported by truck, produced by Electrolysis, PEM using water and electricity from Solar PV (CH)</v>
      </c>
    </row>
    <row r="3001" spans="1:21" x14ac:dyDescent="0.2">
      <c r="A3001" t="s">
        <v>51</v>
      </c>
      <c r="B3001" s="45" t="str">
        <f>"This dataset represents the supply of 1 "&amp;IF(B3006="megajoule","megajoule of heat","kilowatt hour of electricity")&amp;" in a residence, by "&amp;B3010&amp;" "&amp;B3011&amp;" in a "&amp;B3012&amp;". "&amp;" The hydrogen is transported by "&amp;B3014&amp;" over "&amp;B3015&amp;" km from regional storage. "&amp;" The "&amp;B3010&amp;" is produced by  "&amp;B3018&amp;", with "&amp;B3019&amp;" from "&amp;B3020&amp;" as feedstock. "&amp;A3022&amp;": "&amp;(B3022*100)&amp;"%. "&amp;A3023&amp;": "&amp;B3023&amp;". "&amp;A3024&amp;": "&amp;B3024&amp;". "&amp;A3025&amp;": "&amp;(B3025*100)&amp;"%. "&amp;A3026&amp;": "&amp;(B3026*100)&amp;"%. "&amp;A3027&amp;": "&amp;(B3027*100)&amp;"%. "&amp;A3028&amp;": "&amp;B3028&amp;". "&amp;A3029&amp;": "&amp;B3029&amp;". "&amp;A3030&amp;": "&amp;(B3030*100)&amp;"%. "&amp;A3031&amp;": "&amp;B3031&amp;". "&amp;A3032&amp;": "&amp;B3032&amp;". "&amp;A3033&amp;": "&amp;B3033&amp;". "&amp;A3034&amp;": "&amp;B3034&amp;".  For more information, refer to: "&amp;B3002</f>
        <v>This dataset represents the supply of 1 megajoule of heat in a residence, by hydrogen combustion in a CHP.  The hydrogen is transported by truck over 200 km from regional storage.  The hydrogen is produced by  Electrolysis, PEM, with water and electricity from Solar PV (CH)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3002" spans="1:21" x14ac:dyDescent="0.2">
      <c r="A3002" t="s">
        <v>63</v>
      </c>
      <c r="B3002" s="45" t="s">
        <v>1223</v>
      </c>
    </row>
    <row r="3003" spans="1:21" x14ac:dyDescent="0.2">
      <c r="A3003" t="s">
        <v>52</v>
      </c>
      <c r="B3003" s="45" t="s">
        <v>64</v>
      </c>
    </row>
    <row r="3004" spans="1:21" x14ac:dyDescent="0.2">
      <c r="A3004" t="s">
        <v>48</v>
      </c>
      <c r="B3004" s="45">
        <v>38</v>
      </c>
    </row>
    <row r="3005" spans="1:21" x14ac:dyDescent="0.2">
      <c r="A3005" t="s">
        <v>54</v>
      </c>
      <c r="B3005" s="45" t="str">
        <f>INDEX(overview!$B$4:$R$338,MATCH('hydrogen - electrolysis'!B3004,overview!$A$4:$A$338,0),MATCH('hydrogen - electrolysis'!A3005,overview!$B$3:$R$3,0))</f>
        <v>heat, from residential heating system</v>
      </c>
    </row>
    <row r="3006" spans="1:21" x14ac:dyDescent="0.2">
      <c r="A3006" t="s">
        <v>55</v>
      </c>
      <c r="B3006" s="45" t="str">
        <f>INDEX(overview!$B$4:$R$338,MATCH('hydrogen - electrolysis'!B3004,overview!$A$4:$A$338,0),MATCH('hydrogen - electrolysis'!A3006,overview!$B$3:$R$3,0))</f>
        <v>megajoule</v>
      </c>
    </row>
    <row r="3007" spans="1:21" x14ac:dyDescent="0.2">
      <c r="A3007" t="s">
        <v>0</v>
      </c>
      <c r="B3007" s="45" t="str">
        <f>INDEX(overview!$B$4:$R$338,MATCH('hydrogen - electrolysis'!B3004,overview!$A$4:$A$338,0),MATCH('hydrogen - electrolysis'!A3007,overview!$B$3:$R$3,0))</f>
        <v>Switzerland</v>
      </c>
    </row>
    <row r="3008" spans="1:21" x14ac:dyDescent="0.2">
      <c r="A3008" t="s">
        <v>1</v>
      </c>
      <c r="B3008" s="45">
        <f>INDEX(overview!$B$4:$R$338,MATCH('hydrogen - electrolysis'!B3004,overview!$A$4:$A$338,0),MATCH('hydrogen - electrolysis'!A3008,overview!$B$3:$R$3,0))</f>
        <v>2020</v>
      </c>
    </row>
    <row r="3009" spans="1:2" x14ac:dyDescent="0.2">
      <c r="A3009" t="s">
        <v>2</v>
      </c>
      <c r="B3009" s="45" t="str">
        <f>INDEX(overview!$B$4:$R$338,MATCH('hydrogen - electrolysis'!B3004,overview!$A$4:$A$338,0),MATCH('hydrogen - electrolysis'!A3009,overview!$B$3:$R$3,0))</f>
        <v>1 MJ heat</v>
      </c>
    </row>
    <row r="3010" spans="1:2" x14ac:dyDescent="0.2">
      <c r="A3010" t="s">
        <v>5</v>
      </c>
      <c r="B3010" s="45" t="str">
        <f>INDEX(overview!$B$4:$R$338,MATCH('hydrogen - electrolysis'!B3004,overview!$A$4:$A$338,0),MATCH('hydrogen - electrolysis'!A3010,overview!$B$3:$R$3,0))</f>
        <v>hydrogen</v>
      </c>
    </row>
    <row r="3011" spans="1:2" x14ac:dyDescent="0.2">
      <c r="A3011" t="s">
        <v>3</v>
      </c>
      <c r="B3011" s="45" t="str">
        <f>INDEX(overview!$B$4:$R$338,MATCH('hydrogen - electrolysis'!B3004,overview!$A$4:$A$338,0),MATCH('hydrogen - electrolysis'!A3011,overview!$B$3:$R$3,0))</f>
        <v>combustion</v>
      </c>
    </row>
    <row r="3012" spans="1:2" x14ac:dyDescent="0.2">
      <c r="A3012" t="s">
        <v>6</v>
      </c>
      <c r="B3012" s="45" t="str">
        <f>INDEX(overview!$B$4:$R$338,MATCH('hydrogen - electrolysis'!B3004,overview!$A$4:$A$338,0),MATCH('hydrogen - electrolysis'!A3012,overview!$B$3:$R$3,0))</f>
        <v>CHP</v>
      </c>
    </row>
    <row r="3013" spans="1:2" x14ac:dyDescent="0.2">
      <c r="A3013" t="s">
        <v>39</v>
      </c>
      <c r="B3013" s="45" t="str">
        <f>INDEX(overview!$B$4:$R$338,MATCH('hydrogen - electrolysis'!B3004,overview!$A$4:$A$338,0),MATCH('hydrogen - electrolysis'!A3013,overview!$B$3:$R$3,0))</f>
        <v>exergy</v>
      </c>
    </row>
    <row r="3014" spans="1:2" x14ac:dyDescent="0.2">
      <c r="A3014" t="s">
        <v>4</v>
      </c>
      <c r="B3014" s="45" t="str">
        <f>INDEX(overview!$B$4:$R$338,MATCH('hydrogen - electrolysis'!B3004,overview!$A$4:$A$338,0),MATCH('hydrogen - electrolysis'!A3014,overview!$B$3:$R$3,0))</f>
        <v>truck</v>
      </c>
    </row>
    <row r="3015" spans="1:2" x14ac:dyDescent="0.2">
      <c r="A3015" t="s">
        <v>38</v>
      </c>
      <c r="B3015" s="45">
        <f>INDEX(overview!$B$4:$R$338,MATCH('hydrogen - electrolysis'!B3004,overview!$A$4:$A$338,0),MATCH('hydrogen - electrolysis'!A3015,overview!$B$3:$R$3,0))</f>
        <v>200</v>
      </c>
    </row>
    <row r="3016" spans="1:2" x14ac:dyDescent="0.2">
      <c r="A3016" t="s">
        <v>12</v>
      </c>
      <c r="B3016" s="45" t="str">
        <f>INDEX(overview!$B$4:$R$338,MATCH('hydrogen - electrolysis'!B3004,overview!$A$4:$A$338,0),MATCH('hydrogen - electrolysis'!A3016,overview!$B$3:$R$3,0))</f>
        <v>Pressure vessel for stationary storage</v>
      </c>
    </row>
    <row r="3017" spans="1:2" x14ac:dyDescent="0.2">
      <c r="A3017" t="s">
        <v>34</v>
      </c>
      <c r="B3017" s="45">
        <f>INDEX(overview!$B$4:$R$338,MATCH('hydrogen - electrolysis'!B3004,overview!$A$4:$A$338,0),MATCH('hydrogen - electrolysis'!A3017,overview!$B$3:$R$3,0))</f>
        <v>0</v>
      </c>
    </row>
    <row r="3018" spans="1:2" x14ac:dyDescent="0.2">
      <c r="A3018" t="s">
        <v>15</v>
      </c>
      <c r="B3018" s="45" t="str">
        <f>INDEX(overview!$B$4:$R$338,MATCH('hydrogen - electrolysis'!B3004,overview!$A$4:$A$338,0),MATCH('hydrogen - electrolysis'!A3018,overview!$B$3:$R$3,0))</f>
        <v>Electrolysis, PEM</v>
      </c>
    </row>
    <row r="3019" spans="1:2" x14ac:dyDescent="0.2">
      <c r="A3019" t="s">
        <v>14</v>
      </c>
      <c r="B3019" s="45" t="str">
        <f>INDEX(overview!$B$4:$R$338,MATCH('hydrogen - electrolysis'!B3004,overview!$A$4:$A$338,0),MATCH('hydrogen - electrolysis'!A3019,overview!$B$3:$R$3,0))</f>
        <v>water and electricity</v>
      </c>
    </row>
    <row r="3020" spans="1:2" x14ac:dyDescent="0.2">
      <c r="A3020" t="s">
        <v>26</v>
      </c>
      <c r="B3020" s="45" t="str">
        <f>INDEX(overview!$B$4:$R$338,MATCH('hydrogen - electrolysis'!B3004,overview!$A$4:$A$338,0),MATCH('hydrogen - electrolysis'!A3020,overview!$B$3:$R$3,0))</f>
        <v>Solar PV (CH)</v>
      </c>
    </row>
    <row r="3021" spans="1:2" x14ac:dyDescent="0.2">
      <c r="A3021" t="s">
        <v>29</v>
      </c>
      <c r="B3021" s="45">
        <f>INDEX(overview!$B$4:$R$338,MATCH('hydrogen - electrolysis'!B3004,overview!$A$4:$A$338,0),MATCH('hydrogen - electrolysis'!A3021,overview!$B$3:$R$3,0))</f>
        <v>0</v>
      </c>
    </row>
    <row r="3022" spans="1:2" x14ac:dyDescent="0.2">
      <c r="A3022" t="str">
        <f>IF(B3006="megajoule","Heat","Electricity")&amp;" conversion efficiency [% LHV input]"</f>
        <v>Heat conversion efficiency [% LHV input]</v>
      </c>
      <c r="B3022" s="46">
        <f>INDEX(parameters!$D$4:$N$20,MATCH('hydrogen - electrolysis'!B3010&amp;'hydrogen - electrolysis'!B3012,parameters!$A$4:$A$20,0),MATCH('hydrogen - electrolysis'!A3022,parameters!$D$3:$N$3,0))</f>
        <v>0.41699999999999998</v>
      </c>
    </row>
    <row r="3023" spans="1:2" x14ac:dyDescent="0.2">
      <c r="A3023" t="str">
        <f>IF(B3006="megajoule","LHV [MJ/kg]","LHV [kWh/kg]")</f>
        <v>LHV [MJ/kg]</v>
      </c>
      <c r="B3023" s="47">
        <f>INDEX(parameters!$D$4:$N$20,MATCH('hydrogen - electrolysis'!B3010&amp;'hydrogen - electrolysis'!B3012,parameters!$A$4:$A$20,0),MATCH('hydrogen - electrolysis'!A3023,parameters!$D$3:$N$3,0))</f>
        <v>120</v>
      </c>
    </row>
    <row r="3024" spans="1:2" x14ac:dyDescent="0.2">
      <c r="A3024" t="s">
        <v>41</v>
      </c>
      <c r="B3024" s="48">
        <f>INDEX(parameters!$D$4:$N$20,MATCH('hydrogen - electrolysis'!B3010&amp;'hydrogen - electrolysis'!B3012,parameters!$A$4:$A$20,0),MATCH('hydrogen - electrolysis'!A3024,parameters!$D$3:$N$3,0))</f>
        <v>2.6666666666666665E-2</v>
      </c>
    </row>
    <row r="3025" spans="1:22" x14ac:dyDescent="0.2">
      <c r="A3025" t="s">
        <v>45</v>
      </c>
      <c r="B3025" s="46">
        <f>INDEX(parameters!$D$4:$N$20,MATCH('hydrogen - electrolysis'!B3010&amp;'hydrogen - electrolysis'!B3012,parameters!$A$4:$A$20,0),MATCH('hydrogen - electrolysis'!A3025,parameters!$D$3:$N$3,0))</f>
        <v>0</v>
      </c>
    </row>
    <row r="3026" spans="1:22" x14ac:dyDescent="0.2">
      <c r="A3026" t="s">
        <v>46</v>
      </c>
      <c r="B3026" s="46">
        <f>INDEX(parameters!$D$4:$N$20,MATCH('hydrogen - electrolysis'!B3010&amp;'hydrogen - electrolysis'!B3012,parameters!$A$4:$A$20,0),MATCH('hydrogen - electrolysis'!A3026,parameters!$D$3:$N$3,0))</f>
        <v>1.4999999999999999E-2</v>
      </c>
    </row>
    <row r="3027" spans="1:22" x14ac:dyDescent="0.2">
      <c r="A3027" t="s">
        <v>43</v>
      </c>
      <c r="B3027" s="46">
        <f>INDEX(parameters!$D$4:$N$20,MATCH('hydrogen - electrolysis'!B3010&amp;'hydrogen - electrolysis'!B3012,parameters!$A$4:$A$20,0),MATCH('hydrogen - electrolysis'!A3027,parameters!$D$3:$N$3,0))</f>
        <v>0</v>
      </c>
    </row>
    <row r="3028" spans="1:22" x14ac:dyDescent="0.2">
      <c r="A3028" t="s">
        <v>44</v>
      </c>
      <c r="B3028" s="46">
        <f>INDEX(parameters!$D$4:$N$20,MATCH('hydrogen - electrolysis'!B3010&amp;'hydrogen - electrolysis'!B3012,parameters!$A$4:$A$20,0),MATCH('hydrogen - electrolysis'!A3028,parameters!$D$3:$N$3,0))</f>
        <v>0</v>
      </c>
    </row>
    <row r="3029" spans="1:22" x14ac:dyDescent="0.2">
      <c r="A3029" t="s">
        <v>634</v>
      </c>
      <c r="B3029" s="51">
        <f>INDEX(parameters!$D$4:$Y$20,MATCH('hydrogen - electrolysis'!B3010&amp;'hydrogen - electrolysis'!B3012,parameters!$A$4:$A$20,0),MATCH('hydrogen - electrolysis'!A3029,parameters!$D$3:$Y$3,0))</f>
        <v>351.41800246609125</v>
      </c>
    </row>
    <row r="3030" spans="1:22" x14ac:dyDescent="0.2">
      <c r="A3030" t="s">
        <v>82</v>
      </c>
      <c r="B3030" s="46">
        <f>IF(B3021&lt;&gt;0,VLOOKUP(B3021,parameters!A1946:B1948,2,0),0)</f>
        <v>0</v>
      </c>
    </row>
    <row r="3031" spans="1:22" x14ac:dyDescent="0.2">
      <c r="A3031" t="s">
        <v>548</v>
      </c>
      <c r="B3031" s="50">
        <f>INDEX(parameters!$D$4:$P$20,MATCH(B3010&amp;B3012,parameters!$A$4:$A$20,0),MATCH(A3031,parameters!$D$3:$P$3,0))</f>
        <v>125</v>
      </c>
    </row>
    <row r="3032" spans="1:22" x14ac:dyDescent="0.2">
      <c r="A3032" t="s">
        <v>547</v>
      </c>
      <c r="B3032" s="51">
        <f>INDEX(parameters!$D$4:$P$20,MATCH(B3010&amp;B3012,parameters!$A$4:$A$20,0),MATCH(A3032,parameters!$D$3:$P$3,0))</f>
        <v>19.512195121951219</v>
      </c>
    </row>
    <row r="3033" spans="1:22" x14ac:dyDescent="0.2">
      <c r="A3033" t="s">
        <v>630</v>
      </c>
      <c r="B3033" s="51">
        <f>INDEX(parameters!$D$4:$T$20,MATCH(B3010&amp;B3012,parameters!$A$4:$A$20,0),MATCH(A3033,parameters!$D$3:$T$3,0))</f>
        <v>4100</v>
      </c>
    </row>
    <row r="3034" spans="1:22" x14ac:dyDescent="0.2">
      <c r="A3034" t="s">
        <v>1005</v>
      </c>
      <c r="B3034" s="50">
        <f>IF(B3006="megajoule",SUMIFS(allocation!$I$4:$I$30,allocation!$B$4:$B$30,B3012,allocation!$C$4:$C$30,B3013),SUMIFS(allocation!$J$4:$J$30,allocation!$B$4:$B$30,B3012,allocation!$C$4:$C$30,B3013))</f>
        <v>0.12860042227295038</v>
      </c>
    </row>
    <row r="3035" spans="1:22" x14ac:dyDescent="0.2">
      <c r="A3035" t="s">
        <v>1050</v>
      </c>
      <c r="B3035" s="51">
        <f>INDEX(parameters!$D$4:$AB$20,MATCH(B3010&amp;B3012,parameters!$A$4:$A$20,0),MATCH(A3035,parameters!$D$3:$AB$3,0))</f>
        <v>2220.7364520822662</v>
      </c>
    </row>
    <row r="3037" spans="1:22" x14ac:dyDescent="0.2">
      <c r="A3037" s="3" t="s">
        <v>57</v>
      </c>
    </row>
    <row r="3038" spans="1:22" x14ac:dyDescent="0.2">
      <c r="A3038" s="2" t="s">
        <v>58</v>
      </c>
      <c r="B3038" s="44" t="s">
        <v>59</v>
      </c>
      <c r="C3038" s="2" t="s">
        <v>55</v>
      </c>
      <c r="D3038" s="2" t="s">
        <v>60</v>
      </c>
      <c r="E3038" s="2" t="s">
        <v>52</v>
      </c>
      <c r="F3038" s="2" t="s">
        <v>61</v>
      </c>
      <c r="G3038" s="2" t="s">
        <v>54</v>
      </c>
      <c r="H3038" s="2" t="s">
        <v>87</v>
      </c>
      <c r="I3038" s="2" t="s">
        <v>51</v>
      </c>
      <c r="J3038" s="2" t="s">
        <v>138</v>
      </c>
      <c r="K3038" s="2" t="s">
        <v>136</v>
      </c>
      <c r="L3038" s="2" t="s">
        <v>221</v>
      </c>
      <c r="M3038" s="2" t="s">
        <v>379</v>
      </c>
      <c r="N3038" s="2" t="s">
        <v>1059</v>
      </c>
      <c r="O3038" s="2" t="s">
        <v>1060</v>
      </c>
      <c r="P3038" s="2" t="s">
        <v>1061</v>
      </c>
      <c r="Q3038" s="2" t="s">
        <v>1062</v>
      </c>
      <c r="R3038" s="2" t="s">
        <v>1063</v>
      </c>
      <c r="S3038" s="2" t="s">
        <v>1064</v>
      </c>
      <c r="T3038" s="2" t="s">
        <v>1065</v>
      </c>
      <c r="U3038" s="2" t="s">
        <v>380</v>
      </c>
      <c r="V3038" s="2" t="s">
        <v>1128</v>
      </c>
    </row>
    <row r="3039" spans="1:22" x14ac:dyDescent="0.2">
      <c r="A3039" t="str">
        <f>B3000</f>
        <v>heat, residential, by combustion of hydrogen using CHP, allocated by exergy, transported by truck, produced by Electrolysis, PEM using water and electricity from Solar PV (CH)</v>
      </c>
      <c r="B3039" s="45">
        <v>1</v>
      </c>
      <c r="C3039" t="str">
        <f>B3006</f>
        <v>megajoule</v>
      </c>
      <c r="E3039" t="str">
        <f>B3003</f>
        <v>CH</v>
      </c>
      <c r="F3039" t="s">
        <v>62</v>
      </c>
      <c r="G3039" t="str">
        <f>B3005</f>
        <v>heat, from residential heating system</v>
      </c>
      <c r="K3039" t="str">
        <f>B3000</f>
        <v>heat, residential, by combustion of hydrogen using CHP, allocated by exergy, transported by truck, produced by Electrolysis, PEM using water and electricity from Solar PV (CH)</v>
      </c>
    </row>
    <row r="3040" spans="1:22" x14ac:dyDescent="0.2">
      <c r="A3040" t="str">
        <f>VLOOKUP(J3040,'dataset mapping'!$A$4:$E$69,2,0)</f>
        <v>heat and power co-generation unit construction, 160kW electrical, common components for heat+electricity</v>
      </c>
      <c r="B3040" s="52">
        <f>(1/(B3029*B3033*B3032*3.6))*B3034</f>
        <v>1.270649883812899E-9</v>
      </c>
      <c r="C3040" t="str">
        <f>VLOOKUP(J3040,'dataset mapping'!$A$4:$E$69,5,0)</f>
        <v>unit</v>
      </c>
      <c r="E3040" t="str">
        <f>VLOOKUP(J3040,'dataset mapping'!$A$4:$E$69,4,0)</f>
        <v>RER</v>
      </c>
      <c r="F3040" t="s">
        <v>86</v>
      </c>
      <c r="G3040" t="str">
        <f>VLOOKUP(J3040,'dataset mapping'!$A$4:$E$69,3,0)</f>
        <v>heat and power co-generation unit, 160kW electrical, common components for heat+electricity</v>
      </c>
      <c r="H3040" t="s">
        <v>88</v>
      </c>
      <c r="J3040" t="s">
        <v>145</v>
      </c>
      <c r="K3040" t="str">
        <f>B3000</f>
        <v>heat, residential, by combustion of hydrogen using CHP, allocated by exergy, transported by truck, produced by Electrolysis, PEM using water and electricity from Solar PV (CH)</v>
      </c>
      <c r="L3040">
        <f>IF(OR(B3040&lt;0,B3040=0),1,2)</f>
        <v>2</v>
      </c>
      <c r="M3040">
        <f>IF(L3040=2,LN(B3040),"")</f>
        <v>-20.48373734782199</v>
      </c>
      <c r="N3040">
        <v>1.05</v>
      </c>
      <c r="O3040" s="15">
        <v>1.2</v>
      </c>
      <c r="P3040">
        <v>1</v>
      </c>
      <c r="Q3040">
        <v>1.01</v>
      </c>
      <c r="R3040">
        <v>1.2</v>
      </c>
      <c r="S3040">
        <v>1.2</v>
      </c>
      <c r="T3040">
        <v>3</v>
      </c>
      <c r="U3040">
        <f t="shared" ref="U3040:U3048" si="104">LN(SQRT(EXP(
SQRT(
+POWER(LN(N3040),2)
+POWER(LN(O3040),2)
+POWER(LN(P3040),2)
+POWER(LN(Q3040),2)
+POWER(LN(R3040),2)
+POWER(LN(S3040),2)
+POWER(LN(T3040),2)
)
)))</f>
        <v>0.57209088006881903</v>
      </c>
    </row>
    <row r="3041" spans="1:22" x14ac:dyDescent="0.2">
      <c r="A3041" t="str">
        <f>VLOOKUP(J3041,'dataset mapping'!$A$4:$E$69,2,0)</f>
        <v>heat and power co-generation unit construction, 160kW electrical, components for electricity only</v>
      </c>
      <c r="B3041" s="52">
        <f>(1/(B3029*B3033*B3032*3.6))*B3034</f>
        <v>1.270649883812899E-9</v>
      </c>
      <c r="C3041" t="str">
        <f>VLOOKUP(J3041,'dataset mapping'!$A$4:$E$69,5,0)</f>
        <v>unit</v>
      </c>
      <c r="E3041" t="str">
        <f>VLOOKUP(J3041,'dataset mapping'!$A$4:$E$69,4,0)</f>
        <v>RER</v>
      </c>
      <c r="F3041" t="s">
        <v>86</v>
      </c>
      <c r="G3041" t="str">
        <f>VLOOKUP(J3041,'dataset mapping'!$A$4:$E$69,3,0)</f>
        <v>heat and power co-generation unit, 160kW electrical, components for electricity only</v>
      </c>
      <c r="H3041" t="s">
        <v>88</v>
      </c>
      <c r="J3041" t="s">
        <v>146</v>
      </c>
      <c r="K3041" t="str">
        <f>B3000</f>
        <v>heat, residential, by combustion of hydrogen using CHP, allocated by exergy, transported by truck, produced by Electrolysis, PEM using water and electricity from Solar PV (CH)</v>
      </c>
      <c r="L3041">
        <f>IF(OR(B3041&lt;0,B3041=0),1,2)</f>
        <v>2</v>
      </c>
      <c r="M3041">
        <f>IF(L3041=2,LN(B3041),"")</f>
        <v>-20.48373734782199</v>
      </c>
      <c r="N3041">
        <v>1.05</v>
      </c>
      <c r="O3041" s="15">
        <v>1.2</v>
      </c>
      <c r="P3041">
        <v>1</v>
      </c>
      <c r="Q3041">
        <v>1.01</v>
      </c>
      <c r="R3041">
        <v>1.2</v>
      </c>
      <c r="S3041">
        <v>1.2</v>
      </c>
      <c r="T3041">
        <v>3</v>
      </c>
      <c r="U3041">
        <f t="shared" si="104"/>
        <v>0.57209088006881903</v>
      </c>
    </row>
    <row r="3042" spans="1:22" x14ac:dyDescent="0.2">
      <c r="A3042" t="str">
        <f>VLOOKUP(J3042,'dataset mapping'!$A$4:$E$69,2,0)</f>
        <v>heat and power co-generation unit construction, 160kW electrical, components for heat only</v>
      </c>
      <c r="B3042" s="52">
        <f>(1/(B3029*B3033*B3032*3.6))*B3034</f>
        <v>1.270649883812899E-9</v>
      </c>
      <c r="C3042" t="str">
        <f>VLOOKUP(J3042,'dataset mapping'!$A$4:$E$69,5,0)</f>
        <v>unit</v>
      </c>
      <c r="E3042" t="str">
        <f>VLOOKUP(J3042,'dataset mapping'!$A$4:$E$69,4,0)</f>
        <v>RER</v>
      </c>
      <c r="F3042" t="s">
        <v>86</v>
      </c>
      <c r="G3042" t="str">
        <f>VLOOKUP(J3042,'dataset mapping'!$A$4:$E$69,3,0)</f>
        <v>heat and power co-generation unit, 160kW electrical, components for heat only</v>
      </c>
      <c r="H3042" t="s">
        <v>88</v>
      </c>
      <c r="J3042" t="s">
        <v>147</v>
      </c>
      <c r="K3042" t="str">
        <f>B3000</f>
        <v>heat, residential, by combustion of hydrogen using CHP, allocated by exergy, transported by truck, produced by Electrolysis, PEM using water and electricity from Solar PV (CH)</v>
      </c>
      <c r="L3042">
        <f>IF(OR(B3042&lt;0,B3042=0),1,2)</f>
        <v>2</v>
      </c>
      <c r="M3042">
        <f>IF(L3042=2,LN(B3042),"")</f>
        <v>-20.48373734782199</v>
      </c>
      <c r="N3042">
        <v>1.05</v>
      </c>
      <c r="O3042" s="15">
        <v>1.2</v>
      </c>
      <c r="P3042">
        <v>1</v>
      </c>
      <c r="Q3042">
        <v>1.01</v>
      </c>
      <c r="R3042">
        <v>1.2</v>
      </c>
      <c r="S3042">
        <v>1.2</v>
      </c>
      <c r="T3042">
        <v>3</v>
      </c>
      <c r="U3042">
        <f t="shared" si="104"/>
        <v>0.57209088006881903</v>
      </c>
    </row>
    <row r="3043" spans="1:22" x14ac:dyDescent="0.2">
      <c r="A3043" t="s">
        <v>156</v>
      </c>
      <c r="B3043" s="52">
        <f>0.00000011366*B3034</f>
        <v>1.461672399554354E-8</v>
      </c>
      <c r="C3043" t="s">
        <v>56</v>
      </c>
      <c r="E3043" t="s">
        <v>90</v>
      </c>
      <c r="F3043" t="s">
        <v>86</v>
      </c>
      <c r="G3043" t="s">
        <v>154</v>
      </c>
      <c r="H3043" t="s">
        <v>155</v>
      </c>
      <c r="K3043" t="str">
        <f>B3000</f>
        <v>heat, residential, by combustion of hydrogen using CHP, allocated by exergy, transported by truck, produced by Electrolysis, PEM using water and electricity from Solar PV (CH)</v>
      </c>
      <c r="L3043">
        <f>IF(OR(B3043&lt;0,B3043=0),1,2)</f>
        <v>2</v>
      </c>
      <c r="M3043">
        <f>IF(L3043=2,LN(B3043),"")</f>
        <v>-18.041099484645969</v>
      </c>
      <c r="N3043">
        <v>1.05</v>
      </c>
      <c r="O3043" s="15">
        <v>1.2</v>
      </c>
      <c r="P3043">
        <v>1</v>
      </c>
      <c r="Q3043">
        <v>1.01</v>
      </c>
      <c r="R3043">
        <v>1.2</v>
      </c>
      <c r="S3043">
        <v>1.2</v>
      </c>
      <c r="T3043">
        <v>1.05</v>
      </c>
      <c r="U3043">
        <f t="shared" si="104"/>
        <v>0.16169679924070957</v>
      </c>
    </row>
    <row r="3044" spans="1:22" x14ac:dyDescent="0.2">
      <c r="A3044" t="s">
        <v>157</v>
      </c>
      <c r="B3044" s="52">
        <f>0.00000011366*B3034*-1</f>
        <v>-1.461672399554354E-8</v>
      </c>
      <c r="C3044" t="s">
        <v>56</v>
      </c>
      <c r="E3044" t="s">
        <v>64</v>
      </c>
      <c r="F3044" t="s">
        <v>86</v>
      </c>
      <c r="G3044" t="s">
        <v>158</v>
      </c>
      <c r="H3044" t="s">
        <v>155</v>
      </c>
      <c r="K3044" t="str">
        <f>B3000</f>
        <v>heat, residential, by combustion of hydrogen using CHP, allocated by exergy, transported by truck, produced by Electrolysis, PEM using water and electricity from Solar PV (CH)</v>
      </c>
      <c r="L3044">
        <v>2</v>
      </c>
      <c r="M3044">
        <f>IF(L3044=2,LN(B3044*-1),"")</f>
        <v>-18.041099484645969</v>
      </c>
      <c r="N3044">
        <v>1.05</v>
      </c>
      <c r="O3044" s="15">
        <v>1.2</v>
      </c>
      <c r="P3044">
        <v>1</v>
      </c>
      <c r="Q3044">
        <v>1.01</v>
      </c>
      <c r="R3044">
        <v>1.2</v>
      </c>
      <c r="S3044">
        <v>1.2</v>
      </c>
      <c r="T3044">
        <v>3</v>
      </c>
      <c r="U3044">
        <f t="shared" si="104"/>
        <v>0.57209088006881903</v>
      </c>
      <c r="V3044" t="b">
        <v>1</v>
      </c>
    </row>
    <row r="3045" spans="1:22" x14ac:dyDescent="0.2">
      <c r="A3045" s="45" t="str">
        <f>"hydrogen supply, transported by "&amp;B3014&amp;", produced by "&amp;B3018&amp;" using "&amp;B3019&amp;" from "&amp;B3020</f>
        <v>hydrogen supply, transported by truck, produced by Electrolysis, PEM using water and electricity from Solar PV (CH)</v>
      </c>
      <c r="B3045" s="53">
        <f>(B3039/B3023)/B3022*B3034</f>
        <v>2.56995248347223E-3</v>
      </c>
      <c r="C3045" t="str">
        <f>VLOOKUP(J3045,'dataset mapping'!$A$4:$E$69,5,0)</f>
        <v>kilogram</v>
      </c>
      <c r="E3045" t="str">
        <f>VLOOKUP(J3045,'dataset mapping'!$A$4:$E$69,4,0)</f>
        <v>CH</v>
      </c>
      <c r="F3045" t="s">
        <v>86</v>
      </c>
      <c r="G3045" t="str">
        <f>"hydrogen, gaseous, from "&amp;B1654</f>
        <v>hydrogen, gaseous, from truck</v>
      </c>
      <c r="H3045" t="s">
        <v>76</v>
      </c>
      <c r="I3045" t="s">
        <v>1054</v>
      </c>
      <c r="J3045" t="s">
        <v>292</v>
      </c>
      <c r="K3045" t="str">
        <f>B3000</f>
        <v>heat, residential, by combustion of hydrogen using CHP, allocated by exergy, transported by truck, produced by Electrolysis, PEM using water and electricity from Solar PV (CH)</v>
      </c>
      <c r="L3045">
        <f>IF(OR(B3045&lt;0,B3045=0),1,2)</f>
        <v>2</v>
      </c>
      <c r="M3045">
        <f>IF(L3045=2,LN(B3045),"")</f>
        <v>-5.9638678691672418</v>
      </c>
      <c r="N3045">
        <v>1.05</v>
      </c>
      <c r="O3045" s="15">
        <v>1.2</v>
      </c>
      <c r="P3045">
        <v>1</v>
      </c>
      <c r="Q3045">
        <v>1.01</v>
      </c>
      <c r="R3045">
        <v>1.2</v>
      </c>
      <c r="S3045">
        <v>1.2</v>
      </c>
      <c r="T3045">
        <v>1.05</v>
      </c>
      <c r="U3045">
        <f t="shared" si="104"/>
        <v>0.16169679924070957</v>
      </c>
    </row>
    <row r="3046" spans="1:22" x14ac:dyDescent="0.2">
      <c r="A3046" t="str">
        <f>VLOOKUP(J3046,'dataset mapping'!$A$4:$E$69,2,0)</f>
        <v>high pressure hydrogen storage tank</v>
      </c>
      <c r="B3046" s="52">
        <f>((B3035/10)/(B3033*B3029*20*3.6))*IF(B3034&lt;&gt;0,B3034,1)</f>
        <v>2.7529546486023421E-7</v>
      </c>
      <c r="C3046" t="str">
        <f>VLOOKUP(J3046,'dataset mapping'!$A$4:$E$69,5,0)</f>
        <v>kilogram</v>
      </c>
      <c r="E3046" t="str">
        <f>VLOOKUP(J3046,'dataset mapping'!$A$4:$E$69,4,0)</f>
        <v>GLO</v>
      </c>
      <c r="F3046" t="s">
        <v>86</v>
      </c>
      <c r="G3046" t="str">
        <f>VLOOKUP(J3046,'dataset mapping'!$A$4:$E$69,3,0)</f>
        <v>high pressure hydrogen storage tank</v>
      </c>
      <c r="H3046" t="s">
        <v>88</v>
      </c>
      <c r="I3046" t="s">
        <v>279</v>
      </c>
      <c r="J3046" t="s">
        <v>229</v>
      </c>
      <c r="K3046" t="str">
        <f>B3000</f>
        <v>heat, residential, by combustion of hydrogen using CHP, allocated by exergy, transported by truck, produced by Electrolysis, PEM using water and electricity from Solar PV (CH)</v>
      </c>
      <c r="L3046">
        <f>IF(OR(B3046&lt;0,B3046=0),1,2)</f>
        <v>2</v>
      </c>
      <c r="M3046">
        <f>IF(L3046=2,LN(B3046),"")</f>
        <v>-15.105420898379837</v>
      </c>
      <c r="N3046">
        <v>1.05</v>
      </c>
      <c r="O3046" s="15">
        <v>1.2</v>
      </c>
      <c r="P3046">
        <v>1</v>
      </c>
      <c r="Q3046">
        <v>1.01</v>
      </c>
      <c r="R3046">
        <v>1.2</v>
      </c>
      <c r="S3046">
        <v>1.2</v>
      </c>
      <c r="T3046">
        <v>3</v>
      </c>
      <c r="U3046">
        <f t="shared" si="104"/>
        <v>0.57209088006881903</v>
      </c>
    </row>
    <row r="3047" spans="1:22" x14ac:dyDescent="0.2">
      <c r="A3047" t="s">
        <v>134</v>
      </c>
      <c r="B3047" s="45">
        <f>B3045*9</f>
        <v>2.3129572351250072E-2</v>
      </c>
      <c r="C3047" t="s">
        <v>56</v>
      </c>
      <c r="D3047" t="s">
        <v>100</v>
      </c>
      <c r="F3047" t="s">
        <v>99</v>
      </c>
      <c r="H3047" t="s">
        <v>131</v>
      </c>
      <c r="I3047" t="s">
        <v>1058</v>
      </c>
      <c r="K3047" t="str">
        <f>B3000</f>
        <v>heat, residential, by combustion of hydrogen using CHP, allocated by exergy, transported by truck, produced by Electrolysis, PEM using water and electricity from Solar PV (CH)</v>
      </c>
      <c r="L3047">
        <f>IF(OR(B3047&lt;0,B3047=0),1,2)</f>
        <v>2</v>
      </c>
      <c r="M3047">
        <f>IF(L3047=2,LN(B3047),"")</f>
        <v>-3.7666432918310226</v>
      </c>
      <c r="N3047">
        <v>1.05</v>
      </c>
      <c r="O3047" s="15">
        <v>1.2</v>
      </c>
      <c r="P3047">
        <v>1</v>
      </c>
      <c r="Q3047">
        <v>1.01</v>
      </c>
      <c r="R3047">
        <v>1.2</v>
      </c>
      <c r="S3047">
        <v>1.2</v>
      </c>
      <c r="T3047">
        <v>1.05</v>
      </c>
      <c r="U3047">
        <f t="shared" si="104"/>
        <v>0.16169679924070957</v>
      </c>
    </row>
    <row r="3048" spans="1:22" x14ac:dyDescent="0.2">
      <c r="A3048" t="s">
        <v>135</v>
      </c>
      <c r="B3048" s="45">
        <f>912.5/1000000*B3045</f>
        <v>2.3450816411684101E-6</v>
      </c>
      <c r="C3048" t="s">
        <v>56</v>
      </c>
      <c r="D3048" t="s">
        <v>100</v>
      </c>
      <c r="F3048" t="s">
        <v>99</v>
      </c>
      <c r="H3048" t="s">
        <v>131</v>
      </c>
      <c r="I3048" t="s">
        <v>1217</v>
      </c>
      <c r="K3048" t="str">
        <f>B3000</f>
        <v>heat, residential, by combustion of hydrogen using CHP, allocated by exergy, transported by truck, produced by Electrolysis, PEM using water and electricity from Solar PV (CH)</v>
      </c>
      <c r="L3048">
        <f>IF(OR(B3048&lt;0,B3048=0),1,2)</f>
        <v>2</v>
      </c>
      <c r="M3048">
        <f>IF(L3048=2,LN(B3048),"")</f>
        <v>-12.963190341674869</v>
      </c>
      <c r="N3048">
        <v>1.05</v>
      </c>
      <c r="O3048" s="15">
        <v>1.2</v>
      </c>
      <c r="P3048">
        <v>1</v>
      </c>
      <c r="Q3048">
        <v>1.01</v>
      </c>
      <c r="R3048">
        <v>1.2</v>
      </c>
      <c r="S3048">
        <v>1.2</v>
      </c>
      <c r="T3048">
        <v>1.5</v>
      </c>
      <c r="U3048">
        <f t="shared" si="104"/>
        <v>0.25816898211842121</v>
      </c>
    </row>
    <row r="3050" spans="1:22" x14ac:dyDescent="0.2">
      <c r="A3050" s="2" t="s">
        <v>50</v>
      </c>
      <c r="B3050" s="44" t="str">
        <f>IF(B3056="megajoule","heat","electricity")&amp;", residential, by "&amp;B3061&amp;" of "&amp;B3060&amp;" using "&amp;B3062&amp;IF(B3063&lt;&gt;0,", allocated by "&amp;B3063,"")&amp;", transported by "&amp;B3064&amp;", produced by "&amp;B3068&amp;" using "&amp;B3069&amp;" from "&amp;B3070</f>
        <v>heat, residential, by conversion of hydrogen using fuel cell, PEM, allocated by exergy, transported by truck, produced by Electrolysis, PEM using water and electricity from Solar PV (CH)</v>
      </c>
    </row>
    <row r="3051" spans="1:22" x14ac:dyDescent="0.2">
      <c r="A3051" t="s">
        <v>51</v>
      </c>
      <c r="B3051" s="45" t="str">
        <f>"This dataset represents the supply of 1 "&amp;IF(B3056="megajoule","megajoule of heat","kilowatt hour of electricity")&amp;" in a residence, by "&amp;B3060&amp;" "&amp;B3061&amp;" in a "&amp;B3062&amp;". "&amp;" The hydrogen is transported by "&amp;B3064&amp;" over "&amp;B3065&amp;" km from regional storage. "&amp;" The "&amp;B3060&amp;" is produced by  "&amp;B3068&amp;", with "&amp;B3069&amp;" from "&amp;B3070&amp;" as feedstock. "&amp;A3072&amp;": "&amp;(B3072*100)&amp;"%. "&amp;A3073&amp;": "&amp;B3073&amp;". "&amp;A3074&amp;": "&amp;B3074&amp;". "&amp;A3075&amp;": "&amp;(B3075*100)&amp;"%. "&amp;A3076&amp;": "&amp;(B3076*100)&amp;"%. "&amp;A3077&amp;": "&amp;(B3077*100)&amp;"%. "&amp;A3078&amp;": "&amp;B3078&amp;". "&amp;A3079&amp;": "&amp;B3079&amp;". "&amp;A3080&amp;": "&amp;(B3080*100)&amp;"%. "&amp;A3081&amp;": "&amp;B3081&amp;". "&amp;A3082&amp;": "&amp;B3082&amp;". "&amp;A3083&amp;": "&amp;B3083&amp;". "&amp;A3084&amp;": "&amp;B3084&amp;".  For more information, refer to: "&amp;B3052</f>
        <v>This dataset represents the supply of 1 megajoule of heat in a residence, by hydrogen conversion in a fuel cell, PEM.  The hydrogen is transported by truck over 200 km from regional storage.  The hydrogen is produced by  Electrolysis, PEM,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3052" spans="1:22" x14ac:dyDescent="0.2">
      <c r="A3052" t="s">
        <v>63</v>
      </c>
      <c r="B3052" s="45" t="s">
        <v>1223</v>
      </c>
    </row>
    <row r="3053" spans="1:22" x14ac:dyDescent="0.2">
      <c r="A3053" t="s">
        <v>52</v>
      </c>
      <c r="B3053" s="45" t="s">
        <v>64</v>
      </c>
    </row>
    <row r="3054" spans="1:22" x14ac:dyDescent="0.2">
      <c r="A3054" t="s">
        <v>48</v>
      </c>
      <c r="B3054" s="45">
        <v>39</v>
      </c>
    </row>
    <row r="3055" spans="1:22" x14ac:dyDescent="0.2">
      <c r="A3055" t="s">
        <v>54</v>
      </c>
      <c r="B3055" s="45" t="str">
        <f>INDEX(overview!$B$4:$R$338,MATCH('hydrogen - electrolysis'!B3054,overview!$A$4:$A$338,0),MATCH('hydrogen - electrolysis'!A3055,overview!$B$3:$R$3,0))</f>
        <v>heat, from residential heating system</v>
      </c>
    </row>
    <row r="3056" spans="1:22" x14ac:dyDescent="0.2">
      <c r="A3056" t="s">
        <v>55</v>
      </c>
      <c r="B3056" s="45" t="str">
        <f>INDEX(overview!$B$4:$R$338,MATCH('hydrogen - electrolysis'!B3054,overview!$A$4:$A$338,0),MATCH('hydrogen - electrolysis'!A3056,overview!$B$3:$R$3,0))</f>
        <v>megajoule</v>
      </c>
    </row>
    <row r="3057" spans="1:2" x14ac:dyDescent="0.2">
      <c r="A3057" t="s">
        <v>0</v>
      </c>
      <c r="B3057" s="45" t="str">
        <f>INDEX(overview!$B$4:$R$338,MATCH('hydrogen - electrolysis'!B3054,overview!$A$4:$A$338,0),MATCH('hydrogen - electrolysis'!A3057,overview!$B$3:$R$3,0))</f>
        <v>Switzerland</v>
      </c>
    </row>
    <row r="3058" spans="1:2" x14ac:dyDescent="0.2">
      <c r="A3058" t="s">
        <v>1</v>
      </c>
      <c r="B3058" s="45">
        <f>INDEX(overview!$B$4:$R$338,MATCH('hydrogen - electrolysis'!B3054,overview!$A$4:$A$338,0),MATCH('hydrogen - electrolysis'!A3058,overview!$B$3:$R$3,0))</f>
        <v>2020</v>
      </c>
    </row>
    <row r="3059" spans="1:2" x14ac:dyDescent="0.2">
      <c r="A3059" t="s">
        <v>2</v>
      </c>
      <c r="B3059" s="45" t="str">
        <f>INDEX(overview!$B$4:$R$338,MATCH('hydrogen - electrolysis'!B3054,overview!$A$4:$A$338,0),MATCH('hydrogen - electrolysis'!A3059,overview!$B$3:$R$3,0))</f>
        <v>1 MJ heat</v>
      </c>
    </row>
    <row r="3060" spans="1:2" x14ac:dyDescent="0.2">
      <c r="A3060" t="s">
        <v>5</v>
      </c>
      <c r="B3060" s="45" t="str">
        <f>INDEX(overview!$B$4:$R$338,MATCH('hydrogen - electrolysis'!B3054,overview!$A$4:$A$338,0),MATCH('hydrogen - electrolysis'!A3060,overview!$B$3:$R$3,0))</f>
        <v>hydrogen</v>
      </c>
    </row>
    <row r="3061" spans="1:2" x14ac:dyDescent="0.2">
      <c r="A3061" t="s">
        <v>3</v>
      </c>
      <c r="B3061" s="45" t="str">
        <f>INDEX(overview!$B$4:$R$338,MATCH('hydrogen - electrolysis'!B3054,overview!$A$4:$A$338,0),MATCH('hydrogen - electrolysis'!A3061,overview!$B$3:$R$3,0))</f>
        <v>conversion</v>
      </c>
    </row>
    <row r="3062" spans="1:2" x14ac:dyDescent="0.2">
      <c r="A3062" t="s">
        <v>6</v>
      </c>
      <c r="B3062" s="45" t="str">
        <f>INDEX(overview!$B$4:$R$338,MATCH('hydrogen - electrolysis'!B3054,overview!$A$4:$A$338,0),MATCH('hydrogen - electrolysis'!A3062,overview!$B$3:$R$3,0))</f>
        <v>fuel cell, PEM</v>
      </c>
    </row>
    <row r="3063" spans="1:2" x14ac:dyDescent="0.2">
      <c r="A3063" t="s">
        <v>39</v>
      </c>
      <c r="B3063" s="45" t="str">
        <f>INDEX(overview!$B$4:$R$338,MATCH('hydrogen - electrolysis'!B3054,overview!$A$4:$A$338,0),MATCH('hydrogen - electrolysis'!A3063,overview!$B$3:$R$3,0))</f>
        <v>exergy</v>
      </c>
    </row>
    <row r="3064" spans="1:2" x14ac:dyDescent="0.2">
      <c r="A3064" t="s">
        <v>4</v>
      </c>
      <c r="B3064" s="45" t="str">
        <f>INDEX(overview!$B$4:$R$338,MATCH('hydrogen - electrolysis'!B3054,overview!$A$4:$A$338,0),MATCH('hydrogen - electrolysis'!A3064,overview!$B$3:$R$3,0))</f>
        <v>truck</v>
      </c>
    </row>
    <row r="3065" spans="1:2" x14ac:dyDescent="0.2">
      <c r="A3065" t="s">
        <v>38</v>
      </c>
      <c r="B3065" s="45">
        <f>INDEX(overview!$B$4:$R$338,MATCH('hydrogen - electrolysis'!B3054,overview!$A$4:$A$338,0),MATCH('hydrogen - electrolysis'!A3065,overview!$B$3:$R$3,0))</f>
        <v>200</v>
      </c>
    </row>
    <row r="3066" spans="1:2" x14ac:dyDescent="0.2">
      <c r="A3066" t="s">
        <v>12</v>
      </c>
      <c r="B3066" s="45" t="str">
        <f>INDEX(overview!$B$4:$R$338,MATCH('hydrogen - electrolysis'!B3054,overview!$A$4:$A$338,0),MATCH('hydrogen - electrolysis'!A3066,overview!$B$3:$R$3,0))</f>
        <v>Pressure vessel for stationary storage</v>
      </c>
    </row>
    <row r="3067" spans="1:2" x14ac:dyDescent="0.2">
      <c r="A3067" t="s">
        <v>34</v>
      </c>
      <c r="B3067" s="45">
        <f>INDEX(overview!$B$4:$R$338,MATCH('hydrogen - electrolysis'!B3054,overview!$A$4:$A$338,0),MATCH('hydrogen - electrolysis'!A3067,overview!$B$3:$R$3,0))</f>
        <v>0</v>
      </c>
    </row>
    <row r="3068" spans="1:2" x14ac:dyDescent="0.2">
      <c r="A3068" t="s">
        <v>15</v>
      </c>
      <c r="B3068" s="45" t="str">
        <f>INDEX(overview!$B$4:$R$338,MATCH('hydrogen - electrolysis'!B3054,overview!$A$4:$A$338,0),MATCH('hydrogen - electrolysis'!A3068,overview!$B$3:$R$3,0))</f>
        <v>Electrolysis, PEM</v>
      </c>
    </row>
    <row r="3069" spans="1:2" x14ac:dyDescent="0.2">
      <c r="A3069" t="s">
        <v>14</v>
      </c>
      <c r="B3069" s="45" t="str">
        <f>INDEX(overview!$B$4:$R$338,MATCH('hydrogen - electrolysis'!B3054,overview!$A$4:$A$338,0),MATCH('hydrogen - electrolysis'!A3069,overview!$B$3:$R$3,0))</f>
        <v>water and electricity</v>
      </c>
    </row>
    <row r="3070" spans="1:2" x14ac:dyDescent="0.2">
      <c r="A3070" t="s">
        <v>26</v>
      </c>
      <c r="B3070" s="45" t="str">
        <f>INDEX(overview!$B$4:$R$338,MATCH('hydrogen - electrolysis'!B3054,overview!$A$4:$A$338,0),MATCH('hydrogen - electrolysis'!A3070,overview!$B$3:$R$3,0))</f>
        <v>Solar PV (CH)</v>
      </c>
    </row>
    <row r="3071" spans="1:2" x14ac:dyDescent="0.2">
      <c r="A3071" t="s">
        <v>29</v>
      </c>
      <c r="B3071" s="45">
        <f>INDEX(overview!$B$4:$R$338,MATCH('hydrogen - electrolysis'!B3054,overview!$A$4:$A$338,0),MATCH('hydrogen - electrolysis'!A3071,overview!$B$3:$R$3,0))</f>
        <v>0</v>
      </c>
    </row>
    <row r="3072" spans="1:2" x14ac:dyDescent="0.2">
      <c r="A3072" t="str">
        <f>IF(B3056="megajoule","Heat","Electricity")&amp;" conversion efficiency [% LHV input]"</f>
        <v>Heat conversion efficiency [% LHV input]</v>
      </c>
      <c r="B3072" s="46">
        <f>INDEX(parameters!$D$4:$N$20,MATCH('hydrogen - electrolysis'!B3060&amp;'hydrogen - electrolysis'!B3062,parameters!$A$4:$A$20,0),MATCH('hydrogen - electrolysis'!A3072,parameters!$D$3:$N$3,0))</f>
        <v>0.5</v>
      </c>
    </row>
    <row r="3073" spans="1:22" x14ac:dyDescent="0.2">
      <c r="A3073" t="str">
        <f>IF(B3056="megajoule","LHV [MJ/kg]","LHV [kWh/kg]")</f>
        <v>LHV [MJ/kg]</v>
      </c>
      <c r="B3073" s="47">
        <f>INDEX(parameters!$D$4:$N$20,MATCH('hydrogen - electrolysis'!B3060&amp;'hydrogen - electrolysis'!B3062,parameters!$A$4:$A$20,0),MATCH('hydrogen - electrolysis'!A3073,parameters!$D$3:$N$3,0))</f>
        <v>120</v>
      </c>
    </row>
    <row r="3074" spans="1:22" x14ac:dyDescent="0.2">
      <c r="A3074" t="s">
        <v>41</v>
      </c>
      <c r="B3074" s="48">
        <f>INDEX(parameters!$D$4:$N$20,MATCH('hydrogen - electrolysis'!B3060&amp;'hydrogen - electrolysis'!B3062,parameters!$A$4:$A$20,0),MATCH('hydrogen - electrolysis'!A3074,parameters!$D$3:$N$3,0))</f>
        <v>2.6666666666666665E-2</v>
      </c>
    </row>
    <row r="3075" spans="1:22" x14ac:dyDescent="0.2">
      <c r="A3075" t="s">
        <v>45</v>
      </c>
      <c r="B3075" s="46">
        <f>INDEX(parameters!$D$4:$N$20,MATCH('hydrogen - electrolysis'!B3060&amp;'hydrogen - electrolysis'!B3062,parameters!$A$4:$A$20,0),MATCH('hydrogen - electrolysis'!A3075,parameters!$D$3:$N$3,0))</f>
        <v>0</v>
      </c>
    </row>
    <row r="3076" spans="1:22" x14ac:dyDescent="0.2">
      <c r="A3076" t="s">
        <v>46</v>
      </c>
      <c r="B3076" s="46">
        <f>INDEX(parameters!$D$4:$N$20,MATCH('hydrogen - electrolysis'!B3060&amp;'hydrogen - electrolysis'!B3062,parameters!$A$4:$A$20,0),MATCH('hydrogen - electrolysis'!A3076,parameters!$D$3:$N$3,0))</f>
        <v>1.4999999999999999E-2</v>
      </c>
    </row>
    <row r="3077" spans="1:22" x14ac:dyDescent="0.2">
      <c r="A3077" t="s">
        <v>43</v>
      </c>
      <c r="B3077" s="46">
        <f>INDEX(parameters!$D$4:$N$20,MATCH('hydrogen - electrolysis'!B3060&amp;'hydrogen - electrolysis'!B3062,parameters!$A$4:$A$20,0),MATCH('hydrogen - electrolysis'!A3077,parameters!$D$3:$N$3,0))</f>
        <v>0</v>
      </c>
    </row>
    <row r="3078" spans="1:22" x14ac:dyDescent="0.2">
      <c r="A3078" t="s">
        <v>44</v>
      </c>
      <c r="B3078" s="46">
        <f>INDEX(parameters!$D$4:$N$20,MATCH('hydrogen - electrolysis'!B3060&amp;'hydrogen - electrolysis'!B3062,parameters!$A$4:$A$20,0),MATCH('hydrogen - electrolysis'!A3078,parameters!$D$3:$N$3,0))</f>
        <v>0</v>
      </c>
    </row>
    <row r="3079" spans="1:22" x14ac:dyDescent="0.2">
      <c r="A3079" t="s">
        <v>634</v>
      </c>
      <c r="B3079" s="51">
        <f>INDEX(parameters!$D$4:$Y$20,MATCH('hydrogen - electrolysis'!B3060&amp;'hydrogen - electrolysis'!B3062,parameters!$A$4:$A$20,0),MATCH('hydrogen - electrolysis'!A3079,parameters!$D$3:$Y$3,0))</f>
        <v>1.8947368421052633</v>
      </c>
    </row>
    <row r="3080" spans="1:22" x14ac:dyDescent="0.2">
      <c r="A3080" t="s">
        <v>82</v>
      </c>
      <c r="B3080" s="46">
        <f>IF(B3071&lt;&gt;0,VLOOKUP(B3071,parameters!A1999:B2001,2,0),0)</f>
        <v>0</v>
      </c>
    </row>
    <row r="3081" spans="1:22" x14ac:dyDescent="0.2">
      <c r="A3081" t="s">
        <v>548</v>
      </c>
      <c r="B3081" s="50">
        <f>INDEX(parameters!$D$4:$P$20,MATCH(B3060&amp;B3062,parameters!$A$4:$A$20,0),MATCH(A3081,parameters!$D$3:$P$3,0))</f>
        <v>0.8</v>
      </c>
    </row>
    <row r="3082" spans="1:22" x14ac:dyDescent="0.2">
      <c r="A3082" t="s">
        <v>547</v>
      </c>
      <c r="B3082" s="51">
        <f>INDEX(parameters!$D$4:$P$20,MATCH(B3060&amp;B3062,parameters!$A$4:$A$20,0),MATCH(A3082,parameters!$D$3:$P$3,0))</f>
        <v>4.8780487804878048</v>
      </c>
    </row>
    <row r="3083" spans="1:22" x14ac:dyDescent="0.2">
      <c r="A3083" t="s">
        <v>630</v>
      </c>
      <c r="B3083" s="51">
        <f>INDEX(parameters!$D$4:$T$20,MATCH(B3060&amp;B3062,parameters!$A$4:$A$20,0),MATCH(A3083,parameters!$D$3:$T$3,0))</f>
        <v>4100</v>
      </c>
    </row>
    <row r="3084" spans="1:22" x14ac:dyDescent="0.2">
      <c r="A3084" t="s">
        <v>1005</v>
      </c>
      <c r="B3084" s="50">
        <f>IF(B3056="megajoule",SUMIFS(allocation!$I$4:$I$30,allocation!$B$4:$B$30,B3062,allocation!$C$4:$C$30,B3063),SUMIFS(allocation!$J$4:$J$30,allocation!$B$4:$B$30,B3062,allocation!$C$4:$C$30,B3063))</f>
        <v>0.13933980798974457</v>
      </c>
    </row>
    <row r="3085" spans="1:22" x14ac:dyDescent="0.2">
      <c r="A3085" t="s">
        <v>1050</v>
      </c>
      <c r="B3085" s="51">
        <f>INDEX(parameters!$D$4:$AB$20,MATCH(B3060&amp;B3062,parameters!$A$4:$A$20,0),MATCH(A3085,parameters!$D$3:$AB$3,0))</f>
        <v>10.221606648199446</v>
      </c>
    </row>
    <row r="3087" spans="1:22" x14ac:dyDescent="0.2">
      <c r="A3087" s="3" t="s">
        <v>57</v>
      </c>
    </row>
    <row r="3088" spans="1:22" x14ac:dyDescent="0.2">
      <c r="A3088" s="2" t="s">
        <v>58</v>
      </c>
      <c r="B3088" s="44" t="s">
        <v>59</v>
      </c>
      <c r="C3088" s="2" t="s">
        <v>55</v>
      </c>
      <c r="D3088" s="2" t="s">
        <v>60</v>
      </c>
      <c r="E3088" s="2" t="s">
        <v>52</v>
      </c>
      <c r="F3088" s="2" t="s">
        <v>61</v>
      </c>
      <c r="G3088" s="2" t="s">
        <v>54</v>
      </c>
      <c r="H3088" s="2" t="s">
        <v>87</v>
      </c>
      <c r="I3088" s="2" t="s">
        <v>51</v>
      </c>
      <c r="J3088" s="2" t="s">
        <v>138</v>
      </c>
      <c r="K3088" s="2" t="s">
        <v>136</v>
      </c>
      <c r="L3088" s="2" t="s">
        <v>221</v>
      </c>
      <c r="M3088" s="2" t="s">
        <v>379</v>
      </c>
      <c r="N3088" s="2" t="s">
        <v>1059</v>
      </c>
      <c r="O3088" s="2" t="s">
        <v>1060</v>
      </c>
      <c r="P3088" s="2" t="s">
        <v>1061</v>
      </c>
      <c r="Q3088" s="2" t="s">
        <v>1062</v>
      </c>
      <c r="R3088" s="2" t="s">
        <v>1063</v>
      </c>
      <c r="S3088" s="2" t="s">
        <v>1064</v>
      </c>
      <c r="T3088" s="2" t="s">
        <v>1065</v>
      </c>
      <c r="U3088" s="2" t="s">
        <v>380</v>
      </c>
      <c r="V3088" s="2" t="s">
        <v>1128</v>
      </c>
    </row>
    <row r="3089" spans="1:21" x14ac:dyDescent="0.2">
      <c r="A3089" t="str">
        <f>B3050</f>
        <v>heat, residential, by conversion of hydrogen using fuel cell, PEM, allocated by exergy, transported by truck, produced by Electrolysis, PEM using water and electricity from Solar PV (CH)</v>
      </c>
      <c r="B3089" s="45">
        <v>1</v>
      </c>
      <c r="C3089" t="str">
        <f>B3056</f>
        <v>megajoule</v>
      </c>
      <c r="E3089" t="str">
        <f>B3053</f>
        <v>CH</v>
      </c>
      <c r="F3089" t="s">
        <v>62</v>
      </c>
      <c r="G3089" t="str">
        <f>B3055</f>
        <v>heat, from residential heating system</v>
      </c>
      <c r="K3089" t="str">
        <f>B3050</f>
        <v>heat, residential, by conversion of hydrogen using fuel cell, PEM, allocated by exergy, transported by truck, produced by Electrolysis, PEM using water and electricity from Solar PV (CH)</v>
      </c>
    </row>
    <row r="3090" spans="1:21" x14ac:dyDescent="0.2">
      <c r="A3090" t="str">
        <f>VLOOKUP(J3090,'dataset mapping'!$A$4:$E$69,2,0)</f>
        <v>fuel cell system assembly, 1 kWe, proton exchange membrane (PEM)</v>
      </c>
      <c r="B3090" s="52">
        <f>(1/(B3079*B3083*B3082*3.6))*B3084</f>
        <v>1.0213951974556892E-6</v>
      </c>
      <c r="C3090" t="str">
        <f>VLOOKUP(J3090,'dataset mapping'!$A$4:$E$69,5,0)</f>
        <v>unit</v>
      </c>
      <c r="E3090" t="str">
        <f>VLOOKUP(J3090,'dataset mapping'!$A$4:$E$69,4,0)</f>
        <v>GLO</v>
      </c>
      <c r="F3090" t="s">
        <v>86</v>
      </c>
      <c r="G3090" t="str">
        <f>VLOOKUP(J3090,'dataset mapping'!$A$4:$E$69,3,0)</f>
        <v>fuel cell system, 1 kWe, proton exchange membrane (PEM)</v>
      </c>
      <c r="H3090" t="s">
        <v>88</v>
      </c>
      <c r="I3090" t="s">
        <v>272</v>
      </c>
      <c r="J3090" t="s">
        <v>273</v>
      </c>
      <c r="K3090" t="str">
        <f>B3050</f>
        <v>heat, residential, by conversion of hydrogen using fuel cell, PEM, allocated by exergy, transported by truck, produced by Electrolysis, PEM using water and electricity from Solar PV (CH)</v>
      </c>
      <c r="L3090">
        <f>IF(OR(B3090&lt;0,B3090=0),1,2)</f>
        <v>2</v>
      </c>
      <c r="M3090">
        <f>IF(L3090=2,LN(B3090),"")</f>
        <v>-13.794341024667077</v>
      </c>
      <c r="N3090">
        <v>1</v>
      </c>
      <c r="O3090" s="15">
        <v>1.2</v>
      </c>
      <c r="P3090">
        <v>1</v>
      </c>
      <c r="Q3090">
        <v>1.01</v>
      </c>
      <c r="R3090">
        <v>1.2</v>
      </c>
      <c r="S3090">
        <v>1.2</v>
      </c>
      <c r="T3090">
        <v>3</v>
      </c>
      <c r="U3090">
        <f>LN(SQRT(EXP(
SQRT(
+POWER(LN(N3090),2)
+POWER(LN(O3090),2)
+POWER(LN(P3090),2)
+POWER(LN(Q3090),2)
+POWER(LN(R3090),2)
+POWER(LN(S3090),2)
+POWER(LN(T3090),2)
)
)))</f>
        <v>0.57157051623399524</v>
      </c>
    </row>
    <row r="3091" spans="1:21" x14ac:dyDescent="0.2">
      <c r="A3091" s="45" t="str">
        <f>"hydrogen supply, transported by "&amp;B3064&amp;", produced by "&amp;B3068&amp;" using "&amp;B3069&amp;" from "&amp;B3070</f>
        <v>hydrogen supply, transported by truck, produced by Electrolysis, PEM using water and electricity from Solar PV (CH)</v>
      </c>
      <c r="B3091" s="53">
        <f>(B3089/B3073)/B3072*B3084</f>
        <v>2.3223301331624095E-3</v>
      </c>
      <c r="C3091" t="str">
        <f>VLOOKUP(J3091,'dataset mapping'!$A$4:$E$69,5,0)</f>
        <v>kilogram</v>
      </c>
      <c r="E3091" t="str">
        <f>VLOOKUP(J3091,'dataset mapping'!$A$4:$E$69,4,0)</f>
        <v>CH</v>
      </c>
      <c r="F3091" t="s">
        <v>86</v>
      </c>
      <c r="G3091" t="str">
        <f>"hydrogen, gaseous, from "&amp;B3064</f>
        <v>hydrogen, gaseous, from truck</v>
      </c>
      <c r="H3091" t="s">
        <v>76</v>
      </c>
      <c r="I3091" t="s">
        <v>1054</v>
      </c>
      <c r="J3091" t="s">
        <v>292</v>
      </c>
      <c r="K3091" t="str">
        <f>B3050</f>
        <v>heat, residential, by conversion of hydrogen using fuel cell, PEM, allocated by exergy, transported by truck, produced by Electrolysis, PEM using water and electricity from Solar PV (CH)</v>
      </c>
      <c r="L3091">
        <f>IF(OR(B3091&lt;0,B3091=0),1,2)</f>
        <v>2</v>
      </c>
      <c r="M3091">
        <f>IF(L3091=2,LN(B3091),"")</f>
        <v>-6.0651842296013152</v>
      </c>
      <c r="N3091">
        <v>1</v>
      </c>
      <c r="O3091" s="15">
        <v>1.2</v>
      </c>
      <c r="P3091">
        <v>1</v>
      </c>
      <c r="Q3091">
        <v>1.01</v>
      </c>
      <c r="R3091">
        <v>1.2</v>
      </c>
      <c r="S3091">
        <v>1.2</v>
      </c>
      <c r="T3091">
        <v>1.05</v>
      </c>
      <c r="U3091">
        <f>LN(SQRT(EXP(
SQRT(
+POWER(LN(N3091),2)
+POWER(LN(O3091),2)
+POWER(LN(P3091),2)
+POWER(LN(Q3091),2)
+POWER(LN(R3091),2)
+POWER(LN(S3091),2)
+POWER(LN(T3091),2)
)
)))</f>
        <v>0.15984597228197622</v>
      </c>
    </row>
    <row r="3092" spans="1:21" x14ac:dyDescent="0.2">
      <c r="A3092" t="str">
        <f>VLOOKUP(J3092,'dataset mapping'!$A$4:$E$69,2,0)</f>
        <v>high pressure hydrogen storage tank</v>
      </c>
      <c r="B3092" s="52">
        <f>((B3085/10)/(B3083*B3079*20*3.6))*IF(B3084&lt;&gt;0,B3084,1)</f>
        <v>2.5464146196956242E-7</v>
      </c>
      <c r="C3092" t="str">
        <f>VLOOKUP(J3092,'dataset mapping'!$A$4:$E$69,5,0)</f>
        <v>kilogram</v>
      </c>
      <c r="E3092" t="str">
        <f>VLOOKUP(J3092,'dataset mapping'!$A$4:$E$69,4,0)</f>
        <v>GLO</v>
      </c>
      <c r="F3092" t="s">
        <v>86</v>
      </c>
      <c r="G3092" t="str">
        <f>VLOOKUP(J3092,'dataset mapping'!$A$4:$E$69,3,0)</f>
        <v>high pressure hydrogen storage tank</v>
      </c>
      <c r="H3092" t="s">
        <v>88</v>
      </c>
      <c r="I3092" t="s">
        <v>280</v>
      </c>
      <c r="J3092" t="s">
        <v>229</v>
      </c>
      <c r="K3092" t="str">
        <f>B3050</f>
        <v>heat, residential, by conversion of hydrogen using fuel cell, PEM, allocated by exergy, transported by truck, produced by Electrolysis, PEM using water and electricity from Solar PV (CH)</v>
      </c>
      <c r="L3092">
        <f>IF(OR(B3092&lt;0,B3092=0),1,2)</f>
        <v>2</v>
      </c>
      <c r="M3092">
        <f>IF(L3092=2,LN(B3092),"")</f>
        <v>-15.183409312669692</v>
      </c>
      <c r="N3092">
        <v>1</v>
      </c>
      <c r="O3092" s="15">
        <v>1.2</v>
      </c>
      <c r="P3092">
        <v>1</v>
      </c>
      <c r="Q3092">
        <v>1.01</v>
      </c>
      <c r="R3092">
        <v>1.2</v>
      </c>
      <c r="S3092">
        <v>1.2</v>
      </c>
      <c r="T3092">
        <v>3</v>
      </c>
      <c r="U3092">
        <f>LN(SQRT(EXP(
SQRT(
+POWER(LN(N3092),2)
+POWER(LN(O3092),2)
+POWER(LN(P3092),2)
+POWER(LN(Q3092),2)
+POWER(LN(R3092),2)
+POWER(LN(S3092),2)
+POWER(LN(T3092),2)
)
)))</f>
        <v>0.57157051623399524</v>
      </c>
    </row>
    <row r="3093" spans="1:21" x14ac:dyDescent="0.2">
      <c r="A3093" t="s">
        <v>134</v>
      </c>
      <c r="B3093" s="45">
        <f>B3091*9</f>
        <v>2.0900971198461685E-2</v>
      </c>
      <c r="C3093" t="s">
        <v>56</v>
      </c>
      <c r="D3093" t="s">
        <v>100</v>
      </c>
      <c r="F3093" t="s">
        <v>99</v>
      </c>
      <c r="H3093" t="s">
        <v>131</v>
      </c>
      <c r="I3093" t="s">
        <v>1057</v>
      </c>
      <c r="K3093" t="str">
        <f>B3050</f>
        <v>heat, residential, by conversion of hydrogen using fuel cell, PEM, allocated by exergy, transported by truck, produced by Electrolysis, PEM using water and electricity from Solar PV (CH)</v>
      </c>
      <c r="L3093">
        <f>IF(OR(B3093&lt;0,B3093=0),1,2)</f>
        <v>2</v>
      </c>
      <c r="M3093">
        <f>IF(L3093=2,LN(B3093),"")</f>
        <v>-3.8679596522650961</v>
      </c>
      <c r="N3093">
        <v>1</v>
      </c>
      <c r="O3093" s="15">
        <v>1.2</v>
      </c>
      <c r="P3093">
        <v>1</v>
      </c>
      <c r="Q3093">
        <v>1.01</v>
      </c>
      <c r="R3093">
        <v>1.2</v>
      </c>
      <c r="S3093">
        <v>1.2</v>
      </c>
      <c r="T3093">
        <v>1.05</v>
      </c>
      <c r="U3093">
        <f>LN(SQRT(EXP(
SQRT(
+POWER(LN(N3093),2)
+POWER(LN(O3093),2)
+POWER(LN(P3093),2)
+POWER(LN(Q3093),2)
+POWER(LN(R3093),2)
+POWER(LN(S3093),2)
+POWER(LN(T3093),2)
)
)))</f>
        <v>0.15984597228197622</v>
      </c>
    </row>
    <row r="3095" spans="1:21" x14ac:dyDescent="0.2">
      <c r="A3095" s="2" t="s">
        <v>50</v>
      </c>
      <c r="B3095" s="44" t="str">
        <f>IF(B3101="megajoule","heat","electricity")&amp;", residential, by "&amp;B3106&amp;" of "&amp;B3105&amp;" using "&amp;B3107&amp;IF(B3108&lt;&gt;0,", allocated by "&amp;B3108,"")&amp;", transported by "&amp;B3109&amp;", produced by "&amp;B3113&amp;" using "&amp;B3114&amp;" from "&amp;B3115</f>
        <v>heat, residential, by conversion of hydrogen using fuel cell, SOFC, allocated by exergy, transported by truck, produced by Electrolysis, PEM using water and electricity from Solar PV (CH)</v>
      </c>
    </row>
    <row r="3096" spans="1:21" x14ac:dyDescent="0.2">
      <c r="A3096" t="s">
        <v>51</v>
      </c>
      <c r="B3096" s="45" t="str">
        <f>"This dataset represents the supply of 1 "&amp;IF(B3101="megajoule","megajoule of heat","kilowatt hour of electricity")&amp;" in a residence, by "&amp;B3105&amp;" "&amp;B3106&amp;" in a "&amp;B3107&amp;". "&amp;" The hydrogen is transported by "&amp;B3109&amp;" over "&amp;B3110&amp;" km from regional storage. "&amp;" The "&amp;B3105&amp;" is produced by  "&amp;B3113&amp;", with "&amp;B3114&amp;" from "&amp;B3115&amp;" as feedstock. "&amp;A3117&amp;": "&amp;(B3117*100)&amp;"%. "&amp;A3118&amp;": "&amp;B3118&amp;". "&amp;A3119&amp;": "&amp;B3119&amp;". "&amp;A3120&amp;": "&amp;(B3120*100)&amp;"%. "&amp;A3121&amp;": "&amp;(B3121*100)&amp;"%. "&amp;A3122&amp;": "&amp;(B3122*100)&amp;"%. "&amp;A3123&amp;": "&amp;B3123&amp;". "&amp;A3124&amp;": "&amp;B3124&amp;". "&amp;A3125&amp;": "&amp;(B3125*100)&amp;"%. "&amp;A3126&amp;": "&amp;B3126&amp;". "&amp;A3127&amp;": "&amp;B3127&amp;". "&amp;A3128&amp;": "&amp;B3128&amp;". "&amp;A3129&amp;": "&amp;B3129&amp;".  For more information, refer to: "&amp;B3097</f>
        <v>This dataset represents the supply of 1 megajoule of heat in a residence, by hydrogen conversion in a fuel cell, SOFC.  The hydrogen is transported by truck over 200 km from regional storage.  The hydrogen is produced by  Electrolysis, PEM,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3097" spans="1:21" x14ac:dyDescent="0.2">
      <c r="A3097" t="s">
        <v>63</v>
      </c>
      <c r="B3097" s="45" t="s">
        <v>1223</v>
      </c>
    </row>
    <row r="3098" spans="1:21" x14ac:dyDescent="0.2">
      <c r="A3098" t="s">
        <v>52</v>
      </c>
      <c r="B3098" s="45" t="s">
        <v>64</v>
      </c>
    </row>
    <row r="3099" spans="1:21" x14ac:dyDescent="0.2">
      <c r="A3099" t="s">
        <v>48</v>
      </c>
      <c r="B3099" s="45">
        <v>40</v>
      </c>
    </row>
    <row r="3100" spans="1:21" x14ac:dyDescent="0.2">
      <c r="A3100" t="s">
        <v>54</v>
      </c>
      <c r="B3100" s="45" t="str">
        <f>INDEX(overview!$B$4:$R$338,MATCH('hydrogen - electrolysis'!B3099,overview!$A$4:$A$338,0),MATCH('hydrogen - electrolysis'!A3100,overview!$B$3:$R$3,0))</f>
        <v>heat, from residential heating system</v>
      </c>
    </row>
    <row r="3101" spans="1:21" x14ac:dyDescent="0.2">
      <c r="A3101" t="s">
        <v>55</v>
      </c>
      <c r="B3101" s="45" t="str">
        <f>INDEX(overview!$B$4:$R$338,MATCH('hydrogen - electrolysis'!B3099,overview!$A$4:$A$338,0),MATCH('hydrogen - electrolysis'!A3101,overview!$B$3:$R$3,0))</f>
        <v>megajoule</v>
      </c>
    </row>
    <row r="3102" spans="1:21" x14ac:dyDescent="0.2">
      <c r="A3102" t="s">
        <v>0</v>
      </c>
      <c r="B3102" s="45" t="str">
        <f>INDEX(overview!$B$4:$R$338,MATCH('hydrogen - electrolysis'!B3099,overview!$A$4:$A$338,0),MATCH('hydrogen - electrolysis'!A3102,overview!$B$3:$R$3,0))</f>
        <v>Switzerland</v>
      </c>
    </row>
    <row r="3103" spans="1:21" x14ac:dyDescent="0.2">
      <c r="A3103" t="s">
        <v>1</v>
      </c>
      <c r="B3103" s="45">
        <f>INDEX(overview!$B$4:$R$338,MATCH('hydrogen - electrolysis'!B3099,overview!$A$4:$A$338,0),MATCH('hydrogen - electrolysis'!A3103,overview!$B$3:$R$3,0))</f>
        <v>2020</v>
      </c>
    </row>
    <row r="3104" spans="1:21" x14ac:dyDescent="0.2">
      <c r="A3104" t="s">
        <v>2</v>
      </c>
      <c r="B3104" s="45" t="str">
        <f>INDEX(overview!$B$4:$R$338,MATCH('hydrogen - electrolysis'!B3099,overview!$A$4:$A$338,0),MATCH('hydrogen - electrolysis'!A3104,overview!$B$3:$R$3,0))</f>
        <v>1 MJ heat</v>
      </c>
    </row>
    <row r="3105" spans="1:2" x14ac:dyDescent="0.2">
      <c r="A3105" t="s">
        <v>5</v>
      </c>
      <c r="B3105" s="45" t="str">
        <f>INDEX(overview!$B$4:$R$338,MATCH('hydrogen - electrolysis'!B3099,overview!$A$4:$A$338,0),MATCH('hydrogen - electrolysis'!A3105,overview!$B$3:$R$3,0))</f>
        <v>hydrogen</v>
      </c>
    </row>
    <row r="3106" spans="1:2" x14ac:dyDescent="0.2">
      <c r="A3106" t="s">
        <v>3</v>
      </c>
      <c r="B3106" s="45" t="str">
        <f>INDEX(overview!$B$4:$R$338,MATCH('hydrogen - electrolysis'!B3099,overview!$A$4:$A$338,0),MATCH('hydrogen - electrolysis'!A3106,overview!$B$3:$R$3,0))</f>
        <v>conversion</v>
      </c>
    </row>
    <row r="3107" spans="1:2" x14ac:dyDescent="0.2">
      <c r="A3107" t="s">
        <v>6</v>
      </c>
      <c r="B3107" s="45" t="str">
        <f>INDEX(overview!$B$4:$R$338,MATCH('hydrogen - electrolysis'!B3099,overview!$A$4:$A$338,0),MATCH('hydrogen - electrolysis'!A3107,overview!$B$3:$R$3,0))</f>
        <v>fuel cell, SOFC</v>
      </c>
    </row>
    <row r="3108" spans="1:2" x14ac:dyDescent="0.2">
      <c r="A3108" t="s">
        <v>39</v>
      </c>
      <c r="B3108" s="45" t="str">
        <f>INDEX(overview!$B$4:$R$338,MATCH('hydrogen - electrolysis'!B3099,overview!$A$4:$A$338,0),MATCH('hydrogen - electrolysis'!A3108,overview!$B$3:$R$3,0))</f>
        <v>exergy</v>
      </c>
    </row>
    <row r="3109" spans="1:2" x14ac:dyDescent="0.2">
      <c r="A3109" t="s">
        <v>4</v>
      </c>
      <c r="B3109" s="45" t="str">
        <f>INDEX(overview!$B$4:$R$338,MATCH('hydrogen - electrolysis'!B3099,overview!$A$4:$A$338,0),MATCH('hydrogen - electrolysis'!A3109,overview!$B$3:$R$3,0))</f>
        <v>truck</v>
      </c>
    </row>
    <row r="3110" spans="1:2" x14ac:dyDescent="0.2">
      <c r="A3110" t="s">
        <v>38</v>
      </c>
      <c r="B3110" s="45">
        <f>INDEX(overview!$B$4:$R$338,MATCH('hydrogen - electrolysis'!B3099,overview!$A$4:$A$338,0),MATCH('hydrogen - electrolysis'!A3110,overview!$B$3:$R$3,0))</f>
        <v>200</v>
      </c>
    </row>
    <row r="3111" spans="1:2" x14ac:dyDescent="0.2">
      <c r="A3111" t="s">
        <v>12</v>
      </c>
      <c r="B3111" s="45" t="str">
        <f>INDEX(overview!$B$4:$R$338,MATCH('hydrogen - electrolysis'!B3099,overview!$A$4:$A$338,0),MATCH('hydrogen - electrolysis'!A3111,overview!$B$3:$R$3,0))</f>
        <v>Pressure vessel for stationary storage</v>
      </c>
    </row>
    <row r="3112" spans="1:2" x14ac:dyDescent="0.2">
      <c r="A3112" t="s">
        <v>34</v>
      </c>
      <c r="B3112" s="45">
        <f>INDEX(overview!$B$4:$R$338,MATCH('hydrogen - electrolysis'!B3099,overview!$A$4:$A$338,0),MATCH('hydrogen - electrolysis'!A3112,overview!$B$3:$R$3,0))</f>
        <v>0</v>
      </c>
    </row>
    <row r="3113" spans="1:2" x14ac:dyDescent="0.2">
      <c r="A3113" t="s">
        <v>15</v>
      </c>
      <c r="B3113" s="45" t="str">
        <f>INDEX(overview!$B$4:$R$338,MATCH('hydrogen - electrolysis'!B3099,overview!$A$4:$A$338,0),MATCH('hydrogen - electrolysis'!A3113,overview!$B$3:$R$3,0))</f>
        <v>Electrolysis, PEM</v>
      </c>
    </row>
    <row r="3114" spans="1:2" x14ac:dyDescent="0.2">
      <c r="A3114" t="s">
        <v>14</v>
      </c>
      <c r="B3114" s="45" t="str">
        <f>INDEX(overview!$B$4:$R$338,MATCH('hydrogen - electrolysis'!B3099,overview!$A$4:$A$338,0),MATCH('hydrogen - electrolysis'!A3114,overview!$B$3:$R$3,0))</f>
        <v>water and electricity</v>
      </c>
    </row>
    <row r="3115" spans="1:2" x14ac:dyDescent="0.2">
      <c r="A3115" t="s">
        <v>26</v>
      </c>
      <c r="B3115" s="45" t="str">
        <f>INDEX(overview!$B$4:$R$338,MATCH('hydrogen - electrolysis'!B3099,overview!$A$4:$A$338,0),MATCH('hydrogen - electrolysis'!A3115,overview!$B$3:$R$3,0))</f>
        <v>Solar PV (CH)</v>
      </c>
    </row>
    <row r="3116" spans="1:2" x14ac:dyDescent="0.2">
      <c r="A3116" t="s">
        <v>29</v>
      </c>
      <c r="B3116" s="45">
        <f>INDEX(overview!$B$4:$R$338,MATCH('hydrogen - electrolysis'!B3099,overview!$A$4:$A$338,0),MATCH('hydrogen - electrolysis'!A3116,overview!$B$3:$R$3,0))</f>
        <v>0</v>
      </c>
    </row>
    <row r="3117" spans="1:2" x14ac:dyDescent="0.2">
      <c r="A3117" t="str">
        <f>IF(B3101="megajoule","Heat","Electricity")&amp;" conversion efficiency [% LHV input]"</f>
        <v>Heat conversion efficiency [% LHV input]</v>
      </c>
      <c r="B3117" s="46">
        <f>INDEX(parameters!$D$4:$N$20,MATCH('hydrogen - electrolysis'!B3105&amp;'hydrogen - electrolysis'!B3107,parameters!$A$4:$A$20,0),MATCH('hydrogen - electrolysis'!A3117,parameters!$D$3:$N$3,0))</f>
        <v>0.53</v>
      </c>
    </row>
    <row r="3118" spans="1:2" x14ac:dyDescent="0.2">
      <c r="A3118" t="str">
        <f>IF(B3101="megajoule","LHV [MJ/kg]","LHV [kWh/kg]")</f>
        <v>LHV [MJ/kg]</v>
      </c>
      <c r="B3118" s="47">
        <f>INDEX(parameters!$D$4:$N$20,MATCH('hydrogen - electrolysis'!B3105&amp;'hydrogen - electrolysis'!B3107,parameters!$A$4:$A$20,0),MATCH('hydrogen - electrolysis'!A3118,parameters!$D$3:$N$3,0))</f>
        <v>120</v>
      </c>
    </row>
    <row r="3119" spans="1:2" x14ac:dyDescent="0.2">
      <c r="A3119" t="s">
        <v>41</v>
      </c>
      <c r="B3119" s="48">
        <f>INDEX(parameters!$D$4:$N$20,MATCH('hydrogen - electrolysis'!B3105&amp;'hydrogen - electrolysis'!B3107,parameters!$A$4:$A$20,0),MATCH('hydrogen - electrolysis'!A3119,parameters!$D$3:$N$3,0))</f>
        <v>2.6666666666666665E-2</v>
      </c>
    </row>
    <row r="3120" spans="1:2" x14ac:dyDescent="0.2">
      <c r="A3120" t="s">
        <v>45</v>
      </c>
      <c r="B3120" s="46">
        <f>INDEX(parameters!$D$4:$N$20,MATCH('hydrogen - electrolysis'!B3105&amp;'hydrogen - electrolysis'!B3107,parameters!$A$4:$A$20,0),MATCH('hydrogen - electrolysis'!A3120,parameters!$D$3:$N$3,0))</f>
        <v>0</v>
      </c>
    </row>
    <row r="3121" spans="1:22" x14ac:dyDescent="0.2">
      <c r="A3121" t="s">
        <v>46</v>
      </c>
      <c r="B3121" s="46">
        <f>INDEX(parameters!$D$4:$N$20,MATCH('hydrogen - electrolysis'!B3105&amp;'hydrogen - electrolysis'!B3107,parameters!$A$4:$A$20,0),MATCH('hydrogen - electrolysis'!A3121,parameters!$D$3:$N$3,0))</f>
        <v>1.4999999999999999E-2</v>
      </c>
    </row>
    <row r="3122" spans="1:22" x14ac:dyDescent="0.2">
      <c r="A3122" t="s">
        <v>43</v>
      </c>
      <c r="B3122" s="46">
        <f>INDEX(parameters!$D$4:$N$20,MATCH('hydrogen - electrolysis'!B3105&amp;'hydrogen - electrolysis'!B3107,parameters!$A$4:$A$20,0),MATCH('hydrogen - electrolysis'!A3122,parameters!$D$3:$N$3,0))</f>
        <v>0</v>
      </c>
    </row>
    <row r="3123" spans="1:22" x14ac:dyDescent="0.2">
      <c r="A3123" t="s">
        <v>44</v>
      </c>
      <c r="B3123" s="46">
        <f>INDEX(parameters!$D$4:$N$20,MATCH('hydrogen - electrolysis'!B3105&amp;'hydrogen - electrolysis'!B3107,parameters!$A$4:$A$20,0),MATCH('hydrogen - electrolysis'!A3123,parameters!$D$3:$N$3,0))</f>
        <v>0</v>
      </c>
    </row>
    <row r="3124" spans="1:22" x14ac:dyDescent="0.2">
      <c r="A3124" t="s">
        <v>634</v>
      </c>
      <c r="B3124" s="51">
        <f>INDEX(parameters!$D$4:$Y$20,MATCH('hydrogen - electrolysis'!B3105&amp;'hydrogen - electrolysis'!B3107,parameters!$A$4:$A$20,0),MATCH('hydrogen - electrolysis'!A3124,parameters!$D$3:$Y$3,0))</f>
        <v>225</v>
      </c>
      <c r="D3124" s="8"/>
    </row>
    <row r="3125" spans="1:22" x14ac:dyDescent="0.2">
      <c r="A3125" t="s">
        <v>82</v>
      </c>
      <c r="B3125" s="46">
        <f>IF(B3116&lt;&gt;0,VLOOKUP(B3116,parameters!A2047:B2049,2,0),0)</f>
        <v>0</v>
      </c>
    </row>
    <row r="3126" spans="1:22" x14ac:dyDescent="0.2">
      <c r="A3126" t="s">
        <v>548</v>
      </c>
      <c r="B3126" s="50">
        <f>INDEX(parameters!$D$4:$P$20,MATCH(B3105&amp;B3107,parameters!$A$4:$A$20,0),MATCH(A3126,parameters!$D$3:$P$3,0))</f>
        <v>100</v>
      </c>
    </row>
    <row r="3127" spans="1:22" x14ac:dyDescent="0.2">
      <c r="A3127" t="s">
        <v>547</v>
      </c>
      <c r="B3127" s="51">
        <f>INDEX(parameters!$D$4:$P$20,MATCH(B3105&amp;B3107,parameters!$A$4:$A$20,0),MATCH(A3127,parameters!$D$3:$P$3,0))</f>
        <v>6</v>
      </c>
    </row>
    <row r="3128" spans="1:22" x14ac:dyDescent="0.2">
      <c r="A3128" t="s">
        <v>630</v>
      </c>
      <c r="B3128" s="51">
        <f>INDEX(parameters!$D$4:$T$20,MATCH(B3105&amp;B3107,parameters!$A$4:$A$20,0),MATCH(A3128,parameters!$D$3:$T$3,0))</f>
        <v>4100</v>
      </c>
    </row>
    <row r="3129" spans="1:22" x14ac:dyDescent="0.2">
      <c r="A3129" t="s">
        <v>1005</v>
      </c>
      <c r="B3129" s="50">
        <f>IF(B3101="megajoule",SUMIFS(allocation!$I$4:$I$30,allocation!$B$4:$B$30,B3107,allocation!$C$4:$C$30,B3108),SUMIFS(allocation!$J$4:$J$30,allocation!$B$4:$B$30,B3107,allocation!$C$4:$C$30,B3108))</f>
        <v>0.13587506510399097</v>
      </c>
    </row>
    <row r="3130" spans="1:22" x14ac:dyDescent="0.2">
      <c r="A3130" t="s">
        <v>1050</v>
      </c>
      <c r="B3130" s="51">
        <f>INDEX(parameters!$D$4:$AB$20,MATCH(B3105&amp;B3107,parameters!$A$4:$A$20,0),MATCH(A3130,parameters!$D$3:$AB$3,0))</f>
        <v>1153.1249999999998</v>
      </c>
    </row>
    <row r="3132" spans="1:22" x14ac:dyDescent="0.2">
      <c r="A3132" s="3" t="s">
        <v>57</v>
      </c>
    </row>
    <row r="3133" spans="1:22" x14ac:dyDescent="0.2">
      <c r="A3133" s="2" t="s">
        <v>58</v>
      </c>
      <c r="B3133" s="44" t="s">
        <v>59</v>
      </c>
      <c r="C3133" s="2" t="s">
        <v>55</v>
      </c>
      <c r="D3133" s="2" t="s">
        <v>60</v>
      </c>
      <c r="E3133" s="2" t="s">
        <v>52</v>
      </c>
      <c r="F3133" s="2" t="s">
        <v>61</v>
      </c>
      <c r="G3133" s="2" t="s">
        <v>54</v>
      </c>
      <c r="H3133" s="2" t="s">
        <v>87</v>
      </c>
      <c r="I3133" s="2" t="s">
        <v>51</v>
      </c>
      <c r="J3133" s="2" t="s">
        <v>138</v>
      </c>
      <c r="K3133" s="2" t="s">
        <v>136</v>
      </c>
      <c r="L3133" s="2" t="s">
        <v>221</v>
      </c>
      <c r="M3133" s="2" t="s">
        <v>379</v>
      </c>
      <c r="N3133" s="2" t="s">
        <v>1059</v>
      </c>
      <c r="O3133" s="2" t="s">
        <v>1060</v>
      </c>
      <c r="P3133" s="2" t="s">
        <v>1061</v>
      </c>
      <c r="Q3133" s="2" t="s">
        <v>1062</v>
      </c>
      <c r="R3133" s="2" t="s">
        <v>1063</v>
      </c>
      <c r="S3133" s="2" t="s">
        <v>1064</v>
      </c>
      <c r="T3133" s="2" t="s">
        <v>1065</v>
      </c>
      <c r="U3133" s="2" t="s">
        <v>380</v>
      </c>
      <c r="V3133" s="2" t="s">
        <v>1128</v>
      </c>
    </row>
    <row r="3134" spans="1:22" x14ac:dyDescent="0.2">
      <c r="A3134" t="str">
        <f>B3095</f>
        <v>heat, residential, by conversion of hydrogen using fuel cell, SOFC, allocated by exergy, transported by truck, produced by Electrolysis, PEM using water and electricity from Solar PV (CH)</v>
      </c>
      <c r="B3134" s="45">
        <v>1</v>
      </c>
      <c r="C3134" t="str">
        <f>B3101</f>
        <v>megajoule</v>
      </c>
      <c r="E3134" t="str">
        <f>B3098</f>
        <v>CH</v>
      </c>
      <c r="F3134" t="s">
        <v>62</v>
      </c>
      <c r="G3134" t="str">
        <f>B3100</f>
        <v>heat, from residential heating system</v>
      </c>
      <c r="K3134" t="str">
        <f>B3095</f>
        <v>heat, residential, by conversion of hydrogen using fuel cell, SOFC, allocated by exergy, transported by truck, produced by Electrolysis, PEM using water and electricity from Solar PV (CH)</v>
      </c>
    </row>
    <row r="3135" spans="1:22" x14ac:dyDescent="0.2">
      <c r="A3135" t="str">
        <f>VLOOKUP(J3135,'dataset mapping'!$A$4:$E$69,2,0)</f>
        <v>fuel cell production, stack solid oxide, 125kW electrical, future</v>
      </c>
      <c r="B3135" s="52">
        <f>(1/(B3124*B3128*B3127*3.6))*B3129</f>
        <v>6.8189834941278219E-9</v>
      </c>
      <c r="C3135" t="str">
        <f>VLOOKUP(J3135,'dataset mapping'!$A$4:$E$69,5,0)</f>
        <v>unit</v>
      </c>
      <c r="E3135" t="str">
        <f>VLOOKUP(J3135,'dataset mapping'!$A$4:$E$69,4,0)</f>
        <v>CH</v>
      </c>
      <c r="F3135" t="s">
        <v>86</v>
      </c>
      <c r="G3135" t="str">
        <f>VLOOKUP(J3135,'dataset mapping'!$A$4:$E$69,3,0)</f>
        <v>fuel cell, stack solid oxide, 125kW electrical, future</v>
      </c>
      <c r="H3135" t="s">
        <v>88</v>
      </c>
      <c r="I3135" t="s">
        <v>277</v>
      </c>
      <c r="J3135" t="s">
        <v>274</v>
      </c>
      <c r="K3135" t="str">
        <f>B3095</f>
        <v>heat, residential, by conversion of hydrogen using fuel cell, SOFC, allocated by exergy, transported by truck, produced by Electrolysis, PEM using water and electricity from Solar PV (CH)</v>
      </c>
      <c r="L3135">
        <f t="shared" ref="L3135:L3140" si="105">IF(OR(B3135&lt;0,B3135=0),1,2)</f>
        <v>2</v>
      </c>
      <c r="M3135">
        <f t="shared" ref="M3135:M3140" si="106">IF(L3135=2,LN(B3135),"")</f>
        <v>-18.80355542398161</v>
      </c>
      <c r="N3135">
        <v>1</v>
      </c>
      <c r="O3135" s="15">
        <v>1.2</v>
      </c>
      <c r="P3135">
        <v>1</v>
      </c>
      <c r="Q3135">
        <v>1.01</v>
      </c>
      <c r="R3135">
        <v>1.2</v>
      </c>
      <c r="S3135">
        <v>1.2</v>
      </c>
      <c r="T3135">
        <v>3</v>
      </c>
      <c r="U3135">
        <f t="shared" ref="U3135:U3140" si="107">LN(SQRT(EXP(
SQRT(
+POWER(LN(N3135),2)
+POWER(LN(O3135),2)
+POWER(LN(P3135),2)
+POWER(LN(Q3135),2)
+POWER(LN(R3135),2)
+POWER(LN(S3135),2)
+POWER(LN(T3135),2)
)
)))</f>
        <v>0.57157051623399524</v>
      </c>
    </row>
    <row r="3136" spans="1:22" x14ac:dyDescent="0.2">
      <c r="A3136" t="s">
        <v>283</v>
      </c>
      <c r="B3136" s="52">
        <f>(1/(B3124*B3128*B3127*3.6))*B3129</f>
        <v>6.8189834941278219E-9</v>
      </c>
      <c r="C3136" t="s">
        <v>55</v>
      </c>
      <c r="E3136" t="s">
        <v>64</v>
      </c>
      <c r="F3136" t="s">
        <v>86</v>
      </c>
      <c r="G3136" t="s">
        <v>284</v>
      </c>
      <c r="H3136" t="s">
        <v>88</v>
      </c>
      <c r="I3136" t="s">
        <v>277</v>
      </c>
      <c r="K3136" t="str">
        <f>B3095</f>
        <v>heat, residential, by conversion of hydrogen using fuel cell, SOFC, allocated by exergy, transported by truck, produced by Electrolysis, PEM using water and electricity from Solar PV (CH)</v>
      </c>
      <c r="L3136">
        <f t="shared" si="105"/>
        <v>2</v>
      </c>
      <c r="M3136">
        <f t="shared" si="106"/>
        <v>-18.80355542398161</v>
      </c>
      <c r="N3136">
        <v>1</v>
      </c>
      <c r="O3136" s="15">
        <v>1.2</v>
      </c>
      <c r="P3136">
        <v>1</v>
      </c>
      <c r="Q3136">
        <v>1.01</v>
      </c>
      <c r="R3136">
        <v>1.2</v>
      </c>
      <c r="S3136">
        <v>1.2</v>
      </c>
      <c r="T3136">
        <v>3</v>
      </c>
      <c r="U3136">
        <f t="shared" si="107"/>
        <v>0.57157051623399524</v>
      </c>
    </row>
    <row r="3137" spans="1:21" x14ac:dyDescent="0.2">
      <c r="A3137" t="s">
        <v>288</v>
      </c>
      <c r="B3137" s="52">
        <f>0.000024*B3129</f>
        <v>3.2610015624957834E-6</v>
      </c>
      <c r="C3137" t="s">
        <v>56</v>
      </c>
      <c r="E3137" t="s">
        <v>64</v>
      </c>
      <c r="F3137" t="s">
        <v>86</v>
      </c>
      <c r="G3137" t="s">
        <v>287</v>
      </c>
      <c r="H3137" t="s">
        <v>88</v>
      </c>
      <c r="K3137" t="str">
        <f>B3095</f>
        <v>heat, residential, by conversion of hydrogen using fuel cell, SOFC, allocated by exergy, transported by truck, produced by Electrolysis, PEM using water and electricity from Solar PV (CH)</v>
      </c>
      <c r="L3137">
        <f t="shared" si="105"/>
        <v>2</v>
      </c>
      <c r="M3137">
        <f t="shared" si="106"/>
        <v>-12.633476182011</v>
      </c>
      <c r="N3137">
        <v>1</v>
      </c>
      <c r="O3137" s="15">
        <v>1.2</v>
      </c>
      <c r="P3137">
        <v>1</v>
      </c>
      <c r="Q3137">
        <v>1.01</v>
      </c>
      <c r="R3137">
        <v>1.2</v>
      </c>
      <c r="S3137">
        <v>1.2</v>
      </c>
      <c r="T3137">
        <v>1.05</v>
      </c>
      <c r="U3137">
        <f t="shared" si="107"/>
        <v>0.15984597228197622</v>
      </c>
    </row>
    <row r="3138" spans="1:21" x14ac:dyDescent="0.2">
      <c r="A3138" s="45" t="str">
        <f>"hydrogen supply, transported by "&amp;B3109&amp;", produced by "&amp;B3113&amp;" using "&amp;B3114&amp;" from "&amp;B3115</f>
        <v>hydrogen supply, transported by truck, produced by Electrolysis, PEM using water and electricity from Solar PV (CH)</v>
      </c>
      <c r="B3138" s="53">
        <f>(B3134/B3118)/B3117*B3129</f>
        <v>2.1364003947168392E-3</v>
      </c>
      <c r="C3138" t="str">
        <f>VLOOKUP(J3138,'dataset mapping'!$A$4:$E$69,5,0)</f>
        <v>kilogram</v>
      </c>
      <c r="E3138" t="str">
        <f>VLOOKUP(J3138,'dataset mapping'!$A$4:$E$69,4,0)</f>
        <v>CH</v>
      </c>
      <c r="F3138" t="s">
        <v>86</v>
      </c>
      <c r="G3138" t="str">
        <f>"hydrogen, gaseous, from "&amp;B3109</f>
        <v>hydrogen, gaseous, from truck</v>
      </c>
      <c r="H3138" t="s">
        <v>76</v>
      </c>
      <c r="I3138" t="s">
        <v>1054</v>
      </c>
      <c r="J3138" t="s">
        <v>292</v>
      </c>
      <c r="K3138" t="str">
        <f>B3095</f>
        <v>heat, residential, by conversion of hydrogen using fuel cell, SOFC, allocated by exergy, transported by truck, produced by Electrolysis, PEM using water and electricity from Solar PV (CH)</v>
      </c>
      <c r="L3138">
        <f t="shared" si="105"/>
        <v>2</v>
      </c>
      <c r="M3138">
        <f t="shared" si="106"/>
        <v>-6.1486329247407472</v>
      </c>
      <c r="N3138">
        <v>1</v>
      </c>
      <c r="O3138" s="15">
        <v>1.2</v>
      </c>
      <c r="P3138">
        <v>1</v>
      </c>
      <c r="Q3138">
        <v>1.01</v>
      </c>
      <c r="R3138">
        <v>1.2</v>
      </c>
      <c r="S3138">
        <v>1.2</v>
      </c>
      <c r="T3138">
        <v>1.05</v>
      </c>
      <c r="U3138">
        <f t="shared" si="107"/>
        <v>0.15984597228197622</v>
      </c>
    </row>
    <row r="3139" spans="1:21" x14ac:dyDescent="0.2">
      <c r="A3139" t="str">
        <f>VLOOKUP(J3139,'dataset mapping'!$A$4:$E$69,2,0)</f>
        <v>high pressure hydrogen storage tank</v>
      </c>
      <c r="B3139" s="52">
        <f>((B3130/10)/(B3128*B3124*20*3.6))*IF(B3129&lt;&gt;0,B3129,1)</f>
        <v>2.3589421024998428E-7</v>
      </c>
      <c r="C3139" t="str">
        <f>VLOOKUP(J3139,'dataset mapping'!$A$4:$E$69,5,0)</f>
        <v>kilogram</v>
      </c>
      <c r="E3139" t="str">
        <f>VLOOKUP(J3139,'dataset mapping'!$A$4:$E$69,4,0)</f>
        <v>GLO</v>
      </c>
      <c r="F3139" t="s">
        <v>86</v>
      </c>
      <c r="G3139" t="str">
        <f>VLOOKUP(J3139,'dataset mapping'!$A$4:$E$69,3,0)</f>
        <v>high pressure hydrogen storage tank</v>
      </c>
      <c r="H3139" t="s">
        <v>88</v>
      </c>
      <c r="I3139" t="s">
        <v>230</v>
      </c>
      <c r="J3139" t="s">
        <v>229</v>
      </c>
      <c r="K3139" t="str">
        <f>B3095</f>
        <v>heat, residential, by conversion of hydrogen using fuel cell, SOFC, allocated by exergy, transported by truck, produced by Electrolysis, PEM using water and electricity from Solar PV (CH)</v>
      </c>
      <c r="L3139">
        <f t="shared" si="105"/>
        <v>2</v>
      </c>
      <c r="M3139">
        <f t="shared" si="106"/>
        <v>-15.259882394072699</v>
      </c>
      <c r="N3139">
        <v>1</v>
      </c>
      <c r="O3139" s="15">
        <v>1.2</v>
      </c>
      <c r="P3139">
        <v>1</v>
      </c>
      <c r="Q3139">
        <v>1.01</v>
      </c>
      <c r="R3139">
        <v>1.2</v>
      </c>
      <c r="S3139">
        <v>1.2</v>
      </c>
      <c r="T3139">
        <v>3</v>
      </c>
      <c r="U3139">
        <f t="shared" si="107"/>
        <v>0.57157051623399524</v>
      </c>
    </row>
    <row r="3140" spans="1:21" x14ac:dyDescent="0.2">
      <c r="A3140" t="s">
        <v>134</v>
      </c>
      <c r="B3140" s="45">
        <f>B3138*9</f>
        <v>1.9227603552451553E-2</v>
      </c>
      <c r="C3140" t="s">
        <v>56</v>
      </c>
      <c r="D3140" t="s">
        <v>100</v>
      </c>
      <c r="F3140" t="s">
        <v>99</v>
      </c>
      <c r="H3140" t="s">
        <v>131</v>
      </c>
      <c r="I3140" t="s">
        <v>1057</v>
      </c>
      <c r="K3140" t="str">
        <f>B3095</f>
        <v>heat, residential, by conversion of hydrogen using fuel cell, SOFC, allocated by exergy, transported by truck, produced by Electrolysis, PEM using water and electricity from Solar PV (CH)</v>
      </c>
      <c r="L3140">
        <f t="shared" si="105"/>
        <v>2</v>
      </c>
      <c r="M3140">
        <f t="shared" si="106"/>
        <v>-3.9514083474045276</v>
      </c>
      <c r="N3140">
        <v>1</v>
      </c>
      <c r="O3140" s="15">
        <v>1.2</v>
      </c>
      <c r="P3140">
        <v>1</v>
      </c>
      <c r="Q3140">
        <v>1.01</v>
      </c>
      <c r="R3140">
        <v>1.2</v>
      </c>
      <c r="S3140">
        <v>1.2</v>
      </c>
      <c r="T3140">
        <v>1.05</v>
      </c>
      <c r="U3140">
        <f t="shared" si="107"/>
        <v>0.15984597228197622</v>
      </c>
    </row>
    <row r="3142" spans="1:21" x14ac:dyDescent="0.2">
      <c r="A3142" s="2" t="s">
        <v>50</v>
      </c>
      <c r="B3142" s="44" t="str">
        <f>IF(B3148="megajoule","heat","electricity")&amp;", residential, by "&amp;B3153&amp;" of "&amp;B3152&amp;" using "&amp;B3154&amp;IF(B3155&lt;&gt;0,", allocated by "&amp;B3155,"")&amp;", transported by "&amp;B3156&amp;", produced by "&amp;B3160&amp;" using "&amp;B3161&amp;" from "&amp;B3162</f>
        <v>electricity, residential, by combustion of hydrogen using CHP, allocated by exergy, transported by truck, produced by Electrolysis, PEM using water and electricity from Solar PV (CH)</v>
      </c>
    </row>
    <row r="3143" spans="1:21" x14ac:dyDescent="0.2">
      <c r="A3143" t="s">
        <v>51</v>
      </c>
      <c r="B3143" s="45" t="str">
        <f>"This dataset represents the supply of 1 "&amp;IF(B3148="megajoule","megajoule of heat","kilowatt hour of electricity")&amp;" in a residence, by "&amp;B3152&amp;" "&amp;B3153&amp;" in a "&amp;B3154&amp;". "&amp;" The hydrogen is transported by "&amp;B3156&amp;" over "&amp;B3157&amp;" km from regional storage. "&amp;" The "&amp;B3152&amp;" is produced by  "&amp;B3160&amp;", with "&amp;B3161&amp;" from "&amp;B3162&amp;" as feedstock. "&amp;A3164&amp;": "&amp;(B3164*100)&amp;"%. "&amp;A3165&amp;": "&amp;B3165&amp;". "&amp;A3166&amp;": "&amp;B3166&amp;". "&amp;A3167&amp;": "&amp;(B3167*100)&amp;"%. "&amp;A3168&amp;": "&amp;(B3168*100)&amp;"%. "&amp;A3169&amp;": "&amp;(B3169*100)&amp;"%. "&amp;A3170&amp;": "&amp;B3170&amp;". "&amp;A3171&amp;": "&amp;B3171&amp;". "&amp;A3172&amp;": "&amp;(B3172*100)&amp;"%. "&amp;A3173&amp;": "&amp;B3173&amp;". "&amp;A3174&amp;": "&amp;B3174&amp;". "&amp;A3175&amp;": "&amp;B3175&amp;". "&amp;A3176&amp;": "&amp;B3176&amp;".  For more information, refer to: "&amp;B3144</f>
        <v>This dataset represents the supply of 1 kilowatt hour of electricity in a residence, by hydrogen combustion in a CHP.  The hydrogen is transported by truck over 200 km from regional storage.  The hydrogen is produced by  Electrolysis, PEM,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3144" spans="1:21" x14ac:dyDescent="0.2">
      <c r="A3144" t="s">
        <v>63</v>
      </c>
      <c r="B3144" s="45" t="s">
        <v>1223</v>
      </c>
    </row>
    <row r="3145" spans="1:21" x14ac:dyDescent="0.2">
      <c r="A3145" t="s">
        <v>52</v>
      </c>
      <c r="B3145" s="45" t="s">
        <v>64</v>
      </c>
    </row>
    <row r="3146" spans="1:21" x14ac:dyDescent="0.2">
      <c r="A3146" t="s">
        <v>48</v>
      </c>
      <c r="B3146" s="45" t="s">
        <v>892</v>
      </c>
    </row>
    <row r="3147" spans="1:21" x14ac:dyDescent="0.2">
      <c r="A3147" t="s">
        <v>54</v>
      </c>
      <c r="B3147" s="45" t="str">
        <f>INDEX(overview!$B$4:$R$338,MATCH('hydrogen - electrolysis'!B3146,overview!$A$4:$A$338,0),MATCH('hydrogen - electrolysis'!A3147,overview!$B$3:$R$3,0))</f>
        <v>electricity, from residential heating system</v>
      </c>
    </row>
    <row r="3148" spans="1:21" x14ac:dyDescent="0.2">
      <c r="A3148" t="s">
        <v>55</v>
      </c>
      <c r="B3148" s="45" t="str">
        <f>INDEX(overview!$B$4:$R$338,MATCH('hydrogen - electrolysis'!B3146,overview!$A$4:$A$338,0),MATCH('hydrogen - electrolysis'!A3148,overview!$B$3:$R$3,0))</f>
        <v>kilowatt hour</v>
      </c>
    </row>
    <row r="3149" spans="1:21" x14ac:dyDescent="0.2">
      <c r="A3149" t="s">
        <v>0</v>
      </c>
      <c r="B3149" s="45" t="str">
        <f>INDEX(overview!$B$4:$R$338,MATCH('hydrogen - electrolysis'!B3146,overview!$A$4:$A$338,0),MATCH('hydrogen - electrolysis'!A3149,overview!$B$3:$R$3,0))</f>
        <v>Switzerland</v>
      </c>
    </row>
    <row r="3150" spans="1:21" x14ac:dyDescent="0.2">
      <c r="A3150" t="s">
        <v>1</v>
      </c>
      <c r="B3150" s="45">
        <f>INDEX(overview!$B$4:$R$338,MATCH('hydrogen - electrolysis'!B3146,overview!$A$4:$A$338,0),MATCH('hydrogen - electrolysis'!A3150,overview!$B$3:$R$3,0))</f>
        <v>2020</v>
      </c>
    </row>
    <row r="3151" spans="1:21" x14ac:dyDescent="0.2">
      <c r="A3151" t="s">
        <v>2</v>
      </c>
      <c r="B3151" s="45" t="str">
        <f>INDEX(overview!$B$4:$R$338,MATCH('hydrogen - electrolysis'!B3146,overview!$A$4:$A$338,0),MATCH('hydrogen - electrolysis'!A3151,overview!$B$3:$R$3,0))</f>
        <v>1 kWh electricity</v>
      </c>
    </row>
    <row r="3152" spans="1:21" x14ac:dyDescent="0.2">
      <c r="A3152" t="s">
        <v>5</v>
      </c>
      <c r="B3152" s="45" t="str">
        <f>INDEX(overview!$B$4:$R$338,MATCH('hydrogen - electrolysis'!B3146,overview!$A$4:$A$338,0),MATCH('hydrogen - electrolysis'!A3152,overview!$B$3:$R$3,0))</f>
        <v>hydrogen</v>
      </c>
    </row>
    <row r="3153" spans="1:2" x14ac:dyDescent="0.2">
      <c r="A3153" t="s">
        <v>3</v>
      </c>
      <c r="B3153" s="45" t="str">
        <f>INDEX(overview!$B$4:$R$338,MATCH('hydrogen - electrolysis'!B3146,overview!$A$4:$A$338,0),MATCH('hydrogen - electrolysis'!A3153,overview!$B$3:$R$3,0))</f>
        <v>combustion</v>
      </c>
    </row>
    <row r="3154" spans="1:2" x14ac:dyDescent="0.2">
      <c r="A3154" t="s">
        <v>6</v>
      </c>
      <c r="B3154" s="45" t="str">
        <f>INDEX(overview!$B$4:$R$338,MATCH('hydrogen - electrolysis'!B3146,overview!$A$4:$A$338,0),MATCH('hydrogen - electrolysis'!A3154,overview!$B$3:$R$3,0))</f>
        <v>CHP</v>
      </c>
    </row>
    <row r="3155" spans="1:2" x14ac:dyDescent="0.2">
      <c r="A3155" t="s">
        <v>39</v>
      </c>
      <c r="B3155" s="45" t="str">
        <f>INDEX(overview!$B$4:$R$338,MATCH('hydrogen - electrolysis'!B3146,overview!$A$4:$A$338,0),MATCH('hydrogen - electrolysis'!A3155,overview!$B$3:$R$3,0))</f>
        <v>exergy</v>
      </c>
    </row>
    <row r="3156" spans="1:2" x14ac:dyDescent="0.2">
      <c r="A3156" t="s">
        <v>4</v>
      </c>
      <c r="B3156" s="45" t="str">
        <f>INDEX(overview!$B$4:$R$338,MATCH('hydrogen - electrolysis'!B3146,overview!$A$4:$A$338,0),MATCH('hydrogen - electrolysis'!A3156,overview!$B$3:$R$3,0))</f>
        <v>truck</v>
      </c>
    </row>
    <row r="3157" spans="1:2" x14ac:dyDescent="0.2">
      <c r="A3157" t="s">
        <v>38</v>
      </c>
      <c r="B3157" s="45">
        <f>INDEX(overview!$B$4:$R$338,MATCH('hydrogen - electrolysis'!B3146,overview!$A$4:$A$338,0),MATCH('hydrogen - electrolysis'!A3157,overview!$B$3:$R$3,0))</f>
        <v>200</v>
      </c>
    </row>
    <row r="3158" spans="1:2" x14ac:dyDescent="0.2">
      <c r="A3158" t="s">
        <v>12</v>
      </c>
      <c r="B3158" s="45" t="str">
        <f>INDEX(overview!$B$4:$R$338,MATCH('hydrogen - electrolysis'!B3146,overview!$A$4:$A$338,0),MATCH('hydrogen - electrolysis'!A3158,overview!$B$3:$R$3,0))</f>
        <v>Pressure vessel for stationary storage</v>
      </c>
    </row>
    <row r="3159" spans="1:2" x14ac:dyDescent="0.2">
      <c r="A3159" t="s">
        <v>34</v>
      </c>
      <c r="B3159" s="45">
        <f>INDEX(overview!$B$4:$R$338,MATCH('hydrogen - electrolysis'!B3146,overview!$A$4:$A$338,0),MATCH('hydrogen - electrolysis'!A3159,overview!$B$3:$R$3,0))</f>
        <v>0</v>
      </c>
    </row>
    <row r="3160" spans="1:2" x14ac:dyDescent="0.2">
      <c r="A3160" t="s">
        <v>15</v>
      </c>
      <c r="B3160" s="45" t="str">
        <f>INDEX(overview!$B$4:$R$338,MATCH('hydrogen - electrolysis'!B3146,overview!$A$4:$A$338,0),MATCH('hydrogen - electrolysis'!A3160,overview!$B$3:$R$3,0))</f>
        <v>Electrolysis, PEM</v>
      </c>
    </row>
    <row r="3161" spans="1:2" x14ac:dyDescent="0.2">
      <c r="A3161" t="s">
        <v>14</v>
      </c>
      <c r="B3161" s="45" t="str">
        <f>INDEX(overview!$B$4:$R$338,MATCH('hydrogen - electrolysis'!B3146,overview!$A$4:$A$338,0),MATCH('hydrogen - electrolysis'!A3161,overview!$B$3:$R$3,0))</f>
        <v>water and electricity</v>
      </c>
    </row>
    <row r="3162" spans="1:2" x14ac:dyDescent="0.2">
      <c r="A3162" t="s">
        <v>26</v>
      </c>
      <c r="B3162" s="45" t="str">
        <f>INDEX(overview!$B$4:$R$338,MATCH('hydrogen - electrolysis'!B3146,overview!$A$4:$A$338,0),MATCH('hydrogen - electrolysis'!A3162,overview!$B$3:$R$3,0))</f>
        <v>Solar PV (CH)</v>
      </c>
    </row>
    <row r="3163" spans="1:2" x14ac:dyDescent="0.2">
      <c r="A3163" t="s">
        <v>29</v>
      </c>
      <c r="B3163" s="45">
        <f>INDEX(overview!$B$4:$R$338,MATCH('hydrogen - electrolysis'!B3146,overview!$A$4:$A$338,0),MATCH('hydrogen - electrolysis'!A3163,overview!$B$3:$R$3,0))</f>
        <v>0</v>
      </c>
    </row>
    <row r="3164" spans="1:2" x14ac:dyDescent="0.2">
      <c r="A3164" t="str">
        <f>IF(B3148="megajoule","Heat","Electricity")&amp;" conversion efficiency [% LHV input]"</f>
        <v>Electricity conversion efficiency [% LHV input]</v>
      </c>
      <c r="B3164" s="46">
        <f>INDEX(parameters!$D$4:$N$20,MATCH('hydrogen - electrolysis'!B3152&amp;'hydrogen - electrolysis'!B3154,parameters!$A$4:$A$20,0),MATCH('hydrogen - electrolysis'!A3164,parameters!$D$3:$N$3,0))</f>
        <v>0.39400000000000002</v>
      </c>
    </row>
    <row r="3165" spans="1:2" x14ac:dyDescent="0.2">
      <c r="A3165" t="str">
        <f>IF(B3148="megajoule","LHV [MJ/kg]","LHV [kWh/kg]")</f>
        <v>LHV [kWh/kg]</v>
      </c>
      <c r="B3165" s="47">
        <f>INDEX(parameters!$D$4:$N$20,MATCH('hydrogen - electrolysis'!B3152&amp;'hydrogen - electrolysis'!B3154,parameters!$A$4:$A$20,0),MATCH('hydrogen - electrolysis'!A3165,parameters!$D$3:$N$3,0))</f>
        <v>33.333333333333336</v>
      </c>
    </row>
    <row r="3166" spans="1:2" x14ac:dyDescent="0.2">
      <c r="A3166" t="s">
        <v>41</v>
      </c>
      <c r="B3166" s="48">
        <f>INDEX(parameters!$D$4:$N$20,MATCH('hydrogen - electrolysis'!B3152&amp;'hydrogen - electrolysis'!B3154,parameters!$A$4:$A$20,0),MATCH('hydrogen - electrolysis'!A3166,parameters!$D$3:$N$3,0))</f>
        <v>2.6666666666666665E-2</v>
      </c>
    </row>
    <row r="3167" spans="1:2" x14ac:dyDescent="0.2">
      <c r="A3167" t="s">
        <v>45</v>
      </c>
      <c r="B3167" s="46">
        <f>INDEX(parameters!$D$4:$N$20,MATCH('hydrogen - electrolysis'!B3152&amp;'hydrogen - electrolysis'!B3154,parameters!$A$4:$A$20,0),MATCH('hydrogen - electrolysis'!A3167,parameters!$D$3:$N$3,0))</f>
        <v>0</v>
      </c>
    </row>
    <row r="3168" spans="1:2" x14ac:dyDescent="0.2">
      <c r="A3168" t="s">
        <v>46</v>
      </c>
      <c r="B3168" s="46">
        <f>INDEX(parameters!$D$4:$N$20,MATCH('hydrogen - electrolysis'!B3152&amp;'hydrogen - electrolysis'!B3154,parameters!$A$4:$A$20,0),MATCH('hydrogen - electrolysis'!A3168,parameters!$D$3:$N$3,0))</f>
        <v>1.4999999999999999E-2</v>
      </c>
    </row>
    <row r="3169" spans="1:22" x14ac:dyDescent="0.2">
      <c r="A3169" t="s">
        <v>43</v>
      </c>
      <c r="B3169" s="46">
        <f>INDEX(parameters!$D$4:$N$20,MATCH('hydrogen - electrolysis'!B3152&amp;'hydrogen - electrolysis'!B3154,parameters!$A$4:$A$20,0),MATCH('hydrogen - electrolysis'!A3169,parameters!$D$3:$N$3,0))</f>
        <v>0</v>
      </c>
    </row>
    <row r="3170" spans="1:22" x14ac:dyDescent="0.2">
      <c r="A3170" t="s">
        <v>44</v>
      </c>
      <c r="B3170" s="46">
        <f>INDEX(parameters!$D$4:$N$20,MATCH('hydrogen - electrolysis'!B3152&amp;'hydrogen - electrolysis'!B3154,parameters!$A$4:$A$20,0),MATCH('hydrogen - electrolysis'!A3170,parameters!$D$3:$N$3,0))</f>
        <v>0</v>
      </c>
    </row>
    <row r="3171" spans="1:22" x14ac:dyDescent="0.2">
      <c r="A3171" t="s">
        <v>634</v>
      </c>
      <c r="B3171" s="51">
        <f>INDEX(parameters!$D$4:$Y$20,MATCH('hydrogen - electrolysis'!B3152&amp;'hydrogen - electrolysis'!B3154,parameters!$A$4:$A$20,0),MATCH('hydrogen - electrolysis'!A3171,parameters!$D$3:$Y$3,0))</f>
        <v>351.41800246609125</v>
      </c>
    </row>
    <row r="3172" spans="1:22" x14ac:dyDescent="0.2">
      <c r="A3172" t="s">
        <v>82</v>
      </c>
      <c r="B3172" s="46">
        <f>IF(B3163&lt;&gt;0,VLOOKUP(B3163,parameters!A2098:B2100,2,0),0)</f>
        <v>0</v>
      </c>
    </row>
    <row r="3173" spans="1:22" x14ac:dyDescent="0.2">
      <c r="A3173" t="s">
        <v>548</v>
      </c>
      <c r="B3173" s="50">
        <f>INDEX(parameters!$D$4:$P$20,MATCH(B3152&amp;B3154,parameters!$A$4:$A$20,0),MATCH(A3173,parameters!$D$3:$P$3,0))</f>
        <v>125</v>
      </c>
    </row>
    <row r="3174" spans="1:22" x14ac:dyDescent="0.2">
      <c r="A3174" t="s">
        <v>547</v>
      </c>
      <c r="B3174" s="51">
        <f>INDEX(parameters!$D$4:$P$20,MATCH(B3152&amp;B3154,parameters!$A$4:$A$20,0),MATCH(A3174,parameters!$D$3:$P$3,0))</f>
        <v>19.512195121951219</v>
      </c>
    </row>
    <row r="3175" spans="1:22" x14ac:dyDescent="0.2">
      <c r="A3175" t="s">
        <v>630</v>
      </c>
      <c r="B3175" s="51">
        <f>INDEX(parameters!$D$4:$T$20,MATCH(B3152&amp;B3154,parameters!$A$4:$A$20,0),MATCH(A3175,parameters!$D$3:$T$3,0))</f>
        <v>4100</v>
      </c>
    </row>
    <row r="3176" spans="1:22" x14ac:dyDescent="0.2">
      <c r="A3176" t="s">
        <v>1005</v>
      </c>
      <c r="B3176" s="50">
        <f>IF(B3148="megajoule",SUMIFS(allocation!$I$4:$I$30,allocation!$B$4:$B$30,B3154,allocation!$C$4:$C$30,B3155),SUMIFS(allocation!$J$4:$J$30,allocation!$B$4:$B$30,B3154,allocation!$C$4:$C$30,B3155))</f>
        <v>0.87139957772704957</v>
      </c>
    </row>
    <row r="3177" spans="1:22" x14ac:dyDescent="0.2">
      <c r="A3177" t="s">
        <v>1050</v>
      </c>
      <c r="B3177" s="51">
        <f>INDEX(parameters!$D$4:$AB$20,MATCH(B3152&amp;B3154,parameters!$A$4:$A$20,0),MATCH(A3177,parameters!$D$3:$AB$3,0))</f>
        <v>2220.7364520822662</v>
      </c>
    </row>
    <row r="3179" spans="1:22" x14ac:dyDescent="0.2">
      <c r="A3179" s="3" t="s">
        <v>57</v>
      </c>
    </row>
    <row r="3180" spans="1:22" x14ac:dyDescent="0.2">
      <c r="A3180" s="2" t="s">
        <v>58</v>
      </c>
      <c r="B3180" s="44" t="s">
        <v>59</v>
      </c>
      <c r="C3180" s="2" t="s">
        <v>55</v>
      </c>
      <c r="D3180" s="2" t="s">
        <v>60</v>
      </c>
      <c r="E3180" s="2" t="s">
        <v>52</v>
      </c>
      <c r="F3180" s="2" t="s">
        <v>61</v>
      </c>
      <c r="G3180" s="2" t="s">
        <v>54</v>
      </c>
      <c r="H3180" s="2" t="s">
        <v>87</v>
      </c>
      <c r="I3180" s="2" t="s">
        <v>51</v>
      </c>
      <c r="J3180" s="2" t="s">
        <v>138</v>
      </c>
      <c r="K3180" s="2" t="s">
        <v>136</v>
      </c>
      <c r="L3180" s="2" t="s">
        <v>221</v>
      </c>
      <c r="M3180" s="2" t="s">
        <v>379</v>
      </c>
      <c r="N3180" s="2" t="s">
        <v>1059</v>
      </c>
      <c r="O3180" s="2" t="s">
        <v>1060</v>
      </c>
      <c r="P3180" s="2" t="s">
        <v>1061</v>
      </c>
      <c r="Q3180" s="2" t="s">
        <v>1062</v>
      </c>
      <c r="R3180" s="2" t="s">
        <v>1063</v>
      </c>
      <c r="S3180" s="2" t="s">
        <v>1064</v>
      </c>
      <c r="T3180" s="2" t="s">
        <v>1065</v>
      </c>
      <c r="U3180" s="2" t="s">
        <v>380</v>
      </c>
      <c r="V3180" s="2" t="s">
        <v>1128</v>
      </c>
    </row>
    <row r="3181" spans="1:22" x14ac:dyDescent="0.2">
      <c r="A3181" t="str">
        <f>B3142</f>
        <v>electricity, residential, by combustion of hydrogen using CHP, allocated by exergy, transported by truck, produced by Electrolysis, PEM using water and electricity from Solar PV (CH)</v>
      </c>
      <c r="B3181" s="45">
        <v>1</v>
      </c>
      <c r="C3181" t="str">
        <f>B3148</f>
        <v>kilowatt hour</v>
      </c>
      <c r="E3181" t="str">
        <f>B3145</f>
        <v>CH</v>
      </c>
      <c r="F3181" t="s">
        <v>62</v>
      </c>
      <c r="G3181" t="str">
        <f>B3147</f>
        <v>electricity, from residential heating system</v>
      </c>
      <c r="K3181" t="str">
        <f>B3142</f>
        <v>electricity, residential, by combustion of hydrogen using CHP, allocated by exergy, transported by truck, produced by Electrolysis, PEM using water and electricity from Solar PV (CH)</v>
      </c>
    </row>
    <row r="3182" spans="1:22" x14ac:dyDescent="0.2">
      <c r="A3182" t="str">
        <f>VLOOKUP(J3182,'dataset mapping'!$A$4:$E$69,2,0)</f>
        <v>heat and power co-generation unit construction, 160kW electrical, common components for heat+electricity</v>
      </c>
      <c r="B3182" s="52">
        <f>(1/(B3171*B3175*B3174))*B3176</f>
        <v>3.0995835856870056E-8</v>
      </c>
      <c r="C3182" t="str">
        <f>VLOOKUP(J3182,'dataset mapping'!$A$4:$E$69,5,0)</f>
        <v>unit</v>
      </c>
      <c r="E3182" t="str">
        <f>VLOOKUP(J3182,'dataset mapping'!$A$4:$E$69,4,0)</f>
        <v>RER</v>
      </c>
      <c r="F3182" t="s">
        <v>86</v>
      </c>
      <c r="G3182" t="str">
        <f>VLOOKUP(J3182,'dataset mapping'!$A$4:$E$69,3,0)</f>
        <v>heat and power co-generation unit, 160kW electrical, common components for heat+electricity</v>
      </c>
      <c r="H3182" t="s">
        <v>88</v>
      </c>
      <c r="J3182" t="s">
        <v>145</v>
      </c>
      <c r="K3182" t="str">
        <f>B3142</f>
        <v>electricity, residential, by combustion of hydrogen using CHP, allocated by exergy, transported by truck, produced by Electrolysis, PEM using water and electricity from Solar PV (CH)</v>
      </c>
      <c r="L3182">
        <f>IF(OR(B3182&lt;0,B3182=0),1,2)</f>
        <v>2</v>
      </c>
      <c r="M3182">
        <f>IF(L3182=2,LN(B3182),"")</f>
        <v>-17.28941296868171</v>
      </c>
      <c r="N3182">
        <v>1.05</v>
      </c>
      <c r="O3182" s="15">
        <v>1.2</v>
      </c>
      <c r="P3182">
        <v>1</v>
      </c>
      <c r="Q3182">
        <v>1.01</v>
      </c>
      <c r="R3182">
        <v>1.2</v>
      </c>
      <c r="S3182">
        <v>1.2</v>
      </c>
      <c r="T3182">
        <v>3</v>
      </c>
      <c r="U3182">
        <f t="shared" ref="U3182:U3190" si="108">LN(SQRT(EXP(
SQRT(
+POWER(LN(N3182),2)
+POWER(LN(O3182),2)
+POWER(LN(P3182),2)
+POWER(LN(Q3182),2)
+POWER(LN(R3182),2)
+POWER(LN(S3182),2)
+POWER(LN(T3182),2)
)
)))</f>
        <v>0.57209088006881903</v>
      </c>
    </row>
    <row r="3183" spans="1:22" x14ac:dyDescent="0.2">
      <c r="A3183" t="str">
        <f>VLOOKUP(J3183,'dataset mapping'!$A$4:$E$69,2,0)</f>
        <v>heat and power co-generation unit construction, 160kW electrical, components for electricity only</v>
      </c>
      <c r="B3183" s="52">
        <f>(1/(B3171*B3175*B3174))*B3176</f>
        <v>3.0995835856870056E-8</v>
      </c>
      <c r="C3183" t="str">
        <f>VLOOKUP(J3183,'dataset mapping'!$A$4:$E$69,5,0)</f>
        <v>unit</v>
      </c>
      <c r="E3183" t="str">
        <f>VLOOKUP(J3183,'dataset mapping'!$A$4:$E$69,4,0)</f>
        <v>RER</v>
      </c>
      <c r="F3183" t="s">
        <v>86</v>
      </c>
      <c r="G3183" t="str">
        <f>VLOOKUP(J3183,'dataset mapping'!$A$4:$E$69,3,0)</f>
        <v>heat and power co-generation unit, 160kW electrical, components for electricity only</v>
      </c>
      <c r="H3183" t="s">
        <v>88</v>
      </c>
      <c r="J3183" t="s">
        <v>146</v>
      </c>
      <c r="K3183" t="str">
        <f>B3142</f>
        <v>electricity, residential, by combustion of hydrogen using CHP, allocated by exergy, transported by truck, produced by Electrolysis, PEM using water and electricity from Solar PV (CH)</v>
      </c>
      <c r="L3183">
        <f>IF(OR(B3183&lt;0,B3183=0),1,2)</f>
        <v>2</v>
      </c>
      <c r="M3183">
        <f>IF(L3183=2,LN(B3183),"")</f>
        <v>-17.28941296868171</v>
      </c>
      <c r="N3183">
        <v>1.05</v>
      </c>
      <c r="O3183" s="15">
        <v>1.2</v>
      </c>
      <c r="P3183">
        <v>1</v>
      </c>
      <c r="Q3183">
        <v>1.01</v>
      </c>
      <c r="R3183">
        <v>1.2</v>
      </c>
      <c r="S3183">
        <v>1.2</v>
      </c>
      <c r="T3183">
        <v>3</v>
      </c>
      <c r="U3183">
        <f t="shared" si="108"/>
        <v>0.57209088006881903</v>
      </c>
    </row>
    <row r="3184" spans="1:22" x14ac:dyDescent="0.2">
      <c r="A3184" t="str">
        <f>VLOOKUP(J3184,'dataset mapping'!$A$4:$E$69,2,0)</f>
        <v>heat and power co-generation unit construction, 160kW electrical, components for heat only</v>
      </c>
      <c r="B3184" s="52">
        <f>(1/(B3171*B3175*B3174))*B3176</f>
        <v>3.0995835856870056E-8</v>
      </c>
      <c r="C3184" t="str">
        <f>VLOOKUP(J3184,'dataset mapping'!$A$4:$E$69,5,0)</f>
        <v>unit</v>
      </c>
      <c r="E3184" t="str">
        <f>VLOOKUP(J3184,'dataset mapping'!$A$4:$E$69,4,0)</f>
        <v>RER</v>
      </c>
      <c r="F3184" t="s">
        <v>86</v>
      </c>
      <c r="G3184" t="str">
        <f>VLOOKUP(J3184,'dataset mapping'!$A$4:$E$69,3,0)</f>
        <v>heat and power co-generation unit, 160kW electrical, components for heat only</v>
      </c>
      <c r="H3184" t="s">
        <v>88</v>
      </c>
      <c r="J3184" t="s">
        <v>147</v>
      </c>
      <c r="K3184" t="str">
        <f>B3142</f>
        <v>electricity, residential, by combustion of hydrogen using CHP, allocated by exergy, transported by truck, produced by Electrolysis, PEM using water and electricity from Solar PV (CH)</v>
      </c>
      <c r="L3184">
        <f>IF(OR(B3184&lt;0,B3184=0),1,2)</f>
        <v>2</v>
      </c>
      <c r="M3184">
        <f>IF(L3184=2,LN(B3184),"")</f>
        <v>-17.28941296868171</v>
      </c>
      <c r="N3184">
        <v>1.05</v>
      </c>
      <c r="O3184" s="15">
        <v>1.2</v>
      </c>
      <c r="P3184">
        <v>1</v>
      </c>
      <c r="Q3184">
        <v>1.01</v>
      </c>
      <c r="R3184">
        <v>1.2</v>
      </c>
      <c r="S3184">
        <v>1.2</v>
      </c>
      <c r="T3184">
        <v>3</v>
      </c>
      <c r="U3184">
        <f t="shared" si="108"/>
        <v>0.57209088006881903</v>
      </c>
    </row>
    <row r="3185" spans="1:22" x14ac:dyDescent="0.2">
      <c r="A3185" t="s">
        <v>156</v>
      </c>
      <c r="B3185" s="52">
        <f>0.00000011366*B3176</f>
        <v>9.9043276004456456E-8</v>
      </c>
      <c r="C3185" t="s">
        <v>56</v>
      </c>
      <c r="E3185" t="s">
        <v>90</v>
      </c>
      <c r="F3185" t="s">
        <v>86</v>
      </c>
      <c r="G3185" t="s">
        <v>154</v>
      </c>
      <c r="H3185" t="s">
        <v>155</v>
      </c>
      <c r="K3185" t="str">
        <f>B3142</f>
        <v>electricity, residential, by combustion of hydrogen using CHP, allocated by exergy, transported by truck, produced by Electrolysis, PEM using water and electricity from Solar PV (CH)</v>
      </c>
      <c r="L3185">
        <f>IF(OR(B3185&lt;0,B3185=0),1,2)</f>
        <v>2</v>
      </c>
      <c r="M3185">
        <f>IF(L3185=2,LN(B3185),"")</f>
        <v>-16.127708950967754</v>
      </c>
      <c r="N3185">
        <v>1.05</v>
      </c>
      <c r="O3185" s="15">
        <v>1.2</v>
      </c>
      <c r="P3185">
        <v>1</v>
      </c>
      <c r="Q3185">
        <v>1.01</v>
      </c>
      <c r="R3185">
        <v>1.2</v>
      </c>
      <c r="S3185">
        <v>1.2</v>
      </c>
      <c r="T3185">
        <v>1.05</v>
      </c>
      <c r="U3185">
        <f t="shared" si="108"/>
        <v>0.16169679924070957</v>
      </c>
    </row>
    <row r="3186" spans="1:22" x14ac:dyDescent="0.2">
      <c r="A3186" t="s">
        <v>157</v>
      </c>
      <c r="B3186" s="52">
        <f>0.00000011366*B3176*-1</f>
        <v>-9.9043276004456456E-8</v>
      </c>
      <c r="C3186" t="s">
        <v>56</v>
      </c>
      <c r="E3186" t="s">
        <v>64</v>
      </c>
      <c r="F3186" t="s">
        <v>86</v>
      </c>
      <c r="G3186" t="s">
        <v>158</v>
      </c>
      <c r="H3186" t="s">
        <v>155</v>
      </c>
      <c r="K3186" t="str">
        <f>B3142</f>
        <v>electricity, residential, by combustion of hydrogen using CHP, allocated by exergy, transported by truck, produced by Electrolysis, PEM using water and electricity from Solar PV (CH)</v>
      </c>
      <c r="L3186">
        <v>2</v>
      </c>
      <c r="M3186">
        <f>IF(L3186=2,LN(B3186*-1),"")</f>
        <v>-16.127708950967754</v>
      </c>
      <c r="N3186">
        <v>1.05</v>
      </c>
      <c r="O3186" s="15">
        <v>1.2</v>
      </c>
      <c r="P3186">
        <v>1</v>
      </c>
      <c r="Q3186">
        <v>1.01</v>
      </c>
      <c r="R3186">
        <v>1.2</v>
      </c>
      <c r="S3186">
        <v>1.2</v>
      </c>
      <c r="T3186">
        <v>3</v>
      </c>
      <c r="U3186">
        <f t="shared" si="108"/>
        <v>0.57209088006881903</v>
      </c>
      <c r="V3186" t="b">
        <v>1</v>
      </c>
    </row>
    <row r="3187" spans="1:22" x14ac:dyDescent="0.2">
      <c r="A3187" s="45" t="str">
        <f>"hydrogen supply, transported by "&amp;B3156&amp;", produced by "&amp;B3160&amp;" using "&amp;B3161&amp;" from "&amp;B3162</f>
        <v>hydrogen supply, transported by truck, produced by Electrolysis, PEM using water and electricity from Solar PV (CH)</v>
      </c>
      <c r="B3187" s="53">
        <f>(B3181/B3165)/B3164*B3176</f>
        <v>6.6350221654343872E-2</v>
      </c>
      <c r="C3187" t="str">
        <f>VLOOKUP(J3187,'dataset mapping'!$A$4:$E$69,5,0)</f>
        <v>kilogram</v>
      </c>
      <c r="E3187" t="str">
        <f>VLOOKUP(J3187,'dataset mapping'!$A$4:$E$69,4,0)</f>
        <v>CH</v>
      </c>
      <c r="F3187" t="s">
        <v>86</v>
      </c>
      <c r="G3187" t="str">
        <f>"hydrogen, gaseous, from "&amp;B1796</f>
        <v>hydrogen, gaseous, from truck</v>
      </c>
      <c r="H3187" t="s">
        <v>76</v>
      </c>
      <c r="I3187" t="s">
        <v>1054</v>
      </c>
      <c r="J3187" t="s">
        <v>292</v>
      </c>
      <c r="K3187" t="str">
        <f>B3142</f>
        <v>electricity, residential, by combustion of hydrogen using CHP, allocated by exergy, transported by truck, produced by Electrolysis, PEM using water and electricity from Solar PV (CH)</v>
      </c>
      <c r="L3187">
        <f>IF(OR(B3187&lt;0,B3187=0),1,2)</f>
        <v>2</v>
      </c>
      <c r="M3187">
        <f>IF(L3187=2,LN(B3187),"")</f>
        <v>-2.7128081775260964</v>
      </c>
      <c r="N3187">
        <v>1.05</v>
      </c>
      <c r="O3187" s="15">
        <v>1.2</v>
      </c>
      <c r="P3187">
        <v>1</v>
      </c>
      <c r="Q3187">
        <v>1.01</v>
      </c>
      <c r="R3187">
        <v>1.2</v>
      </c>
      <c r="S3187">
        <v>1.2</v>
      </c>
      <c r="T3187">
        <v>1.05</v>
      </c>
      <c r="U3187">
        <f t="shared" si="108"/>
        <v>0.16169679924070957</v>
      </c>
    </row>
    <row r="3188" spans="1:22" x14ac:dyDescent="0.2">
      <c r="A3188" t="str">
        <f>VLOOKUP(J3188,'dataset mapping'!$A$4:$E$69,2,0)</f>
        <v>high pressure hydrogen storage tank</v>
      </c>
      <c r="B3188" s="52">
        <f>((B3177/10)/(B3175*B3171*20))*IF(B3176&lt;&gt;0,B3176,1)</f>
        <v>6.7154714683034044E-6</v>
      </c>
      <c r="C3188" t="str">
        <f>VLOOKUP(J3188,'dataset mapping'!$A$4:$E$69,5,0)</f>
        <v>kilogram</v>
      </c>
      <c r="E3188" t="str">
        <f>VLOOKUP(J3188,'dataset mapping'!$A$4:$E$69,4,0)</f>
        <v>GLO</v>
      </c>
      <c r="F3188" t="s">
        <v>86</v>
      </c>
      <c r="G3188" t="str">
        <f>VLOOKUP(J3188,'dataset mapping'!$A$4:$E$69,3,0)</f>
        <v>high pressure hydrogen storage tank</v>
      </c>
      <c r="H3188" t="s">
        <v>88</v>
      </c>
      <c r="I3188" t="s">
        <v>279</v>
      </c>
      <c r="J3188" t="s">
        <v>229</v>
      </c>
      <c r="K3188" t="str">
        <f>B3142</f>
        <v>electricity, residential, by combustion of hydrogen using CHP, allocated by exergy, transported by truck, produced by Electrolysis, PEM using water and electricity from Solar PV (CH)</v>
      </c>
      <c r="L3188">
        <f>IF(OR(B3188&lt;0,B3188=0),1,2)</f>
        <v>2</v>
      </c>
      <c r="M3188">
        <f>IF(L3188=2,LN(B3188),"")</f>
        <v>-11.911096519239557</v>
      </c>
      <c r="N3188">
        <v>1.05</v>
      </c>
      <c r="O3188" s="15">
        <v>1.2</v>
      </c>
      <c r="P3188">
        <v>1</v>
      </c>
      <c r="Q3188">
        <v>1.01</v>
      </c>
      <c r="R3188">
        <v>1.2</v>
      </c>
      <c r="S3188">
        <v>1.2</v>
      </c>
      <c r="T3188">
        <v>3</v>
      </c>
      <c r="U3188">
        <f t="shared" si="108"/>
        <v>0.57209088006881903</v>
      </c>
    </row>
    <row r="3189" spans="1:22" x14ac:dyDescent="0.2">
      <c r="A3189" t="s">
        <v>134</v>
      </c>
      <c r="B3189" s="45">
        <f>B3187*9</f>
        <v>0.59715199488909487</v>
      </c>
      <c r="C3189" t="s">
        <v>56</v>
      </c>
      <c r="D3189" t="s">
        <v>100</v>
      </c>
      <c r="F3189" t="s">
        <v>99</v>
      </c>
      <c r="H3189" t="s">
        <v>131</v>
      </c>
      <c r="I3189" t="s">
        <v>1058</v>
      </c>
      <c r="K3189" t="str">
        <f>B3142</f>
        <v>electricity, residential, by combustion of hydrogen using CHP, allocated by exergy, transported by truck, produced by Electrolysis, PEM using water and electricity from Solar PV (CH)</v>
      </c>
      <c r="L3189">
        <f>IF(OR(B3189&lt;0,B3189=0),1,2)</f>
        <v>2</v>
      </c>
      <c r="M3189">
        <f>IF(L3189=2,LN(B3189),"")</f>
        <v>-0.51558360018987692</v>
      </c>
      <c r="N3189">
        <v>1.05</v>
      </c>
      <c r="O3189" s="15">
        <v>1.2</v>
      </c>
      <c r="P3189">
        <v>1</v>
      </c>
      <c r="Q3189">
        <v>1.01</v>
      </c>
      <c r="R3189">
        <v>1.2</v>
      </c>
      <c r="S3189">
        <v>1.2</v>
      </c>
      <c r="T3189">
        <v>1.05</v>
      </c>
      <c r="U3189">
        <f t="shared" si="108"/>
        <v>0.16169679924070957</v>
      </c>
    </row>
    <row r="3190" spans="1:22" x14ac:dyDescent="0.2">
      <c r="A3190" t="s">
        <v>135</v>
      </c>
      <c r="B3190" s="45">
        <f>912.5/1000000*B3187</f>
        <v>6.0544577259588785E-5</v>
      </c>
      <c r="C3190" t="s">
        <v>56</v>
      </c>
      <c r="D3190" t="s">
        <v>100</v>
      </c>
      <c r="F3190" t="s">
        <v>99</v>
      </c>
      <c r="H3190" t="s">
        <v>131</v>
      </c>
      <c r="I3190" t="s">
        <v>1217</v>
      </c>
      <c r="K3190" t="str">
        <f>B3142</f>
        <v>electricity, residential, by combustion of hydrogen using CHP, allocated by exergy, transported by truck, produced by Electrolysis, PEM using water and electricity from Solar PV (CH)</v>
      </c>
      <c r="L3190">
        <f>IF(OR(B3190&lt;0,B3190=0),1,2)</f>
        <v>2</v>
      </c>
      <c r="M3190">
        <f>IF(L3190=2,LN(B3190),"")</f>
        <v>-9.712130650033723</v>
      </c>
      <c r="N3190">
        <v>1.05</v>
      </c>
      <c r="O3190" s="15">
        <v>1.2</v>
      </c>
      <c r="P3190">
        <v>1</v>
      </c>
      <c r="Q3190">
        <v>1.01</v>
      </c>
      <c r="R3190">
        <v>1.2</v>
      </c>
      <c r="S3190">
        <v>1.2</v>
      </c>
      <c r="T3190">
        <v>1.5</v>
      </c>
      <c r="U3190">
        <f t="shared" si="108"/>
        <v>0.25816898211842121</v>
      </c>
    </row>
    <row r="3192" spans="1:22" x14ac:dyDescent="0.2">
      <c r="A3192" s="2" t="s">
        <v>50</v>
      </c>
      <c r="B3192" s="44" t="str">
        <f>IF(B3198="megajoule","heat","electricity")&amp;", residential, by "&amp;B3203&amp;" of "&amp;B3202&amp;" using "&amp;B3204&amp;IF(B3205&lt;&gt;0,", allocated by "&amp;B3205,"")&amp;", transported by "&amp;B3206&amp;", produced by "&amp;B3210&amp;" using "&amp;B3211&amp;" from "&amp;B3212</f>
        <v>electricity, residential, by conversion of hydrogen using fuel cell, PEM, allocated by exergy, transported by truck, produced by Electrolysis, PEM using water and electricity from Solar PV (CH)</v>
      </c>
    </row>
    <row r="3193" spans="1:22" x14ac:dyDescent="0.2">
      <c r="A3193" t="s">
        <v>51</v>
      </c>
      <c r="B3193" s="45" t="str">
        <f>"This dataset represents the supply of 1 "&amp;IF(B3198="megajoule","megajoule of heat","kilowatt hour of electricity")&amp;" in a residence, by "&amp;B3202&amp;" "&amp;B3203&amp;" in a "&amp;B3204&amp;". "&amp;" The hydrogen is transported by "&amp;B3206&amp;" over "&amp;B3207&amp;" km from regional storage. "&amp;" The "&amp;B3202&amp;" is produced by  "&amp;B3210&amp;", with "&amp;B3211&amp;" from "&amp;B3212&amp;" as feedstock. "&amp;A3214&amp;": "&amp;(B3214*100)&amp;"%. "&amp;A3215&amp;": "&amp;B3215&amp;". "&amp;A3216&amp;": "&amp;B3216&amp;". "&amp;A3217&amp;": "&amp;(B3217*100)&amp;"%. "&amp;A3218&amp;": "&amp;(B3218*100)&amp;"%. "&amp;A3219&amp;": "&amp;(B3219*100)&amp;"%. "&amp;A3220&amp;": "&amp;B3220&amp;". "&amp;A3221&amp;": "&amp;B3221&amp;". "&amp;A3222&amp;": "&amp;(B3222*100)&amp;"%. "&amp;A3223&amp;": "&amp;B3223&amp;". "&amp;A3224&amp;": "&amp;B3224&amp;". "&amp;A3225&amp;": "&amp;B3225&amp;". "&amp;A3226&amp;": "&amp;B3226&amp;".  For more information, refer to: "&amp;B3194</f>
        <v>This dataset represents the supply of 1 kilowatt hour of electricity in a residence, by hydrogen conversion in a fuel cell, PEM.  The hydrogen is transported by truck over 200 km from regional storage.  The hydrogen is produced by  Electrolysis, PEM, with water and electricity from Solar PV (CH)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3194" spans="1:22" x14ac:dyDescent="0.2">
      <c r="A3194" t="s">
        <v>63</v>
      </c>
      <c r="B3194" s="45" t="s">
        <v>1223</v>
      </c>
    </row>
    <row r="3195" spans="1:22" x14ac:dyDescent="0.2">
      <c r="A3195" t="s">
        <v>52</v>
      </c>
      <c r="B3195" s="45" t="s">
        <v>64</v>
      </c>
    </row>
    <row r="3196" spans="1:22" x14ac:dyDescent="0.2">
      <c r="A3196" t="s">
        <v>48</v>
      </c>
      <c r="B3196" s="45" t="s">
        <v>893</v>
      </c>
    </row>
    <row r="3197" spans="1:22" x14ac:dyDescent="0.2">
      <c r="A3197" t="s">
        <v>54</v>
      </c>
      <c r="B3197" s="45" t="str">
        <f>INDEX(overview!$B$4:$R$338,MATCH('hydrogen - electrolysis'!B3196,overview!$A$4:$A$338,0),MATCH('hydrogen - electrolysis'!A3197,overview!$B$3:$R$3,0))</f>
        <v>electricity, from residential heating system</v>
      </c>
    </row>
    <row r="3198" spans="1:22" x14ac:dyDescent="0.2">
      <c r="A3198" t="s">
        <v>55</v>
      </c>
      <c r="B3198" s="45" t="str">
        <f>INDEX(overview!$B$4:$R$338,MATCH('hydrogen - electrolysis'!B3196,overview!$A$4:$A$338,0),MATCH('hydrogen - electrolysis'!A3198,overview!$B$3:$R$3,0))</f>
        <v>kilowatt hour</v>
      </c>
    </row>
    <row r="3199" spans="1:22" x14ac:dyDescent="0.2">
      <c r="A3199" t="s">
        <v>0</v>
      </c>
      <c r="B3199" s="45" t="str">
        <f>INDEX(overview!$B$4:$R$338,MATCH('hydrogen - electrolysis'!B3196,overview!$A$4:$A$338,0),MATCH('hydrogen - electrolysis'!A3199,overview!$B$3:$R$3,0))</f>
        <v>Switzerland</v>
      </c>
    </row>
    <row r="3200" spans="1:22" x14ac:dyDescent="0.2">
      <c r="A3200" t="s">
        <v>1</v>
      </c>
      <c r="B3200" s="45">
        <f>INDEX(overview!$B$4:$R$338,MATCH('hydrogen - electrolysis'!B3196,overview!$A$4:$A$338,0),MATCH('hydrogen - electrolysis'!A3200,overview!$B$3:$R$3,0))</f>
        <v>2020</v>
      </c>
    </row>
    <row r="3201" spans="1:2" x14ac:dyDescent="0.2">
      <c r="A3201" t="s">
        <v>2</v>
      </c>
      <c r="B3201" s="45" t="str">
        <f>INDEX(overview!$B$4:$R$338,MATCH('hydrogen - electrolysis'!B3196,overview!$A$4:$A$338,0),MATCH('hydrogen - electrolysis'!A3201,overview!$B$3:$R$3,0))</f>
        <v>1 kWh electricity</v>
      </c>
    </row>
    <row r="3202" spans="1:2" x14ac:dyDescent="0.2">
      <c r="A3202" t="s">
        <v>5</v>
      </c>
      <c r="B3202" s="45" t="str">
        <f>INDEX(overview!$B$4:$R$338,MATCH('hydrogen - electrolysis'!B3196,overview!$A$4:$A$338,0),MATCH('hydrogen - electrolysis'!A3202,overview!$B$3:$R$3,0))</f>
        <v>hydrogen</v>
      </c>
    </row>
    <row r="3203" spans="1:2" x14ac:dyDescent="0.2">
      <c r="A3203" t="s">
        <v>3</v>
      </c>
      <c r="B3203" s="45" t="str">
        <f>INDEX(overview!$B$4:$R$338,MATCH('hydrogen - electrolysis'!B3196,overview!$A$4:$A$338,0),MATCH('hydrogen - electrolysis'!A3203,overview!$B$3:$R$3,0))</f>
        <v>conversion</v>
      </c>
    </row>
    <row r="3204" spans="1:2" x14ac:dyDescent="0.2">
      <c r="A3204" t="s">
        <v>6</v>
      </c>
      <c r="B3204" s="45" t="str">
        <f>INDEX(overview!$B$4:$R$338,MATCH('hydrogen - electrolysis'!B3196,overview!$A$4:$A$338,0),MATCH('hydrogen - electrolysis'!A3204,overview!$B$3:$R$3,0))</f>
        <v>fuel cell, PEM</v>
      </c>
    </row>
    <row r="3205" spans="1:2" x14ac:dyDescent="0.2">
      <c r="A3205" t="s">
        <v>39</v>
      </c>
      <c r="B3205" s="45" t="str">
        <f>INDEX(overview!$B$4:$R$338,MATCH('hydrogen - electrolysis'!B3196,overview!$A$4:$A$338,0),MATCH('hydrogen - electrolysis'!A3205,overview!$B$3:$R$3,0))</f>
        <v>exergy</v>
      </c>
    </row>
    <row r="3206" spans="1:2" x14ac:dyDescent="0.2">
      <c r="A3206" t="s">
        <v>4</v>
      </c>
      <c r="B3206" s="45" t="str">
        <f>INDEX(overview!$B$4:$R$338,MATCH('hydrogen - electrolysis'!B3196,overview!$A$4:$A$338,0),MATCH('hydrogen - electrolysis'!A3206,overview!$B$3:$R$3,0))</f>
        <v>truck</v>
      </c>
    </row>
    <row r="3207" spans="1:2" x14ac:dyDescent="0.2">
      <c r="A3207" t="s">
        <v>38</v>
      </c>
      <c r="B3207" s="45">
        <f>INDEX(overview!$B$4:$R$338,MATCH('hydrogen - electrolysis'!B3196,overview!$A$4:$A$338,0),MATCH('hydrogen - electrolysis'!A3207,overview!$B$3:$R$3,0))</f>
        <v>200</v>
      </c>
    </row>
    <row r="3208" spans="1:2" x14ac:dyDescent="0.2">
      <c r="A3208" t="s">
        <v>12</v>
      </c>
      <c r="B3208" s="45" t="str">
        <f>INDEX(overview!$B$4:$R$338,MATCH('hydrogen - electrolysis'!B3196,overview!$A$4:$A$338,0),MATCH('hydrogen - electrolysis'!A3208,overview!$B$3:$R$3,0))</f>
        <v>Pressure vessel for stationary storage</v>
      </c>
    </row>
    <row r="3209" spans="1:2" x14ac:dyDescent="0.2">
      <c r="A3209" t="s">
        <v>34</v>
      </c>
      <c r="B3209" s="45">
        <f>INDEX(overview!$B$4:$R$338,MATCH('hydrogen - electrolysis'!B3196,overview!$A$4:$A$338,0),MATCH('hydrogen - electrolysis'!A3209,overview!$B$3:$R$3,0))</f>
        <v>0</v>
      </c>
    </row>
    <row r="3210" spans="1:2" x14ac:dyDescent="0.2">
      <c r="A3210" t="s">
        <v>15</v>
      </c>
      <c r="B3210" s="45" t="str">
        <f>INDEX(overview!$B$4:$R$338,MATCH('hydrogen - electrolysis'!B3196,overview!$A$4:$A$338,0),MATCH('hydrogen - electrolysis'!A3210,overview!$B$3:$R$3,0))</f>
        <v>Electrolysis, PEM</v>
      </c>
    </row>
    <row r="3211" spans="1:2" x14ac:dyDescent="0.2">
      <c r="A3211" t="s">
        <v>14</v>
      </c>
      <c r="B3211" s="45" t="str">
        <f>INDEX(overview!$B$4:$R$338,MATCH('hydrogen - electrolysis'!B3196,overview!$A$4:$A$338,0),MATCH('hydrogen - electrolysis'!A3211,overview!$B$3:$R$3,0))</f>
        <v>water and electricity</v>
      </c>
    </row>
    <row r="3212" spans="1:2" x14ac:dyDescent="0.2">
      <c r="A3212" t="s">
        <v>26</v>
      </c>
      <c r="B3212" s="45" t="str">
        <f>INDEX(overview!$B$4:$R$338,MATCH('hydrogen - electrolysis'!B3196,overview!$A$4:$A$338,0),MATCH('hydrogen - electrolysis'!A3212,overview!$B$3:$R$3,0))</f>
        <v>Solar PV (CH)</v>
      </c>
    </row>
    <row r="3213" spans="1:2" x14ac:dyDescent="0.2">
      <c r="A3213" t="s">
        <v>29</v>
      </c>
      <c r="B3213" s="45">
        <f>INDEX(overview!$B$4:$R$338,MATCH('hydrogen - electrolysis'!B3196,overview!$A$4:$A$338,0),MATCH('hydrogen - electrolysis'!A3213,overview!$B$3:$R$3,0))</f>
        <v>0</v>
      </c>
    </row>
    <row r="3214" spans="1:2" x14ac:dyDescent="0.2">
      <c r="A3214" t="str">
        <f>IF(B3198="megajoule","Heat","Electricity")&amp;" conversion efficiency [% LHV input]"</f>
        <v>Electricity conversion efficiency [% LHV input]</v>
      </c>
      <c r="B3214" s="46">
        <f>INDEX(parameters!$D$4:$N$20,MATCH('hydrogen - electrolysis'!B3202&amp;'hydrogen - electrolysis'!B3204,parameters!$A$4:$A$20,0),MATCH('hydrogen - electrolysis'!A3214,parameters!$D$3:$N$3,0))</f>
        <v>0.45</v>
      </c>
    </row>
    <row r="3215" spans="1:2" x14ac:dyDescent="0.2">
      <c r="A3215" t="str">
        <f>IF(B3198="megajoule","LHV [MJ/kg]","LHV [kWh/kg]")</f>
        <v>LHV [kWh/kg]</v>
      </c>
      <c r="B3215" s="47">
        <f>INDEX(parameters!$D$4:$N$20,MATCH('hydrogen - electrolysis'!B3202&amp;'hydrogen - electrolysis'!B3204,parameters!$A$4:$A$20,0),MATCH('hydrogen - electrolysis'!A3215,parameters!$D$3:$N$3,0))</f>
        <v>33.333333333333336</v>
      </c>
    </row>
    <row r="3216" spans="1:2" x14ac:dyDescent="0.2">
      <c r="A3216" t="s">
        <v>41</v>
      </c>
      <c r="B3216" s="48">
        <f>INDEX(parameters!$D$4:$N$20,MATCH('hydrogen - electrolysis'!B3202&amp;'hydrogen - electrolysis'!B3204,parameters!$A$4:$A$20,0),MATCH('hydrogen - electrolysis'!A3216,parameters!$D$3:$N$3,0))</f>
        <v>2.6666666666666665E-2</v>
      </c>
    </row>
    <row r="3217" spans="1:22" x14ac:dyDescent="0.2">
      <c r="A3217" t="s">
        <v>45</v>
      </c>
      <c r="B3217" s="46">
        <f>INDEX(parameters!$D$4:$N$20,MATCH('hydrogen - electrolysis'!B3202&amp;'hydrogen - electrolysis'!B3204,parameters!$A$4:$A$20,0),MATCH('hydrogen - electrolysis'!A3217,parameters!$D$3:$N$3,0))</f>
        <v>0</v>
      </c>
    </row>
    <row r="3218" spans="1:22" x14ac:dyDescent="0.2">
      <c r="A3218" t="s">
        <v>46</v>
      </c>
      <c r="B3218" s="46">
        <f>INDEX(parameters!$D$4:$N$20,MATCH('hydrogen - electrolysis'!B3202&amp;'hydrogen - electrolysis'!B3204,parameters!$A$4:$A$20,0),MATCH('hydrogen - electrolysis'!A3218,parameters!$D$3:$N$3,0))</f>
        <v>1.4999999999999999E-2</v>
      </c>
    </row>
    <row r="3219" spans="1:22" x14ac:dyDescent="0.2">
      <c r="A3219" t="s">
        <v>43</v>
      </c>
      <c r="B3219" s="46">
        <f>INDEX(parameters!$D$4:$N$20,MATCH('hydrogen - electrolysis'!B3202&amp;'hydrogen - electrolysis'!B3204,parameters!$A$4:$A$20,0),MATCH('hydrogen - electrolysis'!A3219,parameters!$D$3:$N$3,0))</f>
        <v>0</v>
      </c>
    </row>
    <row r="3220" spans="1:22" x14ac:dyDescent="0.2">
      <c r="A3220" t="s">
        <v>44</v>
      </c>
      <c r="B3220" s="46">
        <f>INDEX(parameters!$D$4:$N$20,MATCH('hydrogen - electrolysis'!B3202&amp;'hydrogen - electrolysis'!B3204,parameters!$A$4:$A$20,0),MATCH('hydrogen - electrolysis'!A3220,parameters!$D$3:$N$3,0))</f>
        <v>0</v>
      </c>
    </row>
    <row r="3221" spans="1:22" x14ac:dyDescent="0.2">
      <c r="A3221" t="s">
        <v>634</v>
      </c>
      <c r="B3221" s="51">
        <f>INDEX(parameters!$D$4:$Y$20,MATCH('hydrogen - electrolysis'!B3202&amp;'hydrogen - electrolysis'!B3204,parameters!$A$4:$A$20,0),MATCH('hydrogen - electrolysis'!A3221,parameters!$D$3:$Y$3,0))</f>
        <v>1.8947368421052633</v>
      </c>
    </row>
    <row r="3222" spans="1:22" x14ac:dyDescent="0.2">
      <c r="A3222" t="s">
        <v>82</v>
      </c>
      <c r="B3222" s="46">
        <f>IF(B3213&lt;&gt;0,VLOOKUP(B3213,parameters!A2151:B2153,2,0),0)</f>
        <v>0</v>
      </c>
    </row>
    <row r="3223" spans="1:22" x14ac:dyDescent="0.2">
      <c r="A3223" t="s">
        <v>548</v>
      </c>
      <c r="B3223" s="50">
        <f>INDEX(parameters!$D$4:$P$20,MATCH(B3202&amp;B3204,parameters!$A$4:$A$20,0),MATCH(A3223,parameters!$D$3:$P$3,0))</f>
        <v>0.8</v>
      </c>
    </row>
    <row r="3224" spans="1:22" x14ac:dyDescent="0.2">
      <c r="A3224" t="s">
        <v>547</v>
      </c>
      <c r="B3224" s="51">
        <f>INDEX(parameters!$D$4:$P$20,MATCH(B3202&amp;B3204,parameters!$A$4:$A$20,0),MATCH(A3224,parameters!$D$3:$P$3,0))</f>
        <v>4.8780487804878048</v>
      </c>
    </row>
    <row r="3225" spans="1:22" x14ac:dyDescent="0.2">
      <c r="A3225" t="s">
        <v>630</v>
      </c>
      <c r="B3225" s="51">
        <f>INDEX(parameters!$D$4:$T$20,MATCH(B3202&amp;B3204,parameters!$A$4:$A$20,0),MATCH(A3225,parameters!$D$3:$T$3,0))</f>
        <v>4100</v>
      </c>
    </row>
    <row r="3226" spans="1:22" x14ac:dyDescent="0.2">
      <c r="A3226" t="s">
        <v>1005</v>
      </c>
      <c r="B3226" s="50">
        <f>IF(B3198="megajoule",SUMIFS(allocation!$I$4:$I$30,allocation!$B$4:$B$30,B3204,allocation!$C$4:$C$30,B3205),SUMIFS(allocation!$J$4:$J$30,allocation!$B$4:$B$30,B3204,allocation!$C$4:$C$30,B3205))</f>
        <v>0.86066019201025545</v>
      </c>
    </row>
    <row r="3227" spans="1:22" x14ac:dyDescent="0.2">
      <c r="A3227" t="s">
        <v>1050</v>
      </c>
      <c r="B3227" s="51">
        <f>INDEX(parameters!$D$4:$AB$20,MATCH(B3202&amp;B3204,parameters!$A$4:$A$20,0),MATCH(A3227,parameters!$D$3:$AB$3,0))</f>
        <v>10.221606648199446</v>
      </c>
    </row>
    <row r="3229" spans="1:22" x14ac:dyDescent="0.2">
      <c r="A3229" s="3" t="s">
        <v>57</v>
      </c>
    </row>
    <row r="3230" spans="1:22" x14ac:dyDescent="0.2">
      <c r="A3230" s="2" t="s">
        <v>58</v>
      </c>
      <c r="B3230" s="44" t="s">
        <v>59</v>
      </c>
      <c r="C3230" s="2" t="s">
        <v>55</v>
      </c>
      <c r="D3230" s="2" t="s">
        <v>60</v>
      </c>
      <c r="E3230" s="2" t="s">
        <v>52</v>
      </c>
      <c r="F3230" s="2" t="s">
        <v>61</v>
      </c>
      <c r="G3230" s="2" t="s">
        <v>54</v>
      </c>
      <c r="H3230" s="2" t="s">
        <v>87</v>
      </c>
      <c r="I3230" s="2" t="s">
        <v>51</v>
      </c>
      <c r="J3230" s="2" t="s">
        <v>138</v>
      </c>
      <c r="K3230" s="2" t="s">
        <v>136</v>
      </c>
      <c r="L3230" s="2" t="s">
        <v>221</v>
      </c>
      <c r="M3230" s="2" t="s">
        <v>379</v>
      </c>
      <c r="N3230" s="2" t="s">
        <v>1059</v>
      </c>
      <c r="O3230" s="2" t="s">
        <v>1060</v>
      </c>
      <c r="P3230" s="2" t="s">
        <v>1061</v>
      </c>
      <c r="Q3230" s="2" t="s">
        <v>1062</v>
      </c>
      <c r="R3230" s="2" t="s">
        <v>1063</v>
      </c>
      <c r="S3230" s="2" t="s">
        <v>1064</v>
      </c>
      <c r="T3230" s="2" t="s">
        <v>1065</v>
      </c>
      <c r="U3230" s="2" t="s">
        <v>380</v>
      </c>
      <c r="V3230" s="2" t="s">
        <v>1128</v>
      </c>
    </row>
    <row r="3231" spans="1:22" x14ac:dyDescent="0.2">
      <c r="A3231" t="str">
        <f>B3192</f>
        <v>electricity, residential, by conversion of hydrogen using fuel cell, PEM, allocated by exergy, transported by truck, produced by Electrolysis, PEM using water and electricity from Solar PV (CH)</v>
      </c>
      <c r="B3231" s="45">
        <v>1</v>
      </c>
      <c r="C3231" t="str">
        <f>B3198</f>
        <v>kilowatt hour</v>
      </c>
      <c r="E3231" t="str">
        <f>B3195</f>
        <v>CH</v>
      </c>
      <c r="F3231" t="s">
        <v>62</v>
      </c>
      <c r="G3231" t="str">
        <f>B3197</f>
        <v>electricity, from residential heating system</v>
      </c>
      <c r="K3231" t="str">
        <f>B3192</f>
        <v>electricity, residential, by conversion of hydrogen using fuel cell, PEM, allocated by exergy, transported by truck, produced by Electrolysis, PEM using water and electricity from Solar PV (CH)</v>
      </c>
    </row>
    <row r="3232" spans="1:22" x14ac:dyDescent="0.2">
      <c r="A3232" t="str">
        <f>VLOOKUP(J3232,'dataset mapping'!$A$4:$E$69,2,0)</f>
        <v>fuel cell system assembly, 1 kWe, proton exchange membrane (PEM)</v>
      </c>
      <c r="B3232" s="52">
        <f>(1/(B3221*B3225*B3224))*B3226</f>
        <v>2.2711866178048405E-5</v>
      </c>
      <c r="C3232" t="str">
        <f>VLOOKUP(J3232,'dataset mapping'!$A$4:$E$69,5,0)</f>
        <v>unit</v>
      </c>
      <c r="E3232" t="str">
        <f>VLOOKUP(J3232,'dataset mapping'!$A$4:$E$69,4,0)</f>
        <v>GLO</v>
      </c>
      <c r="F3232" t="s">
        <v>86</v>
      </c>
      <c r="G3232" t="str">
        <f>VLOOKUP(J3232,'dataset mapping'!$A$4:$E$69,3,0)</f>
        <v>fuel cell system, 1 kWe, proton exchange membrane (PEM)</v>
      </c>
      <c r="H3232" t="s">
        <v>88</v>
      </c>
      <c r="I3232" t="s">
        <v>272</v>
      </c>
      <c r="J3232" t="s">
        <v>273</v>
      </c>
      <c r="K3232" t="str">
        <f>B3192</f>
        <v>electricity, residential, by conversion of hydrogen using fuel cell, PEM, allocated by exergy, transported by truck, produced by Electrolysis, PEM using water and electricity from Solar PV (CH)</v>
      </c>
      <c r="L3232">
        <f>IF(OR(B3232&lt;0,B3232=0),1,2)</f>
        <v>2</v>
      </c>
      <c r="M3232">
        <f>IF(L3232=2,LN(B3232),"")</f>
        <v>-10.692623030936341</v>
      </c>
      <c r="N3232">
        <v>1</v>
      </c>
      <c r="O3232" s="15">
        <v>1.2</v>
      </c>
      <c r="P3232">
        <v>1</v>
      </c>
      <c r="Q3232">
        <v>1.01</v>
      </c>
      <c r="R3232">
        <v>1.2</v>
      </c>
      <c r="S3232">
        <v>1.2</v>
      </c>
      <c r="T3232">
        <v>3</v>
      </c>
      <c r="U3232">
        <f>LN(SQRT(EXP(
SQRT(
+POWER(LN(N3232),2)
+POWER(LN(O3232),2)
+POWER(LN(P3232),2)
+POWER(LN(Q3232),2)
+POWER(LN(R3232),2)
+POWER(LN(S3232),2)
+POWER(LN(T3232),2)
)
)))</f>
        <v>0.57157051623399524</v>
      </c>
    </row>
    <row r="3233" spans="1:21" x14ac:dyDescent="0.2">
      <c r="A3233" s="45" t="str">
        <f>"hydrogen supply, transported by "&amp;B3206&amp;", produced by "&amp;B3210&amp;" using "&amp;B3211&amp;" from "&amp;B3212</f>
        <v>hydrogen supply, transported by truck, produced by Electrolysis, PEM using water and electricity from Solar PV (CH)</v>
      </c>
      <c r="B3233" s="53">
        <f>(B3231/B3215)/B3214*B3226</f>
        <v>5.7377346134017029E-2</v>
      </c>
      <c r="C3233" t="str">
        <f>VLOOKUP(J3233,'dataset mapping'!$A$4:$E$69,5,0)</f>
        <v>kilogram</v>
      </c>
      <c r="E3233" t="str">
        <f>VLOOKUP(J3233,'dataset mapping'!$A$4:$E$69,4,0)</f>
        <v>CH</v>
      </c>
      <c r="F3233" t="s">
        <v>86</v>
      </c>
      <c r="G3233" t="str">
        <f>"hydrogen, gaseous, from "&amp;B3206</f>
        <v>hydrogen, gaseous, from truck</v>
      </c>
      <c r="H3233" t="s">
        <v>76</v>
      </c>
      <c r="I3233" t="s">
        <v>1054</v>
      </c>
      <c r="J3233" t="s">
        <v>292</v>
      </c>
      <c r="K3233" t="str">
        <f>B3192</f>
        <v>electricity, residential, by conversion of hydrogen using fuel cell, PEM, allocated by exergy, transported by truck, produced by Electrolysis, PEM using water and electricity from Solar PV (CH)</v>
      </c>
      <c r="L3233">
        <f>IF(OR(B3233&lt;0,B3233=0),1,2)</f>
        <v>2</v>
      </c>
      <c r="M3233">
        <f>IF(L3233=2,LN(B3233),"")</f>
        <v>-2.8581057202127536</v>
      </c>
      <c r="N3233">
        <v>1</v>
      </c>
      <c r="O3233" s="15">
        <v>1.2</v>
      </c>
      <c r="P3233">
        <v>1</v>
      </c>
      <c r="Q3233">
        <v>1.01</v>
      </c>
      <c r="R3233">
        <v>1.2</v>
      </c>
      <c r="S3233">
        <v>1.2</v>
      </c>
      <c r="T3233">
        <v>1.05</v>
      </c>
      <c r="U3233">
        <f>LN(SQRT(EXP(
SQRT(
+POWER(LN(N3233),2)
+POWER(LN(O3233),2)
+POWER(LN(P3233),2)
+POWER(LN(Q3233),2)
+POWER(LN(R3233),2)
+POWER(LN(S3233),2)
+POWER(LN(T3233),2)
)
)))</f>
        <v>0.15984597228197622</v>
      </c>
    </row>
    <row r="3234" spans="1:21" x14ac:dyDescent="0.2">
      <c r="A3234" t="str">
        <f>VLOOKUP(J3234,'dataset mapping'!$A$4:$E$69,2,0)</f>
        <v>high pressure hydrogen storage tank</v>
      </c>
      <c r="B3234" s="52">
        <f>((B3227/10)/(B3225*B3221*20))*IF(B3226&lt;&gt;0,B3226,1)</f>
        <v>5.6622381053306285E-6</v>
      </c>
      <c r="C3234" t="str">
        <f>VLOOKUP(J3234,'dataset mapping'!$A$4:$E$69,5,0)</f>
        <v>kilogram</v>
      </c>
      <c r="E3234" t="str">
        <f>VLOOKUP(J3234,'dataset mapping'!$A$4:$E$69,4,0)</f>
        <v>GLO</v>
      </c>
      <c r="F3234" t="s">
        <v>86</v>
      </c>
      <c r="G3234" t="str">
        <f>VLOOKUP(J3234,'dataset mapping'!$A$4:$E$69,3,0)</f>
        <v>high pressure hydrogen storage tank</v>
      </c>
      <c r="H3234" t="s">
        <v>88</v>
      </c>
      <c r="I3234" t="s">
        <v>280</v>
      </c>
      <c r="J3234" t="s">
        <v>229</v>
      </c>
      <c r="K3234" t="str">
        <f>B3192</f>
        <v>electricity, residential, by conversion of hydrogen using fuel cell, PEM, allocated by exergy, transported by truck, produced by Electrolysis, PEM using water and electricity from Solar PV (CH)</v>
      </c>
      <c r="L3234">
        <f>IF(OR(B3234&lt;0,B3234=0),1,2)</f>
        <v>2</v>
      </c>
      <c r="M3234">
        <f>IF(L3234=2,LN(B3234),"")</f>
        <v>-12.081691318938956</v>
      </c>
      <c r="N3234">
        <v>1</v>
      </c>
      <c r="O3234" s="15">
        <v>1.2</v>
      </c>
      <c r="P3234">
        <v>1</v>
      </c>
      <c r="Q3234">
        <v>1.01</v>
      </c>
      <c r="R3234">
        <v>1.2</v>
      </c>
      <c r="S3234">
        <v>1.2</v>
      </c>
      <c r="T3234">
        <v>3</v>
      </c>
      <c r="U3234">
        <f>LN(SQRT(EXP(
SQRT(
+POWER(LN(N3234),2)
+POWER(LN(O3234),2)
+POWER(LN(P3234),2)
+POWER(LN(Q3234),2)
+POWER(LN(R3234),2)
+POWER(LN(S3234),2)
+POWER(LN(T3234),2)
)
)))</f>
        <v>0.57157051623399524</v>
      </c>
    </row>
    <row r="3235" spans="1:21" x14ac:dyDescent="0.2">
      <c r="A3235" t="s">
        <v>134</v>
      </c>
      <c r="B3235" s="45">
        <f>B3233*9</f>
        <v>0.51639611520615325</v>
      </c>
      <c r="C3235" t="s">
        <v>56</v>
      </c>
      <c r="D3235" t="s">
        <v>100</v>
      </c>
      <c r="F3235" t="s">
        <v>99</v>
      </c>
      <c r="H3235" t="s">
        <v>131</v>
      </c>
      <c r="I3235" t="s">
        <v>1057</v>
      </c>
      <c r="K3235" t="str">
        <f>B3192</f>
        <v>electricity, residential, by conversion of hydrogen using fuel cell, PEM, allocated by exergy, transported by truck, produced by Electrolysis, PEM using water and electricity from Solar PV (CH)</v>
      </c>
      <c r="L3235">
        <f>IF(OR(B3235&lt;0,B3235=0),1,2)</f>
        <v>2</v>
      </c>
      <c r="M3235">
        <f>IF(L3235=2,LN(B3235),"")</f>
        <v>-0.6608811428765341</v>
      </c>
      <c r="N3235">
        <v>1</v>
      </c>
      <c r="O3235" s="15">
        <v>1.2</v>
      </c>
      <c r="P3235">
        <v>1</v>
      </c>
      <c r="Q3235">
        <v>1.01</v>
      </c>
      <c r="R3235">
        <v>1.2</v>
      </c>
      <c r="S3235">
        <v>1.2</v>
      </c>
      <c r="T3235">
        <v>1.05</v>
      </c>
      <c r="U3235">
        <f>LN(SQRT(EXP(
SQRT(
+POWER(LN(N3235),2)
+POWER(LN(O3235),2)
+POWER(LN(P3235),2)
+POWER(LN(Q3235),2)
+POWER(LN(R3235),2)
+POWER(LN(S3235),2)
+POWER(LN(T3235),2)
)
)))</f>
        <v>0.15984597228197622</v>
      </c>
    </row>
    <row r="3237" spans="1:21" x14ac:dyDescent="0.2">
      <c r="A3237" s="2" t="s">
        <v>50</v>
      </c>
      <c r="B3237" s="44" t="str">
        <f>IF(B3243="megajoule","heat","electricity")&amp;", residential, by "&amp;B3248&amp;" of "&amp;B3247&amp;" using "&amp;B3249&amp;IF(B3250&lt;&gt;0,", allocated by "&amp;B3250,"")&amp;", transported by "&amp;B3251&amp;", produced by "&amp;B3255&amp;" using "&amp;B3256&amp;" from "&amp;B3257</f>
        <v>electricity, residential, by conversion of hydrogen using fuel cell, SOFC, allocated by exergy, transported by truck, produced by Electrolysis, PEM using water and electricity from Solar PV (CH)</v>
      </c>
    </row>
    <row r="3238" spans="1:21" x14ac:dyDescent="0.2">
      <c r="A3238" t="s">
        <v>51</v>
      </c>
      <c r="B3238" s="45" t="str">
        <f>"This dataset represents the supply of 1 "&amp;IF(B3243="megajoule","megajoule of heat","kilowatt hour of electricity")&amp;" in a residence, by "&amp;B3247&amp;" "&amp;B3248&amp;" in a "&amp;B3249&amp;". "&amp;" The hydrogen is transported by "&amp;B3251&amp;" over "&amp;B3252&amp;" km from regional storage. "&amp;" The "&amp;B3247&amp;" is produced by  "&amp;B3255&amp;", with "&amp;B3256&amp;" from "&amp;B3257&amp;" as feedstock. "&amp;A3259&amp;": "&amp;(B3259*100)&amp;"%. "&amp;A3260&amp;": "&amp;B3260&amp;". "&amp;A3261&amp;": "&amp;B3261&amp;". "&amp;A3262&amp;": "&amp;(B3262*100)&amp;"%. "&amp;A3263&amp;": "&amp;(B3263*100)&amp;"%. "&amp;A3264&amp;": "&amp;(B3264*100)&amp;"%. "&amp;A3265&amp;": "&amp;B3265&amp;". "&amp;A3266&amp;": "&amp;B3266&amp;". "&amp;A3267&amp;": "&amp;(B3267*100)&amp;"%. "&amp;A3268&amp;": "&amp;B3268&amp;". "&amp;A3269&amp;": "&amp;B3269&amp;". "&amp;A3270&amp;": "&amp;B3270&amp;". "&amp;A3271&amp;": "&amp;B3271&amp;".  For more information, refer to: "&amp;B3239</f>
        <v>This dataset represents the supply of 1 kilowatt hour of electricity in a residence, by hydrogen conversion in a fuel cell, SOFC.  The hydrogen is transported by truck over 200 km from regional storage.  The hydrogen is produced by  Electrolysis, PEM, with water and electricity from Solar PV (CH)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3239" spans="1:21" x14ac:dyDescent="0.2">
      <c r="A3239" t="s">
        <v>63</v>
      </c>
      <c r="B3239" s="45" t="s">
        <v>1223</v>
      </c>
    </row>
    <row r="3240" spans="1:21" x14ac:dyDescent="0.2">
      <c r="A3240" t="s">
        <v>52</v>
      </c>
      <c r="B3240" s="45" t="s">
        <v>64</v>
      </c>
    </row>
    <row r="3241" spans="1:21" x14ac:dyDescent="0.2">
      <c r="A3241" t="s">
        <v>48</v>
      </c>
      <c r="B3241" s="45" t="s">
        <v>894</v>
      </c>
    </row>
    <row r="3242" spans="1:21" x14ac:dyDescent="0.2">
      <c r="A3242" t="s">
        <v>54</v>
      </c>
      <c r="B3242" s="45" t="str">
        <f>INDEX(overview!$B$4:$R$338,MATCH('hydrogen - electrolysis'!B3241,overview!$A$4:$A$338,0),MATCH('hydrogen - electrolysis'!A3242,overview!$B$3:$R$3,0))</f>
        <v>electricity, from residential heating system</v>
      </c>
    </row>
    <row r="3243" spans="1:21" x14ac:dyDescent="0.2">
      <c r="A3243" t="s">
        <v>55</v>
      </c>
      <c r="B3243" s="45" t="str">
        <f>INDEX(overview!$B$4:$R$338,MATCH('hydrogen - electrolysis'!B3241,overview!$A$4:$A$338,0),MATCH('hydrogen - electrolysis'!A3243,overview!$B$3:$R$3,0))</f>
        <v>kilowatt hour</v>
      </c>
    </row>
    <row r="3244" spans="1:21" x14ac:dyDescent="0.2">
      <c r="A3244" t="s">
        <v>0</v>
      </c>
      <c r="B3244" s="45" t="str">
        <f>INDEX(overview!$B$4:$R$338,MATCH('hydrogen - electrolysis'!B3241,overview!$A$4:$A$338,0),MATCH('hydrogen - electrolysis'!A3244,overview!$B$3:$R$3,0))</f>
        <v>Switzerland</v>
      </c>
    </row>
    <row r="3245" spans="1:21" x14ac:dyDescent="0.2">
      <c r="A3245" t="s">
        <v>1</v>
      </c>
      <c r="B3245" s="45">
        <f>INDEX(overview!$B$4:$R$338,MATCH('hydrogen - electrolysis'!B3241,overview!$A$4:$A$338,0),MATCH('hydrogen - electrolysis'!A3245,overview!$B$3:$R$3,0))</f>
        <v>2020</v>
      </c>
    </row>
    <row r="3246" spans="1:21" x14ac:dyDescent="0.2">
      <c r="A3246" t="s">
        <v>2</v>
      </c>
      <c r="B3246" s="45" t="str">
        <f>INDEX(overview!$B$4:$R$338,MATCH('hydrogen - electrolysis'!B3241,overview!$A$4:$A$338,0),MATCH('hydrogen - electrolysis'!A3246,overview!$B$3:$R$3,0))</f>
        <v>1 kWh electricity</v>
      </c>
    </row>
    <row r="3247" spans="1:21" x14ac:dyDescent="0.2">
      <c r="A3247" t="s">
        <v>5</v>
      </c>
      <c r="B3247" s="45" t="str">
        <f>INDEX(overview!$B$4:$R$338,MATCH('hydrogen - electrolysis'!B3241,overview!$A$4:$A$338,0),MATCH('hydrogen - electrolysis'!A3247,overview!$B$3:$R$3,0))</f>
        <v>hydrogen</v>
      </c>
    </row>
    <row r="3248" spans="1:21" x14ac:dyDescent="0.2">
      <c r="A3248" t="s">
        <v>3</v>
      </c>
      <c r="B3248" s="45" t="str">
        <f>INDEX(overview!$B$4:$R$338,MATCH('hydrogen - electrolysis'!B3241,overview!$A$4:$A$338,0),MATCH('hydrogen - electrolysis'!A3248,overview!$B$3:$R$3,0))</f>
        <v>conversion</v>
      </c>
    </row>
    <row r="3249" spans="1:2" x14ac:dyDescent="0.2">
      <c r="A3249" t="s">
        <v>6</v>
      </c>
      <c r="B3249" s="45" t="str">
        <f>INDEX(overview!$B$4:$R$338,MATCH('hydrogen - electrolysis'!B3241,overview!$A$4:$A$338,0),MATCH('hydrogen - electrolysis'!A3249,overview!$B$3:$R$3,0))</f>
        <v>fuel cell, SOFC</v>
      </c>
    </row>
    <row r="3250" spans="1:2" x14ac:dyDescent="0.2">
      <c r="A3250" t="s">
        <v>39</v>
      </c>
      <c r="B3250" s="45" t="str">
        <f>INDEX(overview!$B$4:$R$338,MATCH('hydrogen - electrolysis'!B3241,overview!$A$4:$A$338,0),MATCH('hydrogen - electrolysis'!A3250,overview!$B$3:$R$3,0))</f>
        <v>exergy</v>
      </c>
    </row>
    <row r="3251" spans="1:2" x14ac:dyDescent="0.2">
      <c r="A3251" t="s">
        <v>4</v>
      </c>
      <c r="B3251" s="45" t="str">
        <f>INDEX(overview!$B$4:$R$338,MATCH('hydrogen - electrolysis'!B3241,overview!$A$4:$A$338,0),MATCH('hydrogen - electrolysis'!A3251,overview!$B$3:$R$3,0))</f>
        <v>truck</v>
      </c>
    </row>
    <row r="3252" spans="1:2" x14ac:dyDescent="0.2">
      <c r="A3252" t="s">
        <v>38</v>
      </c>
      <c r="B3252" s="45">
        <f>INDEX(overview!$B$4:$R$338,MATCH('hydrogen - electrolysis'!B3241,overview!$A$4:$A$338,0),MATCH('hydrogen - electrolysis'!A3252,overview!$B$3:$R$3,0))</f>
        <v>200</v>
      </c>
    </row>
    <row r="3253" spans="1:2" x14ac:dyDescent="0.2">
      <c r="A3253" t="s">
        <v>12</v>
      </c>
      <c r="B3253" s="45" t="str">
        <f>INDEX(overview!$B$4:$R$338,MATCH('hydrogen - electrolysis'!B3241,overview!$A$4:$A$338,0),MATCH('hydrogen - electrolysis'!A3253,overview!$B$3:$R$3,0))</f>
        <v>Pressure vessel for stationary storage</v>
      </c>
    </row>
    <row r="3254" spans="1:2" x14ac:dyDescent="0.2">
      <c r="A3254" t="s">
        <v>34</v>
      </c>
      <c r="B3254" s="45">
        <f>INDEX(overview!$B$4:$R$338,MATCH('hydrogen - electrolysis'!B3241,overview!$A$4:$A$338,0),MATCH('hydrogen - electrolysis'!A3254,overview!$B$3:$R$3,0))</f>
        <v>0</v>
      </c>
    </row>
    <row r="3255" spans="1:2" x14ac:dyDescent="0.2">
      <c r="A3255" t="s">
        <v>15</v>
      </c>
      <c r="B3255" s="45" t="str">
        <f>INDEX(overview!$B$4:$R$338,MATCH('hydrogen - electrolysis'!B3241,overview!$A$4:$A$338,0),MATCH('hydrogen - electrolysis'!A3255,overview!$B$3:$R$3,0))</f>
        <v>Electrolysis, PEM</v>
      </c>
    </row>
    <row r="3256" spans="1:2" x14ac:dyDescent="0.2">
      <c r="A3256" t="s">
        <v>14</v>
      </c>
      <c r="B3256" s="45" t="str">
        <f>INDEX(overview!$B$4:$R$338,MATCH('hydrogen - electrolysis'!B3241,overview!$A$4:$A$338,0),MATCH('hydrogen - electrolysis'!A3256,overview!$B$3:$R$3,0))</f>
        <v>water and electricity</v>
      </c>
    </row>
    <row r="3257" spans="1:2" x14ac:dyDescent="0.2">
      <c r="A3257" t="s">
        <v>26</v>
      </c>
      <c r="B3257" s="45" t="str">
        <f>INDEX(overview!$B$4:$R$338,MATCH('hydrogen - electrolysis'!B3241,overview!$A$4:$A$338,0),MATCH('hydrogen - electrolysis'!A3257,overview!$B$3:$R$3,0))</f>
        <v>Solar PV (CH)</v>
      </c>
    </row>
    <row r="3258" spans="1:2" x14ac:dyDescent="0.2">
      <c r="A3258" t="s">
        <v>29</v>
      </c>
      <c r="B3258" s="45">
        <f>INDEX(overview!$B$4:$R$338,MATCH('hydrogen - electrolysis'!B3241,overview!$A$4:$A$338,0),MATCH('hydrogen - electrolysis'!A3258,overview!$B$3:$R$3,0))</f>
        <v>0</v>
      </c>
    </row>
    <row r="3259" spans="1:2" x14ac:dyDescent="0.2">
      <c r="A3259" t="str">
        <f>IF(B3243="megajoule","Heat","Electricity")&amp;" conversion efficiency [% LHV input]"</f>
        <v>Electricity conversion efficiency [% LHV input]</v>
      </c>
      <c r="B3259" s="46">
        <f>INDEX(parameters!$D$4:$N$20,MATCH('hydrogen - electrolysis'!B3247&amp;'hydrogen - electrolysis'!B3249,parameters!$A$4:$A$20,0),MATCH('hydrogen - electrolysis'!A3259,parameters!$D$3:$N$3,0))</f>
        <v>0.47</v>
      </c>
    </row>
    <row r="3260" spans="1:2" x14ac:dyDescent="0.2">
      <c r="A3260" t="str">
        <f>IF(B3243="megajoule","LHV [MJ/kg]","LHV [kWh/kg]")</f>
        <v>LHV [kWh/kg]</v>
      </c>
      <c r="B3260" s="47">
        <f>INDEX(parameters!$D$4:$N$20,MATCH('hydrogen - electrolysis'!B3247&amp;'hydrogen - electrolysis'!B3249,parameters!$A$4:$A$20,0),MATCH('hydrogen - electrolysis'!A3260,parameters!$D$3:$N$3,0))</f>
        <v>33.333333333333336</v>
      </c>
    </row>
    <row r="3261" spans="1:2" x14ac:dyDescent="0.2">
      <c r="A3261" t="s">
        <v>41</v>
      </c>
      <c r="B3261" s="48">
        <f>INDEX(parameters!$D$4:$N$20,MATCH('hydrogen - electrolysis'!B3247&amp;'hydrogen - electrolysis'!B3249,parameters!$A$4:$A$20,0),MATCH('hydrogen - electrolysis'!A3261,parameters!$D$3:$N$3,0))</f>
        <v>2.6666666666666665E-2</v>
      </c>
    </row>
    <row r="3262" spans="1:2" x14ac:dyDescent="0.2">
      <c r="A3262" t="s">
        <v>45</v>
      </c>
      <c r="B3262" s="46">
        <f>INDEX(parameters!$D$4:$N$20,MATCH('hydrogen - electrolysis'!B3247&amp;'hydrogen - electrolysis'!B3249,parameters!$A$4:$A$20,0),MATCH('hydrogen - electrolysis'!A3262,parameters!$D$3:$N$3,0))</f>
        <v>0</v>
      </c>
    </row>
    <row r="3263" spans="1:2" x14ac:dyDescent="0.2">
      <c r="A3263" t="s">
        <v>46</v>
      </c>
      <c r="B3263" s="46">
        <f>INDEX(parameters!$D$4:$N$20,MATCH('hydrogen - electrolysis'!B3247&amp;'hydrogen - electrolysis'!B3249,parameters!$A$4:$A$20,0),MATCH('hydrogen - electrolysis'!A3263,parameters!$D$3:$N$3,0))</f>
        <v>1.4999999999999999E-2</v>
      </c>
    </row>
    <row r="3264" spans="1:2" x14ac:dyDescent="0.2">
      <c r="A3264" t="s">
        <v>43</v>
      </c>
      <c r="B3264" s="46">
        <f>INDEX(parameters!$D$4:$N$20,MATCH('hydrogen - electrolysis'!B3247&amp;'hydrogen - electrolysis'!B3249,parameters!$A$4:$A$20,0),MATCH('hydrogen - electrolysis'!A3264,parameters!$D$3:$N$3,0))</f>
        <v>0</v>
      </c>
    </row>
    <row r="3265" spans="1:22" x14ac:dyDescent="0.2">
      <c r="A3265" t="s">
        <v>44</v>
      </c>
      <c r="B3265" s="46">
        <f>INDEX(parameters!$D$4:$N$20,MATCH('hydrogen - electrolysis'!B3247&amp;'hydrogen - electrolysis'!B3249,parameters!$A$4:$A$20,0),MATCH('hydrogen - electrolysis'!A3265,parameters!$D$3:$N$3,0))</f>
        <v>0</v>
      </c>
    </row>
    <row r="3266" spans="1:22" x14ac:dyDescent="0.2">
      <c r="A3266" t="s">
        <v>634</v>
      </c>
      <c r="B3266" s="51">
        <f>INDEX(parameters!$D$4:$Y$20,MATCH('hydrogen - electrolysis'!B3247&amp;'hydrogen - electrolysis'!B3249,parameters!$A$4:$A$20,0),MATCH('hydrogen - electrolysis'!A3266,parameters!$D$3:$Y$3,0))</f>
        <v>225</v>
      </c>
      <c r="D3266" s="8"/>
    </row>
    <row r="3267" spans="1:22" x14ac:dyDescent="0.2">
      <c r="A3267" t="s">
        <v>82</v>
      </c>
      <c r="B3267" s="46">
        <f>IF(B3258&lt;&gt;0,VLOOKUP(B3258,parameters!A2199:B2201,2,0),0)</f>
        <v>0</v>
      </c>
    </row>
    <row r="3268" spans="1:22" x14ac:dyDescent="0.2">
      <c r="A3268" t="s">
        <v>548</v>
      </c>
      <c r="B3268" s="50">
        <f>INDEX(parameters!$D$4:$P$20,MATCH(B3247&amp;B3249,parameters!$A$4:$A$20,0),MATCH(A3268,parameters!$D$3:$P$3,0))</f>
        <v>100</v>
      </c>
    </row>
    <row r="3269" spans="1:22" x14ac:dyDescent="0.2">
      <c r="A3269" t="s">
        <v>547</v>
      </c>
      <c r="B3269" s="51">
        <f>INDEX(parameters!$D$4:$P$20,MATCH(B3247&amp;B3249,parameters!$A$4:$A$20,0),MATCH(A3269,parameters!$D$3:$P$3,0))</f>
        <v>6</v>
      </c>
    </row>
    <row r="3270" spans="1:22" x14ac:dyDescent="0.2">
      <c r="A3270" t="s">
        <v>630</v>
      </c>
      <c r="B3270" s="51">
        <f>INDEX(parameters!$D$4:$T$20,MATCH(B3247&amp;B3249,parameters!$A$4:$A$20,0),MATCH(A3270,parameters!$D$3:$T$3,0))</f>
        <v>4100</v>
      </c>
    </row>
    <row r="3271" spans="1:22" x14ac:dyDescent="0.2">
      <c r="A3271" t="s">
        <v>1005</v>
      </c>
      <c r="B3271" s="50">
        <f>IF(B3243="megajoule",SUMIFS(allocation!$I$4:$I$30,allocation!$B$4:$B$30,B3249,allocation!$C$4:$C$30,B3250),SUMIFS(allocation!$J$4:$J$30,allocation!$B$4:$B$30,B3249,allocation!$C$4:$C$30,B3250))</f>
        <v>0.86412493489600906</v>
      </c>
    </row>
    <row r="3272" spans="1:22" x14ac:dyDescent="0.2">
      <c r="A3272" t="s">
        <v>1050</v>
      </c>
      <c r="B3272" s="51">
        <f>INDEX(parameters!$D$4:$AB$20,MATCH(B3247&amp;B3249,parameters!$A$4:$A$20,0),MATCH(A3272,parameters!$D$3:$AB$3,0))</f>
        <v>1153.1249999999998</v>
      </c>
    </row>
    <row r="3274" spans="1:22" x14ac:dyDescent="0.2">
      <c r="A3274" s="3" t="s">
        <v>57</v>
      </c>
    </row>
    <row r="3275" spans="1:22" x14ac:dyDescent="0.2">
      <c r="A3275" s="2" t="s">
        <v>58</v>
      </c>
      <c r="B3275" s="44" t="s">
        <v>59</v>
      </c>
      <c r="C3275" s="2" t="s">
        <v>55</v>
      </c>
      <c r="D3275" s="2" t="s">
        <v>60</v>
      </c>
      <c r="E3275" s="2" t="s">
        <v>52</v>
      </c>
      <c r="F3275" s="2" t="s">
        <v>61</v>
      </c>
      <c r="G3275" s="2" t="s">
        <v>54</v>
      </c>
      <c r="H3275" s="2" t="s">
        <v>87</v>
      </c>
      <c r="I3275" s="2" t="s">
        <v>51</v>
      </c>
      <c r="J3275" s="2" t="s">
        <v>138</v>
      </c>
      <c r="K3275" s="2" t="s">
        <v>136</v>
      </c>
      <c r="L3275" s="2" t="s">
        <v>221</v>
      </c>
      <c r="M3275" s="2" t="s">
        <v>379</v>
      </c>
      <c r="N3275" s="2" t="s">
        <v>1059</v>
      </c>
      <c r="O3275" s="2" t="s">
        <v>1060</v>
      </c>
      <c r="P3275" s="2" t="s">
        <v>1061</v>
      </c>
      <c r="Q3275" s="2" t="s">
        <v>1062</v>
      </c>
      <c r="R3275" s="2" t="s">
        <v>1063</v>
      </c>
      <c r="S3275" s="2" t="s">
        <v>1064</v>
      </c>
      <c r="T3275" s="2" t="s">
        <v>1065</v>
      </c>
      <c r="U3275" s="2" t="s">
        <v>380</v>
      </c>
      <c r="V3275" s="2" t="s">
        <v>1128</v>
      </c>
    </row>
    <row r="3276" spans="1:22" x14ac:dyDescent="0.2">
      <c r="A3276" t="str">
        <f>B3237</f>
        <v>electricity, residential, by conversion of hydrogen using fuel cell, SOFC, allocated by exergy, transported by truck, produced by Electrolysis, PEM using water and electricity from Solar PV (CH)</v>
      </c>
      <c r="B3276" s="45">
        <v>1</v>
      </c>
      <c r="C3276" t="str">
        <f>B3243</f>
        <v>kilowatt hour</v>
      </c>
      <c r="E3276" t="str">
        <f>B3240</f>
        <v>CH</v>
      </c>
      <c r="F3276" t="s">
        <v>62</v>
      </c>
      <c r="G3276" t="str">
        <f>B3242</f>
        <v>electricity, from residential heating system</v>
      </c>
      <c r="K3276" t="str">
        <f>B3237</f>
        <v>electricity, residential, by conversion of hydrogen using fuel cell, SOFC, allocated by exergy, transported by truck, produced by Electrolysis, PEM using water and electricity from Solar PV (CH)</v>
      </c>
    </row>
    <row r="3277" spans="1:22" x14ac:dyDescent="0.2">
      <c r="A3277" t="str">
        <f>VLOOKUP(J3277,'dataset mapping'!$A$4:$E$69,2,0)</f>
        <v>fuel cell production, stack solid oxide, 125kW electrical, future</v>
      </c>
      <c r="B3277" s="52">
        <f>(1/(B3266*B3270*B3269))*B3271</f>
        <v>1.5612013277254003E-7</v>
      </c>
      <c r="C3277" t="str">
        <f>VLOOKUP(J3277,'dataset mapping'!$A$4:$E$69,5,0)</f>
        <v>unit</v>
      </c>
      <c r="E3277" t="str">
        <f>VLOOKUP(J3277,'dataset mapping'!$A$4:$E$69,4,0)</f>
        <v>CH</v>
      </c>
      <c r="F3277" t="s">
        <v>86</v>
      </c>
      <c r="G3277" t="str">
        <f>VLOOKUP(J3277,'dataset mapping'!$A$4:$E$69,3,0)</f>
        <v>fuel cell, stack solid oxide, 125kW electrical, future</v>
      </c>
      <c r="H3277" t="s">
        <v>88</v>
      </c>
      <c r="I3277" t="s">
        <v>277</v>
      </c>
      <c r="J3277" t="s">
        <v>274</v>
      </c>
      <c r="K3277" t="str">
        <f>B3237</f>
        <v>electricity, residential, by conversion of hydrogen using fuel cell, SOFC, allocated by exergy, transported by truck, produced by Electrolysis, PEM using water and electricity from Solar PV (CH)</v>
      </c>
      <c r="L3277">
        <f t="shared" ref="L3277:L3282" si="109">IF(OR(B3277&lt;0,B3277=0),1,2)</f>
        <v>2</v>
      </c>
      <c r="M3277">
        <f t="shared" ref="M3277:M3282" si="110">IF(L3277=2,LN(B3277),"")</f>
        <v>-15.672640044182527</v>
      </c>
      <c r="N3277">
        <v>1</v>
      </c>
      <c r="O3277" s="15">
        <v>1.2</v>
      </c>
      <c r="P3277">
        <v>1</v>
      </c>
      <c r="Q3277">
        <v>1.01</v>
      </c>
      <c r="R3277">
        <v>1.2</v>
      </c>
      <c r="S3277">
        <v>1.2</v>
      </c>
      <c r="T3277">
        <v>3</v>
      </c>
      <c r="U3277">
        <f t="shared" ref="U3277:U3282" si="111">LN(SQRT(EXP(
SQRT(
+POWER(LN(N3277),2)
+POWER(LN(O3277),2)
+POWER(LN(P3277),2)
+POWER(LN(Q3277),2)
+POWER(LN(R3277),2)
+POWER(LN(S3277),2)
+POWER(LN(T3277),2)
)
)))</f>
        <v>0.57157051623399524</v>
      </c>
    </row>
    <row r="3278" spans="1:22" x14ac:dyDescent="0.2">
      <c r="A3278" t="s">
        <v>283</v>
      </c>
      <c r="B3278" s="52">
        <f>(1/(B3266*B3270*B3269))*B3271</f>
        <v>1.5612013277254003E-7</v>
      </c>
      <c r="C3278" t="s">
        <v>55</v>
      </c>
      <c r="E3278" t="s">
        <v>64</v>
      </c>
      <c r="F3278" t="s">
        <v>86</v>
      </c>
      <c r="G3278" t="s">
        <v>284</v>
      </c>
      <c r="H3278" t="s">
        <v>88</v>
      </c>
      <c r="I3278" t="s">
        <v>277</v>
      </c>
      <c r="K3278" t="str">
        <f>B3237</f>
        <v>electricity, residential, by conversion of hydrogen using fuel cell, SOFC, allocated by exergy, transported by truck, produced by Electrolysis, PEM using water and electricity from Solar PV (CH)</v>
      </c>
      <c r="L3278">
        <f t="shared" si="109"/>
        <v>2</v>
      </c>
      <c r="M3278">
        <f t="shared" si="110"/>
        <v>-15.672640044182527</v>
      </c>
      <c r="N3278">
        <v>1</v>
      </c>
      <c r="O3278" s="15">
        <v>1.2</v>
      </c>
      <c r="P3278">
        <v>1</v>
      </c>
      <c r="Q3278">
        <v>1.01</v>
      </c>
      <c r="R3278">
        <v>1.2</v>
      </c>
      <c r="S3278">
        <v>1.2</v>
      </c>
      <c r="T3278">
        <v>3</v>
      </c>
      <c r="U3278">
        <f t="shared" si="111"/>
        <v>0.57157051623399524</v>
      </c>
    </row>
    <row r="3279" spans="1:22" x14ac:dyDescent="0.2">
      <c r="A3279" t="s">
        <v>288</v>
      </c>
      <c r="B3279" s="52">
        <f>0.000024*B3271</f>
        <v>2.0738998437504217E-5</v>
      </c>
      <c r="C3279" t="s">
        <v>56</v>
      </c>
      <c r="E3279" t="s">
        <v>64</v>
      </c>
      <c r="F3279" t="s">
        <v>86</v>
      </c>
      <c r="G3279" t="s">
        <v>287</v>
      </c>
      <c r="H3279" t="s">
        <v>88</v>
      </c>
      <c r="K3279" t="str">
        <f>B3237</f>
        <v>electricity, residential, by conversion of hydrogen using fuel cell, SOFC, allocated by exergy, transported by truck, produced by Electrolysis, PEM using water and electricity from Solar PV (CH)</v>
      </c>
      <c r="L3279">
        <f t="shared" si="109"/>
        <v>2</v>
      </c>
      <c r="M3279">
        <f t="shared" si="110"/>
        <v>-10.783494647673981</v>
      </c>
      <c r="N3279">
        <v>1</v>
      </c>
      <c r="O3279" s="15">
        <v>1.2</v>
      </c>
      <c r="P3279">
        <v>1</v>
      </c>
      <c r="Q3279">
        <v>1.01</v>
      </c>
      <c r="R3279">
        <v>1.2</v>
      </c>
      <c r="S3279">
        <v>1.2</v>
      </c>
      <c r="T3279">
        <v>1.05</v>
      </c>
      <c r="U3279">
        <f t="shared" si="111"/>
        <v>0.15984597228197622</v>
      </c>
    </row>
    <row r="3280" spans="1:22" x14ac:dyDescent="0.2">
      <c r="A3280" s="45" t="str">
        <f>"hydrogen supply, transported by "&amp;B3251&amp;", produced by "&amp;B3255&amp;" using "&amp;B3256&amp;" from "&amp;B3257</f>
        <v>hydrogen supply, transported by truck, produced by Electrolysis, PEM using water and electricity from Solar PV (CH)</v>
      </c>
      <c r="B3280" s="53">
        <f>(B3276/B3260)/B3259*B3271</f>
        <v>5.515691073804313E-2</v>
      </c>
      <c r="C3280" t="str">
        <f>VLOOKUP(J3280,'dataset mapping'!$A$4:$E$69,5,0)</f>
        <v>kilogram</v>
      </c>
      <c r="E3280" t="str">
        <f>VLOOKUP(J3280,'dataset mapping'!$A$4:$E$69,4,0)</f>
        <v>CH</v>
      </c>
      <c r="F3280" t="s">
        <v>86</v>
      </c>
      <c r="G3280" t="str">
        <f>"hydrogen, gaseous, from "&amp;B3251</f>
        <v>hydrogen, gaseous, from truck</v>
      </c>
      <c r="H3280" t="s">
        <v>76</v>
      </c>
      <c r="I3280" t="s">
        <v>1054</v>
      </c>
      <c r="J3280" t="s">
        <v>292</v>
      </c>
      <c r="K3280" t="str">
        <f>B3237</f>
        <v>electricity, residential, by conversion of hydrogen using fuel cell, SOFC, allocated by exergy, transported by truck, produced by Electrolysis, PEM using water and electricity from Solar PV (CH)</v>
      </c>
      <c r="L3280">
        <f t="shared" si="109"/>
        <v>2</v>
      </c>
      <c r="M3280">
        <f t="shared" si="110"/>
        <v>-2.8975732330996009</v>
      </c>
      <c r="N3280">
        <v>1</v>
      </c>
      <c r="O3280" s="15">
        <v>1.2</v>
      </c>
      <c r="P3280">
        <v>1</v>
      </c>
      <c r="Q3280">
        <v>1.01</v>
      </c>
      <c r="R3280">
        <v>1.2</v>
      </c>
      <c r="S3280">
        <v>1.2</v>
      </c>
      <c r="T3280">
        <v>1.05</v>
      </c>
      <c r="U3280">
        <f t="shared" si="111"/>
        <v>0.15984597228197622</v>
      </c>
    </row>
    <row r="3281" spans="1:21" x14ac:dyDescent="0.2">
      <c r="A3281" t="str">
        <f>VLOOKUP(J3281,'dataset mapping'!$A$4:$E$69,2,0)</f>
        <v>high pressure hydrogen storage tank</v>
      </c>
      <c r="B3281" s="52">
        <f>((B3272/10)/(B3270*B3266*20))*IF(B3271&lt;&gt;0,B3271,1)</f>
        <v>5.400780843100055E-6</v>
      </c>
      <c r="C3281" t="str">
        <f>VLOOKUP(J3281,'dataset mapping'!$A$4:$E$69,5,0)</f>
        <v>kilogram</v>
      </c>
      <c r="E3281" t="str">
        <f>VLOOKUP(J3281,'dataset mapping'!$A$4:$E$69,4,0)</f>
        <v>GLO</v>
      </c>
      <c r="F3281" t="s">
        <v>86</v>
      </c>
      <c r="G3281" t="str">
        <f>VLOOKUP(J3281,'dataset mapping'!$A$4:$E$69,3,0)</f>
        <v>high pressure hydrogen storage tank</v>
      </c>
      <c r="H3281" t="s">
        <v>88</v>
      </c>
      <c r="I3281" t="s">
        <v>230</v>
      </c>
      <c r="J3281" t="s">
        <v>229</v>
      </c>
      <c r="K3281" t="str">
        <f>B3237</f>
        <v>electricity, residential, by conversion of hydrogen using fuel cell, SOFC, allocated by exergy, transported by truck, produced by Electrolysis, PEM using water and electricity from Solar PV (CH)</v>
      </c>
      <c r="L3281">
        <f t="shared" si="109"/>
        <v>2</v>
      </c>
      <c r="M3281">
        <f t="shared" si="110"/>
        <v>-12.128967014273616</v>
      </c>
      <c r="N3281">
        <v>1</v>
      </c>
      <c r="O3281" s="15">
        <v>1.2</v>
      </c>
      <c r="P3281">
        <v>1</v>
      </c>
      <c r="Q3281">
        <v>1.01</v>
      </c>
      <c r="R3281">
        <v>1.2</v>
      </c>
      <c r="S3281">
        <v>1.2</v>
      </c>
      <c r="T3281">
        <v>3</v>
      </c>
      <c r="U3281">
        <f t="shared" si="111"/>
        <v>0.57157051623399524</v>
      </c>
    </row>
    <row r="3282" spans="1:21" x14ac:dyDescent="0.2">
      <c r="A3282" t="s">
        <v>134</v>
      </c>
      <c r="B3282" s="45">
        <f>B3280*9</f>
        <v>0.49641219664238817</v>
      </c>
      <c r="C3282" t="s">
        <v>56</v>
      </c>
      <c r="D3282" t="s">
        <v>100</v>
      </c>
      <c r="F3282" t="s">
        <v>99</v>
      </c>
      <c r="H3282" t="s">
        <v>131</v>
      </c>
      <c r="I3282" t="s">
        <v>1057</v>
      </c>
      <c r="K3282" t="str">
        <f>B3237</f>
        <v>electricity, residential, by conversion of hydrogen using fuel cell, SOFC, allocated by exergy, transported by truck, produced by Electrolysis, PEM using water and electricity from Solar PV (CH)</v>
      </c>
      <c r="L3282">
        <f t="shared" si="109"/>
        <v>2</v>
      </c>
      <c r="M3282">
        <f t="shared" si="110"/>
        <v>-0.70034865576338168</v>
      </c>
      <c r="N3282">
        <v>1</v>
      </c>
      <c r="O3282" s="15">
        <v>1.2</v>
      </c>
      <c r="P3282">
        <v>1</v>
      </c>
      <c r="Q3282">
        <v>1.01</v>
      </c>
      <c r="R3282">
        <v>1.2</v>
      </c>
      <c r="S3282">
        <v>1.2</v>
      </c>
      <c r="T3282">
        <v>1.05</v>
      </c>
      <c r="U3282">
        <f t="shared" si="111"/>
        <v>0.15984597228197622</v>
      </c>
    </row>
    <row r="3285" spans="1:21" x14ac:dyDescent="0.2">
      <c r="A3285" s="2" t="s">
        <v>50</v>
      </c>
      <c r="B3285" s="44" t="str">
        <f>IF(B3291="megajoule","heat","electricity")&amp;", residential, by "&amp;B3296&amp;" of "&amp;B3295&amp;" using "&amp;B3297&amp;IF(B3298&lt;&gt;0,", allocated by "&amp;B3298,"")&amp;", transported by "&amp;B3299&amp;", produced by "&amp;B3303&amp;" using "&amp;B3304&amp;" from "&amp;B3305</f>
        <v>heat, residential, by combustion of hydrogen using boiler, transported by pipeline, produced by Electrolysis, SOEC using water and electricity from Solar PV (CH)</v>
      </c>
    </row>
    <row r="3286" spans="1:21" x14ac:dyDescent="0.2">
      <c r="A3286" t="s">
        <v>51</v>
      </c>
      <c r="B3286" s="45" t="str">
        <f>"This dataset represents the supply of 1 "&amp;IF(B3291="megajoule","megajoule of heat","kilowatt hour of electricity")&amp;" in a residence, by "&amp;B3295&amp;" "&amp;B3296&amp;" in a "&amp;B3297&amp;". "&amp;" The hydrogen is transported by "&amp;B3299&amp;" over "&amp;B3300&amp;" km from regional storage. "&amp;" The "&amp;B3295&amp;" is produced by  "&amp;B3303&amp;", with "&amp;B3304&amp;" from "&amp;B3305&amp;" as feedstock. "&amp;A3307&amp;": "&amp;(B3307*100)&amp;"%. "&amp;A3308&amp;": "&amp;B3308&amp;". "&amp;A3309&amp;": "&amp;B3309&amp;". "&amp;A3310&amp;": "&amp;(B3310*100)&amp;"%. "&amp;A3311&amp;": "&amp;(B3311*100)&amp;"%. "&amp;A3312&amp;": "&amp;(B3312*100)&amp;"%. "&amp;A3313&amp;": "&amp;B3313&amp;". "&amp;A3314&amp;": "&amp;B3314&amp;". "&amp;A3315&amp;": "&amp;(B3315*100)&amp;"%. "&amp;A3316&amp;": "&amp;B3316&amp;". "&amp;A3317&amp;": "&amp;B3317&amp;". "&amp;A3318&amp;": "&amp;B3318&amp;". "&amp;A3319&amp;": "&amp;B3319&amp;".  For more information, refer to: "&amp;B3287</f>
        <v>This dataset represents the supply of 1 megajoule of heat in a residence, by hydrogen combustion in a boiler.  The hydrogen is transported by pipeline over 500 km from regional storage.  The hydrogen is produced by  Electrolysis, SOEC, with water and electricity from Solar PV (CH)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3287" spans="1:21" x14ac:dyDescent="0.2">
      <c r="A3287" t="s">
        <v>63</v>
      </c>
      <c r="B3287" s="45" t="s">
        <v>1223</v>
      </c>
    </row>
    <row r="3288" spans="1:21" x14ac:dyDescent="0.2">
      <c r="A3288" t="s">
        <v>52</v>
      </c>
      <c r="B3288" s="45" t="s">
        <v>64</v>
      </c>
    </row>
    <row r="3289" spans="1:21" x14ac:dyDescent="0.2">
      <c r="A3289" t="s">
        <v>48</v>
      </c>
      <c r="B3289" s="45">
        <v>41</v>
      </c>
    </row>
    <row r="3290" spans="1:21" x14ac:dyDescent="0.2">
      <c r="A3290" t="s">
        <v>54</v>
      </c>
      <c r="B3290" s="45" t="str">
        <f>INDEX(overview!$B$4:$R$338,MATCH('hydrogen - electrolysis'!B3289,overview!$A$4:$A$338,0),MATCH('hydrogen - electrolysis'!A3290,overview!$B$3:$R$3,0))</f>
        <v>heat, from residential heating system</v>
      </c>
    </row>
    <row r="3291" spans="1:21" x14ac:dyDescent="0.2">
      <c r="A3291" t="s">
        <v>55</v>
      </c>
      <c r="B3291" s="45" t="str">
        <f>INDEX(overview!$B$4:$R$338,MATCH('hydrogen - electrolysis'!B3289,overview!$A$4:$A$338,0),MATCH('hydrogen - electrolysis'!A3291,overview!$B$3:$R$3,0))</f>
        <v>megajoule</v>
      </c>
    </row>
    <row r="3292" spans="1:21" x14ac:dyDescent="0.2">
      <c r="A3292" t="s">
        <v>0</v>
      </c>
      <c r="B3292" s="45" t="str">
        <f>INDEX(overview!$B$4:$R$338,MATCH('hydrogen - electrolysis'!B3289,overview!$A$4:$A$338,0),MATCH('hydrogen - electrolysis'!A3292,overview!$B$3:$R$3,0))</f>
        <v>Switzerland</v>
      </c>
    </row>
    <row r="3293" spans="1:21" x14ac:dyDescent="0.2">
      <c r="A3293" t="s">
        <v>1</v>
      </c>
      <c r="B3293" s="45">
        <f>INDEX(overview!$B$4:$R$338,MATCH('hydrogen - electrolysis'!B3289,overview!$A$4:$A$338,0),MATCH('hydrogen - electrolysis'!A3293,overview!$B$3:$R$3,0))</f>
        <v>2020</v>
      </c>
    </row>
    <row r="3294" spans="1:21" x14ac:dyDescent="0.2">
      <c r="A3294" t="s">
        <v>2</v>
      </c>
      <c r="B3294" s="45" t="str">
        <f>INDEX(overview!$B$4:$R$338,MATCH('hydrogen - electrolysis'!B3289,overview!$A$4:$A$338,0),MATCH('hydrogen - electrolysis'!A3294,overview!$B$3:$R$3,0))</f>
        <v>1 MJ heat</v>
      </c>
    </row>
    <row r="3295" spans="1:21" x14ac:dyDescent="0.2">
      <c r="A3295" t="s">
        <v>5</v>
      </c>
      <c r="B3295" s="45" t="str">
        <f>INDEX(overview!$B$4:$R$338,MATCH('hydrogen - electrolysis'!B3289,overview!$A$4:$A$338,0),MATCH('hydrogen - electrolysis'!A3295,overview!$B$3:$R$3,0))</f>
        <v>hydrogen</v>
      </c>
    </row>
    <row r="3296" spans="1:21" x14ac:dyDescent="0.2">
      <c r="A3296" t="s">
        <v>3</v>
      </c>
      <c r="B3296" s="45" t="str">
        <f>INDEX(overview!$B$4:$R$338,MATCH('hydrogen - electrolysis'!B3289,overview!$A$4:$A$338,0),MATCH('hydrogen - electrolysis'!A3296,overview!$B$3:$R$3,0))</f>
        <v>combustion</v>
      </c>
    </row>
    <row r="3297" spans="1:2" x14ac:dyDescent="0.2">
      <c r="A3297" t="s">
        <v>6</v>
      </c>
      <c r="B3297" s="45" t="str">
        <f>INDEX(overview!$B$4:$R$338,MATCH('hydrogen - electrolysis'!B3289,overview!$A$4:$A$338,0),MATCH('hydrogen - electrolysis'!A3297,overview!$B$3:$R$3,0))</f>
        <v>boiler</v>
      </c>
    </row>
    <row r="3298" spans="1:2" x14ac:dyDescent="0.2">
      <c r="A3298" t="s">
        <v>39</v>
      </c>
      <c r="B3298" s="45">
        <f>INDEX(overview!$B$4:$R$338,MATCH('hydrogen - electrolysis'!B3289,overview!$A$4:$A$338,0),MATCH('hydrogen - electrolysis'!A3298,overview!$B$3:$R$3,0))</f>
        <v>0</v>
      </c>
    </row>
    <row r="3299" spans="1:2" x14ac:dyDescent="0.2">
      <c r="A3299" t="s">
        <v>4</v>
      </c>
      <c r="B3299" s="45" t="str">
        <f>INDEX(overview!$B$4:$R$338,MATCH('hydrogen - electrolysis'!B3289,overview!$A$4:$A$338,0),MATCH('hydrogen - electrolysis'!A3299,overview!$B$3:$R$3,0))</f>
        <v>pipeline</v>
      </c>
    </row>
    <row r="3300" spans="1:2" x14ac:dyDescent="0.2">
      <c r="A3300" t="s">
        <v>38</v>
      </c>
      <c r="B3300" s="45">
        <f>INDEX(overview!$B$4:$R$338,MATCH('hydrogen - electrolysis'!B3289,overview!$A$4:$A$338,0),MATCH('hydrogen - electrolysis'!A3300,overview!$B$3:$R$3,0))</f>
        <v>500</v>
      </c>
    </row>
    <row r="3301" spans="1:2" x14ac:dyDescent="0.2">
      <c r="A3301" t="s">
        <v>12</v>
      </c>
      <c r="B3301" s="45" t="str">
        <f>INDEX(overview!$B$4:$R$338,MATCH('hydrogen - electrolysis'!B3289,overview!$A$4:$A$338,0),MATCH('hydrogen - electrolysis'!A3301,overview!$B$3:$R$3,0))</f>
        <v>Pressure vessel for stationary storage</v>
      </c>
    </row>
    <row r="3302" spans="1:2" x14ac:dyDescent="0.2">
      <c r="A3302" t="s">
        <v>34</v>
      </c>
      <c r="B3302" s="45">
        <f>INDEX(overview!$B$4:$R$338,MATCH('hydrogen - electrolysis'!B3289,overview!$A$4:$A$338,0),MATCH('hydrogen - electrolysis'!A3302,overview!$B$3:$R$3,0))</f>
        <v>0</v>
      </c>
    </row>
    <row r="3303" spans="1:2" x14ac:dyDescent="0.2">
      <c r="A3303" t="s">
        <v>15</v>
      </c>
      <c r="B3303" s="45" t="str">
        <f>INDEX(overview!$B$4:$R$338,MATCH('hydrogen - electrolysis'!B3289,overview!$A$4:$A$338,0),MATCH('hydrogen - electrolysis'!A3303,overview!$B$3:$R$3,0))</f>
        <v>Electrolysis, SOEC</v>
      </c>
    </row>
    <row r="3304" spans="1:2" x14ac:dyDescent="0.2">
      <c r="A3304" t="s">
        <v>14</v>
      </c>
      <c r="B3304" s="45" t="str">
        <f>INDEX(overview!$B$4:$R$338,MATCH('hydrogen - electrolysis'!B3289,overview!$A$4:$A$338,0),MATCH('hydrogen - electrolysis'!A3304,overview!$B$3:$R$3,0))</f>
        <v>water and electricity</v>
      </c>
    </row>
    <row r="3305" spans="1:2" x14ac:dyDescent="0.2">
      <c r="A3305" t="s">
        <v>26</v>
      </c>
      <c r="B3305" s="45" t="str">
        <f>INDEX(overview!$B$4:$R$338,MATCH('hydrogen - electrolysis'!B3289,overview!$A$4:$A$338,0),MATCH('hydrogen - electrolysis'!A3305,overview!$B$3:$R$3,0))</f>
        <v>Solar PV (CH)</v>
      </c>
    </row>
    <row r="3306" spans="1:2" x14ac:dyDescent="0.2">
      <c r="A3306" t="s">
        <v>29</v>
      </c>
      <c r="B3306" s="45">
        <f>INDEX(overview!$B$4:$R$338,MATCH('hydrogen - electrolysis'!B3289,overview!$A$4:$A$338,0),MATCH('hydrogen - electrolysis'!A3306,overview!$B$3:$R$3,0))</f>
        <v>0</v>
      </c>
    </row>
    <row r="3307" spans="1:2" x14ac:dyDescent="0.2">
      <c r="A3307" t="str">
        <f>IF(B3291="megajoule","Heat","Electricity")&amp;" conversion efficiency [% LHV input]"</f>
        <v>Heat conversion efficiency [% LHV input]</v>
      </c>
      <c r="B3307" s="46">
        <f>INDEX(parameters!$D$4:$N$20,MATCH('hydrogen - electrolysis'!B3295&amp;'hydrogen - electrolysis'!B3297,parameters!$A$4:$A$20,0),MATCH('hydrogen - electrolysis'!A3307,parameters!$D$3:$N$3,0))</f>
        <v>0.94</v>
      </c>
    </row>
    <row r="3308" spans="1:2" x14ac:dyDescent="0.2">
      <c r="A3308" t="str">
        <f>IF(B3291="megajoule","LHV [MJ/kg]","LHV [kWh/kg]")</f>
        <v>LHV [MJ/kg]</v>
      </c>
      <c r="B3308" s="47">
        <f>INDEX(parameters!$D$4:$N$20,MATCH('hydrogen - electrolysis'!B3295&amp;'hydrogen - electrolysis'!B3297,parameters!$A$4:$A$20,0),MATCH('hydrogen - electrolysis'!A3308,parameters!$D$3:$N$3,0))</f>
        <v>120</v>
      </c>
    </row>
    <row r="3309" spans="1:2" x14ac:dyDescent="0.2">
      <c r="A3309" t="s">
        <v>41</v>
      </c>
      <c r="B3309" s="48">
        <f>INDEX(parameters!$D$4:$N$20,MATCH('hydrogen - electrolysis'!B3295&amp;'hydrogen - electrolysis'!B3297,parameters!$A$4:$A$20,0),MATCH('hydrogen - electrolysis'!A3309,parameters!$D$3:$N$3,0))</f>
        <v>2.6666666666666665E-2</v>
      </c>
    </row>
    <row r="3310" spans="1:2" x14ac:dyDescent="0.2">
      <c r="A3310" t="s">
        <v>45</v>
      </c>
      <c r="B3310" s="49">
        <f>INDEX(parameters!$D$4:$N$20,MATCH('hydrogen - electrolysis'!B3295&amp;'hydrogen - electrolysis'!B3297,parameters!$A$4:$A$20,0),MATCH('hydrogen - electrolysis'!A3310,parameters!$D$3:$N$3,0))</f>
        <v>0</v>
      </c>
    </row>
    <row r="3311" spans="1:2" x14ac:dyDescent="0.2">
      <c r="A3311" t="s">
        <v>46</v>
      </c>
      <c r="B3311" s="49">
        <f>INDEX(parameters!$D$4:$N$20,MATCH('hydrogen - electrolysis'!B3295&amp;'hydrogen - electrolysis'!B3297,parameters!$A$4:$A$20,0),MATCH('hydrogen - electrolysis'!A3311,parameters!$D$3:$N$3,0))</f>
        <v>1.4999999999999999E-2</v>
      </c>
    </row>
    <row r="3312" spans="1:2" x14ac:dyDescent="0.2">
      <c r="A3312" t="s">
        <v>43</v>
      </c>
      <c r="B3312" s="49">
        <f>INDEX(parameters!$D$4:$N$20,MATCH('hydrogen - electrolysis'!B3295&amp;'hydrogen - electrolysis'!B3297,parameters!$A$4:$A$20,0),MATCH('hydrogen - electrolysis'!A3312,parameters!$D$3:$N$3,0))</f>
        <v>0</v>
      </c>
    </row>
    <row r="3313" spans="1:22" x14ac:dyDescent="0.2">
      <c r="A3313" t="s">
        <v>44</v>
      </c>
      <c r="B3313" s="49">
        <f>INDEX(parameters!$D$4:$N$20,MATCH('hydrogen - electrolysis'!B3295&amp;'hydrogen - electrolysis'!B3297,parameters!$A$4:$A$20,0),MATCH('hydrogen - electrolysis'!A3313,parameters!$D$3:$N$3,0))</f>
        <v>0</v>
      </c>
    </row>
    <row r="3314" spans="1:22" x14ac:dyDescent="0.2">
      <c r="A3314" t="s">
        <v>634</v>
      </c>
      <c r="B3314" s="51">
        <f>INDEX(parameters!$D$4:$Y$20,MATCH('hydrogen - electrolysis'!B3295&amp;'hydrogen - electrolysis'!B3297,parameters!$A$4:$A$20,0),MATCH('hydrogen - electrolysis'!A3314,parameters!$D$3:$Y$3,0))</f>
        <v>15.957446808510639</v>
      </c>
    </row>
    <row r="3315" spans="1:22" x14ac:dyDescent="0.2">
      <c r="A3315" t="s">
        <v>82</v>
      </c>
      <c r="B3315" s="46">
        <f>IF(B3306&lt;&gt;0,VLOOKUP(B3306,parameters!A2099:B2101,2,0),0)</f>
        <v>0</v>
      </c>
    </row>
    <row r="3316" spans="1:22" x14ac:dyDescent="0.2">
      <c r="A3316" t="s">
        <v>548</v>
      </c>
      <c r="B3316" s="50">
        <f>INDEX(parameters!$D$4:$P$20,MATCH(B3295&amp;B3297,parameters!$A$4:$A$20,0),MATCH(A3316,parameters!$D$3:$P$3,0))</f>
        <v>15</v>
      </c>
    </row>
    <row r="3317" spans="1:22" x14ac:dyDescent="0.2">
      <c r="A3317" t="s">
        <v>547</v>
      </c>
      <c r="B3317" s="51">
        <f>INDEX(parameters!$D$4:$P$20,MATCH(B3295&amp;B3297,parameters!$A$4:$A$20,0),MATCH(A3317,parameters!$D$3:$P$3,0))</f>
        <v>20</v>
      </c>
    </row>
    <row r="3318" spans="1:22" x14ac:dyDescent="0.2">
      <c r="A3318" t="s">
        <v>630</v>
      </c>
      <c r="B3318" s="51">
        <f>INDEX(parameters!$D$4:$T$20,MATCH(B3295&amp;B3297,parameters!$A$4:$A$20,0),MATCH(A3318,parameters!$D$3:$T$3,0))</f>
        <v>2100</v>
      </c>
    </row>
    <row r="3319" spans="1:22" x14ac:dyDescent="0.2">
      <c r="A3319" t="s">
        <v>1005</v>
      </c>
      <c r="B3319" s="50">
        <f>IF(B3291="megajoule",SUMIFS(allocation!$I$4:$I$30,allocation!$B$4:$B$30,B3297,allocation!$C$4:$C$30,B3298),SUMIFS(allocation!$J$4:$J$30,allocation!$B$4:$B$30,B3297,allocation!$C$4:$C$30,B3298))</f>
        <v>0</v>
      </c>
    </row>
    <row r="3320" spans="1:22" x14ac:dyDescent="0.2">
      <c r="A3320" t="s">
        <v>1050</v>
      </c>
      <c r="B3320" s="51">
        <f>INDEX(parameters!$D$4:$AB$20,MATCH(B3295&amp;B3297,parameters!$A$4:$A$20,0),MATCH(A3320,parameters!$D$3:$AB$3,0))</f>
        <v>44.562019013128115</v>
      </c>
    </row>
    <row r="3322" spans="1:22" x14ac:dyDescent="0.2">
      <c r="A3322" s="3" t="s">
        <v>57</v>
      </c>
    </row>
    <row r="3323" spans="1:22" x14ac:dyDescent="0.2">
      <c r="A3323" s="2" t="s">
        <v>58</v>
      </c>
      <c r="B3323" s="44" t="s">
        <v>59</v>
      </c>
      <c r="C3323" s="2" t="s">
        <v>55</v>
      </c>
      <c r="D3323" s="2" t="s">
        <v>60</v>
      </c>
      <c r="E3323" s="2" t="s">
        <v>52</v>
      </c>
      <c r="F3323" s="2" t="s">
        <v>61</v>
      </c>
      <c r="G3323" s="2" t="s">
        <v>54</v>
      </c>
      <c r="H3323" s="2" t="s">
        <v>87</v>
      </c>
      <c r="I3323" s="2" t="s">
        <v>51</v>
      </c>
      <c r="J3323" s="2" t="s">
        <v>138</v>
      </c>
      <c r="K3323" s="2" t="s">
        <v>136</v>
      </c>
      <c r="L3323" s="2" t="s">
        <v>221</v>
      </c>
      <c r="M3323" s="2" t="s">
        <v>379</v>
      </c>
      <c r="N3323" s="2" t="s">
        <v>1059</v>
      </c>
      <c r="O3323" s="2" t="s">
        <v>1060</v>
      </c>
      <c r="P3323" s="2" t="s">
        <v>1061</v>
      </c>
      <c r="Q3323" s="2" t="s">
        <v>1062</v>
      </c>
      <c r="R3323" s="2" t="s">
        <v>1063</v>
      </c>
      <c r="S3323" s="2" t="s">
        <v>1064</v>
      </c>
      <c r="T3323" s="2" t="s">
        <v>1065</v>
      </c>
      <c r="U3323" s="2" t="s">
        <v>380</v>
      </c>
      <c r="V3323" s="2" t="s">
        <v>1128</v>
      </c>
    </row>
    <row r="3324" spans="1:22" x14ac:dyDescent="0.2">
      <c r="A3324" t="str">
        <f>B3285</f>
        <v>heat, residential, by combustion of hydrogen using boiler, transported by pipeline, produced by Electrolysis, SOEC using water and electricity from Solar PV (CH)</v>
      </c>
      <c r="B3324" s="45">
        <v>1</v>
      </c>
      <c r="C3324" t="str">
        <f>B3291</f>
        <v>megajoule</v>
      </c>
      <c r="E3324" t="str">
        <f>B3288</f>
        <v>CH</v>
      </c>
      <c r="F3324" t="s">
        <v>62</v>
      </c>
      <c r="G3324" t="str">
        <f>B3290</f>
        <v>heat, from residential heating system</v>
      </c>
      <c r="K3324" t="str">
        <f>B3285</f>
        <v>heat, residential, by combustion of hydrogen using boiler, transported by pipeline, produced by Electrolysis, SOEC using water and electricity from Solar PV (CH)</v>
      </c>
    </row>
    <row r="3325" spans="1:22" x14ac:dyDescent="0.2">
      <c r="A3325" t="s">
        <v>83</v>
      </c>
      <c r="B3325" s="52">
        <f>1/(B3316*B3318*B3317*3.6)</f>
        <v>4.4091710758377425E-7</v>
      </c>
      <c r="C3325" t="s">
        <v>55</v>
      </c>
      <c r="E3325" t="s">
        <v>85</v>
      </c>
      <c r="F3325" t="s">
        <v>86</v>
      </c>
      <c r="G3325" t="s">
        <v>84</v>
      </c>
      <c r="H3325" t="s">
        <v>88</v>
      </c>
      <c r="K3325" t="str">
        <f>B3285</f>
        <v>heat, residential, by combustion of hydrogen using boiler, transported by pipeline, produced by Electrolysis, SOEC using water and electricity from Solar PV (CH)</v>
      </c>
      <c r="L3325">
        <f t="shared" ref="L3325:L3330" si="112">IF(OR(B3325&lt;0,B3325=0),1,2)</f>
        <v>2</v>
      </c>
      <c r="M3325">
        <f t="shared" ref="M3325:M3330" si="113">IF(L3325=2,LN(B3325),"")</f>
        <v>-14.634408943829779</v>
      </c>
      <c r="N3325">
        <v>1.05</v>
      </c>
      <c r="O3325" s="15">
        <v>1.2</v>
      </c>
      <c r="P3325">
        <v>1</v>
      </c>
      <c r="Q3325">
        <v>1.01</v>
      </c>
      <c r="R3325">
        <v>1.2</v>
      </c>
      <c r="S3325">
        <v>1.2</v>
      </c>
      <c r="T3325">
        <v>3</v>
      </c>
      <c r="U3325">
        <f t="shared" ref="U3325:U3330" si="114">LN(SQRT(EXP(
SQRT(
+POWER(LN(N3325),2)
+POWER(LN(O3325),2)
+POWER(LN(P3325),2)
+POWER(LN(Q3325),2)
+POWER(LN(R3325),2)
+POWER(LN(S3325),2)
+POWER(LN(T3325),2)
)
)))</f>
        <v>0.57209088006881903</v>
      </c>
    </row>
    <row r="3326" spans="1:22" x14ac:dyDescent="0.2">
      <c r="A3326" t="s">
        <v>500</v>
      </c>
      <c r="B3326" s="52">
        <f>B3325*2</f>
        <v>8.8183421516754851E-7</v>
      </c>
      <c r="C3326" t="s">
        <v>267</v>
      </c>
      <c r="E3326" t="s">
        <v>85</v>
      </c>
      <c r="F3326" t="s">
        <v>86</v>
      </c>
      <c r="G3326" t="s">
        <v>501</v>
      </c>
      <c r="H3326" t="s">
        <v>88</v>
      </c>
      <c r="I3326" t="s">
        <v>621</v>
      </c>
      <c r="K3326" t="str">
        <f>B3285</f>
        <v>heat, residential, by combustion of hydrogen using boiler, transported by pipeline, produced by Electrolysis, SOEC using water and electricity from Solar PV (CH)</v>
      </c>
      <c r="L3326">
        <f t="shared" si="112"/>
        <v>2</v>
      </c>
      <c r="M3326">
        <f t="shared" si="113"/>
        <v>-13.941261763269834</v>
      </c>
      <c r="N3326">
        <v>1.05</v>
      </c>
      <c r="O3326" s="15">
        <v>1.2</v>
      </c>
      <c r="P3326">
        <v>1</v>
      </c>
      <c r="Q3326">
        <v>1.01</v>
      </c>
      <c r="R3326">
        <v>1.2</v>
      </c>
      <c r="S3326">
        <v>1.2</v>
      </c>
      <c r="T3326">
        <v>3</v>
      </c>
      <c r="U3326">
        <f t="shared" si="114"/>
        <v>0.57209088006881903</v>
      </c>
    </row>
    <row r="3327" spans="1:22" x14ac:dyDescent="0.2">
      <c r="A3327" t="s">
        <v>130</v>
      </c>
      <c r="B3327" s="52">
        <v>2.64E-3</v>
      </c>
      <c r="C3327" t="s">
        <v>92</v>
      </c>
      <c r="E3327" t="s">
        <v>64</v>
      </c>
      <c r="F3327" t="s">
        <v>86</v>
      </c>
      <c r="G3327" t="s">
        <v>93</v>
      </c>
      <c r="H3327" t="s">
        <v>78</v>
      </c>
      <c r="I3327" t="s">
        <v>270</v>
      </c>
      <c r="J3327" t="s">
        <v>67</v>
      </c>
      <c r="K3327" t="str">
        <f>B3285</f>
        <v>heat, residential, by combustion of hydrogen using boiler, transported by pipeline, produced by Electrolysis, SOEC using water and electricity from Solar PV (CH)</v>
      </c>
      <c r="L3327">
        <f t="shared" si="112"/>
        <v>2</v>
      </c>
      <c r="M3327">
        <f t="shared" si="113"/>
        <v>-5.9369763618239126</v>
      </c>
      <c r="N3327">
        <v>1.05</v>
      </c>
      <c r="O3327" s="15">
        <v>1.2</v>
      </c>
      <c r="P3327">
        <v>1</v>
      </c>
      <c r="Q3327">
        <v>1.01</v>
      </c>
      <c r="R3327">
        <v>1.2</v>
      </c>
      <c r="S3327">
        <v>1.2</v>
      </c>
      <c r="T3327">
        <v>1.05</v>
      </c>
      <c r="U3327">
        <f t="shared" si="114"/>
        <v>0.16169679924070957</v>
      </c>
    </row>
    <row r="3328" spans="1:22" x14ac:dyDescent="0.2">
      <c r="A3328" s="45" t="str">
        <f>"hydrogen supply, transported by "&amp;B3299&amp;", produced by "&amp;B3303&amp;" using "&amp;B3304&amp;" from "&amp;B3305</f>
        <v>hydrogen supply, transported by pipeline, produced by Electrolysis, SOEC using water and electricity from Solar PV (CH)</v>
      </c>
      <c r="B3328" s="53">
        <f>(B3324/B3308)/B3307</f>
        <v>8.8652482269503553E-3</v>
      </c>
      <c r="C3328" t="s">
        <v>56</v>
      </c>
      <c r="E3328" t="s">
        <v>64</v>
      </c>
      <c r="F3328" t="s">
        <v>86</v>
      </c>
      <c r="G3328" t="s">
        <v>1129</v>
      </c>
      <c r="H3328" t="s">
        <v>76</v>
      </c>
      <c r="I3328" t="s">
        <v>1054</v>
      </c>
      <c r="J3328" t="s">
        <v>293</v>
      </c>
      <c r="K3328" t="str">
        <f>B3285</f>
        <v>heat, residential, by combustion of hydrogen using boiler, transported by pipeline, produced by Electrolysis, SOEC using water and electricity from Solar PV (CH)</v>
      </c>
      <c r="L3328">
        <f t="shared" si="112"/>
        <v>2</v>
      </c>
      <c r="M3328">
        <f t="shared" si="113"/>
        <v>-4.7256163390639587</v>
      </c>
      <c r="N3328">
        <v>1.05</v>
      </c>
      <c r="O3328" s="15">
        <v>1.2</v>
      </c>
      <c r="P3328">
        <v>1</v>
      </c>
      <c r="Q3328">
        <v>1.01</v>
      </c>
      <c r="R3328">
        <v>1.2</v>
      </c>
      <c r="S3328">
        <v>1.2</v>
      </c>
      <c r="T3328">
        <v>1.05</v>
      </c>
      <c r="U3328">
        <f t="shared" si="114"/>
        <v>0.16169679924070957</v>
      </c>
    </row>
    <row r="3329" spans="1:21" x14ac:dyDescent="0.2">
      <c r="A3329" t="s">
        <v>134</v>
      </c>
      <c r="B3329" s="45">
        <f>B3328*9</f>
        <v>7.9787234042553196E-2</v>
      </c>
      <c r="C3329" t="s">
        <v>56</v>
      </c>
      <c r="D3329" t="s">
        <v>100</v>
      </c>
      <c r="F3329" t="s">
        <v>99</v>
      </c>
      <c r="H3329" t="s">
        <v>131</v>
      </c>
      <c r="I3329" t="s">
        <v>1058</v>
      </c>
      <c r="K3329" t="str">
        <f>B3285</f>
        <v>heat, residential, by combustion of hydrogen using boiler, transported by pipeline, produced by Electrolysis, SOEC using water and electricity from Solar PV (CH)</v>
      </c>
      <c r="L3329">
        <f t="shared" si="112"/>
        <v>2</v>
      </c>
      <c r="M3329">
        <f t="shared" si="113"/>
        <v>-2.5283917617277392</v>
      </c>
      <c r="N3329">
        <v>1.05</v>
      </c>
      <c r="O3329" s="15">
        <v>1.2</v>
      </c>
      <c r="P3329">
        <v>1</v>
      </c>
      <c r="Q3329">
        <v>1.01</v>
      </c>
      <c r="R3329">
        <v>1.2</v>
      </c>
      <c r="S3329">
        <v>1.2</v>
      </c>
      <c r="T3329">
        <v>1.05</v>
      </c>
      <c r="U3329">
        <f t="shared" si="114"/>
        <v>0.16169679924070957</v>
      </c>
    </row>
    <row r="3330" spans="1:21" x14ac:dyDescent="0.2">
      <c r="A3330" t="s">
        <v>135</v>
      </c>
      <c r="B3330" s="45">
        <f>912.5/1000000*B3328</f>
        <v>8.0895390070921995E-6</v>
      </c>
      <c r="C3330" t="s">
        <v>56</v>
      </c>
      <c r="D3330" t="s">
        <v>100</v>
      </c>
      <c r="F3330" t="s">
        <v>99</v>
      </c>
      <c r="H3330" t="s">
        <v>131</v>
      </c>
      <c r="I3330" t="s">
        <v>1217</v>
      </c>
      <c r="K3330" t="str">
        <f>B3285</f>
        <v>heat, residential, by combustion of hydrogen using boiler, transported by pipeline, produced by Electrolysis, SOEC using water and electricity from Solar PV (CH)</v>
      </c>
      <c r="L3330">
        <f t="shared" si="112"/>
        <v>2</v>
      </c>
      <c r="M3330">
        <f t="shared" si="113"/>
        <v>-11.724938811571587</v>
      </c>
      <c r="N3330">
        <v>1.05</v>
      </c>
      <c r="O3330" s="15">
        <v>1.2</v>
      </c>
      <c r="P3330">
        <v>1</v>
      </c>
      <c r="Q3330">
        <v>1.01</v>
      </c>
      <c r="R3330">
        <v>1.2</v>
      </c>
      <c r="S3330">
        <v>1.2</v>
      </c>
      <c r="T3330">
        <v>1.5</v>
      </c>
      <c r="U3330">
        <f t="shared" si="114"/>
        <v>0.25816898211842121</v>
      </c>
    </row>
    <row r="3332" spans="1:21" x14ac:dyDescent="0.2">
      <c r="A3332" s="2" t="s">
        <v>50</v>
      </c>
      <c r="B3332" s="44" t="str">
        <f>IF(B3338="megajoule","heat","electricity")&amp;", residential, by "&amp;B3343&amp;" of "&amp;B3342&amp;" using "&amp;B3344&amp;IF(B3345&lt;&gt;0,", allocated by "&amp;B3345,"")&amp;", transported by "&amp;B3346&amp;", produced by "&amp;B3350&amp;" using "&amp;B3351&amp;" from "&amp;B3352</f>
        <v>heat, residential, by combustion of hydrogen using CHP, allocated by exergy, transported by pipeline, produced by Electrolysis, SOEC using water and electricity from Solar PV (CH)</v>
      </c>
    </row>
    <row r="3333" spans="1:21" x14ac:dyDescent="0.2">
      <c r="A3333" t="s">
        <v>51</v>
      </c>
      <c r="B3333" s="45" t="str">
        <f>"This dataset represents the supply of 1 "&amp;IF(B3338="megajoule","megajoule of heat","kilowatt hour of electricity")&amp;" in a residence, by "&amp;B3342&amp;" "&amp;B3343&amp;" in a "&amp;B3344&amp;". "&amp;" The hydrogen is transported by "&amp;B3346&amp;" over "&amp;B3347&amp;" km from regional storage. "&amp;" The "&amp;B3342&amp;" is produced by  "&amp;B3350&amp;", with "&amp;B3351&amp;" from "&amp;B3352&amp;" as feedstock. "&amp;A3354&amp;": "&amp;(B3354*100)&amp;"%. "&amp;A3355&amp;": "&amp;B3355&amp;". "&amp;A3356&amp;": "&amp;B3356&amp;". "&amp;A3357&amp;": "&amp;(B3357*100)&amp;"%. "&amp;A3358&amp;": "&amp;(B3358*100)&amp;"%. "&amp;A3359&amp;": "&amp;(B3359*100)&amp;"%. "&amp;A3360&amp;": "&amp;B3360&amp;". "&amp;A3361&amp;": "&amp;B3361&amp;". "&amp;A3362&amp;": "&amp;(B3362*100)&amp;"%. "&amp;A3363&amp;": "&amp;B3363&amp;". "&amp;A3364&amp;": "&amp;B3364&amp;". "&amp;A3365&amp;": "&amp;B3365&amp;". "&amp;A3366&amp;": "&amp;B3366&amp;".  For more information, refer to: "&amp;B3334</f>
        <v>This dataset represents the supply of 1 megajoule of heat in a residence, by hydrogen combustion in a CHP.  The hydrogen is transported by pipeline over 500 km from regional storage.  The hydrogen is produced by  Electrolysis, SOEC, with water and electricity from Solar PV (CH)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3334" spans="1:21" x14ac:dyDescent="0.2">
      <c r="A3334" t="s">
        <v>63</v>
      </c>
      <c r="B3334" s="45" t="s">
        <v>1223</v>
      </c>
    </row>
    <row r="3335" spans="1:21" x14ac:dyDescent="0.2">
      <c r="A3335" t="s">
        <v>52</v>
      </c>
      <c r="B3335" s="45" t="s">
        <v>64</v>
      </c>
    </row>
    <row r="3336" spans="1:21" x14ac:dyDescent="0.2">
      <c r="A3336" t="s">
        <v>48</v>
      </c>
      <c r="B3336" s="45">
        <v>42</v>
      </c>
    </row>
    <row r="3337" spans="1:21" x14ac:dyDescent="0.2">
      <c r="A3337" t="s">
        <v>54</v>
      </c>
      <c r="B3337" s="45" t="str">
        <f>INDEX(overview!$B$4:$R$338,MATCH('hydrogen - electrolysis'!B3336,overview!$A$4:$A$338,0),MATCH('hydrogen - electrolysis'!A3337,overview!$B$3:$R$3,0))</f>
        <v>heat, from residential heating system</v>
      </c>
    </row>
    <row r="3338" spans="1:21" x14ac:dyDescent="0.2">
      <c r="A3338" t="s">
        <v>55</v>
      </c>
      <c r="B3338" s="45" t="str">
        <f>INDEX(overview!$B$4:$R$338,MATCH('hydrogen - electrolysis'!B3336,overview!$A$4:$A$338,0),MATCH('hydrogen - electrolysis'!A3338,overview!$B$3:$R$3,0))</f>
        <v>megajoule</v>
      </c>
    </row>
    <row r="3339" spans="1:21" x14ac:dyDescent="0.2">
      <c r="A3339" t="s">
        <v>0</v>
      </c>
      <c r="B3339" s="45" t="str">
        <f>INDEX(overview!$B$4:$R$338,MATCH('hydrogen - electrolysis'!B3336,overview!$A$4:$A$338,0),MATCH('hydrogen - electrolysis'!A3339,overview!$B$3:$R$3,0))</f>
        <v>Switzerland</v>
      </c>
    </row>
    <row r="3340" spans="1:21" x14ac:dyDescent="0.2">
      <c r="A3340" t="s">
        <v>1</v>
      </c>
      <c r="B3340" s="45">
        <f>INDEX(overview!$B$4:$R$338,MATCH('hydrogen - electrolysis'!B3336,overview!$A$4:$A$338,0),MATCH('hydrogen - electrolysis'!A3340,overview!$B$3:$R$3,0))</f>
        <v>2020</v>
      </c>
    </row>
    <row r="3341" spans="1:21" x14ac:dyDescent="0.2">
      <c r="A3341" t="s">
        <v>2</v>
      </c>
      <c r="B3341" s="45" t="str">
        <f>INDEX(overview!$B$4:$R$338,MATCH('hydrogen - electrolysis'!B3336,overview!$A$4:$A$338,0),MATCH('hydrogen - electrolysis'!A3341,overview!$B$3:$R$3,0))</f>
        <v>1 MJ heat</v>
      </c>
    </row>
    <row r="3342" spans="1:21" x14ac:dyDescent="0.2">
      <c r="A3342" t="s">
        <v>5</v>
      </c>
      <c r="B3342" s="45" t="str">
        <f>INDEX(overview!$B$4:$R$338,MATCH('hydrogen - electrolysis'!B3336,overview!$A$4:$A$338,0),MATCH('hydrogen - electrolysis'!A3342,overview!$B$3:$R$3,0))</f>
        <v>hydrogen</v>
      </c>
    </row>
    <row r="3343" spans="1:21" x14ac:dyDescent="0.2">
      <c r="A3343" t="s">
        <v>3</v>
      </c>
      <c r="B3343" s="45" t="str">
        <f>INDEX(overview!$B$4:$R$338,MATCH('hydrogen - electrolysis'!B3336,overview!$A$4:$A$338,0),MATCH('hydrogen - electrolysis'!A3343,overview!$B$3:$R$3,0))</f>
        <v>combustion</v>
      </c>
    </row>
    <row r="3344" spans="1:21" x14ac:dyDescent="0.2">
      <c r="A3344" t="s">
        <v>6</v>
      </c>
      <c r="B3344" s="45" t="str">
        <f>INDEX(overview!$B$4:$R$338,MATCH('hydrogen - electrolysis'!B3336,overview!$A$4:$A$338,0),MATCH('hydrogen - electrolysis'!A3344,overview!$B$3:$R$3,0))</f>
        <v>CHP</v>
      </c>
    </row>
    <row r="3345" spans="1:2" x14ac:dyDescent="0.2">
      <c r="A3345" t="s">
        <v>39</v>
      </c>
      <c r="B3345" s="45" t="str">
        <f>INDEX(overview!$B$4:$R$338,MATCH('hydrogen - electrolysis'!B3336,overview!$A$4:$A$338,0),MATCH('hydrogen - electrolysis'!A3345,overview!$B$3:$R$3,0))</f>
        <v>exergy</v>
      </c>
    </row>
    <row r="3346" spans="1:2" x14ac:dyDescent="0.2">
      <c r="A3346" t="s">
        <v>4</v>
      </c>
      <c r="B3346" s="45" t="str">
        <f>INDEX(overview!$B$4:$R$338,MATCH('hydrogen - electrolysis'!B3336,overview!$A$4:$A$338,0),MATCH('hydrogen - electrolysis'!A3346,overview!$B$3:$R$3,0))</f>
        <v>pipeline</v>
      </c>
    </row>
    <row r="3347" spans="1:2" x14ac:dyDescent="0.2">
      <c r="A3347" t="s">
        <v>38</v>
      </c>
      <c r="B3347" s="45">
        <f>INDEX(overview!$B$4:$R$338,MATCH('hydrogen - electrolysis'!B3336,overview!$A$4:$A$338,0),MATCH('hydrogen - electrolysis'!A3347,overview!$B$3:$R$3,0))</f>
        <v>500</v>
      </c>
    </row>
    <row r="3348" spans="1:2" x14ac:dyDescent="0.2">
      <c r="A3348" t="s">
        <v>12</v>
      </c>
      <c r="B3348" s="45" t="str">
        <f>INDEX(overview!$B$4:$R$338,MATCH('hydrogen - electrolysis'!B3336,overview!$A$4:$A$338,0),MATCH('hydrogen - electrolysis'!A3348,overview!$B$3:$R$3,0))</f>
        <v>Pressure vessel for stationary storage</v>
      </c>
    </row>
    <row r="3349" spans="1:2" x14ac:dyDescent="0.2">
      <c r="A3349" t="s">
        <v>34</v>
      </c>
      <c r="B3349" s="45">
        <f>INDEX(overview!$B$4:$R$338,MATCH('hydrogen - electrolysis'!B3336,overview!$A$4:$A$338,0),MATCH('hydrogen - electrolysis'!A3349,overview!$B$3:$R$3,0))</f>
        <v>0</v>
      </c>
    </row>
    <row r="3350" spans="1:2" x14ac:dyDescent="0.2">
      <c r="A3350" t="s">
        <v>15</v>
      </c>
      <c r="B3350" s="45" t="str">
        <f>INDEX(overview!$B$4:$R$338,MATCH('hydrogen - electrolysis'!B3336,overview!$A$4:$A$338,0),MATCH('hydrogen - electrolysis'!A3350,overview!$B$3:$R$3,0))</f>
        <v>Electrolysis, SOEC</v>
      </c>
    </row>
    <row r="3351" spans="1:2" x14ac:dyDescent="0.2">
      <c r="A3351" t="s">
        <v>14</v>
      </c>
      <c r="B3351" s="45" t="str">
        <f>INDEX(overview!$B$4:$R$338,MATCH('hydrogen - electrolysis'!B3336,overview!$A$4:$A$338,0),MATCH('hydrogen - electrolysis'!A3351,overview!$B$3:$R$3,0))</f>
        <v>water and electricity</v>
      </c>
    </row>
    <row r="3352" spans="1:2" x14ac:dyDescent="0.2">
      <c r="A3352" t="s">
        <v>26</v>
      </c>
      <c r="B3352" s="45" t="str">
        <f>INDEX(overview!$B$4:$R$338,MATCH('hydrogen - electrolysis'!B3336,overview!$A$4:$A$338,0),MATCH('hydrogen - electrolysis'!A3352,overview!$B$3:$R$3,0))</f>
        <v>Solar PV (CH)</v>
      </c>
    </row>
    <row r="3353" spans="1:2" x14ac:dyDescent="0.2">
      <c r="A3353" t="s">
        <v>29</v>
      </c>
      <c r="B3353" s="45">
        <f>INDEX(overview!$B$4:$R$338,MATCH('hydrogen - electrolysis'!B3336,overview!$A$4:$A$338,0),MATCH('hydrogen - electrolysis'!A3353,overview!$B$3:$R$3,0))</f>
        <v>0</v>
      </c>
    </row>
    <row r="3354" spans="1:2" x14ac:dyDescent="0.2">
      <c r="A3354" t="str">
        <f>IF(B3338="megajoule","Heat","Electricity")&amp;" conversion efficiency [% LHV input]"</f>
        <v>Heat conversion efficiency [% LHV input]</v>
      </c>
      <c r="B3354" s="46">
        <f>INDEX(parameters!$D$4:$N$20,MATCH('hydrogen - electrolysis'!B3342&amp;'hydrogen - electrolysis'!B3344,parameters!$A$4:$A$20,0),MATCH('hydrogen - electrolysis'!A3354,parameters!$D$3:$N$3,0))</f>
        <v>0.41699999999999998</v>
      </c>
    </row>
    <row r="3355" spans="1:2" x14ac:dyDescent="0.2">
      <c r="A3355" t="str">
        <f>IF(B3338="megajoule","LHV [MJ/kg]","LHV [kWh/kg]")</f>
        <v>LHV [MJ/kg]</v>
      </c>
      <c r="B3355" s="47">
        <f>INDEX(parameters!$D$4:$N$20,MATCH('hydrogen - electrolysis'!B3342&amp;'hydrogen - electrolysis'!B3344,parameters!$A$4:$A$20,0),MATCH('hydrogen - electrolysis'!A3355,parameters!$D$3:$N$3,0))</f>
        <v>120</v>
      </c>
    </row>
    <row r="3356" spans="1:2" x14ac:dyDescent="0.2">
      <c r="A3356" t="s">
        <v>41</v>
      </c>
      <c r="B3356" s="48">
        <f>INDEX(parameters!$D$4:$N$20,MATCH('hydrogen - electrolysis'!B3342&amp;'hydrogen - electrolysis'!B3344,parameters!$A$4:$A$20,0),MATCH('hydrogen - electrolysis'!A3356,parameters!$D$3:$N$3,0))</f>
        <v>2.6666666666666665E-2</v>
      </c>
    </row>
    <row r="3357" spans="1:2" x14ac:dyDescent="0.2">
      <c r="A3357" t="s">
        <v>45</v>
      </c>
      <c r="B3357" s="46">
        <f>INDEX(parameters!$D$4:$N$20,MATCH('hydrogen - electrolysis'!B3342&amp;'hydrogen - electrolysis'!B3344,parameters!$A$4:$A$20,0),MATCH('hydrogen - electrolysis'!A3357,parameters!$D$3:$N$3,0))</f>
        <v>0</v>
      </c>
    </row>
    <row r="3358" spans="1:2" x14ac:dyDescent="0.2">
      <c r="A3358" t="s">
        <v>46</v>
      </c>
      <c r="B3358" s="46">
        <f>INDEX(parameters!$D$4:$N$20,MATCH('hydrogen - electrolysis'!B3342&amp;'hydrogen - electrolysis'!B3344,parameters!$A$4:$A$20,0),MATCH('hydrogen - electrolysis'!A3358,parameters!$D$3:$N$3,0))</f>
        <v>1.4999999999999999E-2</v>
      </c>
    </row>
    <row r="3359" spans="1:2" x14ac:dyDescent="0.2">
      <c r="A3359" t="s">
        <v>43</v>
      </c>
      <c r="B3359" s="46">
        <f>INDEX(parameters!$D$4:$N$20,MATCH('hydrogen - electrolysis'!B3342&amp;'hydrogen - electrolysis'!B3344,parameters!$A$4:$A$20,0),MATCH('hydrogen - electrolysis'!A3359,parameters!$D$3:$N$3,0))</f>
        <v>0</v>
      </c>
    </row>
    <row r="3360" spans="1:2" x14ac:dyDescent="0.2">
      <c r="A3360" t="s">
        <v>44</v>
      </c>
      <c r="B3360" s="46">
        <f>INDEX(parameters!$D$4:$N$20,MATCH('hydrogen - electrolysis'!B3342&amp;'hydrogen - electrolysis'!B3344,parameters!$A$4:$A$20,0),MATCH('hydrogen - electrolysis'!A3360,parameters!$D$3:$N$3,0))</f>
        <v>0</v>
      </c>
    </row>
    <row r="3361" spans="1:22" x14ac:dyDescent="0.2">
      <c r="A3361" t="s">
        <v>634</v>
      </c>
      <c r="B3361" s="51">
        <f>INDEX(parameters!$D$4:$Y$20,MATCH('hydrogen - electrolysis'!B3342&amp;'hydrogen - electrolysis'!B3344,parameters!$A$4:$A$20,0),MATCH('hydrogen - electrolysis'!A3361,parameters!$D$3:$Y$3,0))</f>
        <v>351.41800246609125</v>
      </c>
    </row>
    <row r="3362" spans="1:22" x14ac:dyDescent="0.2">
      <c r="A3362" t="s">
        <v>82</v>
      </c>
      <c r="B3362" s="46">
        <f>IF(B3353&lt;&gt;0,VLOOKUP(B3353,parameters!A2151:B2153,2,0),0)</f>
        <v>0</v>
      </c>
    </row>
    <row r="3363" spans="1:22" x14ac:dyDescent="0.2">
      <c r="A3363" t="s">
        <v>548</v>
      </c>
      <c r="B3363" s="50">
        <f>INDEX(parameters!$D$4:$P$20,MATCH(B3342&amp;B3344,parameters!$A$4:$A$20,0),MATCH(A3363,parameters!$D$3:$P$3,0))</f>
        <v>125</v>
      </c>
    </row>
    <row r="3364" spans="1:22" x14ac:dyDescent="0.2">
      <c r="A3364" t="s">
        <v>547</v>
      </c>
      <c r="B3364" s="51">
        <f>INDEX(parameters!$D$4:$P$20,MATCH(B3342&amp;B3344,parameters!$A$4:$A$20,0),MATCH(A3364,parameters!$D$3:$P$3,0))</f>
        <v>19.512195121951219</v>
      </c>
    </row>
    <row r="3365" spans="1:22" x14ac:dyDescent="0.2">
      <c r="A3365" t="s">
        <v>630</v>
      </c>
      <c r="B3365" s="51">
        <f>INDEX(parameters!$D$4:$T$20,MATCH(B3342&amp;B3344,parameters!$A$4:$A$20,0),MATCH(A3365,parameters!$D$3:$T$3,0))</f>
        <v>4100</v>
      </c>
    </row>
    <row r="3366" spans="1:22" x14ac:dyDescent="0.2">
      <c r="A3366" t="s">
        <v>1005</v>
      </c>
      <c r="B3366" s="50">
        <f>IF(B3338="megajoule",SUMIFS(allocation!$I$4:$I$30,allocation!$B$4:$B$30,B3344,allocation!$C$4:$C$30,B3345),SUMIFS(allocation!$J$4:$J$30,allocation!$B$4:$B$30,B3344,allocation!$C$4:$C$30,B3345))</f>
        <v>0.12860042227295038</v>
      </c>
    </row>
    <row r="3367" spans="1:22" x14ac:dyDescent="0.2">
      <c r="A3367" t="s">
        <v>1050</v>
      </c>
      <c r="B3367" s="51">
        <f>INDEX(parameters!$D$4:$AB$20,MATCH(B3342&amp;B3344,parameters!$A$4:$A$20,0),MATCH(A3367,parameters!$D$3:$AB$3,0))</f>
        <v>2220.7364520822662</v>
      </c>
    </row>
    <row r="3369" spans="1:22" x14ac:dyDescent="0.2">
      <c r="A3369" s="3" t="s">
        <v>57</v>
      </c>
    </row>
    <row r="3370" spans="1:22" x14ac:dyDescent="0.2">
      <c r="A3370" s="2" t="s">
        <v>58</v>
      </c>
      <c r="B3370" s="44" t="s">
        <v>59</v>
      </c>
      <c r="C3370" s="2" t="s">
        <v>55</v>
      </c>
      <c r="D3370" s="2" t="s">
        <v>60</v>
      </c>
      <c r="E3370" s="2" t="s">
        <v>52</v>
      </c>
      <c r="F3370" s="2" t="s">
        <v>61</v>
      </c>
      <c r="G3370" s="2" t="s">
        <v>54</v>
      </c>
      <c r="H3370" s="2" t="s">
        <v>87</v>
      </c>
      <c r="I3370" s="2" t="s">
        <v>51</v>
      </c>
      <c r="J3370" s="2" t="s">
        <v>138</v>
      </c>
      <c r="K3370" s="2" t="s">
        <v>136</v>
      </c>
      <c r="L3370" s="2" t="s">
        <v>221</v>
      </c>
      <c r="M3370" s="2" t="s">
        <v>379</v>
      </c>
      <c r="N3370" s="2" t="s">
        <v>1059</v>
      </c>
      <c r="O3370" s="2" t="s">
        <v>1060</v>
      </c>
      <c r="P3370" s="2" t="s">
        <v>1061</v>
      </c>
      <c r="Q3370" s="2" t="s">
        <v>1062</v>
      </c>
      <c r="R3370" s="2" t="s">
        <v>1063</v>
      </c>
      <c r="S3370" s="2" t="s">
        <v>1064</v>
      </c>
      <c r="T3370" s="2" t="s">
        <v>1065</v>
      </c>
      <c r="U3370" s="2" t="s">
        <v>380</v>
      </c>
      <c r="V3370" s="2" t="s">
        <v>1128</v>
      </c>
    </row>
    <row r="3371" spans="1:22" x14ac:dyDescent="0.2">
      <c r="A3371" t="str">
        <f>B3332</f>
        <v>heat, residential, by combustion of hydrogen using CHP, allocated by exergy, transported by pipeline, produced by Electrolysis, SOEC using water and electricity from Solar PV (CH)</v>
      </c>
      <c r="B3371" s="45">
        <v>1</v>
      </c>
      <c r="C3371" t="str">
        <f>B3338</f>
        <v>megajoule</v>
      </c>
      <c r="E3371" t="str">
        <f>B3335</f>
        <v>CH</v>
      </c>
      <c r="F3371" t="s">
        <v>62</v>
      </c>
      <c r="G3371" t="str">
        <f>B3337</f>
        <v>heat, from residential heating system</v>
      </c>
      <c r="K3371" t="str">
        <f>B3332</f>
        <v>heat, residential, by combustion of hydrogen using CHP, allocated by exergy, transported by pipeline, produced by Electrolysis, SOEC using water and electricity from Solar PV (CH)</v>
      </c>
    </row>
    <row r="3372" spans="1:22" x14ac:dyDescent="0.2">
      <c r="A3372" t="str">
        <f>VLOOKUP(J3372,'dataset mapping'!$A$4:$E$69,2,0)</f>
        <v>heat and power co-generation unit construction, 160kW electrical, common components for heat+electricity</v>
      </c>
      <c r="B3372" s="52">
        <f>(1/(B3361*B3365*B3364*3.6))*B3366</f>
        <v>1.270649883812899E-9</v>
      </c>
      <c r="C3372" t="str">
        <f>VLOOKUP(J3372,'dataset mapping'!$A$4:$E$69,5,0)</f>
        <v>unit</v>
      </c>
      <c r="E3372" t="str">
        <f>VLOOKUP(J3372,'dataset mapping'!$A$4:$E$69,4,0)</f>
        <v>RER</v>
      </c>
      <c r="F3372" t="s">
        <v>86</v>
      </c>
      <c r="G3372" t="str">
        <f>VLOOKUP(J3372,'dataset mapping'!$A$4:$E$69,3,0)</f>
        <v>heat and power co-generation unit, 160kW electrical, common components for heat+electricity</v>
      </c>
      <c r="H3372" t="s">
        <v>88</v>
      </c>
      <c r="J3372" t="s">
        <v>145</v>
      </c>
      <c r="K3372" t="str">
        <f>B3332</f>
        <v>heat, residential, by combustion of hydrogen using CHP, allocated by exergy, transported by pipeline, produced by Electrolysis, SOEC using water and electricity from Solar PV (CH)</v>
      </c>
      <c r="L3372">
        <f>IF(OR(B3372&lt;0,B3372=0),1,2)</f>
        <v>2</v>
      </c>
      <c r="M3372">
        <f>IF(L3372=2,LN(B3372),"")</f>
        <v>-20.48373734782199</v>
      </c>
      <c r="N3372">
        <v>1.05</v>
      </c>
      <c r="O3372" s="15">
        <v>1.2</v>
      </c>
      <c r="P3372">
        <v>1</v>
      </c>
      <c r="Q3372">
        <v>1.01</v>
      </c>
      <c r="R3372">
        <v>1.2</v>
      </c>
      <c r="S3372">
        <v>1.2</v>
      </c>
      <c r="T3372">
        <v>3</v>
      </c>
      <c r="U3372">
        <f t="shared" ref="U3372:U3379" si="115">LN(SQRT(EXP(
SQRT(
+POWER(LN(N3372),2)
+POWER(LN(O3372),2)
+POWER(LN(P3372),2)
+POWER(LN(Q3372),2)
+POWER(LN(R3372),2)
+POWER(LN(S3372),2)
+POWER(LN(T3372),2)
)
)))</f>
        <v>0.57209088006881903</v>
      </c>
    </row>
    <row r="3373" spans="1:22" x14ac:dyDescent="0.2">
      <c r="A3373" t="str">
        <f>VLOOKUP(J3373,'dataset mapping'!$A$4:$E$69,2,0)</f>
        <v>heat and power co-generation unit construction, 160kW electrical, components for electricity only</v>
      </c>
      <c r="B3373" s="52">
        <f>(1/(B3361*B3365*B3364*3.6))*B3366</f>
        <v>1.270649883812899E-9</v>
      </c>
      <c r="C3373" t="str">
        <f>VLOOKUP(J3373,'dataset mapping'!$A$4:$E$69,5,0)</f>
        <v>unit</v>
      </c>
      <c r="E3373" t="str">
        <f>VLOOKUP(J3373,'dataset mapping'!$A$4:$E$69,4,0)</f>
        <v>RER</v>
      </c>
      <c r="F3373" t="s">
        <v>86</v>
      </c>
      <c r="G3373" t="str">
        <f>VLOOKUP(J3373,'dataset mapping'!$A$4:$E$69,3,0)</f>
        <v>heat and power co-generation unit, 160kW electrical, components for electricity only</v>
      </c>
      <c r="H3373" t="s">
        <v>88</v>
      </c>
      <c r="J3373" t="s">
        <v>146</v>
      </c>
      <c r="K3373" t="str">
        <f>B3332</f>
        <v>heat, residential, by combustion of hydrogen using CHP, allocated by exergy, transported by pipeline, produced by Electrolysis, SOEC using water and electricity from Solar PV (CH)</v>
      </c>
      <c r="L3373">
        <f>IF(OR(B3373&lt;0,B3373=0),1,2)</f>
        <v>2</v>
      </c>
      <c r="M3373">
        <f>IF(L3373=2,LN(B3373),"")</f>
        <v>-20.48373734782199</v>
      </c>
      <c r="N3373">
        <v>1.05</v>
      </c>
      <c r="O3373" s="15">
        <v>1.2</v>
      </c>
      <c r="P3373">
        <v>1</v>
      </c>
      <c r="Q3373">
        <v>1.01</v>
      </c>
      <c r="R3373">
        <v>1.2</v>
      </c>
      <c r="S3373">
        <v>1.2</v>
      </c>
      <c r="T3373">
        <v>3</v>
      </c>
      <c r="U3373">
        <f t="shared" si="115"/>
        <v>0.57209088006881903</v>
      </c>
    </row>
    <row r="3374" spans="1:22" x14ac:dyDescent="0.2">
      <c r="A3374" t="str">
        <f>VLOOKUP(J3374,'dataset mapping'!$A$4:$E$69,2,0)</f>
        <v>heat and power co-generation unit construction, 160kW electrical, components for heat only</v>
      </c>
      <c r="B3374" s="52">
        <f>(1/(B3361*B3365*B3364*3.6))*B3366</f>
        <v>1.270649883812899E-9</v>
      </c>
      <c r="C3374" t="str">
        <f>VLOOKUP(J3374,'dataset mapping'!$A$4:$E$69,5,0)</f>
        <v>unit</v>
      </c>
      <c r="E3374" t="str">
        <f>VLOOKUP(J3374,'dataset mapping'!$A$4:$E$69,4,0)</f>
        <v>RER</v>
      </c>
      <c r="F3374" t="s">
        <v>86</v>
      </c>
      <c r="G3374" t="str">
        <f>VLOOKUP(J3374,'dataset mapping'!$A$4:$E$69,3,0)</f>
        <v>heat and power co-generation unit, 160kW electrical, components for heat only</v>
      </c>
      <c r="H3374" t="s">
        <v>88</v>
      </c>
      <c r="J3374" t="s">
        <v>147</v>
      </c>
      <c r="K3374" t="str">
        <f>B3332</f>
        <v>heat, residential, by combustion of hydrogen using CHP, allocated by exergy, transported by pipeline, produced by Electrolysis, SOEC using water and electricity from Solar PV (CH)</v>
      </c>
      <c r="L3374">
        <f>IF(OR(B3374&lt;0,B3374=0),1,2)</f>
        <v>2</v>
      </c>
      <c r="M3374">
        <f>IF(L3374=2,LN(B3374),"")</f>
        <v>-20.48373734782199</v>
      </c>
      <c r="N3374">
        <v>1.05</v>
      </c>
      <c r="O3374" s="15">
        <v>1.2</v>
      </c>
      <c r="P3374">
        <v>1</v>
      </c>
      <c r="Q3374">
        <v>1.01</v>
      </c>
      <c r="R3374">
        <v>1.2</v>
      </c>
      <c r="S3374">
        <v>1.2</v>
      </c>
      <c r="T3374">
        <v>3</v>
      </c>
      <c r="U3374">
        <f t="shared" si="115"/>
        <v>0.57209088006881903</v>
      </c>
    </row>
    <row r="3375" spans="1:22" x14ac:dyDescent="0.2">
      <c r="A3375" t="s">
        <v>156</v>
      </c>
      <c r="B3375" s="52">
        <f>0.00000011366*B3366</f>
        <v>1.461672399554354E-8</v>
      </c>
      <c r="C3375" t="s">
        <v>56</v>
      </c>
      <c r="E3375" t="s">
        <v>90</v>
      </c>
      <c r="F3375" t="s">
        <v>86</v>
      </c>
      <c r="G3375" t="s">
        <v>154</v>
      </c>
      <c r="H3375" t="s">
        <v>155</v>
      </c>
      <c r="K3375" t="str">
        <f>B3332</f>
        <v>heat, residential, by combustion of hydrogen using CHP, allocated by exergy, transported by pipeline, produced by Electrolysis, SOEC using water and electricity from Solar PV (CH)</v>
      </c>
      <c r="L3375">
        <f>IF(OR(B3375&lt;0,B3375=0),1,2)</f>
        <v>2</v>
      </c>
      <c r="M3375">
        <f>IF(L3375=2,LN(B3375),"")</f>
        <v>-18.041099484645969</v>
      </c>
      <c r="N3375">
        <v>1.05</v>
      </c>
      <c r="O3375" s="15">
        <v>1.2</v>
      </c>
      <c r="P3375">
        <v>1</v>
      </c>
      <c r="Q3375">
        <v>1.01</v>
      </c>
      <c r="R3375">
        <v>1.2</v>
      </c>
      <c r="S3375">
        <v>1.2</v>
      </c>
      <c r="T3375">
        <v>1.05</v>
      </c>
      <c r="U3375">
        <f t="shared" si="115"/>
        <v>0.16169679924070957</v>
      </c>
    </row>
    <row r="3376" spans="1:22" x14ac:dyDescent="0.2">
      <c r="A3376" t="s">
        <v>157</v>
      </c>
      <c r="B3376" s="52">
        <f>0.00000011366*B3366*-1</f>
        <v>-1.461672399554354E-8</v>
      </c>
      <c r="C3376" t="s">
        <v>56</v>
      </c>
      <c r="E3376" t="s">
        <v>64</v>
      </c>
      <c r="F3376" t="s">
        <v>86</v>
      </c>
      <c r="G3376" t="s">
        <v>158</v>
      </c>
      <c r="H3376" t="s">
        <v>155</v>
      </c>
      <c r="K3376" t="str">
        <f>B3332</f>
        <v>heat, residential, by combustion of hydrogen using CHP, allocated by exergy, transported by pipeline, produced by Electrolysis, SOEC using water and electricity from Solar PV (CH)</v>
      </c>
      <c r="L3376">
        <v>2</v>
      </c>
      <c r="M3376">
        <f>IF(L3376=2,LN(B3376*-1),"")</f>
        <v>-18.041099484645969</v>
      </c>
      <c r="N3376">
        <v>1.05</v>
      </c>
      <c r="O3376" s="15">
        <v>1.2</v>
      </c>
      <c r="P3376">
        <v>1</v>
      </c>
      <c r="Q3376">
        <v>1.01</v>
      </c>
      <c r="R3376">
        <v>1.2</v>
      </c>
      <c r="S3376">
        <v>1.2</v>
      </c>
      <c r="T3376">
        <v>3</v>
      </c>
      <c r="U3376">
        <f t="shared" si="115"/>
        <v>0.57209088006881903</v>
      </c>
      <c r="V3376" t="b">
        <v>1</v>
      </c>
    </row>
    <row r="3377" spans="1:21" x14ac:dyDescent="0.2">
      <c r="A3377" s="45" t="str">
        <f>"hydrogen supply, transported by "&amp;B3346&amp;", produced by "&amp;B3350&amp;" using "&amp;B3351&amp;" from "&amp;B3352</f>
        <v>hydrogen supply, transported by pipeline, produced by Electrolysis, SOEC using water and electricity from Solar PV (CH)</v>
      </c>
      <c r="B3377" s="53">
        <f>(B3371/B3355)/B3354*B3366</f>
        <v>2.56995248347223E-3</v>
      </c>
      <c r="C3377" t="s">
        <v>56</v>
      </c>
      <c r="E3377" t="s">
        <v>64</v>
      </c>
      <c r="F3377" t="s">
        <v>86</v>
      </c>
      <c r="G3377" t="str">
        <f>"hydrogen, gaseous, from "&amp;B3346</f>
        <v>hydrogen, gaseous, from pipeline</v>
      </c>
      <c r="H3377" t="s">
        <v>76</v>
      </c>
      <c r="I3377" t="s">
        <v>1054</v>
      </c>
      <c r="J3377" t="s">
        <v>293</v>
      </c>
      <c r="K3377" t="str">
        <f>B3332</f>
        <v>heat, residential, by combustion of hydrogen using CHP, allocated by exergy, transported by pipeline, produced by Electrolysis, SOEC using water and electricity from Solar PV (CH)</v>
      </c>
      <c r="L3377">
        <f>IF(OR(B3377&lt;0,B3377=0),1,2)</f>
        <v>2</v>
      </c>
      <c r="M3377">
        <f>IF(L3377=2,LN(B3377),"")</f>
        <v>-5.9638678691672418</v>
      </c>
      <c r="N3377">
        <v>1.05</v>
      </c>
      <c r="O3377" s="15">
        <v>1.2</v>
      </c>
      <c r="P3377">
        <v>1</v>
      </c>
      <c r="Q3377">
        <v>1.01</v>
      </c>
      <c r="R3377">
        <v>1.2</v>
      </c>
      <c r="S3377">
        <v>1.2</v>
      </c>
      <c r="T3377">
        <v>1.05</v>
      </c>
      <c r="U3377">
        <f t="shared" si="115"/>
        <v>0.16169679924070957</v>
      </c>
    </row>
    <row r="3378" spans="1:21" x14ac:dyDescent="0.2">
      <c r="A3378" t="s">
        <v>134</v>
      </c>
      <c r="B3378" s="45">
        <f>B3377*9</f>
        <v>2.3129572351250072E-2</v>
      </c>
      <c r="C3378" t="s">
        <v>56</v>
      </c>
      <c r="D3378" t="s">
        <v>100</v>
      </c>
      <c r="F3378" t="s">
        <v>99</v>
      </c>
      <c r="H3378" t="s">
        <v>131</v>
      </c>
      <c r="I3378" t="s">
        <v>1058</v>
      </c>
      <c r="K3378" t="str">
        <f>B3332</f>
        <v>heat, residential, by combustion of hydrogen using CHP, allocated by exergy, transported by pipeline, produced by Electrolysis, SOEC using water and electricity from Solar PV (CH)</v>
      </c>
      <c r="L3378">
        <f>IF(OR(B3378&lt;0,B3378=0),1,2)</f>
        <v>2</v>
      </c>
      <c r="M3378">
        <f>IF(L3378=2,LN(B3378),"")</f>
        <v>-3.7666432918310226</v>
      </c>
      <c r="N3378">
        <v>1.05</v>
      </c>
      <c r="O3378" s="15">
        <v>1.2</v>
      </c>
      <c r="P3378">
        <v>1</v>
      </c>
      <c r="Q3378">
        <v>1.01</v>
      </c>
      <c r="R3378">
        <v>1.2</v>
      </c>
      <c r="S3378">
        <v>1.2</v>
      </c>
      <c r="T3378">
        <v>1.05</v>
      </c>
      <c r="U3378">
        <f t="shared" si="115"/>
        <v>0.16169679924070957</v>
      </c>
    </row>
    <row r="3379" spans="1:21" x14ac:dyDescent="0.2">
      <c r="A3379" t="s">
        <v>135</v>
      </c>
      <c r="B3379" s="45">
        <f>912.5/1000000*B3377</f>
        <v>2.3450816411684101E-6</v>
      </c>
      <c r="C3379" t="s">
        <v>56</v>
      </c>
      <c r="D3379" t="s">
        <v>100</v>
      </c>
      <c r="F3379" t="s">
        <v>99</v>
      </c>
      <c r="H3379" t="s">
        <v>131</v>
      </c>
      <c r="I3379" t="s">
        <v>1217</v>
      </c>
      <c r="K3379" t="str">
        <f>B3332</f>
        <v>heat, residential, by combustion of hydrogen using CHP, allocated by exergy, transported by pipeline, produced by Electrolysis, SOEC using water and electricity from Solar PV (CH)</v>
      </c>
      <c r="L3379">
        <f>IF(OR(B3379&lt;0,B3379=0),1,2)</f>
        <v>2</v>
      </c>
      <c r="M3379">
        <f>IF(L3379=2,LN(B3379),"")</f>
        <v>-12.963190341674869</v>
      </c>
      <c r="N3379">
        <v>1.05</v>
      </c>
      <c r="O3379" s="15">
        <v>1.2</v>
      </c>
      <c r="P3379">
        <v>1</v>
      </c>
      <c r="Q3379">
        <v>1.01</v>
      </c>
      <c r="R3379">
        <v>1.2</v>
      </c>
      <c r="S3379">
        <v>1.2</v>
      </c>
      <c r="T3379">
        <v>1.5</v>
      </c>
      <c r="U3379">
        <f t="shared" si="115"/>
        <v>0.25816898211842121</v>
      </c>
    </row>
    <row r="3381" spans="1:21" x14ac:dyDescent="0.2">
      <c r="A3381" s="2" t="s">
        <v>50</v>
      </c>
      <c r="B3381" s="44" t="str">
        <f>IF(B3387="megajoule","heat","electricity")&amp;", residential, by "&amp;B3392&amp;" of "&amp;B3391&amp;" using "&amp;B3393&amp;IF(B3394&lt;&gt;0,", allocated by "&amp;B3394,"")&amp;", transported by "&amp;B3395&amp;", produced by "&amp;B3399&amp;" using "&amp;B3400&amp;" from "&amp;B3401</f>
        <v>heat, residential, by conversion of hydrogen using fuel cell, PEM, allocated by exergy, transported by pipeline, produced by Electrolysis, SOEC using water and electricity from Solar PV (CH)</v>
      </c>
    </row>
    <row r="3382" spans="1:21" x14ac:dyDescent="0.2">
      <c r="A3382" t="s">
        <v>51</v>
      </c>
      <c r="B3382" s="45" t="str">
        <f>"This dataset represents the supply of 1 "&amp;IF(B3387="megajoule","megajoule of heat","kilowatt hour of electricity")&amp;" in a residence, by "&amp;B3391&amp;" "&amp;B3392&amp;" in a "&amp;B3393&amp;". "&amp;" The hydrogen is transported by "&amp;B3395&amp;" over "&amp;B3396&amp;" km from regional storage. "&amp;" The "&amp;B3391&amp;" is produced by  "&amp;B3399&amp;", with "&amp;B3400&amp;" from "&amp;B3401&amp;" as feedstock. "&amp;A3403&amp;": "&amp;(B3403*100)&amp;"%. "&amp;A3404&amp;": "&amp;B3404&amp;". "&amp;A3405&amp;": "&amp;B3405&amp;". "&amp;A3406&amp;": "&amp;(B3406*100)&amp;"%. "&amp;A3407&amp;": "&amp;(B3407*100)&amp;"%. "&amp;A3408&amp;": "&amp;(B3408*100)&amp;"%. "&amp;A3409&amp;": "&amp;B3409&amp;". "&amp;A3410&amp;": "&amp;B3410&amp;". "&amp;A3411&amp;": "&amp;(B3411*100)&amp;"%. "&amp;A3412&amp;": "&amp;B3412&amp;". "&amp;A3413&amp;": "&amp;B3413&amp;". "&amp;A3414&amp;": "&amp;B3414&amp;". "&amp;A3415&amp;": "&amp;B3415&amp;".  For more information, refer to: "&amp;B3383</f>
        <v>This dataset represents the supply of 1 megajoule of heat in a residence, by hydrogen conversion in a fuel cell, PEM.  The hydrogen is transported by pipeline over 500 km from regional storage.  The hydrogen is produced by  Electrolysis, SOEC,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3383" spans="1:21" x14ac:dyDescent="0.2">
      <c r="A3383" t="s">
        <v>63</v>
      </c>
      <c r="B3383" s="45" t="s">
        <v>1223</v>
      </c>
    </row>
    <row r="3384" spans="1:21" x14ac:dyDescent="0.2">
      <c r="A3384" t="s">
        <v>52</v>
      </c>
      <c r="B3384" s="45" t="s">
        <v>64</v>
      </c>
    </row>
    <row r="3385" spans="1:21" x14ac:dyDescent="0.2">
      <c r="A3385" t="s">
        <v>48</v>
      </c>
      <c r="B3385" s="45">
        <v>43</v>
      </c>
    </row>
    <row r="3386" spans="1:21" x14ac:dyDescent="0.2">
      <c r="A3386" t="s">
        <v>54</v>
      </c>
      <c r="B3386" s="45" t="str">
        <f>INDEX(overview!$B$4:$R$338,MATCH('hydrogen - electrolysis'!B3385,overview!$A$4:$A$338,0),MATCH('hydrogen - electrolysis'!A3386,overview!$B$3:$R$3,0))</f>
        <v>heat, from residential heating system</v>
      </c>
    </row>
    <row r="3387" spans="1:21" x14ac:dyDescent="0.2">
      <c r="A3387" t="s">
        <v>55</v>
      </c>
      <c r="B3387" s="45" t="str">
        <f>INDEX(overview!$B$4:$R$338,MATCH('hydrogen - electrolysis'!B3385,overview!$A$4:$A$338,0),MATCH('hydrogen - electrolysis'!A3387,overview!$B$3:$R$3,0))</f>
        <v>megajoule</v>
      </c>
    </row>
    <row r="3388" spans="1:21" x14ac:dyDescent="0.2">
      <c r="A3388" t="s">
        <v>0</v>
      </c>
      <c r="B3388" s="45" t="str">
        <f>INDEX(overview!$B$4:$R$338,MATCH('hydrogen - electrolysis'!B3385,overview!$A$4:$A$338,0),MATCH('hydrogen - electrolysis'!A3388,overview!$B$3:$R$3,0))</f>
        <v>Switzerland</v>
      </c>
    </row>
    <row r="3389" spans="1:21" x14ac:dyDescent="0.2">
      <c r="A3389" t="s">
        <v>1</v>
      </c>
      <c r="B3389" s="45">
        <f>INDEX(overview!$B$4:$R$338,MATCH('hydrogen - electrolysis'!B3385,overview!$A$4:$A$338,0),MATCH('hydrogen - electrolysis'!A3389,overview!$B$3:$R$3,0))</f>
        <v>2020</v>
      </c>
    </row>
    <row r="3390" spans="1:21" x14ac:dyDescent="0.2">
      <c r="A3390" t="s">
        <v>2</v>
      </c>
      <c r="B3390" s="45" t="str">
        <f>INDEX(overview!$B$4:$R$338,MATCH('hydrogen - electrolysis'!B3385,overview!$A$4:$A$338,0),MATCH('hydrogen - electrolysis'!A3390,overview!$B$3:$R$3,0))</f>
        <v>1 MJ heat</v>
      </c>
    </row>
    <row r="3391" spans="1:21" x14ac:dyDescent="0.2">
      <c r="A3391" t="s">
        <v>5</v>
      </c>
      <c r="B3391" s="45" t="str">
        <f>INDEX(overview!$B$4:$R$338,MATCH('hydrogen - electrolysis'!B3385,overview!$A$4:$A$338,0),MATCH('hydrogen - electrolysis'!A3391,overview!$B$3:$R$3,0))</f>
        <v>hydrogen</v>
      </c>
    </row>
    <row r="3392" spans="1:21" x14ac:dyDescent="0.2">
      <c r="A3392" t="s">
        <v>3</v>
      </c>
      <c r="B3392" s="45" t="str">
        <f>INDEX(overview!$B$4:$R$338,MATCH('hydrogen - electrolysis'!B3385,overview!$A$4:$A$338,0),MATCH('hydrogen - electrolysis'!A3392,overview!$B$3:$R$3,0))</f>
        <v>conversion</v>
      </c>
    </row>
    <row r="3393" spans="1:2" x14ac:dyDescent="0.2">
      <c r="A3393" t="s">
        <v>6</v>
      </c>
      <c r="B3393" s="45" t="str">
        <f>INDEX(overview!$B$4:$R$338,MATCH('hydrogen - electrolysis'!B3385,overview!$A$4:$A$338,0),MATCH('hydrogen - electrolysis'!A3393,overview!$B$3:$R$3,0))</f>
        <v>fuel cell, PEM</v>
      </c>
    </row>
    <row r="3394" spans="1:2" x14ac:dyDescent="0.2">
      <c r="A3394" t="s">
        <v>39</v>
      </c>
      <c r="B3394" s="45" t="str">
        <f>INDEX(overview!$B$4:$R$338,MATCH('hydrogen - electrolysis'!B3385,overview!$A$4:$A$338,0),MATCH('hydrogen - electrolysis'!A3394,overview!$B$3:$R$3,0))</f>
        <v>exergy</v>
      </c>
    </row>
    <row r="3395" spans="1:2" x14ac:dyDescent="0.2">
      <c r="A3395" t="s">
        <v>4</v>
      </c>
      <c r="B3395" s="45" t="str">
        <f>INDEX(overview!$B$4:$R$338,MATCH('hydrogen - electrolysis'!B3385,overview!$A$4:$A$338,0),MATCH('hydrogen - electrolysis'!A3395,overview!$B$3:$R$3,0))</f>
        <v>pipeline</v>
      </c>
    </row>
    <row r="3396" spans="1:2" x14ac:dyDescent="0.2">
      <c r="A3396" t="s">
        <v>38</v>
      </c>
      <c r="B3396" s="45">
        <f>INDEX(overview!$B$4:$R$338,MATCH('hydrogen - electrolysis'!B3385,overview!$A$4:$A$338,0),MATCH('hydrogen - electrolysis'!A3396,overview!$B$3:$R$3,0))</f>
        <v>500</v>
      </c>
    </row>
    <row r="3397" spans="1:2" x14ac:dyDescent="0.2">
      <c r="A3397" t="s">
        <v>12</v>
      </c>
      <c r="B3397" s="45" t="str">
        <f>INDEX(overview!$B$4:$R$338,MATCH('hydrogen - electrolysis'!B3385,overview!$A$4:$A$338,0),MATCH('hydrogen - electrolysis'!A3397,overview!$B$3:$R$3,0))</f>
        <v>Pressure vessel for stationary storage</v>
      </c>
    </row>
    <row r="3398" spans="1:2" x14ac:dyDescent="0.2">
      <c r="A3398" t="s">
        <v>34</v>
      </c>
      <c r="B3398" s="45">
        <f>INDEX(overview!$B$4:$R$338,MATCH('hydrogen - electrolysis'!B3385,overview!$A$4:$A$338,0),MATCH('hydrogen - electrolysis'!A3398,overview!$B$3:$R$3,0))</f>
        <v>0</v>
      </c>
    </row>
    <row r="3399" spans="1:2" x14ac:dyDescent="0.2">
      <c r="A3399" t="s">
        <v>15</v>
      </c>
      <c r="B3399" s="45" t="str">
        <f>INDEX(overview!$B$4:$R$338,MATCH('hydrogen - electrolysis'!B3385,overview!$A$4:$A$338,0),MATCH('hydrogen - electrolysis'!A3399,overview!$B$3:$R$3,0))</f>
        <v>Electrolysis, SOEC</v>
      </c>
    </row>
    <row r="3400" spans="1:2" x14ac:dyDescent="0.2">
      <c r="A3400" t="s">
        <v>14</v>
      </c>
      <c r="B3400" s="45" t="str">
        <f>INDEX(overview!$B$4:$R$338,MATCH('hydrogen - electrolysis'!B3385,overview!$A$4:$A$338,0),MATCH('hydrogen - electrolysis'!A3400,overview!$B$3:$R$3,0))</f>
        <v>water and electricity</v>
      </c>
    </row>
    <row r="3401" spans="1:2" x14ac:dyDescent="0.2">
      <c r="A3401" t="s">
        <v>26</v>
      </c>
      <c r="B3401" s="45" t="str">
        <f>INDEX(overview!$B$4:$R$338,MATCH('hydrogen - electrolysis'!B3385,overview!$A$4:$A$338,0),MATCH('hydrogen - electrolysis'!A3401,overview!$B$3:$R$3,0))</f>
        <v>Solar PV (CH)</v>
      </c>
    </row>
    <row r="3402" spans="1:2" x14ac:dyDescent="0.2">
      <c r="A3402" t="s">
        <v>29</v>
      </c>
      <c r="B3402" s="45">
        <f>INDEX(overview!$B$4:$R$338,MATCH('hydrogen - electrolysis'!B3385,overview!$A$4:$A$338,0),MATCH('hydrogen - electrolysis'!A3402,overview!$B$3:$R$3,0))</f>
        <v>0</v>
      </c>
    </row>
    <row r="3403" spans="1:2" x14ac:dyDescent="0.2">
      <c r="A3403" t="str">
        <f>IF(B3387="megajoule","Heat","Electricity")&amp;" conversion efficiency [% LHV input]"</f>
        <v>Heat conversion efficiency [% LHV input]</v>
      </c>
      <c r="B3403" s="46">
        <f>INDEX(parameters!$D$4:$N$20,MATCH('hydrogen - electrolysis'!B3391&amp;'hydrogen - electrolysis'!B3393,parameters!$A$4:$A$20,0),MATCH('hydrogen - electrolysis'!A3403,parameters!$D$3:$N$3,0))</f>
        <v>0.5</v>
      </c>
    </row>
    <row r="3404" spans="1:2" x14ac:dyDescent="0.2">
      <c r="A3404" t="str">
        <f>IF(B3387="megajoule","LHV [MJ/kg]","LHV [kWh/kg]")</f>
        <v>LHV [MJ/kg]</v>
      </c>
      <c r="B3404" s="47">
        <f>INDEX(parameters!$D$4:$N$20,MATCH('hydrogen - electrolysis'!B3391&amp;'hydrogen - electrolysis'!B3393,parameters!$A$4:$A$20,0),MATCH('hydrogen - electrolysis'!A3404,parameters!$D$3:$N$3,0))</f>
        <v>120</v>
      </c>
    </row>
    <row r="3405" spans="1:2" x14ac:dyDescent="0.2">
      <c r="A3405" t="s">
        <v>41</v>
      </c>
      <c r="B3405" s="48">
        <f>INDEX(parameters!$D$4:$N$20,MATCH('hydrogen - electrolysis'!B3391&amp;'hydrogen - electrolysis'!B3393,parameters!$A$4:$A$20,0),MATCH('hydrogen - electrolysis'!A3405,parameters!$D$3:$N$3,0))</f>
        <v>2.6666666666666665E-2</v>
      </c>
    </row>
    <row r="3406" spans="1:2" x14ac:dyDescent="0.2">
      <c r="A3406" t="s">
        <v>45</v>
      </c>
      <c r="B3406" s="46">
        <f>INDEX(parameters!$D$4:$N$20,MATCH('hydrogen - electrolysis'!B3391&amp;'hydrogen - electrolysis'!B3393,parameters!$A$4:$A$20,0),MATCH('hydrogen - electrolysis'!A3406,parameters!$D$3:$N$3,0))</f>
        <v>0</v>
      </c>
    </row>
    <row r="3407" spans="1:2" x14ac:dyDescent="0.2">
      <c r="A3407" t="s">
        <v>46</v>
      </c>
      <c r="B3407" s="46">
        <f>INDEX(parameters!$D$4:$N$20,MATCH('hydrogen - electrolysis'!B3391&amp;'hydrogen - electrolysis'!B3393,parameters!$A$4:$A$20,0),MATCH('hydrogen - electrolysis'!A3407,parameters!$D$3:$N$3,0))</f>
        <v>1.4999999999999999E-2</v>
      </c>
    </row>
    <row r="3408" spans="1:2" x14ac:dyDescent="0.2">
      <c r="A3408" t="s">
        <v>43</v>
      </c>
      <c r="B3408" s="46">
        <f>INDEX(parameters!$D$4:$N$20,MATCH('hydrogen - electrolysis'!B3391&amp;'hydrogen - electrolysis'!B3393,parameters!$A$4:$A$20,0),MATCH('hydrogen - electrolysis'!A3408,parameters!$D$3:$N$3,0))</f>
        <v>0</v>
      </c>
    </row>
    <row r="3409" spans="1:22" x14ac:dyDescent="0.2">
      <c r="A3409" t="s">
        <v>44</v>
      </c>
      <c r="B3409" s="46">
        <f>INDEX(parameters!$D$4:$N$20,MATCH('hydrogen - electrolysis'!B3391&amp;'hydrogen - electrolysis'!B3393,parameters!$A$4:$A$20,0),MATCH('hydrogen - electrolysis'!A3409,parameters!$D$3:$N$3,0))</f>
        <v>0</v>
      </c>
    </row>
    <row r="3410" spans="1:22" x14ac:dyDescent="0.2">
      <c r="A3410" t="s">
        <v>634</v>
      </c>
      <c r="B3410" s="51">
        <f>INDEX(parameters!$D$4:$Y$20,MATCH('hydrogen - electrolysis'!B3391&amp;'hydrogen - electrolysis'!B3393,parameters!$A$4:$A$20,0),MATCH('hydrogen - electrolysis'!A3410,parameters!$D$3:$Y$3,0))</f>
        <v>1.8947368421052633</v>
      </c>
    </row>
    <row r="3411" spans="1:22" x14ac:dyDescent="0.2">
      <c r="A3411" t="s">
        <v>82</v>
      </c>
      <c r="B3411" s="46">
        <f>IF(B3402&lt;&gt;0,VLOOKUP(B3402,parameters!A2205:B2207,2,0),0)</f>
        <v>0</v>
      </c>
    </row>
    <row r="3412" spans="1:22" x14ac:dyDescent="0.2">
      <c r="A3412" t="s">
        <v>548</v>
      </c>
      <c r="B3412" s="50">
        <f>INDEX(parameters!$D$4:$P$20,MATCH(B3391&amp;B3393,parameters!$A$4:$A$20,0),MATCH(A3412,parameters!$D$3:$P$3,0))</f>
        <v>0.8</v>
      </c>
    </row>
    <row r="3413" spans="1:22" x14ac:dyDescent="0.2">
      <c r="A3413" t="s">
        <v>547</v>
      </c>
      <c r="B3413" s="51">
        <f>INDEX(parameters!$D$4:$P$20,MATCH(B3391&amp;B3393,parameters!$A$4:$A$20,0),MATCH(A3413,parameters!$D$3:$P$3,0))</f>
        <v>4.8780487804878048</v>
      </c>
    </row>
    <row r="3414" spans="1:22" x14ac:dyDescent="0.2">
      <c r="A3414" t="s">
        <v>630</v>
      </c>
      <c r="B3414" s="51">
        <f>INDEX(parameters!$D$4:$T$20,MATCH(B3391&amp;B3393,parameters!$A$4:$A$20,0),MATCH(A3414,parameters!$D$3:$T$3,0))</f>
        <v>4100</v>
      </c>
    </row>
    <row r="3415" spans="1:22" x14ac:dyDescent="0.2">
      <c r="A3415" t="s">
        <v>1005</v>
      </c>
      <c r="B3415" s="50">
        <f>IF(B3387="megajoule",SUMIFS(allocation!$I$4:$I$30,allocation!$B$4:$B$30,B3393,allocation!$C$4:$C$30,B3394),SUMIFS(allocation!$J$4:$J$30,allocation!$B$4:$B$30,B3393,allocation!$C$4:$C$30,B3394))</f>
        <v>0.13933980798974457</v>
      </c>
    </row>
    <row r="3416" spans="1:22" x14ac:dyDescent="0.2">
      <c r="A3416" t="s">
        <v>1050</v>
      </c>
      <c r="B3416" s="51">
        <f>INDEX(parameters!$D$4:$AB$20,MATCH(B3391&amp;B3393,parameters!$A$4:$A$20,0),MATCH(A3416,parameters!$D$3:$AB$3,0))</f>
        <v>10.221606648199446</v>
      </c>
    </row>
    <row r="3418" spans="1:22" x14ac:dyDescent="0.2">
      <c r="A3418" s="3" t="s">
        <v>57</v>
      </c>
    </row>
    <row r="3419" spans="1:22" x14ac:dyDescent="0.2">
      <c r="A3419" s="2" t="s">
        <v>58</v>
      </c>
      <c r="B3419" s="44" t="s">
        <v>59</v>
      </c>
      <c r="C3419" s="2" t="s">
        <v>55</v>
      </c>
      <c r="D3419" s="2" t="s">
        <v>60</v>
      </c>
      <c r="E3419" s="2" t="s">
        <v>52</v>
      </c>
      <c r="F3419" s="2" t="s">
        <v>61</v>
      </c>
      <c r="G3419" s="2" t="s">
        <v>54</v>
      </c>
      <c r="H3419" s="2" t="s">
        <v>87</v>
      </c>
      <c r="I3419" s="2" t="s">
        <v>51</v>
      </c>
      <c r="J3419" s="2" t="s">
        <v>138</v>
      </c>
      <c r="K3419" s="2" t="s">
        <v>136</v>
      </c>
      <c r="L3419" s="2" t="s">
        <v>221</v>
      </c>
      <c r="M3419" s="2" t="s">
        <v>379</v>
      </c>
      <c r="N3419" s="2" t="s">
        <v>1059</v>
      </c>
      <c r="O3419" s="2" t="s">
        <v>1060</v>
      </c>
      <c r="P3419" s="2" t="s">
        <v>1061</v>
      </c>
      <c r="Q3419" s="2" t="s">
        <v>1062</v>
      </c>
      <c r="R3419" s="2" t="s">
        <v>1063</v>
      </c>
      <c r="S3419" s="2" t="s">
        <v>1064</v>
      </c>
      <c r="T3419" s="2" t="s">
        <v>1065</v>
      </c>
      <c r="U3419" s="2" t="s">
        <v>380</v>
      </c>
      <c r="V3419" s="2" t="s">
        <v>1128</v>
      </c>
    </row>
    <row r="3420" spans="1:22" x14ac:dyDescent="0.2">
      <c r="A3420" t="str">
        <f>B3381</f>
        <v>heat, residential, by conversion of hydrogen using fuel cell, PEM, allocated by exergy, transported by pipeline, produced by Electrolysis, SOEC using water and electricity from Solar PV (CH)</v>
      </c>
      <c r="B3420" s="45">
        <v>1</v>
      </c>
      <c r="C3420" t="str">
        <f>B3387</f>
        <v>megajoule</v>
      </c>
      <c r="E3420" t="str">
        <f>B3384</f>
        <v>CH</v>
      </c>
      <c r="F3420" t="s">
        <v>62</v>
      </c>
      <c r="G3420" t="str">
        <f>B3386</f>
        <v>heat, from residential heating system</v>
      </c>
      <c r="K3420" t="str">
        <f>B3381</f>
        <v>heat, residential, by conversion of hydrogen using fuel cell, PEM, allocated by exergy, transported by pipeline, produced by Electrolysis, SOEC using water and electricity from Solar PV (CH)</v>
      </c>
    </row>
    <row r="3421" spans="1:22" x14ac:dyDescent="0.2">
      <c r="A3421" t="str">
        <f>VLOOKUP(J3421,'dataset mapping'!$A$4:$E$69,2,0)</f>
        <v>fuel cell system assembly, 1 kWe, proton exchange membrane (PEM)</v>
      </c>
      <c r="B3421" s="52">
        <f>(1/(B3410*B3414*B3413*3.6))*B3415</f>
        <v>1.0213951974556892E-6</v>
      </c>
      <c r="C3421" t="str">
        <f>VLOOKUP(J3421,'dataset mapping'!$A$4:$E$69,5,0)</f>
        <v>unit</v>
      </c>
      <c r="E3421" t="str">
        <f>VLOOKUP(J3421,'dataset mapping'!$A$4:$E$69,4,0)</f>
        <v>GLO</v>
      </c>
      <c r="F3421" t="s">
        <v>86</v>
      </c>
      <c r="G3421" t="str">
        <f>VLOOKUP(J3421,'dataset mapping'!$A$4:$E$69,3,0)</f>
        <v>fuel cell system, 1 kWe, proton exchange membrane (PEM)</v>
      </c>
      <c r="H3421" t="s">
        <v>88</v>
      </c>
      <c r="I3421" t="s">
        <v>272</v>
      </c>
      <c r="J3421" t="s">
        <v>273</v>
      </c>
      <c r="K3421" t="str">
        <f>B3381</f>
        <v>heat, residential, by conversion of hydrogen using fuel cell, PEM, allocated by exergy, transported by pipeline, produced by Electrolysis, SOEC using water and electricity from Solar PV (CH)</v>
      </c>
      <c r="L3421">
        <f>IF(OR(B3421&lt;0,B3421=0),1,2)</f>
        <v>2</v>
      </c>
      <c r="M3421">
        <f>IF(L3421=2,LN(B3421),"")</f>
        <v>-13.794341024667077</v>
      </c>
      <c r="N3421">
        <v>1</v>
      </c>
      <c r="O3421" s="15">
        <v>1.2</v>
      </c>
      <c r="P3421">
        <v>1</v>
      </c>
      <c r="Q3421">
        <v>1.01</v>
      </c>
      <c r="R3421">
        <v>1.2</v>
      </c>
      <c r="S3421">
        <v>1.2</v>
      </c>
      <c r="T3421">
        <v>3</v>
      </c>
      <c r="U3421">
        <f>LN(SQRT(EXP(
SQRT(
+POWER(LN(N3421),2)
+POWER(LN(O3421),2)
+POWER(LN(P3421),2)
+POWER(LN(Q3421),2)
+POWER(LN(R3421),2)
+POWER(LN(S3421),2)
+POWER(LN(T3421),2)
)
)))</f>
        <v>0.57157051623399524</v>
      </c>
    </row>
    <row r="3422" spans="1:22" x14ac:dyDescent="0.2">
      <c r="A3422" s="45" t="str">
        <f>"hydrogen supply, transported by "&amp;B3395&amp;", produced by "&amp;B3399&amp;" using "&amp;B3400&amp;" from "&amp;B3401</f>
        <v>hydrogen supply, transported by pipeline, produced by Electrolysis, SOEC using water and electricity from Solar PV (CH)</v>
      </c>
      <c r="B3422" s="53">
        <f>(B3420/B3404)/B3403*B3415</f>
        <v>2.3223301331624095E-3</v>
      </c>
      <c r="C3422" t="s">
        <v>56</v>
      </c>
      <c r="E3422" t="s">
        <v>64</v>
      </c>
      <c r="F3422" t="s">
        <v>86</v>
      </c>
      <c r="G3422" t="str">
        <f>"hydrogen, gaseous, from "&amp;B3395</f>
        <v>hydrogen, gaseous, from pipeline</v>
      </c>
      <c r="H3422" t="s">
        <v>76</v>
      </c>
      <c r="I3422" t="s">
        <v>1054</v>
      </c>
      <c r="J3422" t="s">
        <v>293</v>
      </c>
      <c r="K3422" t="str">
        <f>B3381</f>
        <v>heat, residential, by conversion of hydrogen using fuel cell, PEM, allocated by exergy, transported by pipeline, produced by Electrolysis, SOEC using water and electricity from Solar PV (CH)</v>
      </c>
      <c r="L3422">
        <f>IF(OR(B3422&lt;0,B3422=0),1,2)</f>
        <v>2</v>
      </c>
      <c r="M3422">
        <f>IF(L3422=2,LN(B3422),"")</f>
        <v>-6.0651842296013152</v>
      </c>
      <c r="N3422">
        <v>1</v>
      </c>
      <c r="O3422" s="15">
        <v>1.2</v>
      </c>
      <c r="P3422">
        <v>1</v>
      </c>
      <c r="Q3422">
        <v>1.01</v>
      </c>
      <c r="R3422">
        <v>1.2</v>
      </c>
      <c r="S3422">
        <v>1.2</v>
      </c>
      <c r="T3422">
        <v>1.05</v>
      </c>
      <c r="U3422">
        <f>LN(SQRT(EXP(
SQRT(
+POWER(LN(N3422),2)
+POWER(LN(O3422),2)
+POWER(LN(P3422),2)
+POWER(LN(Q3422),2)
+POWER(LN(R3422),2)
+POWER(LN(S3422),2)
+POWER(LN(T3422),2)
)
)))</f>
        <v>0.15984597228197622</v>
      </c>
    </row>
    <row r="3423" spans="1:22" x14ac:dyDescent="0.2">
      <c r="A3423" t="s">
        <v>134</v>
      </c>
      <c r="B3423" s="53">
        <f>B3422*9</f>
        <v>2.0900971198461685E-2</v>
      </c>
      <c r="C3423" t="s">
        <v>56</v>
      </c>
      <c r="D3423" t="s">
        <v>100</v>
      </c>
      <c r="F3423" t="s">
        <v>99</v>
      </c>
      <c r="H3423" t="s">
        <v>131</v>
      </c>
      <c r="I3423" t="s">
        <v>1057</v>
      </c>
      <c r="K3423" t="str">
        <f>B3381</f>
        <v>heat, residential, by conversion of hydrogen using fuel cell, PEM, allocated by exergy, transported by pipeline, produced by Electrolysis, SOEC using water and electricity from Solar PV (CH)</v>
      </c>
      <c r="L3423">
        <f>IF(OR(B3423&lt;0,B3423=0),1,2)</f>
        <v>2</v>
      </c>
      <c r="M3423">
        <f>IF(L3423=2,LN(B3423),"")</f>
        <v>-3.8679596522650961</v>
      </c>
      <c r="N3423">
        <v>1</v>
      </c>
      <c r="O3423" s="15">
        <v>1.2</v>
      </c>
      <c r="P3423">
        <v>1</v>
      </c>
      <c r="Q3423">
        <v>1.01</v>
      </c>
      <c r="R3423">
        <v>1.2</v>
      </c>
      <c r="S3423">
        <v>1.2</v>
      </c>
      <c r="T3423">
        <v>1.05</v>
      </c>
      <c r="U3423">
        <f>LN(SQRT(EXP(
SQRT(
+POWER(LN(N3423),2)
+POWER(LN(O3423),2)
+POWER(LN(P3423),2)
+POWER(LN(Q3423),2)
+POWER(LN(R3423),2)
+POWER(LN(S3423),2)
+POWER(LN(T3423),2)
)
)))</f>
        <v>0.15984597228197622</v>
      </c>
    </row>
    <row r="3425" spans="1:2" x14ac:dyDescent="0.2">
      <c r="A3425" s="2" t="s">
        <v>50</v>
      </c>
      <c r="B3425" s="44" t="str">
        <f>IF(B3431="megajoule","heat","electricity")&amp;", residential, by "&amp;B3436&amp;" of "&amp;B3435&amp;" using "&amp;B3437&amp;IF(B3438&lt;&gt;0,", allocated by "&amp;B3438,"")&amp;", transported by "&amp;B3439&amp;", produced by "&amp;B3443&amp;" using "&amp;B3444&amp;" from "&amp;B3445</f>
        <v>heat, residential, by conversion of hydrogen using fuel cell, SOFC, allocated by exergy, transported by pipeline, produced by Electrolysis, SOEC using water and electricity from Solar PV (CH)</v>
      </c>
    </row>
    <row r="3426" spans="1:2" x14ac:dyDescent="0.2">
      <c r="A3426" t="s">
        <v>51</v>
      </c>
      <c r="B3426" s="45" t="str">
        <f>"This dataset represents the supply of 1 "&amp;IF(B3431="megajoule","megajoule of heat","kilowatt hour of electricity")&amp;" in a residence, by "&amp;B3435&amp;" "&amp;B3436&amp;" in a "&amp;B3437&amp;". "&amp;" The hydrogen is transported by "&amp;B3439&amp;" over "&amp;B3440&amp;" km from regional storage. "&amp;" The "&amp;B3435&amp;" is produced by  "&amp;B3443&amp;", with "&amp;B3444&amp;" from "&amp;B3445&amp;" as feedstock. "&amp;A3447&amp;": "&amp;(B3447*100)&amp;"%. "&amp;A3448&amp;": "&amp;B3448&amp;". "&amp;A3449&amp;": "&amp;B3449&amp;". "&amp;A3450&amp;": "&amp;(B3450*100)&amp;"%. "&amp;A3451&amp;": "&amp;(B3451*100)&amp;"%. "&amp;A3452&amp;": "&amp;(B3452*100)&amp;"%. "&amp;A3453&amp;": "&amp;B3453&amp;". "&amp;A3454&amp;": "&amp;B3454&amp;". "&amp;A3455&amp;": "&amp;(B3455*100)&amp;"%. "&amp;A3456&amp;": "&amp;B3456&amp;". "&amp;A3457&amp;": "&amp;B3457&amp;". "&amp;A3458&amp;": "&amp;B3458&amp;". "&amp;A3459&amp;": "&amp;B3459&amp;".  For more information, refer to: "&amp;B3427</f>
        <v>This dataset represents the supply of 1 megajoule of heat in a residence, by hydrogen conversion in a fuel cell, SOFC.  The hydrogen is transported by pipeline over 500 km from regional storage.  The hydrogen is produced by  Electrolysis, SOEC,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3427" spans="1:2" x14ac:dyDescent="0.2">
      <c r="A3427" t="s">
        <v>63</v>
      </c>
      <c r="B3427" s="45" t="s">
        <v>1223</v>
      </c>
    </row>
    <row r="3428" spans="1:2" x14ac:dyDescent="0.2">
      <c r="A3428" t="s">
        <v>52</v>
      </c>
      <c r="B3428" s="45" t="s">
        <v>64</v>
      </c>
    </row>
    <row r="3429" spans="1:2" x14ac:dyDescent="0.2">
      <c r="A3429" t="s">
        <v>48</v>
      </c>
      <c r="B3429" s="45">
        <v>44</v>
      </c>
    </row>
    <row r="3430" spans="1:2" x14ac:dyDescent="0.2">
      <c r="A3430" t="s">
        <v>54</v>
      </c>
      <c r="B3430" s="45" t="str">
        <f>INDEX(overview!$B$4:$R$338,MATCH('hydrogen - electrolysis'!B3429,overview!$A$4:$A$338,0),MATCH('hydrogen - electrolysis'!A3430,overview!$B$3:$R$3,0))</f>
        <v>heat, from residential heating system</v>
      </c>
    </row>
    <row r="3431" spans="1:2" x14ac:dyDescent="0.2">
      <c r="A3431" t="s">
        <v>55</v>
      </c>
      <c r="B3431" s="45" t="str">
        <f>INDEX(overview!$B$4:$R$338,MATCH('hydrogen - electrolysis'!B3429,overview!$A$4:$A$338,0),MATCH('hydrogen - electrolysis'!A3431,overview!$B$3:$R$3,0))</f>
        <v>megajoule</v>
      </c>
    </row>
    <row r="3432" spans="1:2" x14ac:dyDescent="0.2">
      <c r="A3432" t="s">
        <v>0</v>
      </c>
      <c r="B3432" s="45" t="str">
        <f>INDEX(overview!$B$4:$R$338,MATCH('hydrogen - electrolysis'!B3429,overview!$A$4:$A$338,0),MATCH('hydrogen - electrolysis'!A3432,overview!$B$3:$R$3,0))</f>
        <v>Switzerland</v>
      </c>
    </row>
    <row r="3433" spans="1:2" x14ac:dyDescent="0.2">
      <c r="A3433" t="s">
        <v>1</v>
      </c>
      <c r="B3433" s="45">
        <f>INDEX(overview!$B$4:$R$338,MATCH('hydrogen - electrolysis'!B3429,overview!$A$4:$A$338,0),MATCH('hydrogen - electrolysis'!A3433,overview!$B$3:$R$3,0))</f>
        <v>2020</v>
      </c>
    </row>
    <row r="3434" spans="1:2" x14ac:dyDescent="0.2">
      <c r="A3434" t="s">
        <v>2</v>
      </c>
      <c r="B3434" s="45" t="str">
        <f>INDEX(overview!$B$4:$R$338,MATCH('hydrogen - electrolysis'!B3429,overview!$A$4:$A$338,0),MATCH('hydrogen - electrolysis'!A3434,overview!$B$3:$R$3,0))</f>
        <v>1 MJ heat</v>
      </c>
    </row>
    <row r="3435" spans="1:2" x14ac:dyDescent="0.2">
      <c r="A3435" t="s">
        <v>5</v>
      </c>
      <c r="B3435" s="45" t="str">
        <f>INDEX(overview!$B$4:$R$338,MATCH('hydrogen - electrolysis'!B3429,overview!$A$4:$A$338,0),MATCH('hydrogen - electrolysis'!A3435,overview!$B$3:$R$3,0))</f>
        <v>hydrogen</v>
      </c>
    </row>
    <row r="3436" spans="1:2" x14ac:dyDescent="0.2">
      <c r="A3436" t="s">
        <v>3</v>
      </c>
      <c r="B3436" s="45" t="str">
        <f>INDEX(overview!$B$4:$R$338,MATCH('hydrogen - electrolysis'!B3429,overview!$A$4:$A$338,0),MATCH('hydrogen - electrolysis'!A3436,overview!$B$3:$R$3,0))</f>
        <v>conversion</v>
      </c>
    </row>
    <row r="3437" spans="1:2" x14ac:dyDescent="0.2">
      <c r="A3437" t="s">
        <v>6</v>
      </c>
      <c r="B3437" s="45" t="str">
        <f>INDEX(overview!$B$4:$R$338,MATCH('hydrogen - electrolysis'!B3429,overview!$A$4:$A$338,0),MATCH('hydrogen - electrolysis'!A3437,overview!$B$3:$R$3,0))</f>
        <v>fuel cell, SOFC</v>
      </c>
    </row>
    <row r="3438" spans="1:2" x14ac:dyDescent="0.2">
      <c r="A3438" t="s">
        <v>39</v>
      </c>
      <c r="B3438" s="45" t="str">
        <f>INDEX(overview!$B$4:$R$338,MATCH('hydrogen - electrolysis'!B3429,overview!$A$4:$A$338,0),MATCH('hydrogen - electrolysis'!A3438,overview!$B$3:$R$3,0))</f>
        <v>exergy</v>
      </c>
    </row>
    <row r="3439" spans="1:2" x14ac:dyDescent="0.2">
      <c r="A3439" t="s">
        <v>4</v>
      </c>
      <c r="B3439" s="45" t="str">
        <f>INDEX(overview!$B$4:$R$338,MATCH('hydrogen - electrolysis'!B3429,overview!$A$4:$A$338,0),MATCH('hydrogen - electrolysis'!A3439,overview!$B$3:$R$3,0))</f>
        <v>pipeline</v>
      </c>
    </row>
    <row r="3440" spans="1:2" x14ac:dyDescent="0.2">
      <c r="A3440" t="s">
        <v>38</v>
      </c>
      <c r="B3440" s="45">
        <f>INDEX(overview!$B$4:$R$338,MATCH('hydrogen - electrolysis'!B3429,overview!$A$4:$A$338,0),MATCH('hydrogen - electrolysis'!A3440,overview!$B$3:$R$3,0))</f>
        <v>500</v>
      </c>
    </row>
    <row r="3441" spans="1:4" x14ac:dyDescent="0.2">
      <c r="A3441" t="s">
        <v>12</v>
      </c>
      <c r="B3441" s="45" t="str">
        <f>INDEX(overview!$B$4:$R$338,MATCH('hydrogen - electrolysis'!B3429,overview!$A$4:$A$338,0),MATCH('hydrogen - electrolysis'!A3441,overview!$B$3:$R$3,0))</f>
        <v>Pressure vessel for stationary storage</v>
      </c>
    </row>
    <row r="3442" spans="1:4" x14ac:dyDescent="0.2">
      <c r="A3442" t="s">
        <v>34</v>
      </c>
      <c r="B3442" s="45">
        <f>INDEX(overview!$B$4:$R$338,MATCH('hydrogen - electrolysis'!B3429,overview!$A$4:$A$338,0),MATCH('hydrogen - electrolysis'!A3442,overview!$B$3:$R$3,0))</f>
        <v>0</v>
      </c>
    </row>
    <row r="3443" spans="1:4" x14ac:dyDescent="0.2">
      <c r="A3443" t="s">
        <v>15</v>
      </c>
      <c r="B3443" s="45" t="str">
        <f>INDEX(overview!$B$4:$R$338,MATCH('hydrogen - electrolysis'!B3429,overview!$A$4:$A$338,0),MATCH('hydrogen - electrolysis'!A3443,overview!$B$3:$R$3,0))</f>
        <v>Electrolysis, SOEC</v>
      </c>
    </row>
    <row r="3444" spans="1:4" x14ac:dyDescent="0.2">
      <c r="A3444" t="s">
        <v>14</v>
      </c>
      <c r="B3444" s="45" t="str">
        <f>INDEX(overview!$B$4:$R$338,MATCH('hydrogen - electrolysis'!B3429,overview!$A$4:$A$338,0),MATCH('hydrogen - electrolysis'!A3444,overview!$B$3:$R$3,0))</f>
        <v>water and electricity</v>
      </c>
    </row>
    <row r="3445" spans="1:4" x14ac:dyDescent="0.2">
      <c r="A3445" t="s">
        <v>26</v>
      </c>
      <c r="B3445" s="45" t="str">
        <f>INDEX(overview!$B$4:$R$338,MATCH('hydrogen - electrolysis'!B3429,overview!$A$4:$A$338,0),MATCH('hydrogen - electrolysis'!A3445,overview!$B$3:$R$3,0))</f>
        <v>Solar PV (CH)</v>
      </c>
    </row>
    <row r="3446" spans="1:4" x14ac:dyDescent="0.2">
      <c r="A3446" t="s">
        <v>29</v>
      </c>
      <c r="B3446" s="45">
        <f>INDEX(overview!$B$4:$R$338,MATCH('hydrogen - electrolysis'!B3429,overview!$A$4:$A$338,0),MATCH('hydrogen - electrolysis'!A3446,overview!$B$3:$R$3,0))</f>
        <v>0</v>
      </c>
    </row>
    <row r="3447" spans="1:4" x14ac:dyDescent="0.2">
      <c r="A3447" t="str">
        <f>IF(B3431="megajoule","Heat","Electricity")&amp;" conversion efficiency [% LHV input]"</f>
        <v>Heat conversion efficiency [% LHV input]</v>
      </c>
      <c r="B3447" s="46">
        <f>INDEX(parameters!$D$4:$N$20,MATCH('hydrogen - electrolysis'!B3435&amp;'hydrogen - electrolysis'!B3437,parameters!$A$4:$A$20,0),MATCH('hydrogen - electrolysis'!A3447,parameters!$D$3:$N$3,0))</f>
        <v>0.53</v>
      </c>
    </row>
    <row r="3448" spans="1:4" x14ac:dyDescent="0.2">
      <c r="A3448" t="str">
        <f>IF(B3431="megajoule","LHV [MJ/kg]","LHV [kWh/kg]")</f>
        <v>LHV [MJ/kg]</v>
      </c>
      <c r="B3448" s="47">
        <f>INDEX(parameters!$D$4:$N$20,MATCH('hydrogen - electrolysis'!B3435&amp;'hydrogen - electrolysis'!B3437,parameters!$A$4:$A$20,0),MATCH('hydrogen - electrolysis'!A3448,parameters!$D$3:$N$3,0))</f>
        <v>120</v>
      </c>
    </row>
    <row r="3449" spans="1:4" x14ac:dyDescent="0.2">
      <c r="A3449" t="s">
        <v>41</v>
      </c>
      <c r="B3449" s="48">
        <f>INDEX(parameters!$D$4:$N$20,MATCH('hydrogen - electrolysis'!B3435&amp;'hydrogen - electrolysis'!B3437,parameters!$A$4:$A$20,0),MATCH('hydrogen - electrolysis'!A3449,parameters!$D$3:$N$3,0))</f>
        <v>2.6666666666666665E-2</v>
      </c>
    </row>
    <row r="3450" spans="1:4" x14ac:dyDescent="0.2">
      <c r="A3450" t="s">
        <v>45</v>
      </c>
      <c r="B3450" s="46">
        <f>INDEX(parameters!$D$4:$N$20,MATCH('hydrogen - electrolysis'!B3435&amp;'hydrogen - electrolysis'!B3437,parameters!$A$4:$A$20,0),MATCH('hydrogen - electrolysis'!A3450,parameters!$D$3:$N$3,0))</f>
        <v>0</v>
      </c>
    </row>
    <row r="3451" spans="1:4" x14ac:dyDescent="0.2">
      <c r="A3451" t="s">
        <v>46</v>
      </c>
      <c r="B3451" s="46">
        <f>INDEX(parameters!$D$4:$N$20,MATCH('hydrogen - electrolysis'!B3435&amp;'hydrogen - electrolysis'!B3437,parameters!$A$4:$A$20,0),MATCH('hydrogen - electrolysis'!A3451,parameters!$D$3:$N$3,0))</f>
        <v>1.4999999999999999E-2</v>
      </c>
    </row>
    <row r="3452" spans="1:4" x14ac:dyDescent="0.2">
      <c r="A3452" t="s">
        <v>43</v>
      </c>
      <c r="B3452" s="46">
        <f>INDEX(parameters!$D$4:$N$20,MATCH('hydrogen - electrolysis'!B3435&amp;'hydrogen - electrolysis'!B3437,parameters!$A$4:$A$20,0),MATCH('hydrogen - electrolysis'!A3452,parameters!$D$3:$N$3,0))</f>
        <v>0</v>
      </c>
    </row>
    <row r="3453" spans="1:4" x14ac:dyDescent="0.2">
      <c r="A3453" t="s">
        <v>44</v>
      </c>
      <c r="B3453" s="46">
        <f>INDEX(parameters!$D$4:$N$20,MATCH('hydrogen - electrolysis'!B3435&amp;'hydrogen - electrolysis'!B3437,parameters!$A$4:$A$20,0),MATCH('hydrogen - electrolysis'!A3453,parameters!$D$3:$N$3,0))</f>
        <v>0</v>
      </c>
    </row>
    <row r="3454" spans="1:4" x14ac:dyDescent="0.2">
      <c r="A3454" t="s">
        <v>634</v>
      </c>
      <c r="B3454" s="51">
        <f>INDEX(parameters!$D$4:$Y$20,MATCH('hydrogen - electrolysis'!B3435&amp;'hydrogen - electrolysis'!B3437,parameters!$A$4:$A$20,0),MATCH('hydrogen - electrolysis'!A3454,parameters!$D$3:$Y$3,0))</f>
        <v>225</v>
      </c>
      <c r="D3454" s="8"/>
    </row>
    <row r="3455" spans="1:4" x14ac:dyDescent="0.2">
      <c r="A3455" t="s">
        <v>82</v>
      </c>
      <c r="B3455" s="46">
        <f>IF(B3446&lt;&gt;0,VLOOKUP(B3446,parameters!A2254:B2256,2,0),0)</f>
        <v>0</v>
      </c>
    </row>
    <row r="3456" spans="1:4" x14ac:dyDescent="0.2">
      <c r="A3456" t="s">
        <v>548</v>
      </c>
      <c r="B3456" s="50">
        <f>INDEX(parameters!$D$4:$P$20,MATCH(B3435&amp;B3437,parameters!$A$4:$A$20,0),MATCH(A3456,parameters!$D$3:$P$3,0))</f>
        <v>100</v>
      </c>
    </row>
    <row r="3457" spans="1:22" x14ac:dyDescent="0.2">
      <c r="A3457" t="s">
        <v>547</v>
      </c>
      <c r="B3457" s="51">
        <f>INDEX(parameters!$D$4:$P$20,MATCH(B3435&amp;B3437,parameters!$A$4:$A$20,0),MATCH(A3457,parameters!$D$3:$P$3,0))</f>
        <v>6</v>
      </c>
    </row>
    <row r="3458" spans="1:22" x14ac:dyDescent="0.2">
      <c r="A3458" t="s">
        <v>630</v>
      </c>
      <c r="B3458" s="51">
        <f>INDEX(parameters!$D$4:$T$20,MATCH(B3435&amp;B3437,parameters!$A$4:$A$20,0),MATCH(A3458,parameters!$D$3:$T$3,0))</f>
        <v>4100</v>
      </c>
    </row>
    <row r="3459" spans="1:22" x14ac:dyDescent="0.2">
      <c r="A3459" t="s">
        <v>1005</v>
      </c>
      <c r="B3459" s="50">
        <f>IF(B3431="megajoule",SUMIFS(allocation!$I$4:$I$30,allocation!$B$4:$B$30,B3437,allocation!$C$4:$C$30,B3438),SUMIFS(allocation!$J$4:$J$30,allocation!$B$4:$B$30,B3437,allocation!$C$4:$C$30,B3438))</f>
        <v>0.13587506510399097</v>
      </c>
    </row>
    <row r="3460" spans="1:22" x14ac:dyDescent="0.2">
      <c r="A3460" t="s">
        <v>1050</v>
      </c>
      <c r="B3460" s="51">
        <f>INDEX(parameters!$D$4:$AB$20,MATCH(B3435&amp;B3437,parameters!$A$4:$A$20,0),MATCH(A3460,parameters!$D$3:$AB$3,0))</f>
        <v>1153.1249999999998</v>
      </c>
    </row>
    <row r="3462" spans="1:22" x14ac:dyDescent="0.2">
      <c r="A3462" s="3" t="s">
        <v>57</v>
      </c>
    </row>
    <row r="3463" spans="1:22" x14ac:dyDescent="0.2">
      <c r="A3463" s="2" t="s">
        <v>58</v>
      </c>
      <c r="B3463" s="44" t="s">
        <v>59</v>
      </c>
      <c r="C3463" s="2" t="s">
        <v>55</v>
      </c>
      <c r="D3463" s="2" t="s">
        <v>60</v>
      </c>
      <c r="E3463" s="2" t="s">
        <v>52</v>
      </c>
      <c r="F3463" s="2" t="s">
        <v>61</v>
      </c>
      <c r="G3463" s="2" t="s">
        <v>54</v>
      </c>
      <c r="H3463" s="2" t="s">
        <v>87</v>
      </c>
      <c r="I3463" s="2" t="s">
        <v>51</v>
      </c>
      <c r="J3463" s="2" t="s">
        <v>138</v>
      </c>
      <c r="K3463" s="2" t="s">
        <v>136</v>
      </c>
      <c r="L3463" s="2" t="s">
        <v>221</v>
      </c>
      <c r="M3463" s="2" t="s">
        <v>379</v>
      </c>
      <c r="N3463" s="2" t="s">
        <v>1059</v>
      </c>
      <c r="O3463" s="2" t="s">
        <v>1060</v>
      </c>
      <c r="P3463" s="2" t="s">
        <v>1061</v>
      </c>
      <c r="Q3463" s="2" t="s">
        <v>1062</v>
      </c>
      <c r="R3463" s="2" t="s">
        <v>1063</v>
      </c>
      <c r="S3463" s="2" t="s">
        <v>1064</v>
      </c>
      <c r="T3463" s="2" t="s">
        <v>1065</v>
      </c>
      <c r="U3463" s="2" t="s">
        <v>380</v>
      </c>
      <c r="V3463" s="2" t="s">
        <v>1128</v>
      </c>
    </row>
    <row r="3464" spans="1:22" x14ac:dyDescent="0.2">
      <c r="A3464" t="str">
        <f>B3425</f>
        <v>heat, residential, by conversion of hydrogen using fuel cell, SOFC, allocated by exergy, transported by pipeline, produced by Electrolysis, SOEC using water and electricity from Solar PV (CH)</v>
      </c>
      <c r="B3464" s="45">
        <v>1</v>
      </c>
      <c r="C3464" t="str">
        <f>B3431</f>
        <v>megajoule</v>
      </c>
      <c r="E3464" t="str">
        <f>B3428</f>
        <v>CH</v>
      </c>
      <c r="F3464" t="s">
        <v>62</v>
      </c>
      <c r="G3464" t="str">
        <f>B3430</f>
        <v>heat, from residential heating system</v>
      </c>
      <c r="K3464" t="str">
        <f>B3425</f>
        <v>heat, residential, by conversion of hydrogen using fuel cell, SOFC, allocated by exergy, transported by pipeline, produced by Electrolysis, SOEC using water and electricity from Solar PV (CH)</v>
      </c>
    </row>
    <row r="3465" spans="1:22" x14ac:dyDescent="0.2">
      <c r="A3465" t="str">
        <f>VLOOKUP(J3465,'dataset mapping'!$A$4:$E$69,2,0)</f>
        <v>fuel cell production, stack solid oxide, 125kW electrical, future</v>
      </c>
      <c r="B3465" s="52">
        <f>(1/(B3454*B3458*B3457*3.6))*B3459</f>
        <v>6.8189834941278219E-9</v>
      </c>
      <c r="C3465" t="str">
        <f>VLOOKUP(J3465,'dataset mapping'!$A$4:$E$69,5,0)</f>
        <v>unit</v>
      </c>
      <c r="E3465" t="str">
        <f>VLOOKUP(J3465,'dataset mapping'!$A$4:$E$69,4,0)</f>
        <v>CH</v>
      </c>
      <c r="F3465" t="s">
        <v>86</v>
      </c>
      <c r="G3465" t="str">
        <f>VLOOKUP(J3465,'dataset mapping'!$A$4:$E$69,3,0)</f>
        <v>fuel cell, stack solid oxide, 125kW electrical, future</v>
      </c>
      <c r="H3465" t="s">
        <v>88</v>
      </c>
      <c r="I3465" t="s">
        <v>277</v>
      </c>
      <c r="J3465" t="s">
        <v>274</v>
      </c>
      <c r="K3465" t="str">
        <f>B3425</f>
        <v>heat, residential, by conversion of hydrogen using fuel cell, SOFC, allocated by exergy, transported by pipeline, produced by Electrolysis, SOEC using water and electricity from Solar PV (CH)</v>
      </c>
      <c r="L3465">
        <f>IF(OR(B3465&lt;0,B3465=0),1,2)</f>
        <v>2</v>
      </c>
      <c r="M3465">
        <f>IF(L3465=2,LN(B3465),"")</f>
        <v>-18.80355542398161</v>
      </c>
      <c r="N3465">
        <v>1</v>
      </c>
      <c r="O3465" s="15">
        <v>1.2</v>
      </c>
      <c r="P3465">
        <v>1</v>
      </c>
      <c r="Q3465">
        <v>1.01</v>
      </c>
      <c r="R3465">
        <v>1.2</v>
      </c>
      <c r="S3465">
        <v>1.2</v>
      </c>
      <c r="T3465">
        <v>3</v>
      </c>
      <c r="U3465">
        <f>LN(SQRT(EXP(
SQRT(
+POWER(LN(N3465),2)
+POWER(LN(O3465),2)
+POWER(LN(P3465),2)
+POWER(LN(Q3465),2)
+POWER(LN(R3465),2)
+POWER(LN(S3465),2)
+POWER(LN(T3465),2)
)
)))</f>
        <v>0.57157051623399524</v>
      </c>
    </row>
    <row r="3466" spans="1:22" x14ac:dyDescent="0.2">
      <c r="A3466" t="s">
        <v>283</v>
      </c>
      <c r="B3466" s="52">
        <f>(1/(B3454*B3458*B3457*3.6))*B3459</f>
        <v>6.8189834941278219E-9</v>
      </c>
      <c r="C3466" t="s">
        <v>55</v>
      </c>
      <c r="E3466" t="s">
        <v>64</v>
      </c>
      <c r="F3466" t="s">
        <v>86</v>
      </c>
      <c r="G3466" t="s">
        <v>284</v>
      </c>
      <c r="H3466" t="s">
        <v>88</v>
      </c>
      <c r="I3466" t="s">
        <v>277</v>
      </c>
      <c r="K3466" t="str">
        <f>B3425</f>
        <v>heat, residential, by conversion of hydrogen using fuel cell, SOFC, allocated by exergy, transported by pipeline, produced by Electrolysis, SOEC using water and electricity from Solar PV (CH)</v>
      </c>
      <c r="L3466">
        <f>IF(OR(B3466&lt;0,B3466=0),1,2)</f>
        <v>2</v>
      </c>
      <c r="M3466">
        <f>IF(L3466=2,LN(B3466),"")</f>
        <v>-18.80355542398161</v>
      </c>
      <c r="N3466">
        <v>1</v>
      </c>
      <c r="O3466" s="15">
        <v>1.2</v>
      </c>
      <c r="P3466">
        <v>1</v>
      </c>
      <c r="Q3466">
        <v>1.01</v>
      </c>
      <c r="R3466">
        <v>1.2</v>
      </c>
      <c r="S3466">
        <v>1.2</v>
      </c>
      <c r="T3466">
        <v>3</v>
      </c>
      <c r="U3466">
        <f>LN(SQRT(EXP(
SQRT(
+POWER(LN(N3466),2)
+POWER(LN(O3466),2)
+POWER(LN(P3466),2)
+POWER(LN(Q3466),2)
+POWER(LN(R3466),2)
+POWER(LN(S3466),2)
+POWER(LN(T3466),2)
)
)))</f>
        <v>0.57157051623399524</v>
      </c>
    </row>
    <row r="3467" spans="1:22" x14ac:dyDescent="0.2">
      <c r="A3467" t="s">
        <v>288</v>
      </c>
      <c r="B3467" s="52">
        <f>0.000024*B3459</f>
        <v>3.2610015624957834E-6</v>
      </c>
      <c r="C3467" t="s">
        <v>56</v>
      </c>
      <c r="E3467" t="s">
        <v>64</v>
      </c>
      <c r="F3467" t="s">
        <v>86</v>
      </c>
      <c r="G3467" t="s">
        <v>287</v>
      </c>
      <c r="H3467" t="s">
        <v>88</v>
      </c>
      <c r="K3467" t="str">
        <f>B3425</f>
        <v>heat, residential, by conversion of hydrogen using fuel cell, SOFC, allocated by exergy, transported by pipeline, produced by Electrolysis, SOEC using water and electricity from Solar PV (CH)</v>
      </c>
      <c r="L3467">
        <f>IF(OR(B3467&lt;0,B3467=0),1,2)</f>
        <v>2</v>
      </c>
      <c r="M3467">
        <f>IF(L3467=2,LN(B3467),"")</f>
        <v>-12.633476182011</v>
      </c>
      <c r="N3467">
        <v>1</v>
      </c>
      <c r="O3467" s="15">
        <v>1.2</v>
      </c>
      <c r="P3467">
        <v>1</v>
      </c>
      <c r="Q3467">
        <v>1.01</v>
      </c>
      <c r="R3467">
        <v>1.2</v>
      </c>
      <c r="S3467">
        <v>1.2</v>
      </c>
      <c r="T3467">
        <v>1.05</v>
      </c>
      <c r="U3467">
        <f>LN(SQRT(EXP(
SQRT(
+POWER(LN(N3467),2)
+POWER(LN(O3467),2)
+POWER(LN(P3467),2)
+POWER(LN(Q3467),2)
+POWER(LN(R3467),2)
+POWER(LN(S3467),2)
+POWER(LN(T3467),2)
)
)))</f>
        <v>0.15984597228197622</v>
      </c>
    </row>
    <row r="3468" spans="1:22" x14ac:dyDescent="0.2">
      <c r="A3468" s="45" t="str">
        <f>"hydrogen supply, transported by "&amp;B3439&amp;", produced by "&amp;B3443&amp;" using "&amp;B3444&amp;" from "&amp;B3445</f>
        <v>hydrogen supply, transported by pipeline, produced by Electrolysis, SOEC using water and electricity from Solar PV (CH)</v>
      </c>
      <c r="B3468" s="53">
        <f>(B3464/B3448)/B3447*B3459</f>
        <v>2.1364003947168392E-3</v>
      </c>
      <c r="C3468" t="s">
        <v>56</v>
      </c>
      <c r="E3468" t="s">
        <v>64</v>
      </c>
      <c r="F3468" t="s">
        <v>86</v>
      </c>
      <c r="G3468" t="str">
        <f>"hydrogen, gaseous, from "&amp;B3439</f>
        <v>hydrogen, gaseous, from pipeline</v>
      </c>
      <c r="H3468" t="s">
        <v>76</v>
      </c>
      <c r="I3468" t="s">
        <v>1054</v>
      </c>
      <c r="J3468" t="s">
        <v>293</v>
      </c>
      <c r="K3468" t="str">
        <f>B3425</f>
        <v>heat, residential, by conversion of hydrogen using fuel cell, SOFC, allocated by exergy, transported by pipeline, produced by Electrolysis, SOEC using water and electricity from Solar PV (CH)</v>
      </c>
      <c r="L3468">
        <f>IF(OR(B3468&lt;0,B3468=0),1,2)</f>
        <v>2</v>
      </c>
      <c r="M3468">
        <f>IF(L3468=2,LN(B3468),"")</f>
        <v>-6.1486329247407472</v>
      </c>
      <c r="N3468">
        <v>1</v>
      </c>
      <c r="O3468" s="15">
        <v>1.2</v>
      </c>
      <c r="P3468">
        <v>1</v>
      </c>
      <c r="Q3468">
        <v>1.01</v>
      </c>
      <c r="R3468">
        <v>1.2</v>
      </c>
      <c r="S3468">
        <v>1.2</v>
      </c>
      <c r="T3468">
        <v>1.05</v>
      </c>
      <c r="U3468">
        <f>LN(SQRT(EXP(
SQRT(
+POWER(LN(N3468),2)
+POWER(LN(O3468),2)
+POWER(LN(P3468),2)
+POWER(LN(Q3468),2)
+POWER(LN(R3468),2)
+POWER(LN(S3468),2)
+POWER(LN(T3468),2)
)
)))</f>
        <v>0.15984597228197622</v>
      </c>
    </row>
    <row r="3469" spans="1:22" x14ac:dyDescent="0.2">
      <c r="A3469" t="s">
        <v>134</v>
      </c>
      <c r="B3469" s="45">
        <f>B3468*9</f>
        <v>1.9227603552451553E-2</v>
      </c>
      <c r="C3469" t="s">
        <v>56</v>
      </c>
      <c r="D3469" t="s">
        <v>100</v>
      </c>
      <c r="F3469" t="s">
        <v>99</v>
      </c>
      <c r="H3469" t="s">
        <v>131</v>
      </c>
      <c r="I3469" t="s">
        <v>1057</v>
      </c>
      <c r="K3469" t="str">
        <f>B3425</f>
        <v>heat, residential, by conversion of hydrogen using fuel cell, SOFC, allocated by exergy, transported by pipeline, produced by Electrolysis, SOEC using water and electricity from Solar PV (CH)</v>
      </c>
      <c r="L3469">
        <f>IF(OR(B3469&lt;0,B3469=0),1,2)</f>
        <v>2</v>
      </c>
      <c r="M3469">
        <f>IF(L3469=2,LN(B3469),"")</f>
        <v>-3.9514083474045276</v>
      </c>
      <c r="N3469">
        <v>1</v>
      </c>
      <c r="O3469" s="15">
        <v>1.2</v>
      </c>
      <c r="P3469">
        <v>1</v>
      </c>
      <c r="Q3469">
        <v>1.01</v>
      </c>
      <c r="R3469">
        <v>1.2</v>
      </c>
      <c r="S3469">
        <v>1.2</v>
      </c>
      <c r="T3469">
        <v>1.05</v>
      </c>
      <c r="U3469">
        <f>LN(SQRT(EXP(
SQRT(
+POWER(LN(N3469),2)
+POWER(LN(O3469),2)
+POWER(LN(P3469),2)
+POWER(LN(Q3469),2)
+POWER(LN(R3469),2)
+POWER(LN(S3469),2)
+POWER(LN(T3469),2)
)
)))</f>
        <v>0.15984597228197622</v>
      </c>
    </row>
    <row r="3471" spans="1:22" x14ac:dyDescent="0.2">
      <c r="A3471" s="2" t="s">
        <v>50</v>
      </c>
      <c r="B3471" s="44" t="str">
        <f>IF(B3477="megajoule","heat","electricity")&amp;", residential, by "&amp;B3482&amp;" of "&amp;B3481&amp;" using "&amp;B3483&amp;IF(B3484&lt;&gt;0,", allocated by "&amp;B3484,"")&amp;", transported by "&amp;B3485&amp;", produced by "&amp;B3489&amp;" using "&amp;B3490&amp;" from "&amp;B3491</f>
        <v>electricity, residential, by combustion of hydrogen using CHP, allocated by exergy, transported by pipeline, produced by Electrolysis, SOEC using water and electricity from Solar PV (CH)</v>
      </c>
    </row>
    <row r="3472" spans="1:22" x14ac:dyDescent="0.2">
      <c r="A3472" t="s">
        <v>51</v>
      </c>
      <c r="B3472" s="45" t="str">
        <f>"This dataset represents the supply of 1 "&amp;IF(B3477="megajoule","megajoule of heat","kilowatt hour of electricity")&amp;" in a residence, by "&amp;B3481&amp;" "&amp;B3482&amp;" in a "&amp;B3483&amp;". "&amp;" The hydrogen is transported by "&amp;B3485&amp;" over "&amp;B3486&amp;" km from regional storage. "&amp;" The "&amp;B3481&amp;" is produced by  "&amp;B3489&amp;", with "&amp;B3490&amp;" from "&amp;B3491&amp;" as feedstock. "&amp;A3493&amp;": "&amp;(B3493*100)&amp;"%. "&amp;A3494&amp;": "&amp;B3494&amp;". "&amp;A3495&amp;": "&amp;B3495&amp;". "&amp;A3496&amp;": "&amp;(B3496*100)&amp;"%. "&amp;A3497&amp;": "&amp;(B3497*100)&amp;"%. "&amp;A3498&amp;": "&amp;(B3498*100)&amp;"%. "&amp;A3499&amp;": "&amp;B3499&amp;". "&amp;A3500&amp;": "&amp;B3500&amp;". "&amp;A3501&amp;": "&amp;(B3501*100)&amp;"%. "&amp;A3502&amp;": "&amp;B3502&amp;". "&amp;A3503&amp;": "&amp;B3503&amp;". "&amp;A3504&amp;": "&amp;B3504&amp;". "&amp;A3505&amp;": "&amp;B3505&amp;".  For more information, refer to: "&amp;B3473</f>
        <v>This dataset represents the supply of 1 kilowatt hour of electricity in a residence, by hydrogen combustion in a CHP.  The hydrogen is transported by pipeline over 500 km from regional storage.  The hydrogen is produced by  Electrolysis, SOEC,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3473" spans="1:2" x14ac:dyDescent="0.2">
      <c r="A3473" t="s">
        <v>63</v>
      </c>
      <c r="B3473" s="45" t="s">
        <v>1223</v>
      </c>
    </row>
    <row r="3474" spans="1:2" x14ac:dyDescent="0.2">
      <c r="A3474" t="s">
        <v>52</v>
      </c>
      <c r="B3474" s="45" t="s">
        <v>64</v>
      </c>
    </row>
    <row r="3475" spans="1:2" x14ac:dyDescent="0.2">
      <c r="A3475" t="s">
        <v>48</v>
      </c>
      <c r="B3475" s="45" t="s">
        <v>895</v>
      </c>
    </row>
    <row r="3476" spans="1:2" x14ac:dyDescent="0.2">
      <c r="A3476" t="s">
        <v>54</v>
      </c>
      <c r="B3476" s="45" t="str">
        <f>INDEX(overview!$B$4:$R$338,MATCH('hydrogen - electrolysis'!B3475,overview!$A$4:$A$338,0),MATCH('hydrogen - electrolysis'!A3476,overview!$B$3:$R$3,0))</f>
        <v>electricity, from residential heating system</v>
      </c>
    </row>
    <row r="3477" spans="1:2" x14ac:dyDescent="0.2">
      <c r="A3477" t="s">
        <v>55</v>
      </c>
      <c r="B3477" s="45" t="str">
        <f>INDEX(overview!$B$4:$R$338,MATCH('hydrogen - electrolysis'!B3475,overview!$A$4:$A$338,0),MATCH('hydrogen - electrolysis'!A3477,overview!$B$3:$R$3,0))</f>
        <v>kilowatt hour</v>
      </c>
    </row>
    <row r="3478" spans="1:2" x14ac:dyDescent="0.2">
      <c r="A3478" t="s">
        <v>0</v>
      </c>
      <c r="B3478" s="45" t="str">
        <f>INDEX(overview!$B$4:$R$338,MATCH('hydrogen - electrolysis'!B3475,overview!$A$4:$A$338,0),MATCH('hydrogen - electrolysis'!A3478,overview!$B$3:$R$3,0))</f>
        <v>Switzerland</v>
      </c>
    </row>
    <row r="3479" spans="1:2" x14ac:dyDescent="0.2">
      <c r="A3479" t="s">
        <v>1</v>
      </c>
      <c r="B3479" s="45">
        <f>INDEX(overview!$B$4:$R$338,MATCH('hydrogen - electrolysis'!B3475,overview!$A$4:$A$338,0),MATCH('hydrogen - electrolysis'!A3479,overview!$B$3:$R$3,0))</f>
        <v>2020</v>
      </c>
    </row>
    <row r="3480" spans="1:2" x14ac:dyDescent="0.2">
      <c r="A3480" t="s">
        <v>2</v>
      </c>
      <c r="B3480" s="45" t="str">
        <f>INDEX(overview!$B$4:$R$338,MATCH('hydrogen - electrolysis'!B3475,overview!$A$4:$A$338,0),MATCH('hydrogen - electrolysis'!A3480,overview!$B$3:$R$3,0))</f>
        <v>1 kWh electricity</v>
      </c>
    </row>
    <row r="3481" spans="1:2" x14ac:dyDescent="0.2">
      <c r="A3481" t="s">
        <v>5</v>
      </c>
      <c r="B3481" s="45" t="str">
        <f>INDEX(overview!$B$4:$R$338,MATCH('hydrogen - electrolysis'!B3475,overview!$A$4:$A$338,0),MATCH('hydrogen - electrolysis'!A3481,overview!$B$3:$R$3,0))</f>
        <v>hydrogen</v>
      </c>
    </row>
    <row r="3482" spans="1:2" x14ac:dyDescent="0.2">
      <c r="A3482" t="s">
        <v>3</v>
      </c>
      <c r="B3482" s="45" t="str">
        <f>INDEX(overview!$B$4:$R$338,MATCH('hydrogen - electrolysis'!B3475,overview!$A$4:$A$338,0),MATCH('hydrogen - electrolysis'!A3482,overview!$B$3:$R$3,0))</f>
        <v>combustion</v>
      </c>
    </row>
    <row r="3483" spans="1:2" x14ac:dyDescent="0.2">
      <c r="A3483" t="s">
        <v>6</v>
      </c>
      <c r="B3483" s="45" t="str">
        <f>INDEX(overview!$B$4:$R$338,MATCH('hydrogen - electrolysis'!B3475,overview!$A$4:$A$338,0),MATCH('hydrogen - electrolysis'!A3483,overview!$B$3:$R$3,0))</f>
        <v>CHP</v>
      </c>
    </row>
    <row r="3484" spans="1:2" x14ac:dyDescent="0.2">
      <c r="A3484" t="s">
        <v>39</v>
      </c>
      <c r="B3484" s="45" t="str">
        <f>INDEX(overview!$B$4:$R$338,MATCH('hydrogen - electrolysis'!B3475,overview!$A$4:$A$338,0),MATCH('hydrogen - electrolysis'!A3484,overview!$B$3:$R$3,0))</f>
        <v>exergy</v>
      </c>
    </row>
    <row r="3485" spans="1:2" x14ac:dyDescent="0.2">
      <c r="A3485" t="s">
        <v>4</v>
      </c>
      <c r="B3485" s="45" t="str">
        <f>INDEX(overview!$B$4:$R$338,MATCH('hydrogen - electrolysis'!B3475,overview!$A$4:$A$338,0),MATCH('hydrogen - electrolysis'!A3485,overview!$B$3:$R$3,0))</f>
        <v>pipeline</v>
      </c>
    </row>
    <row r="3486" spans="1:2" x14ac:dyDescent="0.2">
      <c r="A3486" t="s">
        <v>38</v>
      </c>
      <c r="B3486" s="45">
        <f>INDEX(overview!$B$4:$R$338,MATCH('hydrogen - electrolysis'!B3475,overview!$A$4:$A$338,0),MATCH('hydrogen - electrolysis'!A3486,overview!$B$3:$R$3,0))</f>
        <v>500</v>
      </c>
    </row>
    <row r="3487" spans="1:2" x14ac:dyDescent="0.2">
      <c r="A3487" t="s">
        <v>12</v>
      </c>
      <c r="B3487" s="45" t="str">
        <f>INDEX(overview!$B$4:$R$338,MATCH('hydrogen - electrolysis'!B3475,overview!$A$4:$A$338,0),MATCH('hydrogen - electrolysis'!A3487,overview!$B$3:$R$3,0))</f>
        <v>Pressure vessel for stationary storage</v>
      </c>
    </row>
    <row r="3488" spans="1:2" x14ac:dyDescent="0.2">
      <c r="A3488" t="s">
        <v>34</v>
      </c>
      <c r="B3488" s="45">
        <f>INDEX(overview!$B$4:$R$338,MATCH('hydrogen - electrolysis'!B3475,overview!$A$4:$A$338,0),MATCH('hydrogen - electrolysis'!A3488,overview!$B$3:$R$3,0))</f>
        <v>0</v>
      </c>
    </row>
    <row r="3489" spans="1:2" x14ac:dyDescent="0.2">
      <c r="A3489" t="s">
        <v>15</v>
      </c>
      <c r="B3489" s="45" t="str">
        <f>INDEX(overview!$B$4:$R$338,MATCH('hydrogen - electrolysis'!B3475,overview!$A$4:$A$338,0),MATCH('hydrogen - electrolysis'!A3489,overview!$B$3:$R$3,0))</f>
        <v>Electrolysis, SOEC</v>
      </c>
    </row>
    <row r="3490" spans="1:2" x14ac:dyDescent="0.2">
      <c r="A3490" t="s">
        <v>14</v>
      </c>
      <c r="B3490" s="45" t="str">
        <f>INDEX(overview!$B$4:$R$338,MATCH('hydrogen - electrolysis'!B3475,overview!$A$4:$A$338,0),MATCH('hydrogen - electrolysis'!A3490,overview!$B$3:$R$3,0))</f>
        <v>water and electricity</v>
      </c>
    </row>
    <row r="3491" spans="1:2" x14ac:dyDescent="0.2">
      <c r="A3491" t="s">
        <v>26</v>
      </c>
      <c r="B3491" s="45" t="str">
        <f>INDEX(overview!$B$4:$R$338,MATCH('hydrogen - electrolysis'!B3475,overview!$A$4:$A$338,0),MATCH('hydrogen - electrolysis'!A3491,overview!$B$3:$R$3,0))</f>
        <v>Solar PV (CH)</v>
      </c>
    </row>
    <row r="3492" spans="1:2" x14ac:dyDescent="0.2">
      <c r="A3492" t="s">
        <v>29</v>
      </c>
      <c r="B3492" s="45">
        <f>INDEX(overview!$B$4:$R$338,MATCH('hydrogen - electrolysis'!B3475,overview!$A$4:$A$338,0),MATCH('hydrogen - electrolysis'!A3492,overview!$B$3:$R$3,0))</f>
        <v>0</v>
      </c>
    </row>
    <row r="3493" spans="1:2" x14ac:dyDescent="0.2">
      <c r="A3493" t="str">
        <f>IF(B3477="megajoule","Heat","Electricity")&amp;" conversion efficiency [% LHV input]"</f>
        <v>Electricity conversion efficiency [% LHV input]</v>
      </c>
      <c r="B3493" s="46">
        <f>INDEX(parameters!$D$4:$N$20,MATCH('hydrogen - electrolysis'!B3481&amp;'hydrogen - electrolysis'!B3483,parameters!$A$4:$A$20,0),MATCH('hydrogen - electrolysis'!A3493,parameters!$D$3:$N$3,0))</f>
        <v>0.39400000000000002</v>
      </c>
    </row>
    <row r="3494" spans="1:2" x14ac:dyDescent="0.2">
      <c r="A3494" t="str">
        <f>IF(B3477="megajoule","LHV [MJ/kg]","LHV [kWh/kg]")</f>
        <v>LHV [kWh/kg]</v>
      </c>
      <c r="B3494" s="47">
        <f>INDEX(parameters!$D$4:$N$20,MATCH('hydrogen - electrolysis'!B3481&amp;'hydrogen - electrolysis'!B3483,parameters!$A$4:$A$20,0),MATCH('hydrogen - electrolysis'!A3494,parameters!$D$3:$N$3,0))</f>
        <v>33.333333333333336</v>
      </c>
    </row>
    <row r="3495" spans="1:2" x14ac:dyDescent="0.2">
      <c r="A3495" t="s">
        <v>41</v>
      </c>
      <c r="B3495" s="48">
        <f>INDEX(parameters!$D$4:$N$20,MATCH('hydrogen - electrolysis'!B3481&amp;'hydrogen - electrolysis'!B3483,parameters!$A$4:$A$20,0),MATCH('hydrogen - electrolysis'!A3495,parameters!$D$3:$N$3,0))</f>
        <v>2.6666666666666665E-2</v>
      </c>
    </row>
    <row r="3496" spans="1:2" x14ac:dyDescent="0.2">
      <c r="A3496" t="s">
        <v>45</v>
      </c>
      <c r="B3496" s="46">
        <f>INDEX(parameters!$D$4:$N$20,MATCH('hydrogen - electrolysis'!B3481&amp;'hydrogen - electrolysis'!B3483,parameters!$A$4:$A$20,0),MATCH('hydrogen - electrolysis'!A3496,parameters!$D$3:$N$3,0))</f>
        <v>0</v>
      </c>
    </row>
    <row r="3497" spans="1:2" x14ac:dyDescent="0.2">
      <c r="A3497" t="s">
        <v>46</v>
      </c>
      <c r="B3497" s="46">
        <f>INDEX(parameters!$D$4:$N$20,MATCH('hydrogen - electrolysis'!B3481&amp;'hydrogen - electrolysis'!B3483,parameters!$A$4:$A$20,0),MATCH('hydrogen - electrolysis'!A3497,parameters!$D$3:$N$3,0))</f>
        <v>1.4999999999999999E-2</v>
      </c>
    </row>
    <row r="3498" spans="1:2" x14ac:dyDescent="0.2">
      <c r="A3498" t="s">
        <v>43</v>
      </c>
      <c r="B3498" s="46">
        <f>INDEX(parameters!$D$4:$N$20,MATCH('hydrogen - electrolysis'!B3481&amp;'hydrogen - electrolysis'!B3483,parameters!$A$4:$A$20,0),MATCH('hydrogen - electrolysis'!A3498,parameters!$D$3:$N$3,0))</f>
        <v>0</v>
      </c>
    </row>
    <row r="3499" spans="1:2" x14ac:dyDescent="0.2">
      <c r="A3499" t="s">
        <v>44</v>
      </c>
      <c r="B3499" s="46">
        <f>INDEX(parameters!$D$4:$N$20,MATCH('hydrogen - electrolysis'!B3481&amp;'hydrogen - electrolysis'!B3483,parameters!$A$4:$A$20,0),MATCH('hydrogen - electrolysis'!A3499,parameters!$D$3:$N$3,0))</f>
        <v>0</v>
      </c>
    </row>
    <row r="3500" spans="1:2" x14ac:dyDescent="0.2">
      <c r="A3500" t="s">
        <v>634</v>
      </c>
      <c r="B3500" s="51">
        <f>INDEX(parameters!$D$4:$Y$20,MATCH('hydrogen - electrolysis'!B3481&amp;'hydrogen - electrolysis'!B3483,parameters!$A$4:$A$20,0),MATCH('hydrogen - electrolysis'!A3500,parameters!$D$3:$Y$3,0))</f>
        <v>351.41800246609125</v>
      </c>
    </row>
    <row r="3501" spans="1:2" x14ac:dyDescent="0.2">
      <c r="A3501" t="s">
        <v>82</v>
      </c>
      <c r="B3501" s="46">
        <f>IF(B3492&lt;&gt;0,VLOOKUP(B3492,parameters!A2306:B2308,2,0),0)</f>
        <v>0</v>
      </c>
    </row>
    <row r="3502" spans="1:2" x14ac:dyDescent="0.2">
      <c r="A3502" t="s">
        <v>548</v>
      </c>
      <c r="B3502" s="50">
        <f>INDEX(parameters!$D$4:$P$20,MATCH(B3481&amp;B3483,parameters!$A$4:$A$20,0),MATCH(A3502,parameters!$D$3:$P$3,0))</f>
        <v>125</v>
      </c>
    </row>
    <row r="3503" spans="1:2" x14ac:dyDescent="0.2">
      <c r="A3503" t="s">
        <v>547</v>
      </c>
      <c r="B3503" s="51">
        <f>INDEX(parameters!$D$4:$P$20,MATCH(B3481&amp;B3483,parameters!$A$4:$A$20,0),MATCH(A3503,parameters!$D$3:$P$3,0))</f>
        <v>19.512195121951219</v>
      </c>
    </row>
    <row r="3504" spans="1:2" x14ac:dyDescent="0.2">
      <c r="A3504" t="s">
        <v>630</v>
      </c>
      <c r="B3504" s="51">
        <f>INDEX(parameters!$D$4:$T$20,MATCH(B3481&amp;B3483,parameters!$A$4:$A$20,0),MATCH(A3504,parameters!$D$3:$T$3,0))</f>
        <v>4100</v>
      </c>
    </row>
    <row r="3505" spans="1:22" x14ac:dyDescent="0.2">
      <c r="A3505" t="s">
        <v>1005</v>
      </c>
      <c r="B3505" s="50">
        <f>IF(B3477="megajoule",SUMIFS(allocation!$I$4:$I$30,allocation!$B$4:$B$30,B3483,allocation!$C$4:$C$30,B3484),SUMIFS(allocation!$J$4:$J$30,allocation!$B$4:$B$30,B3483,allocation!$C$4:$C$30,B3484))</f>
        <v>0.87139957772704957</v>
      </c>
    </row>
    <row r="3506" spans="1:22" x14ac:dyDescent="0.2">
      <c r="A3506" t="s">
        <v>1050</v>
      </c>
      <c r="B3506" s="51">
        <f>INDEX(parameters!$D$4:$AB$20,MATCH(B3481&amp;B3483,parameters!$A$4:$A$20,0),MATCH(A3506,parameters!$D$3:$AB$3,0))</f>
        <v>2220.7364520822662</v>
      </c>
    </row>
    <row r="3508" spans="1:22" x14ac:dyDescent="0.2">
      <c r="A3508" s="3" t="s">
        <v>57</v>
      </c>
    </row>
    <row r="3509" spans="1:22" x14ac:dyDescent="0.2">
      <c r="A3509" s="2" t="s">
        <v>58</v>
      </c>
      <c r="B3509" s="44" t="s">
        <v>59</v>
      </c>
      <c r="C3509" s="2" t="s">
        <v>55</v>
      </c>
      <c r="D3509" s="2" t="s">
        <v>60</v>
      </c>
      <c r="E3509" s="2" t="s">
        <v>52</v>
      </c>
      <c r="F3509" s="2" t="s">
        <v>61</v>
      </c>
      <c r="G3509" s="2" t="s">
        <v>54</v>
      </c>
      <c r="H3509" s="2" t="s">
        <v>87</v>
      </c>
      <c r="I3509" s="2" t="s">
        <v>51</v>
      </c>
      <c r="J3509" s="2" t="s">
        <v>138</v>
      </c>
      <c r="K3509" s="2" t="s">
        <v>136</v>
      </c>
      <c r="L3509" s="2" t="s">
        <v>221</v>
      </c>
      <c r="M3509" s="2" t="s">
        <v>379</v>
      </c>
      <c r="N3509" s="2" t="s">
        <v>1059</v>
      </c>
      <c r="O3509" s="2" t="s">
        <v>1060</v>
      </c>
      <c r="P3509" s="2" t="s">
        <v>1061</v>
      </c>
      <c r="Q3509" s="2" t="s">
        <v>1062</v>
      </c>
      <c r="R3509" s="2" t="s">
        <v>1063</v>
      </c>
      <c r="S3509" s="2" t="s">
        <v>1064</v>
      </c>
      <c r="T3509" s="2" t="s">
        <v>1065</v>
      </c>
      <c r="U3509" s="2" t="s">
        <v>380</v>
      </c>
      <c r="V3509" s="2" t="s">
        <v>1128</v>
      </c>
    </row>
    <row r="3510" spans="1:22" x14ac:dyDescent="0.2">
      <c r="A3510" t="str">
        <f>B3471</f>
        <v>electricity, residential, by combustion of hydrogen using CHP, allocated by exergy, transported by pipeline, produced by Electrolysis, SOEC using water and electricity from Solar PV (CH)</v>
      </c>
      <c r="B3510" s="45">
        <v>1</v>
      </c>
      <c r="C3510" t="str">
        <f>B3477</f>
        <v>kilowatt hour</v>
      </c>
      <c r="E3510" t="str">
        <f>B3474</f>
        <v>CH</v>
      </c>
      <c r="F3510" t="s">
        <v>62</v>
      </c>
      <c r="G3510" t="str">
        <f>B3476</f>
        <v>electricity, from residential heating system</v>
      </c>
      <c r="K3510" t="str">
        <f>B3471</f>
        <v>electricity, residential, by combustion of hydrogen using CHP, allocated by exergy, transported by pipeline, produced by Electrolysis, SOEC using water and electricity from Solar PV (CH)</v>
      </c>
    </row>
    <row r="3511" spans="1:22" x14ac:dyDescent="0.2">
      <c r="A3511" t="str">
        <f>VLOOKUP(J3511,'dataset mapping'!$A$4:$E$69,2,0)</f>
        <v>heat and power co-generation unit construction, 160kW electrical, common components for heat+electricity</v>
      </c>
      <c r="B3511" s="52">
        <f>(1/(B3500*B3504*B3503))*B3505</f>
        <v>3.0995835856870056E-8</v>
      </c>
      <c r="C3511" t="str">
        <f>VLOOKUP(J3511,'dataset mapping'!$A$4:$E$69,5,0)</f>
        <v>unit</v>
      </c>
      <c r="E3511" t="str">
        <f>VLOOKUP(J3511,'dataset mapping'!$A$4:$E$69,4,0)</f>
        <v>RER</v>
      </c>
      <c r="F3511" t="s">
        <v>86</v>
      </c>
      <c r="G3511" t="str">
        <f>VLOOKUP(J3511,'dataset mapping'!$A$4:$E$69,3,0)</f>
        <v>heat and power co-generation unit, 160kW electrical, common components for heat+electricity</v>
      </c>
      <c r="H3511" t="s">
        <v>88</v>
      </c>
      <c r="J3511" t="s">
        <v>145</v>
      </c>
      <c r="K3511" t="str">
        <f>B3471</f>
        <v>electricity, residential, by combustion of hydrogen using CHP, allocated by exergy, transported by pipeline, produced by Electrolysis, SOEC using water and electricity from Solar PV (CH)</v>
      </c>
      <c r="L3511">
        <f>IF(OR(B3511&lt;0,B3511=0),1,2)</f>
        <v>2</v>
      </c>
      <c r="M3511">
        <f>IF(L3511=2,LN(B3511),"")</f>
        <v>-17.28941296868171</v>
      </c>
      <c r="N3511">
        <v>1.05</v>
      </c>
      <c r="O3511" s="15">
        <v>1.2</v>
      </c>
      <c r="P3511">
        <v>1</v>
      </c>
      <c r="Q3511">
        <v>1.01</v>
      </c>
      <c r="R3511">
        <v>1.2</v>
      </c>
      <c r="S3511">
        <v>1.2</v>
      </c>
      <c r="T3511">
        <v>3</v>
      </c>
      <c r="U3511">
        <f t="shared" ref="U3511:U3518" si="116">LN(SQRT(EXP(
SQRT(
+POWER(LN(N3511),2)
+POWER(LN(O3511),2)
+POWER(LN(P3511),2)
+POWER(LN(Q3511),2)
+POWER(LN(R3511),2)
+POWER(LN(S3511),2)
+POWER(LN(T3511),2)
)
)))</f>
        <v>0.57209088006881903</v>
      </c>
    </row>
    <row r="3512" spans="1:22" x14ac:dyDescent="0.2">
      <c r="A3512" t="str">
        <f>VLOOKUP(J3512,'dataset mapping'!$A$4:$E$69,2,0)</f>
        <v>heat and power co-generation unit construction, 160kW electrical, components for electricity only</v>
      </c>
      <c r="B3512" s="52">
        <f>(1/(B3500*B3504*B3503))*B3505</f>
        <v>3.0995835856870056E-8</v>
      </c>
      <c r="C3512" t="str">
        <f>VLOOKUP(J3512,'dataset mapping'!$A$4:$E$69,5,0)</f>
        <v>unit</v>
      </c>
      <c r="E3512" t="str">
        <f>VLOOKUP(J3512,'dataset mapping'!$A$4:$E$69,4,0)</f>
        <v>RER</v>
      </c>
      <c r="F3512" t="s">
        <v>86</v>
      </c>
      <c r="G3512" t="str">
        <f>VLOOKUP(J3512,'dataset mapping'!$A$4:$E$69,3,0)</f>
        <v>heat and power co-generation unit, 160kW electrical, components for electricity only</v>
      </c>
      <c r="H3512" t="s">
        <v>88</v>
      </c>
      <c r="J3512" t="s">
        <v>146</v>
      </c>
      <c r="K3512" t="str">
        <f>B3471</f>
        <v>electricity, residential, by combustion of hydrogen using CHP, allocated by exergy, transported by pipeline, produced by Electrolysis, SOEC using water and electricity from Solar PV (CH)</v>
      </c>
      <c r="L3512">
        <f>IF(OR(B3512&lt;0,B3512=0),1,2)</f>
        <v>2</v>
      </c>
      <c r="M3512">
        <f>IF(L3512=2,LN(B3512),"")</f>
        <v>-17.28941296868171</v>
      </c>
      <c r="N3512">
        <v>1.05</v>
      </c>
      <c r="O3512" s="15">
        <v>1.2</v>
      </c>
      <c r="P3512">
        <v>1</v>
      </c>
      <c r="Q3512">
        <v>1.01</v>
      </c>
      <c r="R3512">
        <v>1.2</v>
      </c>
      <c r="S3512">
        <v>1.2</v>
      </c>
      <c r="T3512">
        <v>3</v>
      </c>
      <c r="U3512">
        <f t="shared" si="116"/>
        <v>0.57209088006881903</v>
      </c>
    </row>
    <row r="3513" spans="1:22" x14ac:dyDescent="0.2">
      <c r="A3513" t="str">
        <f>VLOOKUP(J3513,'dataset mapping'!$A$4:$E$69,2,0)</f>
        <v>heat and power co-generation unit construction, 160kW electrical, components for heat only</v>
      </c>
      <c r="B3513" s="52">
        <f>(1/(B3500*B3504*B3503))*B3505</f>
        <v>3.0995835856870056E-8</v>
      </c>
      <c r="C3513" t="str">
        <f>VLOOKUP(J3513,'dataset mapping'!$A$4:$E$69,5,0)</f>
        <v>unit</v>
      </c>
      <c r="E3513" t="str">
        <f>VLOOKUP(J3513,'dataset mapping'!$A$4:$E$69,4,0)</f>
        <v>RER</v>
      </c>
      <c r="F3513" t="s">
        <v>86</v>
      </c>
      <c r="G3513" t="str">
        <f>VLOOKUP(J3513,'dataset mapping'!$A$4:$E$69,3,0)</f>
        <v>heat and power co-generation unit, 160kW electrical, components for heat only</v>
      </c>
      <c r="H3513" t="s">
        <v>88</v>
      </c>
      <c r="J3513" t="s">
        <v>147</v>
      </c>
      <c r="K3513" t="str">
        <f>B3471</f>
        <v>electricity, residential, by combustion of hydrogen using CHP, allocated by exergy, transported by pipeline, produced by Electrolysis, SOEC using water and electricity from Solar PV (CH)</v>
      </c>
      <c r="L3513">
        <f>IF(OR(B3513&lt;0,B3513=0),1,2)</f>
        <v>2</v>
      </c>
      <c r="M3513">
        <f>IF(L3513=2,LN(B3513),"")</f>
        <v>-17.28941296868171</v>
      </c>
      <c r="N3513">
        <v>1.05</v>
      </c>
      <c r="O3513" s="15">
        <v>1.2</v>
      </c>
      <c r="P3513">
        <v>1</v>
      </c>
      <c r="Q3513">
        <v>1.01</v>
      </c>
      <c r="R3513">
        <v>1.2</v>
      </c>
      <c r="S3513">
        <v>1.2</v>
      </c>
      <c r="T3513">
        <v>3</v>
      </c>
      <c r="U3513">
        <f t="shared" si="116"/>
        <v>0.57209088006881903</v>
      </c>
    </row>
    <row r="3514" spans="1:22" x14ac:dyDescent="0.2">
      <c r="A3514" t="s">
        <v>156</v>
      </c>
      <c r="B3514" s="52">
        <f>0.00000011366*B3505</f>
        <v>9.9043276004456456E-8</v>
      </c>
      <c r="C3514" t="s">
        <v>56</v>
      </c>
      <c r="E3514" t="s">
        <v>90</v>
      </c>
      <c r="F3514" t="s">
        <v>86</v>
      </c>
      <c r="G3514" t="s">
        <v>154</v>
      </c>
      <c r="H3514" t="s">
        <v>155</v>
      </c>
      <c r="K3514" t="str">
        <f>B3471</f>
        <v>electricity, residential, by combustion of hydrogen using CHP, allocated by exergy, transported by pipeline, produced by Electrolysis, SOEC using water and electricity from Solar PV (CH)</v>
      </c>
      <c r="L3514">
        <f>IF(OR(B3514&lt;0,B3514=0),1,2)</f>
        <v>2</v>
      </c>
      <c r="M3514">
        <f>IF(L3514=2,LN(B3514),"")</f>
        <v>-16.127708950967754</v>
      </c>
      <c r="N3514">
        <v>1.05</v>
      </c>
      <c r="O3514" s="15">
        <v>1.2</v>
      </c>
      <c r="P3514">
        <v>1</v>
      </c>
      <c r="Q3514">
        <v>1.01</v>
      </c>
      <c r="R3514">
        <v>1.2</v>
      </c>
      <c r="S3514">
        <v>1.2</v>
      </c>
      <c r="T3514">
        <v>1.05</v>
      </c>
      <c r="U3514">
        <f t="shared" si="116"/>
        <v>0.16169679924070957</v>
      </c>
    </row>
    <row r="3515" spans="1:22" x14ac:dyDescent="0.2">
      <c r="A3515" t="s">
        <v>157</v>
      </c>
      <c r="B3515" s="52">
        <f>0.00000011366*B3505*-1</f>
        <v>-9.9043276004456456E-8</v>
      </c>
      <c r="C3515" t="s">
        <v>56</v>
      </c>
      <c r="E3515" t="s">
        <v>64</v>
      </c>
      <c r="F3515" t="s">
        <v>86</v>
      </c>
      <c r="G3515" t="s">
        <v>158</v>
      </c>
      <c r="H3515" t="s">
        <v>155</v>
      </c>
      <c r="K3515" t="str">
        <f>B3471</f>
        <v>electricity, residential, by combustion of hydrogen using CHP, allocated by exergy, transported by pipeline, produced by Electrolysis, SOEC using water and electricity from Solar PV (CH)</v>
      </c>
      <c r="L3515">
        <v>2</v>
      </c>
      <c r="M3515">
        <f>IF(L3515=2,LN(B3515*-1),"")</f>
        <v>-16.127708950967754</v>
      </c>
      <c r="N3515">
        <v>1.05</v>
      </c>
      <c r="O3515" s="15">
        <v>1.2</v>
      </c>
      <c r="P3515">
        <v>1</v>
      </c>
      <c r="Q3515">
        <v>1.01</v>
      </c>
      <c r="R3515">
        <v>1.2</v>
      </c>
      <c r="S3515">
        <v>1.2</v>
      </c>
      <c r="T3515">
        <v>3</v>
      </c>
      <c r="U3515">
        <f t="shared" si="116"/>
        <v>0.57209088006881903</v>
      </c>
      <c r="V3515" t="b">
        <v>1</v>
      </c>
    </row>
    <row r="3516" spans="1:22" x14ac:dyDescent="0.2">
      <c r="A3516" s="45" t="str">
        <f>"hydrogen supply, transported by "&amp;B3485&amp;", produced by "&amp;B3489&amp;" using "&amp;B3490&amp;" from "&amp;B3491</f>
        <v>hydrogen supply, transported by pipeline, produced by Electrolysis, SOEC using water and electricity from Solar PV (CH)</v>
      </c>
      <c r="B3516" s="53">
        <f>(B3510/B3494)/B3493*B3505</f>
        <v>6.6350221654343872E-2</v>
      </c>
      <c r="C3516" t="s">
        <v>56</v>
      </c>
      <c r="E3516" t="s">
        <v>64</v>
      </c>
      <c r="F3516" t="s">
        <v>86</v>
      </c>
      <c r="G3516" t="str">
        <f>"hydrogen, gaseous, from "&amp;B3485</f>
        <v>hydrogen, gaseous, from pipeline</v>
      </c>
      <c r="H3516" t="s">
        <v>76</v>
      </c>
      <c r="I3516" t="s">
        <v>1054</v>
      </c>
      <c r="J3516" t="s">
        <v>293</v>
      </c>
      <c r="K3516" t="str">
        <f>B3471</f>
        <v>electricity, residential, by combustion of hydrogen using CHP, allocated by exergy, transported by pipeline, produced by Electrolysis, SOEC using water and electricity from Solar PV (CH)</v>
      </c>
      <c r="L3516">
        <f>IF(OR(B3516&lt;0,B3516=0),1,2)</f>
        <v>2</v>
      </c>
      <c r="M3516">
        <f>IF(L3516=2,LN(B3516),"")</f>
        <v>-2.7128081775260964</v>
      </c>
      <c r="N3516">
        <v>1.05</v>
      </c>
      <c r="O3516" s="15">
        <v>1.2</v>
      </c>
      <c r="P3516">
        <v>1</v>
      </c>
      <c r="Q3516">
        <v>1.01</v>
      </c>
      <c r="R3516">
        <v>1.2</v>
      </c>
      <c r="S3516">
        <v>1.2</v>
      </c>
      <c r="T3516">
        <v>1.05</v>
      </c>
      <c r="U3516">
        <f t="shared" si="116"/>
        <v>0.16169679924070957</v>
      </c>
    </row>
    <row r="3517" spans="1:22" x14ac:dyDescent="0.2">
      <c r="A3517" t="s">
        <v>134</v>
      </c>
      <c r="B3517" s="45">
        <f>B3516*9</f>
        <v>0.59715199488909487</v>
      </c>
      <c r="C3517" t="s">
        <v>56</v>
      </c>
      <c r="D3517" t="s">
        <v>100</v>
      </c>
      <c r="F3517" t="s">
        <v>99</v>
      </c>
      <c r="H3517" t="s">
        <v>131</v>
      </c>
      <c r="I3517" t="s">
        <v>1058</v>
      </c>
      <c r="K3517" t="str">
        <f>B3471</f>
        <v>electricity, residential, by combustion of hydrogen using CHP, allocated by exergy, transported by pipeline, produced by Electrolysis, SOEC using water and electricity from Solar PV (CH)</v>
      </c>
      <c r="L3517">
        <f>IF(OR(B3517&lt;0,B3517=0),1,2)</f>
        <v>2</v>
      </c>
      <c r="M3517">
        <f>IF(L3517=2,LN(B3517),"")</f>
        <v>-0.51558360018987692</v>
      </c>
      <c r="N3517">
        <v>1.05</v>
      </c>
      <c r="O3517" s="15">
        <v>1.2</v>
      </c>
      <c r="P3517">
        <v>1</v>
      </c>
      <c r="Q3517">
        <v>1.01</v>
      </c>
      <c r="R3517">
        <v>1.2</v>
      </c>
      <c r="S3517">
        <v>1.2</v>
      </c>
      <c r="T3517">
        <v>1.05</v>
      </c>
      <c r="U3517">
        <f t="shared" si="116"/>
        <v>0.16169679924070957</v>
      </c>
    </row>
    <row r="3518" spans="1:22" x14ac:dyDescent="0.2">
      <c r="A3518" t="s">
        <v>135</v>
      </c>
      <c r="B3518" s="45">
        <f>912.5/1000000*B3516</f>
        <v>6.0544577259588785E-5</v>
      </c>
      <c r="C3518" t="s">
        <v>56</v>
      </c>
      <c r="D3518" t="s">
        <v>100</v>
      </c>
      <c r="F3518" t="s">
        <v>99</v>
      </c>
      <c r="H3518" t="s">
        <v>131</v>
      </c>
      <c r="I3518" t="s">
        <v>1217</v>
      </c>
      <c r="K3518" t="str">
        <f>B3471</f>
        <v>electricity, residential, by combustion of hydrogen using CHP, allocated by exergy, transported by pipeline, produced by Electrolysis, SOEC using water and electricity from Solar PV (CH)</v>
      </c>
      <c r="L3518">
        <f>IF(OR(B3518&lt;0,B3518=0),1,2)</f>
        <v>2</v>
      </c>
      <c r="M3518">
        <f>IF(L3518=2,LN(B3518),"")</f>
        <v>-9.712130650033723</v>
      </c>
      <c r="N3518">
        <v>1.05</v>
      </c>
      <c r="O3518" s="15">
        <v>1.2</v>
      </c>
      <c r="P3518">
        <v>1</v>
      </c>
      <c r="Q3518">
        <v>1.01</v>
      </c>
      <c r="R3518">
        <v>1.2</v>
      </c>
      <c r="S3518">
        <v>1.2</v>
      </c>
      <c r="T3518">
        <v>1.5</v>
      </c>
      <c r="U3518">
        <f t="shared" si="116"/>
        <v>0.25816898211842121</v>
      </c>
    </row>
    <row r="3520" spans="1:22" x14ac:dyDescent="0.2">
      <c r="A3520" s="2" t="s">
        <v>50</v>
      </c>
      <c r="B3520" s="44" t="str">
        <f>IF(B3526="megajoule","heat","electricity")&amp;", residential, by "&amp;B3531&amp;" of "&amp;B3530&amp;" using "&amp;B3532&amp;IF(B3533&lt;&gt;0,", allocated by "&amp;B3533,"")&amp;", transported by "&amp;B3534&amp;", produced by "&amp;B3538&amp;" using "&amp;B3539&amp;" from "&amp;B3540</f>
        <v>electricity, residential, by conversion of hydrogen using fuel cell, PEM, allocated by exergy, transported by pipeline, produced by Electrolysis, SOEC using water and electricity from Solar PV (CH)</v>
      </c>
    </row>
    <row r="3521" spans="1:2" x14ac:dyDescent="0.2">
      <c r="A3521" t="s">
        <v>51</v>
      </c>
      <c r="B3521" s="45" t="str">
        <f>"This dataset represents the supply of 1 "&amp;IF(B3526="megajoule","megajoule of heat","kilowatt hour of electricity")&amp;" in a residence, by "&amp;B3530&amp;" "&amp;B3531&amp;" in a "&amp;B3532&amp;". "&amp;" The hydrogen is transported by "&amp;B3534&amp;" over "&amp;B3535&amp;" km from regional storage. "&amp;" The "&amp;B3530&amp;" is produced by  "&amp;B3538&amp;", with "&amp;B3539&amp;" from "&amp;B3540&amp;" as feedstock. "&amp;A3542&amp;": "&amp;(B3542*100)&amp;"%. "&amp;A3543&amp;": "&amp;B3543&amp;". "&amp;A3544&amp;": "&amp;B3544&amp;". "&amp;A3545&amp;": "&amp;(B3545*100)&amp;"%. "&amp;A3546&amp;": "&amp;(B3546*100)&amp;"%. "&amp;A3547&amp;": "&amp;(B3547*100)&amp;"%. "&amp;A3548&amp;": "&amp;B3548&amp;". "&amp;A3549&amp;": "&amp;B3549&amp;". "&amp;A3550&amp;": "&amp;(B3550*100)&amp;"%. "&amp;A3551&amp;": "&amp;B3551&amp;". "&amp;A3552&amp;": "&amp;B3552&amp;". "&amp;A3553&amp;": "&amp;B3553&amp;". "&amp;A3554&amp;": "&amp;B3554&amp;".  For more information, refer to: "&amp;B3522</f>
        <v>This dataset represents the supply of 1 kilowatt hour of electricity in a residence, by hydrogen conversion in a fuel cell, PEM.  The hydrogen is transported by pipeline over 500 km from regional storage.  The hydrogen is produced by  Electrolysis, SOEC, with water and electricity from Solar PV (CH)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3522" spans="1:2" x14ac:dyDescent="0.2">
      <c r="A3522" t="s">
        <v>63</v>
      </c>
      <c r="B3522" s="45" t="s">
        <v>1223</v>
      </c>
    </row>
    <row r="3523" spans="1:2" x14ac:dyDescent="0.2">
      <c r="A3523" t="s">
        <v>52</v>
      </c>
      <c r="B3523" s="45" t="s">
        <v>64</v>
      </c>
    </row>
    <row r="3524" spans="1:2" x14ac:dyDescent="0.2">
      <c r="A3524" t="s">
        <v>48</v>
      </c>
      <c r="B3524" s="45" t="s">
        <v>896</v>
      </c>
    </row>
    <row r="3525" spans="1:2" x14ac:dyDescent="0.2">
      <c r="A3525" t="s">
        <v>54</v>
      </c>
      <c r="B3525" s="45" t="str">
        <f>INDEX(overview!$B$4:$R$338,MATCH('hydrogen - electrolysis'!B3524,overview!$A$4:$A$338,0),MATCH('hydrogen - electrolysis'!A3525,overview!$B$3:$R$3,0))</f>
        <v>electricity, from residential heating system</v>
      </c>
    </row>
    <row r="3526" spans="1:2" x14ac:dyDescent="0.2">
      <c r="A3526" t="s">
        <v>55</v>
      </c>
      <c r="B3526" s="45" t="str">
        <f>INDEX(overview!$B$4:$R$338,MATCH('hydrogen - electrolysis'!B3524,overview!$A$4:$A$338,0),MATCH('hydrogen - electrolysis'!A3526,overview!$B$3:$R$3,0))</f>
        <v>kilowatt hour</v>
      </c>
    </row>
    <row r="3527" spans="1:2" x14ac:dyDescent="0.2">
      <c r="A3527" t="s">
        <v>0</v>
      </c>
      <c r="B3527" s="45" t="str">
        <f>INDEX(overview!$B$4:$R$338,MATCH('hydrogen - electrolysis'!B3524,overview!$A$4:$A$338,0),MATCH('hydrogen - electrolysis'!A3527,overview!$B$3:$R$3,0))</f>
        <v>Switzerland</v>
      </c>
    </row>
    <row r="3528" spans="1:2" x14ac:dyDescent="0.2">
      <c r="A3528" t="s">
        <v>1</v>
      </c>
      <c r="B3528" s="45">
        <f>INDEX(overview!$B$4:$R$338,MATCH('hydrogen - electrolysis'!B3524,overview!$A$4:$A$338,0),MATCH('hydrogen - electrolysis'!A3528,overview!$B$3:$R$3,0))</f>
        <v>2020</v>
      </c>
    </row>
    <row r="3529" spans="1:2" x14ac:dyDescent="0.2">
      <c r="A3529" t="s">
        <v>2</v>
      </c>
      <c r="B3529" s="45" t="str">
        <f>INDEX(overview!$B$4:$R$338,MATCH('hydrogen - electrolysis'!B3524,overview!$A$4:$A$338,0),MATCH('hydrogen - electrolysis'!A3529,overview!$B$3:$R$3,0))</f>
        <v>1 kWh electricity</v>
      </c>
    </row>
    <row r="3530" spans="1:2" x14ac:dyDescent="0.2">
      <c r="A3530" t="s">
        <v>5</v>
      </c>
      <c r="B3530" s="45" t="str">
        <f>INDEX(overview!$B$4:$R$338,MATCH('hydrogen - electrolysis'!B3524,overview!$A$4:$A$338,0),MATCH('hydrogen - electrolysis'!A3530,overview!$B$3:$R$3,0))</f>
        <v>hydrogen</v>
      </c>
    </row>
    <row r="3531" spans="1:2" x14ac:dyDescent="0.2">
      <c r="A3531" t="s">
        <v>3</v>
      </c>
      <c r="B3531" s="45" t="str">
        <f>INDEX(overview!$B$4:$R$338,MATCH('hydrogen - electrolysis'!B3524,overview!$A$4:$A$338,0),MATCH('hydrogen - electrolysis'!A3531,overview!$B$3:$R$3,0))</f>
        <v>conversion</v>
      </c>
    </row>
    <row r="3532" spans="1:2" x14ac:dyDescent="0.2">
      <c r="A3532" t="s">
        <v>6</v>
      </c>
      <c r="B3532" s="45" t="str">
        <f>INDEX(overview!$B$4:$R$338,MATCH('hydrogen - electrolysis'!B3524,overview!$A$4:$A$338,0),MATCH('hydrogen - electrolysis'!A3532,overview!$B$3:$R$3,0))</f>
        <v>fuel cell, PEM</v>
      </c>
    </row>
    <row r="3533" spans="1:2" x14ac:dyDescent="0.2">
      <c r="A3533" t="s">
        <v>39</v>
      </c>
      <c r="B3533" s="45" t="str">
        <f>INDEX(overview!$B$4:$R$338,MATCH('hydrogen - electrolysis'!B3524,overview!$A$4:$A$338,0),MATCH('hydrogen - electrolysis'!A3533,overview!$B$3:$R$3,0))</f>
        <v>exergy</v>
      </c>
    </row>
    <row r="3534" spans="1:2" x14ac:dyDescent="0.2">
      <c r="A3534" t="s">
        <v>4</v>
      </c>
      <c r="B3534" s="45" t="str">
        <f>INDEX(overview!$B$4:$R$338,MATCH('hydrogen - electrolysis'!B3524,overview!$A$4:$A$338,0),MATCH('hydrogen - electrolysis'!A3534,overview!$B$3:$R$3,0))</f>
        <v>pipeline</v>
      </c>
    </row>
    <row r="3535" spans="1:2" x14ac:dyDescent="0.2">
      <c r="A3535" t="s">
        <v>38</v>
      </c>
      <c r="B3535" s="45">
        <f>INDEX(overview!$B$4:$R$338,MATCH('hydrogen - electrolysis'!B3524,overview!$A$4:$A$338,0),MATCH('hydrogen - electrolysis'!A3535,overview!$B$3:$R$3,0))</f>
        <v>500</v>
      </c>
    </row>
    <row r="3536" spans="1:2" x14ac:dyDescent="0.2">
      <c r="A3536" t="s">
        <v>12</v>
      </c>
      <c r="B3536" s="45" t="str">
        <f>INDEX(overview!$B$4:$R$338,MATCH('hydrogen - electrolysis'!B3524,overview!$A$4:$A$338,0),MATCH('hydrogen - electrolysis'!A3536,overview!$B$3:$R$3,0))</f>
        <v>Pressure vessel for stationary storage</v>
      </c>
    </row>
    <row r="3537" spans="1:2" x14ac:dyDescent="0.2">
      <c r="A3537" t="s">
        <v>34</v>
      </c>
      <c r="B3537" s="45">
        <f>INDEX(overview!$B$4:$R$338,MATCH('hydrogen - electrolysis'!B3524,overview!$A$4:$A$338,0),MATCH('hydrogen - electrolysis'!A3537,overview!$B$3:$R$3,0))</f>
        <v>0</v>
      </c>
    </row>
    <row r="3538" spans="1:2" x14ac:dyDescent="0.2">
      <c r="A3538" t="s">
        <v>15</v>
      </c>
      <c r="B3538" s="45" t="str">
        <f>INDEX(overview!$B$4:$R$338,MATCH('hydrogen - electrolysis'!B3524,overview!$A$4:$A$338,0),MATCH('hydrogen - electrolysis'!A3538,overview!$B$3:$R$3,0))</f>
        <v>Electrolysis, SOEC</v>
      </c>
    </row>
    <row r="3539" spans="1:2" x14ac:dyDescent="0.2">
      <c r="A3539" t="s">
        <v>14</v>
      </c>
      <c r="B3539" s="45" t="str">
        <f>INDEX(overview!$B$4:$R$338,MATCH('hydrogen - electrolysis'!B3524,overview!$A$4:$A$338,0),MATCH('hydrogen - electrolysis'!A3539,overview!$B$3:$R$3,0))</f>
        <v>water and electricity</v>
      </c>
    </row>
    <row r="3540" spans="1:2" x14ac:dyDescent="0.2">
      <c r="A3540" t="s">
        <v>26</v>
      </c>
      <c r="B3540" s="45" t="str">
        <f>INDEX(overview!$B$4:$R$338,MATCH('hydrogen - electrolysis'!B3524,overview!$A$4:$A$338,0),MATCH('hydrogen - electrolysis'!A3540,overview!$B$3:$R$3,0))</f>
        <v>Solar PV (CH)</v>
      </c>
    </row>
    <row r="3541" spans="1:2" x14ac:dyDescent="0.2">
      <c r="A3541" t="s">
        <v>29</v>
      </c>
      <c r="B3541" s="45">
        <f>INDEX(overview!$B$4:$R$338,MATCH('hydrogen - electrolysis'!B3524,overview!$A$4:$A$338,0),MATCH('hydrogen - electrolysis'!A3541,overview!$B$3:$R$3,0))</f>
        <v>0</v>
      </c>
    </row>
    <row r="3542" spans="1:2" x14ac:dyDescent="0.2">
      <c r="A3542" t="str">
        <f>IF(B3526="megajoule","Heat","Electricity")&amp;" conversion efficiency [% LHV input]"</f>
        <v>Electricity conversion efficiency [% LHV input]</v>
      </c>
      <c r="B3542" s="46">
        <f>INDEX(parameters!$D$4:$N$20,MATCH('hydrogen - electrolysis'!B3530&amp;'hydrogen - electrolysis'!B3532,parameters!$A$4:$A$20,0),MATCH('hydrogen - electrolysis'!A3542,parameters!$D$3:$N$3,0))</f>
        <v>0.45</v>
      </c>
    </row>
    <row r="3543" spans="1:2" x14ac:dyDescent="0.2">
      <c r="A3543" t="str">
        <f>IF(B3526="megajoule","LHV [MJ/kg]","LHV [kWh/kg]")</f>
        <v>LHV [kWh/kg]</v>
      </c>
      <c r="B3543" s="47">
        <f>INDEX(parameters!$D$4:$N$20,MATCH('hydrogen - electrolysis'!B3530&amp;'hydrogen - electrolysis'!B3532,parameters!$A$4:$A$20,0),MATCH('hydrogen - electrolysis'!A3543,parameters!$D$3:$N$3,0))</f>
        <v>33.333333333333336</v>
      </c>
    </row>
    <row r="3544" spans="1:2" x14ac:dyDescent="0.2">
      <c r="A3544" t="s">
        <v>41</v>
      </c>
      <c r="B3544" s="48">
        <f>INDEX(parameters!$D$4:$N$20,MATCH('hydrogen - electrolysis'!B3530&amp;'hydrogen - electrolysis'!B3532,parameters!$A$4:$A$20,0),MATCH('hydrogen - electrolysis'!A3544,parameters!$D$3:$N$3,0))</f>
        <v>2.6666666666666665E-2</v>
      </c>
    </row>
    <row r="3545" spans="1:2" x14ac:dyDescent="0.2">
      <c r="A3545" t="s">
        <v>45</v>
      </c>
      <c r="B3545" s="46">
        <f>INDEX(parameters!$D$4:$N$20,MATCH('hydrogen - electrolysis'!B3530&amp;'hydrogen - electrolysis'!B3532,parameters!$A$4:$A$20,0),MATCH('hydrogen - electrolysis'!A3545,parameters!$D$3:$N$3,0))</f>
        <v>0</v>
      </c>
    </row>
    <row r="3546" spans="1:2" x14ac:dyDescent="0.2">
      <c r="A3546" t="s">
        <v>46</v>
      </c>
      <c r="B3546" s="46">
        <f>INDEX(parameters!$D$4:$N$20,MATCH('hydrogen - electrolysis'!B3530&amp;'hydrogen - electrolysis'!B3532,parameters!$A$4:$A$20,0),MATCH('hydrogen - electrolysis'!A3546,parameters!$D$3:$N$3,0))</f>
        <v>1.4999999999999999E-2</v>
      </c>
    </row>
    <row r="3547" spans="1:2" x14ac:dyDescent="0.2">
      <c r="A3547" t="s">
        <v>43</v>
      </c>
      <c r="B3547" s="46">
        <f>INDEX(parameters!$D$4:$N$20,MATCH('hydrogen - electrolysis'!B3530&amp;'hydrogen - electrolysis'!B3532,parameters!$A$4:$A$20,0),MATCH('hydrogen - electrolysis'!A3547,parameters!$D$3:$N$3,0))</f>
        <v>0</v>
      </c>
    </row>
    <row r="3548" spans="1:2" x14ac:dyDescent="0.2">
      <c r="A3548" t="s">
        <v>44</v>
      </c>
      <c r="B3548" s="46">
        <f>INDEX(parameters!$D$4:$N$20,MATCH('hydrogen - electrolysis'!B3530&amp;'hydrogen - electrolysis'!B3532,parameters!$A$4:$A$20,0),MATCH('hydrogen - electrolysis'!A3548,parameters!$D$3:$N$3,0))</f>
        <v>0</v>
      </c>
    </row>
    <row r="3549" spans="1:2" x14ac:dyDescent="0.2">
      <c r="A3549" t="s">
        <v>634</v>
      </c>
      <c r="B3549" s="51">
        <f>INDEX(parameters!$D$4:$Y$20,MATCH('hydrogen - electrolysis'!B3530&amp;'hydrogen - electrolysis'!B3532,parameters!$A$4:$A$20,0),MATCH('hydrogen - electrolysis'!A3549,parameters!$D$3:$Y$3,0))</f>
        <v>1.8947368421052633</v>
      </c>
    </row>
    <row r="3550" spans="1:2" x14ac:dyDescent="0.2">
      <c r="A3550" t="s">
        <v>82</v>
      </c>
      <c r="B3550" s="46">
        <f>IF(B3541&lt;&gt;0,VLOOKUP(B3541,parameters!A2360:B2362,2,0),0)</f>
        <v>0</v>
      </c>
    </row>
    <row r="3551" spans="1:2" x14ac:dyDescent="0.2">
      <c r="A3551" t="s">
        <v>548</v>
      </c>
      <c r="B3551" s="50">
        <f>INDEX(parameters!$D$4:$P$20,MATCH(B3530&amp;B3532,parameters!$A$4:$A$20,0),MATCH(A3551,parameters!$D$3:$P$3,0))</f>
        <v>0.8</v>
      </c>
    </row>
    <row r="3552" spans="1:2" x14ac:dyDescent="0.2">
      <c r="A3552" t="s">
        <v>547</v>
      </c>
      <c r="B3552" s="51">
        <f>INDEX(parameters!$D$4:$P$20,MATCH(B3530&amp;B3532,parameters!$A$4:$A$20,0),MATCH(A3552,parameters!$D$3:$P$3,0))</f>
        <v>4.8780487804878048</v>
      </c>
    </row>
    <row r="3553" spans="1:22" x14ac:dyDescent="0.2">
      <c r="A3553" t="s">
        <v>630</v>
      </c>
      <c r="B3553" s="51">
        <f>INDEX(parameters!$D$4:$T$20,MATCH(B3530&amp;B3532,parameters!$A$4:$A$20,0),MATCH(A3553,parameters!$D$3:$T$3,0))</f>
        <v>4100</v>
      </c>
    </row>
    <row r="3554" spans="1:22" x14ac:dyDescent="0.2">
      <c r="A3554" t="s">
        <v>1005</v>
      </c>
      <c r="B3554" s="50">
        <f>IF(B3526="megajoule",SUMIFS(allocation!$I$4:$I$30,allocation!$B$4:$B$30,B3532,allocation!$C$4:$C$30,B3533),SUMIFS(allocation!$J$4:$J$30,allocation!$B$4:$B$30,B3532,allocation!$C$4:$C$30,B3533))</f>
        <v>0.86066019201025545</v>
      </c>
    </row>
    <row r="3555" spans="1:22" x14ac:dyDescent="0.2">
      <c r="A3555" t="s">
        <v>1050</v>
      </c>
      <c r="B3555" s="51">
        <f>INDEX(parameters!$D$4:$AB$20,MATCH(B3530&amp;B3532,parameters!$A$4:$A$20,0),MATCH(A3555,parameters!$D$3:$AB$3,0))</f>
        <v>10.221606648199446</v>
      </c>
    </row>
    <row r="3557" spans="1:22" x14ac:dyDescent="0.2">
      <c r="A3557" s="3" t="s">
        <v>57</v>
      </c>
    </row>
    <row r="3558" spans="1:22" x14ac:dyDescent="0.2">
      <c r="A3558" s="2" t="s">
        <v>58</v>
      </c>
      <c r="B3558" s="44" t="s">
        <v>59</v>
      </c>
      <c r="C3558" s="2" t="s">
        <v>55</v>
      </c>
      <c r="D3558" s="2" t="s">
        <v>60</v>
      </c>
      <c r="E3558" s="2" t="s">
        <v>52</v>
      </c>
      <c r="F3558" s="2" t="s">
        <v>61</v>
      </c>
      <c r="G3558" s="2" t="s">
        <v>54</v>
      </c>
      <c r="H3558" s="2" t="s">
        <v>87</v>
      </c>
      <c r="I3558" s="2" t="s">
        <v>51</v>
      </c>
      <c r="J3558" s="2" t="s">
        <v>138</v>
      </c>
      <c r="K3558" s="2" t="s">
        <v>136</v>
      </c>
      <c r="L3558" s="2" t="s">
        <v>221</v>
      </c>
      <c r="M3558" s="2" t="s">
        <v>379</v>
      </c>
      <c r="N3558" s="2" t="s">
        <v>1059</v>
      </c>
      <c r="O3558" s="2" t="s">
        <v>1060</v>
      </c>
      <c r="P3558" s="2" t="s">
        <v>1061</v>
      </c>
      <c r="Q3558" s="2" t="s">
        <v>1062</v>
      </c>
      <c r="R3558" s="2" t="s">
        <v>1063</v>
      </c>
      <c r="S3558" s="2" t="s">
        <v>1064</v>
      </c>
      <c r="T3558" s="2" t="s">
        <v>1065</v>
      </c>
      <c r="U3558" s="2" t="s">
        <v>380</v>
      </c>
      <c r="V3558" s="2" t="s">
        <v>1128</v>
      </c>
    </row>
    <row r="3559" spans="1:22" x14ac:dyDescent="0.2">
      <c r="A3559" t="str">
        <f>B3520</f>
        <v>electricity, residential, by conversion of hydrogen using fuel cell, PEM, allocated by exergy, transported by pipeline, produced by Electrolysis, SOEC using water and electricity from Solar PV (CH)</v>
      </c>
      <c r="B3559" s="45">
        <v>1</v>
      </c>
      <c r="C3559" t="str">
        <f>B3526</f>
        <v>kilowatt hour</v>
      </c>
      <c r="E3559" t="str">
        <f>B3523</f>
        <v>CH</v>
      </c>
      <c r="F3559" t="s">
        <v>62</v>
      </c>
      <c r="G3559" t="str">
        <f>B3525</f>
        <v>electricity, from residential heating system</v>
      </c>
      <c r="K3559" t="str">
        <f>B3520</f>
        <v>electricity, residential, by conversion of hydrogen using fuel cell, PEM, allocated by exergy, transported by pipeline, produced by Electrolysis, SOEC using water and electricity from Solar PV (CH)</v>
      </c>
    </row>
    <row r="3560" spans="1:22" x14ac:dyDescent="0.2">
      <c r="A3560" t="str">
        <f>VLOOKUP(J3560,'dataset mapping'!$A$4:$E$69,2,0)</f>
        <v>fuel cell system assembly, 1 kWe, proton exchange membrane (PEM)</v>
      </c>
      <c r="B3560" s="52">
        <f>(1/(B3549*B3553*B3552))*B3554</f>
        <v>2.2711866178048405E-5</v>
      </c>
      <c r="C3560" t="str">
        <f>VLOOKUP(J3560,'dataset mapping'!$A$4:$E$69,5,0)</f>
        <v>unit</v>
      </c>
      <c r="E3560" t="str">
        <f>VLOOKUP(J3560,'dataset mapping'!$A$4:$E$69,4,0)</f>
        <v>GLO</v>
      </c>
      <c r="F3560" t="s">
        <v>86</v>
      </c>
      <c r="G3560" t="str">
        <f>VLOOKUP(J3560,'dataset mapping'!$A$4:$E$69,3,0)</f>
        <v>fuel cell system, 1 kWe, proton exchange membrane (PEM)</v>
      </c>
      <c r="H3560" t="s">
        <v>88</v>
      </c>
      <c r="I3560" t="s">
        <v>272</v>
      </c>
      <c r="J3560" t="s">
        <v>273</v>
      </c>
      <c r="K3560" t="str">
        <f>B3520</f>
        <v>electricity, residential, by conversion of hydrogen using fuel cell, PEM, allocated by exergy, transported by pipeline, produced by Electrolysis, SOEC using water and electricity from Solar PV (CH)</v>
      </c>
      <c r="L3560">
        <f>IF(OR(B3560&lt;0,B3560=0),1,2)</f>
        <v>2</v>
      </c>
      <c r="M3560">
        <f>IF(L3560=2,LN(B3560),"")</f>
        <v>-10.692623030936341</v>
      </c>
      <c r="N3560">
        <v>1</v>
      </c>
      <c r="O3560" s="15">
        <v>1.2</v>
      </c>
      <c r="P3560">
        <v>1</v>
      </c>
      <c r="Q3560">
        <v>1.01</v>
      </c>
      <c r="R3560">
        <v>1.2</v>
      </c>
      <c r="S3560">
        <v>1.2</v>
      </c>
      <c r="T3560">
        <v>3</v>
      </c>
      <c r="U3560">
        <f>LN(SQRT(EXP(
SQRT(
+POWER(LN(N3560),2)
+POWER(LN(O3560),2)
+POWER(LN(P3560),2)
+POWER(LN(Q3560),2)
+POWER(LN(R3560),2)
+POWER(LN(S3560),2)
+POWER(LN(T3560),2)
)
)))</f>
        <v>0.57157051623399524</v>
      </c>
    </row>
    <row r="3561" spans="1:22" x14ac:dyDescent="0.2">
      <c r="A3561" s="45" t="str">
        <f>"hydrogen supply, transported by "&amp;B3534&amp;", produced by "&amp;B3538&amp;" using "&amp;B3539&amp;" from "&amp;B3540</f>
        <v>hydrogen supply, transported by pipeline, produced by Electrolysis, SOEC using water and electricity from Solar PV (CH)</v>
      </c>
      <c r="B3561" s="53">
        <f>(B3559/B3543)/B3542*B3554</f>
        <v>5.7377346134017029E-2</v>
      </c>
      <c r="C3561" t="s">
        <v>56</v>
      </c>
      <c r="E3561" t="s">
        <v>64</v>
      </c>
      <c r="F3561" t="s">
        <v>86</v>
      </c>
      <c r="G3561" t="str">
        <f>"hydrogen, gaseous, from "&amp;B3534</f>
        <v>hydrogen, gaseous, from pipeline</v>
      </c>
      <c r="H3561" t="s">
        <v>76</v>
      </c>
      <c r="I3561" t="s">
        <v>1054</v>
      </c>
      <c r="J3561" t="s">
        <v>293</v>
      </c>
      <c r="K3561" t="str">
        <f>B3520</f>
        <v>electricity, residential, by conversion of hydrogen using fuel cell, PEM, allocated by exergy, transported by pipeline, produced by Electrolysis, SOEC using water and electricity from Solar PV (CH)</v>
      </c>
      <c r="L3561">
        <f>IF(OR(B3561&lt;0,B3561=0),1,2)</f>
        <v>2</v>
      </c>
      <c r="M3561">
        <f>IF(L3561=2,LN(B3561),"")</f>
        <v>-2.8581057202127536</v>
      </c>
      <c r="N3561">
        <v>1</v>
      </c>
      <c r="O3561" s="15">
        <v>1.2</v>
      </c>
      <c r="P3561">
        <v>1</v>
      </c>
      <c r="Q3561">
        <v>1.01</v>
      </c>
      <c r="R3561">
        <v>1.2</v>
      </c>
      <c r="S3561">
        <v>1.2</v>
      </c>
      <c r="T3561">
        <v>1.05</v>
      </c>
      <c r="U3561">
        <f>LN(SQRT(EXP(
SQRT(
+POWER(LN(N3561),2)
+POWER(LN(O3561),2)
+POWER(LN(P3561),2)
+POWER(LN(Q3561),2)
+POWER(LN(R3561),2)
+POWER(LN(S3561),2)
+POWER(LN(T3561),2)
)
)))</f>
        <v>0.15984597228197622</v>
      </c>
    </row>
    <row r="3562" spans="1:22" x14ac:dyDescent="0.2">
      <c r="A3562" t="s">
        <v>134</v>
      </c>
      <c r="B3562" s="53">
        <f>B3561*9</f>
        <v>0.51639611520615325</v>
      </c>
      <c r="C3562" t="s">
        <v>56</v>
      </c>
      <c r="D3562" t="s">
        <v>100</v>
      </c>
      <c r="F3562" t="s">
        <v>99</v>
      </c>
      <c r="H3562" t="s">
        <v>131</v>
      </c>
      <c r="I3562" t="s">
        <v>1057</v>
      </c>
      <c r="K3562" t="str">
        <f>B3520</f>
        <v>electricity, residential, by conversion of hydrogen using fuel cell, PEM, allocated by exergy, transported by pipeline, produced by Electrolysis, SOEC using water and electricity from Solar PV (CH)</v>
      </c>
      <c r="L3562">
        <f>IF(OR(B3562&lt;0,B3562=0),1,2)</f>
        <v>2</v>
      </c>
      <c r="M3562">
        <f>IF(L3562=2,LN(B3562),"")</f>
        <v>-0.6608811428765341</v>
      </c>
      <c r="N3562">
        <v>1</v>
      </c>
      <c r="O3562" s="15">
        <v>1.2</v>
      </c>
      <c r="P3562">
        <v>1</v>
      </c>
      <c r="Q3562">
        <v>1.01</v>
      </c>
      <c r="R3562">
        <v>1.2</v>
      </c>
      <c r="S3562">
        <v>1.2</v>
      </c>
      <c r="T3562">
        <v>1.05</v>
      </c>
      <c r="U3562">
        <f>LN(SQRT(EXP(
SQRT(
+POWER(LN(N3562),2)
+POWER(LN(O3562),2)
+POWER(LN(P3562),2)
+POWER(LN(Q3562),2)
+POWER(LN(R3562),2)
+POWER(LN(S3562),2)
+POWER(LN(T3562),2)
)
)))</f>
        <v>0.15984597228197622</v>
      </c>
    </row>
    <row r="3564" spans="1:22" x14ac:dyDescent="0.2">
      <c r="A3564" s="2" t="s">
        <v>50</v>
      </c>
      <c r="B3564" s="44" t="str">
        <f>IF(B3570="megajoule","heat","electricity")&amp;", residential, by "&amp;B3575&amp;" of "&amp;B3574&amp;" using "&amp;B3576&amp;IF(B3577&lt;&gt;0,", allocated by "&amp;B3577,"")&amp;", transported by "&amp;B3578&amp;", produced by "&amp;B3582&amp;" using "&amp;B3583&amp;" from "&amp;B3584</f>
        <v>electricity, residential, by conversion of hydrogen using fuel cell, SOFC, allocated by exergy, transported by pipeline, produced by Electrolysis, SOEC using water and electricity from Solar PV (CH)</v>
      </c>
    </row>
    <row r="3565" spans="1:22" x14ac:dyDescent="0.2">
      <c r="A3565" t="s">
        <v>51</v>
      </c>
      <c r="B3565" s="45" t="e">
        <f>"This dataset represents the supply of 1 "&amp;IF(B3570="megajoule","megajoule of heat","kilowatt hour of electricity")&amp;" in a residence, by "&amp;B3574&amp;" "&amp;B3575&amp;" in a "&amp;B3576&amp;". "&amp;" The hydrogen is transported by "&amp;B3578&amp;" over "&amp;B3579&amp;" km from regional storage. "&amp;" The "&amp;B3574&amp;" is produced by  "&amp;B3582&amp;", with "&amp;B3583&amp;" from "&amp;B3584&amp;" as feedstock. "&amp;A3586&amp;": "&amp;(B3586*100)&amp;"%. "&amp;A3587&amp;": "&amp;B3587&amp;". "&amp;A3588&amp;": "&amp;B3588&amp;". "&amp;A3589&amp;": "&amp;(B3589*100)&amp;"%. "&amp;A3590&amp;": "&amp;(B3590*100)&amp;"%. "&amp;A3591&amp;": "&amp;(B3591*100)&amp;"%. "&amp;A3592/3*4019/3*4020&amp;": "&amp;B3593&amp;". "&amp;A3594&amp;": "&amp;(B3594*100)&amp;"%. "&amp;A3595&amp;": "&amp;B3595&amp;". "&amp;A3596&amp;": "&amp;B3596&amp;". "&amp;A3597&amp;": "&amp;B3597&amp;". "&amp;A3598&amp;": "&amp;B3598&amp;".  For more information, refer to: "&amp;B3566</f>
        <v>#VALUE!</v>
      </c>
    </row>
    <row r="3566" spans="1:22" x14ac:dyDescent="0.2">
      <c r="A3566" t="s">
        <v>63</v>
      </c>
      <c r="B3566" s="45" t="s">
        <v>1223</v>
      </c>
    </row>
    <row r="3567" spans="1:22" x14ac:dyDescent="0.2">
      <c r="A3567" t="s">
        <v>52</v>
      </c>
      <c r="B3567" s="45" t="s">
        <v>64</v>
      </c>
    </row>
    <row r="3568" spans="1:22" x14ac:dyDescent="0.2">
      <c r="A3568" t="s">
        <v>48</v>
      </c>
      <c r="B3568" s="45" t="s">
        <v>897</v>
      </c>
    </row>
    <row r="3569" spans="1:2" x14ac:dyDescent="0.2">
      <c r="A3569" t="s">
        <v>54</v>
      </c>
      <c r="B3569" s="45" t="str">
        <f>INDEX(overview!$B$4:$R$338,MATCH('hydrogen - electrolysis'!B3568,overview!$A$4:$A$338,0),MATCH('hydrogen - electrolysis'!A3569,overview!$B$3:$R$3,0))</f>
        <v>electricity, from residential heating system</v>
      </c>
    </row>
    <row r="3570" spans="1:2" x14ac:dyDescent="0.2">
      <c r="A3570" t="s">
        <v>55</v>
      </c>
      <c r="B3570" s="45" t="str">
        <f>INDEX(overview!$B$4:$R$338,MATCH('hydrogen - electrolysis'!B3568,overview!$A$4:$A$338,0),MATCH('hydrogen - electrolysis'!A3570,overview!$B$3:$R$3,0))</f>
        <v>kilowatt hour</v>
      </c>
    </row>
    <row r="3571" spans="1:2" x14ac:dyDescent="0.2">
      <c r="A3571" t="s">
        <v>0</v>
      </c>
      <c r="B3571" s="45" t="str">
        <f>INDEX(overview!$B$4:$R$338,MATCH('hydrogen - electrolysis'!B3568,overview!$A$4:$A$338,0),MATCH('hydrogen - electrolysis'!A3571,overview!$B$3:$R$3,0))</f>
        <v>Switzerland</v>
      </c>
    </row>
    <row r="3572" spans="1:2" x14ac:dyDescent="0.2">
      <c r="A3572" t="s">
        <v>1</v>
      </c>
      <c r="B3572" s="45">
        <f>INDEX(overview!$B$4:$R$338,MATCH('hydrogen - electrolysis'!B3568,overview!$A$4:$A$338,0),MATCH('hydrogen - electrolysis'!A3572,overview!$B$3:$R$3,0))</f>
        <v>2020</v>
      </c>
    </row>
    <row r="3573" spans="1:2" x14ac:dyDescent="0.2">
      <c r="A3573" t="s">
        <v>2</v>
      </c>
      <c r="B3573" s="45" t="str">
        <f>INDEX(overview!$B$4:$R$338,MATCH('hydrogen - electrolysis'!B3568,overview!$A$4:$A$338,0),MATCH('hydrogen - electrolysis'!A3573,overview!$B$3:$R$3,0))</f>
        <v>1 kWh electricity</v>
      </c>
    </row>
    <row r="3574" spans="1:2" x14ac:dyDescent="0.2">
      <c r="A3574" t="s">
        <v>5</v>
      </c>
      <c r="B3574" s="45" t="str">
        <f>INDEX(overview!$B$4:$R$338,MATCH('hydrogen - electrolysis'!B3568,overview!$A$4:$A$338,0),MATCH('hydrogen - electrolysis'!A3574,overview!$B$3:$R$3,0))</f>
        <v>hydrogen</v>
      </c>
    </row>
    <row r="3575" spans="1:2" x14ac:dyDescent="0.2">
      <c r="A3575" t="s">
        <v>3</v>
      </c>
      <c r="B3575" s="45" t="str">
        <f>INDEX(overview!$B$4:$R$338,MATCH('hydrogen - electrolysis'!B3568,overview!$A$4:$A$338,0),MATCH('hydrogen - electrolysis'!A3575,overview!$B$3:$R$3,0))</f>
        <v>conversion</v>
      </c>
    </row>
    <row r="3576" spans="1:2" x14ac:dyDescent="0.2">
      <c r="A3576" t="s">
        <v>6</v>
      </c>
      <c r="B3576" s="45" t="str">
        <f>INDEX(overview!$B$4:$R$338,MATCH('hydrogen - electrolysis'!B3568,overview!$A$4:$A$338,0),MATCH('hydrogen - electrolysis'!A3576,overview!$B$3:$R$3,0))</f>
        <v>fuel cell, SOFC</v>
      </c>
    </row>
    <row r="3577" spans="1:2" x14ac:dyDescent="0.2">
      <c r="A3577" t="s">
        <v>39</v>
      </c>
      <c r="B3577" s="45" t="str">
        <f>INDEX(overview!$B$4:$R$338,MATCH('hydrogen - electrolysis'!B3568,overview!$A$4:$A$338,0),MATCH('hydrogen - electrolysis'!A3577,overview!$B$3:$R$3,0))</f>
        <v>exergy</v>
      </c>
    </row>
    <row r="3578" spans="1:2" x14ac:dyDescent="0.2">
      <c r="A3578" t="s">
        <v>4</v>
      </c>
      <c r="B3578" s="45" t="str">
        <f>INDEX(overview!$B$4:$R$338,MATCH('hydrogen - electrolysis'!B3568,overview!$A$4:$A$338,0),MATCH('hydrogen - electrolysis'!A3578,overview!$B$3:$R$3,0))</f>
        <v>pipeline</v>
      </c>
    </row>
    <row r="3579" spans="1:2" x14ac:dyDescent="0.2">
      <c r="A3579" t="s">
        <v>38</v>
      </c>
      <c r="B3579" s="45">
        <f>INDEX(overview!$B$4:$R$338,MATCH('hydrogen - electrolysis'!B3568,overview!$A$4:$A$338,0),MATCH('hydrogen - electrolysis'!A3579,overview!$B$3:$R$3,0))</f>
        <v>500</v>
      </c>
    </row>
    <row r="3580" spans="1:2" x14ac:dyDescent="0.2">
      <c r="A3580" t="s">
        <v>12</v>
      </c>
      <c r="B3580" s="45" t="str">
        <f>INDEX(overview!$B$4:$R$338,MATCH('hydrogen - electrolysis'!B3568,overview!$A$4:$A$338,0),MATCH('hydrogen - electrolysis'!A3580,overview!$B$3:$R$3,0))</f>
        <v>Pressure vessel for stationary storage</v>
      </c>
    </row>
    <row r="3581" spans="1:2" x14ac:dyDescent="0.2">
      <c r="A3581" t="s">
        <v>34</v>
      </c>
      <c r="B3581" s="45">
        <f>INDEX(overview!$B$4:$R$338,MATCH('hydrogen - electrolysis'!B3568,overview!$A$4:$A$338,0),MATCH('hydrogen - electrolysis'!A3581,overview!$B$3:$R$3,0))</f>
        <v>0</v>
      </c>
    </row>
    <row r="3582" spans="1:2" x14ac:dyDescent="0.2">
      <c r="A3582" t="s">
        <v>15</v>
      </c>
      <c r="B3582" s="45" t="str">
        <f>INDEX(overview!$B$4:$R$338,MATCH('hydrogen - electrolysis'!B3568,overview!$A$4:$A$338,0),MATCH('hydrogen - electrolysis'!A3582,overview!$B$3:$R$3,0))</f>
        <v>Electrolysis, SOEC</v>
      </c>
    </row>
    <row r="3583" spans="1:2" x14ac:dyDescent="0.2">
      <c r="A3583" t="s">
        <v>14</v>
      </c>
      <c r="B3583" s="45" t="str">
        <f>INDEX(overview!$B$4:$R$338,MATCH('hydrogen - electrolysis'!B3568,overview!$A$4:$A$338,0),MATCH('hydrogen - electrolysis'!A3583,overview!$B$3:$R$3,0))</f>
        <v>water and electricity</v>
      </c>
    </row>
    <row r="3584" spans="1:2" x14ac:dyDescent="0.2">
      <c r="A3584" t="s">
        <v>26</v>
      </c>
      <c r="B3584" s="45" t="str">
        <f>INDEX(overview!$B$4:$R$338,MATCH('hydrogen - electrolysis'!B3568,overview!$A$4:$A$338,0),MATCH('hydrogen - electrolysis'!A3584,overview!$B$3:$R$3,0))</f>
        <v>Solar PV (CH)</v>
      </c>
    </row>
    <row r="3585" spans="1:4" x14ac:dyDescent="0.2">
      <c r="A3585" t="s">
        <v>29</v>
      </c>
      <c r="B3585" s="45">
        <f>INDEX(overview!$B$4:$R$338,MATCH('hydrogen - electrolysis'!B3568,overview!$A$4:$A$338,0),MATCH('hydrogen - electrolysis'!A3585,overview!$B$3:$R$3,0))</f>
        <v>0</v>
      </c>
    </row>
    <row r="3586" spans="1:4" x14ac:dyDescent="0.2">
      <c r="A3586" t="str">
        <f>IF(B3570="megajoule","Heat","Electricity")&amp;" conversion efficiency [% LHV input]"</f>
        <v>Electricity conversion efficiency [% LHV input]</v>
      </c>
      <c r="B3586" s="46">
        <f>INDEX(parameters!$D$4:$N$20,MATCH('hydrogen - electrolysis'!B3574&amp;'hydrogen - electrolysis'!B3576,parameters!$A$4:$A$20,0),MATCH('hydrogen - electrolysis'!A3586,parameters!$D$3:$N$3,0))</f>
        <v>0.47</v>
      </c>
    </row>
    <row r="3587" spans="1:4" x14ac:dyDescent="0.2">
      <c r="A3587" t="str">
        <f>IF(B3570="megajoule","LHV [MJ/kg]","LHV [kWh/kg]")</f>
        <v>LHV [kWh/kg]</v>
      </c>
      <c r="B3587" s="47">
        <f>INDEX(parameters!$D$4:$N$20,MATCH('hydrogen - electrolysis'!B3574&amp;'hydrogen - electrolysis'!B3576,parameters!$A$4:$A$20,0),MATCH('hydrogen - electrolysis'!A3587,parameters!$D$3:$N$3,0))</f>
        <v>33.333333333333336</v>
      </c>
    </row>
    <row r="3588" spans="1:4" x14ac:dyDescent="0.2">
      <c r="A3588" t="s">
        <v>41</v>
      </c>
      <c r="B3588" s="48">
        <f>INDEX(parameters!$D$4:$N$20,MATCH('hydrogen - electrolysis'!B3574&amp;'hydrogen - electrolysis'!B3576,parameters!$A$4:$A$20,0),MATCH('hydrogen - electrolysis'!A3588,parameters!$D$3:$N$3,0))</f>
        <v>2.6666666666666665E-2</v>
      </c>
    </row>
    <row r="3589" spans="1:4" x14ac:dyDescent="0.2">
      <c r="A3589" t="s">
        <v>45</v>
      </c>
      <c r="B3589" s="46">
        <f>INDEX(parameters!$D$4:$N$20,MATCH('hydrogen - electrolysis'!B3574&amp;'hydrogen - electrolysis'!B3576,parameters!$A$4:$A$20,0),MATCH('hydrogen - electrolysis'!A3589,parameters!$D$3:$N$3,0))</f>
        <v>0</v>
      </c>
    </row>
    <row r="3590" spans="1:4" x14ac:dyDescent="0.2">
      <c r="A3590" t="s">
        <v>46</v>
      </c>
      <c r="B3590" s="46">
        <f>INDEX(parameters!$D$4:$N$20,MATCH('hydrogen - electrolysis'!B3574&amp;'hydrogen - electrolysis'!B3576,parameters!$A$4:$A$20,0),MATCH('hydrogen - electrolysis'!A3590,parameters!$D$3:$N$3,0))</f>
        <v>1.4999999999999999E-2</v>
      </c>
    </row>
    <row r="3591" spans="1:4" x14ac:dyDescent="0.2">
      <c r="A3591" t="s">
        <v>43</v>
      </c>
      <c r="B3591" s="46">
        <f>INDEX(parameters!$D$4:$N$20,MATCH('hydrogen - electrolysis'!B3574&amp;'hydrogen - electrolysis'!B3576,parameters!$A$4:$A$20,0),MATCH('hydrogen - electrolysis'!A3591,parameters!$D$3:$N$3,0))</f>
        <v>0</v>
      </c>
    </row>
    <row r="3592" spans="1:4" x14ac:dyDescent="0.2">
      <c r="A3592" t="s">
        <v>44</v>
      </c>
      <c r="B3592" s="46">
        <f>INDEX(parameters!$D$4:$N$20,MATCH('hydrogen - electrolysis'!B3574&amp;'hydrogen - electrolysis'!B3576,parameters!$A$4:$A$20,0),MATCH('hydrogen - electrolysis'!A3592,parameters!$D$3:$N$3,0))</f>
        <v>0</v>
      </c>
    </row>
    <row r="3593" spans="1:4" x14ac:dyDescent="0.2">
      <c r="A3593" t="s">
        <v>634</v>
      </c>
      <c r="B3593" s="51">
        <f>INDEX(parameters!$D$4:$Y$20,MATCH('hydrogen - electrolysis'!B3574&amp;'hydrogen - electrolysis'!B3576,parameters!$A$4:$A$20,0),MATCH('hydrogen - electrolysis'!A3593,parameters!$D$3:$Y$3,0))</f>
        <v>225</v>
      </c>
      <c r="D3593" s="8"/>
    </row>
    <row r="3594" spans="1:4" x14ac:dyDescent="0.2">
      <c r="A3594" t="s">
        <v>82</v>
      </c>
      <c r="B3594" s="46">
        <f>IF(B3585&lt;&gt;0,VLOOKUP(B3585,parameters!A2409:B2411,2,0),0)</f>
        <v>0</v>
      </c>
    </row>
    <row r="3595" spans="1:4" x14ac:dyDescent="0.2">
      <c r="A3595" t="s">
        <v>548</v>
      </c>
      <c r="B3595" s="50">
        <f>INDEX(parameters!$D$4:$P$20,MATCH(B3574&amp;B3576,parameters!$A$4:$A$20,0),MATCH(A3595,parameters!$D$3:$P$3,0))</f>
        <v>100</v>
      </c>
    </row>
    <row r="3596" spans="1:4" x14ac:dyDescent="0.2">
      <c r="A3596" t="s">
        <v>547</v>
      </c>
      <c r="B3596" s="51">
        <f>INDEX(parameters!$D$4:$P$20,MATCH(B3574&amp;B3576,parameters!$A$4:$A$20,0),MATCH(A3596,parameters!$D$3:$P$3,0))</f>
        <v>6</v>
      </c>
    </row>
    <row r="3597" spans="1:4" x14ac:dyDescent="0.2">
      <c r="A3597" t="s">
        <v>630</v>
      </c>
      <c r="B3597" s="51">
        <f>INDEX(parameters!$D$4:$T$20,MATCH(B3574&amp;B3576,parameters!$A$4:$A$20,0),MATCH(A3597,parameters!$D$3:$T$3,0))</f>
        <v>4100</v>
      </c>
    </row>
    <row r="3598" spans="1:4" x14ac:dyDescent="0.2">
      <c r="A3598" t="s">
        <v>1005</v>
      </c>
      <c r="B3598" s="50">
        <f>IF(B3570="megajoule",SUMIFS(allocation!$I$4:$I$30,allocation!$B$4:$B$30,B3576,allocation!$C$4:$C$30,B3577),SUMIFS(allocation!$J$4:$J$30,allocation!$B$4:$B$30,B3576,allocation!$C$4:$C$30,B3577))</f>
        <v>0.86412493489600906</v>
      </c>
    </row>
    <row r="3599" spans="1:4" x14ac:dyDescent="0.2">
      <c r="A3599" t="s">
        <v>1050</v>
      </c>
      <c r="B3599" s="51">
        <f>INDEX(parameters!$D$4:$AB$20,MATCH(B3574&amp;B3576,parameters!$A$4:$A$20,0),MATCH(A3599,parameters!$D$3:$AB$3,0))</f>
        <v>1153.1249999999998</v>
      </c>
    </row>
    <row r="3601" spans="1:22" x14ac:dyDescent="0.2">
      <c r="A3601" s="3" t="s">
        <v>57</v>
      </c>
    </row>
    <row r="3602" spans="1:22" x14ac:dyDescent="0.2">
      <c r="A3602" s="2" t="s">
        <v>58</v>
      </c>
      <c r="B3602" s="44" t="s">
        <v>59</v>
      </c>
      <c r="C3602" s="2" t="s">
        <v>55</v>
      </c>
      <c r="D3602" s="2" t="s">
        <v>60</v>
      </c>
      <c r="E3602" s="2" t="s">
        <v>52</v>
      </c>
      <c r="F3602" s="2" t="s">
        <v>61</v>
      </c>
      <c r="G3602" s="2" t="s">
        <v>54</v>
      </c>
      <c r="H3602" s="2" t="s">
        <v>87</v>
      </c>
      <c r="I3602" s="2" t="s">
        <v>51</v>
      </c>
      <c r="J3602" s="2" t="s">
        <v>138</v>
      </c>
      <c r="K3602" s="2" t="s">
        <v>136</v>
      </c>
      <c r="L3602" s="2" t="s">
        <v>221</v>
      </c>
      <c r="M3602" s="2" t="s">
        <v>379</v>
      </c>
      <c r="N3602" s="2" t="s">
        <v>1059</v>
      </c>
      <c r="O3602" s="2" t="s">
        <v>1060</v>
      </c>
      <c r="P3602" s="2" t="s">
        <v>1061</v>
      </c>
      <c r="Q3602" s="2" t="s">
        <v>1062</v>
      </c>
      <c r="R3602" s="2" t="s">
        <v>1063</v>
      </c>
      <c r="S3602" s="2" t="s">
        <v>1064</v>
      </c>
      <c r="T3602" s="2" t="s">
        <v>1065</v>
      </c>
      <c r="U3602" s="2" t="s">
        <v>380</v>
      </c>
      <c r="V3602" s="2" t="s">
        <v>1128</v>
      </c>
    </row>
    <row r="3603" spans="1:22" x14ac:dyDescent="0.2">
      <c r="A3603" t="str">
        <f>B3564</f>
        <v>electricity, residential, by conversion of hydrogen using fuel cell, SOFC, allocated by exergy, transported by pipeline, produced by Electrolysis, SOEC using water and electricity from Solar PV (CH)</v>
      </c>
      <c r="B3603" s="45">
        <v>1</v>
      </c>
      <c r="C3603" t="str">
        <f>B3570</f>
        <v>kilowatt hour</v>
      </c>
      <c r="E3603" t="str">
        <f>B3567</f>
        <v>CH</v>
      </c>
      <c r="F3603" t="s">
        <v>62</v>
      </c>
      <c r="G3603" t="str">
        <f>B3569</f>
        <v>electricity, from residential heating system</v>
      </c>
      <c r="K3603" t="str">
        <f>B3564</f>
        <v>electricity, residential, by conversion of hydrogen using fuel cell, SOFC, allocated by exergy, transported by pipeline, produced by Electrolysis, SOEC using water and electricity from Solar PV (CH)</v>
      </c>
    </row>
    <row r="3604" spans="1:22" x14ac:dyDescent="0.2">
      <c r="A3604" t="str">
        <f>VLOOKUP(J3604,'dataset mapping'!$A$4:$E$69,2,0)</f>
        <v>fuel cell production, stack solid oxide, 125kW electrical, future</v>
      </c>
      <c r="B3604" s="52">
        <f>(1/(B3593*B3597*B3596))*B3598</f>
        <v>1.5612013277254003E-7</v>
      </c>
      <c r="C3604" t="str">
        <f>VLOOKUP(J3604,'dataset mapping'!$A$4:$E$69,5,0)</f>
        <v>unit</v>
      </c>
      <c r="E3604" t="str">
        <f>VLOOKUP(J3604,'dataset mapping'!$A$4:$E$69,4,0)</f>
        <v>CH</v>
      </c>
      <c r="F3604" t="s">
        <v>86</v>
      </c>
      <c r="G3604" t="str">
        <f>VLOOKUP(J3604,'dataset mapping'!$A$4:$E$69,3,0)</f>
        <v>fuel cell, stack solid oxide, 125kW electrical, future</v>
      </c>
      <c r="H3604" t="s">
        <v>88</v>
      </c>
      <c r="I3604" t="s">
        <v>277</v>
      </c>
      <c r="J3604" t="s">
        <v>274</v>
      </c>
      <c r="K3604" t="str">
        <f>B3564</f>
        <v>electricity, residential, by conversion of hydrogen using fuel cell, SOFC, allocated by exergy, transported by pipeline, produced by Electrolysis, SOEC using water and electricity from Solar PV (CH)</v>
      </c>
      <c r="L3604">
        <f>IF(OR(B3604&lt;0,B3604=0),1,2)</f>
        <v>2</v>
      </c>
      <c r="M3604">
        <f>IF(L3604=2,LN(B3604),"")</f>
        <v>-15.672640044182527</v>
      </c>
      <c r="N3604">
        <v>1</v>
      </c>
      <c r="O3604" s="15">
        <v>1.2</v>
      </c>
      <c r="P3604">
        <v>1</v>
      </c>
      <c r="Q3604">
        <v>1.01</v>
      </c>
      <c r="R3604">
        <v>1.2</v>
      </c>
      <c r="S3604">
        <v>1.2</v>
      </c>
      <c r="T3604">
        <v>3</v>
      </c>
      <c r="U3604">
        <f>LN(SQRT(EXP(
SQRT(
+POWER(LN(N3604),2)
+POWER(LN(O3604),2)
+POWER(LN(P3604),2)
+POWER(LN(Q3604),2)
+POWER(LN(R3604),2)
+POWER(LN(S3604),2)
+POWER(LN(T3604),2)
)
)))</f>
        <v>0.57157051623399524</v>
      </c>
    </row>
    <row r="3605" spans="1:22" x14ac:dyDescent="0.2">
      <c r="A3605" t="s">
        <v>283</v>
      </c>
      <c r="B3605" s="52">
        <f>(1/(B3593*B3597*B3596))*B3598</f>
        <v>1.5612013277254003E-7</v>
      </c>
      <c r="C3605" t="s">
        <v>55</v>
      </c>
      <c r="E3605" t="s">
        <v>64</v>
      </c>
      <c r="F3605" t="s">
        <v>86</v>
      </c>
      <c r="G3605" t="s">
        <v>284</v>
      </c>
      <c r="H3605" t="s">
        <v>88</v>
      </c>
      <c r="I3605" t="s">
        <v>277</v>
      </c>
      <c r="K3605" t="str">
        <f>B3564</f>
        <v>electricity, residential, by conversion of hydrogen using fuel cell, SOFC, allocated by exergy, transported by pipeline, produced by Electrolysis, SOEC using water and electricity from Solar PV (CH)</v>
      </c>
      <c r="L3605">
        <f>IF(OR(B3605&lt;0,B3605=0),1,2)</f>
        <v>2</v>
      </c>
      <c r="M3605">
        <f>IF(L3605=2,LN(B3605),"")</f>
        <v>-15.672640044182527</v>
      </c>
      <c r="N3605">
        <v>1</v>
      </c>
      <c r="O3605" s="15">
        <v>1.2</v>
      </c>
      <c r="P3605">
        <v>1</v>
      </c>
      <c r="Q3605">
        <v>1.01</v>
      </c>
      <c r="R3605">
        <v>1.2</v>
      </c>
      <c r="S3605">
        <v>1.2</v>
      </c>
      <c r="T3605">
        <v>3</v>
      </c>
      <c r="U3605">
        <f>LN(SQRT(EXP(
SQRT(
+POWER(LN(N3605),2)
+POWER(LN(O3605),2)
+POWER(LN(P3605),2)
+POWER(LN(Q3605),2)
+POWER(LN(R3605),2)
+POWER(LN(S3605),2)
+POWER(LN(T3605),2)
)
)))</f>
        <v>0.57157051623399524</v>
      </c>
    </row>
    <row r="3606" spans="1:22" x14ac:dyDescent="0.2">
      <c r="A3606" t="s">
        <v>288</v>
      </c>
      <c r="B3606" s="52">
        <f>0.000024*B3598</f>
        <v>2.0738998437504217E-5</v>
      </c>
      <c r="C3606" t="s">
        <v>56</v>
      </c>
      <c r="E3606" t="s">
        <v>64</v>
      </c>
      <c r="F3606" t="s">
        <v>86</v>
      </c>
      <c r="G3606" t="s">
        <v>287</v>
      </c>
      <c r="H3606" t="s">
        <v>88</v>
      </c>
      <c r="K3606" t="str">
        <f>B3564</f>
        <v>electricity, residential, by conversion of hydrogen using fuel cell, SOFC, allocated by exergy, transported by pipeline, produced by Electrolysis, SOEC using water and electricity from Solar PV (CH)</v>
      </c>
      <c r="L3606">
        <f>IF(OR(B3606&lt;0,B3606=0),1,2)</f>
        <v>2</v>
      </c>
      <c r="M3606">
        <f>IF(L3606=2,LN(B3606),"")</f>
        <v>-10.783494647673981</v>
      </c>
      <c r="N3606">
        <v>1</v>
      </c>
      <c r="O3606" s="15">
        <v>1.2</v>
      </c>
      <c r="P3606">
        <v>1</v>
      </c>
      <c r="Q3606">
        <v>1.01</v>
      </c>
      <c r="R3606">
        <v>1.2</v>
      </c>
      <c r="S3606">
        <v>1.2</v>
      </c>
      <c r="T3606">
        <v>1.05</v>
      </c>
      <c r="U3606">
        <f>LN(SQRT(EXP(
SQRT(
+POWER(LN(N3606),2)
+POWER(LN(O3606),2)
+POWER(LN(P3606),2)
+POWER(LN(Q3606),2)
+POWER(LN(R3606),2)
+POWER(LN(S3606),2)
+POWER(LN(T3606),2)
)
)))</f>
        <v>0.15984597228197622</v>
      </c>
    </row>
    <row r="3607" spans="1:22" x14ac:dyDescent="0.2">
      <c r="A3607" s="45" t="str">
        <f>"hydrogen supply, transported by "&amp;B3578&amp;", produced by "&amp;B3582&amp;" using "&amp;B3583&amp;" from "&amp;B3584</f>
        <v>hydrogen supply, transported by pipeline, produced by Electrolysis, SOEC using water and electricity from Solar PV (CH)</v>
      </c>
      <c r="B3607" s="53">
        <f>(B3603/B3587)/B3586*B3598</f>
        <v>5.515691073804313E-2</v>
      </c>
      <c r="C3607" t="s">
        <v>56</v>
      </c>
      <c r="E3607" t="s">
        <v>64</v>
      </c>
      <c r="F3607" t="s">
        <v>86</v>
      </c>
      <c r="G3607" t="str">
        <f>"hydrogen, gaseous, from "&amp;B3578</f>
        <v>hydrogen, gaseous, from pipeline</v>
      </c>
      <c r="H3607" t="s">
        <v>76</v>
      </c>
      <c r="I3607" t="s">
        <v>1054</v>
      </c>
      <c r="J3607" t="s">
        <v>293</v>
      </c>
      <c r="K3607" t="str">
        <f>B3564</f>
        <v>electricity, residential, by conversion of hydrogen using fuel cell, SOFC, allocated by exergy, transported by pipeline, produced by Electrolysis, SOEC using water and electricity from Solar PV (CH)</v>
      </c>
      <c r="L3607">
        <f>IF(OR(B3607&lt;0,B3607=0),1,2)</f>
        <v>2</v>
      </c>
      <c r="M3607">
        <f>IF(L3607=2,LN(B3607),"")</f>
        <v>-2.8975732330996009</v>
      </c>
      <c r="N3607">
        <v>1</v>
      </c>
      <c r="O3607" s="15">
        <v>1.2</v>
      </c>
      <c r="P3607">
        <v>1</v>
      </c>
      <c r="Q3607">
        <v>1.01</v>
      </c>
      <c r="R3607">
        <v>1.2</v>
      </c>
      <c r="S3607">
        <v>1.2</v>
      </c>
      <c r="T3607">
        <v>1.05</v>
      </c>
      <c r="U3607">
        <f>LN(SQRT(EXP(
SQRT(
+POWER(LN(N3607),2)
+POWER(LN(O3607),2)
+POWER(LN(P3607),2)
+POWER(LN(Q3607),2)
+POWER(LN(R3607),2)
+POWER(LN(S3607),2)
+POWER(LN(T3607),2)
)
)))</f>
        <v>0.15984597228197622</v>
      </c>
    </row>
    <row r="3608" spans="1:22" x14ac:dyDescent="0.2">
      <c r="A3608" t="s">
        <v>134</v>
      </c>
      <c r="B3608" s="45">
        <f>B3607*9</f>
        <v>0.49641219664238817</v>
      </c>
      <c r="C3608" t="s">
        <v>56</v>
      </c>
      <c r="D3608" t="s">
        <v>100</v>
      </c>
      <c r="F3608" t="s">
        <v>99</v>
      </c>
      <c r="H3608" t="s">
        <v>131</v>
      </c>
      <c r="I3608" t="s">
        <v>1057</v>
      </c>
      <c r="K3608" t="str">
        <f>B3564</f>
        <v>electricity, residential, by conversion of hydrogen using fuel cell, SOFC, allocated by exergy, transported by pipeline, produced by Electrolysis, SOEC using water and electricity from Solar PV (CH)</v>
      </c>
      <c r="L3608">
        <f>IF(OR(B3608&lt;0,B3608=0),1,2)</f>
        <v>2</v>
      </c>
      <c r="M3608">
        <f>IF(L3608=2,LN(B3608),"")</f>
        <v>-0.70034865576338168</v>
      </c>
      <c r="N3608">
        <v>1</v>
      </c>
      <c r="O3608" s="15">
        <v>1.2</v>
      </c>
      <c r="P3608">
        <v>1</v>
      </c>
      <c r="Q3608">
        <v>1.01</v>
      </c>
      <c r="R3608">
        <v>1.2</v>
      </c>
      <c r="S3608">
        <v>1.2</v>
      </c>
      <c r="T3608">
        <v>1.05</v>
      </c>
      <c r="U3608">
        <f>LN(SQRT(EXP(
SQRT(
+POWER(LN(N3608),2)
+POWER(LN(O3608),2)
+POWER(LN(P3608),2)
+POWER(LN(Q3608),2)
+POWER(LN(R3608),2)
+POWER(LN(S3608),2)
+POWER(LN(T3608),2)
)
)))</f>
        <v>0.15984597228197622</v>
      </c>
    </row>
    <row r="3610" spans="1:22" x14ac:dyDescent="0.2">
      <c r="A3610" s="2" t="s">
        <v>50</v>
      </c>
      <c r="B3610" s="44" t="str">
        <f>IF(B3616="megajoule","heat","electricity")&amp;", residential, by "&amp;B3621&amp;" of "&amp;B3620&amp;" using "&amp;B3622&amp;IF(B3623&lt;&gt;0,", allocated by "&amp;B3623,"")&amp;", transported by "&amp;B3624&amp;", produced by "&amp;B3628&amp;" using "&amp;B3629&amp;" from "&amp;B3630</f>
        <v>heat, residential, by combustion of hydrogen using boiler, transported by truck, produced by Electrolysis, SOEC using water and electricity from Solar PV (CH)</v>
      </c>
    </row>
    <row r="3611" spans="1:22" x14ac:dyDescent="0.2">
      <c r="A3611" t="s">
        <v>51</v>
      </c>
      <c r="B3611" s="45" t="str">
        <f>"This dataset represents the supply of 1 "&amp;IF(B3616="megajoule","megajoule of heat","kilowatt hour of electricity")&amp;" in a residence, by "&amp;B3620&amp;" "&amp;B3621&amp;" in a "&amp;B3622&amp;". "&amp;" The hydrogen is transported by "&amp;B3624&amp;" over "&amp;B3625&amp;" km from regional storage. "&amp;" The "&amp;B3620&amp;" is produced by  "&amp;B3628&amp;", with "&amp;B3629&amp;" from "&amp;B3630&amp;" as feedstock. "&amp;A3632&amp;": "&amp;(B3632*100)&amp;"%. "&amp;A3633&amp;": "&amp;B3633&amp;". "&amp;A3634&amp;": "&amp;B3634&amp;". "&amp;A3635&amp;": "&amp;(B3635*100)&amp;"%. "&amp;A3636&amp;": "&amp;(B3636*100)&amp;"%. "&amp;A3637&amp;": "&amp;(B3637*100)&amp;"%. "&amp;A3638&amp;": "&amp;B3638&amp;". "&amp;A3639&amp;": "&amp;B3639&amp;". "&amp;A3640&amp;": "&amp;(B3640*100)&amp;"%. "&amp;A3641&amp;": "&amp;B3641&amp;". "&amp;A3642&amp;": "&amp;B3642&amp;". "&amp;A3643&amp;": "&amp;B3643&amp;". "&amp;A3644&amp;": "&amp;B3644&amp;".  For more information, refer to: "&amp;B3612</f>
        <v>This dataset represents the supply of 1 megajoule of heat in a residence, by hydrogen combustion in a boiler.  The hydrogen is transported by truck over 200 km from regional storage.  The hydrogen is produced by  Electrolysis, SOEC, with water and electricity from Solar PV (CH)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3612" spans="1:22" x14ac:dyDescent="0.2">
      <c r="A3612" t="s">
        <v>63</v>
      </c>
      <c r="B3612" s="45" t="s">
        <v>1223</v>
      </c>
    </row>
    <row r="3613" spans="1:22" x14ac:dyDescent="0.2">
      <c r="A3613" t="s">
        <v>52</v>
      </c>
      <c r="B3613" s="45" t="s">
        <v>64</v>
      </c>
    </row>
    <row r="3614" spans="1:22" x14ac:dyDescent="0.2">
      <c r="A3614" t="s">
        <v>48</v>
      </c>
      <c r="B3614" s="45">
        <v>45</v>
      </c>
    </row>
    <row r="3615" spans="1:22" x14ac:dyDescent="0.2">
      <c r="A3615" t="s">
        <v>54</v>
      </c>
      <c r="B3615" s="45" t="str">
        <f>INDEX(overview!$B$4:$R$338,MATCH('hydrogen - electrolysis'!B3614,overview!$A$4:$A$338,0),MATCH('hydrogen - electrolysis'!A3615,overview!$B$3:$R$3,0))</f>
        <v>heat, from residential heating system</v>
      </c>
    </row>
    <row r="3616" spans="1:22" x14ac:dyDescent="0.2">
      <c r="A3616" t="s">
        <v>55</v>
      </c>
      <c r="B3616" s="45" t="str">
        <f>INDEX(overview!$B$4:$R$338,MATCH('hydrogen - electrolysis'!B3614,overview!$A$4:$A$338,0),MATCH('hydrogen - electrolysis'!A3616,overview!$B$3:$R$3,0))</f>
        <v>megajoule</v>
      </c>
    </row>
    <row r="3617" spans="1:2" x14ac:dyDescent="0.2">
      <c r="A3617" t="s">
        <v>0</v>
      </c>
      <c r="B3617" s="45" t="str">
        <f>INDEX(overview!$B$4:$R$338,MATCH('hydrogen - electrolysis'!B3614,overview!$A$4:$A$338,0),MATCH('hydrogen - electrolysis'!A3617,overview!$B$3:$R$3,0))</f>
        <v>Switzerland</v>
      </c>
    </row>
    <row r="3618" spans="1:2" x14ac:dyDescent="0.2">
      <c r="A3618" t="s">
        <v>1</v>
      </c>
      <c r="B3618" s="45">
        <f>INDEX(overview!$B$4:$R$338,MATCH('hydrogen - electrolysis'!B3614,overview!$A$4:$A$338,0),MATCH('hydrogen - electrolysis'!A3618,overview!$B$3:$R$3,0))</f>
        <v>2020</v>
      </c>
    </row>
    <row r="3619" spans="1:2" x14ac:dyDescent="0.2">
      <c r="A3619" t="s">
        <v>2</v>
      </c>
      <c r="B3619" s="45" t="str">
        <f>INDEX(overview!$B$4:$R$338,MATCH('hydrogen - electrolysis'!B3614,overview!$A$4:$A$338,0),MATCH('hydrogen - electrolysis'!A3619,overview!$B$3:$R$3,0))</f>
        <v>1 MJ heat</v>
      </c>
    </row>
    <row r="3620" spans="1:2" x14ac:dyDescent="0.2">
      <c r="A3620" t="s">
        <v>5</v>
      </c>
      <c r="B3620" s="45" t="str">
        <f>INDEX(overview!$B$4:$R$338,MATCH('hydrogen - electrolysis'!B3614,overview!$A$4:$A$338,0),MATCH('hydrogen - electrolysis'!A3620,overview!$B$3:$R$3,0))</f>
        <v>hydrogen</v>
      </c>
    </row>
    <row r="3621" spans="1:2" x14ac:dyDescent="0.2">
      <c r="A3621" t="s">
        <v>3</v>
      </c>
      <c r="B3621" s="45" t="str">
        <f>INDEX(overview!$B$4:$R$338,MATCH('hydrogen - electrolysis'!B3614,overview!$A$4:$A$338,0),MATCH('hydrogen - electrolysis'!A3621,overview!$B$3:$R$3,0))</f>
        <v>combustion</v>
      </c>
    </row>
    <row r="3622" spans="1:2" x14ac:dyDescent="0.2">
      <c r="A3622" t="s">
        <v>6</v>
      </c>
      <c r="B3622" s="45" t="str">
        <f>INDEX(overview!$B$4:$R$338,MATCH('hydrogen - electrolysis'!B3614,overview!$A$4:$A$338,0),MATCH('hydrogen - electrolysis'!A3622,overview!$B$3:$R$3,0))</f>
        <v>boiler</v>
      </c>
    </row>
    <row r="3623" spans="1:2" x14ac:dyDescent="0.2">
      <c r="A3623" t="s">
        <v>39</v>
      </c>
      <c r="B3623" s="45">
        <f>INDEX(overview!$B$4:$R$338,MATCH('hydrogen - electrolysis'!B3614,overview!$A$4:$A$338,0),MATCH('hydrogen - electrolysis'!A3623,overview!$B$3:$R$3,0))</f>
        <v>0</v>
      </c>
    </row>
    <row r="3624" spans="1:2" x14ac:dyDescent="0.2">
      <c r="A3624" t="s">
        <v>4</v>
      </c>
      <c r="B3624" s="45" t="str">
        <f>INDEX(overview!$B$4:$R$338,MATCH('hydrogen - electrolysis'!B3614,overview!$A$4:$A$338,0),MATCH('hydrogen - electrolysis'!A3624,overview!$B$3:$R$3,0))</f>
        <v>truck</v>
      </c>
    </row>
    <row r="3625" spans="1:2" x14ac:dyDescent="0.2">
      <c r="A3625" t="s">
        <v>38</v>
      </c>
      <c r="B3625" s="45">
        <f>INDEX(overview!$B$4:$R$338,MATCH('hydrogen - electrolysis'!B3614,overview!$A$4:$A$338,0),MATCH('hydrogen - electrolysis'!A3625,overview!$B$3:$R$3,0))</f>
        <v>200</v>
      </c>
    </row>
    <row r="3626" spans="1:2" x14ac:dyDescent="0.2">
      <c r="A3626" t="s">
        <v>12</v>
      </c>
      <c r="B3626" s="45" t="str">
        <f>INDEX(overview!$B$4:$R$338,MATCH('hydrogen - electrolysis'!B3614,overview!$A$4:$A$338,0),MATCH('hydrogen - electrolysis'!A3626,overview!$B$3:$R$3,0))</f>
        <v>Pressure vessel for stationary storage</v>
      </c>
    </row>
    <row r="3627" spans="1:2" x14ac:dyDescent="0.2">
      <c r="A3627" t="s">
        <v>34</v>
      </c>
      <c r="B3627" s="45">
        <f>INDEX(overview!$B$4:$R$338,MATCH('hydrogen - electrolysis'!B3614,overview!$A$4:$A$338,0),MATCH('hydrogen - electrolysis'!A3627,overview!$B$3:$R$3,0))</f>
        <v>0</v>
      </c>
    </row>
    <row r="3628" spans="1:2" x14ac:dyDescent="0.2">
      <c r="A3628" t="s">
        <v>15</v>
      </c>
      <c r="B3628" s="45" t="str">
        <f>INDEX(overview!$B$4:$R$338,MATCH('hydrogen - electrolysis'!B3614,overview!$A$4:$A$338,0),MATCH('hydrogen - electrolysis'!A3628,overview!$B$3:$R$3,0))</f>
        <v>Electrolysis, SOEC</v>
      </c>
    </row>
    <row r="3629" spans="1:2" x14ac:dyDescent="0.2">
      <c r="A3629" t="s">
        <v>14</v>
      </c>
      <c r="B3629" s="45" t="str">
        <f>INDEX(overview!$B$4:$R$338,MATCH('hydrogen - electrolysis'!B3614,overview!$A$4:$A$338,0),MATCH('hydrogen - electrolysis'!A3629,overview!$B$3:$R$3,0))</f>
        <v>water and electricity</v>
      </c>
    </row>
    <row r="3630" spans="1:2" x14ac:dyDescent="0.2">
      <c r="A3630" t="s">
        <v>26</v>
      </c>
      <c r="B3630" s="45" t="str">
        <f>INDEX(overview!$B$4:$R$338,MATCH('hydrogen - electrolysis'!B3614,overview!$A$4:$A$338,0),MATCH('hydrogen - electrolysis'!A3630,overview!$B$3:$R$3,0))</f>
        <v>Solar PV (CH)</v>
      </c>
    </row>
    <row r="3631" spans="1:2" x14ac:dyDescent="0.2">
      <c r="A3631" t="s">
        <v>29</v>
      </c>
      <c r="B3631" s="45">
        <f>INDEX(overview!$B$4:$R$338,MATCH('hydrogen - electrolysis'!B3614,overview!$A$4:$A$338,0),MATCH('hydrogen - electrolysis'!A3631,overview!$B$3:$R$3,0))</f>
        <v>0</v>
      </c>
    </row>
    <row r="3632" spans="1:2" x14ac:dyDescent="0.2">
      <c r="A3632" t="str">
        <f>IF(B3616="megajoule","Heat","Electricity")&amp;" conversion efficiency [% LHV input]"</f>
        <v>Heat conversion efficiency [% LHV input]</v>
      </c>
      <c r="B3632" s="46">
        <f>INDEX(parameters!$D$4:$N$20,MATCH('hydrogen - electrolysis'!B3620&amp;'hydrogen - electrolysis'!B3622,parameters!$A$4:$A$20,0),MATCH('hydrogen - electrolysis'!A3632,parameters!$D$3:$N$3,0))</f>
        <v>0.94</v>
      </c>
    </row>
    <row r="3633" spans="1:22" x14ac:dyDescent="0.2">
      <c r="A3633" t="str">
        <f>IF(B3616="megajoule","LHV [MJ/kg]","LHV [kWh/kg]")</f>
        <v>LHV [MJ/kg]</v>
      </c>
      <c r="B3633" s="47">
        <f>INDEX(parameters!$D$4:$N$20,MATCH('hydrogen - electrolysis'!B3620&amp;'hydrogen - electrolysis'!B3622,parameters!$A$4:$A$20,0),MATCH('hydrogen - electrolysis'!A3633,parameters!$D$3:$N$3,0))</f>
        <v>120</v>
      </c>
    </row>
    <row r="3634" spans="1:22" x14ac:dyDescent="0.2">
      <c r="A3634" t="s">
        <v>41</v>
      </c>
      <c r="B3634" s="48">
        <f>INDEX(parameters!$D$4:$N$20,MATCH('hydrogen - electrolysis'!B3620&amp;'hydrogen - electrolysis'!B3622,parameters!$A$4:$A$20,0),MATCH('hydrogen - electrolysis'!A3634,parameters!$D$3:$N$3,0))</f>
        <v>2.6666666666666665E-2</v>
      </c>
    </row>
    <row r="3635" spans="1:22" x14ac:dyDescent="0.2">
      <c r="A3635" t="s">
        <v>45</v>
      </c>
      <c r="B3635" s="49">
        <f>INDEX(parameters!$D$4:$N$20,MATCH('hydrogen - electrolysis'!B3620&amp;'hydrogen - electrolysis'!B3622,parameters!$A$4:$A$20,0),MATCH('hydrogen - electrolysis'!A3635,parameters!$D$3:$N$3,0))</f>
        <v>0</v>
      </c>
    </row>
    <row r="3636" spans="1:22" x14ac:dyDescent="0.2">
      <c r="A3636" t="s">
        <v>46</v>
      </c>
      <c r="B3636" s="49">
        <f>INDEX(parameters!$D$4:$N$20,MATCH('hydrogen - electrolysis'!B3620&amp;'hydrogen - electrolysis'!B3622,parameters!$A$4:$A$20,0),MATCH('hydrogen - electrolysis'!A3636,parameters!$D$3:$N$3,0))</f>
        <v>1.4999999999999999E-2</v>
      </c>
    </row>
    <row r="3637" spans="1:22" x14ac:dyDescent="0.2">
      <c r="A3637" t="s">
        <v>43</v>
      </c>
      <c r="B3637" s="49">
        <f>INDEX(parameters!$D$4:$N$20,MATCH('hydrogen - electrolysis'!B3620&amp;'hydrogen - electrolysis'!B3622,parameters!$A$4:$A$20,0),MATCH('hydrogen - electrolysis'!A3637,parameters!$D$3:$N$3,0))</f>
        <v>0</v>
      </c>
    </row>
    <row r="3638" spans="1:22" x14ac:dyDescent="0.2">
      <c r="A3638" t="s">
        <v>44</v>
      </c>
      <c r="B3638" s="49">
        <f>INDEX(parameters!$D$4:$N$20,MATCH('hydrogen - electrolysis'!B3620&amp;'hydrogen - electrolysis'!B3622,parameters!$A$4:$A$20,0),MATCH('hydrogen - electrolysis'!A3638,parameters!$D$3:$N$3,0))</f>
        <v>0</v>
      </c>
    </row>
    <row r="3639" spans="1:22" x14ac:dyDescent="0.2">
      <c r="A3639" t="s">
        <v>634</v>
      </c>
      <c r="B3639" s="51">
        <f>INDEX(parameters!$D$4:$Y$20,MATCH('hydrogen - electrolysis'!B3620&amp;'hydrogen - electrolysis'!B3622,parameters!$A$4:$A$20,0),MATCH('hydrogen - electrolysis'!A3639,parameters!$D$3:$Y$3,0))</f>
        <v>15.957446808510639</v>
      </c>
    </row>
    <row r="3640" spans="1:22" x14ac:dyDescent="0.2">
      <c r="A3640" t="s">
        <v>82</v>
      </c>
      <c r="B3640" s="46">
        <f>IF(B3631&lt;&gt;0,VLOOKUP(B3631,parameters!A2306:B2308,2,0),0)</f>
        <v>0</v>
      </c>
    </row>
    <row r="3641" spans="1:22" x14ac:dyDescent="0.2">
      <c r="A3641" t="s">
        <v>548</v>
      </c>
      <c r="B3641" s="50">
        <f>INDEX(parameters!$D$4:$P$20,MATCH(B3620&amp;B3622,parameters!$A$4:$A$20,0),MATCH(A3641,parameters!$D$3:$P$3,0))</f>
        <v>15</v>
      </c>
    </row>
    <row r="3642" spans="1:22" x14ac:dyDescent="0.2">
      <c r="A3642" t="s">
        <v>547</v>
      </c>
      <c r="B3642" s="51">
        <f>INDEX(parameters!$D$4:$P$20,MATCH(B3620&amp;B3622,parameters!$A$4:$A$20,0),MATCH(A3642,parameters!$D$3:$P$3,0))</f>
        <v>20</v>
      </c>
    </row>
    <row r="3643" spans="1:22" x14ac:dyDescent="0.2">
      <c r="A3643" t="s">
        <v>630</v>
      </c>
      <c r="B3643" s="51">
        <f>INDEX(parameters!$D$4:$T$20,MATCH(B3620&amp;B3622,parameters!$A$4:$A$20,0),MATCH(A3643,parameters!$D$3:$T$3,0))</f>
        <v>2100</v>
      </c>
    </row>
    <row r="3644" spans="1:22" x14ac:dyDescent="0.2">
      <c r="A3644" t="s">
        <v>1005</v>
      </c>
      <c r="B3644" s="50">
        <f>IF(B3616="megajoule",SUMIFS(allocation!$I$4:$I$30,allocation!$B$4:$B$30,B3622,allocation!$C$4:$C$30,B3623),SUMIFS(allocation!$J$4:$J$30,allocation!$B$4:$B$30,B3622,allocation!$C$4:$C$30,B3623))</f>
        <v>0</v>
      </c>
    </row>
    <row r="3645" spans="1:22" x14ac:dyDescent="0.2">
      <c r="A3645" t="s">
        <v>1050</v>
      </c>
      <c r="B3645" s="51">
        <f>INDEX(parameters!$D$4:$AB$20,MATCH(B3620&amp;B3622,parameters!$A$4:$A$20,0),MATCH(A3645,parameters!$D$3:$AB$3,0))</f>
        <v>44.562019013128115</v>
      </c>
    </row>
    <row r="3647" spans="1:22" x14ac:dyDescent="0.2">
      <c r="A3647" s="3" t="s">
        <v>57</v>
      </c>
    </row>
    <row r="3648" spans="1:22" x14ac:dyDescent="0.2">
      <c r="A3648" s="2" t="s">
        <v>58</v>
      </c>
      <c r="B3648" s="44" t="s">
        <v>59</v>
      </c>
      <c r="C3648" s="2" t="s">
        <v>55</v>
      </c>
      <c r="D3648" s="2" t="s">
        <v>60</v>
      </c>
      <c r="E3648" s="2" t="s">
        <v>52</v>
      </c>
      <c r="F3648" s="2" t="s">
        <v>61</v>
      </c>
      <c r="G3648" s="2" t="s">
        <v>54</v>
      </c>
      <c r="H3648" s="2" t="s">
        <v>87</v>
      </c>
      <c r="I3648" s="2" t="s">
        <v>51</v>
      </c>
      <c r="J3648" s="2" t="s">
        <v>138</v>
      </c>
      <c r="K3648" s="2" t="s">
        <v>136</v>
      </c>
      <c r="L3648" s="2" t="s">
        <v>221</v>
      </c>
      <c r="M3648" s="2" t="s">
        <v>379</v>
      </c>
      <c r="N3648" s="2" t="s">
        <v>1059</v>
      </c>
      <c r="O3648" s="2" t="s">
        <v>1060</v>
      </c>
      <c r="P3648" s="2" t="s">
        <v>1061</v>
      </c>
      <c r="Q3648" s="2" t="s">
        <v>1062</v>
      </c>
      <c r="R3648" s="2" t="s">
        <v>1063</v>
      </c>
      <c r="S3648" s="2" t="s">
        <v>1064</v>
      </c>
      <c r="T3648" s="2" t="s">
        <v>1065</v>
      </c>
      <c r="U3648" s="2" t="s">
        <v>380</v>
      </c>
      <c r="V3648" s="2" t="s">
        <v>1128</v>
      </c>
    </row>
    <row r="3649" spans="1:21" x14ac:dyDescent="0.2">
      <c r="A3649" t="str">
        <f>B3610</f>
        <v>heat, residential, by combustion of hydrogen using boiler, transported by truck, produced by Electrolysis, SOEC using water and electricity from Solar PV (CH)</v>
      </c>
      <c r="B3649" s="45">
        <v>1</v>
      </c>
      <c r="C3649" t="str">
        <f>B3616</f>
        <v>megajoule</v>
      </c>
      <c r="E3649" t="str">
        <f>B3613</f>
        <v>CH</v>
      </c>
      <c r="F3649" t="s">
        <v>62</v>
      </c>
      <c r="G3649" t="str">
        <f>B3615</f>
        <v>heat, from residential heating system</v>
      </c>
      <c r="K3649" t="str">
        <f>B3610</f>
        <v>heat, residential, by combustion of hydrogen using boiler, transported by truck, produced by Electrolysis, SOEC using water and electricity from Solar PV (CH)</v>
      </c>
    </row>
    <row r="3650" spans="1:21" x14ac:dyDescent="0.2">
      <c r="A3650" t="s">
        <v>83</v>
      </c>
      <c r="B3650" s="52">
        <f>1/(B3641*B3643*B3642*3.6)</f>
        <v>4.4091710758377425E-7</v>
      </c>
      <c r="C3650" t="s">
        <v>55</v>
      </c>
      <c r="E3650" t="s">
        <v>85</v>
      </c>
      <c r="F3650" t="s">
        <v>86</v>
      </c>
      <c r="G3650" t="s">
        <v>84</v>
      </c>
      <c r="H3650" t="s">
        <v>88</v>
      </c>
      <c r="K3650" t="str">
        <f>B3610</f>
        <v>heat, residential, by combustion of hydrogen using boiler, transported by truck, produced by Electrolysis, SOEC using water and electricity from Solar PV (CH)</v>
      </c>
      <c r="L3650">
        <f t="shared" ref="L3650:L3655" si="117">IF(OR(B3650&lt;0,B3650=0),1,2)</f>
        <v>2</v>
      </c>
      <c r="M3650">
        <f t="shared" ref="M3650:M3655" si="118">IF(L3650=2,LN(B3650),"")</f>
        <v>-14.634408943829779</v>
      </c>
      <c r="N3650">
        <v>1.05</v>
      </c>
      <c r="O3650" s="15">
        <v>1.2</v>
      </c>
      <c r="P3650">
        <v>1</v>
      </c>
      <c r="Q3650">
        <v>1.01</v>
      </c>
      <c r="R3650">
        <v>1.2</v>
      </c>
      <c r="S3650">
        <v>1.2</v>
      </c>
      <c r="T3650">
        <v>3</v>
      </c>
      <c r="U3650">
        <f t="shared" ref="U3650:U3655" si="119">LN(SQRT(EXP(
SQRT(
+POWER(LN(N3650),2)
+POWER(LN(O3650),2)
+POWER(LN(P3650),2)
+POWER(LN(Q3650),2)
+POWER(LN(R3650),2)
+POWER(LN(S3650),2)
+POWER(LN(T3650),2)
)
)))</f>
        <v>0.57209088006881903</v>
      </c>
    </row>
    <row r="3651" spans="1:21" x14ac:dyDescent="0.2">
      <c r="A3651" t="s">
        <v>500</v>
      </c>
      <c r="B3651" s="52">
        <f>B3650*2</f>
        <v>8.8183421516754851E-7</v>
      </c>
      <c r="C3651" t="s">
        <v>267</v>
      </c>
      <c r="E3651" t="s">
        <v>85</v>
      </c>
      <c r="F3651" t="s">
        <v>86</v>
      </c>
      <c r="G3651" t="s">
        <v>501</v>
      </c>
      <c r="H3651" t="s">
        <v>88</v>
      </c>
      <c r="I3651" t="s">
        <v>621</v>
      </c>
      <c r="K3651" t="str">
        <f>B3610</f>
        <v>heat, residential, by combustion of hydrogen using boiler, transported by truck, produced by Electrolysis, SOEC using water and electricity from Solar PV (CH)</v>
      </c>
      <c r="L3651">
        <f t="shared" si="117"/>
        <v>2</v>
      </c>
      <c r="M3651">
        <f t="shared" si="118"/>
        <v>-13.941261763269834</v>
      </c>
      <c r="N3651">
        <v>1.05</v>
      </c>
      <c r="O3651" s="15">
        <v>1.2</v>
      </c>
      <c r="P3651">
        <v>1</v>
      </c>
      <c r="Q3651">
        <v>1.01</v>
      </c>
      <c r="R3651">
        <v>1.2</v>
      </c>
      <c r="S3651">
        <v>1.2</v>
      </c>
      <c r="T3651">
        <v>3</v>
      </c>
      <c r="U3651">
        <f t="shared" si="119"/>
        <v>0.57209088006881903</v>
      </c>
    </row>
    <row r="3652" spans="1:21" x14ac:dyDescent="0.2">
      <c r="A3652" s="45" t="str">
        <f>"hydrogen supply, transported by "&amp;B3624&amp;", produced by "&amp;B3628&amp;" using "&amp;B3629&amp;" from "&amp;B3630</f>
        <v>hydrogen supply, transported by truck, produced by Electrolysis, SOEC using water and electricity from Solar PV (CH)</v>
      </c>
      <c r="B3652" s="53">
        <f>(B3649/B3633)/B3632</f>
        <v>8.8652482269503553E-3</v>
      </c>
      <c r="C3652" t="s">
        <v>56</v>
      </c>
      <c r="E3652" t="s">
        <v>64</v>
      </c>
      <c r="F3652" t="s">
        <v>86</v>
      </c>
      <c r="G3652" t="str">
        <f>"hydrogen, gaseous, from "&amp;B3624</f>
        <v>hydrogen, gaseous, from truck</v>
      </c>
      <c r="H3652" t="s">
        <v>76</v>
      </c>
      <c r="I3652" t="s">
        <v>1054</v>
      </c>
      <c r="J3652" t="s">
        <v>293</v>
      </c>
      <c r="K3652" t="str">
        <f>B3610</f>
        <v>heat, residential, by combustion of hydrogen using boiler, transported by truck, produced by Electrolysis, SOEC using water and electricity from Solar PV (CH)</v>
      </c>
      <c r="L3652">
        <f t="shared" si="117"/>
        <v>2</v>
      </c>
      <c r="M3652">
        <f t="shared" si="118"/>
        <v>-4.7256163390639587</v>
      </c>
      <c r="N3652">
        <v>1.05</v>
      </c>
      <c r="O3652" s="15">
        <v>1.2</v>
      </c>
      <c r="P3652">
        <v>1</v>
      </c>
      <c r="Q3652">
        <v>1.01</v>
      </c>
      <c r="R3652">
        <v>1.2</v>
      </c>
      <c r="S3652">
        <v>1.2</v>
      </c>
      <c r="T3652">
        <v>1.05</v>
      </c>
      <c r="U3652">
        <f t="shared" si="119"/>
        <v>0.16169679924070957</v>
      </c>
    </row>
    <row r="3653" spans="1:21" x14ac:dyDescent="0.2">
      <c r="A3653" t="str">
        <f>VLOOKUP(J3653,'dataset mapping'!$A$4:$E$69,2,0)</f>
        <v>high pressure hydrogen storage tank</v>
      </c>
      <c r="B3653" s="52">
        <f>((B3645/10)/(B3643*B3639*20*3.6))*IF(B3644&lt;&gt;0,B3644,1)</f>
        <v>1.8469267139479905E-6</v>
      </c>
      <c r="C3653" t="str">
        <f>VLOOKUP(J3653,'dataset mapping'!$A$4:$E$69,5,0)</f>
        <v>kilogram</v>
      </c>
      <c r="E3653" t="str">
        <f>VLOOKUP(J3653,'dataset mapping'!$A$4:$E$69,4,0)</f>
        <v>GLO</v>
      </c>
      <c r="F3653" t="s">
        <v>86</v>
      </c>
      <c r="G3653" t="str">
        <f>VLOOKUP(J3653,'dataset mapping'!$A$4:$E$69,3,0)</f>
        <v>high pressure hydrogen storage tank</v>
      </c>
      <c r="H3653" t="s">
        <v>88</v>
      </c>
      <c r="I3653" t="s">
        <v>230</v>
      </c>
      <c r="J3653" t="s">
        <v>229</v>
      </c>
      <c r="K3653" t="str">
        <f>B3610</f>
        <v>heat, residential, by combustion of hydrogen using boiler, transported by truck, produced by Electrolysis, SOEC using water and electricity from Solar PV (CH)</v>
      </c>
      <c r="L3653">
        <f t="shared" si="117"/>
        <v>2</v>
      </c>
      <c r="M3653">
        <f t="shared" si="118"/>
        <v>-13.20198753595994</v>
      </c>
      <c r="N3653">
        <v>1.05</v>
      </c>
      <c r="O3653" s="15">
        <v>1.2</v>
      </c>
      <c r="P3653">
        <v>1</v>
      </c>
      <c r="Q3653">
        <v>1.01</v>
      </c>
      <c r="R3653">
        <v>1.2</v>
      </c>
      <c r="S3653">
        <v>1.2</v>
      </c>
      <c r="T3653">
        <v>3</v>
      </c>
      <c r="U3653">
        <f t="shared" si="119"/>
        <v>0.57209088006881903</v>
      </c>
    </row>
    <row r="3654" spans="1:21" x14ac:dyDescent="0.2">
      <c r="A3654" t="s">
        <v>134</v>
      </c>
      <c r="B3654" s="45">
        <f>B3652*9</f>
        <v>7.9787234042553196E-2</v>
      </c>
      <c r="C3654" t="s">
        <v>56</v>
      </c>
      <c r="D3654" t="s">
        <v>100</v>
      </c>
      <c r="F3654" t="s">
        <v>99</v>
      </c>
      <c r="H3654" t="s">
        <v>131</v>
      </c>
      <c r="I3654" t="s">
        <v>1058</v>
      </c>
      <c r="K3654" t="str">
        <f>B3610</f>
        <v>heat, residential, by combustion of hydrogen using boiler, transported by truck, produced by Electrolysis, SOEC using water and electricity from Solar PV (CH)</v>
      </c>
      <c r="L3654">
        <f t="shared" si="117"/>
        <v>2</v>
      </c>
      <c r="M3654">
        <f t="shared" si="118"/>
        <v>-2.5283917617277392</v>
      </c>
      <c r="N3654">
        <v>1.05</v>
      </c>
      <c r="O3654" s="15">
        <v>1.2</v>
      </c>
      <c r="P3654">
        <v>1</v>
      </c>
      <c r="Q3654">
        <v>1.01</v>
      </c>
      <c r="R3654">
        <v>1.2</v>
      </c>
      <c r="S3654">
        <v>1.2</v>
      </c>
      <c r="T3654">
        <v>1.05</v>
      </c>
      <c r="U3654">
        <f t="shared" si="119"/>
        <v>0.16169679924070957</v>
      </c>
    </row>
    <row r="3655" spans="1:21" x14ac:dyDescent="0.2">
      <c r="A3655" t="s">
        <v>135</v>
      </c>
      <c r="B3655" s="45">
        <f>912.5/1000000*B3652</f>
        <v>8.0895390070921995E-6</v>
      </c>
      <c r="C3655" t="s">
        <v>56</v>
      </c>
      <c r="D3655" t="s">
        <v>100</v>
      </c>
      <c r="F3655" t="s">
        <v>99</v>
      </c>
      <c r="H3655" t="s">
        <v>131</v>
      </c>
      <c r="I3655" t="s">
        <v>1217</v>
      </c>
      <c r="K3655" t="str">
        <f>B3610</f>
        <v>heat, residential, by combustion of hydrogen using boiler, transported by truck, produced by Electrolysis, SOEC using water and electricity from Solar PV (CH)</v>
      </c>
      <c r="L3655">
        <f t="shared" si="117"/>
        <v>2</v>
      </c>
      <c r="M3655">
        <f t="shared" si="118"/>
        <v>-11.724938811571587</v>
      </c>
      <c r="N3655">
        <v>1.05</v>
      </c>
      <c r="O3655" s="15">
        <v>1.2</v>
      </c>
      <c r="P3655">
        <v>1</v>
      </c>
      <c r="Q3655">
        <v>1.01</v>
      </c>
      <c r="R3655">
        <v>1.2</v>
      </c>
      <c r="S3655">
        <v>1.2</v>
      </c>
      <c r="T3655">
        <v>1.5</v>
      </c>
      <c r="U3655">
        <f t="shared" si="119"/>
        <v>0.25816898211842121</v>
      </c>
    </row>
    <row r="3657" spans="1:21" x14ac:dyDescent="0.2">
      <c r="A3657" s="2" t="s">
        <v>50</v>
      </c>
      <c r="B3657" s="44" t="str">
        <f>IF(B3663="megajoule","heat","electricity")&amp;", residential, by "&amp;B3668&amp;" of "&amp;B3667&amp;" using "&amp;B3669&amp;IF(B3670&lt;&gt;0,", allocated by "&amp;B3670,"")&amp;", transported by "&amp;B3671&amp;", produced by "&amp;B3675&amp;" using "&amp;B3676&amp;" from "&amp;B3677</f>
        <v>heat, residential, by combustion of hydrogen using CHP, allocated by exergy, transported by truck, produced by Electrolysis, SOEC using water and electricity from Solar PV (CH)</v>
      </c>
    </row>
    <row r="3658" spans="1:21" x14ac:dyDescent="0.2">
      <c r="A3658" t="s">
        <v>51</v>
      </c>
      <c r="B3658" s="45" t="e">
        <f>"This dataset represents the supply of 1 "&amp;IF(B3663="megajoule","megajoule of heat","kilowatt hour of electricity")&amp;" in a residence, by "&amp;B3667&amp;" "&amp;B3668&amp;" in a "&amp;B3669&amp;". "&amp;" The hydrogen is transported by "&amp;B3671&amp;" over "&amp;B3672&amp;" km from regional storage. "&amp;" The "&amp;B3667&amp;" is produced by  "&amp;B3675&amp;", with "&amp;B3676&amp;" from "&amp;B3677&amp;" as feedstock. "&amp;A3679&amp;": "&amp;(B3679*100)&amp;"%. "&amp;A3680/3*4098</f>
        <v>#VALUE!</v>
      </c>
    </row>
    <row r="3659" spans="1:21" x14ac:dyDescent="0.2">
      <c r="A3659" t="s">
        <v>63</v>
      </c>
      <c r="B3659" s="45" t="s">
        <v>1223</v>
      </c>
    </row>
    <row r="3660" spans="1:21" x14ac:dyDescent="0.2">
      <c r="A3660" t="s">
        <v>52</v>
      </c>
      <c r="B3660" s="45" t="s">
        <v>64</v>
      </c>
    </row>
    <row r="3661" spans="1:21" x14ac:dyDescent="0.2">
      <c r="A3661" t="s">
        <v>48</v>
      </c>
      <c r="B3661" s="45">
        <v>46</v>
      </c>
    </row>
    <row r="3662" spans="1:21" x14ac:dyDescent="0.2">
      <c r="A3662" t="s">
        <v>54</v>
      </c>
      <c r="B3662" s="45" t="str">
        <f>INDEX(overview!$B$4:$R$338,MATCH('hydrogen - electrolysis'!B3661,overview!$A$4:$A$338,0),MATCH('hydrogen - electrolysis'!A3662,overview!$B$3:$R$3,0))</f>
        <v>heat, from residential heating system</v>
      </c>
    </row>
    <row r="3663" spans="1:21" x14ac:dyDescent="0.2">
      <c r="A3663" t="s">
        <v>55</v>
      </c>
      <c r="B3663" s="45" t="str">
        <f>INDEX(overview!$B$4:$R$338,MATCH('hydrogen - electrolysis'!B3661,overview!$A$4:$A$338,0),MATCH('hydrogen - electrolysis'!A3663,overview!$B$3:$R$3,0))</f>
        <v>megajoule</v>
      </c>
    </row>
    <row r="3664" spans="1:21" x14ac:dyDescent="0.2">
      <c r="A3664" t="s">
        <v>0</v>
      </c>
      <c r="B3664" s="45" t="str">
        <f>INDEX(overview!$B$4:$R$338,MATCH('hydrogen - electrolysis'!B3661,overview!$A$4:$A$338,0),MATCH('hydrogen - electrolysis'!A3664,overview!$B$3:$R$3,0))</f>
        <v>Switzerland</v>
      </c>
    </row>
    <row r="3665" spans="1:2" x14ac:dyDescent="0.2">
      <c r="A3665" t="s">
        <v>1</v>
      </c>
      <c r="B3665" s="45">
        <f>INDEX(overview!$B$4:$R$338,MATCH('hydrogen - electrolysis'!B3661,overview!$A$4:$A$338,0),MATCH('hydrogen - electrolysis'!A3665,overview!$B$3:$R$3,0))</f>
        <v>2020</v>
      </c>
    </row>
    <row r="3666" spans="1:2" x14ac:dyDescent="0.2">
      <c r="A3666" t="s">
        <v>2</v>
      </c>
      <c r="B3666" s="45" t="str">
        <f>INDEX(overview!$B$4:$R$338,MATCH('hydrogen - electrolysis'!B3661,overview!$A$4:$A$338,0),MATCH('hydrogen - electrolysis'!A3666,overview!$B$3:$R$3,0))</f>
        <v>1 MJ heat</v>
      </c>
    </row>
    <row r="3667" spans="1:2" x14ac:dyDescent="0.2">
      <c r="A3667" t="s">
        <v>5</v>
      </c>
      <c r="B3667" s="45" t="str">
        <f>INDEX(overview!$B$4:$R$338,MATCH('hydrogen - electrolysis'!B3661,overview!$A$4:$A$338,0),MATCH('hydrogen - electrolysis'!A3667,overview!$B$3:$R$3,0))</f>
        <v>hydrogen</v>
      </c>
    </row>
    <row r="3668" spans="1:2" x14ac:dyDescent="0.2">
      <c r="A3668" t="s">
        <v>3</v>
      </c>
      <c r="B3668" s="45" t="str">
        <f>INDEX(overview!$B$4:$R$338,MATCH('hydrogen - electrolysis'!B3661,overview!$A$4:$A$338,0),MATCH('hydrogen - electrolysis'!A3668,overview!$B$3:$R$3,0))</f>
        <v>combustion</v>
      </c>
    </row>
    <row r="3669" spans="1:2" x14ac:dyDescent="0.2">
      <c r="A3669" t="s">
        <v>6</v>
      </c>
      <c r="B3669" s="45" t="str">
        <f>INDEX(overview!$B$4:$R$338,MATCH('hydrogen - electrolysis'!B3661,overview!$A$4:$A$338,0),MATCH('hydrogen - electrolysis'!A3669,overview!$B$3:$R$3,0))</f>
        <v>CHP</v>
      </c>
    </row>
    <row r="3670" spans="1:2" x14ac:dyDescent="0.2">
      <c r="A3670" t="s">
        <v>39</v>
      </c>
      <c r="B3670" s="45" t="str">
        <f>INDEX(overview!$B$4:$R$338,MATCH('hydrogen - electrolysis'!B3661,overview!$A$4:$A$338,0),MATCH('hydrogen - electrolysis'!A3670,overview!$B$3:$R$3,0))</f>
        <v>exergy</v>
      </c>
    </row>
    <row r="3671" spans="1:2" x14ac:dyDescent="0.2">
      <c r="A3671" t="s">
        <v>4</v>
      </c>
      <c r="B3671" s="45" t="str">
        <f>INDEX(overview!$B$4:$R$338,MATCH('hydrogen - electrolysis'!B3661,overview!$A$4:$A$338,0),MATCH('hydrogen - electrolysis'!A3671,overview!$B$3:$R$3,0))</f>
        <v>truck</v>
      </c>
    </row>
    <row r="3672" spans="1:2" x14ac:dyDescent="0.2">
      <c r="A3672" t="s">
        <v>38</v>
      </c>
      <c r="B3672" s="45">
        <f>INDEX(overview!$B$4:$R$338,MATCH('hydrogen - electrolysis'!B3661,overview!$A$4:$A$338,0),MATCH('hydrogen - electrolysis'!A3672,overview!$B$3:$R$3,0))</f>
        <v>200</v>
      </c>
    </row>
    <row r="3673" spans="1:2" x14ac:dyDescent="0.2">
      <c r="A3673" t="s">
        <v>12</v>
      </c>
      <c r="B3673" s="45" t="str">
        <f>INDEX(overview!$B$4:$R$338,MATCH('hydrogen - electrolysis'!B3661,overview!$A$4:$A$338,0),MATCH('hydrogen - electrolysis'!A3673,overview!$B$3:$R$3,0))</f>
        <v>Pressure vessel for stationary storage</v>
      </c>
    </row>
    <row r="3674" spans="1:2" x14ac:dyDescent="0.2">
      <c r="A3674" t="s">
        <v>34</v>
      </c>
      <c r="B3674" s="45">
        <f>INDEX(overview!$B$4:$R$338,MATCH('hydrogen - electrolysis'!B3661,overview!$A$4:$A$338,0),MATCH('hydrogen - electrolysis'!A3674,overview!$B$3:$R$3,0))</f>
        <v>0</v>
      </c>
    </row>
    <row r="3675" spans="1:2" x14ac:dyDescent="0.2">
      <c r="A3675" t="s">
        <v>15</v>
      </c>
      <c r="B3675" s="45" t="str">
        <f>INDEX(overview!$B$4:$R$338,MATCH('hydrogen - electrolysis'!B3661,overview!$A$4:$A$338,0),MATCH('hydrogen - electrolysis'!A3675,overview!$B$3:$R$3,0))</f>
        <v>Electrolysis, SOEC</v>
      </c>
    </row>
    <row r="3676" spans="1:2" x14ac:dyDescent="0.2">
      <c r="A3676" t="s">
        <v>14</v>
      </c>
      <c r="B3676" s="45" t="str">
        <f>INDEX(overview!$B$4:$R$338,MATCH('hydrogen - electrolysis'!B3661,overview!$A$4:$A$338,0),MATCH('hydrogen - electrolysis'!A3676,overview!$B$3:$R$3,0))</f>
        <v>water and electricity</v>
      </c>
    </row>
    <row r="3677" spans="1:2" x14ac:dyDescent="0.2">
      <c r="A3677" t="s">
        <v>26</v>
      </c>
      <c r="B3677" s="45" t="str">
        <f>INDEX(overview!$B$4:$R$338,MATCH('hydrogen - electrolysis'!B3661,overview!$A$4:$A$338,0),MATCH('hydrogen - electrolysis'!A3677,overview!$B$3:$R$3,0))</f>
        <v>Solar PV (CH)</v>
      </c>
    </row>
    <row r="3678" spans="1:2" x14ac:dyDescent="0.2">
      <c r="A3678" t="s">
        <v>29</v>
      </c>
      <c r="B3678" s="45">
        <f>INDEX(overview!$B$4:$R$338,MATCH('hydrogen - electrolysis'!B3661,overview!$A$4:$A$338,0),MATCH('hydrogen - electrolysis'!A3678,overview!$B$3:$R$3,0))</f>
        <v>0</v>
      </c>
    </row>
    <row r="3679" spans="1:2" x14ac:dyDescent="0.2">
      <c r="A3679" t="str">
        <f>IF(B3663="megajoule","Heat","Electricity")&amp;" conversion efficiency [% LHV input]"</f>
        <v>Heat conversion efficiency [% LHV input]</v>
      </c>
      <c r="B3679" s="46">
        <f>INDEX(parameters!$D$4:$N$20,MATCH('hydrogen - electrolysis'!B3667&amp;'hydrogen - electrolysis'!B3669,parameters!$A$4:$A$20,0),MATCH('hydrogen - electrolysis'!A3679,parameters!$D$3:$N$3,0))</f>
        <v>0.41699999999999998</v>
      </c>
    </row>
    <row r="3680" spans="1:2" x14ac:dyDescent="0.2">
      <c r="A3680" t="str">
        <f>IF(B3663="megajoule","LHV [MJ/kg]","LHV [kWh/kg]")</f>
        <v>LHV [MJ/kg]</v>
      </c>
      <c r="B3680" s="47">
        <f>INDEX(parameters!$D$4:$N$20,MATCH('hydrogen - electrolysis'!B3667&amp;'hydrogen - electrolysis'!B3669,parameters!$A$4:$A$20,0),MATCH('hydrogen - electrolysis'!A3680,parameters!$D$3:$N$3,0))</f>
        <v>120</v>
      </c>
    </row>
    <row r="3681" spans="1:22" x14ac:dyDescent="0.2">
      <c r="A3681" t="s">
        <v>41</v>
      </c>
      <c r="B3681" s="48">
        <f>INDEX(parameters!$D$4:$N$20,MATCH('hydrogen - electrolysis'!B3667&amp;'hydrogen - electrolysis'!B3669,parameters!$A$4:$A$20,0),MATCH('hydrogen - electrolysis'!A3681,parameters!$D$3:$N$3,0))</f>
        <v>2.6666666666666665E-2</v>
      </c>
    </row>
    <row r="3682" spans="1:22" x14ac:dyDescent="0.2">
      <c r="A3682" t="s">
        <v>45</v>
      </c>
      <c r="B3682" s="46">
        <f>INDEX(parameters!$D$4:$N$20,MATCH('hydrogen - electrolysis'!B3667&amp;'hydrogen - electrolysis'!B3669,parameters!$A$4:$A$20,0),MATCH('hydrogen - electrolysis'!A3682,parameters!$D$3:$N$3,0))</f>
        <v>0</v>
      </c>
    </row>
    <row r="3683" spans="1:22" x14ac:dyDescent="0.2">
      <c r="A3683" t="s">
        <v>46</v>
      </c>
      <c r="B3683" s="46">
        <f>INDEX(parameters!$D$4:$N$20,MATCH('hydrogen - electrolysis'!B3667&amp;'hydrogen - electrolysis'!B3669,parameters!$A$4:$A$20,0),MATCH('hydrogen - electrolysis'!A3683,parameters!$D$3:$N$3,0))</f>
        <v>1.4999999999999999E-2</v>
      </c>
    </row>
    <row r="3684" spans="1:22" x14ac:dyDescent="0.2">
      <c r="A3684" t="s">
        <v>43</v>
      </c>
      <c r="B3684" s="46">
        <f>INDEX(parameters!$D$4:$N$20,MATCH('hydrogen - electrolysis'!B3667&amp;'hydrogen - electrolysis'!B3669,parameters!$A$4:$A$20,0),MATCH('hydrogen - electrolysis'!A3684,parameters!$D$3:$N$3,0))</f>
        <v>0</v>
      </c>
    </row>
    <row r="3685" spans="1:22" x14ac:dyDescent="0.2">
      <c r="A3685" t="s">
        <v>44</v>
      </c>
      <c r="B3685" s="46">
        <f>INDEX(parameters!$D$4:$N$20,MATCH('hydrogen - electrolysis'!B3667&amp;'hydrogen - electrolysis'!B3669,parameters!$A$4:$A$20,0),MATCH('hydrogen - electrolysis'!A3685,parameters!$D$3:$N$3,0))</f>
        <v>0</v>
      </c>
    </row>
    <row r="3686" spans="1:22" x14ac:dyDescent="0.2">
      <c r="A3686" t="s">
        <v>634</v>
      </c>
      <c r="B3686" s="51">
        <f>INDEX(parameters!$D$4:$Y$20,MATCH('hydrogen - electrolysis'!B3667&amp;'hydrogen - electrolysis'!B3669,parameters!$A$4:$A$20,0),MATCH('hydrogen - electrolysis'!A3686,parameters!$D$3:$Y$3,0))</f>
        <v>351.41800246609125</v>
      </c>
    </row>
    <row r="3687" spans="1:22" x14ac:dyDescent="0.2">
      <c r="A3687" t="s">
        <v>82</v>
      </c>
      <c r="B3687" s="46">
        <f>IF(B3678&lt;&gt;0,VLOOKUP(B3678,parameters!A2357:B2359,2,0),0)</f>
        <v>0</v>
      </c>
    </row>
    <row r="3688" spans="1:22" x14ac:dyDescent="0.2">
      <c r="A3688" t="s">
        <v>548</v>
      </c>
      <c r="B3688" s="50">
        <f>INDEX(parameters!$D$4:$P$20,MATCH(B3667&amp;B3669,parameters!$A$4:$A$20,0),MATCH(A3688,parameters!$D$3:$P$3,0))</f>
        <v>125</v>
      </c>
    </row>
    <row r="3689" spans="1:22" x14ac:dyDescent="0.2">
      <c r="A3689" t="s">
        <v>547</v>
      </c>
      <c r="B3689" s="51">
        <f>INDEX(parameters!$D$4:$P$20,MATCH(B3667&amp;B3669,parameters!$A$4:$A$20,0),MATCH(A3689,parameters!$D$3:$P$3,0))</f>
        <v>19.512195121951219</v>
      </c>
    </row>
    <row r="3690" spans="1:22" x14ac:dyDescent="0.2">
      <c r="A3690" t="s">
        <v>630</v>
      </c>
      <c r="B3690" s="51">
        <f>INDEX(parameters!$D$4:$T$20,MATCH(B3667&amp;B3669,parameters!$A$4:$A$20,0),MATCH(A3690,parameters!$D$3:$T$3,0))</f>
        <v>4100</v>
      </c>
    </row>
    <row r="3691" spans="1:22" x14ac:dyDescent="0.2">
      <c r="A3691" t="s">
        <v>1005</v>
      </c>
      <c r="B3691" s="50">
        <f>IF(B3663="megajoule",SUMIFS(allocation!$I$4:$I$30,allocation!$B$4:$B$30,B3669,allocation!$C$4:$C$30,B3670),SUMIFS(allocation!$J$4:$J$30,allocation!$B$4:$B$30,B3669,allocation!$C$4:$C$30,B3670))</f>
        <v>0.12860042227295038</v>
      </c>
    </row>
    <row r="3692" spans="1:22" x14ac:dyDescent="0.2">
      <c r="A3692" t="s">
        <v>1050</v>
      </c>
      <c r="B3692" s="51">
        <f>INDEX(parameters!$D$4:$AB$20,MATCH(B3667&amp;B3669,parameters!$A$4:$A$20,0),MATCH(A3692,parameters!$D$3:$AB$3,0))</f>
        <v>2220.7364520822662</v>
      </c>
    </row>
    <row r="3694" spans="1:22" x14ac:dyDescent="0.2">
      <c r="A3694" s="3" t="s">
        <v>57</v>
      </c>
    </row>
    <row r="3695" spans="1:22" x14ac:dyDescent="0.2">
      <c r="A3695" s="2" t="s">
        <v>58</v>
      </c>
      <c r="B3695" s="44" t="s">
        <v>59</v>
      </c>
      <c r="C3695" s="2" t="s">
        <v>55</v>
      </c>
      <c r="D3695" s="2" t="s">
        <v>60</v>
      </c>
      <c r="E3695" s="2" t="s">
        <v>52</v>
      </c>
      <c r="F3695" s="2" t="s">
        <v>61</v>
      </c>
      <c r="G3695" s="2" t="s">
        <v>54</v>
      </c>
      <c r="H3695" s="2" t="s">
        <v>87</v>
      </c>
      <c r="I3695" s="2" t="s">
        <v>51</v>
      </c>
      <c r="J3695" s="2" t="s">
        <v>138</v>
      </c>
      <c r="K3695" s="2" t="s">
        <v>136</v>
      </c>
      <c r="L3695" s="2" t="s">
        <v>221</v>
      </c>
      <c r="M3695" s="2" t="s">
        <v>379</v>
      </c>
      <c r="N3695" s="2" t="s">
        <v>1059</v>
      </c>
      <c r="O3695" s="2" t="s">
        <v>1060</v>
      </c>
      <c r="P3695" s="2" t="s">
        <v>1061</v>
      </c>
      <c r="Q3695" s="2" t="s">
        <v>1062</v>
      </c>
      <c r="R3695" s="2" t="s">
        <v>1063</v>
      </c>
      <c r="S3695" s="2" t="s">
        <v>1064</v>
      </c>
      <c r="T3695" s="2" t="s">
        <v>1065</v>
      </c>
      <c r="U3695" s="2" t="s">
        <v>380</v>
      </c>
      <c r="V3695" s="2" t="s">
        <v>1128</v>
      </c>
    </row>
    <row r="3696" spans="1:22" x14ac:dyDescent="0.2">
      <c r="A3696" t="str">
        <f>B3657</f>
        <v>heat, residential, by combustion of hydrogen using CHP, allocated by exergy, transported by truck, produced by Electrolysis, SOEC using water and electricity from Solar PV (CH)</v>
      </c>
      <c r="B3696" s="45">
        <v>1</v>
      </c>
      <c r="C3696" t="str">
        <f>B3663</f>
        <v>megajoule</v>
      </c>
      <c r="E3696" t="str">
        <f>B3660</f>
        <v>CH</v>
      </c>
      <c r="F3696" t="s">
        <v>62</v>
      </c>
      <c r="G3696" t="str">
        <f>B3662</f>
        <v>heat, from residential heating system</v>
      </c>
      <c r="K3696" t="str">
        <f>B3657</f>
        <v>heat, residential, by combustion of hydrogen using CHP, allocated by exergy, transported by truck, produced by Electrolysis, SOEC using water and electricity from Solar PV (CH)</v>
      </c>
    </row>
    <row r="3697" spans="1:22" x14ac:dyDescent="0.2">
      <c r="A3697" t="str">
        <f>VLOOKUP(J3697,'dataset mapping'!$A$4:$E$69,2,0)</f>
        <v>heat and power co-generation unit construction, 160kW electrical, common components for heat+electricity</v>
      </c>
      <c r="B3697" s="52">
        <f>(1/(B3686*B3690*B3689*3.6))*B3691</f>
        <v>1.270649883812899E-9</v>
      </c>
      <c r="C3697" t="str">
        <f>VLOOKUP(J3697,'dataset mapping'!$A$4:$E$69,5,0)</f>
        <v>unit</v>
      </c>
      <c r="E3697" t="str">
        <f>VLOOKUP(J3697,'dataset mapping'!$A$4:$E$69,4,0)</f>
        <v>RER</v>
      </c>
      <c r="F3697" t="s">
        <v>86</v>
      </c>
      <c r="G3697" t="str">
        <f>VLOOKUP(J3697,'dataset mapping'!$A$4:$E$69,3,0)</f>
        <v>heat and power co-generation unit, 160kW electrical, common components for heat+electricity</v>
      </c>
      <c r="H3697" t="s">
        <v>88</v>
      </c>
      <c r="J3697" t="s">
        <v>145</v>
      </c>
      <c r="K3697" t="str">
        <f>B3657</f>
        <v>heat, residential, by combustion of hydrogen using CHP, allocated by exergy, transported by truck, produced by Electrolysis, SOEC using water and electricity from Solar PV (CH)</v>
      </c>
      <c r="L3697">
        <f>IF(OR(B3697&lt;0,B3697=0),1,2)</f>
        <v>2</v>
      </c>
      <c r="M3697">
        <f>IF(L3697=2,LN(B3697),"")</f>
        <v>-20.48373734782199</v>
      </c>
      <c r="N3697">
        <v>1.05</v>
      </c>
      <c r="O3697" s="15">
        <v>1.2</v>
      </c>
      <c r="P3697">
        <v>1</v>
      </c>
      <c r="Q3697">
        <v>1.01</v>
      </c>
      <c r="R3697">
        <v>1.2</v>
      </c>
      <c r="S3697">
        <v>1.2</v>
      </c>
      <c r="T3697">
        <v>3</v>
      </c>
      <c r="U3697">
        <f t="shared" ref="U3697:U3705" si="120">LN(SQRT(EXP(
SQRT(
+POWER(LN(N3697),2)
+POWER(LN(O3697),2)
+POWER(LN(P3697),2)
+POWER(LN(Q3697),2)
+POWER(LN(R3697),2)
+POWER(LN(S3697),2)
+POWER(LN(T3697),2)
)
)))</f>
        <v>0.57209088006881903</v>
      </c>
    </row>
    <row r="3698" spans="1:22" x14ac:dyDescent="0.2">
      <c r="A3698" t="str">
        <f>VLOOKUP(J3698,'dataset mapping'!$A$4:$E$69,2,0)</f>
        <v>heat and power co-generation unit construction, 160kW electrical, components for electricity only</v>
      </c>
      <c r="B3698" s="52">
        <f>(1/(B3686*B3690*B3689*3.6))*B3691</f>
        <v>1.270649883812899E-9</v>
      </c>
      <c r="C3698" t="str">
        <f>VLOOKUP(J3698,'dataset mapping'!$A$4:$E$69,5,0)</f>
        <v>unit</v>
      </c>
      <c r="E3698" t="str">
        <f>VLOOKUP(J3698,'dataset mapping'!$A$4:$E$69,4,0)</f>
        <v>RER</v>
      </c>
      <c r="F3698" t="s">
        <v>86</v>
      </c>
      <c r="G3698" t="str">
        <f>VLOOKUP(J3698,'dataset mapping'!$A$4:$E$69,3,0)</f>
        <v>heat and power co-generation unit, 160kW electrical, components for electricity only</v>
      </c>
      <c r="H3698" t="s">
        <v>88</v>
      </c>
      <c r="J3698" t="s">
        <v>146</v>
      </c>
      <c r="K3698" t="str">
        <f>B3657</f>
        <v>heat, residential, by combustion of hydrogen using CHP, allocated by exergy, transported by truck, produced by Electrolysis, SOEC using water and electricity from Solar PV (CH)</v>
      </c>
      <c r="L3698">
        <f>IF(OR(B3698&lt;0,B3698=0),1,2)</f>
        <v>2</v>
      </c>
      <c r="M3698">
        <f>IF(L3698=2,LN(B3698),"")</f>
        <v>-20.48373734782199</v>
      </c>
      <c r="N3698">
        <v>1.05</v>
      </c>
      <c r="O3698" s="15">
        <v>1.2</v>
      </c>
      <c r="P3698">
        <v>1</v>
      </c>
      <c r="Q3698">
        <v>1.01</v>
      </c>
      <c r="R3698">
        <v>1.2</v>
      </c>
      <c r="S3698">
        <v>1.2</v>
      </c>
      <c r="T3698">
        <v>3</v>
      </c>
      <c r="U3698">
        <f t="shared" si="120"/>
        <v>0.57209088006881903</v>
      </c>
    </row>
    <row r="3699" spans="1:22" x14ac:dyDescent="0.2">
      <c r="A3699" t="str">
        <f>VLOOKUP(J3699,'dataset mapping'!$A$4:$E$69,2,0)</f>
        <v>heat and power co-generation unit construction, 160kW electrical, components for heat only</v>
      </c>
      <c r="B3699" s="52">
        <f>(1/(B3686*B3690*B3689*3.6))*B3691</f>
        <v>1.270649883812899E-9</v>
      </c>
      <c r="C3699" t="str">
        <f>VLOOKUP(J3699,'dataset mapping'!$A$4:$E$69,5,0)</f>
        <v>unit</v>
      </c>
      <c r="E3699" t="str">
        <f>VLOOKUP(J3699,'dataset mapping'!$A$4:$E$69,4,0)</f>
        <v>RER</v>
      </c>
      <c r="F3699" t="s">
        <v>86</v>
      </c>
      <c r="G3699" t="str">
        <f>VLOOKUP(J3699,'dataset mapping'!$A$4:$E$69,3,0)</f>
        <v>heat and power co-generation unit, 160kW electrical, components for heat only</v>
      </c>
      <c r="H3699" t="s">
        <v>88</v>
      </c>
      <c r="J3699" t="s">
        <v>147</v>
      </c>
      <c r="K3699" t="str">
        <f>B3657</f>
        <v>heat, residential, by combustion of hydrogen using CHP, allocated by exergy, transported by truck, produced by Electrolysis, SOEC using water and electricity from Solar PV (CH)</v>
      </c>
      <c r="L3699">
        <f>IF(OR(B3699&lt;0,B3699=0),1,2)</f>
        <v>2</v>
      </c>
      <c r="M3699">
        <f>IF(L3699=2,LN(B3699),"")</f>
        <v>-20.48373734782199</v>
      </c>
      <c r="N3699">
        <v>1.05</v>
      </c>
      <c r="O3699" s="15">
        <v>1.2</v>
      </c>
      <c r="P3699">
        <v>1</v>
      </c>
      <c r="Q3699">
        <v>1.01</v>
      </c>
      <c r="R3699">
        <v>1.2</v>
      </c>
      <c r="S3699">
        <v>1.2</v>
      </c>
      <c r="T3699">
        <v>3</v>
      </c>
      <c r="U3699">
        <f t="shared" si="120"/>
        <v>0.57209088006881903</v>
      </c>
    </row>
    <row r="3700" spans="1:22" x14ac:dyDescent="0.2">
      <c r="A3700" t="s">
        <v>156</v>
      </c>
      <c r="B3700" s="52">
        <f>0.00000011366*B3691</f>
        <v>1.461672399554354E-8</v>
      </c>
      <c r="C3700" t="s">
        <v>56</v>
      </c>
      <c r="E3700" t="s">
        <v>90</v>
      </c>
      <c r="F3700" t="s">
        <v>86</v>
      </c>
      <c r="G3700" t="s">
        <v>154</v>
      </c>
      <c r="H3700" t="s">
        <v>155</v>
      </c>
      <c r="K3700" t="str">
        <f>B3657</f>
        <v>heat, residential, by combustion of hydrogen using CHP, allocated by exergy, transported by truck, produced by Electrolysis, SOEC using water and electricity from Solar PV (CH)</v>
      </c>
      <c r="L3700">
        <f>IF(OR(B3700&lt;0,B3700=0),1,2)</f>
        <v>2</v>
      </c>
      <c r="M3700">
        <f>IF(L3700=2,LN(B3700),"")</f>
        <v>-18.041099484645969</v>
      </c>
      <c r="N3700">
        <v>1.05</v>
      </c>
      <c r="O3700" s="15">
        <v>1.2</v>
      </c>
      <c r="P3700">
        <v>1</v>
      </c>
      <c r="Q3700">
        <v>1.01</v>
      </c>
      <c r="R3700">
        <v>1.2</v>
      </c>
      <c r="S3700">
        <v>1.2</v>
      </c>
      <c r="T3700">
        <v>1.05</v>
      </c>
      <c r="U3700">
        <f t="shared" si="120"/>
        <v>0.16169679924070957</v>
      </c>
    </row>
    <row r="3701" spans="1:22" x14ac:dyDescent="0.2">
      <c r="A3701" t="s">
        <v>157</v>
      </c>
      <c r="B3701" s="52">
        <f>0.00000011366*B3691*-1</f>
        <v>-1.461672399554354E-8</v>
      </c>
      <c r="C3701" t="s">
        <v>56</v>
      </c>
      <c r="E3701" t="s">
        <v>64</v>
      </c>
      <c r="F3701" t="s">
        <v>86</v>
      </c>
      <c r="G3701" t="s">
        <v>158</v>
      </c>
      <c r="H3701" t="s">
        <v>155</v>
      </c>
      <c r="K3701" t="str">
        <f>B3657</f>
        <v>heat, residential, by combustion of hydrogen using CHP, allocated by exergy, transported by truck, produced by Electrolysis, SOEC using water and electricity from Solar PV (CH)</v>
      </c>
      <c r="L3701">
        <v>2</v>
      </c>
      <c r="M3701">
        <f>IF(L3701=2,LN(B3701*-1),"")</f>
        <v>-18.041099484645969</v>
      </c>
      <c r="N3701">
        <v>1.05</v>
      </c>
      <c r="O3701" s="15">
        <v>1.2</v>
      </c>
      <c r="P3701">
        <v>1</v>
      </c>
      <c r="Q3701">
        <v>1.01</v>
      </c>
      <c r="R3701">
        <v>1.2</v>
      </c>
      <c r="S3701">
        <v>1.2</v>
      </c>
      <c r="T3701">
        <v>3</v>
      </c>
      <c r="U3701">
        <f t="shared" si="120"/>
        <v>0.57209088006881903</v>
      </c>
      <c r="V3701" t="b">
        <v>1</v>
      </c>
    </row>
    <row r="3702" spans="1:22" x14ac:dyDescent="0.2">
      <c r="A3702" s="45" t="str">
        <f>"hydrogen supply, transported by "&amp;B3671&amp;", produced by "&amp;B3675&amp;" using "&amp;B3676&amp;" from "&amp;B3677</f>
        <v>hydrogen supply, transported by truck, produced by Electrolysis, SOEC using water and electricity from Solar PV (CH)</v>
      </c>
      <c r="B3702" s="53">
        <f>(B3696/B3680)/B3679*B3691</f>
        <v>2.56995248347223E-3</v>
      </c>
      <c r="C3702" t="s">
        <v>56</v>
      </c>
      <c r="E3702" t="s">
        <v>64</v>
      </c>
      <c r="F3702" t="s">
        <v>86</v>
      </c>
      <c r="G3702" t="str">
        <f>"hydrogen, gaseous, from "&amp;B3671</f>
        <v>hydrogen, gaseous, from truck</v>
      </c>
      <c r="H3702" t="s">
        <v>76</v>
      </c>
      <c r="I3702" t="s">
        <v>1054</v>
      </c>
      <c r="J3702" t="s">
        <v>293</v>
      </c>
      <c r="K3702" t="str">
        <f>B3657</f>
        <v>heat, residential, by combustion of hydrogen using CHP, allocated by exergy, transported by truck, produced by Electrolysis, SOEC using water and electricity from Solar PV (CH)</v>
      </c>
      <c r="L3702">
        <f>IF(OR(B3702&lt;0,B3702=0),1,2)</f>
        <v>2</v>
      </c>
      <c r="M3702">
        <f>IF(L3702=2,LN(B3702),"")</f>
        <v>-5.9638678691672418</v>
      </c>
      <c r="N3702">
        <v>1.05</v>
      </c>
      <c r="O3702" s="15">
        <v>1.2</v>
      </c>
      <c r="P3702">
        <v>1</v>
      </c>
      <c r="Q3702">
        <v>1.01</v>
      </c>
      <c r="R3702">
        <v>1.2</v>
      </c>
      <c r="S3702">
        <v>1.2</v>
      </c>
      <c r="T3702">
        <v>1.05</v>
      </c>
      <c r="U3702">
        <f t="shared" si="120"/>
        <v>0.16169679924070957</v>
      </c>
    </row>
    <row r="3703" spans="1:22" x14ac:dyDescent="0.2">
      <c r="A3703" t="str">
        <f>VLOOKUP(J3703,'dataset mapping'!$A$4:$E$69,2,0)</f>
        <v>high pressure hydrogen storage tank</v>
      </c>
      <c r="B3703" s="52">
        <f>((B3692/10)/(B3690*B3686*20*3.6))*IF(B3691&lt;&gt;0,B3691,1)</f>
        <v>2.7529546486023421E-7</v>
      </c>
      <c r="C3703" t="str">
        <f>VLOOKUP(J3703,'dataset mapping'!$A$4:$E$69,5,0)</f>
        <v>kilogram</v>
      </c>
      <c r="E3703" t="str">
        <f>VLOOKUP(J3703,'dataset mapping'!$A$4:$E$69,4,0)</f>
        <v>GLO</v>
      </c>
      <c r="F3703" t="s">
        <v>86</v>
      </c>
      <c r="G3703" t="str">
        <f>VLOOKUP(J3703,'dataset mapping'!$A$4:$E$69,3,0)</f>
        <v>high pressure hydrogen storage tank</v>
      </c>
      <c r="H3703" t="s">
        <v>88</v>
      </c>
      <c r="I3703" t="s">
        <v>279</v>
      </c>
      <c r="J3703" t="s">
        <v>229</v>
      </c>
      <c r="K3703" t="str">
        <f>B3657</f>
        <v>heat, residential, by combustion of hydrogen using CHP, allocated by exergy, transported by truck, produced by Electrolysis, SOEC using water and electricity from Solar PV (CH)</v>
      </c>
      <c r="L3703">
        <f>IF(OR(B3703&lt;0,B3703=0),1,2)</f>
        <v>2</v>
      </c>
      <c r="M3703">
        <f>IF(L3703=2,LN(B3703),"")</f>
        <v>-15.105420898379837</v>
      </c>
      <c r="N3703">
        <v>1.05</v>
      </c>
      <c r="O3703" s="15">
        <v>1.2</v>
      </c>
      <c r="P3703">
        <v>1</v>
      </c>
      <c r="Q3703">
        <v>1.01</v>
      </c>
      <c r="R3703">
        <v>1.2</v>
      </c>
      <c r="S3703">
        <v>1.2</v>
      </c>
      <c r="T3703">
        <v>3</v>
      </c>
      <c r="U3703">
        <f t="shared" si="120"/>
        <v>0.57209088006881903</v>
      </c>
    </row>
    <row r="3704" spans="1:22" x14ac:dyDescent="0.2">
      <c r="A3704" t="s">
        <v>134</v>
      </c>
      <c r="B3704" s="45">
        <f>B3702*9</f>
        <v>2.3129572351250072E-2</v>
      </c>
      <c r="C3704" t="s">
        <v>56</v>
      </c>
      <c r="D3704" t="s">
        <v>100</v>
      </c>
      <c r="F3704" t="s">
        <v>99</v>
      </c>
      <c r="H3704" t="s">
        <v>131</v>
      </c>
      <c r="I3704" t="s">
        <v>1058</v>
      </c>
      <c r="K3704" t="str">
        <f>B3657</f>
        <v>heat, residential, by combustion of hydrogen using CHP, allocated by exergy, transported by truck, produced by Electrolysis, SOEC using water and electricity from Solar PV (CH)</v>
      </c>
      <c r="L3704">
        <f>IF(OR(B3704&lt;0,B3704=0),1,2)</f>
        <v>2</v>
      </c>
      <c r="M3704">
        <f>IF(L3704=2,LN(B3704),"")</f>
        <v>-3.7666432918310226</v>
      </c>
      <c r="N3704">
        <v>1.05</v>
      </c>
      <c r="O3704" s="15">
        <v>1.2</v>
      </c>
      <c r="P3704">
        <v>1</v>
      </c>
      <c r="Q3704">
        <v>1.01</v>
      </c>
      <c r="R3704">
        <v>1.2</v>
      </c>
      <c r="S3704">
        <v>1.2</v>
      </c>
      <c r="T3704">
        <v>1.05</v>
      </c>
      <c r="U3704">
        <f t="shared" si="120"/>
        <v>0.16169679924070957</v>
      </c>
    </row>
    <row r="3705" spans="1:22" x14ac:dyDescent="0.2">
      <c r="A3705" t="s">
        <v>135</v>
      </c>
      <c r="B3705" s="45">
        <f>912.5/1000000*B3702</f>
        <v>2.3450816411684101E-6</v>
      </c>
      <c r="C3705" t="s">
        <v>56</v>
      </c>
      <c r="D3705" t="s">
        <v>100</v>
      </c>
      <c r="F3705" t="s">
        <v>99</v>
      </c>
      <c r="H3705" t="s">
        <v>131</v>
      </c>
      <c r="I3705" t="s">
        <v>1217</v>
      </c>
      <c r="K3705" t="str">
        <f>B3657</f>
        <v>heat, residential, by combustion of hydrogen using CHP, allocated by exergy, transported by truck, produced by Electrolysis, SOEC using water and electricity from Solar PV (CH)</v>
      </c>
      <c r="L3705">
        <f>IF(OR(B3705&lt;0,B3705=0),1,2)</f>
        <v>2</v>
      </c>
      <c r="M3705">
        <f>IF(L3705=2,LN(B3705),"")</f>
        <v>-12.963190341674869</v>
      </c>
      <c r="N3705">
        <v>1.05</v>
      </c>
      <c r="O3705" s="15">
        <v>1.2</v>
      </c>
      <c r="P3705">
        <v>1</v>
      </c>
      <c r="Q3705">
        <v>1.01</v>
      </c>
      <c r="R3705">
        <v>1.2</v>
      </c>
      <c r="S3705">
        <v>1.2</v>
      </c>
      <c r="T3705">
        <v>1.5</v>
      </c>
      <c r="U3705">
        <f t="shared" si="120"/>
        <v>0.25816898211842121</v>
      </c>
    </row>
    <row r="3707" spans="1:22" x14ac:dyDescent="0.2">
      <c r="A3707" s="2" t="s">
        <v>50</v>
      </c>
      <c r="B3707" s="44" t="str">
        <f>IF(B3713="megajoule","heat","electricity")&amp;", residential, by "&amp;B3718&amp;" of "&amp;B3717&amp;" using "&amp;B3719&amp;IF(B3720&lt;&gt;0,", allocated by "&amp;B3720,"")&amp;", transported by "&amp;B3721&amp;", produced by "&amp;B3725&amp;" using "&amp;B3726&amp;" from "&amp;B3727</f>
        <v>heat, residential, by conversion of hydrogen using fuel cell, PEM, allocated by exergy, transported by truck, produced by Electrolysis, SOEC using water and electricity from Solar PV (CH)</v>
      </c>
    </row>
    <row r="3708" spans="1:22" x14ac:dyDescent="0.2">
      <c r="A3708" t="s">
        <v>51</v>
      </c>
      <c r="B3708" s="45" t="str">
        <f>"This dataset represents the supply of 1 "&amp;IF(B3713="megajoule","megajoule of heat","kilowatt hour of electricity")&amp;" in a residence, by "&amp;B3717&amp;" "&amp;B3718&amp;" in a "&amp;B3719&amp;". "&amp;" The hydrogen is transported by "&amp;B3721&amp;" over "&amp;B3722&amp;" km from regional storage. "&amp;" The "&amp;B3717&amp;" is produced by  "&amp;B3725&amp;", with "&amp;B3726&amp;" from "&amp;B3727&amp;" as feedstock. "&amp;A3729&amp;": "&amp;(B3729*100)&amp;"%. "&amp;A3730&amp;": "&amp;B3730&amp;". "&amp;A3731&amp;": "&amp;B3731&amp;". "&amp;A3732&amp;": "&amp;(B3732*100)&amp;"%. "&amp;A3733&amp;": "&amp;(B3733*100)&amp;"%. "&amp;A3734&amp;": "&amp;(B3734*100)&amp;"%. "&amp;A3735&amp;": "&amp;B3735&amp;". "&amp;A3736&amp;": "&amp;B3736&amp;". "&amp;A3737&amp;": "&amp;(B3737*100)&amp;"%. "&amp;A3738&amp;": "&amp;B3738&amp;". "&amp;A3739&amp;": "&amp;B3739&amp;". "&amp;A3740&amp;": "&amp;B3740&amp;". "&amp;A3741&amp;": "&amp;B3741&amp;".  For more information, refer to: "&amp;B3709</f>
        <v>This dataset represents the supply of 1 megajoule of heat in a residence, by hydrogen conversion in a fuel cell, PEM.  The hydrogen is transported by truck over 200 km from regional storage.  The hydrogen is produced by  Electrolysis, SOEC, with water and electricity from Solar PV (CH)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3709" spans="1:22" x14ac:dyDescent="0.2">
      <c r="A3709" t="s">
        <v>63</v>
      </c>
      <c r="B3709" s="45" t="s">
        <v>1223</v>
      </c>
    </row>
    <row r="3710" spans="1:22" x14ac:dyDescent="0.2">
      <c r="A3710" t="s">
        <v>52</v>
      </c>
      <c r="B3710" s="45" t="s">
        <v>64</v>
      </c>
    </row>
    <row r="3711" spans="1:22" x14ac:dyDescent="0.2">
      <c r="A3711" t="s">
        <v>48</v>
      </c>
      <c r="B3711" s="45">
        <v>47</v>
      </c>
    </row>
    <row r="3712" spans="1:22" x14ac:dyDescent="0.2">
      <c r="A3712" t="s">
        <v>54</v>
      </c>
      <c r="B3712" s="45" t="str">
        <f>INDEX(overview!$B$4:$R$338,MATCH('hydrogen - electrolysis'!B3711,overview!$A$4:$A$338,0),MATCH('hydrogen - electrolysis'!A3712,overview!$B$3:$R$3,0))</f>
        <v>heat, from residential heating system</v>
      </c>
    </row>
    <row r="3713" spans="1:2" x14ac:dyDescent="0.2">
      <c r="A3713" t="s">
        <v>55</v>
      </c>
      <c r="B3713" s="45" t="str">
        <f>INDEX(overview!$B$4:$R$338,MATCH('hydrogen - electrolysis'!B3711,overview!$A$4:$A$338,0),MATCH('hydrogen - electrolysis'!A3713,overview!$B$3:$R$3,0))</f>
        <v>megajoule</v>
      </c>
    </row>
    <row r="3714" spans="1:2" x14ac:dyDescent="0.2">
      <c r="A3714" t="s">
        <v>0</v>
      </c>
      <c r="B3714" s="45" t="str">
        <f>INDEX(overview!$B$4:$R$338,MATCH('hydrogen - electrolysis'!B3711,overview!$A$4:$A$338,0),MATCH('hydrogen - electrolysis'!A3714,overview!$B$3:$R$3,0))</f>
        <v>Switzerland</v>
      </c>
    </row>
    <row r="3715" spans="1:2" x14ac:dyDescent="0.2">
      <c r="A3715" t="s">
        <v>1</v>
      </c>
      <c r="B3715" s="45">
        <f>INDEX(overview!$B$4:$R$338,MATCH('hydrogen - electrolysis'!B3711,overview!$A$4:$A$338,0),MATCH('hydrogen - electrolysis'!A3715,overview!$B$3:$R$3,0))</f>
        <v>2020</v>
      </c>
    </row>
    <row r="3716" spans="1:2" x14ac:dyDescent="0.2">
      <c r="A3716" t="s">
        <v>2</v>
      </c>
      <c r="B3716" s="45" t="str">
        <f>INDEX(overview!$B$4:$R$338,MATCH('hydrogen - electrolysis'!B3711,overview!$A$4:$A$338,0),MATCH('hydrogen - electrolysis'!A3716,overview!$B$3:$R$3,0))</f>
        <v>1 MJ heat</v>
      </c>
    </row>
    <row r="3717" spans="1:2" x14ac:dyDescent="0.2">
      <c r="A3717" t="s">
        <v>5</v>
      </c>
      <c r="B3717" s="45" t="str">
        <f>INDEX(overview!$B$4:$R$338,MATCH('hydrogen - electrolysis'!B3711,overview!$A$4:$A$338,0),MATCH('hydrogen - electrolysis'!A3717,overview!$B$3:$R$3,0))</f>
        <v>hydrogen</v>
      </c>
    </row>
    <row r="3718" spans="1:2" x14ac:dyDescent="0.2">
      <c r="A3718" t="s">
        <v>3</v>
      </c>
      <c r="B3718" s="45" t="str">
        <f>INDEX(overview!$B$4:$R$338,MATCH('hydrogen - electrolysis'!B3711,overview!$A$4:$A$338,0),MATCH('hydrogen - electrolysis'!A3718,overview!$B$3:$R$3,0))</f>
        <v>conversion</v>
      </c>
    </row>
    <row r="3719" spans="1:2" x14ac:dyDescent="0.2">
      <c r="A3719" t="s">
        <v>6</v>
      </c>
      <c r="B3719" s="45" t="str">
        <f>INDEX(overview!$B$4:$R$338,MATCH('hydrogen - electrolysis'!B3711,overview!$A$4:$A$338,0),MATCH('hydrogen - electrolysis'!A3719,overview!$B$3:$R$3,0))</f>
        <v>fuel cell, PEM</v>
      </c>
    </row>
    <row r="3720" spans="1:2" x14ac:dyDescent="0.2">
      <c r="A3720" t="s">
        <v>39</v>
      </c>
      <c r="B3720" s="45" t="str">
        <f>INDEX(overview!$B$4:$R$338,MATCH('hydrogen - electrolysis'!B3711,overview!$A$4:$A$338,0),MATCH('hydrogen - electrolysis'!A3720,overview!$B$3:$R$3,0))</f>
        <v>exergy</v>
      </c>
    </row>
    <row r="3721" spans="1:2" x14ac:dyDescent="0.2">
      <c r="A3721" t="s">
        <v>4</v>
      </c>
      <c r="B3721" s="45" t="str">
        <f>INDEX(overview!$B$4:$R$338,MATCH('hydrogen - electrolysis'!B3711,overview!$A$4:$A$338,0),MATCH('hydrogen - electrolysis'!A3721,overview!$B$3:$R$3,0))</f>
        <v>truck</v>
      </c>
    </row>
    <row r="3722" spans="1:2" x14ac:dyDescent="0.2">
      <c r="A3722" t="s">
        <v>38</v>
      </c>
      <c r="B3722" s="45">
        <f>INDEX(overview!$B$4:$R$338,MATCH('hydrogen - electrolysis'!B3711,overview!$A$4:$A$338,0),MATCH('hydrogen - electrolysis'!A3722,overview!$B$3:$R$3,0))</f>
        <v>200</v>
      </c>
    </row>
    <row r="3723" spans="1:2" x14ac:dyDescent="0.2">
      <c r="A3723" t="s">
        <v>12</v>
      </c>
      <c r="B3723" s="45" t="str">
        <f>INDEX(overview!$B$4:$R$338,MATCH('hydrogen - electrolysis'!B3711,overview!$A$4:$A$338,0),MATCH('hydrogen - electrolysis'!A3723,overview!$B$3:$R$3,0))</f>
        <v>Pressure vessel for stationary storage</v>
      </c>
    </row>
    <row r="3724" spans="1:2" x14ac:dyDescent="0.2">
      <c r="A3724" t="s">
        <v>34</v>
      </c>
      <c r="B3724" s="45">
        <f>INDEX(overview!$B$4:$R$338,MATCH('hydrogen - electrolysis'!B3711,overview!$A$4:$A$338,0),MATCH('hydrogen - electrolysis'!A3724,overview!$B$3:$R$3,0))</f>
        <v>0</v>
      </c>
    </row>
    <row r="3725" spans="1:2" x14ac:dyDescent="0.2">
      <c r="A3725" t="s">
        <v>15</v>
      </c>
      <c r="B3725" s="45" t="str">
        <f>INDEX(overview!$B$4:$R$338,MATCH('hydrogen - electrolysis'!B3711,overview!$A$4:$A$338,0),MATCH('hydrogen - electrolysis'!A3725,overview!$B$3:$R$3,0))</f>
        <v>Electrolysis, SOEC</v>
      </c>
    </row>
    <row r="3726" spans="1:2" x14ac:dyDescent="0.2">
      <c r="A3726" t="s">
        <v>14</v>
      </c>
      <c r="B3726" s="45" t="str">
        <f>INDEX(overview!$B$4:$R$338,MATCH('hydrogen - electrolysis'!B3711,overview!$A$4:$A$338,0),MATCH('hydrogen - electrolysis'!A3726,overview!$B$3:$R$3,0))</f>
        <v>water and electricity</v>
      </c>
    </row>
    <row r="3727" spans="1:2" x14ac:dyDescent="0.2">
      <c r="A3727" t="s">
        <v>26</v>
      </c>
      <c r="B3727" s="45" t="str">
        <f>INDEX(overview!$B$4:$R$338,MATCH('hydrogen - electrolysis'!B3711,overview!$A$4:$A$338,0),MATCH('hydrogen - electrolysis'!A3727,overview!$B$3:$R$3,0))</f>
        <v>Solar PV (CH)</v>
      </c>
    </row>
    <row r="3728" spans="1:2" x14ac:dyDescent="0.2">
      <c r="A3728" t="s">
        <v>29</v>
      </c>
      <c r="B3728" s="45">
        <f>INDEX(overview!$B$4:$R$338,MATCH('hydrogen - electrolysis'!B3711,overview!$A$4:$A$338,0),MATCH('hydrogen - electrolysis'!A3728,overview!$B$3:$R$3,0))</f>
        <v>0</v>
      </c>
    </row>
    <row r="3729" spans="1:2" x14ac:dyDescent="0.2">
      <c r="A3729" t="str">
        <f>IF(B3713="megajoule","Heat","Electricity")&amp;" conversion efficiency [% LHV input]"</f>
        <v>Heat conversion efficiency [% LHV input]</v>
      </c>
      <c r="B3729" s="46">
        <f>INDEX(parameters!$D$4:$N$20,MATCH('hydrogen - electrolysis'!B3717&amp;'hydrogen - electrolysis'!B3719,parameters!$A$4:$A$20,0),MATCH('hydrogen - electrolysis'!A3729,parameters!$D$3:$N$3,0))</f>
        <v>0.5</v>
      </c>
    </row>
    <row r="3730" spans="1:2" x14ac:dyDescent="0.2">
      <c r="A3730" t="str">
        <f>IF(B3713="megajoule","LHV [MJ/kg]","LHV [kWh/kg]")</f>
        <v>LHV [MJ/kg]</v>
      </c>
      <c r="B3730" s="47">
        <f>INDEX(parameters!$D$4:$N$20,MATCH('hydrogen - electrolysis'!B3717&amp;'hydrogen - electrolysis'!B3719,parameters!$A$4:$A$20,0),MATCH('hydrogen - electrolysis'!A3730,parameters!$D$3:$N$3,0))</f>
        <v>120</v>
      </c>
    </row>
    <row r="3731" spans="1:2" x14ac:dyDescent="0.2">
      <c r="A3731" t="s">
        <v>41</v>
      </c>
      <c r="B3731" s="48">
        <f>INDEX(parameters!$D$4:$N$20,MATCH('hydrogen - electrolysis'!B3717&amp;'hydrogen - electrolysis'!B3719,parameters!$A$4:$A$20,0),MATCH('hydrogen - electrolysis'!A3731,parameters!$D$3:$N$3,0))</f>
        <v>2.6666666666666665E-2</v>
      </c>
    </row>
    <row r="3732" spans="1:2" x14ac:dyDescent="0.2">
      <c r="A3732" t="s">
        <v>45</v>
      </c>
      <c r="B3732" s="46">
        <f>INDEX(parameters!$D$4:$N$20,MATCH('hydrogen - electrolysis'!B3717&amp;'hydrogen - electrolysis'!B3719,parameters!$A$4:$A$20,0),MATCH('hydrogen - electrolysis'!A3732,parameters!$D$3:$N$3,0))</f>
        <v>0</v>
      </c>
    </row>
    <row r="3733" spans="1:2" x14ac:dyDescent="0.2">
      <c r="A3733" t="s">
        <v>46</v>
      </c>
      <c r="B3733" s="46">
        <f>INDEX(parameters!$D$4:$N$20,MATCH('hydrogen - electrolysis'!B3717&amp;'hydrogen - electrolysis'!B3719,parameters!$A$4:$A$20,0),MATCH('hydrogen - electrolysis'!A3733,parameters!$D$3:$N$3,0))</f>
        <v>1.4999999999999999E-2</v>
      </c>
    </row>
    <row r="3734" spans="1:2" x14ac:dyDescent="0.2">
      <c r="A3734" t="s">
        <v>43</v>
      </c>
      <c r="B3734" s="46">
        <f>INDEX(parameters!$D$4:$N$20,MATCH('hydrogen - electrolysis'!B3717&amp;'hydrogen - electrolysis'!B3719,parameters!$A$4:$A$20,0),MATCH('hydrogen - electrolysis'!A3734,parameters!$D$3:$N$3,0))</f>
        <v>0</v>
      </c>
    </row>
    <row r="3735" spans="1:2" x14ac:dyDescent="0.2">
      <c r="A3735" t="s">
        <v>44</v>
      </c>
      <c r="B3735" s="46">
        <f>INDEX(parameters!$D$4:$N$20,MATCH('hydrogen - electrolysis'!B3717&amp;'hydrogen - electrolysis'!B3719,parameters!$A$4:$A$20,0),MATCH('hydrogen - electrolysis'!A3735,parameters!$D$3:$N$3,0))</f>
        <v>0</v>
      </c>
    </row>
    <row r="3736" spans="1:2" x14ac:dyDescent="0.2">
      <c r="A3736" t="s">
        <v>634</v>
      </c>
      <c r="B3736" s="51">
        <f>INDEX(parameters!$D$4:$Y$20,MATCH('hydrogen - electrolysis'!B3717&amp;'hydrogen - electrolysis'!B3719,parameters!$A$4:$A$20,0),MATCH('hydrogen - electrolysis'!A3736,parameters!$D$3:$Y$3,0))</f>
        <v>1.8947368421052633</v>
      </c>
    </row>
    <row r="3737" spans="1:2" x14ac:dyDescent="0.2">
      <c r="A3737" t="s">
        <v>82</v>
      </c>
      <c r="B3737" s="46">
        <f>IF(B3728&lt;&gt;0,VLOOKUP(B3728,parameters!A2410:B2412,2,0),0)</f>
        <v>0</v>
      </c>
    </row>
    <row r="3738" spans="1:2" x14ac:dyDescent="0.2">
      <c r="A3738" t="s">
        <v>548</v>
      </c>
      <c r="B3738" s="50">
        <f>INDEX(parameters!$D$4:$P$20,MATCH(B3717&amp;B3719,parameters!$A$4:$A$20,0),MATCH(A3738,parameters!$D$3:$P$3,0))</f>
        <v>0.8</v>
      </c>
    </row>
    <row r="3739" spans="1:2" x14ac:dyDescent="0.2">
      <c r="A3739" t="s">
        <v>547</v>
      </c>
      <c r="B3739" s="51">
        <f>INDEX(parameters!$D$4:$P$20,MATCH(B3717&amp;B3719,parameters!$A$4:$A$20,0),MATCH(A3739,parameters!$D$3:$P$3,0))</f>
        <v>4.8780487804878048</v>
      </c>
    </row>
    <row r="3740" spans="1:2" x14ac:dyDescent="0.2">
      <c r="A3740" t="s">
        <v>630</v>
      </c>
      <c r="B3740" s="51">
        <f>INDEX(parameters!$D$4:$T$20,MATCH(B3717&amp;B3719,parameters!$A$4:$A$20,0),MATCH(A3740,parameters!$D$3:$T$3,0))</f>
        <v>4100</v>
      </c>
    </row>
    <row r="3741" spans="1:2" x14ac:dyDescent="0.2">
      <c r="A3741" t="s">
        <v>1005</v>
      </c>
      <c r="B3741" s="50">
        <f>IF(B3713="megajoule",SUMIFS(allocation!$I$4:$I$30,allocation!$B$4:$B$30,B3719,allocation!$C$4:$C$30,B3720),SUMIFS(allocation!$J$4:$J$30,allocation!$B$4:$B$30,B3719,allocation!$C$4:$C$30,B3720))</f>
        <v>0.13933980798974457</v>
      </c>
    </row>
    <row r="3742" spans="1:2" x14ac:dyDescent="0.2">
      <c r="A3742" t="s">
        <v>1050</v>
      </c>
      <c r="B3742" s="51">
        <f>INDEX(parameters!$D$4:$AB$20,MATCH(B3717&amp;B3719,parameters!$A$4:$A$20,0),MATCH(A3742,parameters!$D$3:$AB$3,0))</f>
        <v>10.221606648199446</v>
      </c>
    </row>
    <row r="3744" spans="1:2" x14ac:dyDescent="0.2">
      <c r="A3744" s="3" t="s">
        <v>57</v>
      </c>
    </row>
    <row r="3745" spans="1:22" x14ac:dyDescent="0.2">
      <c r="A3745" s="2" t="s">
        <v>58</v>
      </c>
      <c r="B3745" s="44" t="s">
        <v>59</v>
      </c>
      <c r="C3745" s="2" t="s">
        <v>55</v>
      </c>
      <c r="D3745" s="2" t="s">
        <v>60</v>
      </c>
      <c r="E3745" s="2" t="s">
        <v>52</v>
      </c>
      <c r="F3745" s="2" t="s">
        <v>61</v>
      </c>
      <c r="G3745" s="2" t="s">
        <v>54</v>
      </c>
      <c r="H3745" s="2" t="s">
        <v>87</v>
      </c>
      <c r="I3745" s="2" t="s">
        <v>51</v>
      </c>
      <c r="J3745" s="2" t="s">
        <v>138</v>
      </c>
      <c r="K3745" s="2" t="s">
        <v>136</v>
      </c>
      <c r="L3745" s="2" t="s">
        <v>221</v>
      </c>
      <c r="M3745" s="2" t="s">
        <v>379</v>
      </c>
      <c r="N3745" s="2" t="s">
        <v>1059</v>
      </c>
      <c r="O3745" s="2" t="s">
        <v>1060</v>
      </c>
      <c r="P3745" s="2" t="s">
        <v>1061</v>
      </c>
      <c r="Q3745" s="2" t="s">
        <v>1062</v>
      </c>
      <c r="R3745" s="2" t="s">
        <v>1063</v>
      </c>
      <c r="S3745" s="2" t="s">
        <v>1064</v>
      </c>
      <c r="T3745" s="2" t="s">
        <v>1065</v>
      </c>
      <c r="U3745" s="2" t="s">
        <v>380</v>
      </c>
      <c r="V3745" s="2" t="s">
        <v>1128</v>
      </c>
    </row>
    <row r="3746" spans="1:22" x14ac:dyDescent="0.2">
      <c r="A3746" t="str">
        <f>B3707</f>
        <v>heat, residential, by conversion of hydrogen using fuel cell, PEM, allocated by exergy, transported by truck, produced by Electrolysis, SOEC using water and electricity from Solar PV (CH)</v>
      </c>
      <c r="B3746" s="45">
        <v>1</v>
      </c>
      <c r="C3746" t="str">
        <f>B3713</f>
        <v>megajoule</v>
      </c>
      <c r="E3746" t="str">
        <f>B3710</f>
        <v>CH</v>
      </c>
      <c r="F3746" t="s">
        <v>62</v>
      </c>
      <c r="G3746" t="str">
        <f>B3712</f>
        <v>heat, from residential heating system</v>
      </c>
      <c r="K3746" t="str">
        <f>B3707</f>
        <v>heat, residential, by conversion of hydrogen using fuel cell, PEM, allocated by exergy, transported by truck, produced by Electrolysis, SOEC using water and electricity from Solar PV (CH)</v>
      </c>
    </row>
    <row r="3747" spans="1:22" x14ac:dyDescent="0.2">
      <c r="A3747" t="str">
        <f>VLOOKUP(J3747,'dataset mapping'!$A$4:$E$69,2,0)</f>
        <v>fuel cell system assembly, 1 kWe, proton exchange membrane (PEM)</v>
      </c>
      <c r="B3747" s="52">
        <f>(1/(B3736*B3740*B3739*3.6))*B3741</f>
        <v>1.0213951974556892E-6</v>
      </c>
      <c r="C3747" t="str">
        <f>VLOOKUP(J3747,'dataset mapping'!$A$4:$E$69,5,0)</f>
        <v>unit</v>
      </c>
      <c r="E3747" t="str">
        <f>VLOOKUP(J3747,'dataset mapping'!$A$4:$E$69,4,0)</f>
        <v>GLO</v>
      </c>
      <c r="F3747" t="s">
        <v>86</v>
      </c>
      <c r="G3747" t="str">
        <f>VLOOKUP(J3747,'dataset mapping'!$A$4:$E$69,3,0)</f>
        <v>fuel cell system, 1 kWe, proton exchange membrane (PEM)</v>
      </c>
      <c r="H3747" t="s">
        <v>88</v>
      </c>
      <c r="I3747" t="s">
        <v>272</v>
      </c>
      <c r="J3747" t="s">
        <v>273</v>
      </c>
      <c r="K3747" t="str">
        <f>B3707</f>
        <v>heat, residential, by conversion of hydrogen using fuel cell, PEM, allocated by exergy, transported by truck, produced by Electrolysis, SOEC using water and electricity from Solar PV (CH)</v>
      </c>
      <c r="L3747">
        <f>IF(OR(B3747&lt;0,B3747=0),1,2)</f>
        <v>2</v>
      </c>
      <c r="M3747">
        <f>IF(L3747=2,LN(B3747),"")</f>
        <v>-13.794341024667077</v>
      </c>
      <c r="N3747">
        <v>1</v>
      </c>
      <c r="O3747" s="15">
        <v>1.2</v>
      </c>
      <c r="P3747">
        <v>1</v>
      </c>
      <c r="Q3747">
        <v>1.01</v>
      </c>
      <c r="R3747">
        <v>1.2</v>
      </c>
      <c r="S3747">
        <v>1.2</v>
      </c>
      <c r="T3747">
        <v>3</v>
      </c>
      <c r="U3747">
        <f>LN(SQRT(EXP(
SQRT(
+POWER(LN(N3747),2)
+POWER(LN(O3747),2)
+POWER(LN(P3747),2)
+POWER(LN(Q3747),2)
+POWER(LN(R3747),2)
+POWER(LN(S3747),2)
+POWER(LN(T3747),2)
)
)))</f>
        <v>0.57157051623399524</v>
      </c>
    </row>
    <row r="3748" spans="1:22" x14ac:dyDescent="0.2">
      <c r="A3748" s="45" t="str">
        <f>"hydrogen supply, transported by "&amp;B3721&amp;", produced by "&amp;B3725&amp;" using "&amp;B3726&amp;" from "&amp;B3727</f>
        <v>hydrogen supply, transported by truck, produced by Electrolysis, SOEC using water and electricity from Solar PV (CH)</v>
      </c>
      <c r="B3748" s="53">
        <f>(B3746/B3730)/B3729*B3741</f>
        <v>2.3223301331624095E-3</v>
      </c>
      <c r="C3748" t="s">
        <v>56</v>
      </c>
      <c r="E3748" t="s">
        <v>64</v>
      </c>
      <c r="F3748" t="s">
        <v>86</v>
      </c>
      <c r="G3748" t="str">
        <f>"hydrogen, gaseous, from "&amp;B3721</f>
        <v>hydrogen, gaseous, from truck</v>
      </c>
      <c r="H3748" t="s">
        <v>76</v>
      </c>
      <c r="I3748" t="s">
        <v>1054</v>
      </c>
      <c r="J3748" t="s">
        <v>293</v>
      </c>
      <c r="K3748" t="str">
        <f>B3707</f>
        <v>heat, residential, by conversion of hydrogen using fuel cell, PEM, allocated by exergy, transported by truck, produced by Electrolysis, SOEC using water and electricity from Solar PV (CH)</v>
      </c>
      <c r="L3748">
        <f>IF(OR(B3748&lt;0,B3748=0),1,2)</f>
        <v>2</v>
      </c>
      <c r="M3748">
        <f>IF(L3748=2,LN(B3748),"")</f>
        <v>-6.0651842296013152</v>
      </c>
      <c r="N3748">
        <v>1</v>
      </c>
      <c r="O3748" s="15">
        <v>1.2</v>
      </c>
      <c r="P3748">
        <v>1</v>
      </c>
      <c r="Q3748">
        <v>1.01</v>
      </c>
      <c r="R3748">
        <v>1.2</v>
      </c>
      <c r="S3748">
        <v>1.2</v>
      </c>
      <c r="T3748">
        <v>1.05</v>
      </c>
      <c r="U3748">
        <f>LN(SQRT(EXP(
SQRT(
+POWER(LN(N3748),2)
+POWER(LN(O3748),2)
+POWER(LN(P3748),2)
+POWER(LN(Q3748),2)
+POWER(LN(R3748),2)
+POWER(LN(S3748),2)
+POWER(LN(T3748),2)
)
)))</f>
        <v>0.15984597228197622</v>
      </c>
    </row>
    <row r="3749" spans="1:22" x14ac:dyDescent="0.2">
      <c r="A3749" t="str">
        <f>VLOOKUP(J3749,'dataset mapping'!$A$4:$E$69,2,0)</f>
        <v>high pressure hydrogen storage tank</v>
      </c>
      <c r="B3749" s="52">
        <f>((B3742/10)/(B3740*B3736*20*3.6))*IF(B3741&lt;&gt;0,B3741,1)</f>
        <v>2.5464146196956242E-7</v>
      </c>
      <c r="C3749" t="str">
        <f>VLOOKUP(J3749,'dataset mapping'!$A$4:$E$69,5,0)</f>
        <v>kilogram</v>
      </c>
      <c r="E3749" t="str">
        <f>VLOOKUP(J3749,'dataset mapping'!$A$4:$E$69,4,0)</f>
        <v>GLO</v>
      </c>
      <c r="F3749" t="s">
        <v>86</v>
      </c>
      <c r="G3749" t="str">
        <f>VLOOKUP(J3749,'dataset mapping'!$A$4:$E$69,3,0)</f>
        <v>high pressure hydrogen storage tank</v>
      </c>
      <c r="H3749" t="s">
        <v>88</v>
      </c>
      <c r="I3749" t="s">
        <v>280</v>
      </c>
      <c r="J3749" t="s">
        <v>229</v>
      </c>
      <c r="K3749" t="str">
        <f>B3707</f>
        <v>heat, residential, by conversion of hydrogen using fuel cell, PEM, allocated by exergy, transported by truck, produced by Electrolysis, SOEC using water and electricity from Solar PV (CH)</v>
      </c>
      <c r="L3749">
        <f>IF(OR(B3749&lt;0,B3749=0),1,2)</f>
        <v>2</v>
      </c>
      <c r="M3749">
        <f>IF(L3749=2,LN(B3749),"")</f>
        <v>-15.183409312669692</v>
      </c>
      <c r="N3749">
        <v>1</v>
      </c>
      <c r="O3749" s="15">
        <v>1.2</v>
      </c>
      <c r="P3749">
        <v>1</v>
      </c>
      <c r="Q3749">
        <v>1.01</v>
      </c>
      <c r="R3749">
        <v>1.2</v>
      </c>
      <c r="S3749">
        <v>1.2</v>
      </c>
      <c r="T3749">
        <v>3</v>
      </c>
      <c r="U3749">
        <f>LN(SQRT(EXP(
SQRT(
+POWER(LN(N3749),2)
+POWER(LN(O3749),2)
+POWER(LN(P3749),2)
+POWER(LN(Q3749),2)
+POWER(LN(R3749),2)
+POWER(LN(S3749),2)
+POWER(LN(T3749),2)
)
)))</f>
        <v>0.57157051623399524</v>
      </c>
    </row>
    <row r="3750" spans="1:22" x14ac:dyDescent="0.2">
      <c r="A3750" t="s">
        <v>134</v>
      </c>
      <c r="B3750" s="45">
        <f>B3748*9</f>
        <v>2.0900971198461685E-2</v>
      </c>
      <c r="C3750" t="s">
        <v>56</v>
      </c>
      <c r="D3750" t="s">
        <v>100</v>
      </c>
      <c r="F3750" t="s">
        <v>99</v>
      </c>
      <c r="H3750" t="s">
        <v>131</v>
      </c>
      <c r="I3750" t="s">
        <v>1057</v>
      </c>
      <c r="K3750" t="str">
        <f>B3707</f>
        <v>heat, residential, by conversion of hydrogen using fuel cell, PEM, allocated by exergy, transported by truck, produced by Electrolysis, SOEC using water and electricity from Solar PV (CH)</v>
      </c>
      <c r="L3750">
        <f>IF(OR(B3750&lt;0,B3750=0),1,2)</f>
        <v>2</v>
      </c>
      <c r="M3750">
        <f>IF(L3750=2,LN(B3750),"")</f>
        <v>-3.8679596522650961</v>
      </c>
      <c r="N3750">
        <v>1</v>
      </c>
      <c r="O3750" s="15">
        <v>1.2</v>
      </c>
      <c r="P3750">
        <v>1</v>
      </c>
      <c r="Q3750">
        <v>1.01</v>
      </c>
      <c r="R3750">
        <v>1.2</v>
      </c>
      <c r="S3750">
        <v>1.2</v>
      </c>
      <c r="T3750">
        <v>1.05</v>
      </c>
      <c r="U3750">
        <f>LN(SQRT(EXP(
SQRT(
+POWER(LN(N3750),2)
+POWER(LN(O3750),2)
+POWER(LN(P3750),2)
+POWER(LN(Q3750),2)
+POWER(LN(R3750),2)
+POWER(LN(S3750),2)
+POWER(LN(T3750),2)
)
)))</f>
        <v>0.15984597228197622</v>
      </c>
    </row>
    <row r="3752" spans="1:22" x14ac:dyDescent="0.2">
      <c r="A3752" s="2" t="s">
        <v>50</v>
      </c>
      <c r="B3752" s="44" t="str">
        <f>IF(B3758="megajoule","heat","electricity")&amp;", residential, by "&amp;B3763&amp;" of "&amp;B3762&amp;" using "&amp;B3764&amp;IF(B3765&lt;&gt;0,", allocated by "&amp;B3765,"")&amp;", transported by "&amp;B3766&amp;", produced by "&amp;B3770&amp;" using "&amp;B3771&amp;" from "&amp;B3772</f>
        <v>heat, residential, by conversion of hydrogen using fuel cell, SOFC, allocated by exergy, transported by truck, produced by Electrolysis, SOEC using water and electricity from Solar PV (CH)</v>
      </c>
    </row>
    <row r="3753" spans="1:22" x14ac:dyDescent="0.2">
      <c r="A3753" t="s">
        <v>51</v>
      </c>
      <c r="B3753" s="45" t="str">
        <f>"This dataset represents the supply of 1 "&amp;IF(B3758="megajoule","megajoule of heat","kilowatt hour of electricity")&amp;" in a residence, by "&amp;B3762&amp;" "&amp;B3763&amp;" in a "&amp;B3764&amp;". "&amp;" The hydrogen is transported by "&amp;B3766&amp;" over "&amp;B3767&amp;" km from regional storage. "&amp;" The "&amp;B3762&amp;" is produced by  "&amp;B3770&amp;", with "&amp;B3771&amp;" from "&amp;B3772&amp;" as feedstock. "&amp;A3774&amp;": "&amp;(B3774*100)&amp;"%. "&amp;A3775&amp;": "&amp;B3775&amp;". "&amp;A3776&amp;": "&amp;B3776&amp;". "&amp;A3777&amp;": "&amp;(B3777*100)&amp;"%. "&amp;A3778&amp;": "&amp;(B3778*100)&amp;"%. "&amp;A3779&amp;": "&amp;(B3779*100)&amp;"%. "&amp;A3780&amp;": "&amp;B3780&amp;". "&amp;A3781&amp;": "&amp;B3781&amp;". "&amp;A3782&amp;": "&amp;(B3782*100)&amp;"%. "&amp;A3783&amp;": "&amp;B3783&amp;". "&amp;A3784&amp;": "&amp;B3784&amp;". "&amp;A3785&amp;": "&amp;B3785&amp;". "&amp;A3786&amp;": "&amp;B3786&amp;".  For more information, refer to: "&amp;B3754</f>
        <v>This dataset represents the supply of 1 megajoule of heat in a residence, by hydrogen conversion in a fuel cell, SOFC.  The hydrogen is transported by truck over 200 km from regional storage.  The hydrogen is produced by  Electrolysis, SOEC, with water and electricity from Solar PV (CH)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3754" spans="1:22" x14ac:dyDescent="0.2">
      <c r="A3754" t="s">
        <v>63</v>
      </c>
      <c r="B3754" s="45" t="s">
        <v>1223</v>
      </c>
    </row>
    <row r="3755" spans="1:22" x14ac:dyDescent="0.2">
      <c r="A3755" t="s">
        <v>52</v>
      </c>
      <c r="B3755" s="45" t="s">
        <v>64</v>
      </c>
    </row>
    <row r="3756" spans="1:22" x14ac:dyDescent="0.2">
      <c r="A3756" t="s">
        <v>48</v>
      </c>
      <c r="B3756" s="45">
        <v>48</v>
      </c>
    </row>
    <row r="3757" spans="1:22" x14ac:dyDescent="0.2">
      <c r="A3757" t="s">
        <v>54</v>
      </c>
      <c r="B3757" s="45" t="str">
        <f>INDEX(overview!$B$4:$R$338,MATCH('hydrogen - electrolysis'!B3756,overview!$A$4:$A$338,0),MATCH('hydrogen - electrolysis'!A3757,overview!$B$3:$R$3,0))</f>
        <v>heat, from residential heating system</v>
      </c>
    </row>
    <row r="3758" spans="1:22" x14ac:dyDescent="0.2">
      <c r="A3758" t="s">
        <v>55</v>
      </c>
      <c r="B3758" s="45" t="str">
        <f>INDEX(overview!$B$4:$R$338,MATCH('hydrogen - electrolysis'!B3756,overview!$A$4:$A$338,0),MATCH('hydrogen - electrolysis'!A3758,overview!$B$3:$R$3,0))</f>
        <v>megajoule</v>
      </c>
    </row>
    <row r="3759" spans="1:22" x14ac:dyDescent="0.2">
      <c r="A3759" t="s">
        <v>0</v>
      </c>
      <c r="B3759" s="45" t="str">
        <f>INDEX(overview!$B$4:$R$338,MATCH('hydrogen - electrolysis'!B3756,overview!$A$4:$A$338,0),MATCH('hydrogen - electrolysis'!A3759,overview!$B$3:$R$3,0))</f>
        <v>Switzerland</v>
      </c>
    </row>
    <row r="3760" spans="1:22" x14ac:dyDescent="0.2">
      <c r="A3760" t="s">
        <v>1</v>
      </c>
      <c r="B3760" s="45">
        <f>INDEX(overview!$B$4:$R$338,MATCH('hydrogen - electrolysis'!B3756,overview!$A$4:$A$338,0),MATCH('hydrogen - electrolysis'!A3760,overview!$B$3:$R$3,0))</f>
        <v>2020</v>
      </c>
    </row>
    <row r="3761" spans="1:2" x14ac:dyDescent="0.2">
      <c r="A3761" t="s">
        <v>2</v>
      </c>
      <c r="B3761" s="45" t="str">
        <f>INDEX(overview!$B$4:$R$338,MATCH('hydrogen - electrolysis'!B3756,overview!$A$4:$A$338,0),MATCH('hydrogen - electrolysis'!A3761,overview!$B$3:$R$3,0))</f>
        <v>1 MJ heat</v>
      </c>
    </row>
    <row r="3762" spans="1:2" x14ac:dyDescent="0.2">
      <c r="A3762" t="s">
        <v>5</v>
      </c>
      <c r="B3762" s="45" t="str">
        <f>INDEX(overview!$B$4:$R$338,MATCH('hydrogen - electrolysis'!B3756,overview!$A$4:$A$338,0),MATCH('hydrogen - electrolysis'!A3762,overview!$B$3:$R$3,0))</f>
        <v>hydrogen</v>
      </c>
    </row>
    <row r="3763" spans="1:2" x14ac:dyDescent="0.2">
      <c r="A3763" t="s">
        <v>3</v>
      </c>
      <c r="B3763" s="45" t="str">
        <f>INDEX(overview!$B$4:$R$338,MATCH('hydrogen - electrolysis'!B3756,overview!$A$4:$A$338,0),MATCH('hydrogen - electrolysis'!A3763,overview!$B$3:$R$3,0))</f>
        <v>conversion</v>
      </c>
    </row>
    <row r="3764" spans="1:2" x14ac:dyDescent="0.2">
      <c r="A3764" t="s">
        <v>6</v>
      </c>
      <c r="B3764" s="45" t="str">
        <f>INDEX(overview!$B$4:$R$338,MATCH('hydrogen - electrolysis'!B3756,overview!$A$4:$A$338,0),MATCH('hydrogen - electrolysis'!A3764,overview!$B$3:$R$3,0))</f>
        <v>fuel cell, SOFC</v>
      </c>
    </row>
    <row r="3765" spans="1:2" x14ac:dyDescent="0.2">
      <c r="A3765" t="s">
        <v>39</v>
      </c>
      <c r="B3765" s="45" t="str">
        <f>INDEX(overview!$B$4:$R$338,MATCH('hydrogen - electrolysis'!B3756,overview!$A$4:$A$338,0),MATCH('hydrogen - electrolysis'!A3765,overview!$B$3:$R$3,0))</f>
        <v>exergy</v>
      </c>
    </row>
    <row r="3766" spans="1:2" x14ac:dyDescent="0.2">
      <c r="A3766" t="s">
        <v>4</v>
      </c>
      <c r="B3766" s="45" t="str">
        <f>INDEX(overview!$B$4:$R$338,MATCH('hydrogen - electrolysis'!B3756,overview!$A$4:$A$338,0),MATCH('hydrogen - electrolysis'!A3766,overview!$B$3:$R$3,0))</f>
        <v>truck</v>
      </c>
    </row>
    <row r="3767" spans="1:2" x14ac:dyDescent="0.2">
      <c r="A3767" t="s">
        <v>38</v>
      </c>
      <c r="B3767" s="45">
        <f>INDEX(overview!$B$4:$R$338,MATCH('hydrogen - electrolysis'!B3756,overview!$A$4:$A$338,0),MATCH('hydrogen - electrolysis'!A3767,overview!$B$3:$R$3,0))</f>
        <v>200</v>
      </c>
    </row>
    <row r="3768" spans="1:2" x14ac:dyDescent="0.2">
      <c r="A3768" t="s">
        <v>12</v>
      </c>
      <c r="B3768" s="45" t="str">
        <f>INDEX(overview!$B$4:$R$338,MATCH('hydrogen - electrolysis'!B3756,overview!$A$4:$A$338,0),MATCH('hydrogen - electrolysis'!A3768,overview!$B$3:$R$3,0))</f>
        <v>Pressure vessel for stationary storage</v>
      </c>
    </row>
    <row r="3769" spans="1:2" x14ac:dyDescent="0.2">
      <c r="A3769" t="s">
        <v>34</v>
      </c>
      <c r="B3769" s="45">
        <f>INDEX(overview!$B$4:$R$338,MATCH('hydrogen - electrolysis'!B3756,overview!$A$4:$A$338,0),MATCH('hydrogen - electrolysis'!A3769,overview!$B$3:$R$3,0))</f>
        <v>0</v>
      </c>
    </row>
    <row r="3770" spans="1:2" x14ac:dyDescent="0.2">
      <c r="A3770" t="s">
        <v>15</v>
      </c>
      <c r="B3770" s="45" t="str">
        <f>INDEX(overview!$B$4:$R$338,MATCH('hydrogen - electrolysis'!B3756,overview!$A$4:$A$338,0),MATCH('hydrogen - electrolysis'!A3770,overview!$B$3:$R$3,0))</f>
        <v>Electrolysis, SOEC</v>
      </c>
    </row>
    <row r="3771" spans="1:2" x14ac:dyDescent="0.2">
      <c r="A3771" t="s">
        <v>14</v>
      </c>
      <c r="B3771" s="45" t="str">
        <f>INDEX(overview!$B$4:$R$338,MATCH('hydrogen - electrolysis'!B3756,overview!$A$4:$A$338,0),MATCH('hydrogen - electrolysis'!A3771,overview!$B$3:$R$3,0))</f>
        <v>water and electricity</v>
      </c>
    </row>
    <row r="3772" spans="1:2" x14ac:dyDescent="0.2">
      <c r="A3772" t="s">
        <v>26</v>
      </c>
      <c r="B3772" s="45" t="str">
        <f>INDEX(overview!$B$4:$R$338,MATCH('hydrogen - electrolysis'!B3756,overview!$A$4:$A$338,0),MATCH('hydrogen - electrolysis'!A3772,overview!$B$3:$R$3,0))</f>
        <v>Solar PV (CH)</v>
      </c>
    </row>
    <row r="3773" spans="1:2" x14ac:dyDescent="0.2">
      <c r="A3773" t="s">
        <v>29</v>
      </c>
      <c r="B3773" s="45">
        <f>INDEX(overview!$B$4:$R$338,MATCH('hydrogen - electrolysis'!B3756,overview!$A$4:$A$338,0),MATCH('hydrogen - electrolysis'!A3773,overview!$B$3:$R$3,0))</f>
        <v>0</v>
      </c>
    </row>
    <row r="3774" spans="1:2" x14ac:dyDescent="0.2">
      <c r="A3774" t="str">
        <f>IF(B3758="megajoule","Heat","Electricity")&amp;" conversion efficiency [% LHV input]"</f>
        <v>Heat conversion efficiency [% LHV input]</v>
      </c>
      <c r="B3774" s="46">
        <f>INDEX(parameters!$D$4:$N$20,MATCH('hydrogen - electrolysis'!B3762&amp;'hydrogen - electrolysis'!B3764,parameters!$A$4:$A$20,0),MATCH('hydrogen - electrolysis'!A3774,parameters!$D$3:$N$3,0))</f>
        <v>0.53</v>
      </c>
    </row>
    <row r="3775" spans="1:2" x14ac:dyDescent="0.2">
      <c r="A3775" t="str">
        <f>IF(B3758="megajoule","LHV [MJ/kg]","LHV [kWh/kg]")</f>
        <v>LHV [MJ/kg]</v>
      </c>
      <c r="B3775" s="47">
        <f>INDEX(parameters!$D$4:$N$20,MATCH('hydrogen - electrolysis'!B3762&amp;'hydrogen - electrolysis'!B3764,parameters!$A$4:$A$20,0),MATCH('hydrogen - electrolysis'!A3775,parameters!$D$3:$N$3,0))</f>
        <v>120</v>
      </c>
    </row>
    <row r="3776" spans="1:2" x14ac:dyDescent="0.2">
      <c r="A3776" t="s">
        <v>41</v>
      </c>
      <c r="B3776" s="48">
        <f>INDEX(parameters!$D$4:$N$20,MATCH('hydrogen - electrolysis'!B3762&amp;'hydrogen - electrolysis'!B3764,parameters!$A$4:$A$20,0),MATCH('hydrogen - electrolysis'!A3776,parameters!$D$3:$N$3,0))</f>
        <v>2.6666666666666665E-2</v>
      </c>
    </row>
    <row r="3777" spans="1:22" x14ac:dyDescent="0.2">
      <c r="A3777" t="s">
        <v>45</v>
      </c>
      <c r="B3777" s="46">
        <f>INDEX(parameters!$D$4:$N$20,MATCH('hydrogen - electrolysis'!B3762&amp;'hydrogen - electrolysis'!B3764,parameters!$A$4:$A$20,0),MATCH('hydrogen - electrolysis'!A3777,parameters!$D$3:$N$3,0))</f>
        <v>0</v>
      </c>
    </row>
    <row r="3778" spans="1:22" x14ac:dyDescent="0.2">
      <c r="A3778" t="s">
        <v>46</v>
      </c>
      <c r="B3778" s="46">
        <f>INDEX(parameters!$D$4:$N$20,MATCH('hydrogen - electrolysis'!B3762&amp;'hydrogen - electrolysis'!B3764,parameters!$A$4:$A$20,0),MATCH('hydrogen - electrolysis'!A3778,parameters!$D$3:$N$3,0))</f>
        <v>1.4999999999999999E-2</v>
      </c>
    </row>
    <row r="3779" spans="1:22" x14ac:dyDescent="0.2">
      <c r="A3779" t="s">
        <v>43</v>
      </c>
      <c r="B3779" s="46">
        <f>INDEX(parameters!$D$4:$N$20,MATCH('hydrogen - electrolysis'!B3762&amp;'hydrogen - electrolysis'!B3764,parameters!$A$4:$A$20,0),MATCH('hydrogen - electrolysis'!A3779,parameters!$D$3:$N$3,0))</f>
        <v>0</v>
      </c>
    </row>
    <row r="3780" spans="1:22" x14ac:dyDescent="0.2">
      <c r="A3780" t="s">
        <v>44</v>
      </c>
      <c r="B3780" s="46">
        <f>INDEX(parameters!$D$4:$N$20,MATCH('hydrogen - electrolysis'!B3762&amp;'hydrogen - electrolysis'!B3764,parameters!$A$4:$A$20,0),MATCH('hydrogen - electrolysis'!A3780,parameters!$D$3:$N$3,0))</f>
        <v>0</v>
      </c>
    </row>
    <row r="3781" spans="1:22" x14ac:dyDescent="0.2">
      <c r="A3781" t="s">
        <v>634</v>
      </c>
      <c r="B3781" s="51">
        <f>INDEX(parameters!$D$4:$Y$20,MATCH('hydrogen - electrolysis'!B3762&amp;'hydrogen - electrolysis'!B3764,parameters!$A$4:$A$20,0),MATCH('hydrogen - electrolysis'!A3781,parameters!$D$3:$Y$3,0))</f>
        <v>225</v>
      </c>
      <c r="D3781" s="8"/>
    </row>
    <row r="3782" spans="1:22" x14ac:dyDescent="0.2">
      <c r="A3782" t="s">
        <v>82</v>
      </c>
      <c r="B3782" s="46">
        <f>IF(B3773&lt;&gt;0,VLOOKUP(B3773,parameters!A2458:B2460,2,0),0)</f>
        <v>0</v>
      </c>
    </row>
    <row r="3783" spans="1:22" x14ac:dyDescent="0.2">
      <c r="A3783" t="s">
        <v>548</v>
      </c>
      <c r="B3783" s="50">
        <f>INDEX(parameters!$D$4:$P$20,MATCH(B3762&amp;B3764,parameters!$A$4:$A$20,0),MATCH(A3783,parameters!$D$3:$P$3,0))</f>
        <v>100</v>
      </c>
    </row>
    <row r="3784" spans="1:22" x14ac:dyDescent="0.2">
      <c r="A3784" t="s">
        <v>547</v>
      </c>
      <c r="B3784" s="51">
        <f>INDEX(parameters!$D$4:$P$20,MATCH(B3762&amp;B3764,parameters!$A$4:$A$20,0),MATCH(A3784,parameters!$D$3:$P$3,0))</f>
        <v>6</v>
      </c>
    </row>
    <row r="3785" spans="1:22" x14ac:dyDescent="0.2">
      <c r="A3785" t="s">
        <v>630</v>
      </c>
      <c r="B3785" s="51">
        <f>INDEX(parameters!$D$4:$T$20,MATCH(B3762&amp;B3764,parameters!$A$4:$A$20,0),MATCH(A3785,parameters!$D$3:$T$3,0))</f>
        <v>4100</v>
      </c>
    </row>
    <row r="3786" spans="1:22" x14ac:dyDescent="0.2">
      <c r="A3786" t="s">
        <v>1005</v>
      </c>
      <c r="B3786" s="50">
        <f>IF(B3758="megajoule",SUMIFS(allocation!$I$4:$I$30,allocation!$B$4:$B$30,B3764,allocation!$C$4:$C$30,B3765),SUMIFS(allocation!$J$4:$J$30,allocation!$B$4:$B$30,B3764,allocation!$C$4:$C$30,B3765))</f>
        <v>0.13587506510399097</v>
      </c>
    </row>
    <row r="3787" spans="1:22" x14ac:dyDescent="0.2">
      <c r="A3787" t="s">
        <v>1050</v>
      </c>
      <c r="B3787" s="51">
        <f>INDEX(parameters!$D$4:$AB$20,MATCH(B3762&amp;B3764,parameters!$A$4:$A$20,0),MATCH(A3787,parameters!$D$3:$AB$3,0))</f>
        <v>1153.1249999999998</v>
      </c>
    </row>
    <row r="3789" spans="1:22" x14ac:dyDescent="0.2">
      <c r="A3789" s="3" t="s">
        <v>57</v>
      </c>
    </row>
    <row r="3790" spans="1:22" x14ac:dyDescent="0.2">
      <c r="A3790" s="2" t="s">
        <v>58</v>
      </c>
      <c r="B3790" s="44" t="s">
        <v>59</v>
      </c>
      <c r="C3790" s="2" t="s">
        <v>55</v>
      </c>
      <c r="D3790" s="2" t="s">
        <v>60</v>
      </c>
      <c r="E3790" s="2" t="s">
        <v>52</v>
      </c>
      <c r="F3790" s="2" t="s">
        <v>61</v>
      </c>
      <c r="G3790" s="2" t="s">
        <v>54</v>
      </c>
      <c r="H3790" s="2" t="s">
        <v>87</v>
      </c>
      <c r="I3790" s="2" t="s">
        <v>51</v>
      </c>
      <c r="J3790" s="2" t="s">
        <v>138</v>
      </c>
      <c r="K3790" s="2" t="s">
        <v>136</v>
      </c>
      <c r="L3790" s="2" t="s">
        <v>221</v>
      </c>
      <c r="M3790" s="2" t="s">
        <v>379</v>
      </c>
      <c r="N3790" s="2" t="s">
        <v>1059</v>
      </c>
      <c r="O3790" s="2" t="s">
        <v>1060</v>
      </c>
      <c r="P3790" s="2" t="s">
        <v>1061</v>
      </c>
      <c r="Q3790" s="2" t="s">
        <v>1062</v>
      </c>
      <c r="R3790" s="2" t="s">
        <v>1063</v>
      </c>
      <c r="S3790" s="2" t="s">
        <v>1064</v>
      </c>
      <c r="T3790" s="2" t="s">
        <v>1065</v>
      </c>
      <c r="U3790" s="2" t="s">
        <v>380</v>
      </c>
      <c r="V3790" s="2" t="s">
        <v>1128</v>
      </c>
    </row>
    <row r="3791" spans="1:22" x14ac:dyDescent="0.2">
      <c r="A3791" t="str">
        <f>B3752</f>
        <v>heat, residential, by conversion of hydrogen using fuel cell, SOFC, allocated by exergy, transported by truck, produced by Electrolysis, SOEC using water and electricity from Solar PV (CH)</v>
      </c>
      <c r="B3791" s="45">
        <v>1</v>
      </c>
      <c r="C3791" t="str">
        <f>B3758</f>
        <v>megajoule</v>
      </c>
      <c r="E3791" t="str">
        <f>B3613</f>
        <v>CH</v>
      </c>
      <c r="F3791" t="s">
        <v>62</v>
      </c>
      <c r="G3791" t="str">
        <f>B3757</f>
        <v>heat, from residential heating system</v>
      </c>
      <c r="K3791" t="str">
        <f>B3610</f>
        <v>heat, residential, by combustion of hydrogen using boiler, transported by truck, produced by Electrolysis, SOEC using water and electricity from Solar PV (CH)</v>
      </c>
    </row>
    <row r="3792" spans="1:22" x14ac:dyDescent="0.2">
      <c r="A3792" t="str">
        <f>VLOOKUP(J3792,'dataset mapping'!$A$4:$E$69,2,0)</f>
        <v>fuel cell production, stack solid oxide, 125kW electrical, future</v>
      </c>
      <c r="B3792" s="52">
        <f>(1/(B3781*B3785*B3784))*B3786</f>
        <v>2.4548340578860157E-8</v>
      </c>
      <c r="C3792" t="str">
        <f>VLOOKUP(J3792,'dataset mapping'!$A$4:$E$69,5,0)</f>
        <v>unit</v>
      </c>
      <c r="E3792" t="str">
        <f>VLOOKUP(J3792,'dataset mapping'!$A$4:$E$69,4,0)</f>
        <v>CH</v>
      </c>
      <c r="F3792" t="s">
        <v>86</v>
      </c>
      <c r="G3792" t="str">
        <f>VLOOKUP(J3792,'dataset mapping'!$A$4:$E$69,3,0)</f>
        <v>fuel cell, stack solid oxide, 125kW electrical, future</v>
      </c>
      <c r="H3792" t="s">
        <v>88</v>
      </c>
      <c r="I3792" t="s">
        <v>277</v>
      </c>
      <c r="J3792" t="s">
        <v>274</v>
      </c>
      <c r="K3792" t="str">
        <f>B3610</f>
        <v>heat, residential, by combustion of hydrogen using boiler, transported by truck, produced by Electrolysis, SOEC using water and electricity from Solar PV (CH)</v>
      </c>
      <c r="L3792">
        <f t="shared" ref="L3792:L3797" si="121">IF(OR(B3792&lt;0,B3792=0),1,2)</f>
        <v>2</v>
      </c>
      <c r="M3792">
        <f t="shared" ref="M3792:M3797" si="122">IF(L3792=2,LN(B3792),"")</f>
        <v>-17.522621578519544</v>
      </c>
      <c r="N3792">
        <v>1.05</v>
      </c>
      <c r="O3792" s="15">
        <v>1.2</v>
      </c>
      <c r="P3792">
        <v>1</v>
      </c>
      <c r="Q3792">
        <v>1.01</v>
      </c>
      <c r="R3792">
        <v>1.2</v>
      </c>
      <c r="S3792">
        <v>1.2</v>
      </c>
      <c r="T3792">
        <v>3</v>
      </c>
      <c r="U3792">
        <f t="shared" ref="U3792:U3797" si="123">LN(SQRT(EXP(
SQRT(
+POWER(LN(N3792),2)
+POWER(LN(O3792),2)
+POWER(LN(P3792),2)
+POWER(LN(Q3792),2)
+POWER(LN(R3792),2)
+POWER(LN(S3792),2)
+POWER(LN(T3792),2)
)
)))</f>
        <v>0.57209088006881903</v>
      </c>
    </row>
    <row r="3793" spans="1:21" x14ac:dyDescent="0.2">
      <c r="A3793" t="s">
        <v>283</v>
      </c>
      <c r="B3793" s="52">
        <f>(1/(B3781*B3785*B3784))*B3786</f>
        <v>2.4548340578860157E-8</v>
      </c>
      <c r="C3793" t="s">
        <v>55</v>
      </c>
      <c r="E3793" t="s">
        <v>64</v>
      </c>
      <c r="F3793" t="s">
        <v>86</v>
      </c>
      <c r="G3793" t="s">
        <v>284</v>
      </c>
      <c r="H3793" t="s">
        <v>88</v>
      </c>
      <c r="I3793" t="s">
        <v>277</v>
      </c>
      <c r="K3793" t="str">
        <f>B3610</f>
        <v>heat, residential, by combustion of hydrogen using boiler, transported by truck, produced by Electrolysis, SOEC using water and electricity from Solar PV (CH)</v>
      </c>
      <c r="L3793">
        <f t="shared" si="121"/>
        <v>2</v>
      </c>
      <c r="M3793">
        <f t="shared" si="122"/>
        <v>-17.522621578519544</v>
      </c>
      <c r="N3793">
        <v>1.05</v>
      </c>
      <c r="O3793" s="15">
        <v>1.2</v>
      </c>
      <c r="P3793">
        <v>1</v>
      </c>
      <c r="Q3793">
        <v>1.01</v>
      </c>
      <c r="R3793">
        <v>1.2</v>
      </c>
      <c r="S3793">
        <v>1.2</v>
      </c>
      <c r="T3793">
        <v>3</v>
      </c>
      <c r="U3793">
        <f t="shared" si="123"/>
        <v>0.57209088006881903</v>
      </c>
    </row>
    <row r="3794" spans="1:21" x14ac:dyDescent="0.2">
      <c r="A3794" t="s">
        <v>288</v>
      </c>
      <c r="B3794" s="52">
        <f>0.000024*B3786</f>
        <v>3.2610015624957834E-6</v>
      </c>
      <c r="C3794" t="s">
        <v>56</v>
      </c>
      <c r="E3794" t="s">
        <v>64</v>
      </c>
      <c r="F3794" t="s">
        <v>86</v>
      </c>
      <c r="G3794" t="s">
        <v>287</v>
      </c>
      <c r="H3794" t="s">
        <v>88</v>
      </c>
      <c r="K3794" t="str">
        <f>B3610</f>
        <v>heat, residential, by combustion of hydrogen using boiler, transported by truck, produced by Electrolysis, SOEC using water and electricity from Solar PV (CH)</v>
      </c>
      <c r="L3794">
        <f t="shared" si="121"/>
        <v>2</v>
      </c>
      <c r="M3794">
        <f t="shared" si="122"/>
        <v>-12.633476182011</v>
      </c>
      <c r="N3794">
        <v>1.05</v>
      </c>
      <c r="O3794" s="15">
        <v>1.2</v>
      </c>
      <c r="P3794">
        <v>1</v>
      </c>
      <c r="Q3794">
        <v>1.01</v>
      </c>
      <c r="R3794">
        <v>1.2</v>
      </c>
      <c r="S3794">
        <v>1.2</v>
      </c>
      <c r="T3794">
        <v>1.05</v>
      </c>
      <c r="U3794">
        <f t="shared" si="123"/>
        <v>0.16169679924070957</v>
      </c>
    </row>
    <row r="3795" spans="1:21" x14ac:dyDescent="0.2">
      <c r="A3795" s="45" t="str">
        <f>"hydrogen supply, transported by "&amp;B3766&amp;", produced by "&amp;B3770&amp;" using "&amp;B3771&amp;" from "&amp;B3772</f>
        <v>hydrogen supply, transported by truck, produced by Electrolysis, SOEC using water and electricity from Solar PV (CH)</v>
      </c>
      <c r="B3795" s="53">
        <f>(B3791/B3775)/B3774*B3786</f>
        <v>2.1364003947168392E-3</v>
      </c>
      <c r="C3795" t="s">
        <v>56</v>
      </c>
      <c r="E3795" t="s">
        <v>64</v>
      </c>
      <c r="F3795" t="s">
        <v>86</v>
      </c>
      <c r="G3795" t="str">
        <f>"hydrogen, gaseous, from "&amp;B3766</f>
        <v>hydrogen, gaseous, from truck</v>
      </c>
      <c r="H3795" t="s">
        <v>76</v>
      </c>
      <c r="I3795" t="s">
        <v>1054</v>
      </c>
      <c r="J3795" t="s">
        <v>293</v>
      </c>
      <c r="K3795" t="str">
        <f>B3610</f>
        <v>heat, residential, by combustion of hydrogen using boiler, transported by truck, produced by Electrolysis, SOEC using water and electricity from Solar PV (CH)</v>
      </c>
      <c r="L3795">
        <f t="shared" si="121"/>
        <v>2</v>
      </c>
      <c r="M3795">
        <f t="shared" si="122"/>
        <v>-6.1486329247407472</v>
      </c>
      <c r="N3795">
        <v>1.05</v>
      </c>
      <c r="O3795" s="15">
        <v>1.2</v>
      </c>
      <c r="P3795">
        <v>1</v>
      </c>
      <c r="Q3795">
        <v>1.01</v>
      </c>
      <c r="R3795">
        <v>1.2</v>
      </c>
      <c r="S3795">
        <v>1.2</v>
      </c>
      <c r="T3795">
        <v>1.05</v>
      </c>
      <c r="U3795">
        <f t="shared" si="123"/>
        <v>0.16169679924070957</v>
      </c>
    </row>
    <row r="3796" spans="1:21" x14ac:dyDescent="0.2">
      <c r="A3796" t="str">
        <f>VLOOKUP(J3796,'dataset mapping'!$A$4:$E$69,2,0)</f>
        <v>high pressure hydrogen storage tank</v>
      </c>
      <c r="B3796" s="52">
        <f>((B3787/10)/(B3785*B3781*20*3.6))*IF(B3786&lt;&gt;0,B3786,1)</f>
        <v>2.3589421024998428E-7</v>
      </c>
      <c r="C3796" t="str">
        <f>VLOOKUP(J3796,'dataset mapping'!$A$4:$E$69,5,0)</f>
        <v>kilogram</v>
      </c>
      <c r="E3796" t="str">
        <f>VLOOKUP(J3796,'dataset mapping'!$A$4:$E$69,4,0)</f>
        <v>GLO</v>
      </c>
      <c r="F3796" t="s">
        <v>86</v>
      </c>
      <c r="G3796" t="str">
        <f>VLOOKUP(J3796,'dataset mapping'!$A$4:$E$69,3,0)</f>
        <v>high pressure hydrogen storage tank</v>
      </c>
      <c r="H3796" t="s">
        <v>88</v>
      </c>
      <c r="I3796" t="s">
        <v>230</v>
      </c>
      <c r="J3796" t="s">
        <v>229</v>
      </c>
      <c r="K3796" t="str">
        <f>B3610</f>
        <v>heat, residential, by combustion of hydrogen using boiler, transported by truck, produced by Electrolysis, SOEC using water and electricity from Solar PV (CH)</v>
      </c>
      <c r="L3796">
        <f t="shared" si="121"/>
        <v>2</v>
      </c>
      <c r="M3796">
        <f t="shared" si="122"/>
        <v>-15.259882394072699</v>
      </c>
      <c r="N3796">
        <v>1.05</v>
      </c>
      <c r="O3796" s="15">
        <v>1.2</v>
      </c>
      <c r="P3796">
        <v>1</v>
      </c>
      <c r="Q3796">
        <v>1.01</v>
      </c>
      <c r="R3796">
        <v>1.2</v>
      </c>
      <c r="S3796">
        <v>1.2</v>
      </c>
      <c r="T3796">
        <v>3</v>
      </c>
      <c r="U3796">
        <f t="shared" si="123"/>
        <v>0.57209088006881903</v>
      </c>
    </row>
    <row r="3797" spans="1:21" x14ac:dyDescent="0.2">
      <c r="A3797" t="s">
        <v>134</v>
      </c>
      <c r="B3797" s="45">
        <f>B3795*9</f>
        <v>1.9227603552451553E-2</v>
      </c>
      <c r="C3797" t="s">
        <v>56</v>
      </c>
      <c r="D3797" t="s">
        <v>100</v>
      </c>
      <c r="F3797" t="s">
        <v>99</v>
      </c>
      <c r="H3797" t="s">
        <v>131</v>
      </c>
      <c r="I3797" t="s">
        <v>1057</v>
      </c>
      <c r="K3797" t="str">
        <f>B3610</f>
        <v>heat, residential, by combustion of hydrogen using boiler, transported by truck, produced by Electrolysis, SOEC using water and electricity from Solar PV (CH)</v>
      </c>
      <c r="L3797">
        <f t="shared" si="121"/>
        <v>2</v>
      </c>
      <c r="M3797">
        <f t="shared" si="122"/>
        <v>-3.9514083474045276</v>
      </c>
      <c r="N3797">
        <v>1.05</v>
      </c>
      <c r="O3797" s="15">
        <v>1.2</v>
      </c>
      <c r="P3797">
        <v>1</v>
      </c>
      <c r="Q3797">
        <v>1.01</v>
      </c>
      <c r="R3797">
        <v>1.2</v>
      </c>
      <c r="S3797">
        <v>1.2</v>
      </c>
      <c r="T3797">
        <v>1.05</v>
      </c>
      <c r="U3797">
        <f t="shared" si="123"/>
        <v>0.16169679924070957</v>
      </c>
    </row>
    <row r="3799" spans="1:21" x14ac:dyDescent="0.2">
      <c r="A3799" s="2" t="s">
        <v>50</v>
      </c>
      <c r="B3799" s="44" t="str">
        <f>IF(B3805="megajoule","heat","electricity")&amp;", residential, by "&amp;B3810&amp;" of "&amp;B3809&amp;" using "&amp;B3811&amp;IF(B3812&lt;&gt;0,", allocated by "&amp;B3812,"")&amp;", transported by "&amp;B3813&amp;", produced by "&amp;B3817&amp;" using "&amp;B3818&amp;" from "&amp;B3819</f>
        <v>electricity, residential, by combustion of hydrogen using CHP, allocated by exergy, transported by truck, produced by Electrolysis, SOEC using water and electricity from Solar PV (CH)</v>
      </c>
    </row>
    <row r="3800" spans="1:21" x14ac:dyDescent="0.2">
      <c r="A3800" t="s">
        <v>51</v>
      </c>
      <c r="B3800" s="45" t="str">
        <f>"This dataset represents the supply of 1 "&amp;IF(B3805="megajoule","megajoule of heat","kilowatt hour of electricity")&amp;" in a residence, by "&amp;B3809&amp;" "&amp;B3810&amp;" in a "&amp;B3811&amp;". "&amp;" The hydrogen is transported by "&amp;B3813&amp;" over "&amp;B3814&amp;" km from regional storage. "&amp;" The "&amp;B3809&amp;" is produced by  "&amp;B3817&amp;", with "&amp;B3818&amp;" from "&amp;B3819&amp;" as feedstock. "&amp;A3821&amp;": "&amp;(B3821*100)&amp;"%. "&amp;A3822&amp;": "&amp;B3822&amp;". "&amp;A3823&amp;": "&amp;B3823&amp;". "&amp;A3824&amp;": "&amp;(B3824*100)&amp;"%. "&amp;A3825&amp;": "&amp;(B3825*100)&amp;"%. "&amp;A3826&amp;": "&amp;(B3826*100)&amp;"%. "&amp;A3827&amp;": "&amp;B3827&amp;". "&amp;A3828&amp;": "&amp;B3828&amp;". "&amp;A3829&amp;": "&amp;(B3829*100)&amp;"%. "&amp;A3830&amp;": "&amp;B3830&amp;". "&amp;A3831&amp;": "&amp;B3831&amp;". "&amp;A3832&amp;": "&amp;B3832&amp;". "&amp;A3833&amp;": "&amp;B3833&amp;".  For more information, refer to: "&amp;B3801</f>
        <v>This dataset represents the supply of 1 kilowatt hour of electricity in a residence, by hydrogen combustion in a CHP.  The hydrogen is transported by truck over 200 km from regional storage.  The hydrogen is produced by  Electrolysis, SOEC, with water and electricity from Solar PV (CH)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3801" spans="1:21" x14ac:dyDescent="0.2">
      <c r="A3801" t="s">
        <v>63</v>
      </c>
      <c r="B3801" s="45" t="s">
        <v>1223</v>
      </c>
    </row>
    <row r="3802" spans="1:21" x14ac:dyDescent="0.2">
      <c r="A3802" t="s">
        <v>52</v>
      </c>
      <c r="B3802" s="45" t="s">
        <v>64</v>
      </c>
    </row>
    <row r="3803" spans="1:21" x14ac:dyDescent="0.2">
      <c r="A3803" t="s">
        <v>48</v>
      </c>
      <c r="B3803" s="45" t="s">
        <v>898</v>
      </c>
    </row>
    <row r="3804" spans="1:21" x14ac:dyDescent="0.2">
      <c r="A3804" t="s">
        <v>54</v>
      </c>
      <c r="B3804" s="45" t="str">
        <f>INDEX(overview!$B$4:$R$338,MATCH('hydrogen - electrolysis'!B3803,overview!$A$4:$A$338,0),MATCH('hydrogen - electrolysis'!A3804,overview!$B$3:$R$3,0))</f>
        <v>electricity, from residential heating system</v>
      </c>
    </row>
    <row r="3805" spans="1:21" x14ac:dyDescent="0.2">
      <c r="A3805" t="s">
        <v>55</v>
      </c>
      <c r="B3805" s="45" t="str">
        <f>INDEX(overview!$B$4:$R$338,MATCH('hydrogen - electrolysis'!B3803,overview!$A$4:$A$338,0),MATCH('hydrogen - electrolysis'!A3805,overview!$B$3:$R$3,0))</f>
        <v>kilowatt hour</v>
      </c>
    </row>
    <row r="3806" spans="1:21" x14ac:dyDescent="0.2">
      <c r="A3806" t="s">
        <v>0</v>
      </c>
      <c r="B3806" s="45" t="str">
        <f>INDEX(overview!$B$4:$R$338,MATCH('hydrogen - electrolysis'!B3803,overview!$A$4:$A$338,0),MATCH('hydrogen - electrolysis'!A3806,overview!$B$3:$R$3,0))</f>
        <v>Switzerland</v>
      </c>
    </row>
    <row r="3807" spans="1:21" x14ac:dyDescent="0.2">
      <c r="A3807" t="s">
        <v>1</v>
      </c>
      <c r="B3807" s="45">
        <f>INDEX(overview!$B$4:$R$338,MATCH('hydrogen - electrolysis'!B3803,overview!$A$4:$A$338,0),MATCH('hydrogen - electrolysis'!A3807,overview!$B$3:$R$3,0))</f>
        <v>2020</v>
      </c>
    </row>
    <row r="3808" spans="1:21" x14ac:dyDescent="0.2">
      <c r="A3808" t="s">
        <v>2</v>
      </c>
      <c r="B3808" s="45" t="str">
        <f>INDEX(overview!$B$4:$R$338,MATCH('hydrogen - electrolysis'!B3803,overview!$A$4:$A$338,0),MATCH('hydrogen - electrolysis'!A3808,overview!$B$3:$R$3,0))</f>
        <v>1 kWh electricity</v>
      </c>
    </row>
    <row r="3809" spans="1:2" x14ac:dyDescent="0.2">
      <c r="A3809" t="s">
        <v>5</v>
      </c>
      <c r="B3809" s="45" t="str">
        <f>INDEX(overview!$B$4:$R$338,MATCH('hydrogen - electrolysis'!B3803,overview!$A$4:$A$338,0),MATCH('hydrogen - electrolysis'!A3809,overview!$B$3:$R$3,0))</f>
        <v>hydrogen</v>
      </c>
    </row>
    <row r="3810" spans="1:2" x14ac:dyDescent="0.2">
      <c r="A3810" t="s">
        <v>3</v>
      </c>
      <c r="B3810" s="45" t="str">
        <f>INDEX(overview!$B$4:$R$338,MATCH('hydrogen - electrolysis'!B3803,overview!$A$4:$A$338,0),MATCH('hydrogen - electrolysis'!A3810,overview!$B$3:$R$3,0))</f>
        <v>combustion</v>
      </c>
    </row>
    <row r="3811" spans="1:2" x14ac:dyDescent="0.2">
      <c r="A3811" t="s">
        <v>6</v>
      </c>
      <c r="B3811" s="45" t="str">
        <f>INDEX(overview!$B$4:$R$338,MATCH('hydrogen - electrolysis'!B3803,overview!$A$4:$A$338,0),MATCH('hydrogen - electrolysis'!A3811,overview!$B$3:$R$3,0))</f>
        <v>CHP</v>
      </c>
    </row>
    <row r="3812" spans="1:2" x14ac:dyDescent="0.2">
      <c r="A3812" t="s">
        <v>39</v>
      </c>
      <c r="B3812" s="45" t="str">
        <f>INDEX(overview!$B$4:$R$338,MATCH('hydrogen - electrolysis'!B3803,overview!$A$4:$A$338,0),MATCH('hydrogen - electrolysis'!A3812,overview!$B$3:$R$3,0))</f>
        <v>exergy</v>
      </c>
    </row>
    <row r="3813" spans="1:2" x14ac:dyDescent="0.2">
      <c r="A3813" t="s">
        <v>4</v>
      </c>
      <c r="B3813" s="45" t="str">
        <f>INDEX(overview!$B$4:$R$338,MATCH('hydrogen - electrolysis'!B3803,overview!$A$4:$A$338,0),MATCH('hydrogen - electrolysis'!A3813,overview!$B$3:$R$3,0))</f>
        <v>truck</v>
      </c>
    </row>
    <row r="3814" spans="1:2" x14ac:dyDescent="0.2">
      <c r="A3814" t="s">
        <v>38</v>
      </c>
      <c r="B3814" s="45">
        <f>INDEX(overview!$B$4:$R$338,MATCH('hydrogen - electrolysis'!B3803,overview!$A$4:$A$338,0),MATCH('hydrogen - electrolysis'!A3814,overview!$B$3:$R$3,0))</f>
        <v>200</v>
      </c>
    </row>
    <row r="3815" spans="1:2" x14ac:dyDescent="0.2">
      <c r="A3815" t="s">
        <v>12</v>
      </c>
      <c r="B3815" s="45" t="str">
        <f>INDEX(overview!$B$4:$R$338,MATCH('hydrogen - electrolysis'!B3803,overview!$A$4:$A$338,0),MATCH('hydrogen - electrolysis'!A3815,overview!$B$3:$R$3,0))</f>
        <v>Pressure vessel for stationary storage</v>
      </c>
    </row>
    <row r="3816" spans="1:2" x14ac:dyDescent="0.2">
      <c r="A3816" t="s">
        <v>34</v>
      </c>
      <c r="B3816" s="45">
        <f>INDEX(overview!$B$4:$R$338,MATCH('hydrogen - electrolysis'!B3803,overview!$A$4:$A$338,0),MATCH('hydrogen - electrolysis'!A3816,overview!$B$3:$R$3,0))</f>
        <v>0</v>
      </c>
    </row>
    <row r="3817" spans="1:2" x14ac:dyDescent="0.2">
      <c r="A3817" t="s">
        <v>15</v>
      </c>
      <c r="B3817" s="45" t="str">
        <f>INDEX(overview!$B$4:$R$338,MATCH('hydrogen - electrolysis'!B3803,overview!$A$4:$A$338,0),MATCH('hydrogen - electrolysis'!A3817,overview!$B$3:$R$3,0))</f>
        <v>Electrolysis, SOEC</v>
      </c>
    </row>
    <row r="3818" spans="1:2" x14ac:dyDescent="0.2">
      <c r="A3818" t="s">
        <v>14</v>
      </c>
      <c r="B3818" s="45" t="str">
        <f>INDEX(overview!$B$4:$R$338,MATCH('hydrogen - electrolysis'!B3803,overview!$A$4:$A$338,0),MATCH('hydrogen - electrolysis'!A3818,overview!$B$3:$R$3,0))</f>
        <v>water and electricity</v>
      </c>
    </row>
    <row r="3819" spans="1:2" x14ac:dyDescent="0.2">
      <c r="A3819" t="s">
        <v>26</v>
      </c>
      <c r="B3819" s="45" t="str">
        <f>INDEX(overview!$B$4:$R$338,MATCH('hydrogen - electrolysis'!B3803,overview!$A$4:$A$338,0),MATCH('hydrogen - electrolysis'!A3819,overview!$B$3:$R$3,0))</f>
        <v>Solar PV (CH)</v>
      </c>
    </row>
    <row r="3820" spans="1:2" x14ac:dyDescent="0.2">
      <c r="A3820" t="s">
        <v>29</v>
      </c>
      <c r="B3820" s="45">
        <f>INDEX(overview!$B$4:$R$338,MATCH('hydrogen - electrolysis'!B3803,overview!$A$4:$A$338,0),MATCH('hydrogen - electrolysis'!A3820,overview!$B$3:$R$3,0))</f>
        <v>0</v>
      </c>
    </row>
    <row r="3821" spans="1:2" x14ac:dyDescent="0.2">
      <c r="A3821" t="str">
        <f>IF(B3805="megajoule","Heat","Electricity")&amp;" conversion efficiency [% LHV input]"</f>
        <v>Electricity conversion efficiency [% LHV input]</v>
      </c>
      <c r="B3821" s="46">
        <f>INDEX(parameters!$D$4:$N$20,MATCH('hydrogen - electrolysis'!B3809&amp;'hydrogen - electrolysis'!B3811,parameters!$A$4:$A$20,0),MATCH('hydrogen - electrolysis'!A3821,parameters!$D$3:$N$3,0))</f>
        <v>0.39400000000000002</v>
      </c>
    </row>
    <row r="3822" spans="1:2" x14ac:dyDescent="0.2">
      <c r="A3822" t="str">
        <f>IF(B3805="megajoule","LHV [MJ/kg]","LHV [kWh/kg]")</f>
        <v>LHV [kWh/kg]</v>
      </c>
      <c r="B3822" s="47">
        <f>INDEX(parameters!$D$4:$N$20,MATCH('hydrogen - electrolysis'!B3809&amp;'hydrogen - electrolysis'!B3811,parameters!$A$4:$A$20,0),MATCH('hydrogen - electrolysis'!A3822,parameters!$D$3:$N$3,0))</f>
        <v>33.333333333333336</v>
      </c>
    </row>
    <row r="3823" spans="1:2" x14ac:dyDescent="0.2">
      <c r="A3823" t="s">
        <v>41</v>
      </c>
      <c r="B3823" s="48">
        <f>INDEX(parameters!$D$4:$N$20,MATCH('hydrogen - electrolysis'!B3809&amp;'hydrogen - electrolysis'!B3811,parameters!$A$4:$A$20,0),MATCH('hydrogen - electrolysis'!A3823,parameters!$D$3:$N$3,0))</f>
        <v>2.6666666666666665E-2</v>
      </c>
    </row>
    <row r="3824" spans="1:2" x14ac:dyDescent="0.2">
      <c r="A3824" t="s">
        <v>45</v>
      </c>
      <c r="B3824" s="46">
        <f>INDEX(parameters!$D$4:$N$20,MATCH('hydrogen - electrolysis'!B3809&amp;'hydrogen - electrolysis'!B3811,parameters!$A$4:$A$20,0),MATCH('hydrogen - electrolysis'!A3824,parameters!$D$3:$N$3,0))</f>
        <v>0</v>
      </c>
    </row>
    <row r="3825" spans="1:22" x14ac:dyDescent="0.2">
      <c r="A3825" t="s">
        <v>46</v>
      </c>
      <c r="B3825" s="46">
        <f>INDEX(parameters!$D$4:$N$20,MATCH('hydrogen - electrolysis'!B3809&amp;'hydrogen - electrolysis'!B3811,parameters!$A$4:$A$20,0),MATCH('hydrogen - electrolysis'!A3825,parameters!$D$3:$N$3,0))</f>
        <v>1.4999999999999999E-2</v>
      </c>
    </row>
    <row r="3826" spans="1:22" x14ac:dyDescent="0.2">
      <c r="A3826" t="s">
        <v>43</v>
      </c>
      <c r="B3826" s="46">
        <f>INDEX(parameters!$D$4:$N$20,MATCH('hydrogen - electrolysis'!B3809&amp;'hydrogen - electrolysis'!B3811,parameters!$A$4:$A$20,0),MATCH('hydrogen - electrolysis'!A3826,parameters!$D$3:$N$3,0))</f>
        <v>0</v>
      </c>
    </row>
    <row r="3827" spans="1:22" x14ac:dyDescent="0.2">
      <c r="A3827" t="s">
        <v>44</v>
      </c>
      <c r="B3827" s="46">
        <f>INDEX(parameters!$D$4:$N$20,MATCH('hydrogen - electrolysis'!B3809&amp;'hydrogen - electrolysis'!B3811,parameters!$A$4:$A$20,0),MATCH('hydrogen - electrolysis'!A3827,parameters!$D$3:$N$3,0))</f>
        <v>0</v>
      </c>
    </row>
    <row r="3828" spans="1:22" x14ac:dyDescent="0.2">
      <c r="A3828" t="s">
        <v>634</v>
      </c>
      <c r="B3828" s="51">
        <f>INDEX(parameters!$D$4:$Y$20,MATCH('hydrogen - electrolysis'!B3809&amp;'hydrogen - electrolysis'!B3811,parameters!$A$4:$A$20,0),MATCH('hydrogen - electrolysis'!A3828,parameters!$D$3:$Y$3,0))</f>
        <v>351.41800246609125</v>
      </c>
    </row>
    <row r="3829" spans="1:22" x14ac:dyDescent="0.2">
      <c r="A3829" t="s">
        <v>82</v>
      </c>
      <c r="B3829" s="46">
        <f>IF(B3820&lt;&gt;0,VLOOKUP(B3820,parameters!A2494:B2496,2,0),0)</f>
        <v>0</v>
      </c>
    </row>
    <row r="3830" spans="1:22" x14ac:dyDescent="0.2">
      <c r="A3830" t="s">
        <v>548</v>
      </c>
      <c r="B3830" s="50">
        <f>INDEX(parameters!$D$4:$P$20,MATCH(B3809&amp;B3811,parameters!$A$4:$A$20,0),MATCH(A3830,parameters!$D$3:$P$3,0))</f>
        <v>125</v>
      </c>
    </row>
    <row r="3831" spans="1:22" x14ac:dyDescent="0.2">
      <c r="A3831" t="s">
        <v>547</v>
      </c>
      <c r="B3831" s="51">
        <f>INDEX(parameters!$D$4:$P$20,MATCH(B3809&amp;B3811,parameters!$A$4:$A$20,0),MATCH(A3831,parameters!$D$3:$P$3,0))</f>
        <v>19.512195121951219</v>
      </c>
    </row>
    <row r="3832" spans="1:22" x14ac:dyDescent="0.2">
      <c r="A3832" t="s">
        <v>630</v>
      </c>
      <c r="B3832" s="51">
        <f>INDEX(parameters!$D$4:$T$20,MATCH(B3809&amp;B3811,parameters!$A$4:$A$20,0),MATCH(A3832,parameters!$D$3:$T$3,0))</f>
        <v>4100</v>
      </c>
    </row>
    <row r="3833" spans="1:22" x14ac:dyDescent="0.2">
      <c r="A3833" t="s">
        <v>1005</v>
      </c>
      <c r="B3833" s="50">
        <f>IF(B3805="megajoule",SUMIFS(allocation!$I$4:$I$30,allocation!$B$4:$B$30,B3811,allocation!$C$4:$C$30,B3812),SUMIFS(allocation!$J$4:$J$30,allocation!$B$4:$B$30,B3811,allocation!$C$4:$C$30,B3812))</f>
        <v>0.87139957772704957</v>
      </c>
    </row>
    <row r="3834" spans="1:22" x14ac:dyDescent="0.2">
      <c r="A3834" t="s">
        <v>1050</v>
      </c>
      <c r="B3834" s="51">
        <f>INDEX(parameters!$D$4:$AB$20,MATCH(B3809&amp;B3811,parameters!$A$4:$A$20,0),MATCH(A3834,parameters!$D$3:$AB$3,0))</f>
        <v>2220.7364520822662</v>
      </c>
    </row>
    <row r="3836" spans="1:22" x14ac:dyDescent="0.2">
      <c r="A3836" s="3" t="s">
        <v>57</v>
      </c>
    </row>
    <row r="3837" spans="1:22" x14ac:dyDescent="0.2">
      <c r="A3837" s="2" t="s">
        <v>58</v>
      </c>
      <c r="B3837" s="44" t="s">
        <v>59</v>
      </c>
      <c r="C3837" s="2" t="s">
        <v>55</v>
      </c>
      <c r="D3837" s="2" t="s">
        <v>60</v>
      </c>
      <c r="E3837" s="2" t="s">
        <v>52</v>
      </c>
      <c r="F3837" s="2" t="s">
        <v>61</v>
      </c>
      <c r="G3837" s="2" t="s">
        <v>54</v>
      </c>
      <c r="H3837" s="2" t="s">
        <v>87</v>
      </c>
      <c r="I3837" s="2" t="s">
        <v>51</v>
      </c>
      <c r="J3837" s="2" t="s">
        <v>138</v>
      </c>
      <c r="K3837" s="2" t="s">
        <v>136</v>
      </c>
      <c r="L3837" s="2" t="s">
        <v>221</v>
      </c>
      <c r="M3837" s="2" t="s">
        <v>379</v>
      </c>
      <c r="N3837" s="2" t="s">
        <v>1059</v>
      </c>
      <c r="O3837" s="2" t="s">
        <v>1060</v>
      </c>
      <c r="P3837" s="2" t="s">
        <v>1061</v>
      </c>
      <c r="Q3837" s="2" t="s">
        <v>1062</v>
      </c>
      <c r="R3837" s="2" t="s">
        <v>1063</v>
      </c>
      <c r="S3837" s="2" t="s">
        <v>1064</v>
      </c>
      <c r="T3837" s="2" t="s">
        <v>1065</v>
      </c>
      <c r="U3837" s="2" t="s">
        <v>380</v>
      </c>
      <c r="V3837" s="2" t="s">
        <v>1128</v>
      </c>
    </row>
    <row r="3838" spans="1:22" x14ac:dyDescent="0.2">
      <c r="A3838" t="str">
        <f>B3799</f>
        <v>electricity, residential, by combustion of hydrogen using CHP, allocated by exergy, transported by truck, produced by Electrolysis, SOEC using water and electricity from Solar PV (CH)</v>
      </c>
      <c r="B3838" s="45">
        <v>1</v>
      </c>
      <c r="C3838" t="str">
        <f>B3805</f>
        <v>kilowatt hour</v>
      </c>
      <c r="E3838" t="str">
        <f>B3802</f>
        <v>CH</v>
      </c>
      <c r="F3838" t="s">
        <v>62</v>
      </c>
      <c r="G3838" t="str">
        <f>B3804</f>
        <v>electricity, from residential heating system</v>
      </c>
      <c r="K3838" t="str">
        <f>B3799</f>
        <v>electricity, residential, by combustion of hydrogen using CHP, allocated by exergy, transported by truck, produced by Electrolysis, SOEC using water and electricity from Solar PV (CH)</v>
      </c>
    </row>
    <row r="3839" spans="1:22" x14ac:dyDescent="0.2">
      <c r="A3839" t="str">
        <f>VLOOKUP(J3839,'dataset mapping'!$A$4:$E$69,2,0)</f>
        <v>heat and power co-generation unit construction, 160kW electrical, common components for heat+electricity</v>
      </c>
      <c r="B3839" s="52">
        <f>(1/(B3828*B3832*B3831))*B3833</f>
        <v>3.0995835856870056E-8</v>
      </c>
      <c r="C3839" t="str">
        <f>VLOOKUP(J3839,'dataset mapping'!$A$4:$E$69,5,0)</f>
        <v>unit</v>
      </c>
      <c r="E3839" t="str">
        <f>VLOOKUP(J3839,'dataset mapping'!$A$4:$E$69,4,0)</f>
        <v>RER</v>
      </c>
      <c r="F3839" t="s">
        <v>86</v>
      </c>
      <c r="G3839" t="str">
        <f>VLOOKUP(J3839,'dataset mapping'!$A$4:$E$69,3,0)</f>
        <v>heat and power co-generation unit, 160kW electrical, common components for heat+electricity</v>
      </c>
      <c r="H3839" t="s">
        <v>88</v>
      </c>
      <c r="J3839" t="s">
        <v>145</v>
      </c>
      <c r="K3839" t="str">
        <f>B3799</f>
        <v>electricity, residential, by combustion of hydrogen using CHP, allocated by exergy, transported by truck, produced by Electrolysis, SOEC using water and electricity from Solar PV (CH)</v>
      </c>
      <c r="L3839">
        <f>IF(OR(B3839&lt;0,B3839=0),1,2)</f>
        <v>2</v>
      </c>
      <c r="M3839">
        <f>IF(L3839=2,LN(B3839),"")</f>
        <v>-17.28941296868171</v>
      </c>
      <c r="N3839">
        <v>1.05</v>
      </c>
      <c r="O3839" s="15">
        <v>1.2</v>
      </c>
      <c r="P3839">
        <v>1</v>
      </c>
      <c r="Q3839">
        <v>1.01</v>
      </c>
      <c r="R3839">
        <v>1.2</v>
      </c>
      <c r="S3839">
        <v>1.2</v>
      </c>
      <c r="T3839">
        <v>3</v>
      </c>
      <c r="U3839">
        <f t="shared" ref="U3839:U3847" si="124">LN(SQRT(EXP(
SQRT(
+POWER(LN(N3839),2)
+POWER(LN(O3839),2)
+POWER(LN(P3839),2)
+POWER(LN(Q3839),2)
+POWER(LN(R3839),2)
+POWER(LN(S3839),2)
+POWER(LN(T3839),2)
)
)))</f>
        <v>0.57209088006881903</v>
      </c>
    </row>
    <row r="3840" spans="1:22" x14ac:dyDescent="0.2">
      <c r="A3840" t="str">
        <f>VLOOKUP(J3840,'dataset mapping'!$A$4:$E$69,2,0)</f>
        <v>heat and power co-generation unit construction, 160kW electrical, components for electricity only</v>
      </c>
      <c r="B3840" s="52">
        <f>(1/(B3828*B3832*B3831))*B3833</f>
        <v>3.0995835856870056E-8</v>
      </c>
      <c r="C3840" t="str">
        <f>VLOOKUP(J3840,'dataset mapping'!$A$4:$E$69,5,0)</f>
        <v>unit</v>
      </c>
      <c r="E3840" t="str">
        <f>VLOOKUP(J3840,'dataset mapping'!$A$4:$E$69,4,0)</f>
        <v>RER</v>
      </c>
      <c r="F3840" t="s">
        <v>86</v>
      </c>
      <c r="G3840" t="str">
        <f>VLOOKUP(J3840,'dataset mapping'!$A$4:$E$69,3,0)</f>
        <v>heat and power co-generation unit, 160kW electrical, components for electricity only</v>
      </c>
      <c r="H3840" t="s">
        <v>88</v>
      </c>
      <c r="J3840" t="s">
        <v>146</v>
      </c>
      <c r="K3840" t="str">
        <f>B3799</f>
        <v>electricity, residential, by combustion of hydrogen using CHP, allocated by exergy, transported by truck, produced by Electrolysis, SOEC using water and electricity from Solar PV (CH)</v>
      </c>
      <c r="L3840">
        <f>IF(OR(B3840&lt;0,B3840=0),1,2)</f>
        <v>2</v>
      </c>
      <c r="M3840">
        <f>IF(L3840=2,LN(B3840),"")</f>
        <v>-17.28941296868171</v>
      </c>
      <c r="N3840">
        <v>1.05</v>
      </c>
      <c r="O3840" s="15">
        <v>1.2</v>
      </c>
      <c r="P3840">
        <v>1</v>
      </c>
      <c r="Q3840">
        <v>1.01</v>
      </c>
      <c r="R3840">
        <v>1.2</v>
      </c>
      <c r="S3840">
        <v>1.2</v>
      </c>
      <c r="T3840">
        <v>3</v>
      </c>
      <c r="U3840">
        <f t="shared" si="124"/>
        <v>0.57209088006881903</v>
      </c>
    </row>
    <row r="3841" spans="1:22" x14ac:dyDescent="0.2">
      <c r="A3841" t="str">
        <f>VLOOKUP(J3841,'dataset mapping'!$A$4:$E$69,2,0)</f>
        <v>heat and power co-generation unit construction, 160kW electrical, components for heat only</v>
      </c>
      <c r="B3841" s="52">
        <f>(1/(B3828*B3832*B3831))*B3833</f>
        <v>3.0995835856870056E-8</v>
      </c>
      <c r="C3841" t="str">
        <f>VLOOKUP(J3841,'dataset mapping'!$A$4:$E$69,5,0)</f>
        <v>unit</v>
      </c>
      <c r="E3841" t="str">
        <f>VLOOKUP(J3841,'dataset mapping'!$A$4:$E$69,4,0)</f>
        <v>RER</v>
      </c>
      <c r="F3841" t="s">
        <v>86</v>
      </c>
      <c r="G3841" t="str">
        <f>VLOOKUP(J3841,'dataset mapping'!$A$4:$E$69,3,0)</f>
        <v>heat and power co-generation unit, 160kW electrical, components for heat only</v>
      </c>
      <c r="H3841" t="s">
        <v>88</v>
      </c>
      <c r="J3841" t="s">
        <v>147</v>
      </c>
      <c r="K3841" t="str">
        <f>B3799</f>
        <v>electricity, residential, by combustion of hydrogen using CHP, allocated by exergy, transported by truck, produced by Electrolysis, SOEC using water and electricity from Solar PV (CH)</v>
      </c>
      <c r="L3841">
        <f>IF(OR(B3841&lt;0,B3841=0),1,2)</f>
        <v>2</v>
      </c>
      <c r="M3841">
        <f>IF(L3841=2,LN(B3841),"")</f>
        <v>-17.28941296868171</v>
      </c>
      <c r="N3841">
        <v>1.05</v>
      </c>
      <c r="O3841" s="15">
        <v>1.2</v>
      </c>
      <c r="P3841">
        <v>1</v>
      </c>
      <c r="Q3841">
        <v>1.01</v>
      </c>
      <c r="R3841">
        <v>1.2</v>
      </c>
      <c r="S3841">
        <v>1.2</v>
      </c>
      <c r="T3841">
        <v>3</v>
      </c>
      <c r="U3841">
        <f t="shared" si="124"/>
        <v>0.57209088006881903</v>
      </c>
    </row>
    <row r="3842" spans="1:22" x14ac:dyDescent="0.2">
      <c r="A3842" t="s">
        <v>156</v>
      </c>
      <c r="B3842" s="52">
        <f>0.00000011366*B3833</f>
        <v>9.9043276004456456E-8</v>
      </c>
      <c r="C3842" t="s">
        <v>56</v>
      </c>
      <c r="E3842" t="s">
        <v>90</v>
      </c>
      <c r="F3842" t="s">
        <v>86</v>
      </c>
      <c r="G3842" t="s">
        <v>154</v>
      </c>
      <c r="H3842" t="s">
        <v>155</v>
      </c>
      <c r="K3842" t="str">
        <f>B3799</f>
        <v>electricity, residential, by combustion of hydrogen using CHP, allocated by exergy, transported by truck, produced by Electrolysis, SOEC using water and electricity from Solar PV (CH)</v>
      </c>
      <c r="L3842">
        <f>IF(OR(B3842&lt;0,B3842=0),1,2)</f>
        <v>2</v>
      </c>
      <c r="M3842">
        <f>IF(L3842=2,LN(B3842),"")</f>
        <v>-16.127708950967754</v>
      </c>
      <c r="N3842">
        <v>1.05</v>
      </c>
      <c r="O3842" s="15">
        <v>1.2</v>
      </c>
      <c r="P3842">
        <v>1</v>
      </c>
      <c r="Q3842">
        <v>1.01</v>
      </c>
      <c r="R3842">
        <v>1.2</v>
      </c>
      <c r="S3842">
        <v>1.2</v>
      </c>
      <c r="T3842">
        <v>1.05</v>
      </c>
      <c r="U3842">
        <f t="shared" si="124"/>
        <v>0.16169679924070957</v>
      </c>
    </row>
    <row r="3843" spans="1:22" x14ac:dyDescent="0.2">
      <c r="A3843" t="s">
        <v>157</v>
      </c>
      <c r="B3843" s="52">
        <f>0.00000011366*B3833*-1</f>
        <v>-9.9043276004456456E-8</v>
      </c>
      <c r="C3843" t="s">
        <v>56</v>
      </c>
      <c r="E3843" t="s">
        <v>64</v>
      </c>
      <c r="F3843" t="s">
        <v>86</v>
      </c>
      <c r="G3843" t="s">
        <v>158</v>
      </c>
      <c r="H3843" t="s">
        <v>155</v>
      </c>
      <c r="K3843" t="str">
        <f>B3799</f>
        <v>electricity, residential, by combustion of hydrogen using CHP, allocated by exergy, transported by truck, produced by Electrolysis, SOEC using water and electricity from Solar PV (CH)</v>
      </c>
      <c r="L3843">
        <v>2</v>
      </c>
      <c r="M3843">
        <f>IF(L3843=2,LN(B3843*-1),"")</f>
        <v>-16.127708950967754</v>
      </c>
      <c r="N3843">
        <v>1.05</v>
      </c>
      <c r="O3843" s="15">
        <v>1.2</v>
      </c>
      <c r="P3843">
        <v>1</v>
      </c>
      <c r="Q3843">
        <v>1.01</v>
      </c>
      <c r="R3843">
        <v>1.2</v>
      </c>
      <c r="S3843">
        <v>1.2</v>
      </c>
      <c r="T3843">
        <v>3</v>
      </c>
      <c r="U3843">
        <f t="shared" si="124"/>
        <v>0.57209088006881903</v>
      </c>
      <c r="V3843" t="b">
        <v>1</v>
      </c>
    </row>
    <row r="3844" spans="1:22" x14ac:dyDescent="0.2">
      <c r="A3844" s="45" t="str">
        <f>"hydrogen supply, transported by "&amp;B3813&amp;", produced by "&amp;B3817&amp;" using "&amp;B3818&amp;" from "&amp;B3819</f>
        <v>hydrogen supply, transported by truck, produced by Electrolysis, SOEC using water and electricity from Solar PV (CH)</v>
      </c>
      <c r="B3844" s="53">
        <f>(B3838/B3822)/B3821*B3833</f>
        <v>6.6350221654343872E-2</v>
      </c>
      <c r="C3844" t="s">
        <v>56</v>
      </c>
      <c r="E3844" t="s">
        <v>64</v>
      </c>
      <c r="F3844" t="s">
        <v>86</v>
      </c>
      <c r="G3844" t="str">
        <f>"hydrogen, gaseous, from "&amp;B3813</f>
        <v>hydrogen, gaseous, from truck</v>
      </c>
      <c r="H3844" t="s">
        <v>76</v>
      </c>
      <c r="I3844" t="s">
        <v>1054</v>
      </c>
      <c r="J3844" t="s">
        <v>293</v>
      </c>
      <c r="K3844" t="str">
        <f>B3799</f>
        <v>electricity, residential, by combustion of hydrogen using CHP, allocated by exergy, transported by truck, produced by Electrolysis, SOEC using water and electricity from Solar PV (CH)</v>
      </c>
      <c r="L3844">
        <f>IF(OR(B3844&lt;0,B3844=0),1,2)</f>
        <v>2</v>
      </c>
      <c r="M3844">
        <f>IF(L3844=2,LN(B3844),"")</f>
        <v>-2.7128081775260964</v>
      </c>
      <c r="N3844">
        <v>1.05</v>
      </c>
      <c r="O3844" s="15">
        <v>1.2</v>
      </c>
      <c r="P3844">
        <v>1</v>
      </c>
      <c r="Q3844">
        <v>1.01</v>
      </c>
      <c r="R3844">
        <v>1.2</v>
      </c>
      <c r="S3844">
        <v>1.2</v>
      </c>
      <c r="T3844">
        <v>1.05</v>
      </c>
      <c r="U3844">
        <f t="shared" si="124"/>
        <v>0.16169679924070957</v>
      </c>
    </row>
    <row r="3845" spans="1:22" x14ac:dyDescent="0.2">
      <c r="A3845" t="str">
        <f>VLOOKUP(J3845,'dataset mapping'!$A$4:$E$69,2,0)</f>
        <v>high pressure hydrogen storage tank</v>
      </c>
      <c r="B3845" s="52">
        <f>((B3834/10)/(B3832*B3828*20))*IF(B3833&lt;&gt;0,B3833,1)</f>
        <v>6.7154714683034044E-6</v>
      </c>
      <c r="C3845" t="str">
        <f>VLOOKUP(J3845,'dataset mapping'!$A$4:$E$69,5,0)</f>
        <v>kilogram</v>
      </c>
      <c r="E3845" t="str">
        <f>VLOOKUP(J3845,'dataset mapping'!$A$4:$E$69,4,0)</f>
        <v>GLO</v>
      </c>
      <c r="F3845" t="s">
        <v>86</v>
      </c>
      <c r="G3845" t="str">
        <f>VLOOKUP(J3845,'dataset mapping'!$A$4:$E$69,3,0)</f>
        <v>high pressure hydrogen storage tank</v>
      </c>
      <c r="H3845" t="s">
        <v>88</v>
      </c>
      <c r="I3845" t="s">
        <v>279</v>
      </c>
      <c r="J3845" t="s">
        <v>229</v>
      </c>
      <c r="K3845" t="str">
        <f>B3799</f>
        <v>electricity, residential, by combustion of hydrogen using CHP, allocated by exergy, transported by truck, produced by Electrolysis, SOEC using water and electricity from Solar PV (CH)</v>
      </c>
      <c r="L3845">
        <f>IF(OR(B3845&lt;0,B3845=0),1,2)</f>
        <v>2</v>
      </c>
      <c r="M3845">
        <f>IF(L3845=2,LN(B3845),"")</f>
        <v>-11.911096519239557</v>
      </c>
      <c r="N3845">
        <v>1.05</v>
      </c>
      <c r="O3845" s="15">
        <v>1.2</v>
      </c>
      <c r="P3845">
        <v>1</v>
      </c>
      <c r="Q3845">
        <v>1.01</v>
      </c>
      <c r="R3845">
        <v>1.2</v>
      </c>
      <c r="S3845">
        <v>1.2</v>
      </c>
      <c r="T3845">
        <v>3</v>
      </c>
      <c r="U3845">
        <f t="shared" si="124"/>
        <v>0.57209088006881903</v>
      </c>
    </row>
    <row r="3846" spans="1:22" x14ac:dyDescent="0.2">
      <c r="A3846" t="s">
        <v>134</v>
      </c>
      <c r="B3846" s="45">
        <f>B3844*9</f>
        <v>0.59715199488909487</v>
      </c>
      <c r="C3846" t="s">
        <v>56</v>
      </c>
      <c r="D3846" t="s">
        <v>100</v>
      </c>
      <c r="F3846" t="s">
        <v>99</v>
      </c>
      <c r="H3846" t="s">
        <v>131</v>
      </c>
      <c r="I3846" t="s">
        <v>1058</v>
      </c>
      <c r="K3846" t="str">
        <f>B3799</f>
        <v>electricity, residential, by combustion of hydrogen using CHP, allocated by exergy, transported by truck, produced by Electrolysis, SOEC using water and electricity from Solar PV (CH)</v>
      </c>
      <c r="L3846">
        <f>IF(OR(B3846&lt;0,B3846=0),1,2)</f>
        <v>2</v>
      </c>
      <c r="M3846">
        <f>IF(L3846=2,LN(B3846),"")</f>
        <v>-0.51558360018987692</v>
      </c>
      <c r="N3846">
        <v>1.05</v>
      </c>
      <c r="O3846" s="15">
        <v>1.2</v>
      </c>
      <c r="P3846">
        <v>1</v>
      </c>
      <c r="Q3846">
        <v>1.01</v>
      </c>
      <c r="R3846">
        <v>1.2</v>
      </c>
      <c r="S3846">
        <v>1.2</v>
      </c>
      <c r="T3846">
        <v>1.05</v>
      </c>
      <c r="U3846">
        <f t="shared" si="124"/>
        <v>0.16169679924070957</v>
      </c>
    </row>
    <row r="3847" spans="1:22" x14ac:dyDescent="0.2">
      <c r="A3847" t="s">
        <v>135</v>
      </c>
      <c r="B3847" s="45">
        <f>912.5/1000000*B3844</f>
        <v>6.0544577259588785E-5</v>
      </c>
      <c r="C3847" t="s">
        <v>56</v>
      </c>
      <c r="D3847" t="s">
        <v>100</v>
      </c>
      <c r="F3847" t="s">
        <v>99</v>
      </c>
      <c r="H3847" t="s">
        <v>131</v>
      </c>
      <c r="I3847" t="s">
        <v>1217</v>
      </c>
      <c r="K3847" t="str">
        <f>B3799</f>
        <v>electricity, residential, by combustion of hydrogen using CHP, allocated by exergy, transported by truck, produced by Electrolysis, SOEC using water and electricity from Solar PV (CH)</v>
      </c>
      <c r="L3847">
        <f>IF(OR(B3847&lt;0,B3847=0),1,2)</f>
        <v>2</v>
      </c>
      <c r="M3847">
        <f>IF(L3847=2,LN(B3847),"")</f>
        <v>-9.712130650033723</v>
      </c>
      <c r="N3847">
        <v>1.05</v>
      </c>
      <c r="O3847" s="15">
        <v>1.2</v>
      </c>
      <c r="P3847">
        <v>1</v>
      </c>
      <c r="Q3847">
        <v>1.01</v>
      </c>
      <c r="R3847">
        <v>1.2</v>
      </c>
      <c r="S3847">
        <v>1.2</v>
      </c>
      <c r="T3847">
        <v>1.5</v>
      </c>
      <c r="U3847">
        <f t="shared" si="124"/>
        <v>0.25816898211842121</v>
      </c>
    </row>
    <row r="3849" spans="1:22" x14ac:dyDescent="0.2">
      <c r="A3849" s="2" t="s">
        <v>50</v>
      </c>
      <c r="B3849" s="44" t="str">
        <f>IF(B3855="megajoule","heat","electricity")&amp;", residential, by "&amp;B3860&amp;" of "&amp;B3859&amp;" using "&amp;B3861&amp;IF(B3862&lt;&gt;0,", allocated by "&amp;B3862,"")&amp;", transported by "&amp;B3863&amp;", produced by "&amp;B3867&amp;" using "&amp;B3868&amp;" from "&amp;B3869</f>
        <v>electricity, residential, by conversion of hydrogen using fuel cell, PEM, allocated by exergy, transported by truck, produced by Electrolysis, SOEC using water and electricity from Solar PV (CH)</v>
      </c>
    </row>
    <row r="3850" spans="1:22" x14ac:dyDescent="0.2">
      <c r="A3850" t="s">
        <v>51</v>
      </c>
      <c r="B3850" s="45" t="e">
        <f>"This dataset represents the supply of 1 "&amp;IF(B3855="megajoule","megajoule of heat","kilowatt hour of electricity")&amp;" in a residence, by "&amp;B3859&amp;" "&amp;B3860/3*40&amp;": "&amp;B3881&amp;". "&amp;A3882&amp;": "&amp;B3882&amp;". "&amp;A3883&amp;": "&amp;B3883&amp;".  For more information, refer to: "&amp;B3851</f>
        <v>#VALUE!</v>
      </c>
    </row>
    <row r="3851" spans="1:22" x14ac:dyDescent="0.2">
      <c r="A3851" t="s">
        <v>63</v>
      </c>
      <c r="B3851" s="45" t="s">
        <v>1223</v>
      </c>
    </row>
    <row r="3852" spans="1:22" x14ac:dyDescent="0.2">
      <c r="A3852" t="s">
        <v>52</v>
      </c>
      <c r="B3852" s="45" t="s">
        <v>64</v>
      </c>
    </row>
    <row r="3853" spans="1:22" x14ac:dyDescent="0.2">
      <c r="A3853" t="s">
        <v>48</v>
      </c>
      <c r="B3853" s="45" t="s">
        <v>899</v>
      </c>
    </row>
    <row r="3854" spans="1:22" x14ac:dyDescent="0.2">
      <c r="A3854" t="s">
        <v>54</v>
      </c>
      <c r="B3854" s="45" t="str">
        <f>INDEX(overview!$B$4:$R$338,MATCH('hydrogen - electrolysis'!B3853,overview!$A$4:$A$338,0),MATCH('hydrogen - electrolysis'!A3854,overview!$B$3:$R$3,0))</f>
        <v>electricity, from residential heating system</v>
      </c>
    </row>
    <row r="3855" spans="1:22" x14ac:dyDescent="0.2">
      <c r="A3855" t="s">
        <v>55</v>
      </c>
      <c r="B3855" s="45" t="str">
        <f>INDEX(overview!$B$4:$R$338,MATCH('hydrogen - electrolysis'!B3853,overview!$A$4:$A$338,0),MATCH('hydrogen - electrolysis'!A3855,overview!$B$3:$R$3,0))</f>
        <v>kilowatt hour</v>
      </c>
    </row>
    <row r="3856" spans="1:22" x14ac:dyDescent="0.2">
      <c r="A3856" t="s">
        <v>0</v>
      </c>
      <c r="B3856" s="45" t="str">
        <f>INDEX(overview!$B$4:$R$338,MATCH('hydrogen - electrolysis'!B3853,overview!$A$4:$A$338,0),MATCH('hydrogen - electrolysis'!A3856,overview!$B$3:$R$3,0))</f>
        <v>Switzerland</v>
      </c>
    </row>
    <row r="3857" spans="1:2" x14ac:dyDescent="0.2">
      <c r="A3857" t="s">
        <v>1</v>
      </c>
      <c r="B3857" s="45">
        <f>INDEX(overview!$B$4:$R$338,MATCH('hydrogen - electrolysis'!B3853,overview!$A$4:$A$338,0),MATCH('hydrogen - electrolysis'!A3857,overview!$B$3:$R$3,0))</f>
        <v>2020</v>
      </c>
    </row>
    <row r="3858" spans="1:2" x14ac:dyDescent="0.2">
      <c r="A3858" t="s">
        <v>2</v>
      </c>
      <c r="B3858" s="45" t="str">
        <f>INDEX(overview!$B$4:$R$338,MATCH('hydrogen - electrolysis'!B3853,overview!$A$4:$A$338,0),MATCH('hydrogen - electrolysis'!A3858,overview!$B$3:$R$3,0))</f>
        <v>1 kWh electricity</v>
      </c>
    </row>
    <row r="3859" spans="1:2" x14ac:dyDescent="0.2">
      <c r="A3859" t="s">
        <v>5</v>
      </c>
      <c r="B3859" s="45" t="str">
        <f>INDEX(overview!$B$4:$R$338,MATCH('hydrogen - electrolysis'!B3853,overview!$A$4:$A$338,0),MATCH('hydrogen - electrolysis'!A3859,overview!$B$3:$R$3,0))</f>
        <v>hydrogen</v>
      </c>
    </row>
    <row r="3860" spans="1:2" x14ac:dyDescent="0.2">
      <c r="A3860" t="s">
        <v>3</v>
      </c>
      <c r="B3860" s="45" t="str">
        <f>INDEX(overview!$B$4:$R$338,MATCH('hydrogen - electrolysis'!B3853,overview!$A$4:$A$338,0),MATCH('hydrogen - electrolysis'!A3860,overview!$B$3:$R$3,0))</f>
        <v>conversion</v>
      </c>
    </row>
    <row r="3861" spans="1:2" x14ac:dyDescent="0.2">
      <c r="A3861" t="s">
        <v>6</v>
      </c>
      <c r="B3861" s="45" t="str">
        <f>INDEX(overview!$B$4:$R$338,MATCH('hydrogen - electrolysis'!B3853,overview!$A$4:$A$338,0),MATCH('hydrogen - electrolysis'!A3861,overview!$B$3:$R$3,0))</f>
        <v>fuel cell, PEM</v>
      </c>
    </row>
    <row r="3862" spans="1:2" x14ac:dyDescent="0.2">
      <c r="A3862" t="s">
        <v>39</v>
      </c>
      <c r="B3862" s="45" t="str">
        <f>INDEX(overview!$B$4:$R$338,MATCH('hydrogen - electrolysis'!B3853,overview!$A$4:$A$338,0),MATCH('hydrogen - electrolysis'!A3862,overview!$B$3:$R$3,0))</f>
        <v>exergy</v>
      </c>
    </row>
    <row r="3863" spans="1:2" x14ac:dyDescent="0.2">
      <c r="A3863" t="s">
        <v>4</v>
      </c>
      <c r="B3863" s="45" t="str">
        <f>INDEX(overview!$B$4:$R$338,MATCH('hydrogen - electrolysis'!B3853,overview!$A$4:$A$338,0),MATCH('hydrogen - electrolysis'!A3863,overview!$B$3:$R$3,0))</f>
        <v>truck</v>
      </c>
    </row>
    <row r="3864" spans="1:2" x14ac:dyDescent="0.2">
      <c r="A3864" t="s">
        <v>38</v>
      </c>
      <c r="B3864" s="45">
        <f>INDEX(overview!$B$4:$R$338,MATCH('hydrogen - electrolysis'!B3853,overview!$A$4:$A$338,0),MATCH('hydrogen - electrolysis'!A3864,overview!$B$3:$R$3,0))</f>
        <v>200</v>
      </c>
    </row>
    <row r="3865" spans="1:2" x14ac:dyDescent="0.2">
      <c r="A3865" t="s">
        <v>12</v>
      </c>
      <c r="B3865" s="45" t="str">
        <f>INDEX(overview!$B$4:$R$338,MATCH('hydrogen - electrolysis'!B3853,overview!$A$4:$A$338,0),MATCH('hydrogen - electrolysis'!A3865,overview!$B$3:$R$3,0))</f>
        <v>Pressure vessel for stationary storage</v>
      </c>
    </row>
    <row r="3866" spans="1:2" x14ac:dyDescent="0.2">
      <c r="A3866" t="s">
        <v>34</v>
      </c>
      <c r="B3866" s="45">
        <f>INDEX(overview!$B$4:$R$338,MATCH('hydrogen - electrolysis'!B3853,overview!$A$4:$A$338,0),MATCH('hydrogen - electrolysis'!A3866,overview!$B$3:$R$3,0))</f>
        <v>0</v>
      </c>
    </row>
    <row r="3867" spans="1:2" x14ac:dyDescent="0.2">
      <c r="A3867" t="s">
        <v>15</v>
      </c>
      <c r="B3867" s="45" t="str">
        <f>INDEX(overview!$B$4:$R$338,MATCH('hydrogen - electrolysis'!B3853,overview!$A$4:$A$338,0),MATCH('hydrogen - electrolysis'!A3867,overview!$B$3:$R$3,0))</f>
        <v>Electrolysis, SOEC</v>
      </c>
    </row>
    <row r="3868" spans="1:2" x14ac:dyDescent="0.2">
      <c r="A3868" t="s">
        <v>14</v>
      </c>
      <c r="B3868" s="45" t="str">
        <f>INDEX(overview!$B$4:$R$338,MATCH('hydrogen - electrolysis'!B3853,overview!$A$4:$A$338,0),MATCH('hydrogen - electrolysis'!A3868,overview!$B$3:$R$3,0))</f>
        <v>water and electricity</v>
      </c>
    </row>
    <row r="3869" spans="1:2" x14ac:dyDescent="0.2">
      <c r="A3869" t="s">
        <v>26</v>
      </c>
      <c r="B3869" s="45" t="str">
        <f>INDEX(overview!$B$4:$R$338,MATCH('hydrogen - electrolysis'!B3853,overview!$A$4:$A$338,0),MATCH('hydrogen - electrolysis'!A3869,overview!$B$3:$R$3,0))</f>
        <v>Solar PV (CH)</v>
      </c>
    </row>
    <row r="3870" spans="1:2" x14ac:dyDescent="0.2">
      <c r="A3870" t="s">
        <v>29</v>
      </c>
      <c r="B3870" s="45">
        <f>INDEX(overview!$B$4:$R$338,MATCH('hydrogen - electrolysis'!B3853,overview!$A$4:$A$338,0),MATCH('hydrogen - electrolysis'!A3870,overview!$B$3:$R$3,0))</f>
        <v>0</v>
      </c>
    </row>
    <row r="3871" spans="1:2" x14ac:dyDescent="0.2">
      <c r="A3871" t="str">
        <f>IF(B3855="megajoule","Heat","Electricity")&amp;" conversion efficiency [% LHV input]"</f>
        <v>Electricity conversion efficiency [% LHV input]</v>
      </c>
      <c r="B3871" s="46">
        <f>INDEX(parameters!$D$4:$N$20,MATCH('hydrogen - electrolysis'!B3859&amp;'hydrogen - electrolysis'!B3861,parameters!$A$4:$A$20,0),MATCH('hydrogen - electrolysis'!A3871,parameters!$D$3:$N$3,0))</f>
        <v>0.45</v>
      </c>
    </row>
    <row r="3872" spans="1:2" x14ac:dyDescent="0.2">
      <c r="A3872" t="str">
        <f>IF(B3855="megajoule","LHV [MJ/kg]","LHV [kWh/kg]")</f>
        <v>LHV [kWh/kg]</v>
      </c>
      <c r="B3872" s="47">
        <f>INDEX(parameters!$D$4:$N$20,MATCH('hydrogen - electrolysis'!B3859&amp;'hydrogen - electrolysis'!B3861,parameters!$A$4:$A$20,0),MATCH('hydrogen - electrolysis'!A3872,parameters!$D$3:$N$3,0))</f>
        <v>33.333333333333336</v>
      </c>
    </row>
    <row r="3873" spans="1:22" x14ac:dyDescent="0.2">
      <c r="A3873" t="s">
        <v>41</v>
      </c>
      <c r="B3873" s="48">
        <f>INDEX(parameters!$D$4:$N$20,MATCH('hydrogen - electrolysis'!B3859&amp;'hydrogen - electrolysis'!B3861,parameters!$A$4:$A$20,0),MATCH('hydrogen - electrolysis'!A3873,parameters!$D$3:$N$3,0))</f>
        <v>2.6666666666666665E-2</v>
      </c>
    </row>
    <row r="3874" spans="1:22" x14ac:dyDescent="0.2">
      <c r="A3874" t="s">
        <v>45</v>
      </c>
      <c r="B3874" s="46">
        <f>INDEX(parameters!$D$4:$N$20,MATCH('hydrogen - electrolysis'!B3859&amp;'hydrogen - electrolysis'!B3861,parameters!$A$4:$A$20,0),MATCH('hydrogen - electrolysis'!A3874,parameters!$D$3:$N$3,0))</f>
        <v>0</v>
      </c>
    </row>
    <row r="3875" spans="1:22" x14ac:dyDescent="0.2">
      <c r="A3875" t="s">
        <v>46</v>
      </c>
      <c r="B3875" s="46">
        <f>INDEX(parameters!$D$4:$N$20,MATCH('hydrogen - electrolysis'!B3859&amp;'hydrogen - electrolysis'!B3861,parameters!$A$4:$A$20,0),MATCH('hydrogen - electrolysis'!A3875,parameters!$D$3:$N$3,0))</f>
        <v>1.4999999999999999E-2</v>
      </c>
    </row>
    <row r="3876" spans="1:22" x14ac:dyDescent="0.2">
      <c r="A3876" t="s">
        <v>43</v>
      </c>
      <c r="B3876" s="46">
        <f>INDEX(parameters!$D$4:$N$20,MATCH('hydrogen - electrolysis'!B3859&amp;'hydrogen - electrolysis'!B3861,parameters!$A$4:$A$20,0),MATCH('hydrogen - electrolysis'!A3876,parameters!$D$3:$N$3,0))</f>
        <v>0</v>
      </c>
    </row>
    <row r="3877" spans="1:22" x14ac:dyDescent="0.2">
      <c r="A3877" t="s">
        <v>44</v>
      </c>
      <c r="B3877" s="46">
        <f>INDEX(parameters!$D$4:$N$20,MATCH('hydrogen - electrolysis'!B3859&amp;'hydrogen - electrolysis'!B3861,parameters!$A$4:$A$20,0),MATCH('hydrogen - electrolysis'!A3877,parameters!$D$3:$N$3,0))</f>
        <v>0</v>
      </c>
    </row>
    <row r="3878" spans="1:22" x14ac:dyDescent="0.2">
      <c r="A3878" t="s">
        <v>634</v>
      </c>
      <c r="B3878" s="51">
        <f>INDEX(parameters!$D$4:$Y$20,MATCH('hydrogen - electrolysis'!B3859&amp;'hydrogen - electrolysis'!B3861,parameters!$A$4:$A$20,0),MATCH('hydrogen - electrolysis'!A3878,parameters!$D$3:$Y$3,0))</f>
        <v>1.8947368421052633</v>
      </c>
    </row>
    <row r="3879" spans="1:22" x14ac:dyDescent="0.2">
      <c r="A3879" t="s">
        <v>82</v>
      </c>
      <c r="B3879" s="46">
        <f>IF(B3870&lt;&gt;0,VLOOKUP(B3870,parameters!A2547:B2549,2,0),0)</f>
        <v>0</v>
      </c>
    </row>
    <row r="3880" spans="1:22" x14ac:dyDescent="0.2">
      <c r="A3880" t="s">
        <v>548</v>
      </c>
      <c r="B3880" s="50">
        <f>INDEX(parameters!$D$4:$P$20,MATCH(B3859&amp;B3861,parameters!$A$4:$A$20,0),MATCH(A3880,parameters!$D$3:$P$3,0))</f>
        <v>0.8</v>
      </c>
    </row>
    <row r="3881" spans="1:22" x14ac:dyDescent="0.2">
      <c r="A3881" t="s">
        <v>547</v>
      </c>
      <c r="B3881" s="51">
        <f>INDEX(parameters!$D$4:$P$20,MATCH(B3859&amp;B3861,parameters!$A$4:$A$20,0),MATCH(A3881,parameters!$D$3:$P$3,0))</f>
        <v>4.8780487804878048</v>
      </c>
    </row>
    <row r="3882" spans="1:22" x14ac:dyDescent="0.2">
      <c r="A3882" t="s">
        <v>630</v>
      </c>
      <c r="B3882" s="51">
        <f>INDEX(parameters!$D$4:$T$20,MATCH(B3859&amp;B3861,parameters!$A$4:$A$20,0),MATCH(A3882,parameters!$D$3:$T$3,0))</f>
        <v>4100</v>
      </c>
    </row>
    <row r="3883" spans="1:22" x14ac:dyDescent="0.2">
      <c r="A3883" t="s">
        <v>1005</v>
      </c>
      <c r="B3883" s="50">
        <f>IF(B3855="megajoule",SUMIFS(allocation!$I$4:$I$30,allocation!$B$4:$B$30,B3861,allocation!$C$4:$C$30,B3862),SUMIFS(allocation!$J$4:$J$30,allocation!$B$4:$B$30,B3861,allocation!$C$4:$C$30,B3862))</f>
        <v>0.86066019201025545</v>
      </c>
    </row>
    <row r="3884" spans="1:22" x14ac:dyDescent="0.2">
      <c r="A3884" t="s">
        <v>1050</v>
      </c>
      <c r="B3884" s="51">
        <f>INDEX(parameters!$D$4:$AB$20,MATCH(B3859&amp;B3861,parameters!$A$4:$A$20,0),MATCH(A3884,parameters!$D$3:$AB$3,0))</f>
        <v>10.221606648199446</v>
      </c>
    </row>
    <row r="3886" spans="1:22" x14ac:dyDescent="0.2">
      <c r="A3886" s="3" t="s">
        <v>57</v>
      </c>
    </row>
    <row r="3887" spans="1:22" x14ac:dyDescent="0.2">
      <c r="A3887" s="2" t="s">
        <v>58</v>
      </c>
      <c r="B3887" s="44" t="s">
        <v>59</v>
      </c>
      <c r="C3887" s="2" t="s">
        <v>55</v>
      </c>
      <c r="D3887" s="2" t="s">
        <v>60</v>
      </c>
      <c r="E3887" s="2" t="s">
        <v>52</v>
      </c>
      <c r="F3887" s="2" t="s">
        <v>61</v>
      </c>
      <c r="G3887" s="2" t="s">
        <v>54</v>
      </c>
      <c r="H3887" s="2" t="s">
        <v>87</v>
      </c>
      <c r="I3887" s="2" t="s">
        <v>51</v>
      </c>
      <c r="J3887" s="2" t="s">
        <v>138</v>
      </c>
      <c r="K3887" s="2" t="s">
        <v>136</v>
      </c>
      <c r="L3887" s="2" t="s">
        <v>221</v>
      </c>
      <c r="M3887" s="2" t="s">
        <v>379</v>
      </c>
      <c r="N3887" s="2" t="s">
        <v>1059</v>
      </c>
      <c r="O3887" s="2" t="s">
        <v>1060</v>
      </c>
      <c r="P3887" s="2" t="s">
        <v>1061</v>
      </c>
      <c r="Q3887" s="2" t="s">
        <v>1062</v>
      </c>
      <c r="R3887" s="2" t="s">
        <v>1063</v>
      </c>
      <c r="S3887" s="2" t="s">
        <v>1064</v>
      </c>
      <c r="T3887" s="2" t="s">
        <v>1065</v>
      </c>
      <c r="U3887" s="2" t="s">
        <v>380</v>
      </c>
      <c r="V3887" s="2" t="s">
        <v>1128</v>
      </c>
    </row>
    <row r="3888" spans="1:22" x14ac:dyDescent="0.2">
      <c r="A3888" t="str">
        <f>B3849</f>
        <v>electricity, residential, by conversion of hydrogen using fuel cell, PEM, allocated by exergy, transported by truck, produced by Electrolysis, SOEC using water and electricity from Solar PV (CH)</v>
      </c>
      <c r="B3888" s="45">
        <v>1</v>
      </c>
      <c r="C3888" t="str">
        <f>B3855</f>
        <v>kilowatt hour</v>
      </c>
      <c r="E3888" t="str">
        <f>B3852</f>
        <v>CH</v>
      </c>
      <c r="F3888" t="s">
        <v>62</v>
      </c>
      <c r="G3888" t="str">
        <f>B3854</f>
        <v>electricity, from residential heating system</v>
      </c>
      <c r="K3888" t="str">
        <f>B3849</f>
        <v>electricity, residential, by conversion of hydrogen using fuel cell, PEM, allocated by exergy, transported by truck, produced by Electrolysis, SOEC using water and electricity from Solar PV (CH)</v>
      </c>
    </row>
    <row r="3889" spans="1:21" x14ac:dyDescent="0.2">
      <c r="A3889" t="str">
        <f>VLOOKUP(J3889,'dataset mapping'!$A$4:$E$69,2,0)</f>
        <v>fuel cell system assembly, 1 kWe, proton exchange membrane (PEM)</v>
      </c>
      <c r="B3889" s="52">
        <f>(1/(B3878*B3882*B3881))*B3883</f>
        <v>2.2711866178048405E-5</v>
      </c>
      <c r="C3889" t="str">
        <f>VLOOKUP(J3889,'dataset mapping'!$A$4:$E$69,5,0)</f>
        <v>unit</v>
      </c>
      <c r="E3889" t="str">
        <f>VLOOKUP(J3889,'dataset mapping'!$A$4:$E$69,4,0)</f>
        <v>GLO</v>
      </c>
      <c r="F3889" t="s">
        <v>86</v>
      </c>
      <c r="G3889" t="str">
        <f>VLOOKUP(J3889,'dataset mapping'!$A$4:$E$69,3,0)</f>
        <v>fuel cell system, 1 kWe, proton exchange membrane (PEM)</v>
      </c>
      <c r="H3889" t="s">
        <v>88</v>
      </c>
      <c r="I3889" t="s">
        <v>272</v>
      </c>
      <c r="J3889" t="s">
        <v>273</v>
      </c>
      <c r="K3889" t="str">
        <f>B3849</f>
        <v>electricity, residential, by conversion of hydrogen using fuel cell, PEM, allocated by exergy, transported by truck, produced by Electrolysis, SOEC using water and electricity from Solar PV (CH)</v>
      </c>
      <c r="L3889">
        <f>IF(OR(B3889&lt;0,B3889=0),1,2)</f>
        <v>2</v>
      </c>
      <c r="M3889">
        <f>IF(L3889=2,LN(B3889),"")</f>
        <v>-10.692623030936341</v>
      </c>
      <c r="N3889">
        <v>1</v>
      </c>
      <c r="O3889" s="15">
        <v>1.2</v>
      </c>
      <c r="P3889">
        <v>1</v>
      </c>
      <c r="Q3889">
        <v>1.01</v>
      </c>
      <c r="R3889">
        <v>1.2</v>
      </c>
      <c r="S3889">
        <v>1.2</v>
      </c>
      <c r="T3889">
        <v>3</v>
      </c>
      <c r="U3889">
        <f>LN(SQRT(EXP(
SQRT(
+POWER(LN(N3889),2)
+POWER(LN(O3889),2)
+POWER(LN(P3889),2)
+POWER(LN(Q3889),2)
+POWER(LN(R3889),2)
+POWER(LN(S3889),2)
+POWER(LN(T3889),2)
)
)))</f>
        <v>0.57157051623399524</v>
      </c>
    </row>
    <row r="3890" spans="1:21" x14ac:dyDescent="0.2">
      <c r="A3890" s="45" t="str">
        <f>"hydrogen supply, transported by "&amp;B3863&amp;", produced by "&amp;B3867&amp;" using "&amp;B3868&amp;" from "&amp;B3869</f>
        <v>hydrogen supply, transported by truck, produced by Electrolysis, SOEC using water and electricity from Solar PV (CH)</v>
      </c>
      <c r="B3890" s="53">
        <f>(B3888/B3872)/B3871*B3883</f>
        <v>5.7377346134017029E-2</v>
      </c>
      <c r="C3890" t="s">
        <v>56</v>
      </c>
      <c r="E3890" t="s">
        <v>64</v>
      </c>
      <c r="F3890" t="s">
        <v>86</v>
      </c>
      <c r="G3890" t="str">
        <f>"hydrogen, gaseous, from "&amp;B3863</f>
        <v>hydrogen, gaseous, from truck</v>
      </c>
      <c r="H3890" t="s">
        <v>76</v>
      </c>
      <c r="I3890" t="s">
        <v>1054</v>
      </c>
      <c r="J3890" t="s">
        <v>293</v>
      </c>
      <c r="K3890" t="str">
        <f>B3849</f>
        <v>electricity, residential, by conversion of hydrogen using fuel cell, PEM, allocated by exergy, transported by truck, produced by Electrolysis, SOEC using water and electricity from Solar PV (CH)</v>
      </c>
      <c r="L3890">
        <f>IF(OR(B3890&lt;0,B3890=0),1,2)</f>
        <v>2</v>
      </c>
      <c r="M3890">
        <f>IF(L3890=2,LN(B3890),"")</f>
        <v>-2.8581057202127536</v>
      </c>
      <c r="N3890">
        <v>1</v>
      </c>
      <c r="O3890" s="15">
        <v>1.2</v>
      </c>
      <c r="P3890">
        <v>1</v>
      </c>
      <c r="Q3890">
        <v>1.01</v>
      </c>
      <c r="R3890">
        <v>1.2</v>
      </c>
      <c r="S3890">
        <v>1.2</v>
      </c>
      <c r="T3890">
        <v>1.05</v>
      </c>
      <c r="U3890">
        <f>LN(SQRT(EXP(
SQRT(
+POWER(LN(N3890),2)
+POWER(LN(O3890),2)
+POWER(LN(P3890),2)
+POWER(LN(Q3890),2)
+POWER(LN(R3890),2)
+POWER(LN(S3890),2)
+POWER(LN(T3890),2)
)
)))</f>
        <v>0.15984597228197622</v>
      </c>
    </row>
    <row r="3891" spans="1:21" x14ac:dyDescent="0.2">
      <c r="A3891" t="str">
        <f>VLOOKUP(J3891,'dataset mapping'!$A$4:$E$69,2,0)</f>
        <v>high pressure hydrogen storage tank</v>
      </c>
      <c r="B3891" s="52">
        <f>((B3884/10)/(B3882*B3878*20))*IF(B3883&lt;&gt;0,B3883,1)</f>
        <v>5.6622381053306285E-6</v>
      </c>
      <c r="C3891" t="str">
        <f>VLOOKUP(J3891,'dataset mapping'!$A$4:$E$69,5,0)</f>
        <v>kilogram</v>
      </c>
      <c r="E3891" t="str">
        <f>VLOOKUP(J3891,'dataset mapping'!$A$4:$E$69,4,0)</f>
        <v>GLO</v>
      </c>
      <c r="F3891" t="s">
        <v>86</v>
      </c>
      <c r="G3891" t="str">
        <f>VLOOKUP(J3891,'dataset mapping'!$A$4:$E$69,3,0)</f>
        <v>high pressure hydrogen storage tank</v>
      </c>
      <c r="H3891" t="s">
        <v>88</v>
      </c>
      <c r="I3891" t="s">
        <v>280</v>
      </c>
      <c r="J3891" t="s">
        <v>229</v>
      </c>
      <c r="K3891" t="str">
        <f>B3849</f>
        <v>electricity, residential, by conversion of hydrogen using fuel cell, PEM, allocated by exergy, transported by truck, produced by Electrolysis, SOEC using water and electricity from Solar PV (CH)</v>
      </c>
      <c r="L3891">
        <f>IF(OR(B3891&lt;0,B3891=0),1,2)</f>
        <v>2</v>
      </c>
      <c r="M3891">
        <f>IF(L3891=2,LN(B3891),"")</f>
        <v>-12.081691318938956</v>
      </c>
      <c r="N3891">
        <v>1</v>
      </c>
      <c r="O3891" s="15">
        <v>1.2</v>
      </c>
      <c r="P3891">
        <v>1</v>
      </c>
      <c r="Q3891">
        <v>1.01</v>
      </c>
      <c r="R3891">
        <v>1.2</v>
      </c>
      <c r="S3891">
        <v>1.2</v>
      </c>
      <c r="T3891">
        <v>3</v>
      </c>
      <c r="U3891">
        <f>LN(SQRT(EXP(
SQRT(
+POWER(LN(N3891),2)
+POWER(LN(O3891),2)
+POWER(LN(P3891),2)
+POWER(LN(Q3891),2)
+POWER(LN(R3891),2)
+POWER(LN(S3891),2)
+POWER(LN(T3891),2)
)
)))</f>
        <v>0.57157051623399524</v>
      </c>
    </row>
    <row r="3892" spans="1:21" x14ac:dyDescent="0.2">
      <c r="A3892" t="s">
        <v>134</v>
      </c>
      <c r="B3892" s="45">
        <f>B3890*9</f>
        <v>0.51639611520615325</v>
      </c>
      <c r="C3892" t="s">
        <v>56</v>
      </c>
      <c r="D3892" t="s">
        <v>100</v>
      </c>
      <c r="F3892" t="s">
        <v>99</v>
      </c>
      <c r="H3892" t="s">
        <v>131</v>
      </c>
      <c r="I3892" t="s">
        <v>1057</v>
      </c>
      <c r="K3892" t="str">
        <f>B3849</f>
        <v>electricity, residential, by conversion of hydrogen using fuel cell, PEM, allocated by exergy, transported by truck, produced by Electrolysis, SOEC using water and electricity from Solar PV (CH)</v>
      </c>
      <c r="L3892">
        <f>IF(OR(B3892&lt;0,B3892=0),1,2)</f>
        <v>2</v>
      </c>
      <c r="M3892">
        <f>IF(L3892=2,LN(B3892),"")</f>
        <v>-0.6608811428765341</v>
      </c>
      <c r="N3892">
        <v>1</v>
      </c>
      <c r="O3892" s="15">
        <v>1.2</v>
      </c>
      <c r="P3892">
        <v>1</v>
      </c>
      <c r="Q3892">
        <v>1.01</v>
      </c>
      <c r="R3892">
        <v>1.2</v>
      </c>
      <c r="S3892">
        <v>1.2</v>
      </c>
      <c r="T3892">
        <v>1.05</v>
      </c>
      <c r="U3892">
        <f>LN(SQRT(EXP(
SQRT(
+POWER(LN(N3892),2)
+POWER(LN(O3892),2)
+POWER(LN(P3892),2)
+POWER(LN(Q3892),2)
+POWER(LN(R3892),2)
+POWER(LN(S3892),2)
+POWER(LN(T3892),2)
)
)))</f>
        <v>0.15984597228197622</v>
      </c>
    </row>
    <row r="3894" spans="1:21" x14ac:dyDescent="0.2">
      <c r="A3894" s="2" t="s">
        <v>50</v>
      </c>
      <c r="B3894" s="44" t="str">
        <f>IF(B3900="megajoule","heat","electricity")&amp;", residential, by "&amp;B3905&amp;" of "&amp;B3904&amp;" using "&amp;B3906&amp;IF(B3907&lt;&gt;0,", allocated by "&amp;B3907,"")&amp;", transported by "&amp;B3908&amp;", produced by "&amp;B3912&amp;" using "&amp;B3913&amp;" from "&amp;B3914</f>
        <v>electricity, residential, by conversion of hydrogen using fuel cell, SOFC, allocated by exergy, transported by truck, produced by Electrolysis, SOEC using water and electricity from Solar PV (CH)</v>
      </c>
    </row>
    <row r="3895" spans="1:21" x14ac:dyDescent="0.2">
      <c r="A3895" t="s">
        <v>51</v>
      </c>
      <c r="B3895" s="45" t="str">
        <f>"This dataset represents the supply of 1 "&amp;IF(B3900="megajoule","megajoule of heat","kilowatt hour of electricity")&amp;" in a residence, by "&amp;B3904&amp;" "&amp;B3905&amp;" in a "&amp;B3906&amp;". "&amp;" The hydrogen is transported by "&amp;B3908&amp;" over "&amp;B3909&amp;" km from regional storage. "&amp;" The "&amp;B3904&amp;" is produced by  "&amp;B3912&amp;", with "&amp;B3913&amp;" from "&amp;B3914&amp;" as feedstock. "&amp;A3916&amp;": "&amp;(B3916*100)&amp;"%. "&amp;A3917&amp;": "&amp;B3917&amp;". "&amp;A3918&amp;": "&amp;B3918&amp;". "&amp;A3919&amp;": "&amp;(B3919*100)&amp;"%. "&amp;A3920&amp;": "&amp;(B3920*100)&amp;"%. "&amp;A3921&amp;": "&amp;(B3921*100)&amp;"%. "&amp;A3922&amp;": "&amp;B3922&amp;". "&amp;A3923&amp;": "&amp;B3923&amp;". "&amp;A3924&amp;": "&amp;(B3924*100)&amp;"%. "&amp;A3925&amp;": "&amp;B3925&amp;". "&amp;A3926&amp;": "&amp;B3926&amp;". "&amp;A3927&amp;": "&amp;B3927&amp;". "&amp;A3928&amp;": "&amp;B3928&amp;".  For more information, refer to: "&amp;B3896</f>
        <v>This dataset represents the supply of 1 kilowatt hour of electricity in a residence, by hydrogen conversion in a fuel cell, SOFC.  The hydrogen is transported by truck over 200 km from regional storage.  The hydrogen is produced by  Electrolysis, SOEC, with water and electricity from Solar PV (CH)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3896" spans="1:21" x14ac:dyDescent="0.2">
      <c r="A3896" t="s">
        <v>63</v>
      </c>
      <c r="B3896" s="45" t="s">
        <v>1223</v>
      </c>
    </row>
    <row r="3897" spans="1:21" x14ac:dyDescent="0.2">
      <c r="A3897" t="s">
        <v>52</v>
      </c>
      <c r="B3897" s="45" t="s">
        <v>64</v>
      </c>
    </row>
    <row r="3898" spans="1:21" x14ac:dyDescent="0.2">
      <c r="A3898" t="s">
        <v>48</v>
      </c>
      <c r="B3898" s="45" t="s">
        <v>900</v>
      </c>
    </row>
    <row r="3899" spans="1:21" x14ac:dyDescent="0.2">
      <c r="A3899" t="s">
        <v>54</v>
      </c>
      <c r="B3899" s="45" t="str">
        <f>INDEX(overview!$B$4:$R$338,MATCH('hydrogen - electrolysis'!B3898,overview!$A$4:$A$338,0),MATCH('hydrogen - electrolysis'!A3899,overview!$B$3:$R$3,0))</f>
        <v>electricity, from residential heating system</v>
      </c>
    </row>
    <row r="3900" spans="1:21" x14ac:dyDescent="0.2">
      <c r="A3900" t="s">
        <v>55</v>
      </c>
      <c r="B3900" s="45" t="str">
        <f>INDEX(overview!$B$4:$R$338,MATCH('hydrogen - electrolysis'!B3898,overview!$A$4:$A$338,0),MATCH('hydrogen - electrolysis'!A3900,overview!$B$3:$R$3,0))</f>
        <v>kilowatt hour</v>
      </c>
    </row>
    <row r="3901" spans="1:21" x14ac:dyDescent="0.2">
      <c r="A3901" t="s">
        <v>0</v>
      </c>
      <c r="B3901" s="45" t="str">
        <f>INDEX(overview!$B$4:$R$338,MATCH('hydrogen - electrolysis'!B3898,overview!$A$4:$A$338,0),MATCH('hydrogen - electrolysis'!A3901,overview!$B$3:$R$3,0))</f>
        <v>Switzerland</v>
      </c>
    </row>
    <row r="3902" spans="1:21" x14ac:dyDescent="0.2">
      <c r="A3902" t="s">
        <v>1</v>
      </c>
      <c r="B3902" s="45">
        <f>INDEX(overview!$B$4:$R$338,MATCH('hydrogen - electrolysis'!B3898,overview!$A$4:$A$338,0),MATCH('hydrogen - electrolysis'!A3902,overview!$B$3:$R$3,0))</f>
        <v>2020</v>
      </c>
    </row>
    <row r="3903" spans="1:21" x14ac:dyDescent="0.2">
      <c r="A3903" t="s">
        <v>2</v>
      </c>
      <c r="B3903" s="45" t="str">
        <f>INDEX(overview!$B$4:$R$338,MATCH('hydrogen - electrolysis'!B3898,overview!$A$4:$A$338,0),MATCH('hydrogen - electrolysis'!A3903,overview!$B$3:$R$3,0))</f>
        <v>1 kWh electricity</v>
      </c>
    </row>
    <row r="3904" spans="1:21" x14ac:dyDescent="0.2">
      <c r="A3904" t="s">
        <v>5</v>
      </c>
      <c r="B3904" s="45" t="str">
        <f>INDEX(overview!$B$4:$R$338,MATCH('hydrogen - electrolysis'!B3898,overview!$A$4:$A$338,0),MATCH('hydrogen - electrolysis'!A3904,overview!$B$3:$R$3,0))</f>
        <v>hydrogen</v>
      </c>
    </row>
    <row r="3905" spans="1:2" x14ac:dyDescent="0.2">
      <c r="A3905" t="s">
        <v>3</v>
      </c>
      <c r="B3905" s="45" t="str">
        <f>INDEX(overview!$B$4:$R$338,MATCH('hydrogen - electrolysis'!B3898,overview!$A$4:$A$338,0),MATCH('hydrogen - electrolysis'!A3905,overview!$B$3:$R$3,0))</f>
        <v>conversion</v>
      </c>
    </row>
    <row r="3906" spans="1:2" x14ac:dyDescent="0.2">
      <c r="A3906" t="s">
        <v>6</v>
      </c>
      <c r="B3906" s="45" t="str">
        <f>INDEX(overview!$B$4:$R$338,MATCH('hydrogen - electrolysis'!B3898,overview!$A$4:$A$338,0),MATCH('hydrogen - electrolysis'!A3906,overview!$B$3:$R$3,0))</f>
        <v>fuel cell, SOFC</v>
      </c>
    </row>
    <row r="3907" spans="1:2" x14ac:dyDescent="0.2">
      <c r="A3907" t="s">
        <v>39</v>
      </c>
      <c r="B3907" s="45" t="str">
        <f>INDEX(overview!$B$4:$R$338,MATCH('hydrogen - electrolysis'!B3898,overview!$A$4:$A$338,0),MATCH('hydrogen - electrolysis'!A3907,overview!$B$3:$R$3,0))</f>
        <v>exergy</v>
      </c>
    </row>
    <row r="3908" spans="1:2" x14ac:dyDescent="0.2">
      <c r="A3908" t="s">
        <v>4</v>
      </c>
      <c r="B3908" s="45" t="str">
        <f>INDEX(overview!$B$4:$R$338,MATCH('hydrogen - electrolysis'!B3898,overview!$A$4:$A$338,0),MATCH('hydrogen - electrolysis'!A3908,overview!$B$3:$R$3,0))</f>
        <v>truck</v>
      </c>
    </row>
    <row r="3909" spans="1:2" x14ac:dyDescent="0.2">
      <c r="A3909" t="s">
        <v>38</v>
      </c>
      <c r="B3909" s="45">
        <f>INDEX(overview!$B$4:$R$338,MATCH('hydrogen - electrolysis'!B3898,overview!$A$4:$A$338,0),MATCH('hydrogen - electrolysis'!A3909,overview!$B$3:$R$3,0))</f>
        <v>200</v>
      </c>
    </row>
    <row r="3910" spans="1:2" x14ac:dyDescent="0.2">
      <c r="A3910" t="s">
        <v>12</v>
      </c>
      <c r="B3910" s="45" t="str">
        <f>INDEX(overview!$B$4:$R$338,MATCH('hydrogen - electrolysis'!B3898,overview!$A$4:$A$338,0),MATCH('hydrogen - electrolysis'!A3910,overview!$B$3:$R$3,0))</f>
        <v>Pressure vessel for stationary storage</v>
      </c>
    </row>
    <row r="3911" spans="1:2" x14ac:dyDescent="0.2">
      <c r="A3911" t="s">
        <v>34</v>
      </c>
      <c r="B3911" s="45">
        <f>INDEX(overview!$B$4:$R$338,MATCH('hydrogen - electrolysis'!B3898,overview!$A$4:$A$338,0),MATCH('hydrogen - electrolysis'!A3911,overview!$B$3:$R$3,0))</f>
        <v>0</v>
      </c>
    </row>
    <row r="3912" spans="1:2" x14ac:dyDescent="0.2">
      <c r="A3912" t="s">
        <v>15</v>
      </c>
      <c r="B3912" s="45" t="str">
        <f>INDEX(overview!$B$4:$R$338,MATCH('hydrogen - electrolysis'!B3898,overview!$A$4:$A$338,0),MATCH('hydrogen - electrolysis'!A3912,overview!$B$3:$R$3,0))</f>
        <v>Electrolysis, SOEC</v>
      </c>
    </row>
    <row r="3913" spans="1:2" x14ac:dyDescent="0.2">
      <c r="A3913" t="s">
        <v>14</v>
      </c>
      <c r="B3913" s="45" t="str">
        <f>INDEX(overview!$B$4:$R$338,MATCH('hydrogen - electrolysis'!B3898,overview!$A$4:$A$338,0),MATCH('hydrogen - electrolysis'!A3913,overview!$B$3:$R$3,0))</f>
        <v>water and electricity</v>
      </c>
    </row>
    <row r="3914" spans="1:2" x14ac:dyDescent="0.2">
      <c r="A3914" t="s">
        <v>26</v>
      </c>
      <c r="B3914" s="45" t="str">
        <f>INDEX(overview!$B$4:$R$338,MATCH('hydrogen - electrolysis'!B3898,overview!$A$4:$A$338,0),MATCH('hydrogen - electrolysis'!A3914,overview!$B$3:$R$3,0))</f>
        <v>Solar PV (CH)</v>
      </c>
    </row>
    <row r="3915" spans="1:2" x14ac:dyDescent="0.2">
      <c r="A3915" t="s">
        <v>29</v>
      </c>
      <c r="B3915" s="45">
        <f>INDEX(overview!$B$4:$R$338,MATCH('hydrogen - electrolysis'!B3898,overview!$A$4:$A$338,0),MATCH('hydrogen - electrolysis'!A3915,overview!$B$3:$R$3,0))</f>
        <v>0</v>
      </c>
    </row>
    <row r="3916" spans="1:2" x14ac:dyDescent="0.2">
      <c r="A3916" t="str">
        <f>IF(B3900="megajoule","Heat","Electricity")&amp;" conversion efficiency [% LHV input]"</f>
        <v>Electricity conversion efficiency [% LHV input]</v>
      </c>
      <c r="B3916" s="46">
        <f>INDEX(parameters!$D$4:$N$20,MATCH('hydrogen - electrolysis'!B3904&amp;'hydrogen - electrolysis'!B3906,parameters!$A$4:$A$20,0),MATCH('hydrogen - electrolysis'!A3916,parameters!$D$3:$N$3,0))</f>
        <v>0.47</v>
      </c>
    </row>
    <row r="3917" spans="1:2" x14ac:dyDescent="0.2">
      <c r="A3917" t="str">
        <f>IF(B3900="megajoule","LHV [MJ/kg]","LHV [kWh/kg]")</f>
        <v>LHV [kWh/kg]</v>
      </c>
      <c r="B3917" s="47">
        <f>INDEX(parameters!$D$4:$N$20,MATCH('hydrogen - electrolysis'!B3904&amp;'hydrogen - electrolysis'!B3906,parameters!$A$4:$A$20,0),MATCH('hydrogen - electrolysis'!A3917,parameters!$D$3:$N$3,0))</f>
        <v>33.333333333333336</v>
      </c>
    </row>
    <row r="3918" spans="1:2" x14ac:dyDescent="0.2">
      <c r="A3918" t="s">
        <v>41</v>
      </c>
      <c r="B3918" s="48">
        <f>INDEX(parameters!$D$4:$N$20,MATCH('hydrogen - electrolysis'!B3904&amp;'hydrogen - electrolysis'!B3906,parameters!$A$4:$A$20,0),MATCH('hydrogen - electrolysis'!A3918,parameters!$D$3:$N$3,0))</f>
        <v>2.6666666666666665E-2</v>
      </c>
    </row>
    <row r="3919" spans="1:2" x14ac:dyDescent="0.2">
      <c r="A3919" t="s">
        <v>45</v>
      </c>
      <c r="B3919" s="46">
        <f>INDEX(parameters!$D$4:$N$20,MATCH('hydrogen - electrolysis'!B3904&amp;'hydrogen - electrolysis'!B3906,parameters!$A$4:$A$20,0),MATCH('hydrogen - electrolysis'!A3919,parameters!$D$3:$N$3,0))</f>
        <v>0</v>
      </c>
    </row>
    <row r="3920" spans="1:2" x14ac:dyDescent="0.2">
      <c r="A3920" t="s">
        <v>46</v>
      </c>
      <c r="B3920" s="46">
        <f>INDEX(parameters!$D$4:$N$20,MATCH('hydrogen - electrolysis'!B3904&amp;'hydrogen - electrolysis'!B3906,parameters!$A$4:$A$20,0),MATCH('hydrogen - electrolysis'!A3920,parameters!$D$3:$N$3,0))</f>
        <v>1.4999999999999999E-2</v>
      </c>
    </row>
    <row r="3921" spans="1:22" x14ac:dyDescent="0.2">
      <c r="A3921" t="s">
        <v>43</v>
      </c>
      <c r="B3921" s="46">
        <f>INDEX(parameters!$D$4:$N$20,MATCH('hydrogen - electrolysis'!B3904&amp;'hydrogen - electrolysis'!B3906,parameters!$A$4:$A$20,0),MATCH('hydrogen - electrolysis'!A3921,parameters!$D$3:$N$3,0))</f>
        <v>0</v>
      </c>
    </row>
    <row r="3922" spans="1:22" x14ac:dyDescent="0.2">
      <c r="A3922" t="s">
        <v>44</v>
      </c>
      <c r="B3922" s="46">
        <f>INDEX(parameters!$D$4:$N$20,MATCH('hydrogen - electrolysis'!B3904&amp;'hydrogen - electrolysis'!B3906,parameters!$A$4:$A$20,0),MATCH('hydrogen - electrolysis'!A3922,parameters!$D$3:$N$3,0))</f>
        <v>0</v>
      </c>
    </row>
    <row r="3923" spans="1:22" x14ac:dyDescent="0.2">
      <c r="A3923" t="s">
        <v>634</v>
      </c>
      <c r="B3923" s="51">
        <f>INDEX(parameters!$D$4:$Y$20,MATCH('hydrogen - electrolysis'!B3904&amp;'hydrogen - electrolysis'!B3906,parameters!$A$4:$A$20,0),MATCH('hydrogen - electrolysis'!A3923,parameters!$D$3:$Y$3,0))</f>
        <v>225</v>
      </c>
      <c r="D3923" s="8"/>
    </row>
    <row r="3924" spans="1:22" x14ac:dyDescent="0.2">
      <c r="A3924" t="s">
        <v>82</v>
      </c>
      <c r="B3924" s="46">
        <f>IF(B3915&lt;&gt;0,VLOOKUP(B3915,parameters!A2595:B2597,2,0),0)</f>
        <v>0</v>
      </c>
    </row>
    <row r="3925" spans="1:22" x14ac:dyDescent="0.2">
      <c r="A3925" t="s">
        <v>548</v>
      </c>
      <c r="B3925" s="50">
        <f>INDEX(parameters!$D$4:$P$20,MATCH(B3904&amp;B3906,parameters!$A$4:$A$20,0),MATCH(A3925,parameters!$D$3:$P$3,0))</f>
        <v>100</v>
      </c>
    </row>
    <row r="3926" spans="1:22" x14ac:dyDescent="0.2">
      <c r="A3926" t="s">
        <v>547</v>
      </c>
      <c r="B3926" s="51">
        <f>INDEX(parameters!$D$4:$P$20,MATCH(B3904&amp;B3906,parameters!$A$4:$A$20,0),MATCH(A3926,parameters!$D$3:$P$3,0))</f>
        <v>6</v>
      </c>
    </row>
    <row r="3927" spans="1:22" x14ac:dyDescent="0.2">
      <c r="A3927" t="s">
        <v>630</v>
      </c>
      <c r="B3927" s="51">
        <f>INDEX(parameters!$D$4:$T$20,MATCH(B3904&amp;B3906,parameters!$A$4:$A$20,0),MATCH(A3927,parameters!$D$3:$T$3,0))</f>
        <v>4100</v>
      </c>
    </row>
    <row r="3928" spans="1:22" x14ac:dyDescent="0.2">
      <c r="A3928" t="s">
        <v>1005</v>
      </c>
      <c r="B3928" s="50">
        <f>IF(B3900="megajoule",SUMIFS(allocation!$I$4:$I$30,allocation!$B$4:$B$30,B3906,allocation!$C$4:$C$30,B3907),SUMIFS(allocation!$J$4:$J$30,allocation!$B$4:$B$30,B3906,allocation!$C$4:$C$30,B3907))</f>
        <v>0.86412493489600906</v>
      </c>
    </row>
    <row r="3929" spans="1:22" x14ac:dyDescent="0.2">
      <c r="A3929" t="s">
        <v>1050</v>
      </c>
      <c r="B3929" s="51">
        <f>INDEX(parameters!$D$4:$AB$20,MATCH(B3904&amp;B3906,parameters!$A$4:$A$20,0),MATCH(A3929,parameters!$D$3:$AB$3,0))</f>
        <v>1153.1249999999998</v>
      </c>
    </row>
    <row r="3931" spans="1:22" x14ac:dyDescent="0.2">
      <c r="A3931" s="3" t="s">
        <v>57</v>
      </c>
    </row>
    <row r="3932" spans="1:22" x14ac:dyDescent="0.2">
      <c r="A3932" s="2" t="s">
        <v>58</v>
      </c>
      <c r="B3932" s="44" t="s">
        <v>59</v>
      </c>
      <c r="C3932" s="2" t="s">
        <v>55</v>
      </c>
      <c r="D3932" s="2" t="s">
        <v>60</v>
      </c>
      <c r="E3932" s="2" t="s">
        <v>52</v>
      </c>
      <c r="F3932" s="2" t="s">
        <v>61</v>
      </c>
      <c r="G3932" s="2" t="s">
        <v>54</v>
      </c>
      <c r="H3932" s="2" t="s">
        <v>87</v>
      </c>
      <c r="I3932" s="2" t="s">
        <v>51</v>
      </c>
      <c r="J3932" s="2" t="s">
        <v>138</v>
      </c>
      <c r="K3932" s="2" t="s">
        <v>136</v>
      </c>
      <c r="L3932" s="2" t="s">
        <v>221</v>
      </c>
      <c r="M3932" s="2" t="s">
        <v>379</v>
      </c>
      <c r="N3932" s="2" t="s">
        <v>1059</v>
      </c>
      <c r="O3932" s="2" t="s">
        <v>1060</v>
      </c>
      <c r="P3932" s="2" t="s">
        <v>1061</v>
      </c>
      <c r="Q3932" s="2" t="s">
        <v>1062</v>
      </c>
      <c r="R3932" s="2" t="s">
        <v>1063</v>
      </c>
      <c r="S3932" s="2" t="s">
        <v>1064</v>
      </c>
      <c r="T3932" s="2" t="s">
        <v>1065</v>
      </c>
      <c r="U3932" s="2" t="s">
        <v>380</v>
      </c>
      <c r="V3932" s="2" t="s">
        <v>1128</v>
      </c>
    </row>
    <row r="3933" spans="1:22" x14ac:dyDescent="0.2">
      <c r="A3933" t="str">
        <f>B3894</f>
        <v>electricity, residential, by conversion of hydrogen using fuel cell, SOFC, allocated by exergy, transported by truck, produced by Electrolysis, SOEC using water and electricity from Solar PV (CH)</v>
      </c>
      <c r="B3933" s="45">
        <v>1</v>
      </c>
      <c r="C3933" t="str">
        <f>B3900</f>
        <v>kilowatt hour</v>
      </c>
      <c r="E3933" t="str">
        <f>B3755</f>
        <v>CH</v>
      </c>
      <c r="F3933" t="s">
        <v>62</v>
      </c>
      <c r="G3933" t="str">
        <f>B3899</f>
        <v>electricity, from residential heating system</v>
      </c>
      <c r="K3933" t="str">
        <f>B3752</f>
        <v>heat, residential, by conversion of hydrogen using fuel cell, SOFC, allocated by exergy, transported by truck, produced by Electrolysis, SOEC using water and electricity from Solar PV (CH)</v>
      </c>
    </row>
    <row r="3934" spans="1:22" x14ac:dyDescent="0.2">
      <c r="A3934" t="str">
        <f>VLOOKUP(J3934,'dataset mapping'!$A$4:$E$69,2,0)</f>
        <v>fuel cell production, stack solid oxide, 125kW electrical, future</v>
      </c>
      <c r="B3934" s="52">
        <f>(1/(B3923*B3927*B3926))*B3928</f>
        <v>1.5612013277254003E-7</v>
      </c>
      <c r="C3934" t="str">
        <f>VLOOKUP(J3934,'dataset mapping'!$A$4:$E$69,5,0)</f>
        <v>unit</v>
      </c>
      <c r="E3934" t="str">
        <f>VLOOKUP(J3934,'dataset mapping'!$A$4:$E$69,4,0)</f>
        <v>CH</v>
      </c>
      <c r="F3934" t="s">
        <v>86</v>
      </c>
      <c r="G3934" t="str">
        <f>VLOOKUP(J3934,'dataset mapping'!$A$4:$E$69,3,0)</f>
        <v>fuel cell, stack solid oxide, 125kW electrical, future</v>
      </c>
      <c r="H3934" t="s">
        <v>88</v>
      </c>
      <c r="I3934" t="s">
        <v>277</v>
      </c>
      <c r="J3934" t="s">
        <v>274</v>
      </c>
      <c r="K3934" t="str">
        <f>B3752</f>
        <v>heat, residential, by conversion of hydrogen using fuel cell, SOFC, allocated by exergy, transported by truck, produced by Electrolysis, SOEC using water and electricity from Solar PV (CH)</v>
      </c>
      <c r="L3934">
        <f t="shared" ref="L3934:L3939" si="125">IF(OR(B3934&lt;0,B3934=0),1,2)</f>
        <v>2</v>
      </c>
      <c r="M3934">
        <f t="shared" ref="M3934:M3939" si="126">IF(L3934=2,LN(B3934),"")</f>
        <v>-15.672640044182527</v>
      </c>
      <c r="N3934">
        <v>1</v>
      </c>
      <c r="O3934" s="15">
        <v>1.2</v>
      </c>
      <c r="P3934">
        <v>1</v>
      </c>
      <c r="Q3934">
        <v>1.01</v>
      </c>
      <c r="R3934">
        <v>1.2</v>
      </c>
      <c r="S3934">
        <v>1.2</v>
      </c>
      <c r="T3934">
        <v>3</v>
      </c>
      <c r="U3934">
        <f t="shared" ref="U3934:U3939" si="127">LN(SQRT(EXP(
SQRT(
+POWER(LN(N3934),2)
+POWER(LN(O3934),2)
+POWER(LN(P3934),2)
+POWER(LN(Q3934),2)
+POWER(LN(R3934),2)
+POWER(LN(S3934),2)
+POWER(LN(T3934),2)
)
)))</f>
        <v>0.57157051623399524</v>
      </c>
    </row>
    <row r="3935" spans="1:22" x14ac:dyDescent="0.2">
      <c r="A3935" t="s">
        <v>283</v>
      </c>
      <c r="B3935" s="52">
        <f>(1/(B3923*B3927*B3926))*B3928</f>
        <v>1.5612013277254003E-7</v>
      </c>
      <c r="C3935" t="s">
        <v>55</v>
      </c>
      <c r="E3935" t="s">
        <v>64</v>
      </c>
      <c r="F3935" t="s">
        <v>86</v>
      </c>
      <c r="G3935" t="s">
        <v>284</v>
      </c>
      <c r="H3935" t="s">
        <v>88</v>
      </c>
      <c r="I3935" t="s">
        <v>277</v>
      </c>
      <c r="K3935" t="str">
        <f>B3752</f>
        <v>heat, residential, by conversion of hydrogen using fuel cell, SOFC, allocated by exergy, transported by truck, produced by Electrolysis, SOEC using water and electricity from Solar PV (CH)</v>
      </c>
      <c r="L3935">
        <f t="shared" si="125"/>
        <v>2</v>
      </c>
      <c r="M3935">
        <f t="shared" si="126"/>
        <v>-15.672640044182527</v>
      </c>
      <c r="N3935">
        <v>1</v>
      </c>
      <c r="O3935" s="15">
        <v>1.2</v>
      </c>
      <c r="P3935">
        <v>1</v>
      </c>
      <c r="Q3935">
        <v>1.01</v>
      </c>
      <c r="R3935">
        <v>1.2</v>
      </c>
      <c r="S3935">
        <v>1.2</v>
      </c>
      <c r="T3935">
        <v>3</v>
      </c>
      <c r="U3935">
        <f t="shared" si="127"/>
        <v>0.57157051623399524</v>
      </c>
    </row>
    <row r="3936" spans="1:22" x14ac:dyDescent="0.2">
      <c r="A3936" t="s">
        <v>288</v>
      </c>
      <c r="B3936" s="52">
        <f>0.000024*B3928</f>
        <v>2.0738998437504217E-5</v>
      </c>
      <c r="C3936" t="s">
        <v>56</v>
      </c>
      <c r="E3936" t="s">
        <v>64</v>
      </c>
      <c r="F3936" t="s">
        <v>86</v>
      </c>
      <c r="G3936" t="s">
        <v>287</v>
      </c>
      <c r="H3936" t="s">
        <v>88</v>
      </c>
      <c r="K3936" t="str">
        <f>B3752</f>
        <v>heat, residential, by conversion of hydrogen using fuel cell, SOFC, allocated by exergy, transported by truck, produced by Electrolysis, SOEC using water and electricity from Solar PV (CH)</v>
      </c>
      <c r="L3936">
        <f t="shared" si="125"/>
        <v>2</v>
      </c>
      <c r="M3936">
        <f t="shared" si="126"/>
        <v>-10.783494647673981</v>
      </c>
      <c r="N3936">
        <v>1</v>
      </c>
      <c r="O3936" s="15">
        <v>1.2</v>
      </c>
      <c r="P3936">
        <v>1</v>
      </c>
      <c r="Q3936">
        <v>1.01</v>
      </c>
      <c r="R3936">
        <v>1.2</v>
      </c>
      <c r="S3936">
        <v>1.2</v>
      </c>
      <c r="T3936">
        <v>1.05</v>
      </c>
      <c r="U3936">
        <f t="shared" si="127"/>
        <v>0.15984597228197622</v>
      </c>
    </row>
    <row r="3937" spans="1:21" x14ac:dyDescent="0.2">
      <c r="A3937" s="45" t="str">
        <f>"hydrogen supply, transported by "&amp;B3908&amp;", produced by "&amp;B3912&amp;" using "&amp;B3913&amp;" from "&amp;B3914</f>
        <v>hydrogen supply, transported by truck, produced by Electrolysis, SOEC using water and electricity from Solar PV (CH)</v>
      </c>
      <c r="B3937" s="53">
        <f>(B3933/B3917)/B3916*B3928</f>
        <v>5.515691073804313E-2</v>
      </c>
      <c r="C3937" t="s">
        <v>56</v>
      </c>
      <c r="E3937" t="s">
        <v>64</v>
      </c>
      <c r="F3937" t="s">
        <v>86</v>
      </c>
      <c r="G3937" t="str">
        <f>"hydrogen, gaseous, from "&amp;B3908</f>
        <v>hydrogen, gaseous, from truck</v>
      </c>
      <c r="H3937" t="s">
        <v>76</v>
      </c>
      <c r="I3937" t="s">
        <v>1054</v>
      </c>
      <c r="J3937" t="s">
        <v>293</v>
      </c>
      <c r="K3937" t="str">
        <f>B3752</f>
        <v>heat, residential, by conversion of hydrogen using fuel cell, SOFC, allocated by exergy, transported by truck, produced by Electrolysis, SOEC using water and electricity from Solar PV (CH)</v>
      </c>
      <c r="L3937">
        <f t="shared" si="125"/>
        <v>2</v>
      </c>
      <c r="M3937">
        <f t="shared" si="126"/>
        <v>-2.8975732330996009</v>
      </c>
      <c r="N3937">
        <v>1</v>
      </c>
      <c r="O3937" s="15">
        <v>1.2</v>
      </c>
      <c r="P3937">
        <v>1</v>
      </c>
      <c r="Q3937">
        <v>1.01</v>
      </c>
      <c r="R3937">
        <v>1.2</v>
      </c>
      <c r="S3937">
        <v>1.2</v>
      </c>
      <c r="T3937">
        <v>1.05</v>
      </c>
      <c r="U3937">
        <f t="shared" si="127"/>
        <v>0.15984597228197622</v>
      </c>
    </row>
    <row r="3938" spans="1:21" x14ac:dyDescent="0.2">
      <c r="A3938" t="str">
        <f>VLOOKUP(J3938,'dataset mapping'!$A$4:$E$69,2,0)</f>
        <v>high pressure hydrogen storage tank</v>
      </c>
      <c r="B3938" s="52">
        <f>((B3929/10)/(B3927*B3923*20*3.6))*IF(B3928&lt;&gt;0,B3928,1)</f>
        <v>1.5002169008611265E-6</v>
      </c>
      <c r="C3938" t="str">
        <f>VLOOKUP(J3938,'dataset mapping'!$A$4:$E$69,5,0)</f>
        <v>kilogram</v>
      </c>
      <c r="E3938" t="str">
        <f>VLOOKUP(J3938,'dataset mapping'!$A$4:$E$69,4,0)</f>
        <v>GLO</v>
      </c>
      <c r="F3938" t="s">
        <v>86</v>
      </c>
      <c r="G3938" t="str">
        <f>VLOOKUP(J3938,'dataset mapping'!$A$4:$E$69,3,0)</f>
        <v>high pressure hydrogen storage tank</v>
      </c>
      <c r="H3938" t="s">
        <v>88</v>
      </c>
      <c r="I3938" t="s">
        <v>230</v>
      </c>
      <c r="J3938" t="s">
        <v>229</v>
      </c>
      <c r="K3938" t="str">
        <f>B3752</f>
        <v>heat, residential, by conversion of hydrogen using fuel cell, SOFC, allocated by exergy, transported by truck, produced by Electrolysis, SOEC using water and electricity from Solar PV (CH)</v>
      </c>
      <c r="L3938">
        <f t="shared" si="125"/>
        <v>2</v>
      </c>
      <c r="M3938">
        <f t="shared" si="126"/>
        <v>-13.40990085973568</v>
      </c>
      <c r="N3938">
        <v>1</v>
      </c>
      <c r="O3938" s="15">
        <v>1.2</v>
      </c>
      <c r="P3938">
        <v>1</v>
      </c>
      <c r="Q3938">
        <v>1.01</v>
      </c>
      <c r="R3938">
        <v>1.2</v>
      </c>
      <c r="S3938">
        <v>1.2</v>
      </c>
      <c r="T3938">
        <v>3</v>
      </c>
      <c r="U3938">
        <f t="shared" si="127"/>
        <v>0.57157051623399524</v>
      </c>
    </row>
    <row r="3939" spans="1:21" x14ac:dyDescent="0.2">
      <c r="A3939" t="s">
        <v>134</v>
      </c>
      <c r="B3939" s="45">
        <f>B3937*9</f>
        <v>0.49641219664238817</v>
      </c>
      <c r="C3939" t="s">
        <v>56</v>
      </c>
      <c r="D3939" t="s">
        <v>100</v>
      </c>
      <c r="F3939" t="s">
        <v>99</v>
      </c>
      <c r="H3939" t="s">
        <v>131</v>
      </c>
      <c r="I3939" t="s">
        <v>1057</v>
      </c>
      <c r="K3939" t="str">
        <f>B3752</f>
        <v>heat, residential, by conversion of hydrogen using fuel cell, SOFC, allocated by exergy, transported by truck, produced by Electrolysis, SOEC using water and electricity from Solar PV (CH)</v>
      </c>
      <c r="L3939">
        <f t="shared" si="125"/>
        <v>2</v>
      </c>
      <c r="M3939">
        <f t="shared" si="126"/>
        <v>-0.70034865576338168</v>
      </c>
      <c r="N3939">
        <v>1</v>
      </c>
      <c r="O3939" s="15">
        <v>1.2</v>
      </c>
      <c r="P3939">
        <v>1</v>
      </c>
      <c r="Q3939">
        <v>1.01</v>
      </c>
      <c r="R3939">
        <v>1.2</v>
      </c>
      <c r="S3939">
        <v>1.2</v>
      </c>
      <c r="T3939">
        <v>1.05</v>
      </c>
      <c r="U3939">
        <f t="shared" si="127"/>
        <v>0.15984597228197622</v>
      </c>
    </row>
    <row r="3941" spans="1:21" x14ac:dyDescent="0.2">
      <c r="A3941" s="2" t="s">
        <v>50</v>
      </c>
      <c r="B3941" s="44" t="str">
        <f>IF(B3947="megajoule","heat","electricity")&amp;", residential, by "&amp;B3952&amp;" of "&amp;B3951&amp;" using "&amp;B3953&amp;IF(B3954&lt;&gt;0,", allocated by "&amp;B3954,"")&amp;", transported by "&amp;B3955&amp;", produced by "&amp;B3959&amp;" using "&amp;B3960&amp;" from "&amp;B3961</f>
        <v>heat, residential, by combustion of hydrogen using boiler, transported by pipeline, produced by Electrolysis, Alkaline using water and electricity from Solar PV (IT)</v>
      </c>
    </row>
    <row r="3942" spans="1:21" x14ac:dyDescent="0.2">
      <c r="A3942" t="s">
        <v>51</v>
      </c>
      <c r="B3942" s="45" t="str">
        <f>"This dataset represents the supply of 1 "&amp;IF(B3947="megajoule","megajoule of heat","kilowatt hour of electricity")&amp;" in a residence, by "&amp;B3951&amp;" "&amp;B3952&amp;" in a "&amp;B3953&amp;". "&amp;" The hydrogen is transported by "&amp;B3955&amp;" over "&amp;B3956&amp;" km from regional storage. "&amp;" The "&amp;B3951&amp;" is produced by  "&amp;B3959&amp;", with "&amp;B3960&amp;" from "&amp;B3961&amp;" as feedstock. "&amp;A3963&amp;": "&amp;(B3963*100)&amp;"%. "&amp;A3964&amp;": "&amp;B3964&amp;". "&amp;A3965&amp;": "&amp;B3965&amp;". "&amp;A3966&amp;": "&amp;(B3966*100)&amp;"%. "&amp;A3967&amp;": "&amp;(B3967*100)&amp;"%. "&amp;A3968&amp;": "&amp;(B3968*100)&amp;"%. "&amp;A3969&amp;": "&amp;B3969&amp;". "&amp;A3970&amp;": "&amp;B3970&amp;". "&amp;A3971&amp;": "&amp;(B3971*100)&amp;"%. "&amp;A3972&amp;": "&amp;B3972&amp;". "&amp;A3973&amp;": "&amp;B3973&amp;". "&amp;A3974&amp;": "&amp;B3974&amp;". "&amp;A3975&amp;": "&amp;B3975&amp;".  For more information, refer to: "&amp;B3943</f>
        <v>This dataset represents the supply of 1 megajoule of heat in a residence, by hydrogen combustion in a boiler.  The hydrogen is transported by pipeline over 1700 km from regional storage.  The hydrogen is produced by  Electrolysis, Alkaline,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3943" spans="1:21" x14ac:dyDescent="0.2">
      <c r="A3943" t="s">
        <v>63</v>
      </c>
      <c r="B3943" s="45" t="s">
        <v>1223</v>
      </c>
    </row>
    <row r="3944" spans="1:21" x14ac:dyDescent="0.2">
      <c r="A3944" t="s">
        <v>52</v>
      </c>
      <c r="B3944" s="45" t="s">
        <v>64</v>
      </c>
    </row>
    <row r="3945" spans="1:21" x14ac:dyDescent="0.2">
      <c r="A3945" t="s">
        <v>48</v>
      </c>
      <c r="B3945" s="45">
        <v>49</v>
      </c>
    </row>
    <row r="3946" spans="1:21" x14ac:dyDescent="0.2">
      <c r="A3946" t="s">
        <v>54</v>
      </c>
      <c r="B3946" s="45" t="str">
        <f>INDEX(overview!$B$4:$R$338,MATCH('hydrogen - electrolysis'!B3945,overview!$A$4:$A$338,0),MATCH('hydrogen - electrolysis'!A3946,overview!$B$3:$R$3,0))</f>
        <v>heat, from residential heating system</v>
      </c>
    </row>
    <row r="3947" spans="1:21" x14ac:dyDescent="0.2">
      <c r="A3947" t="s">
        <v>55</v>
      </c>
      <c r="B3947" s="45" t="str">
        <f>INDEX(overview!$B$4:$R$338,MATCH('hydrogen - electrolysis'!B3945,overview!$A$4:$A$338,0),MATCH('hydrogen - electrolysis'!A3947,overview!$B$3:$R$3,0))</f>
        <v>megajoule</v>
      </c>
    </row>
    <row r="3948" spans="1:21" x14ac:dyDescent="0.2">
      <c r="A3948" t="s">
        <v>0</v>
      </c>
      <c r="B3948" s="45" t="str">
        <f>INDEX(overview!$B$4:$R$338,MATCH('hydrogen - electrolysis'!B3945,overview!$A$4:$A$338,0),MATCH('hydrogen - electrolysis'!A3948,overview!$B$3:$R$3,0))</f>
        <v>Switzerland</v>
      </c>
    </row>
    <row r="3949" spans="1:21" x14ac:dyDescent="0.2">
      <c r="A3949" t="s">
        <v>1</v>
      </c>
      <c r="B3949" s="45">
        <f>INDEX(overview!$B$4:$R$338,MATCH('hydrogen - electrolysis'!B3945,overview!$A$4:$A$338,0),MATCH('hydrogen - electrolysis'!A3949,overview!$B$3:$R$3,0))</f>
        <v>2020</v>
      </c>
    </row>
    <row r="3950" spans="1:21" x14ac:dyDescent="0.2">
      <c r="A3950" t="s">
        <v>2</v>
      </c>
      <c r="B3950" s="45" t="str">
        <f>INDEX(overview!$B$4:$R$338,MATCH('hydrogen - electrolysis'!B3945,overview!$A$4:$A$338,0),MATCH('hydrogen - electrolysis'!A3950,overview!$B$3:$R$3,0))</f>
        <v>1 MJ heat</v>
      </c>
    </row>
    <row r="3951" spans="1:21" x14ac:dyDescent="0.2">
      <c r="A3951" t="s">
        <v>5</v>
      </c>
      <c r="B3951" s="45" t="str">
        <f>INDEX(overview!$B$4:$R$338,MATCH('hydrogen - electrolysis'!B3945,overview!$A$4:$A$338,0),MATCH('hydrogen - electrolysis'!A3951,overview!$B$3:$R$3,0))</f>
        <v>hydrogen</v>
      </c>
    </row>
    <row r="3952" spans="1:21" x14ac:dyDescent="0.2">
      <c r="A3952" t="s">
        <v>3</v>
      </c>
      <c r="B3952" s="45" t="str">
        <f>INDEX(overview!$B$4:$R$338,MATCH('hydrogen - electrolysis'!B3945,overview!$A$4:$A$338,0),MATCH('hydrogen - electrolysis'!A3952,overview!$B$3:$R$3,0))</f>
        <v>combustion</v>
      </c>
    </row>
    <row r="3953" spans="1:2" x14ac:dyDescent="0.2">
      <c r="A3953" t="s">
        <v>6</v>
      </c>
      <c r="B3953" s="45" t="str">
        <f>INDEX(overview!$B$4:$R$338,MATCH('hydrogen - electrolysis'!B3945,overview!$A$4:$A$338,0),MATCH('hydrogen - electrolysis'!A3953,overview!$B$3:$R$3,0))</f>
        <v>boiler</v>
      </c>
    </row>
    <row r="3954" spans="1:2" x14ac:dyDescent="0.2">
      <c r="A3954" t="s">
        <v>39</v>
      </c>
      <c r="B3954" s="45">
        <f>INDEX(overview!$B$4:$R$338,MATCH('hydrogen - electrolysis'!B3945,overview!$A$4:$A$338,0),MATCH('hydrogen - electrolysis'!A3954,overview!$B$3:$R$3,0))</f>
        <v>0</v>
      </c>
    </row>
    <row r="3955" spans="1:2" x14ac:dyDescent="0.2">
      <c r="A3955" t="s">
        <v>4</v>
      </c>
      <c r="B3955" s="45" t="str">
        <f>INDEX(overview!$B$4:$R$338,MATCH('hydrogen - electrolysis'!B3945,overview!$A$4:$A$338,0),MATCH('hydrogen - electrolysis'!A3955,overview!$B$3:$R$3,0))</f>
        <v>pipeline</v>
      </c>
    </row>
    <row r="3956" spans="1:2" x14ac:dyDescent="0.2">
      <c r="A3956" t="s">
        <v>38</v>
      </c>
      <c r="B3956" s="45">
        <f>INDEX(overview!$B$4:$R$338,MATCH('hydrogen - electrolysis'!B3945,overview!$A$4:$A$338,0),MATCH('hydrogen - electrolysis'!A3956,overview!$B$3:$R$3,0))</f>
        <v>1700</v>
      </c>
    </row>
    <row r="3957" spans="1:2" x14ac:dyDescent="0.2">
      <c r="A3957" t="s">
        <v>12</v>
      </c>
      <c r="B3957" s="45" t="str">
        <f>INDEX(overview!$B$4:$R$338,MATCH('hydrogen - electrolysis'!B3945,overview!$A$4:$A$338,0),MATCH('hydrogen - electrolysis'!A3957,overview!$B$3:$R$3,0))</f>
        <v>Pressure vessel for stationary storage</v>
      </c>
    </row>
    <row r="3958" spans="1:2" x14ac:dyDescent="0.2">
      <c r="A3958" t="s">
        <v>34</v>
      </c>
      <c r="B3958" s="45">
        <f>INDEX(overview!$B$4:$R$338,MATCH('hydrogen - electrolysis'!B3945,overview!$A$4:$A$338,0),MATCH('hydrogen - electrolysis'!A3958,overview!$B$3:$R$3,0))</f>
        <v>0</v>
      </c>
    </row>
    <row r="3959" spans="1:2" x14ac:dyDescent="0.2">
      <c r="A3959" t="s">
        <v>15</v>
      </c>
      <c r="B3959" s="45" t="str">
        <f>INDEX(overview!$B$4:$R$338,MATCH('hydrogen - electrolysis'!B3945,overview!$A$4:$A$338,0),MATCH('hydrogen - electrolysis'!A3959,overview!$B$3:$R$3,0))</f>
        <v>Electrolysis, Alkaline</v>
      </c>
    </row>
    <row r="3960" spans="1:2" x14ac:dyDescent="0.2">
      <c r="A3960" t="s">
        <v>14</v>
      </c>
      <c r="B3960" s="45" t="str">
        <f>INDEX(overview!$B$4:$R$338,MATCH('hydrogen - electrolysis'!B3945,overview!$A$4:$A$338,0),MATCH('hydrogen - electrolysis'!A3960,overview!$B$3:$R$3,0))</f>
        <v>water and electricity</v>
      </c>
    </row>
    <row r="3961" spans="1:2" x14ac:dyDescent="0.2">
      <c r="A3961" t="s">
        <v>26</v>
      </c>
      <c r="B3961" s="45" t="str">
        <f>INDEX(overview!$B$4:$R$338,MATCH('hydrogen - electrolysis'!B3945,overview!$A$4:$A$338,0),MATCH('hydrogen - electrolysis'!A3961,overview!$B$3:$R$3,0))</f>
        <v>Solar PV (IT)</v>
      </c>
    </row>
    <row r="3962" spans="1:2" x14ac:dyDescent="0.2">
      <c r="A3962" t="s">
        <v>29</v>
      </c>
      <c r="B3962" s="45">
        <f>INDEX(overview!$B$4:$R$338,MATCH('hydrogen - electrolysis'!B3945,overview!$A$4:$A$338,0),MATCH('hydrogen - electrolysis'!A3962,overview!$B$3:$R$3,0))</f>
        <v>0</v>
      </c>
    </row>
    <row r="3963" spans="1:2" x14ac:dyDescent="0.2">
      <c r="A3963" t="str">
        <f>IF(B3947="megajoule","Heat","Electricity")&amp;" conversion efficiency [% LHV input]"</f>
        <v>Heat conversion efficiency [% LHV input]</v>
      </c>
      <c r="B3963" s="46">
        <f>INDEX(parameters!$D$4:$N$20,MATCH('hydrogen - electrolysis'!B3951&amp;'hydrogen - electrolysis'!B3953,parameters!$A$4:$A$20,0),MATCH('hydrogen - electrolysis'!A3963,parameters!$D$3:$N$3,0))</f>
        <v>0.94</v>
      </c>
    </row>
    <row r="3964" spans="1:2" x14ac:dyDescent="0.2">
      <c r="A3964" t="str">
        <f>IF(B3947="megajoule","LHV [MJ/kg]","LHV [kWh/kg]")</f>
        <v>LHV [MJ/kg]</v>
      </c>
      <c r="B3964" s="47">
        <f>INDEX(parameters!$D$4:$N$20,MATCH('hydrogen - electrolysis'!B3951&amp;'hydrogen - electrolysis'!B3953,parameters!$A$4:$A$20,0),MATCH('hydrogen - electrolysis'!A3964,parameters!$D$3:$N$3,0))</f>
        <v>120</v>
      </c>
    </row>
    <row r="3965" spans="1:2" x14ac:dyDescent="0.2">
      <c r="A3965" t="s">
        <v>41</v>
      </c>
      <c r="B3965" s="48">
        <f>INDEX(parameters!$D$4:$N$20,MATCH('hydrogen - electrolysis'!B3951&amp;'hydrogen - electrolysis'!B3953,parameters!$A$4:$A$20,0),MATCH('hydrogen - electrolysis'!A3965,parameters!$D$3:$N$3,0))</f>
        <v>2.6666666666666665E-2</v>
      </c>
    </row>
    <row r="3966" spans="1:2" x14ac:dyDescent="0.2">
      <c r="A3966" t="s">
        <v>45</v>
      </c>
      <c r="B3966" s="49">
        <f>INDEX(parameters!$D$4:$N$20,MATCH('hydrogen - electrolysis'!B3951&amp;'hydrogen - electrolysis'!B3953,parameters!$A$4:$A$20,0),MATCH('hydrogen - electrolysis'!A3966,parameters!$D$3:$N$3,0))</f>
        <v>0</v>
      </c>
    </row>
    <row r="3967" spans="1:2" x14ac:dyDescent="0.2">
      <c r="A3967" t="s">
        <v>46</v>
      </c>
      <c r="B3967" s="49">
        <f>INDEX(parameters!$D$4:$N$20,MATCH('hydrogen - electrolysis'!B3951&amp;'hydrogen - electrolysis'!B3953,parameters!$A$4:$A$20,0),MATCH('hydrogen - electrolysis'!A3967,parameters!$D$3:$N$3,0))</f>
        <v>1.4999999999999999E-2</v>
      </c>
    </row>
    <row r="3968" spans="1:2" x14ac:dyDescent="0.2">
      <c r="A3968" t="s">
        <v>43</v>
      </c>
      <c r="B3968" s="49">
        <f>INDEX(parameters!$D$4:$N$20,MATCH('hydrogen - electrolysis'!B3951&amp;'hydrogen - electrolysis'!B3953,parameters!$A$4:$A$20,0),MATCH('hydrogen - electrolysis'!A3968,parameters!$D$3:$N$3,0))</f>
        <v>0</v>
      </c>
    </row>
    <row r="3969" spans="1:22" x14ac:dyDescent="0.2">
      <c r="A3969" t="s">
        <v>44</v>
      </c>
      <c r="B3969" s="49">
        <f>INDEX(parameters!$D$4:$N$20,MATCH('hydrogen - electrolysis'!B3951&amp;'hydrogen - electrolysis'!B3953,parameters!$A$4:$A$20,0),MATCH('hydrogen - electrolysis'!A3969,parameters!$D$3:$N$3,0))</f>
        <v>0</v>
      </c>
    </row>
    <row r="3970" spans="1:22" x14ac:dyDescent="0.2">
      <c r="A3970" t="s">
        <v>634</v>
      </c>
      <c r="B3970" s="51">
        <f>INDEX(parameters!$D$4:$Y$20,MATCH('hydrogen - electrolysis'!B3951&amp;'hydrogen - electrolysis'!B3953,parameters!$A$4:$A$20,0),MATCH('hydrogen - electrolysis'!A3970,parameters!$D$3:$Y$3,0))</f>
        <v>15.957446808510639</v>
      </c>
    </row>
    <row r="3971" spans="1:22" x14ac:dyDescent="0.2">
      <c r="A3971" t="s">
        <v>82</v>
      </c>
      <c r="B3971" s="46">
        <f>IF(B3962&lt;&gt;0,VLOOKUP(B3962,parameters!A2509:B2511,2,0),0)</f>
        <v>0</v>
      </c>
    </row>
    <row r="3972" spans="1:22" x14ac:dyDescent="0.2">
      <c r="A3972" t="s">
        <v>548</v>
      </c>
      <c r="B3972" s="50">
        <f>INDEX(parameters!$D$4:$P$20,MATCH(B3951&amp;B3953,parameters!$A$4:$A$20,0),MATCH(A3972,parameters!$D$3:$P$3,0))</f>
        <v>15</v>
      </c>
    </row>
    <row r="3973" spans="1:22" x14ac:dyDescent="0.2">
      <c r="A3973" t="s">
        <v>547</v>
      </c>
      <c r="B3973" s="51">
        <f>INDEX(parameters!$D$4:$P$20,MATCH(B3951&amp;B3953,parameters!$A$4:$A$20,0),MATCH(A3973,parameters!$D$3:$P$3,0))</f>
        <v>20</v>
      </c>
    </row>
    <row r="3974" spans="1:22" x14ac:dyDescent="0.2">
      <c r="A3974" t="s">
        <v>630</v>
      </c>
      <c r="B3974" s="51">
        <f>INDEX(parameters!$D$4:$T$20,MATCH(B3951&amp;B3953,parameters!$A$4:$A$20,0),MATCH(A3974,parameters!$D$3:$T$3,0))</f>
        <v>2100</v>
      </c>
    </row>
    <row r="3975" spans="1:22" x14ac:dyDescent="0.2">
      <c r="A3975" t="s">
        <v>1005</v>
      </c>
      <c r="B3975" s="50">
        <f>IF(B3947="megajoule",SUMIFS(allocation!$I$4:$I$30,allocation!$B$4:$B$30,B3953,allocation!$C$4:$C$30,B3954),SUMIFS(allocation!$J$4:$J$30,allocation!$B$4:$B$30,B3953,allocation!$C$4:$C$30,B3954))</f>
        <v>0</v>
      </c>
    </row>
    <row r="3976" spans="1:22" x14ac:dyDescent="0.2">
      <c r="A3976" t="s">
        <v>1050</v>
      </c>
      <c r="B3976" s="51">
        <f>INDEX(parameters!$D$4:$AB$20,MATCH(B3951&amp;B3953,parameters!$A$4:$A$20,0),MATCH(A3976,parameters!$D$3:$AB$3,0))</f>
        <v>44.562019013128115</v>
      </c>
    </row>
    <row r="3978" spans="1:22" x14ac:dyDescent="0.2">
      <c r="A3978" s="3" t="s">
        <v>57</v>
      </c>
    </row>
    <row r="3979" spans="1:22" x14ac:dyDescent="0.2">
      <c r="A3979" s="2" t="s">
        <v>58</v>
      </c>
      <c r="B3979" s="44" t="s">
        <v>59</v>
      </c>
      <c r="C3979" s="2" t="s">
        <v>55</v>
      </c>
      <c r="D3979" s="2" t="s">
        <v>60</v>
      </c>
      <c r="E3979" s="2" t="s">
        <v>52</v>
      </c>
      <c r="F3979" s="2" t="s">
        <v>61</v>
      </c>
      <c r="G3979" s="2" t="s">
        <v>54</v>
      </c>
      <c r="H3979" s="2" t="s">
        <v>87</v>
      </c>
      <c r="I3979" s="2" t="s">
        <v>51</v>
      </c>
      <c r="J3979" s="2" t="s">
        <v>138</v>
      </c>
      <c r="K3979" s="2" t="s">
        <v>136</v>
      </c>
      <c r="L3979" s="2" t="s">
        <v>221</v>
      </c>
      <c r="M3979" s="2" t="s">
        <v>379</v>
      </c>
      <c r="N3979" s="2" t="s">
        <v>1059</v>
      </c>
      <c r="O3979" s="2" t="s">
        <v>1060</v>
      </c>
      <c r="P3979" s="2" t="s">
        <v>1061</v>
      </c>
      <c r="Q3979" s="2" t="s">
        <v>1062</v>
      </c>
      <c r="R3979" s="2" t="s">
        <v>1063</v>
      </c>
      <c r="S3979" s="2" t="s">
        <v>1064</v>
      </c>
      <c r="T3979" s="2" t="s">
        <v>1065</v>
      </c>
      <c r="U3979" s="2" t="s">
        <v>380</v>
      </c>
      <c r="V3979" s="2" t="s">
        <v>1128</v>
      </c>
    </row>
    <row r="3980" spans="1:22" x14ac:dyDescent="0.2">
      <c r="A3980" t="str">
        <f>B3941</f>
        <v>heat, residential, by combustion of hydrogen using boiler, transported by pipeline, produced by Electrolysis, Alkaline using water and electricity from Solar PV (IT)</v>
      </c>
      <c r="B3980" s="45">
        <v>1</v>
      </c>
      <c r="C3980" t="str">
        <f>B3947</f>
        <v>megajoule</v>
      </c>
      <c r="E3980" t="str">
        <f>B3944</f>
        <v>CH</v>
      </c>
      <c r="F3980" t="s">
        <v>62</v>
      </c>
      <c r="G3980" t="str">
        <f>B3946</f>
        <v>heat, from residential heating system</v>
      </c>
      <c r="K3980" t="str">
        <f>B3941</f>
        <v>heat, residential, by combustion of hydrogen using boiler, transported by pipeline, produced by Electrolysis, Alkaline using water and electricity from Solar PV (IT)</v>
      </c>
    </row>
    <row r="3981" spans="1:22" x14ac:dyDescent="0.2">
      <c r="A3981" t="s">
        <v>83</v>
      </c>
      <c r="B3981" s="52">
        <f>1/(B3972*B3974*B3973*3.6)</f>
        <v>4.4091710758377425E-7</v>
      </c>
      <c r="C3981" t="s">
        <v>55</v>
      </c>
      <c r="E3981" t="s">
        <v>85</v>
      </c>
      <c r="F3981" t="s">
        <v>86</v>
      </c>
      <c r="G3981" t="s">
        <v>84</v>
      </c>
      <c r="H3981" t="s">
        <v>88</v>
      </c>
      <c r="K3981" t="str">
        <f>B3941</f>
        <v>heat, residential, by combustion of hydrogen using boiler, transported by pipeline, produced by Electrolysis, Alkaline using water and electricity from Solar PV (IT)</v>
      </c>
      <c r="L3981">
        <f t="shared" ref="L3981:L3986" si="128">IF(OR(B3981&lt;0,B3981=0),1,2)</f>
        <v>2</v>
      </c>
      <c r="M3981">
        <f t="shared" ref="M3981:M3986" si="129">IF(L3981=2,LN(B3981),"")</f>
        <v>-14.634408943829779</v>
      </c>
      <c r="N3981">
        <v>1.05</v>
      </c>
      <c r="O3981" s="15">
        <v>1.2</v>
      </c>
      <c r="P3981">
        <v>1</v>
      </c>
      <c r="Q3981">
        <v>1.01</v>
      </c>
      <c r="R3981">
        <v>1.2</v>
      </c>
      <c r="S3981">
        <v>1.2</v>
      </c>
      <c r="T3981">
        <v>3</v>
      </c>
      <c r="U3981">
        <f t="shared" ref="U3981:U3986" si="130">LN(SQRT(EXP(
SQRT(
+POWER(LN(N3981),2)
+POWER(LN(O3981),2)
+POWER(LN(P3981),2)
+POWER(LN(Q3981),2)
+POWER(LN(R3981),2)
+POWER(LN(S3981),2)
+POWER(LN(T3981),2)
)
)))</f>
        <v>0.57209088006881903</v>
      </c>
    </row>
    <row r="3982" spans="1:22" x14ac:dyDescent="0.2">
      <c r="A3982" t="s">
        <v>500</v>
      </c>
      <c r="B3982" s="52">
        <f>B3981*2</f>
        <v>8.8183421516754851E-7</v>
      </c>
      <c r="C3982" t="s">
        <v>267</v>
      </c>
      <c r="E3982" t="s">
        <v>85</v>
      </c>
      <c r="F3982" t="s">
        <v>86</v>
      </c>
      <c r="G3982" t="s">
        <v>501</v>
      </c>
      <c r="H3982" t="s">
        <v>88</v>
      </c>
      <c r="I3982" t="s">
        <v>621</v>
      </c>
      <c r="K3982" t="str">
        <f>B3941</f>
        <v>heat, residential, by combustion of hydrogen using boiler, transported by pipeline, produced by Electrolysis, Alkaline using water and electricity from Solar PV (IT)</v>
      </c>
      <c r="L3982">
        <f t="shared" si="128"/>
        <v>2</v>
      </c>
      <c r="M3982">
        <f t="shared" si="129"/>
        <v>-13.941261763269834</v>
      </c>
      <c r="N3982">
        <v>1.05</v>
      </c>
      <c r="O3982" s="15">
        <v>1.2</v>
      </c>
      <c r="P3982">
        <v>1</v>
      </c>
      <c r="Q3982">
        <v>1.01</v>
      </c>
      <c r="R3982">
        <v>1.2</v>
      </c>
      <c r="S3982">
        <v>1.2</v>
      </c>
      <c r="T3982">
        <v>3</v>
      </c>
      <c r="U3982">
        <f t="shared" si="130"/>
        <v>0.57209088006881903</v>
      </c>
    </row>
    <row r="3983" spans="1:22" x14ac:dyDescent="0.2">
      <c r="A3983" t="s">
        <v>130</v>
      </c>
      <c r="B3983" s="52">
        <v>2.64E-3</v>
      </c>
      <c r="C3983" t="s">
        <v>92</v>
      </c>
      <c r="E3983" t="s">
        <v>64</v>
      </c>
      <c r="F3983" t="s">
        <v>86</v>
      </c>
      <c r="G3983" t="s">
        <v>93</v>
      </c>
      <c r="H3983" t="s">
        <v>78</v>
      </c>
      <c r="I3983" t="s">
        <v>270</v>
      </c>
      <c r="J3983" t="s">
        <v>67</v>
      </c>
      <c r="K3983" t="str">
        <f>B3941</f>
        <v>heat, residential, by combustion of hydrogen using boiler, transported by pipeline, produced by Electrolysis, Alkaline using water and electricity from Solar PV (IT)</v>
      </c>
      <c r="L3983">
        <f t="shared" si="128"/>
        <v>2</v>
      </c>
      <c r="M3983">
        <f t="shared" si="129"/>
        <v>-5.9369763618239126</v>
      </c>
      <c r="N3983">
        <v>1.05</v>
      </c>
      <c r="O3983" s="15">
        <v>1.2</v>
      </c>
      <c r="P3983">
        <v>1</v>
      </c>
      <c r="Q3983">
        <v>1.01</v>
      </c>
      <c r="R3983">
        <v>1.2</v>
      </c>
      <c r="S3983">
        <v>1.2</v>
      </c>
      <c r="T3983">
        <v>1.05</v>
      </c>
      <c r="U3983">
        <f t="shared" si="130"/>
        <v>0.16169679924070957</v>
      </c>
    </row>
    <row r="3984" spans="1:22" x14ac:dyDescent="0.2">
      <c r="A3984" s="45" t="str">
        <f>"hydrogen supply, transported by "&amp;B3955&amp;", produced by "&amp;B3959&amp;" using "&amp;B3960&amp;" from "&amp;B3961</f>
        <v>hydrogen supply, transported by pipeline, produced by Electrolysis, Alkaline using water and electricity from Solar PV (IT)</v>
      </c>
      <c r="B3984" s="53">
        <f>(B3980/B3964)/B3963</f>
        <v>8.8652482269503553E-3</v>
      </c>
      <c r="C3984" t="s">
        <v>56</v>
      </c>
      <c r="E3984" t="s">
        <v>64</v>
      </c>
      <c r="F3984" t="s">
        <v>86</v>
      </c>
      <c r="G3984" t="str">
        <f>"hydrogen, gaseous, from "&amp;B3955</f>
        <v>hydrogen, gaseous, from pipeline</v>
      </c>
      <c r="H3984" t="s">
        <v>76</v>
      </c>
      <c r="I3984" t="s">
        <v>1054</v>
      </c>
      <c r="J3984" t="s">
        <v>636</v>
      </c>
      <c r="K3984" t="str">
        <f>B3941</f>
        <v>heat, residential, by combustion of hydrogen using boiler, transported by pipeline, produced by Electrolysis, Alkaline using water and electricity from Solar PV (IT)</v>
      </c>
      <c r="L3984">
        <f t="shared" si="128"/>
        <v>2</v>
      </c>
      <c r="M3984">
        <f t="shared" si="129"/>
        <v>-4.7256163390639587</v>
      </c>
      <c r="N3984">
        <v>1.05</v>
      </c>
      <c r="O3984" s="15">
        <v>1.2</v>
      </c>
      <c r="P3984">
        <v>1</v>
      </c>
      <c r="Q3984">
        <v>1.01</v>
      </c>
      <c r="R3984">
        <v>1.2</v>
      </c>
      <c r="S3984">
        <v>1.2</v>
      </c>
      <c r="T3984">
        <v>1.05</v>
      </c>
      <c r="U3984">
        <f t="shared" si="130"/>
        <v>0.16169679924070957</v>
      </c>
    </row>
    <row r="3985" spans="1:21" x14ac:dyDescent="0.2">
      <c r="A3985" t="s">
        <v>134</v>
      </c>
      <c r="B3985" s="45">
        <f>B3984*9</f>
        <v>7.9787234042553196E-2</v>
      </c>
      <c r="C3985" t="s">
        <v>56</v>
      </c>
      <c r="D3985" t="s">
        <v>100</v>
      </c>
      <c r="F3985" t="s">
        <v>99</v>
      </c>
      <c r="H3985" t="s">
        <v>131</v>
      </c>
      <c r="I3985" t="s">
        <v>1058</v>
      </c>
      <c r="K3985" t="str">
        <f>B3941</f>
        <v>heat, residential, by combustion of hydrogen using boiler, transported by pipeline, produced by Electrolysis, Alkaline using water and electricity from Solar PV (IT)</v>
      </c>
      <c r="L3985">
        <f t="shared" si="128"/>
        <v>2</v>
      </c>
      <c r="M3985">
        <f t="shared" si="129"/>
        <v>-2.5283917617277392</v>
      </c>
      <c r="N3985">
        <v>1.05</v>
      </c>
      <c r="O3985" s="15">
        <v>1.2</v>
      </c>
      <c r="P3985">
        <v>1</v>
      </c>
      <c r="Q3985">
        <v>1.01</v>
      </c>
      <c r="R3985">
        <v>1.2</v>
      </c>
      <c r="S3985">
        <v>1.2</v>
      </c>
      <c r="T3985">
        <v>1.05</v>
      </c>
      <c r="U3985">
        <f t="shared" si="130"/>
        <v>0.16169679924070957</v>
      </c>
    </row>
    <row r="3986" spans="1:21" x14ac:dyDescent="0.2">
      <c r="A3986" t="s">
        <v>135</v>
      </c>
      <c r="B3986" s="45">
        <f>912.5/1000000*B3984</f>
        <v>8.0895390070921995E-6</v>
      </c>
      <c r="C3986" t="s">
        <v>56</v>
      </c>
      <c r="D3986" t="s">
        <v>100</v>
      </c>
      <c r="F3986" t="s">
        <v>99</v>
      </c>
      <c r="H3986" t="s">
        <v>131</v>
      </c>
      <c r="I3986" t="s">
        <v>1217</v>
      </c>
      <c r="K3986" t="str">
        <f>B3941</f>
        <v>heat, residential, by combustion of hydrogen using boiler, transported by pipeline, produced by Electrolysis, Alkaline using water and electricity from Solar PV (IT)</v>
      </c>
      <c r="L3986">
        <f t="shared" si="128"/>
        <v>2</v>
      </c>
      <c r="M3986">
        <f t="shared" si="129"/>
        <v>-11.724938811571587</v>
      </c>
      <c r="N3986">
        <v>1.05</v>
      </c>
      <c r="O3986" s="15">
        <v>1.2</v>
      </c>
      <c r="P3986">
        <v>1</v>
      </c>
      <c r="Q3986">
        <v>1.01</v>
      </c>
      <c r="R3986">
        <v>1.2</v>
      </c>
      <c r="S3986">
        <v>1.2</v>
      </c>
      <c r="T3986">
        <v>1.5</v>
      </c>
      <c r="U3986">
        <f t="shared" si="130"/>
        <v>0.25816898211842121</v>
      </c>
    </row>
    <row r="3988" spans="1:21" x14ac:dyDescent="0.2">
      <c r="A3988" s="2" t="s">
        <v>50</v>
      </c>
      <c r="B3988" s="44" t="str">
        <f>IF(B3994="megajoule","heat","electricity")&amp;", residential, by "&amp;B3999&amp;" of "&amp;B3998&amp;" using "&amp;B4000&amp;IF(B4001&lt;&gt;0,", allocated by "&amp;B4001,"")&amp;", transported by "&amp;B4002&amp;", produced by "&amp;B4006&amp;" using "&amp;B4007&amp;" from "&amp;B4008</f>
        <v>heat, residential, by combustion of hydrogen using CHP, allocated by exergy, transported by pipeline, produced by Electrolysis, Alkaline using water and electricity from Solar PV (IT)</v>
      </c>
    </row>
    <row r="3989" spans="1:21" x14ac:dyDescent="0.2">
      <c r="A3989" t="s">
        <v>51</v>
      </c>
      <c r="B3989" s="45" t="str">
        <f>"This dataset represents the supply of 1 "&amp;IF(B3994="megajoule","megajoule of heat","kilowatt hour of electricity")&amp;" in a residence, by "&amp;B3998&amp;" "&amp;B3999&amp;" in a "&amp;B4000&amp;". "&amp;" The hydrogen is transported by "&amp;B4002&amp;" over "&amp;B4003&amp;" km from regional storage. "&amp;" The "&amp;B3998&amp;" is produced by  "&amp;B4006&amp;", with "&amp;B4007&amp;" from "&amp;B4008&amp;" as feedstock. "&amp;A4010&amp;": "&amp;(B4010*100)&amp;"%. "&amp;A4011&amp;": "&amp;B4011&amp;". "&amp;A4012&amp;": "&amp;B4012&amp;". "&amp;A4013&amp;": "&amp;(B4013*100)&amp;"%. "&amp;A4014&amp;": "&amp;(B4014*100)&amp;"%. "&amp;A4015&amp;": "&amp;(B4015*100)&amp;"%. "&amp;A4016&amp;": "&amp;B4016&amp;". "&amp;A4017&amp;": "&amp;B4017&amp;". "&amp;A4018&amp;": "&amp;(B4018*100)&amp;"%. "&amp;A4019&amp;": "&amp;B4019&amp;". "&amp;A4020&amp;": "&amp;B4020&amp;". "&amp;A4021&amp;": "&amp;B4021&amp;". "&amp;A4022&amp;": "&amp;B4022&amp;".  For more information, refer to: "&amp;B3990</f>
        <v>This dataset represents the supply of 1 megajoule of heat in a residence, by hydrogen combustion in a CHP.  The hydrogen is transported by pipeline over 1700 km from regional storage.  The hydrogen is produced by  Electrolysis, Alkaline,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3990" spans="1:21" x14ac:dyDescent="0.2">
      <c r="A3990" t="s">
        <v>63</v>
      </c>
      <c r="B3990" s="45" t="s">
        <v>1223</v>
      </c>
    </row>
    <row r="3991" spans="1:21" x14ac:dyDescent="0.2">
      <c r="A3991" t="s">
        <v>52</v>
      </c>
      <c r="B3991" s="45" t="s">
        <v>64</v>
      </c>
    </row>
    <row r="3992" spans="1:21" x14ac:dyDescent="0.2">
      <c r="A3992" t="s">
        <v>48</v>
      </c>
      <c r="B3992" s="45">
        <v>50</v>
      </c>
    </row>
    <row r="3993" spans="1:21" x14ac:dyDescent="0.2">
      <c r="A3993" t="s">
        <v>54</v>
      </c>
      <c r="B3993" s="45" t="str">
        <f>INDEX(overview!$B$4:$R$338,MATCH('hydrogen - electrolysis'!B3992,overview!$A$4:$A$338,0),MATCH('hydrogen - electrolysis'!A3993,overview!$B$3:$R$3,0))</f>
        <v>heat, from residential heating system</v>
      </c>
    </row>
    <row r="3994" spans="1:21" x14ac:dyDescent="0.2">
      <c r="A3994" t="s">
        <v>55</v>
      </c>
      <c r="B3994" s="45" t="str">
        <f>INDEX(overview!$B$4:$R$338,MATCH('hydrogen - electrolysis'!B3992,overview!$A$4:$A$338,0),MATCH('hydrogen - electrolysis'!A3994,overview!$B$3:$R$3,0))</f>
        <v>megajoule</v>
      </c>
    </row>
    <row r="3995" spans="1:21" x14ac:dyDescent="0.2">
      <c r="A3995" t="s">
        <v>0</v>
      </c>
      <c r="B3995" s="45" t="str">
        <f>INDEX(overview!$B$4:$R$338,MATCH('hydrogen - electrolysis'!B3992,overview!$A$4:$A$338,0),MATCH('hydrogen - electrolysis'!A3995,overview!$B$3:$R$3,0))</f>
        <v>Switzerland</v>
      </c>
    </row>
    <row r="3996" spans="1:21" x14ac:dyDescent="0.2">
      <c r="A3996" t="s">
        <v>1</v>
      </c>
      <c r="B3996" s="45">
        <f>INDEX(overview!$B$4:$R$338,MATCH('hydrogen - electrolysis'!B3992,overview!$A$4:$A$338,0),MATCH('hydrogen - electrolysis'!A3996,overview!$B$3:$R$3,0))</f>
        <v>2020</v>
      </c>
    </row>
    <row r="3997" spans="1:21" x14ac:dyDescent="0.2">
      <c r="A3997" t="s">
        <v>2</v>
      </c>
      <c r="B3997" s="45" t="str">
        <f>INDEX(overview!$B$4:$R$338,MATCH('hydrogen - electrolysis'!B3992,overview!$A$4:$A$338,0),MATCH('hydrogen - electrolysis'!A3997,overview!$B$3:$R$3,0))</f>
        <v>1 MJ heat</v>
      </c>
    </row>
    <row r="3998" spans="1:21" x14ac:dyDescent="0.2">
      <c r="A3998" t="s">
        <v>5</v>
      </c>
      <c r="B3998" s="45" t="str">
        <f>INDEX(overview!$B$4:$R$338,MATCH('hydrogen - electrolysis'!B3992,overview!$A$4:$A$338,0),MATCH('hydrogen - electrolysis'!A3998,overview!$B$3:$R$3,0))</f>
        <v>hydrogen</v>
      </c>
    </row>
    <row r="3999" spans="1:21" x14ac:dyDescent="0.2">
      <c r="A3999" t="s">
        <v>3</v>
      </c>
      <c r="B3999" s="45" t="str">
        <f>INDEX(overview!$B$4:$R$338,MATCH('hydrogen - electrolysis'!B3992,overview!$A$4:$A$338,0),MATCH('hydrogen - electrolysis'!A3999,overview!$B$3:$R$3,0))</f>
        <v>combustion</v>
      </c>
    </row>
    <row r="4000" spans="1:21" x14ac:dyDescent="0.2">
      <c r="A4000" t="s">
        <v>6</v>
      </c>
      <c r="B4000" s="45" t="str">
        <f>INDEX(overview!$B$4:$R$338,MATCH('hydrogen - electrolysis'!B3992,overview!$A$4:$A$338,0),MATCH('hydrogen - electrolysis'!A4000,overview!$B$3:$R$3,0))</f>
        <v>CHP</v>
      </c>
    </row>
    <row r="4001" spans="1:2" x14ac:dyDescent="0.2">
      <c r="A4001" t="s">
        <v>39</v>
      </c>
      <c r="B4001" s="45" t="str">
        <f>INDEX(overview!$B$4:$R$338,MATCH('hydrogen - electrolysis'!B3992,overview!$A$4:$A$338,0),MATCH('hydrogen - electrolysis'!A4001,overview!$B$3:$R$3,0))</f>
        <v>exergy</v>
      </c>
    </row>
    <row r="4002" spans="1:2" x14ac:dyDescent="0.2">
      <c r="A4002" t="s">
        <v>4</v>
      </c>
      <c r="B4002" s="45" t="str">
        <f>INDEX(overview!$B$4:$R$338,MATCH('hydrogen - electrolysis'!B3992,overview!$A$4:$A$338,0),MATCH('hydrogen - electrolysis'!A4002,overview!$B$3:$R$3,0))</f>
        <v>pipeline</v>
      </c>
    </row>
    <row r="4003" spans="1:2" x14ac:dyDescent="0.2">
      <c r="A4003" t="s">
        <v>38</v>
      </c>
      <c r="B4003" s="45">
        <f>INDEX(overview!$B$4:$R$338,MATCH('hydrogen - electrolysis'!B3992,overview!$A$4:$A$338,0),MATCH('hydrogen - electrolysis'!A4003,overview!$B$3:$R$3,0))</f>
        <v>1700</v>
      </c>
    </row>
    <row r="4004" spans="1:2" x14ac:dyDescent="0.2">
      <c r="A4004" t="s">
        <v>12</v>
      </c>
      <c r="B4004" s="45" t="str">
        <f>INDEX(overview!$B$4:$R$338,MATCH('hydrogen - electrolysis'!B3992,overview!$A$4:$A$338,0),MATCH('hydrogen - electrolysis'!A4004,overview!$B$3:$R$3,0))</f>
        <v>Pressure vessel for stationary storage</v>
      </c>
    </row>
    <row r="4005" spans="1:2" x14ac:dyDescent="0.2">
      <c r="A4005" t="s">
        <v>34</v>
      </c>
      <c r="B4005" s="45">
        <f>INDEX(overview!$B$4:$R$338,MATCH('hydrogen - electrolysis'!B3992,overview!$A$4:$A$338,0),MATCH('hydrogen - electrolysis'!A4005,overview!$B$3:$R$3,0))</f>
        <v>0</v>
      </c>
    </row>
    <row r="4006" spans="1:2" x14ac:dyDescent="0.2">
      <c r="A4006" t="s">
        <v>15</v>
      </c>
      <c r="B4006" s="45" t="str">
        <f>INDEX(overview!$B$4:$R$338,MATCH('hydrogen - electrolysis'!B3992,overview!$A$4:$A$338,0),MATCH('hydrogen - electrolysis'!A4006,overview!$B$3:$R$3,0))</f>
        <v>Electrolysis, Alkaline</v>
      </c>
    </row>
    <row r="4007" spans="1:2" x14ac:dyDescent="0.2">
      <c r="A4007" t="s">
        <v>14</v>
      </c>
      <c r="B4007" s="45" t="str">
        <f>INDEX(overview!$B$4:$R$338,MATCH('hydrogen - electrolysis'!B3992,overview!$A$4:$A$338,0),MATCH('hydrogen - electrolysis'!A4007,overview!$B$3:$R$3,0))</f>
        <v>water and electricity</v>
      </c>
    </row>
    <row r="4008" spans="1:2" x14ac:dyDescent="0.2">
      <c r="A4008" t="s">
        <v>26</v>
      </c>
      <c r="B4008" s="45" t="str">
        <f>INDEX(overview!$B$4:$R$338,MATCH('hydrogen - electrolysis'!B3992,overview!$A$4:$A$338,0),MATCH('hydrogen - electrolysis'!A4008,overview!$B$3:$R$3,0))</f>
        <v>Solar PV (IT)</v>
      </c>
    </row>
    <row r="4009" spans="1:2" x14ac:dyDescent="0.2">
      <c r="A4009" t="s">
        <v>29</v>
      </c>
      <c r="B4009" s="45">
        <f>INDEX(overview!$B$4:$R$338,MATCH('hydrogen - electrolysis'!B3992,overview!$A$4:$A$338,0),MATCH('hydrogen - electrolysis'!A4009,overview!$B$3:$R$3,0))</f>
        <v>0</v>
      </c>
    </row>
    <row r="4010" spans="1:2" x14ac:dyDescent="0.2">
      <c r="A4010" t="str">
        <f>IF(B3994="megajoule","Heat","Electricity")&amp;" conversion efficiency [% LHV input]"</f>
        <v>Heat conversion efficiency [% LHV input]</v>
      </c>
      <c r="B4010" s="46">
        <f>INDEX(parameters!$D$4:$N$20,MATCH('hydrogen - electrolysis'!B3998&amp;'hydrogen - electrolysis'!B4000,parameters!$A$4:$A$20,0),MATCH('hydrogen - electrolysis'!A4010,parameters!$D$3:$N$3,0))</f>
        <v>0.41699999999999998</v>
      </c>
    </row>
    <row r="4011" spans="1:2" x14ac:dyDescent="0.2">
      <c r="A4011" t="str">
        <f>IF(B3994="megajoule","LHV [MJ/kg]","LHV [kWh/kg]")</f>
        <v>LHV [MJ/kg]</v>
      </c>
      <c r="B4011" s="47">
        <f>INDEX(parameters!$D$4:$N$20,MATCH('hydrogen - electrolysis'!B3998&amp;'hydrogen - electrolysis'!B4000,parameters!$A$4:$A$20,0),MATCH('hydrogen - electrolysis'!A4011,parameters!$D$3:$N$3,0))</f>
        <v>120</v>
      </c>
    </row>
    <row r="4012" spans="1:2" x14ac:dyDescent="0.2">
      <c r="A4012" t="s">
        <v>41</v>
      </c>
      <c r="B4012" s="48">
        <f>INDEX(parameters!$D$4:$N$20,MATCH('hydrogen - electrolysis'!B3998&amp;'hydrogen - electrolysis'!B4000,parameters!$A$4:$A$20,0),MATCH('hydrogen - electrolysis'!A4012,parameters!$D$3:$N$3,0))</f>
        <v>2.6666666666666665E-2</v>
      </c>
    </row>
    <row r="4013" spans="1:2" x14ac:dyDescent="0.2">
      <c r="A4013" t="s">
        <v>45</v>
      </c>
      <c r="B4013" s="46">
        <f>INDEX(parameters!$D$4:$N$20,MATCH('hydrogen - electrolysis'!B3998&amp;'hydrogen - electrolysis'!B4000,parameters!$A$4:$A$20,0),MATCH('hydrogen - electrolysis'!A4013,parameters!$D$3:$N$3,0))</f>
        <v>0</v>
      </c>
    </row>
    <row r="4014" spans="1:2" x14ac:dyDescent="0.2">
      <c r="A4014" t="s">
        <v>46</v>
      </c>
      <c r="B4014" s="46">
        <f>INDEX(parameters!$D$4:$N$20,MATCH('hydrogen - electrolysis'!B3998&amp;'hydrogen - electrolysis'!B4000,parameters!$A$4:$A$20,0),MATCH('hydrogen - electrolysis'!A4014,parameters!$D$3:$N$3,0))</f>
        <v>1.4999999999999999E-2</v>
      </c>
    </row>
    <row r="4015" spans="1:2" x14ac:dyDescent="0.2">
      <c r="A4015" t="s">
        <v>43</v>
      </c>
      <c r="B4015" s="46">
        <f>INDEX(parameters!$D$4:$N$20,MATCH('hydrogen - electrolysis'!B3998&amp;'hydrogen - electrolysis'!B4000,parameters!$A$4:$A$20,0),MATCH('hydrogen - electrolysis'!A4015,parameters!$D$3:$N$3,0))</f>
        <v>0</v>
      </c>
    </row>
    <row r="4016" spans="1:2" x14ac:dyDescent="0.2">
      <c r="A4016" t="s">
        <v>44</v>
      </c>
      <c r="B4016" s="46">
        <f>INDEX(parameters!$D$4:$N$20,MATCH('hydrogen - electrolysis'!B3998&amp;'hydrogen - electrolysis'!B4000,parameters!$A$4:$A$20,0),MATCH('hydrogen - electrolysis'!A4016,parameters!$D$3:$N$3,0))</f>
        <v>0</v>
      </c>
    </row>
    <row r="4017" spans="1:22" x14ac:dyDescent="0.2">
      <c r="A4017" t="s">
        <v>634</v>
      </c>
      <c r="B4017" s="51">
        <f>INDEX(parameters!$D$4:$Y$20,MATCH('hydrogen - electrolysis'!B3998&amp;'hydrogen - electrolysis'!B4000,parameters!$A$4:$A$20,0),MATCH('hydrogen - electrolysis'!A4017,parameters!$D$3:$Y$3,0))</f>
        <v>351.41800246609125</v>
      </c>
    </row>
    <row r="4018" spans="1:22" x14ac:dyDescent="0.2">
      <c r="A4018" t="s">
        <v>82</v>
      </c>
      <c r="B4018" s="46">
        <f>IF(B4009&lt;&gt;0,VLOOKUP(B4009,parameters!A2561:B2563,2,0),0)</f>
        <v>0</v>
      </c>
    </row>
    <row r="4019" spans="1:22" x14ac:dyDescent="0.2">
      <c r="A4019" t="s">
        <v>548</v>
      </c>
      <c r="B4019" s="50">
        <f>INDEX(parameters!$D$4:$P$20,MATCH(B3998&amp;B4000,parameters!$A$4:$A$20,0),MATCH(A4019,parameters!$D$3:$P$3,0))</f>
        <v>125</v>
      </c>
    </row>
    <row r="4020" spans="1:22" x14ac:dyDescent="0.2">
      <c r="A4020" t="s">
        <v>547</v>
      </c>
      <c r="B4020" s="51">
        <f>INDEX(parameters!$D$4:$P$20,MATCH(B3998&amp;B4000,parameters!$A$4:$A$20,0),MATCH(A4020,parameters!$D$3:$P$3,0))</f>
        <v>19.512195121951219</v>
      </c>
    </row>
    <row r="4021" spans="1:22" x14ac:dyDescent="0.2">
      <c r="A4021" t="s">
        <v>630</v>
      </c>
      <c r="B4021" s="51">
        <f>INDEX(parameters!$D$4:$T$20,MATCH(B3998&amp;B4000,parameters!$A$4:$A$20,0),MATCH(A4021,parameters!$D$3:$T$3,0))</f>
        <v>4100</v>
      </c>
    </row>
    <row r="4022" spans="1:22" x14ac:dyDescent="0.2">
      <c r="A4022" t="s">
        <v>1005</v>
      </c>
      <c r="B4022" s="50">
        <f>IF(B3994="megajoule",SUMIFS(allocation!$I$4:$I$30,allocation!$B$4:$B$30,B4000,allocation!$C$4:$C$30,B4001),SUMIFS(allocation!$J$4:$J$30,allocation!$B$4:$B$30,B4000,allocation!$C$4:$C$30,B4001))</f>
        <v>0.12860042227295038</v>
      </c>
    </row>
    <row r="4023" spans="1:22" x14ac:dyDescent="0.2">
      <c r="A4023" t="s">
        <v>1050</v>
      </c>
      <c r="B4023" s="51">
        <f>INDEX(parameters!$D$4:$AB$20,MATCH(B3998&amp;B4000,parameters!$A$4:$A$20,0),MATCH(A4023,parameters!$D$3:$AB$3,0))</f>
        <v>2220.7364520822662</v>
      </c>
    </row>
    <row r="4025" spans="1:22" x14ac:dyDescent="0.2">
      <c r="A4025" s="3" t="s">
        <v>57</v>
      </c>
    </row>
    <row r="4026" spans="1:22" x14ac:dyDescent="0.2">
      <c r="A4026" s="2" t="s">
        <v>58</v>
      </c>
      <c r="B4026" s="44" t="s">
        <v>59</v>
      </c>
      <c r="C4026" s="2" t="s">
        <v>55</v>
      </c>
      <c r="D4026" s="2" t="s">
        <v>60</v>
      </c>
      <c r="E4026" s="2" t="s">
        <v>52</v>
      </c>
      <c r="F4026" s="2" t="s">
        <v>61</v>
      </c>
      <c r="G4026" s="2" t="s">
        <v>54</v>
      </c>
      <c r="H4026" s="2" t="s">
        <v>87</v>
      </c>
      <c r="I4026" s="2" t="s">
        <v>51</v>
      </c>
      <c r="J4026" s="2" t="s">
        <v>138</v>
      </c>
      <c r="K4026" s="2" t="s">
        <v>136</v>
      </c>
      <c r="L4026" s="2" t="s">
        <v>221</v>
      </c>
      <c r="M4026" s="2" t="s">
        <v>379</v>
      </c>
      <c r="N4026" s="2" t="s">
        <v>1059</v>
      </c>
      <c r="O4026" s="2" t="s">
        <v>1060</v>
      </c>
      <c r="P4026" s="2" t="s">
        <v>1061</v>
      </c>
      <c r="Q4026" s="2" t="s">
        <v>1062</v>
      </c>
      <c r="R4026" s="2" t="s">
        <v>1063</v>
      </c>
      <c r="S4026" s="2" t="s">
        <v>1064</v>
      </c>
      <c r="T4026" s="2" t="s">
        <v>1065</v>
      </c>
      <c r="U4026" s="2" t="s">
        <v>380</v>
      </c>
      <c r="V4026" s="2" t="s">
        <v>1128</v>
      </c>
    </row>
    <row r="4027" spans="1:22" x14ac:dyDescent="0.2">
      <c r="A4027" t="str">
        <f>B3988</f>
        <v>heat, residential, by combustion of hydrogen using CHP, allocated by exergy, transported by pipeline, produced by Electrolysis, Alkaline using water and electricity from Solar PV (IT)</v>
      </c>
      <c r="B4027" s="45">
        <v>1</v>
      </c>
      <c r="C4027" t="str">
        <f>B3994</f>
        <v>megajoule</v>
      </c>
      <c r="E4027" t="str">
        <f>B3991</f>
        <v>CH</v>
      </c>
      <c r="F4027" t="s">
        <v>62</v>
      </c>
      <c r="G4027" t="str">
        <f>B3993</f>
        <v>heat, from residential heating system</v>
      </c>
      <c r="K4027" t="str">
        <f>B3988</f>
        <v>heat, residential, by combustion of hydrogen using CHP, allocated by exergy, transported by pipeline, produced by Electrolysis, Alkaline using water and electricity from Solar PV (IT)</v>
      </c>
    </row>
    <row r="4028" spans="1:22" x14ac:dyDescent="0.2">
      <c r="A4028" t="str">
        <f>VLOOKUP(J4028,'dataset mapping'!$A$4:$E$69,2,0)</f>
        <v>heat and power co-generation unit construction, 160kW electrical, common components for heat+electricity</v>
      </c>
      <c r="B4028" s="52">
        <f>(1/(B4017*B4021*B4020*3.6))*B4022</f>
        <v>1.270649883812899E-9</v>
      </c>
      <c r="C4028" t="str">
        <f>VLOOKUP(J4028,'dataset mapping'!$A$4:$E$69,5,0)</f>
        <v>unit</v>
      </c>
      <c r="E4028" t="str">
        <f>VLOOKUP(J4028,'dataset mapping'!$A$4:$E$69,4,0)</f>
        <v>RER</v>
      </c>
      <c r="F4028" t="s">
        <v>86</v>
      </c>
      <c r="G4028" t="str">
        <f>VLOOKUP(J4028,'dataset mapping'!$A$4:$E$69,3,0)</f>
        <v>heat and power co-generation unit, 160kW electrical, common components for heat+electricity</v>
      </c>
      <c r="H4028" t="s">
        <v>88</v>
      </c>
      <c r="J4028" t="s">
        <v>145</v>
      </c>
      <c r="K4028" t="str">
        <f>B3988</f>
        <v>heat, residential, by combustion of hydrogen using CHP, allocated by exergy, transported by pipeline, produced by Electrolysis, Alkaline using water and electricity from Solar PV (IT)</v>
      </c>
      <c r="L4028">
        <f>IF(OR(B4028&lt;0,B4028=0),1,2)</f>
        <v>2</v>
      </c>
      <c r="M4028">
        <f>IF(L4028=2,LN(B4028),"")</f>
        <v>-20.48373734782199</v>
      </c>
      <c r="N4028">
        <v>1.05</v>
      </c>
      <c r="O4028" s="15">
        <v>1.2</v>
      </c>
      <c r="P4028">
        <v>1</v>
      </c>
      <c r="Q4028">
        <v>1.01</v>
      </c>
      <c r="R4028">
        <v>1.2</v>
      </c>
      <c r="S4028">
        <v>1.2</v>
      </c>
      <c r="T4028">
        <v>3</v>
      </c>
      <c r="U4028">
        <f t="shared" ref="U4028:U4035" si="131">LN(SQRT(EXP(
SQRT(
+POWER(LN(N4028),2)
+POWER(LN(O4028),2)
+POWER(LN(P4028),2)
+POWER(LN(Q4028),2)
+POWER(LN(R4028),2)
+POWER(LN(S4028),2)
+POWER(LN(T4028),2)
)
)))</f>
        <v>0.57209088006881903</v>
      </c>
    </row>
    <row r="4029" spans="1:22" x14ac:dyDescent="0.2">
      <c r="A4029" t="str">
        <f>VLOOKUP(J4029,'dataset mapping'!$A$4:$E$69,2,0)</f>
        <v>heat and power co-generation unit construction, 160kW electrical, components for electricity only</v>
      </c>
      <c r="B4029" s="52">
        <f>(1/(B4017*B4021*B4020*3.6))*B4022</f>
        <v>1.270649883812899E-9</v>
      </c>
      <c r="C4029" t="str">
        <f>VLOOKUP(J4029,'dataset mapping'!$A$4:$E$69,5,0)</f>
        <v>unit</v>
      </c>
      <c r="E4029" t="str">
        <f>VLOOKUP(J4029,'dataset mapping'!$A$4:$E$69,4,0)</f>
        <v>RER</v>
      </c>
      <c r="F4029" t="s">
        <v>86</v>
      </c>
      <c r="G4029" t="str">
        <f>VLOOKUP(J4029,'dataset mapping'!$A$4:$E$69,3,0)</f>
        <v>heat and power co-generation unit, 160kW electrical, components for electricity only</v>
      </c>
      <c r="H4029" t="s">
        <v>88</v>
      </c>
      <c r="J4029" t="s">
        <v>146</v>
      </c>
      <c r="K4029" t="str">
        <f>B3988</f>
        <v>heat, residential, by combustion of hydrogen using CHP, allocated by exergy, transported by pipeline, produced by Electrolysis, Alkaline using water and electricity from Solar PV (IT)</v>
      </c>
      <c r="L4029">
        <f>IF(OR(B4029&lt;0,B4029=0),1,2)</f>
        <v>2</v>
      </c>
      <c r="M4029">
        <f>IF(L4029=2,LN(B4029),"")</f>
        <v>-20.48373734782199</v>
      </c>
      <c r="N4029">
        <v>1.05</v>
      </c>
      <c r="O4029" s="15">
        <v>1.2</v>
      </c>
      <c r="P4029">
        <v>1</v>
      </c>
      <c r="Q4029">
        <v>1.01</v>
      </c>
      <c r="R4029">
        <v>1.2</v>
      </c>
      <c r="S4029">
        <v>1.2</v>
      </c>
      <c r="T4029">
        <v>3</v>
      </c>
      <c r="U4029">
        <f t="shared" si="131"/>
        <v>0.57209088006881903</v>
      </c>
    </row>
    <row r="4030" spans="1:22" x14ac:dyDescent="0.2">
      <c r="A4030" t="str">
        <f>VLOOKUP(J4030,'dataset mapping'!$A$4:$E$69,2,0)</f>
        <v>heat and power co-generation unit construction, 160kW electrical, components for heat only</v>
      </c>
      <c r="B4030" s="52">
        <f>(1/(B4017*B4021*B4020*3.6))*B4022</f>
        <v>1.270649883812899E-9</v>
      </c>
      <c r="C4030" t="str">
        <f>VLOOKUP(J4030,'dataset mapping'!$A$4:$E$69,5,0)</f>
        <v>unit</v>
      </c>
      <c r="E4030" t="str">
        <f>VLOOKUP(J4030,'dataset mapping'!$A$4:$E$69,4,0)</f>
        <v>RER</v>
      </c>
      <c r="F4030" t="s">
        <v>86</v>
      </c>
      <c r="G4030" t="str">
        <f>VLOOKUP(J4030,'dataset mapping'!$A$4:$E$69,3,0)</f>
        <v>heat and power co-generation unit, 160kW electrical, components for heat only</v>
      </c>
      <c r="H4030" t="s">
        <v>88</v>
      </c>
      <c r="J4030" t="s">
        <v>147</v>
      </c>
      <c r="K4030" t="str">
        <f>B3988</f>
        <v>heat, residential, by combustion of hydrogen using CHP, allocated by exergy, transported by pipeline, produced by Electrolysis, Alkaline using water and electricity from Solar PV (IT)</v>
      </c>
      <c r="L4030">
        <f>IF(OR(B4030&lt;0,B4030=0),1,2)</f>
        <v>2</v>
      </c>
      <c r="M4030">
        <f>IF(L4030=2,LN(B4030),"")</f>
        <v>-20.48373734782199</v>
      </c>
      <c r="N4030">
        <v>1.05</v>
      </c>
      <c r="O4030" s="15">
        <v>1.2</v>
      </c>
      <c r="P4030">
        <v>1</v>
      </c>
      <c r="Q4030">
        <v>1.01</v>
      </c>
      <c r="R4030">
        <v>1.2</v>
      </c>
      <c r="S4030">
        <v>1.2</v>
      </c>
      <c r="T4030">
        <v>3</v>
      </c>
      <c r="U4030">
        <f t="shared" si="131"/>
        <v>0.57209088006881903</v>
      </c>
    </row>
    <row r="4031" spans="1:22" x14ac:dyDescent="0.2">
      <c r="A4031" t="s">
        <v>156</v>
      </c>
      <c r="B4031" s="52">
        <f>0.00000011366*B4022</f>
        <v>1.461672399554354E-8</v>
      </c>
      <c r="C4031" t="s">
        <v>56</v>
      </c>
      <c r="E4031" t="s">
        <v>90</v>
      </c>
      <c r="F4031" t="s">
        <v>86</v>
      </c>
      <c r="G4031" t="s">
        <v>154</v>
      </c>
      <c r="H4031" t="s">
        <v>155</v>
      </c>
      <c r="K4031" t="str">
        <f>B3988</f>
        <v>heat, residential, by combustion of hydrogen using CHP, allocated by exergy, transported by pipeline, produced by Electrolysis, Alkaline using water and electricity from Solar PV (IT)</v>
      </c>
      <c r="L4031">
        <f>IF(OR(B4031&lt;0,B4031=0),1,2)</f>
        <v>2</v>
      </c>
      <c r="M4031">
        <f>IF(L4031=2,LN(B4031),"")</f>
        <v>-18.041099484645969</v>
      </c>
      <c r="N4031">
        <v>1.05</v>
      </c>
      <c r="O4031" s="15">
        <v>1.2</v>
      </c>
      <c r="P4031">
        <v>1</v>
      </c>
      <c r="Q4031">
        <v>1.01</v>
      </c>
      <c r="R4031">
        <v>1.2</v>
      </c>
      <c r="S4031">
        <v>1.2</v>
      </c>
      <c r="T4031">
        <v>1.05</v>
      </c>
      <c r="U4031">
        <f t="shared" si="131"/>
        <v>0.16169679924070957</v>
      </c>
    </row>
    <row r="4032" spans="1:22" x14ac:dyDescent="0.2">
      <c r="A4032" t="s">
        <v>157</v>
      </c>
      <c r="B4032" s="52">
        <f>0.00000011366*B4022*-1</f>
        <v>-1.461672399554354E-8</v>
      </c>
      <c r="C4032" t="s">
        <v>56</v>
      </c>
      <c r="E4032" t="s">
        <v>64</v>
      </c>
      <c r="F4032" t="s">
        <v>86</v>
      </c>
      <c r="G4032" t="s">
        <v>158</v>
      </c>
      <c r="H4032" t="s">
        <v>155</v>
      </c>
      <c r="K4032" t="str">
        <f>B3988</f>
        <v>heat, residential, by combustion of hydrogen using CHP, allocated by exergy, transported by pipeline, produced by Electrolysis, Alkaline using water and electricity from Solar PV (IT)</v>
      </c>
      <c r="L4032">
        <v>2</v>
      </c>
      <c r="M4032">
        <f>IF(L4032=2,LN(B4032*-1),"")</f>
        <v>-18.041099484645969</v>
      </c>
      <c r="N4032">
        <v>1.05</v>
      </c>
      <c r="O4032" s="15">
        <v>1.2</v>
      </c>
      <c r="P4032">
        <v>1</v>
      </c>
      <c r="Q4032">
        <v>1.01</v>
      </c>
      <c r="R4032">
        <v>1.2</v>
      </c>
      <c r="S4032">
        <v>1.2</v>
      </c>
      <c r="T4032">
        <v>3</v>
      </c>
      <c r="U4032">
        <f t="shared" si="131"/>
        <v>0.57209088006881903</v>
      </c>
      <c r="V4032" t="b">
        <v>1</v>
      </c>
    </row>
    <row r="4033" spans="1:21" x14ac:dyDescent="0.2">
      <c r="A4033" s="45" t="str">
        <f>"hydrogen supply, transported by "&amp;B4002&amp;", produced by "&amp;B4006&amp;" using "&amp;B4007&amp;" from "&amp;B4008</f>
        <v>hydrogen supply, transported by pipeline, produced by Electrolysis, Alkaline using water and electricity from Solar PV (IT)</v>
      </c>
      <c r="B4033" s="53">
        <f>(B4027/B4011)/B4010*B4022</f>
        <v>2.56995248347223E-3</v>
      </c>
      <c r="C4033" t="s">
        <v>56</v>
      </c>
      <c r="E4033" t="s">
        <v>64</v>
      </c>
      <c r="F4033" t="s">
        <v>86</v>
      </c>
      <c r="G4033" t="str">
        <f>"hydrogen, gaseous, from "&amp;B4002</f>
        <v>hydrogen, gaseous, from pipeline</v>
      </c>
      <c r="H4033" t="s">
        <v>76</v>
      </c>
      <c r="I4033" t="s">
        <v>1054</v>
      </c>
      <c r="J4033" t="s">
        <v>636</v>
      </c>
      <c r="K4033" t="str">
        <f>B3988</f>
        <v>heat, residential, by combustion of hydrogen using CHP, allocated by exergy, transported by pipeline, produced by Electrolysis, Alkaline using water and electricity from Solar PV (IT)</v>
      </c>
      <c r="L4033">
        <f>IF(OR(B4033&lt;0,B4033=0),1,2)</f>
        <v>2</v>
      </c>
      <c r="M4033">
        <f>IF(L4033=2,LN(B4033),"")</f>
        <v>-5.9638678691672418</v>
      </c>
      <c r="N4033">
        <v>1.05</v>
      </c>
      <c r="O4033" s="15">
        <v>1.2</v>
      </c>
      <c r="P4033">
        <v>1</v>
      </c>
      <c r="Q4033">
        <v>1.01</v>
      </c>
      <c r="R4033">
        <v>1.2</v>
      </c>
      <c r="S4033">
        <v>1.2</v>
      </c>
      <c r="T4033">
        <v>1.05</v>
      </c>
      <c r="U4033">
        <f t="shared" si="131"/>
        <v>0.16169679924070957</v>
      </c>
    </row>
    <row r="4034" spans="1:21" x14ac:dyDescent="0.2">
      <c r="A4034" t="s">
        <v>134</v>
      </c>
      <c r="B4034" s="45">
        <f>B4033*9</f>
        <v>2.3129572351250072E-2</v>
      </c>
      <c r="C4034" t="s">
        <v>56</v>
      </c>
      <c r="D4034" t="s">
        <v>100</v>
      </c>
      <c r="F4034" t="s">
        <v>99</v>
      </c>
      <c r="H4034" t="s">
        <v>131</v>
      </c>
      <c r="I4034" t="s">
        <v>1058</v>
      </c>
      <c r="K4034" t="str">
        <f>B3988</f>
        <v>heat, residential, by combustion of hydrogen using CHP, allocated by exergy, transported by pipeline, produced by Electrolysis, Alkaline using water and electricity from Solar PV (IT)</v>
      </c>
      <c r="L4034">
        <f>IF(OR(B4034&lt;0,B4034=0),1,2)</f>
        <v>2</v>
      </c>
      <c r="M4034">
        <f>IF(L4034=2,LN(B4034),"")</f>
        <v>-3.7666432918310226</v>
      </c>
      <c r="N4034">
        <v>1.05</v>
      </c>
      <c r="O4034" s="15">
        <v>1.2</v>
      </c>
      <c r="P4034">
        <v>1</v>
      </c>
      <c r="Q4034">
        <v>1.01</v>
      </c>
      <c r="R4034">
        <v>1.2</v>
      </c>
      <c r="S4034">
        <v>1.2</v>
      </c>
      <c r="T4034">
        <v>1.05</v>
      </c>
      <c r="U4034">
        <f t="shared" si="131"/>
        <v>0.16169679924070957</v>
      </c>
    </row>
    <row r="4035" spans="1:21" x14ac:dyDescent="0.2">
      <c r="A4035" t="s">
        <v>135</v>
      </c>
      <c r="B4035" s="45">
        <f>912.5/1000000*B4033</f>
        <v>2.3450816411684101E-6</v>
      </c>
      <c r="C4035" t="s">
        <v>56</v>
      </c>
      <c r="D4035" t="s">
        <v>100</v>
      </c>
      <c r="F4035" t="s">
        <v>99</v>
      </c>
      <c r="H4035" t="s">
        <v>131</v>
      </c>
      <c r="I4035" t="s">
        <v>1217</v>
      </c>
      <c r="K4035" t="str">
        <f>B3988</f>
        <v>heat, residential, by combustion of hydrogen using CHP, allocated by exergy, transported by pipeline, produced by Electrolysis, Alkaline using water and electricity from Solar PV (IT)</v>
      </c>
      <c r="L4035">
        <f>IF(OR(B4035&lt;0,B4035=0),1,2)</f>
        <v>2</v>
      </c>
      <c r="M4035">
        <f>IF(L4035=2,LN(B4035),"")</f>
        <v>-12.963190341674869</v>
      </c>
      <c r="N4035">
        <v>1.05</v>
      </c>
      <c r="O4035" s="15">
        <v>1.2</v>
      </c>
      <c r="P4035">
        <v>1</v>
      </c>
      <c r="Q4035">
        <v>1.01</v>
      </c>
      <c r="R4035">
        <v>1.2</v>
      </c>
      <c r="S4035">
        <v>1.2</v>
      </c>
      <c r="T4035">
        <v>1.5</v>
      </c>
      <c r="U4035">
        <f t="shared" si="131"/>
        <v>0.25816898211842121</v>
      </c>
    </row>
    <row r="4037" spans="1:21" x14ac:dyDescent="0.2">
      <c r="A4037" s="2" t="s">
        <v>50</v>
      </c>
      <c r="B4037" s="44" t="str">
        <f>IF(B4043="megajoule","heat","electricity")&amp;", residential, by "&amp;B4048&amp;" of "&amp;B4047&amp;" using "&amp;B4049&amp;IF(B4050&lt;&gt;0,", allocated by "&amp;B4050,"")&amp;", transported by "&amp;B4051&amp;", produced by "&amp;B4055&amp;" using "&amp;B4056&amp;" from "&amp;B4057</f>
        <v>heat, residential, by conversion of hydrogen using fuel cell, PEM, allocated by exergy, transported by pipeline, produced by Electrolysis, Alkaline using water and electricity from Solar PV (IT)</v>
      </c>
    </row>
    <row r="4038" spans="1:21" x14ac:dyDescent="0.2">
      <c r="A4038" t="s">
        <v>51</v>
      </c>
      <c r="B4038" s="45" t="str">
        <f>"This dataset represents the supply of 1 "&amp;IF(B4043="megajoule","megajoule of heat","kilowatt hour of electricity")&amp;" in a residence, by "&amp;B4047&amp;" "&amp;B4048&amp;" in a "&amp;B4049&amp;". "&amp;" The hydrogen is transported by "&amp;B4051&amp;" over "&amp;B4052&amp;" km from regional storage. "&amp;" The "&amp;B4047&amp;" is produced by  "&amp;B4055&amp;", with "&amp;B4056&amp;" from "&amp;B4057&amp;" as feedstock. "&amp;A4059&amp;": "&amp;(B4059*100)&amp;"%. "&amp;A4060&amp;": "&amp;B4060&amp;". "&amp;A4061&amp;": "&amp;B4061&amp;". "&amp;A4062&amp;": "&amp;(B4062*100)&amp;"%. "&amp;A4063&amp;": "&amp;(B4063*100)&amp;"%. "&amp;A4064&amp;": "&amp;(B4064*100)&amp;"%. "&amp;A4065&amp;": "&amp;B4065&amp;". "&amp;A4066&amp;": "&amp;B4066&amp;". "&amp;A4067&amp;": "&amp;(B4067*100)&amp;"%. "&amp;A4068&amp;": "&amp;B4068&amp;". "&amp;A4069&amp;": "&amp;B4069&amp;". "&amp;A4070&amp;": "&amp;B4070&amp;". "&amp;A4071&amp;": "&amp;B4071&amp;".  For more information, refer to: "&amp;B4039</f>
        <v>This dataset represents the supply of 1 megajoule of heat in a residence, by hydrogen conversion in a fuel cell, PEM.  The hydrogen is transported by pipeline over 1700 km from regional storage.  The hydrogen is produced by  Electrolysis, Alkaline,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4039" spans="1:21" x14ac:dyDescent="0.2">
      <c r="A4039" t="s">
        <v>63</v>
      </c>
      <c r="B4039" s="45" t="s">
        <v>1223</v>
      </c>
    </row>
    <row r="4040" spans="1:21" x14ac:dyDescent="0.2">
      <c r="A4040" t="s">
        <v>52</v>
      </c>
      <c r="B4040" s="45" t="s">
        <v>64</v>
      </c>
    </row>
    <row r="4041" spans="1:21" x14ac:dyDescent="0.2">
      <c r="A4041" t="s">
        <v>48</v>
      </c>
      <c r="B4041" s="45">
        <v>51</v>
      </c>
    </row>
    <row r="4042" spans="1:21" x14ac:dyDescent="0.2">
      <c r="A4042" t="s">
        <v>54</v>
      </c>
      <c r="B4042" s="45" t="str">
        <f>INDEX(overview!$B$4:$R$338,MATCH('hydrogen - electrolysis'!B4041,overview!$A$4:$A$338,0),MATCH('hydrogen - electrolysis'!A4042,overview!$B$3:$R$3,0))</f>
        <v>heat, from residential heating system</v>
      </c>
    </row>
    <row r="4043" spans="1:21" x14ac:dyDescent="0.2">
      <c r="A4043" t="s">
        <v>55</v>
      </c>
      <c r="B4043" s="45" t="str">
        <f>INDEX(overview!$B$4:$R$338,MATCH('hydrogen - electrolysis'!B4041,overview!$A$4:$A$338,0),MATCH('hydrogen - electrolysis'!A4043,overview!$B$3:$R$3,0))</f>
        <v>megajoule</v>
      </c>
    </row>
    <row r="4044" spans="1:21" x14ac:dyDescent="0.2">
      <c r="A4044" t="s">
        <v>0</v>
      </c>
      <c r="B4044" s="45" t="str">
        <f>INDEX(overview!$B$4:$R$338,MATCH('hydrogen - electrolysis'!B4041,overview!$A$4:$A$338,0),MATCH('hydrogen - electrolysis'!A4044,overview!$B$3:$R$3,0))</f>
        <v>Switzerland</v>
      </c>
    </row>
    <row r="4045" spans="1:21" x14ac:dyDescent="0.2">
      <c r="A4045" t="s">
        <v>1</v>
      </c>
      <c r="B4045" s="45">
        <f>INDEX(overview!$B$4:$R$338,MATCH('hydrogen - electrolysis'!B4041,overview!$A$4:$A$338,0),MATCH('hydrogen - electrolysis'!A4045,overview!$B$3:$R$3,0))</f>
        <v>2020</v>
      </c>
    </row>
    <row r="4046" spans="1:21" x14ac:dyDescent="0.2">
      <c r="A4046" t="s">
        <v>2</v>
      </c>
      <c r="B4046" s="45" t="str">
        <f>INDEX(overview!$B$4:$R$338,MATCH('hydrogen - electrolysis'!B4041,overview!$A$4:$A$338,0),MATCH('hydrogen - electrolysis'!A4046,overview!$B$3:$R$3,0))</f>
        <v>1 MJ heat</v>
      </c>
    </row>
    <row r="4047" spans="1:21" x14ac:dyDescent="0.2">
      <c r="A4047" t="s">
        <v>5</v>
      </c>
      <c r="B4047" s="45" t="str">
        <f>INDEX(overview!$B$4:$R$338,MATCH('hydrogen - electrolysis'!B4041,overview!$A$4:$A$338,0),MATCH('hydrogen - electrolysis'!A4047,overview!$B$3:$R$3,0))</f>
        <v>hydrogen</v>
      </c>
    </row>
    <row r="4048" spans="1:21" x14ac:dyDescent="0.2">
      <c r="A4048" t="s">
        <v>3</v>
      </c>
      <c r="B4048" s="45" t="str">
        <f>INDEX(overview!$B$4:$R$338,MATCH('hydrogen - electrolysis'!B4041,overview!$A$4:$A$338,0),MATCH('hydrogen - electrolysis'!A4048,overview!$B$3:$R$3,0))</f>
        <v>conversion</v>
      </c>
    </row>
    <row r="4049" spans="1:2" x14ac:dyDescent="0.2">
      <c r="A4049" t="s">
        <v>6</v>
      </c>
      <c r="B4049" s="45" t="str">
        <f>INDEX(overview!$B$4:$R$338,MATCH('hydrogen - electrolysis'!B4041,overview!$A$4:$A$338,0),MATCH('hydrogen - electrolysis'!A4049,overview!$B$3:$R$3,0))</f>
        <v>fuel cell, PEM</v>
      </c>
    </row>
    <row r="4050" spans="1:2" x14ac:dyDescent="0.2">
      <c r="A4050" t="s">
        <v>39</v>
      </c>
      <c r="B4050" s="45" t="str">
        <f>INDEX(overview!$B$4:$R$338,MATCH('hydrogen - electrolysis'!B4041,overview!$A$4:$A$338,0),MATCH('hydrogen - electrolysis'!A4050,overview!$B$3:$R$3,0))</f>
        <v>exergy</v>
      </c>
    </row>
    <row r="4051" spans="1:2" x14ac:dyDescent="0.2">
      <c r="A4051" t="s">
        <v>4</v>
      </c>
      <c r="B4051" s="45" t="str">
        <f>INDEX(overview!$B$4:$R$338,MATCH('hydrogen - electrolysis'!B4041,overview!$A$4:$A$338,0),MATCH('hydrogen - electrolysis'!A4051,overview!$B$3:$R$3,0))</f>
        <v>pipeline</v>
      </c>
    </row>
    <row r="4052" spans="1:2" x14ac:dyDescent="0.2">
      <c r="A4052" t="s">
        <v>38</v>
      </c>
      <c r="B4052" s="45">
        <f>INDEX(overview!$B$4:$R$338,MATCH('hydrogen - electrolysis'!B4041,overview!$A$4:$A$338,0),MATCH('hydrogen - electrolysis'!A4052,overview!$B$3:$R$3,0))</f>
        <v>1700</v>
      </c>
    </row>
    <row r="4053" spans="1:2" x14ac:dyDescent="0.2">
      <c r="A4053" t="s">
        <v>12</v>
      </c>
      <c r="B4053" s="45" t="str">
        <f>INDEX(overview!$B$4:$R$338,MATCH('hydrogen - electrolysis'!B4041,overview!$A$4:$A$338,0),MATCH('hydrogen - electrolysis'!A4053,overview!$B$3:$R$3,0))</f>
        <v>Pressure vessel for stationary storage</v>
      </c>
    </row>
    <row r="4054" spans="1:2" x14ac:dyDescent="0.2">
      <c r="A4054" t="s">
        <v>34</v>
      </c>
      <c r="B4054" s="45">
        <f>INDEX(overview!$B$4:$R$338,MATCH('hydrogen - electrolysis'!B4041,overview!$A$4:$A$338,0),MATCH('hydrogen - electrolysis'!A4054,overview!$B$3:$R$3,0))</f>
        <v>0</v>
      </c>
    </row>
    <row r="4055" spans="1:2" x14ac:dyDescent="0.2">
      <c r="A4055" t="s">
        <v>15</v>
      </c>
      <c r="B4055" s="45" t="str">
        <f>INDEX(overview!$B$4:$R$338,MATCH('hydrogen - electrolysis'!B4041,overview!$A$4:$A$338,0),MATCH('hydrogen - electrolysis'!A4055,overview!$B$3:$R$3,0))</f>
        <v>Electrolysis, Alkaline</v>
      </c>
    </row>
    <row r="4056" spans="1:2" x14ac:dyDescent="0.2">
      <c r="A4056" t="s">
        <v>14</v>
      </c>
      <c r="B4056" s="45" t="str">
        <f>INDEX(overview!$B$4:$R$338,MATCH('hydrogen - electrolysis'!B4041,overview!$A$4:$A$338,0),MATCH('hydrogen - electrolysis'!A4056,overview!$B$3:$R$3,0))</f>
        <v>water and electricity</v>
      </c>
    </row>
    <row r="4057" spans="1:2" x14ac:dyDescent="0.2">
      <c r="A4057" t="s">
        <v>26</v>
      </c>
      <c r="B4057" s="45" t="str">
        <f>INDEX(overview!$B$4:$R$338,MATCH('hydrogen - electrolysis'!B4041,overview!$A$4:$A$338,0),MATCH('hydrogen - electrolysis'!A4057,overview!$B$3:$R$3,0))</f>
        <v>Solar PV (IT)</v>
      </c>
    </row>
    <row r="4058" spans="1:2" x14ac:dyDescent="0.2">
      <c r="A4058" t="s">
        <v>29</v>
      </c>
      <c r="B4058" s="45">
        <f>INDEX(overview!$B$4:$R$338,MATCH('hydrogen - electrolysis'!B4041,overview!$A$4:$A$338,0),MATCH('hydrogen - electrolysis'!A4058,overview!$B$3:$R$3,0))</f>
        <v>0</v>
      </c>
    </row>
    <row r="4059" spans="1:2" x14ac:dyDescent="0.2">
      <c r="A4059" t="str">
        <f>IF(B4043="megajoule","Heat","Electricity")&amp;" conversion efficiency [% LHV input]"</f>
        <v>Heat conversion efficiency [% LHV input]</v>
      </c>
      <c r="B4059" s="46">
        <f>INDEX(parameters!$D$4:$N$20,MATCH('hydrogen - electrolysis'!B4047&amp;'hydrogen - electrolysis'!B4049,parameters!$A$4:$A$20,0),MATCH('hydrogen - electrolysis'!A4059,parameters!$D$3:$N$3,0))</f>
        <v>0.5</v>
      </c>
    </row>
    <row r="4060" spans="1:2" x14ac:dyDescent="0.2">
      <c r="A4060" t="str">
        <f>IF(B4043="megajoule","LHV [MJ/kg]","LHV [kWh/kg]")</f>
        <v>LHV [MJ/kg]</v>
      </c>
      <c r="B4060" s="47">
        <f>INDEX(parameters!$D$4:$N$20,MATCH('hydrogen - electrolysis'!B4047&amp;'hydrogen - electrolysis'!B4049,parameters!$A$4:$A$20,0),MATCH('hydrogen - electrolysis'!A4060,parameters!$D$3:$N$3,0))</f>
        <v>120</v>
      </c>
    </row>
    <row r="4061" spans="1:2" x14ac:dyDescent="0.2">
      <c r="A4061" t="s">
        <v>41</v>
      </c>
      <c r="B4061" s="48">
        <f>INDEX(parameters!$D$4:$N$20,MATCH('hydrogen - electrolysis'!B4047&amp;'hydrogen - electrolysis'!B4049,parameters!$A$4:$A$20,0),MATCH('hydrogen - electrolysis'!A4061,parameters!$D$3:$N$3,0))</f>
        <v>2.6666666666666665E-2</v>
      </c>
    </row>
    <row r="4062" spans="1:2" x14ac:dyDescent="0.2">
      <c r="A4062" t="s">
        <v>45</v>
      </c>
      <c r="B4062" s="46">
        <f>INDEX(parameters!$D$4:$N$20,MATCH('hydrogen - electrolysis'!B4047&amp;'hydrogen - electrolysis'!B4049,parameters!$A$4:$A$20,0),MATCH('hydrogen - electrolysis'!A4062,parameters!$D$3:$N$3,0))</f>
        <v>0</v>
      </c>
    </row>
    <row r="4063" spans="1:2" x14ac:dyDescent="0.2">
      <c r="A4063" t="s">
        <v>46</v>
      </c>
      <c r="B4063" s="46">
        <f>INDEX(parameters!$D$4:$N$20,MATCH('hydrogen - electrolysis'!B4047&amp;'hydrogen - electrolysis'!B4049,parameters!$A$4:$A$20,0),MATCH('hydrogen - electrolysis'!A4063,parameters!$D$3:$N$3,0))</f>
        <v>1.4999999999999999E-2</v>
      </c>
    </row>
    <row r="4064" spans="1:2" x14ac:dyDescent="0.2">
      <c r="A4064" t="s">
        <v>43</v>
      </c>
      <c r="B4064" s="46">
        <f>INDEX(parameters!$D$4:$N$20,MATCH('hydrogen - electrolysis'!B4047&amp;'hydrogen - electrolysis'!B4049,parameters!$A$4:$A$20,0),MATCH('hydrogen - electrolysis'!A4064,parameters!$D$3:$N$3,0))</f>
        <v>0</v>
      </c>
    </row>
    <row r="4065" spans="1:22" x14ac:dyDescent="0.2">
      <c r="A4065" t="s">
        <v>44</v>
      </c>
      <c r="B4065" s="46">
        <f>INDEX(parameters!$D$4:$N$20,MATCH('hydrogen - electrolysis'!B4047&amp;'hydrogen - electrolysis'!B4049,parameters!$A$4:$A$20,0),MATCH('hydrogen - electrolysis'!A4065,parameters!$D$3:$N$3,0))</f>
        <v>0</v>
      </c>
    </row>
    <row r="4066" spans="1:22" x14ac:dyDescent="0.2">
      <c r="A4066" t="s">
        <v>634</v>
      </c>
      <c r="B4066" s="51">
        <f>INDEX(parameters!$D$4:$Y$20,MATCH('hydrogen - electrolysis'!B4047&amp;'hydrogen - electrolysis'!B4049,parameters!$A$4:$A$20,0),MATCH('hydrogen - electrolysis'!A4066,parameters!$D$3:$Y$3,0))</f>
        <v>1.8947368421052633</v>
      </c>
    </row>
    <row r="4067" spans="1:22" x14ac:dyDescent="0.2">
      <c r="A4067" t="s">
        <v>82</v>
      </c>
      <c r="B4067" s="46">
        <f>IF(B4058&lt;&gt;0,VLOOKUP(B4058,parameters!A2615:B2617,2,0),0)</f>
        <v>0</v>
      </c>
    </row>
    <row r="4068" spans="1:22" x14ac:dyDescent="0.2">
      <c r="A4068" t="s">
        <v>548</v>
      </c>
      <c r="B4068" s="50">
        <f>INDEX(parameters!$D$4:$P$20,MATCH(B4047&amp;B4049,parameters!$A$4:$A$20,0),MATCH(A4068,parameters!$D$3:$P$3,0))</f>
        <v>0.8</v>
      </c>
    </row>
    <row r="4069" spans="1:22" x14ac:dyDescent="0.2">
      <c r="A4069" t="s">
        <v>547</v>
      </c>
      <c r="B4069" s="51">
        <f>INDEX(parameters!$D$4:$P$20,MATCH(B4047&amp;B4049,parameters!$A$4:$A$20,0),MATCH(A4069,parameters!$D$3:$P$3,0))</f>
        <v>4.8780487804878048</v>
      </c>
    </row>
    <row r="4070" spans="1:22" x14ac:dyDescent="0.2">
      <c r="A4070" t="s">
        <v>630</v>
      </c>
      <c r="B4070" s="51">
        <f>INDEX(parameters!$D$4:$T$20,MATCH(B4047&amp;B4049,parameters!$A$4:$A$20,0),MATCH(A4070,parameters!$D$3:$T$3,0))</f>
        <v>4100</v>
      </c>
    </row>
    <row r="4071" spans="1:22" x14ac:dyDescent="0.2">
      <c r="A4071" t="s">
        <v>1005</v>
      </c>
      <c r="B4071" s="50">
        <f>IF(B4043="megajoule",SUMIFS(allocation!$I$4:$I$30,allocation!$B$4:$B$30,B4049,allocation!$C$4:$C$30,B4050),SUMIFS(allocation!$J$4:$J$30,allocation!$B$4:$B$30,B4049,allocation!$C$4:$C$30,B4050))</f>
        <v>0.13933980798974457</v>
      </c>
    </row>
    <row r="4072" spans="1:22" x14ac:dyDescent="0.2">
      <c r="A4072" t="s">
        <v>1050</v>
      </c>
      <c r="B4072" s="51">
        <f>INDEX(parameters!$D$4:$AB$20,MATCH(B4047&amp;B4049,parameters!$A$4:$A$20,0),MATCH(A4072,parameters!$D$3:$AB$3,0))</f>
        <v>10.221606648199446</v>
      </c>
    </row>
    <row r="4074" spans="1:22" x14ac:dyDescent="0.2">
      <c r="A4074" s="3" t="s">
        <v>57</v>
      </c>
    </row>
    <row r="4075" spans="1:22" x14ac:dyDescent="0.2">
      <c r="A4075" s="2" t="s">
        <v>58</v>
      </c>
      <c r="B4075" s="44" t="s">
        <v>59</v>
      </c>
      <c r="C4075" s="2" t="s">
        <v>55</v>
      </c>
      <c r="D4075" s="2" t="s">
        <v>60</v>
      </c>
      <c r="E4075" s="2" t="s">
        <v>52</v>
      </c>
      <c r="F4075" s="2" t="s">
        <v>61</v>
      </c>
      <c r="G4075" s="2" t="s">
        <v>54</v>
      </c>
      <c r="H4075" s="2" t="s">
        <v>87</v>
      </c>
      <c r="I4075" s="2" t="s">
        <v>51</v>
      </c>
      <c r="J4075" s="2" t="s">
        <v>138</v>
      </c>
      <c r="K4075" s="2" t="s">
        <v>136</v>
      </c>
      <c r="L4075" s="2" t="s">
        <v>221</v>
      </c>
      <c r="M4075" s="2" t="s">
        <v>379</v>
      </c>
      <c r="N4075" s="2" t="s">
        <v>1059</v>
      </c>
      <c r="O4075" s="2" t="s">
        <v>1060</v>
      </c>
      <c r="P4075" s="2" t="s">
        <v>1061</v>
      </c>
      <c r="Q4075" s="2" t="s">
        <v>1062</v>
      </c>
      <c r="R4075" s="2" t="s">
        <v>1063</v>
      </c>
      <c r="S4075" s="2" t="s">
        <v>1064</v>
      </c>
      <c r="T4075" s="2" t="s">
        <v>1065</v>
      </c>
      <c r="U4075" s="2" t="s">
        <v>380</v>
      </c>
      <c r="V4075" s="2" t="s">
        <v>1128</v>
      </c>
    </row>
    <row r="4076" spans="1:22" x14ac:dyDescent="0.2">
      <c r="A4076" t="str">
        <f>B4037</f>
        <v>heat, residential, by conversion of hydrogen using fuel cell, PEM, allocated by exergy, transported by pipeline, produced by Electrolysis, Alkaline using water and electricity from Solar PV (IT)</v>
      </c>
      <c r="B4076" s="45">
        <v>1</v>
      </c>
      <c r="C4076" t="str">
        <f>B4043</f>
        <v>megajoule</v>
      </c>
      <c r="E4076" t="str">
        <f>B4040</f>
        <v>CH</v>
      </c>
      <c r="F4076" t="s">
        <v>62</v>
      </c>
      <c r="G4076" t="str">
        <f>B4042</f>
        <v>heat, from residential heating system</v>
      </c>
      <c r="K4076" t="str">
        <f>B4037</f>
        <v>heat, residential, by conversion of hydrogen using fuel cell, PEM, allocated by exergy, transported by pipeline, produced by Electrolysis, Alkaline using water and electricity from Solar PV (IT)</v>
      </c>
    </row>
    <row r="4077" spans="1:22" x14ac:dyDescent="0.2">
      <c r="A4077" t="str">
        <f>VLOOKUP(J4077,'dataset mapping'!$A$4:$E$69,2,0)</f>
        <v>fuel cell system assembly, 1 kWe, proton exchange membrane (PEM)</v>
      </c>
      <c r="B4077" s="52">
        <f>(1/(B4066*B4070*B4069*3.6))*B4071</f>
        <v>1.0213951974556892E-6</v>
      </c>
      <c r="C4077" t="str">
        <f>VLOOKUP(J4077,'dataset mapping'!$A$4:$E$69,5,0)</f>
        <v>unit</v>
      </c>
      <c r="E4077" t="str">
        <f>VLOOKUP(J4077,'dataset mapping'!$A$4:$E$69,4,0)</f>
        <v>GLO</v>
      </c>
      <c r="F4077" t="s">
        <v>86</v>
      </c>
      <c r="G4077" t="str">
        <f>VLOOKUP(J4077,'dataset mapping'!$A$4:$E$69,3,0)</f>
        <v>fuel cell system, 1 kWe, proton exchange membrane (PEM)</v>
      </c>
      <c r="H4077" t="s">
        <v>88</v>
      </c>
      <c r="I4077" t="s">
        <v>272</v>
      </c>
      <c r="J4077" t="s">
        <v>273</v>
      </c>
      <c r="K4077" t="str">
        <f>B4037</f>
        <v>heat, residential, by conversion of hydrogen using fuel cell, PEM, allocated by exergy, transported by pipeline, produced by Electrolysis, Alkaline using water and electricity from Solar PV (IT)</v>
      </c>
      <c r="L4077">
        <f>IF(OR(B4077&lt;0,B4077=0),1,2)</f>
        <v>2</v>
      </c>
      <c r="M4077">
        <f>IF(L4077=2,LN(B4077),"")</f>
        <v>-13.794341024667077</v>
      </c>
      <c r="N4077">
        <v>1</v>
      </c>
      <c r="O4077" s="15">
        <v>1.2</v>
      </c>
      <c r="P4077">
        <v>1</v>
      </c>
      <c r="Q4077">
        <v>1.01</v>
      </c>
      <c r="R4077">
        <v>1.2</v>
      </c>
      <c r="S4077">
        <v>1.2</v>
      </c>
      <c r="T4077">
        <v>3</v>
      </c>
      <c r="U4077">
        <f>LN(SQRT(EXP(
SQRT(
+POWER(LN(N4077),2)
+POWER(LN(O4077),2)
+POWER(LN(P4077),2)
+POWER(LN(Q4077),2)
+POWER(LN(R4077),2)
+POWER(LN(S4077),2)
+POWER(LN(T4077),2)
)
)))</f>
        <v>0.57157051623399524</v>
      </c>
    </row>
    <row r="4078" spans="1:22" x14ac:dyDescent="0.2">
      <c r="A4078" s="45" t="str">
        <f>"hydrogen supply, transported by "&amp;B4051&amp;", produced by "&amp;B4055&amp;" using "&amp;B4056&amp;" from "&amp;B4057</f>
        <v>hydrogen supply, transported by pipeline, produced by Electrolysis, Alkaline using water and electricity from Solar PV (IT)</v>
      </c>
      <c r="B4078" s="53">
        <f>(B4076/B4060)/B4059*B4071</f>
        <v>2.3223301331624095E-3</v>
      </c>
      <c r="C4078" t="s">
        <v>56</v>
      </c>
      <c r="E4078" t="s">
        <v>64</v>
      </c>
      <c r="F4078" t="s">
        <v>86</v>
      </c>
      <c r="G4078" t="str">
        <f>"hydrogen, gaseous, from "&amp;B4051</f>
        <v>hydrogen, gaseous, from pipeline</v>
      </c>
      <c r="H4078" t="s">
        <v>76</v>
      </c>
      <c r="I4078" t="s">
        <v>1054</v>
      </c>
      <c r="J4078" t="s">
        <v>636</v>
      </c>
      <c r="K4078" t="str">
        <f>B4037</f>
        <v>heat, residential, by conversion of hydrogen using fuel cell, PEM, allocated by exergy, transported by pipeline, produced by Electrolysis, Alkaline using water and electricity from Solar PV (IT)</v>
      </c>
      <c r="L4078">
        <f>IF(OR(B4078&lt;0,B4078=0),1,2)</f>
        <v>2</v>
      </c>
      <c r="M4078">
        <f>IF(L4078=2,LN(B4078),"")</f>
        <v>-6.0651842296013152</v>
      </c>
      <c r="N4078">
        <v>1</v>
      </c>
      <c r="O4078" s="15">
        <v>1.2</v>
      </c>
      <c r="P4078">
        <v>1</v>
      </c>
      <c r="Q4078">
        <v>1.01</v>
      </c>
      <c r="R4078">
        <v>1.2</v>
      </c>
      <c r="S4078">
        <v>1.2</v>
      </c>
      <c r="T4078">
        <v>1.05</v>
      </c>
      <c r="U4078">
        <f>LN(SQRT(EXP(
SQRT(
+POWER(LN(N4078),2)
+POWER(LN(O4078),2)
+POWER(LN(P4078),2)
+POWER(LN(Q4078),2)
+POWER(LN(R4078),2)
+POWER(LN(S4078),2)
+POWER(LN(T4078),2)
)
)))</f>
        <v>0.15984597228197622</v>
      </c>
    </row>
    <row r="4079" spans="1:22" x14ac:dyDescent="0.2">
      <c r="A4079" t="s">
        <v>134</v>
      </c>
      <c r="B4079" s="53">
        <f>B4078*9</f>
        <v>2.0900971198461685E-2</v>
      </c>
      <c r="C4079" t="s">
        <v>56</v>
      </c>
      <c r="D4079" t="s">
        <v>100</v>
      </c>
      <c r="F4079" t="s">
        <v>99</v>
      </c>
      <c r="H4079" t="s">
        <v>131</v>
      </c>
      <c r="I4079" t="s">
        <v>1057</v>
      </c>
      <c r="K4079" t="str">
        <f>B4037</f>
        <v>heat, residential, by conversion of hydrogen using fuel cell, PEM, allocated by exergy, transported by pipeline, produced by Electrolysis, Alkaline using water and electricity from Solar PV (IT)</v>
      </c>
      <c r="L4079">
        <f>IF(OR(B4079&lt;0,B4079=0),1,2)</f>
        <v>2</v>
      </c>
      <c r="M4079">
        <f>IF(L4079=2,LN(B4079),"")</f>
        <v>-3.8679596522650961</v>
      </c>
      <c r="N4079">
        <v>1</v>
      </c>
      <c r="O4079" s="15">
        <v>1.2</v>
      </c>
      <c r="P4079">
        <v>1</v>
      </c>
      <c r="Q4079">
        <v>1.01</v>
      </c>
      <c r="R4079">
        <v>1.2</v>
      </c>
      <c r="S4079">
        <v>1.2</v>
      </c>
      <c r="T4079">
        <v>1.05</v>
      </c>
      <c r="U4079">
        <f>LN(SQRT(EXP(
SQRT(
+POWER(LN(N4079),2)
+POWER(LN(O4079),2)
+POWER(LN(P4079),2)
+POWER(LN(Q4079),2)
+POWER(LN(R4079),2)
+POWER(LN(S4079),2)
+POWER(LN(T4079),2)
)
)))</f>
        <v>0.15984597228197622</v>
      </c>
    </row>
    <row r="4081" spans="1:2" x14ac:dyDescent="0.2">
      <c r="A4081" s="2" t="s">
        <v>50</v>
      </c>
      <c r="B4081" s="44" t="str">
        <f>IF(B4087="megajoule","heat","electricity")&amp;", residential, by "&amp;B4092&amp;" of "&amp;B4091&amp;" using "&amp;B4093&amp;IF(B4094&lt;&gt;0,", allocated by "&amp;B4094,"")&amp;", transported by "&amp;B4095&amp;", produced by "&amp;B4099&amp;" using "&amp;B4100&amp;" from "&amp;B4101</f>
        <v>heat, residential, by conversion of hydrogen using fuel cell, SOFC, allocated by exergy, transported by pipeline, produced by Electrolysis, Alkaline using water and electricity from Solar PV (IT)</v>
      </c>
    </row>
    <row r="4082" spans="1:2" x14ac:dyDescent="0.2">
      <c r="A4082" t="s">
        <v>51</v>
      </c>
      <c r="B4082" s="45" t="str">
        <f>"This dataset represents the supply of 1 "&amp;IF(B4087="megajoule","megajoule of heat","kilowatt hour of electricity")&amp;" in a residence, by "&amp;B4091&amp;" "&amp;B4092&amp;" in a "&amp;B4093&amp;". "&amp;" The hydrogen is transported by "&amp;B4095&amp;" over "&amp;B4096&amp;" km from regional storage. "&amp;" The "&amp;B4091&amp;" is produced by  "&amp;B4099&amp;", with "&amp;B4100&amp;" from "&amp;B4101&amp;" as feedstock. "&amp;A4103&amp;": "&amp;(B4103*100)&amp;"%. "&amp;A4104&amp;": "&amp;B4104&amp;". "&amp;A4105&amp;": "&amp;B4105&amp;". "&amp;A4106&amp;": "&amp;(B4106*100)&amp;"%. "&amp;A4107&amp;": "&amp;(B4107*100)&amp;"%. "&amp;A4108&amp;": "&amp;(B4108*100)&amp;"%. "&amp;A4109&amp;": "&amp;B4109&amp;". "&amp;A4110&amp;": "&amp;B4110&amp;". "&amp;A4111&amp;": "&amp;(B4111*100)&amp;"%. "&amp;A4112&amp;": "&amp;B4112&amp;". "&amp;A4113&amp;": "&amp;B4113&amp;". "&amp;A4114&amp;": "&amp;B4114&amp;". "&amp;A4115&amp;": "&amp;B4115&amp;".  For more information, refer to: "&amp;B4083</f>
        <v>This dataset represents the supply of 1 megajoule of heat in a residence, by hydrogen conversion in a fuel cell, SOFC.  The hydrogen is transported by pipeline over 1700 km from regional storage.  The hydrogen is produced by  Electrolysis, Alkaline,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4083" spans="1:2" x14ac:dyDescent="0.2">
      <c r="A4083" t="s">
        <v>63</v>
      </c>
      <c r="B4083" s="45" t="s">
        <v>1223</v>
      </c>
    </row>
    <row r="4084" spans="1:2" x14ac:dyDescent="0.2">
      <c r="A4084" t="s">
        <v>52</v>
      </c>
      <c r="B4084" s="45" t="s">
        <v>64</v>
      </c>
    </row>
    <row r="4085" spans="1:2" x14ac:dyDescent="0.2">
      <c r="A4085" t="s">
        <v>48</v>
      </c>
      <c r="B4085" s="45">
        <v>52</v>
      </c>
    </row>
    <row r="4086" spans="1:2" x14ac:dyDescent="0.2">
      <c r="A4086" t="s">
        <v>54</v>
      </c>
      <c r="B4086" s="45" t="str">
        <f>INDEX(overview!$B$4:$R$338,MATCH('hydrogen - electrolysis'!B4085,overview!$A$4:$A$338,0),MATCH('hydrogen - electrolysis'!A4086,overview!$B$3:$R$3,0))</f>
        <v>heat, from residential heating system</v>
      </c>
    </row>
    <row r="4087" spans="1:2" x14ac:dyDescent="0.2">
      <c r="A4087" t="s">
        <v>55</v>
      </c>
      <c r="B4087" s="45" t="str">
        <f>INDEX(overview!$B$4:$R$338,MATCH('hydrogen - electrolysis'!B4085,overview!$A$4:$A$338,0),MATCH('hydrogen - electrolysis'!A4087,overview!$B$3:$R$3,0))</f>
        <v>megajoule</v>
      </c>
    </row>
    <row r="4088" spans="1:2" x14ac:dyDescent="0.2">
      <c r="A4088" t="s">
        <v>0</v>
      </c>
      <c r="B4088" s="45" t="str">
        <f>INDEX(overview!$B$4:$R$338,MATCH('hydrogen - electrolysis'!B4085,overview!$A$4:$A$338,0),MATCH('hydrogen - electrolysis'!A4088,overview!$B$3:$R$3,0))</f>
        <v>Switzerland</v>
      </c>
    </row>
    <row r="4089" spans="1:2" x14ac:dyDescent="0.2">
      <c r="A4089" t="s">
        <v>1</v>
      </c>
      <c r="B4089" s="45">
        <f>INDEX(overview!$B$4:$R$338,MATCH('hydrogen - electrolysis'!B4085,overview!$A$4:$A$338,0),MATCH('hydrogen - electrolysis'!A4089,overview!$B$3:$R$3,0))</f>
        <v>2020</v>
      </c>
    </row>
    <row r="4090" spans="1:2" x14ac:dyDescent="0.2">
      <c r="A4090" t="s">
        <v>2</v>
      </c>
      <c r="B4090" s="45" t="str">
        <f>INDEX(overview!$B$4:$R$338,MATCH('hydrogen - electrolysis'!B4085,overview!$A$4:$A$338,0),MATCH('hydrogen - electrolysis'!A4090,overview!$B$3:$R$3,0))</f>
        <v>1 MJ heat</v>
      </c>
    </row>
    <row r="4091" spans="1:2" x14ac:dyDescent="0.2">
      <c r="A4091" t="s">
        <v>5</v>
      </c>
      <c r="B4091" s="45" t="str">
        <f>INDEX(overview!$B$4:$R$338,MATCH('hydrogen - electrolysis'!B4085,overview!$A$4:$A$338,0),MATCH('hydrogen - electrolysis'!A4091,overview!$B$3:$R$3,0))</f>
        <v>hydrogen</v>
      </c>
    </row>
    <row r="4092" spans="1:2" x14ac:dyDescent="0.2">
      <c r="A4092" t="s">
        <v>3</v>
      </c>
      <c r="B4092" s="45" t="str">
        <f>INDEX(overview!$B$4:$R$338,MATCH('hydrogen - electrolysis'!B4085,overview!$A$4:$A$338,0),MATCH('hydrogen - electrolysis'!A4092,overview!$B$3:$R$3,0))</f>
        <v>conversion</v>
      </c>
    </row>
    <row r="4093" spans="1:2" x14ac:dyDescent="0.2">
      <c r="A4093" t="s">
        <v>6</v>
      </c>
      <c r="B4093" s="45" t="str">
        <f>INDEX(overview!$B$4:$R$338,MATCH('hydrogen - electrolysis'!B4085,overview!$A$4:$A$338,0),MATCH('hydrogen - electrolysis'!A4093,overview!$B$3:$R$3,0))</f>
        <v>fuel cell, SOFC</v>
      </c>
    </row>
    <row r="4094" spans="1:2" x14ac:dyDescent="0.2">
      <c r="A4094" t="s">
        <v>39</v>
      </c>
      <c r="B4094" s="45" t="str">
        <f>INDEX(overview!$B$4:$R$338,MATCH('hydrogen - electrolysis'!B4085,overview!$A$4:$A$338,0),MATCH('hydrogen - electrolysis'!A4094,overview!$B$3:$R$3,0))</f>
        <v>exergy</v>
      </c>
    </row>
    <row r="4095" spans="1:2" x14ac:dyDescent="0.2">
      <c r="A4095" t="s">
        <v>4</v>
      </c>
      <c r="B4095" s="45" t="str">
        <f>INDEX(overview!$B$4:$R$338,MATCH('hydrogen - electrolysis'!B4085,overview!$A$4:$A$338,0),MATCH('hydrogen - electrolysis'!A4095,overview!$B$3:$R$3,0))</f>
        <v>pipeline</v>
      </c>
    </row>
    <row r="4096" spans="1:2" x14ac:dyDescent="0.2">
      <c r="A4096" t="s">
        <v>38</v>
      </c>
      <c r="B4096" s="45">
        <f>INDEX(overview!$B$4:$R$338,MATCH('hydrogen - electrolysis'!B4085,overview!$A$4:$A$338,0),MATCH('hydrogen - electrolysis'!A4096,overview!$B$3:$R$3,0))</f>
        <v>1700</v>
      </c>
    </row>
    <row r="4097" spans="1:4" x14ac:dyDescent="0.2">
      <c r="A4097" t="s">
        <v>12</v>
      </c>
      <c r="B4097" s="45" t="str">
        <f>INDEX(overview!$B$4:$R$338,MATCH('hydrogen - electrolysis'!B4085,overview!$A$4:$A$338,0),MATCH('hydrogen - electrolysis'!A4097,overview!$B$3:$R$3,0))</f>
        <v>Pressure vessel for stationary storage</v>
      </c>
    </row>
    <row r="4098" spans="1:4" x14ac:dyDescent="0.2">
      <c r="A4098" t="s">
        <v>34</v>
      </c>
      <c r="B4098" s="45">
        <f>INDEX(overview!$B$4:$R$338,MATCH('hydrogen - electrolysis'!B4085,overview!$A$4:$A$338,0),MATCH('hydrogen - electrolysis'!A4098,overview!$B$3:$R$3,0))</f>
        <v>0</v>
      </c>
    </row>
    <row r="4099" spans="1:4" x14ac:dyDescent="0.2">
      <c r="A4099" t="s">
        <v>15</v>
      </c>
      <c r="B4099" s="45" t="str">
        <f>INDEX(overview!$B$4:$R$338,MATCH('hydrogen - electrolysis'!B4085,overview!$A$4:$A$338,0),MATCH('hydrogen - electrolysis'!A4099,overview!$B$3:$R$3,0))</f>
        <v>Electrolysis, Alkaline</v>
      </c>
    </row>
    <row r="4100" spans="1:4" x14ac:dyDescent="0.2">
      <c r="A4100" t="s">
        <v>14</v>
      </c>
      <c r="B4100" s="45" t="str">
        <f>INDEX(overview!$B$4:$R$338,MATCH('hydrogen - electrolysis'!B4085,overview!$A$4:$A$338,0),MATCH('hydrogen - electrolysis'!A4100,overview!$B$3:$R$3,0))</f>
        <v>water and electricity</v>
      </c>
    </row>
    <row r="4101" spans="1:4" x14ac:dyDescent="0.2">
      <c r="A4101" t="s">
        <v>26</v>
      </c>
      <c r="B4101" s="45" t="str">
        <f>INDEX(overview!$B$4:$R$338,MATCH('hydrogen - electrolysis'!B4085,overview!$A$4:$A$338,0),MATCH('hydrogen - electrolysis'!A4101,overview!$B$3:$R$3,0))</f>
        <v>Solar PV (IT)</v>
      </c>
    </row>
    <row r="4102" spans="1:4" x14ac:dyDescent="0.2">
      <c r="A4102" t="s">
        <v>29</v>
      </c>
      <c r="B4102" s="45">
        <f>INDEX(overview!$B$4:$R$338,MATCH('hydrogen - electrolysis'!B4085,overview!$A$4:$A$338,0),MATCH('hydrogen - electrolysis'!A4102,overview!$B$3:$R$3,0))</f>
        <v>0</v>
      </c>
    </row>
    <row r="4103" spans="1:4" x14ac:dyDescent="0.2">
      <c r="A4103" t="str">
        <f>IF(B4087="megajoule","Heat","Electricity")&amp;" conversion efficiency [% LHV input]"</f>
        <v>Heat conversion efficiency [% LHV input]</v>
      </c>
      <c r="B4103" s="46">
        <f>INDEX(parameters!$D$4:$N$20,MATCH('hydrogen - electrolysis'!B4091&amp;'hydrogen - electrolysis'!B4093,parameters!$A$4:$A$20,0),MATCH('hydrogen - electrolysis'!A4103,parameters!$D$3:$N$3,0))</f>
        <v>0.53</v>
      </c>
    </row>
    <row r="4104" spans="1:4" x14ac:dyDescent="0.2">
      <c r="A4104" t="str">
        <f>IF(B4087="megajoule","LHV [MJ/kg]","LHV [kWh/kg]")</f>
        <v>LHV [MJ/kg]</v>
      </c>
      <c r="B4104" s="47">
        <f>INDEX(parameters!$D$4:$N$20,MATCH('hydrogen - electrolysis'!B4091&amp;'hydrogen - electrolysis'!B4093,parameters!$A$4:$A$20,0),MATCH('hydrogen - electrolysis'!A4104,parameters!$D$3:$N$3,0))</f>
        <v>120</v>
      </c>
    </row>
    <row r="4105" spans="1:4" x14ac:dyDescent="0.2">
      <c r="A4105" t="s">
        <v>41</v>
      </c>
      <c r="B4105" s="48">
        <f>INDEX(parameters!$D$4:$N$20,MATCH('hydrogen - electrolysis'!B4091&amp;'hydrogen - electrolysis'!B4093,parameters!$A$4:$A$20,0),MATCH('hydrogen - electrolysis'!A4105,parameters!$D$3:$N$3,0))</f>
        <v>2.6666666666666665E-2</v>
      </c>
    </row>
    <row r="4106" spans="1:4" x14ac:dyDescent="0.2">
      <c r="A4106" t="s">
        <v>45</v>
      </c>
      <c r="B4106" s="46">
        <f>INDEX(parameters!$D$4:$N$20,MATCH('hydrogen - electrolysis'!B4091&amp;'hydrogen - electrolysis'!B4093,parameters!$A$4:$A$20,0),MATCH('hydrogen - electrolysis'!A4106,parameters!$D$3:$N$3,0))</f>
        <v>0</v>
      </c>
    </row>
    <row r="4107" spans="1:4" x14ac:dyDescent="0.2">
      <c r="A4107" t="s">
        <v>46</v>
      </c>
      <c r="B4107" s="46">
        <f>INDEX(parameters!$D$4:$N$20,MATCH('hydrogen - electrolysis'!B4091&amp;'hydrogen - electrolysis'!B4093,parameters!$A$4:$A$20,0),MATCH('hydrogen - electrolysis'!A4107,parameters!$D$3:$N$3,0))</f>
        <v>1.4999999999999999E-2</v>
      </c>
    </row>
    <row r="4108" spans="1:4" x14ac:dyDescent="0.2">
      <c r="A4108" t="s">
        <v>43</v>
      </c>
      <c r="B4108" s="46">
        <f>INDEX(parameters!$D$4:$N$20,MATCH('hydrogen - electrolysis'!B4091&amp;'hydrogen - electrolysis'!B4093,parameters!$A$4:$A$20,0),MATCH('hydrogen - electrolysis'!A4108,parameters!$D$3:$N$3,0))</f>
        <v>0</v>
      </c>
    </row>
    <row r="4109" spans="1:4" x14ac:dyDescent="0.2">
      <c r="A4109" t="s">
        <v>44</v>
      </c>
      <c r="B4109" s="46">
        <f>INDEX(parameters!$D$4:$N$20,MATCH('hydrogen - electrolysis'!B4091&amp;'hydrogen - electrolysis'!B4093,parameters!$A$4:$A$20,0),MATCH('hydrogen - electrolysis'!A4109,parameters!$D$3:$N$3,0))</f>
        <v>0</v>
      </c>
    </row>
    <row r="4110" spans="1:4" x14ac:dyDescent="0.2">
      <c r="A4110" t="s">
        <v>634</v>
      </c>
      <c r="B4110" s="51">
        <f>INDEX(parameters!$D$4:$Y$20,MATCH('hydrogen - electrolysis'!B4091&amp;'hydrogen - electrolysis'!B4093,parameters!$A$4:$A$20,0),MATCH('hydrogen - electrolysis'!A4110,parameters!$D$3:$Y$3,0))</f>
        <v>225</v>
      </c>
      <c r="D4110" s="8"/>
    </row>
    <row r="4111" spans="1:4" x14ac:dyDescent="0.2">
      <c r="A4111" t="s">
        <v>82</v>
      </c>
      <c r="B4111" s="46">
        <f>IF(B4102&lt;&gt;0,VLOOKUP(B4102,parameters!A2664:B2666,2,0),0)</f>
        <v>0</v>
      </c>
    </row>
    <row r="4112" spans="1:4" x14ac:dyDescent="0.2">
      <c r="A4112" t="s">
        <v>548</v>
      </c>
      <c r="B4112" s="50">
        <f>INDEX(parameters!$D$4:$P$20,MATCH(B4091&amp;B4093,parameters!$A$4:$A$20,0),MATCH(A4112,parameters!$D$3:$P$3,0))</f>
        <v>100</v>
      </c>
    </row>
    <row r="4113" spans="1:22" x14ac:dyDescent="0.2">
      <c r="A4113" t="s">
        <v>547</v>
      </c>
      <c r="B4113" s="51">
        <f>INDEX(parameters!$D$4:$P$20,MATCH(B4091&amp;B4093,parameters!$A$4:$A$20,0),MATCH(A4113,parameters!$D$3:$P$3,0))</f>
        <v>6</v>
      </c>
    </row>
    <row r="4114" spans="1:22" x14ac:dyDescent="0.2">
      <c r="A4114" t="s">
        <v>630</v>
      </c>
      <c r="B4114" s="51">
        <f>INDEX(parameters!$D$4:$T$20,MATCH(B4091&amp;B4093,parameters!$A$4:$A$20,0),MATCH(A4114,parameters!$D$3:$T$3,0))</f>
        <v>4100</v>
      </c>
    </row>
    <row r="4115" spans="1:22" x14ac:dyDescent="0.2">
      <c r="A4115" t="s">
        <v>1005</v>
      </c>
      <c r="B4115" s="50">
        <f>IF(B4087="megajoule",SUMIFS(allocation!$I$4:$I$30,allocation!$B$4:$B$30,B4093,allocation!$C$4:$C$30,B4094),SUMIFS(allocation!$J$4:$J$30,allocation!$B$4:$B$30,B4093,allocation!$C$4:$C$30,B4094))</f>
        <v>0.13587506510399097</v>
      </c>
    </row>
    <row r="4116" spans="1:22" x14ac:dyDescent="0.2">
      <c r="A4116" t="s">
        <v>1050</v>
      </c>
      <c r="B4116" s="51">
        <f>INDEX(parameters!$D$4:$AB$20,MATCH(B4091&amp;B4093,parameters!$A$4:$A$20,0),MATCH(A4116,parameters!$D$3:$AB$3,0))</f>
        <v>1153.1249999999998</v>
      </c>
    </row>
    <row r="4118" spans="1:22" x14ac:dyDescent="0.2">
      <c r="A4118" s="3" t="s">
        <v>57</v>
      </c>
    </row>
    <row r="4119" spans="1:22" x14ac:dyDescent="0.2">
      <c r="A4119" s="2" t="s">
        <v>58</v>
      </c>
      <c r="B4119" s="44" t="s">
        <v>59</v>
      </c>
      <c r="C4119" s="2" t="s">
        <v>55</v>
      </c>
      <c r="D4119" s="2" t="s">
        <v>60</v>
      </c>
      <c r="E4119" s="2" t="s">
        <v>52</v>
      </c>
      <c r="F4119" s="2" t="s">
        <v>61</v>
      </c>
      <c r="G4119" s="2" t="s">
        <v>54</v>
      </c>
      <c r="H4119" s="2" t="s">
        <v>87</v>
      </c>
      <c r="I4119" s="2" t="s">
        <v>51</v>
      </c>
      <c r="J4119" s="2" t="s">
        <v>138</v>
      </c>
      <c r="K4119" s="2" t="s">
        <v>136</v>
      </c>
      <c r="L4119" s="2" t="s">
        <v>221</v>
      </c>
      <c r="M4119" s="2" t="s">
        <v>379</v>
      </c>
      <c r="N4119" s="2" t="s">
        <v>1059</v>
      </c>
      <c r="O4119" s="2" t="s">
        <v>1060</v>
      </c>
      <c r="P4119" s="2" t="s">
        <v>1061</v>
      </c>
      <c r="Q4119" s="2" t="s">
        <v>1062</v>
      </c>
      <c r="R4119" s="2" t="s">
        <v>1063</v>
      </c>
      <c r="S4119" s="2" t="s">
        <v>1064</v>
      </c>
      <c r="T4119" s="2" t="s">
        <v>1065</v>
      </c>
      <c r="U4119" s="2" t="s">
        <v>380</v>
      </c>
      <c r="V4119" s="2" t="s">
        <v>1128</v>
      </c>
    </row>
    <row r="4120" spans="1:22" x14ac:dyDescent="0.2">
      <c r="A4120" t="str">
        <f>B4081</f>
        <v>heat, residential, by conversion of hydrogen using fuel cell, SOFC, allocated by exergy, transported by pipeline, produced by Electrolysis, Alkaline using water and electricity from Solar PV (IT)</v>
      </c>
      <c r="B4120" s="45">
        <v>1</v>
      </c>
      <c r="C4120" t="str">
        <f>B4087</f>
        <v>megajoule</v>
      </c>
      <c r="E4120" t="str">
        <f>B4084</f>
        <v>CH</v>
      </c>
      <c r="F4120" t="s">
        <v>62</v>
      </c>
      <c r="G4120" t="str">
        <f>B4086</f>
        <v>heat, from residential heating system</v>
      </c>
      <c r="K4120" t="str">
        <f>B4081</f>
        <v>heat, residential, by conversion of hydrogen using fuel cell, SOFC, allocated by exergy, transported by pipeline, produced by Electrolysis, Alkaline using water and electricity from Solar PV (IT)</v>
      </c>
    </row>
    <row r="4121" spans="1:22" x14ac:dyDescent="0.2">
      <c r="A4121" t="str">
        <f>VLOOKUP(J4121,'dataset mapping'!$A$4:$E$69,2,0)</f>
        <v>fuel cell production, stack solid oxide, 125kW electrical, future</v>
      </c>
      <c r="B4121" s="52">
        <f>(1/(B4110*B4114*B4113*3.6))*B4115</f>
        <v>6.8189834941278219E-9</v>
      </c>
      <c r="C4121" t="str">
        <f>VLOOKUP(J4121,'dataset mapping'!$A$4:$E$69,5,0)</f>
        <v>unit</v>
      </c>
      <c r="E4121" t="str">
        <f>VLOOKUP(J4121,'dataset mapping'!$A$4:$E$69,4,0)</f>
        <v>CH</v>
      </c>
      <c r="F4121" t="s">
        <v>86</v>
      </c>
      <c r="G4121" t="str">
        <f>VLOOKUP(J4121,'dataset mapping'!$A$4:$E$69,3,0)</f>
        <v>fuel cell, stack solid oxide, 125kW electrical, future</v>
      </c>
      <c r="H4121" t="s">
        <v>88</v>
      </c>
      <c r="I4121" t="s">
        <v>277</v>
      </c>
      <c r="J4121" t="s">
        <v>274</v>
      </c>
      <c r="K4121" t="str">
        <f>B4081</f>
        <v>heat, residential, by conversion of hydrogen using fuel cell, SOFC, allocated by exergy, transported by pipeline, produced by Electrolysis, Alkaline using water and electricity from Solar PV (IT)</v>
      </c>
      <c r="L4121">
        <f>IF(OR(B4121&lt;0,B4121=0),1,2)</f>
        <v>2</v>
      </c>
      <c r="M4121">
        <f>IF(L4121=2,LN(B4121),"")</f>
        <v>-18.80355542398161</v>
      </c>
      <c r="N4121">
        <v>1</v>
      </c>
      <c r="O4121" s="15">
        <v>1.2</v>
      </c>
      <c r="P4121">
        <v>1</v>
      </c>
      <c r="Q4121">
        <v>1.01</v>
      </c>
      <c r="R4121">
        <v>1.2</v>
      </c>
      <c r="S4121">
        <v>1.2</v>
      </c>
      <c r="T4121">
        <v>3</v>
      </c>
      <c r="U4121">
        <f>LN(SQRT(EXP(
SQRT(
+POWER(LN(N4121),2)
+POWER(LN(O4121),2)
+POWER(LN(P4121),2)
+POWER(LN(Q4121),2)
+POWER(LN(R4121),2)
+POWER(LN(S4121),2)
+POWER(LN(T4121),2)
)
)))</f>
        <v>0.57157051623399524</v>
      </c>
    </row>
    <row r="4122" spans="1:22" x14ac:dyDescent="0.2">
      <c r="A4122" t="s">
        <v>283</v>
      </c>
      <c r="B4122" s="52">
        <f>(1/(B4110*B4114*B4113*3.6))*B4115</f>
        <v>6.8189834941278219E-9</v>
      </c>
      <c r="C4122" t="s">
        <v>55</v>
      </c>
      <c r="E4122" t="s">
        <v>64</v>
      </c>
      <c r="F4122" t="s">
        <v>86</v>
      </c>
      <c r="G4122" t="s">
        <v>284</v>
      </c>
      <c r="H4122" t="s">
        <v>88</v>
      </c>
      <c r="I4122" t="s">
        <v>277</v>
      </c>
      <c r="K4122" t="str">
        <f>B4081</f>
        <v>heat, residential, by conversion of hydrogen using fuel cell, SOFC, allocated by exergy, transported by pipeline, produced by Electrolysis, Alkaline using water and electricity from Solar PV (IT)</v>
      </c>
      <c r="L4122">
        <f>IF(OR(B4122&lt;0,B4122=0),1,2)</f>
        <v>2</v>
      </c>
      <c r="M4122">
        <f>IF(L4122=2,LN(B4122),"")</f>
        <v>-18.80355542398161</v>
      </c>
      <c r="N4122">
        <v>1</v>
      </c>
      <c r="O4122" s="15">
        <v>1.2</v>
      </c>
      <c r="P4122">
        <v>1</v>
      </c>
      <c r="Q4122">
        <v>1.01</v>
      </c>
      <c r="R4122">
        <v>1.2</v>
      </c>
      <c r="S4122">
        <v>1.2</v>
      </c>
      <c r="T4122">
        <v>3</v>
      </c>
      <c r="U4122">
        <f>LN(SQRT(EXP(
SQRT(
+POWER(LN(N4122),2)
+POWER(LN(O4122),2)
+POWER(LN(P4122),2)
+POWER(LN(Q4122),2)
+POWER(LN(R4122),2)
+POWER(LN(S4122),2)
+POWER(LN(T4122),2)
)
)))</f>
        <v>0.57157051623399524</v>
      </c>
    </row>
    <row r="4123" spans="1:22" x14ac:dyDescent="0.2">
      <c r="A4123" t="s">
        <v>288</v>
      </c>
      <c r="B4123" s="52">
        <f>0.000024*B4115</f>
        <v>3.2610015624957834E-6</v>
      </c>
      <c r="C4123" t="s">
        <v>56</v>
      </c>
      <c r="E4123" t="s">
        <v>64</v>
      </c>
      <c r="F4123" t="s">
        <v>86</v>
      </c>
      <c r="G4123" t="s">
        <v>287</v>
      </c>
      <c r="H4123" t="s">
        <v>88</v>
      </c>
      <c r="K4123" t="str">
        <f>B4081</f>
        <v>heat, residential, by conversion of hydrogen using fuel cell, SOFC, allocated by exergy, transported by pipeline, produced by Electrolysis, Alkaline using water and electricity from Solar PV (IT)</v>
      </c>
      <c r="L4123">
        <f>IF(OR(B4123&lt;0,B4123=0),1,2)</f>
        <v>2</v>
      </c>
      <c r="M4123">
        <f>IF(L4123=2,LN(B4123),"")</f>
        <v>-12.633476182011</v>
      </c>
      <c r="N4123">
        <v>1</v>
      </c>
      <c r="O4123" s="15">
        <v>1.2</v>
      </c>
      <c r="P4123">
        <v>1</v>
      </c>
      <c r="Q4123">
        <v>1.01</v>
      </c>
      <c r="R4123">
        <v>1.2</v>
      </c>
      <c r="S4123">
        <v>1.2</v>
      </c>
      <c r="T4123">
        <v>1.05</v>
      </c>
      <c r="U4123">
        <f>LN(SQRT(EXP(
SQRT(
+POWER(LN(N4123),2)
+POWER(LN(O4123),2)
+POWER(LN(P4123),2)
+POWER(LN(Q4123),2)
+POWER(LN(R4123),2)
+POWER(LN(S4123),2)
+POWER(LN(T4123),2)
)
)))</f>
        <v>0.15984597228197622</v>
      </c>
    </row>
    <row r="4124" spans="1:22" x14ac:dyDescent="0.2">
      <c r="A4124" s="45" t="str">
        <f>"hydrogen supply, transported by "&amp;B4095&amp;", produced by "&amp;B4099&amp;" using "&amp;B4100&amp;" from "&amp;B4101</f>
        <v>hydrogen supply, transported by pipeline, produced by Electrolysis, Alkaline using water and electricity from Solar PV (IT)</v>
      </c>
      <c r="B4124" s="53">
        <f>(B4120/B4104)/B4103*B4115</f>
        <v>2.1364003947168392E-3</v>
      </c>
      <c r="C4124" t="s">
        <v>56</v>
      </c>
      <c r="E4124" t="s">
        <v>64</v>
      </c>
      <c r="F4124" t="s">
        <v>86</v>
      </c>
      <c r="G4124" t="str">
        <f>"hydrogen, gaseous, from "&amp;B4095</f>
        <v>hydrogen, gaseous, from pipeline</v>
      </c>
      <c r="H4124" t="s">
        <v>76</v>
      </c>
      <c r="I4124" t="s">
        <v>1054</v>
      </c>
      <c r="J4124" t="s">
        <v>636</v>
      </c>
      <c r="K4124" t="str">
        <f>B4081</f>
        <v>heat, residential, by conversion of hydrogen using fuel cell, SOFC, allocated by exergy, transported by pipeline, produced by Electrolysis, Alkaline using water and electricity from Solar PV (IT)</v>
      </c>
      <c r="L4124">
        <f>IF(OR(B4124&lt;0,B4124=0),1,2)</f>
        <v>2</v>
      </c>
      <c r="M4124">
        <f>IF(L4124=2,LN(B4124),"")</f>
        <v>-6.1486329247407472</v>
      </c>
      <c r="N4124">
        <v>1</v>
      </c>
      <c r="O4124" s="15">
        <v>1.2</v>
      </c>
      <c r="P4124">
        <v>1</v>
      </c>
      <c r="Q4124">
        <v>1.01</v>
      </c>
      <c r="R4124">
        <v>1.2</v>
      </c>
      <c r="S4124">
        <v>1.2</v>
      </c>
      <c r="T4124">
        <v>1.05</v>
      </c>
      <c r="U4124">
        <f>LN(SQRT(EXP(
SQRT(
+POWER(LN(N4124),2)
+POWER(LN(O4124),2)
+POWER(LN(P4124),2)
+POWER(LN(Q4124),2)
+POWER(LN(R4124),2)
+POWER(LN(S4124),2)
+POWER(LN(T4124),2)
)
)))</f>
        <v>0.15984597228197622</v>
      </c>
    </row>
    <row r="4125" spans="1:22" x14ac:dyDescent="0.2">
      <c r="A4125" t="s">
        <v>134</v>
      </c>
      <c r="B4125" s="45">
        <f>B4124*9</f>
        <v>1.9227603552451553E-2</v>
      </c>
      <c r="C4125" t="s">
        <v>56</v>
      </c>
      <c r="D4125" t="s">
        <v>100</v>
      </c>
      <c r="F4125" t="s">
        <v>99</v>
      </c>
      <c r="H4125" t="s">
        <v>131</v>
      </c>
      <c r="I4125" t="s">
        <v>1057</v>
      </c>
      <c r="K4125" t="str">
        <f>B4081</f>
        <v>heat, residential, by conversion of hydrogen using fuel cell, SOFC, allocated by exergy, transported by pipeline, produced by Electrolysis, Alkaline using water and electricity from Solar PV (IT)</v>
      </c>
      <c r="L4125">
        <f>IF(OR(B4125&lt;0,B4125=0),1,2)</f>
        <v>2</v>
      </c>
      <c r="M4125">
        <f>IF(L4125=2,LN(B4125),"")</f>
        <v>-3.9514083474045276</v>
      </c>
      <c r="N4125">
        <v>1</v>
      </c>
      <c r="O4125" s="15">
        <v>1.2</v>
      </c>
      <c r="P4125">
        <v>1</v>
      </c>
      <c r="Q4125">
        <v>1.01</v>
      </c>
      <c r="R4125">
        <v>1.2</v>
      </c>
      <c r="S4125">
        <v>1.2</v>
      </c>
      <c r="T4125">
        <v>1.05</v>
      </c>
      <c r="U4125">
        <f>LN(SQRT(EXP(
SQRT(
+POWER(LN(N4125),2)
+POWER(LN(O4125),2)
+POWER(LN(P4125),2)
+POWER(LN(Q4125),2)
+POWER(LN(R4125),2)
+POWER(LN(S4125),2)
+POWER(LN(T4125),2)
)
)))</f>
        <v>0.15984597228197622</v>
      </c>
    </row>
    <row r="4127" spans="1:22" x14ac:dyDescent="0.2">
      <c r="A4127" s="2" t="s">
        <v>50</v>
      </c>
      <c r="B4127" s="44" t="str">
        <f>IF(B4133="megajoule","heat","electricity")&amp;", residential, by "&amp;B4138&amp;" of "&amp;B4137&amp;" using "&amp;B4139&amp;IF(B4140&lt;&gt;0,", allocated by "&amp;B4140,"")&amp;", transported by "&amp;B4141&amp;", produced by "&amp;B4145&amp;" using "&amp;B4146&amp;" from "&amp;B4147</f>
        <v>electricity, residential, by combustion of hydrogen using CHP, allocated by exergy, transported by pipeline, produced by Electrolysis, Alkaline using water and electricity from Solar PV (IT)</v>
      </c>
    </row>
    <row r="4128" spans="1:22" x14ac:dyDescent="0.2">
      <c r="A4128" t="s">
        <v>51</v>
      </c>
      <c r="B4128" s="45" t="str">
        <f>"This dataset represents the supply of 1 "&amp;IF(B4133="megajoule","megajoule of heat","kilowatt hour of electricity")&amp;" in a residence, by "&amp;B4137&amp;" "&amp;B4138&amp;" in a "&amp;B4139&amp;". "&amp;" The hydrogen is transported by "&amp;B4141&amp;" over "&amp;B4142&amp;" km from regional storage. "&amp;" The "&amp;B4137&amp;" is produced by  "&amp;B4145&amp;", with "&amp;B4146&amp;" from "&amp;B4147&amp;" as feedstock. "&amp;A4149&amp;": "&amp;(B4149*100)&amp;"%. "&amp;A4150&amp;": "&amp;B4150&amp;". "&amp;A4151&amp;": "&amp;B4151&amp;". "&amp;A4152&amp;": "&amp;(B4152*100)&amp;"%. "&amp;A4153&amp;": "&amp;(B4153*100)&amp;"%. "&amp;A4154&amp;": "&amp;(B4154*100)&amp;"%. "&amp;A4155&amp;": "&amp;B4155&amp;". "&amp;A4156&amp;": "&amp;B4156&amp;". "&amp;A4157&amp;": "&amp;(B4157*100)&amp;"%. "&amp;A4158&amp;": "&amp;B4158&amp;". "&amp;A4159&amp;": "&amp;B4159&amp;". "&amp;A4160&amp;": "&amp;B4160&amp;". "&amp;A4161&amp;": "&amp;B4161&amp;".  For more information, refer to: "&amp;B4129</f>
        <v>This dataset represents the supply of 1 kilowatt hour of electricity in a residence, by hydrogen combustion in a CHP.  The hydrogen is transported by pipeline over 1700 km from regional storage.  The hydrogen is produced by  Electrolysis, Alkaline,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4129" spans="1:2" x14ac:dyDescent="0.2">
      <c r="A4129" t="s">
        <v>63</v>
      </c>
      <c r="B4129" s="45" t="s">
        <v>1223</v>
      </c>
    </row>
    <row r="4130" spans="1:2" x14ac:dyDescent="0.2">
      <c r="A4130" t="s">
        <v>52</v>
      </c>
      <c r="B4130" s="45" t="s">
        <v>64</v>
      </c>
    </row>
    <row r="4131" spans="1:2" x14ac:dyDescent="0.2">
      <c r="A4131" t="s">
        <v>48</v>
      </c>
      <c r="B4131" s="45" t="s">
        <v>901</v>
      </c>
    </row>
    <row r="4132" spans="1:2" x14ac:dyDescent="0.2">
      <c r="A4132" t="s">
        <v>54</v>
      </c>
      <c r="B4132" s="45" t="str">
        <f>INDEX(overview!$B$4:$R$338,MATCH('hydrogen - electrolysis'!B4131,overview!$A$4:$A$338,0),MATCH('hydrogen - electrolysis'!A4132,overview!$B$3:$R$3,0))</f>
        <v>electricity, from residential heating system</v>
      </c>
    </row>
    <row r="4133" spans="1:2" x14ac:dyDescent="0.2">
      <c r="A4133" t="s">
        <v>55</v>
      </c>
      <c r="B4133" s="45" t="str">
        <f>INDEX(overview!$B$4:$R$338,MATCH('hydrogen - electrolysis'!B4131,overview!$A$4:$A$338,0),MATCH('hydrogen - electrolysis'!A4133,overview!$B$3:$R$3,0))</f>
        <v>kilowatt hour</v>
      </c>
    </row>
    <row r="4134" spans="1:2" x14ac:dyDescent="0.2">
      <c r="A4134" t="s">
        <v>0</v>
      </c>
      <c r="B4134" s="45" t="str">
        <f>INDEX(overview!$B$4:$R$338,MATCH('hydrogen - electrolysis'!B4131,overview!$A$4:$A$338,0),MATCH('hydrogen - electrolysis'!A4134,overview!$B$3:$R$3,0))</f>
        <v>Switzerland</v>
      </c>
    </row>
    <row r="4135" spans="1:2" x14ac:dyDescent="0.2">
      <c r="A4135" t="s">
        <v>1</v>
      </c>
      <c r="B4135" s="45">
        <f>INDEX(overview!$B$4:$R$338,MATCH('hydrogen - electrolysis'!B4131,overview!$A$4:$A$338,0),MATCH('hydrogen - electrolysis'!A4135,overview!$B$3:$R$3,0))</f>
        <v>2020</v>
      </c>
    </row>
    <row r="4136" spans="1:2" x14ac:dyDescent="0.2">
      <c r="A4136" t="s">
        <v>2</v>
      </c>
      <c r="B4136" s="45" t="str">
        <f>INDEX(overview!$B$4:$R$338,MATCH('hydrogen - electrolysis'!B4131,overview!$A$4:$A$338,0),MATCH('hydrogen - electrolysis'!A4136,overview!$B$3:$R$3,0))</f>
        <v>1 kWh electricity</v>
      </c>
    </row>
    <row r="4137" spans="1:2" x14ac:dyDescent="0.2">
      <c r="A4137" t="s">
        <v>5</v>
      </c>
      <c r="B4137" s="45" t="str">
        <f>INDEX(overview!$B$4:$R$338,MATCH('hydrogen - electrolysis'!B4131,overview!$A$4:$A$338,0),MATCH('hydrogen - electrolysis'!A4137,overview!$B$3:$R$3,0))</f>
        <v>hydrogen</v>
      </c>
    </row>
    <row r="4138" spans="1:2" x14ac:dyDescent="0.2">
      <c r="A4138" t="s">
        <v>3</v>
      </c>
      <c r="B4138" s="45" t="str">
        <f>INDEX(overview!$B$4:$R$338,MATCH('hydrogen - electrolysis'!B4131,overview!$A$4:$A$338,0),MATCH('hydrogen - electrolysis'!A4138,overview!$B$3:$R$3,0))</f>
        <v>combustion</v>
      </c>
    </row>
    <row r="4139" spans="1:2" x14ac:dyDescent="0.2">
      <c r="A4139" t="s">
        <v>6</v>
      </c>
      <c r="B4139" s="45" t="str">
        <f>INDEX(overview!$B$4:$R$338,MATCH('hydrogen - electrolysis'!B4131,overview!$A$4:$A$338,0),MATCH('hydrogen - electrolysis'!A4139,overview!$B$3:$R$3,0))</f>
        <v>CHP</v>
      </c>
    </row>
    <row r="4140" spans="1:2" x14ac:dyDescent="0.2">
      <c r="A4140" t="s">
        <v>39</v>
      </c>
      <c r="B4140" s="45" t="str">
        <f>INDEX(overview!$B$4:$R$338,MATCH('hydrogen - electrolysis'!B4131,overview!$A$4:$A$338,0),MATCH('hydrogen - electrolysis'!A4140,overview!$B$3:$R$3,0))</f>
        <v>exergy</v>
      </c>
    </row>
    <row r="4141" spans="1:2" x14ac:dyDescent="0.2">
      <c r="A4141" t="s">
        <v>4</v>
      </c>
      <c r="B4141" s="45" t="str">
        <f>INDEX(overview!$B$4:$R$338,MATCH('hydrogen - electrolysis'!B4131,overview!$A$4:$A$338,0),MATCH('hydrogen - electrolysis'!A4141,overview!$B$3:$R$3,0))</f>
        <v>pipeline</v>
      </c>
    </row>
    <row r="4142" spans="1:2" x14ac:dyDescent="0.2">
      <c r="A4142" t="s">
        <v>38</v>
      </c>
      <c r="B4142" s="45">
        <f>INDEX(overview!$B$4:$R$338,MATCH('hydrogen - electrolysis'!B4131,overview!$A$4:$A$338,0),MATCH('hydrogen - electrolysis'!A4142,overview!$B$3:$R$3,0))</f>
        <v>1700</v>
      </c>
    </row>
    <row r="4143" spans="1:2" x14ac:dyDescent="0.2">
      <c r="A4143" t="s">
        <v>12</v>
      </c>
      <c r="B4143" s="45" t="str">
        <f>INDEX(overview!$B$4:$R$338,MATCH('hydrogen - electrolysis'!B4131,overview!$A$4:$A$338,0),MATCH('hydrogen - electrolysis'!A4143,overview!$B$3:$R$3,0))</f>
        <v>Pressure vessel for stationary storage</v>
      </c>
    </row>
    <row r="4144" spans="1:2" x14ac:dyDescent="0.2">
      <c r="A4144" t="s">
        <v>34</v>
      </c>
      <c r="B4144" s="45">
        <f>INDEX(overview!$B$4:$R$338,MATCH('hydrogen - electrolysis'!B4131,overview!$A$4:$A$338,0),MATCH('hydrogen - electrolysis'!A4144,overview!$B$3:$R$3,0))</f>
        <v>0</v>
      </c>
    </row>
    <row r="4145" spans="1:2" x14ac:dyDescent="0.2">
      <c r="A4145" t="s">
        <v>15</v>
      </c>
      <c r="B4145" s="45" t="str">
        <f>INDEX(overview!$B$4:$R$338,MATCH('hydrogen - electrolysis'!B4131,overview!$A$4:$A$338,0),MATCH('hydrogen - electrolysis'!A4145,overview!$B$3:$R$3,0))</f>
        <v>Electrolysis, Alkaline</v>
      </c>
    </row>
    <row r="4146" spans="1:2" x14ac:dyDescent="0.2">
      <c r="A4146" t="s">
        <v>14</v>
      </c>
      <c r="B4146" s="45" t="str">
        <f>INDEX(overview!$B$4:$R$338,MATCH('hydrogen - electrolysis'!B4131,overview!$A$4:$A$338,0),MATCH('hydrogen - electrolysis'!A4146,overview!$B$3:$R$3,0))</f>
        <v>water and electricity</v>
      </c>
    </row>
    <row r="4147" spans="1:2" x14ac:dyDescent="0.2">
      <c r="A4147" t="s">
        <v>26</v>
      </c>
      <c r="B4147" s="45" t="str">
        <f>INDEX(overview!$B$4:$R$338,MATCH('hydrogen - electrolysis'!B4131,overview!$A$4:$A$338,0),MATCH('hydrogen - electrolysis'!A4147,overview!$B$3:$R$3,0))</f>
        <v>Solar PV (IT)</v>
      </c>
    </row>
    <row r="4148" spans="1:2" x14ac:dyDescent="0.2">
      <c r="A4148" t="s">
        <v>29</v>
      </c>
      <c r="B4148" s="45">
        <f>INDEX(overview!$B$4:$R$338,MATCH('hydrogen - electrolysis'!B4131,overview!$A$4:$A$338,0),MATCH('hydrogen - electrolysis'!A4148,overview!$B$3:$R$3,0))</f>
        <v>0</v>
      </c>
    </row>
    <row r="4149" spans="1:2" x14ac:dyDescent="0.2">
      <c r="A4149" t="str">
        <f>IF(B4133="megajoule","Heat","Electricity")&amp;" conversion efficiency [% LHV input]"</f>
        <v>Electricity conversion efficiency [% LHV input]</v>
      </c>
      <c r="B4149" s="46">
        <f>INDEX(parameters!$D$4:$N$20,MATCH('hydrogen - electrolysis'!B4137&amp;'hydrogen - electrolysis'!B4139,parameters!$A$4:$A$20,0),MATCH('hydrogen - electrolysis'!A4149,parameters!$D$3:$N$3,0))</f>
        <v>0.39400000000000002</v>
      </c>
    </row>
    <row r="4150" spans="1:2" x14ac:dyDescent="0.2">
      <c r="A4150" t="str">
        <f>IF(B4133="megajoule","LHV [MJ/kg]","LHV [kWh/kg]")</f>
        <v>LHV [kWh/kg]</v>
      </c>
      <c r="B4150" s="47">
        <f>INDEX(parameters!$D$4:$N$20,MATCH('hydrogen - electrolysis'!B4137&amp;'hydrogen - electrolysis'!B4139,parameters!$A$4:$A$20,0),MATCH('hydrogen - electrolysis'!A4150,parameters!$D$3:$N$3,0))</f>
        <v>33.333333333333336</v>
      </c>
    </row>
    <row r="4151" spans="1:2" x14ac:dyDescent="0.2">
      <c r="A4151" t="s">
        <v>41</v>
      </c>
      <c r="B4151" s="48">
        <f>INDEX(parameters!$D$4:$N$20,MATCH('hydrogen - electrolysis'!B4137&amp;'hydrogen - electrolysis'!B4139,parameters!$A$4:$A$20,0),MATCH('hydrogen - electrolysis'!A4151,parameters!$D$3:$N$3,0))</f>
        <v>2.6666666666666665E-2</v>
      </c>
    </row>
    <row r="4152" spans="1:2" x14ac:dyDescent="0.2">
      <c r="A4152" t="s">
        <v>45</v>
      </c>
      <c r="B4152" s="46">
        <f>INDEX(parameters!$D$4:$N$20,MATCH('hydrogen - electrolysis'!B4137&amp;'hydrogen - electrolysis'!B4139,parameters!$A$4:$A$20,0),MATCH('hydrogen - electrolysis'!A4152,parameters!$D$3:$N$3,0))</f>
        <v>0</v>
      </c>
    </row>
    <row r="4153" spans="1:2" x14ac:dyDescent="0.2">
      <c r="A4153" t="s">
        <v>46</v>
      </c>
      <c r="B4153" s="46">
        <f>INDEX(parameters!$D$4:$N$20,MATCH('hydrogen - electrolysis'!B4137&amp;'hydrogen - electrolysis'!B4139,parameters!$A$4:$A$20,0),MATCH('hydrogen - electrolysis'!A4153,parameters!$D$3:$N$3,0))</f>
        <v>1.4999999999999999E-2</v>
      </c>
    </row>
    <row r="4154" spans="1:2" x14ac:dyDescent="0.2">
      <c r="A4154" t="s">
        <v>43</v>
      </c>
      <c r="B4154" s="46">
        <f>INDEX(parameters!$D$4:$N$20,MATCH('hydrogen - electrolysis'!B4137&amp;'hydrogen - electrolysis'!B4139,parameters!$A$4:$A$20,0),MATCH('hydrogen - electrolysis'!A4154,parameters!$D$3:$N$3,0))</f>
        <v>0</v>
      </c>
    </row>
    <row r="4155" spans="1:2" x14ac:dyDescent="0.2">
      <c r="A4155" t="s">
        <v>44</v>
      </c>
      <c r="B4155" s="46">
        <f>INDEX(parameters!$D$4:$N$20,MATCH('hydrogen - electrolysis'!B4137&amp;'hydrogen - electrolysis'!B4139,parameters!$A$4:$A$20,0),MATCH('hydrogen - electrolysis'!A4155,parameters!$D$3:$N$3,0))</f>
        <v>0</v>
      </c>
    </row>
    <row r="4156" spans="1:2" x14ac:dyDescent="0.2">
      <c r="A4156" t="s">
        <v>634</v>
      </c>
      <c r="B4156" s="51">
        <f>INDEX(parameters!$D$4:$Y$20,MATCH('hydrogen - electrolysis'!B4137&amp;'hydrogen - electrolysis'!B4139,parameters!$A$4:$A$20,0),MATCH('hydrogen - electrolysis'!A4156,parameters!$D$3:$Y$3,0))</f>
        <v>351.41800246609125</v>
      </c>
    </row>
    <row r="4157" spans="1:2" x14ac:dyDescent="0.2">
      <c r="A4157" t="s">
        <v>82</v>
      </c>
      <c r="B4157" s="46">
        <f>IF(B4148&lt;&gt;0,VLOOKUP(B4148,parameters!A2716:B2718,2,0),0)</f>
        <v>0</v>
      </c>
    </row>
    <row r="4158" spans="1:2" x14ac:dyDescent="0.2">
      <c r="A4158" t="s">
        <v>548</v>
      </c>
      <c r="B4158" s="50">
        <f>INDEX(parameters!$D$4:$P$20,MATCH(B4137&amp;B4139,parameters!$A$4:$A$20,0),MATCH(A4158,parameters!$D$3:$P$3,0))</f>
        <v>125</v>
      </c>
    </row>
    <row r="4159" spans="1:2" x14ac:dyDescent="0.2">
      <c r="A4159" t="s">
        <v>547</v>
      </c>
      <c r="B4159" s="51">
        <f>INDEX(parameters!$D$4:$P$20,MATCH(B4137&amp;B4139,parameters!$A$4:$A$20,0),MATCH(A4159,parameters!$D$3:$P$3,0))</f>
        <v>19.512195121951219</v>
      </c>
    </row>
    <row r="4160" spans="1:2" x14ac:dyDescent="0.2">
      <c r="A4160" t="s">
        <v>630</v>
      </c>
      <c r="B4160" s="51">
        <f>INDEX(parameters!$D$4:$T$20,MATCH(B4137&amp;B4139,parameters!$A$4:$A$20,0),MATCH(A4160,parameters!$D$3:$T$3,0))</f>
        <v>4100</v>
      </c>
    </row>
    <row r="4161" spans="1:22" x14ac:dyDescent="0.2">
      <c r="A4161" t="s">
        <v>1005</v>
      </c>
      <c r="B4161" s="50">
        <f>IF(B4133="megajoule",SUMIFS(allocation!$I$4:$I$30,allocation!$B$4:$B$30,B4139,allocation!$C$4:$C$30,B4140),SUMIFS(allocation!$J$4:$J$30,allocation!$B$4:$B$30,B4139,allocation!$C$4:$C$30,B4140))</f>
        <v>0.87139957772704957</v>
      </c>
    </row>
    <row r="4162" spans="1:22" x14ac:dyDescent="0.2">
      <c r="A4162" t="s">
        <v>1050</v>
      </c>
      <c r="B4162" s="51">
        <f>INDEX(parameters!$D$4:$AB$20,MATCH(B4137&amp;B4139,parameters!$A$4:$A$20,0),MATCH(A4162,parameters!$D$3:$AB$3,0))</f>
        <v>2220.7364520822662</v>
      </c>
    </row>
    <row r="4164" spans="1:22" x14ac:dyDescent="0.2">
      <c r="A4164" s="3" t="s">
        <v>57</v>
      </c>
    </row>
    <row r="4165" spans="1:22" x14ac:dyDescent="0.2">
      <c r="A4165" s="2" t="s">
        <v>58</v>
      </c>
      <c r="B4165" s="44" t="s">
        <v>59</v>
      </c>
      <c r="C4165" s="2" t="s">
        <v>55</v>
      </c>
      <c r="D4165" s="2" t="s">
        <v>60</v>
      </c>
      <c r="E4165" s="2" t="s">
        <v>52</v>
      </c>
      <c r="F4165" s="2" t="s">
        <v>61</v>
      </c>
      <c r="G4165" s="2" t="s">
        <v>54</v>
      </c>
      <c r="H4165" s="2" t="s">
        <v>87</v>
      </c>
      <c r="I4165" s="2" t="s">
        <v>51</v>
      </c>
      <c r="J4165" s="2" t="s">
        <v>138</v>
      </c>
      <c r="K4165" s="2" t="s">
        <v>136</v>
      </c>
      <c r="L4165" s="2" t="s">
        <v>221</v>
      </c>
      <c r="M4165" s="2" t="s">
        <v>379</v>
      </c>
      <c r="N4165" s="2" t="s">
        <v>1059</v>
      </c>
      <c r="O4165" s="2" t="s">
        <v>1060</v>
      </c>
      <c r="P4165" s="2" t="s">
        <v>1061</v>
      </c>
      <c r="Q4165" s="2" t="s">
        <v>1062</v>
      </c>
      <c r="R4165" s="2" t="s">
        <v>1063</v>
      </c>
      <c r="S4165" s="2" t="s">
        <v>1064</v>
      </c>
      <c r="T4165" s="2" t="s">
        <v>1065</v>
      </c>
      <c r="U4165" s="2" t="s">
        <v>380</v>
      </c>
      <c r="V4165" s="2" t="s">
        <v>1128</v>
      </c>
    </row>
    <row r="4166" spans="1:22" x14ac:dyDescent="0.2">
      <c r="A4166" t="str">
        <f>B4127</f>
        <v>electricity, residential, by combustion of hydrogen using CHP, allocated by exergy, transported by pipeline, produced by Electrolysis, Alkaline using water and electricity from Solar PV (IT)</v>
      </c>
      <c r="B4166" s="45">
        <v>1</v>
      </c>
      <c r="C4166" t="str">
        <f>B4133</f>
        <v>kilowatt hour</v>
      </c>
      <c r="E4166" t="str">
        <f>B4130</f>
        <v>CH</v>
      </c>
      <c r="F4166" t="s">
        <v>62</v>
      </c>
      <c r="G4166" t="str">
        <f>B4132</f>
        <v>electricity, from residential heating system</v>
      </c>
      <c r="K4166" t="str">
        <f>B4127</f>
        <v>electricity, residential, by combustion of hydrogen using CHP, allocated by exergy, transported by pipeline, produced by Electrolysis, Alkaline using water and electricity from Solar PV (IT)</v>
      </c>
    </row>
    <row r="4167" spans="1:22" x14ac:dyDescent="0.2">
      <c r="A4167" t="str">
        <f>VLOOKUP(J4167,'dataset mapping'!$A$4:$E$69,2,0)</f>
        <v>heat and power co-generation unit construction, 160kW electrical, common components for heat+electricity</v>
      </c>
      <c r="B4167" s="52">
        <f>(1/(B4156*B4160*B4159))*B4161</f>
        <v>3.0995835856870056E-8</v>
      </c>
      <c r="C4167" t="str">
        <f>VLOOKUP(J4167,'dataset mapping'!$A$4:$E$69,5,0)</f>
        <v>unit</v>
      </c>
      <c r="E4167" t="str">
        <f>VLOOKUP(J4167,'dataset mapping'!$A$4:$E$69,4,0)</f>
        <v>RER</v>
      </c>
      <c r="F4167" t="s">
        <v>86</v>
      </c>
      <c r="G4167" t="str">
        <f>VLOOKUP(J4167,'dataset mapping'!$A$4:$E$69,3,0)</f>
        <v>heat and power co-generation unit, 160kW electrical, common components for heat+electricity</v>
      </c>
      <c r="H4167" t="s">
        <v>88</v>
      </c>
      <c r="J4167" t="s">
        <v>145</v>
      </c>
      <c r="K4167" t="str">
        <f>B4127</f>
        <v>electricity, residential, by combustion of hydrogen using CHP, allocated by exergy, transported by pipeline, produced by Electrolysis, Alkaline using water and electricity from Solar PV (IT)</v>
      </c>
      <c r="L4167">
        <f>IF(OR(B4167&lt;0,B4167=0),1,2)</f>
        <v>2</v>
      </c>
      <c r="M4167">
        <f>IF(L4167=2,LN(B4167),"")</f>
        <v>-17.28941296868171</v>
      </c>
      <c r="N4167">
        <v>1.05</v>
      </c>
      <c r="O4167" s="15">
        <v>1.2</v>
      </c>
      <c r="P4167">
        <v>1</v>
      </c>
      <c r="Q4167">
        <v>1.01</v>
      </c>
      <c r="R4167">
        <v>1.2</v>
      </c>
      <c r="S4167">
        <v>1.2</v>
      </c>
      <c r="T4167">
        <v>3</v>
      </c>
      <c r="U4167">
        <f t="shared" ref="U4167:U4174" si="132">LN(SQRT(EXP(
SQRT(
+POWER(LN(N4167),2)
+POWER(LN(O4167),2)
+POWER(LN(P4167),2)
+POWER(LN(Q4167),2)
+POWER(LN(R4167),2)
+POWER(LN(S4167),2)
+POWER(LN(T4167),2)
)
)))</f>
        <v>0.57209088006881903</v>
      </c>
    </row>
    <row r="4168" spans="1:22" x14ac:dyDescent="0.2">
      <c r="A4168" t="str">
        <f>VLOOKUP(J4168,'dataset mapping'!$A$4:$E$69,2,0)</f>
        <v>heat and power co-generation unit construction, 160kW electrical, components for electricity only</v>
      </c>
      <c r="B4168" s="52">
        <f>(1/(B4156*B4160*B4159))*B4161</f>
        <v>3.0995835856870056E-8</v>
      </c>
      <c r="C4168" t="str">
        <f>VLOOKUP(J4168,'dataset mapping'!$A$4:$E$69,5,0)</f>
        <v>unit</v>
      </c>
      <c r="E4168" t="str">
        <f>VLOOKUP(J4168,'dataset mapping'!$A$4:$E$69,4,0)</f>
        <v>RER</v>
      </c>
      <c r="F4168" t="s">
        <v>86</v>
      </c>
      <c r="G4168" t="str">
        <f>VLOOKUP(J4168,'dataset mapping'!$A$4:$E$69,3,0)</f>
        <v>heat and power co-generation unit, 160kW electrical, components for electricity only</v>
      </c>
      <c r="H4168" t="s">
        <v>88</v>
      </c>
      <c r="J4168" t="s">
        <v>146</v>
      </c>
      <c r="K4168" t="str">
        <f>B4127</f>
        <v>electricity, residential, by combustion of hydrogen using CHP, allocated by exergy, transported by pipeline, produced by Electrolysis, Alkaline using water and electricity from Solar PV (IT)</v>
      </c>
      <c r="L4168">
        <f>IF(OR(B4168&lt;0,B4168=0),1,2)</f>
        <v>2</v>
      </c>
      <c r="M4168">
        <f>IF(L4168=2,LN(B4168),"")</f>
        <v>-17.28941296868171</v>
      </c>
      <c r="N4168">
        <v>1.05</v>
      </c>
      <c r="O4168" s="15">
        <v>1.2</v>
      </c>
      <c r="P4168">
        <v>1</v>
      </c>
      <c r="Q4168">
        <v>1.01</v>
      </c>
      <c r="R4168">
        <v>1.2</v>
      </c>
      <c r="S4168">
        <v>1.2</v>
      </c>
      <c r="T4168">
        <v>3</v>
      </c>
      <c r="U4168">
        <f t="shared" si="132"/>
        <v>0.57209088006881903</v>
      </c>
    </row>
    <row r="4169" spans="1:22" x14ac:dyDescent="0.2">
      <c r="A4169" t="str">
        <f>VLOOKUP(J4169,'dataset mapping'!$A$4:$E$69,2,0)</f>
        <v>heat and power co-generation unit construction, 160kW electrical, components for heat only</v>
      </c>
      <c r="B4169" s="52">
        <f>(1/(B4156*B4160*B4159))*B4161</f>
        <v>3.0995835856870056E-8</v>
      </c>
      <c r="C4169" t="str">
        <f>VLOOKUP(J4169,'dataset mapping'!$A$4:$E$69,5,0)</f>
        <v>unit</v>
      </c>
      <c r="E4169" t="str">
        <f>VLOOKUP(J4169,'dataset mapping'!$A$4:$E$69,4,0)</f>
        <v>RER</v>
      </c>
      <c r="F4169" t="s">
        <v>86</v>
      </c>
      <c r="G4169" t="str">
        <f>VLOOKUP(J4169,'dataset mapping'!$A$4:$E$69,3,0)</f>
        <v>heat and power co-generation unit, 160kW electrical, components for heat only</v>
      </c>
      <c r="H4169" t="s">
        <v>88</v>
      </c>
      <c r="J4169" t="s">
        <v>147</v>
      </c>
      <c r="K4169" t="str">
        <f>B4127</f>
        <v>electricity, residential, by combustion of hydrogen using CHP, allocated by exergy, transported by pipeline, produced by Electrolysis, Alkaline using water and electricity from Solar PV (IT)</v>
      </c>
      <c r="L4169">
        <f>IF(OR(B4169&lt;0,B4169=0),1,2)</f>
        <v>2</v>
      </c>
      <c r="M4169">
        <f>IF(L4169=2,LN(B4169),"")</f>
        <v>-17.28941296868171</v>
      </c>
      <c r="N4169">
        <v>1.05</v>
      </c>
      <c r="O4169" s="15">
        <v>1.2</v>
      </c>
      <c r="P4169">
        <v>1</v>
      </c>
      <c r="Q4169">
        <v>1.01</v>
      </c>
      <c r="R4169">
        <v>1.2</v>
      </c>
      <c r="S4169">
        <v>1.2</v>
      </c>
      <c r="T4169">
        <v>3</v>
      </c>
      <c r="U4169">
        <f t="shared" si="132"/>
        <v>0.57209088006881903</v>
      </c>
    </row>
    <row r="4170" spans="1:22" x14ac:dyDescent="0.2">
      <c r="A4170" t="s">
        <v>156</v>
      </c>
      <c r="B4170" s="52">
        <f>0.00000011366*B4161</f>
        <v>9.9043276004456456E-8</v>
      </c>
      <c r="C4170" t="s">
        <v>56</v>
      </c>
      <c r="E4170" t="s">
        <v>90</v>
      </c>
      <c r="F4170" t="s">
        <v>86</v>
      </c>
      <c r="G4170" t="s">
        <v>154</v>
      </c>
      <c r="H4170" t="s">
        <v>155</v>
      </c>
      <c r="K4170" t="str">
        <f>B4127</f>
        <v>electricity, residential, by combustion of hydrogen using CHP, allocated by exergy, transported by pipeline, produced by Electrolysis, Alkaline using water and electricity from Solar PV (IT)</v>
      </c>
      <c r="L4170">
        <f>IF(OR(B4170&lt;0,B4170=0),1,2)</f>
        <v>2</v>
      </c>
      <c r="M4170">
        <f>IF(L4170=2,LN(B4170),"")</f>
        <v>-16.127708950967754</v>
      </c>
      <c r="N4170">
        <v>1.05</v>
      </c>
      <c r="O4170" s="15">
        <v>1.2</v>
      </c>
      <c r="P4170">
        <v>1</v>
      </c>
      <c r="Q4170">
        <v>1.01</v>
      </c>
      <c r="R4170">
        <v>1.2</v>
      </c>
      <c r="S4170">
        <v>1.2</v>
      </c>
      <c r="T4170">
        <v>1.05</v>
      </c>
      <c r="U4170">
        <f t="shared" si="132"/>
        <v>0.16169679924070957</v>
      </c>
    </row>
    <row r="4171" spans="1:22" x14ac:dyDescent="0.2">
      <c r="A4171" t="s">
        <v>157</v>
      </c>
      <c r="B4171" s="52">
        <f>0.00000011366*B4161*-1</f>
        <v>-9.9043276004456456E-8</v>
      </c>
      <c r="C4171" t="s">
        <v>56</v>
      </c>
      <c r="E4171" t="s">
        <v>64</v>
      </c>
      <c r="F4171" t="s">
        <v>86</v>
      </c>
      <c r="G4171" t="s">
        <v>158</v>
      </c>
      <c r="H4171" t="s">
        <v>155</v>
      </c>
      <c r="K4171" t="str">
        <f>B4127</f>
        <v>electricity, residential, by combustion of hydrogen using CHP, allocated by exergy, transported by pipeline, produced by Electrolysis, Alkaline using water and electricity from Solar PV (IT)</v>
      </c>
      <c r="L4171">
        <v>2</v>
      </c>
      <c r="M4171">
        <f>IF(L4171=2,LN(B4171*-1),"")</f>
        <v>-16.127708950967754</v>
      </c>
      <c r="N4171">
        <v>1.05</v>
      </c>
      <c r="O4171" s="15">
        <v>1.2</v>
      </c>
      <c r="P4171">
        <v>1</v>
      </c>
      <c r="Q4171">
        <v>1.01</v>
      </c>
      <c r="R4171">
        <v>1.2</v>
      </c>
      <c r="S4171">
        <v>1.2</v>
      </c>
      <c r="T4171">
        <v>3</v>
      </c>
      <c r="U4171">
        <f t="shared" si="132"/>
        <v>0.57209088006881903</v>
      </c>
      <c r="V4171" t="b">
        <v>1</v>
      </c>
    </row>
    <row r="4172" spans="1:22" x14ac:dyDescent="0.2">
      <c r="A4172" s="45" t="str">
        <f>"hydrogen supply, transported by "&amp;B4141&amp;", produced by "&amp;B4145&amp;" using "&amp;B4146&amp;" from "&amp;B4147</f>
        <v>hydrogen supply, transported by pipeline, produced by Electrolysis, Alkaline using water and electricity from Solar PV (IT)</v>
      </c>
      <c r="B4172" s="53">
        <f>(B4166/B4150)/B4149*B4161</f>
        <v>6.6350221654343872E-2</v>
      </c>
      <c r="C4172" t="s">
        <v>56</v>
      </c>
      <c r="E4172" t="s">
        <v>64</v>
      </c>
      <c r="F4172" t="s">
        <v>86</v>
      </c>
      <c r="G4172" t="str">
        <f>"hydrogen, gaseous, from "&amp;B4141</f>
        <v>hydrogen, gaseous, from pipeline</v>
      </c>
      <c r="H4172" t="s">
        <v>76</v>
      </c>
      <c r="I4172" t="s">
        <v>1054</v>
      </c>
      <c r="J4172" t="s">
        <v>636</v>
      </c>
      <c r="K4172" t="str">
        <f>B4127</f>
        <v>electricity, residential, by combustion of hydrogen using CHP, allocated by exergy, transported by pipeline, produced by Electrolysis, Alkaline using water and electricity from Solar PV (IT)</v>
      </c>
      <c r="L4172">
        <f>IF(OR(B4172&lt;0,B4172=0),1,2)</f>
        <v>2</v>
      </c>
      <c r="M4172">
        <f>IF(L4172=2,LN(B4172),"")</f>
        <v>-2.7128081775260964</v>
      </c>
      <c r="N4172">
        <v>1.05</v>
      </c>
      <c r="O4172" s="15">
        <v>1.2</v>
      </c>
      <c r="P4172">
        <v>1</v>
      </c>
      <c r="Q4172">
        <v>1.01</v>
      </c>
      <c r="R4172">
        <v>1.2</v>
      </c>
      <c r="S4172">
        <v>1.2</v>
      </c>
      <c r="T4172">
        <v>1.05</v>
      </c>
      <c r="U4172">
        <f t="shared" si="132"/>
        <v>0.16169679924070957</v>
      </c>
    </row>
    <row r="4173" spans="1:22" x14ac:dyDescent="0.2">
      <c r="A4173" t="s">
        <v>134</v>
      </c>
      <c r="B4173" s="45">
        <f>B4172*9</f>
        <v>0.59715199488909487</v>
      </c>
      <c r="C4173" t="s">
        <v>56</v>
      </c>
      <c r="D4173" t="s">
        <v>100</v>
      </c>
      <c r="F4173" t="s">
        <v>99</v>
      </c>
      <c r="H4173" t="s">
        <v>131</v>
      </c>
      <c r="I4173" t="s">
        <v>1058</v>
      </c>
      <c r="K4173" t="str">
        <f>B4127</f>
        <v>electricity, residential, by combustion of hydrogen using CHP, allocated by exergy, transported by pipeline, produced by Electrolysis, Alkaline using water and electricity from Solar PV (IT)</v>
      </c>
      <c r="L4173">
        <f>IF(OR(B4173&lt;0,B4173=0),1,2)</f>
        <v>2</v>
      </c>
      <c r="M4173">
        <f>IF(L4173=2,LN(B4173),"")</f>
        <v>-0.51558360018987692</v>
      </c>
      <c r="N4173">
        <v>1.05</v>
      </c>
      <c r="O4173" s="15">
        <v>1.2</v>
      </c>
      <c r="P4173">
        <v>1</v>
      </c>
      <c r="Q4173">
        <v>1.01</v>
      </c>
      <c r="R4173">
        <v>1.2</v>
      </c>
      <c r="S4173">
        <v>1.2</v>
      </c>
      <c r="T4173">
        <v>1.05</v>
      </c>
      <c r="U4173">
        <f t="shared" si="132"/>
        <v>0.16169679924070957</v>
      </c>
    </row>
    <row r="4174" spans="1:22" x14ac:dyDescent="0.2">
      <c r="A4174" t="s">
        <v>135</v>
      </c>
      <c r="B4174" s="45">
        <f>912.5/1000000*B4172</f>
        <v>6.0544577259588785E-5</v>
      </c>
      <c r="C4174" t="s">
        <v>56</v>
      </c>
      <c r="D4174" t="s">
        <v>100</v>
      </c>
      <c r="F4174" t="s">
        <v>99</v>
      </c>
      <c r="H4174" t="s">
        <v>131</v>
      </c>
      <c r="I4174" t="s">
        <v>1217</v>
      </c>
      <c r="K4174" t="str">
        <f>B4127</f>
        <v>electricity, residential, by combustion of hydrogen using CHP, allocated by exergy, transported by pipeline, produced by Electrolysis, Alkaline using water and electricity from Solar PV (IT)</v>
      </c>
      <c r="L4174">
        <f>IF(OR(B4174&lt;0,B4174=0),1,2)</f>
        <v>2</v>
      </c>
      <c r="M4174">
        <f>IF(L4174=2,LN(B4174),"")</f>
        <v>-9.712130650033723</v>
      </c>
      <c r="N4174">
        <v>1.05</v>
      </c>
      <c r="O4174" s="15">
        <v>1.2</v>
      </c>
      <c r="P4174">
        <v>1</v>
      </c>
      <c r="Q4174">
        <v>1.01</v>
      </c>
      <c r="R4174">
        <v>1.2</v>
      </c>
      <c r="S4174">
        <v>1.2</v>
      </c>
      <c r="T4174">
        <v>1.5</v>
      </c>
      <c r="U4174">
        <f t="shared" si="132"/>
        <v>0.25816898211842121</v>
      </c>
    </row>
    <row r="4176" spans="1:22" x14ac:dyDescent="0.2">
      <c r="A4176" s="2" t="s">
        <v>50</v>
      </c>
      <c r="B4176" s="44" t="str">
        <f>IF(B4182="megajoule","heat","electricity")&amp;", residential, by "&amp;B4187&amp;" of "&amp;B4186&amp;" using "&amp;B4188&amp;IF(B4189&lt;&gt;0,", allocated by "&amp;B4189,"")&amp;", transported by "&amp;B4190&amp;", produced by "&amp;B4194&amp;" using "&amp;B4195&amp;" from "&amp;B4196</f>
        <v>electricity, residential, by conversion of hydrogen using fuel cell, PEM, allocated by exergy, transported by pipeline, produced by Electrolysis, Alkaline using water and electricity from Solar PV (IT)</v>
      </c>
    </row>
    <row r="4177" spans="1:2" x14ac:dyDescent="0.2">
      <c r="A4177" t="s">
        <v>51</v>
      </c>
      <c r="B4177" s="45" t="str">
        <f>"This dataset represents the supply of 1 "&amp;IF(B4182="megajoule","megajoule of heat","kilowatt hour of electricity")&amp;" in a residence, by "&amp;B4186&amp;" "&amp;B4187&amp;" in a "&amp;B4188&amp;". "&amp;" The hydrogen is transported by "&amp;B4190&amp;" over "&amp;B4191&amp;" km from regional storage. "&amp;" The "&amp;B4186&amp;" is produced by  "&amp;B4194&amp;", with "&amp;B4195&amp;" from "&amp;B4196&amp;" as feedstock. "&amp;A4198&amp;": "&amp;(B4198*100)&amp;"%. "&amp;A4199&amp;": "&amp;B4199&amp;". "&amp;A4200&amp;": "&amp;B4200&amp;". "&amp;A4201&amp;": "&amp;(B4201*100)&amp;"%. "&amp;A4202&amp;": "&amp;(B4202*100)&amp;"%. "&amp;A4203&amp;": "&amp;(B4203*100)&amp;"%. "&amp;A4204&amp;": "&amp;B4204&amp;". "&amp;A4205&amp;": "&amp;B4205&amp;". "&amp;A4206&amp;": "&amp;(B4206*100)&amp;"%. "&amp;A4207&amp;": "&amp;B4207&amp;". "&amp;A4208&amp;": "&amp;B4208&amp;". "&amp;A4209&amp;": "&amp;B4209&amp;". "&amp;A4210&amp;": "&amp;B4210&amp;".  For more information, refer to: "&amp;B4178</f>
        <v>This dataset represents the supply of 1 kilowatt hour of electricity in a residence, by hydrogen conversion in a fuel cell, PEM.  The hydrogen is transported by pipeline over 1700 km from regional storage.  The hydrogen is produced by  Electrolysis, Alkaline,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4178" spans="1:2" x14ac:dyDescent="0.2">
      <c r="A4178" t="s">
        <v>63</v>
      </c>
      <c r="B4178" s="45" t="s">
        <v>1223</v>
      </c>
    </row>
    <row r="4179" spans="1:2" x14ac:dyDescent="0.2">
      <c r="A4179" t="s">
        <v>52</v>
      </c>
      <c r="B4179" s="45" t="s">
        <v>64</v>
      </c>
    </row>
    <row r="4180" spans="1:2" x14ac:dyDescent="0.2">
      <c r="A4180" t="s">
        <v>48</v>
      </c>
      <c r="B4180" s="45" t="s">
        <v>902</v>
      </c>
    </row>
    <row r="4181" spans="1:2" x14ac:dyDescent="0.2">
      <c r="A4181" t="s">
        <v>54</v>
      </c>
      <c r="B4181" s="45" t="str">
        <f>INDEX(overview!$B$4:$R$338,MATCH('hydrogen - electrolysis'!B4180,overview!$A$4:$A$338,0),MATCH('hydrogen - electrolysis'!A4181,overview!$B$3:$R$3,0))</f>
        <v>electricity, from residential heating system</v>
      </c>
    </row>
    <row r="4182" spans="1:2" x14ac:dyDescent="0.2">
      <c r="A4182" t="s">
        <v>55</v>
      </c>
      <c r="B4182" s="45" t="str">
        <f>INDEX(overview!$B$4:$R$338,MATCH('hydrogen - electrolysis'!B4180,overview!$A$4:$A$338,0),MATCH('hydrogen - electrolysis'!A4182,overview!$B$3:$R$3,0))</f>
        <v>kilowatt hour</v>
      </c>
    </row>
    <row r="4183" spans="1:2" x14ac:dyDescent="0.2">
      <c r="A4183" t="s">
        <v>0</v>
      </c>
      <c r="B4183" s="45" t="str">
        <f>INDEX(overview!$B$4:$R$338,MATCH('hydrogen - electrolysis'!B4180,overview!$A$4:$A$338,0),MATCH('hydrogen - electrolysis'!A4183,overview!$B$3:$R$3,0))</f>
        <v>Switzerland</v>
      </c>
    </row>
    <row r="4184" spans="1:2" x14ac:dyDescent="0.2">
      <c r="A4184" t="s">
        <v>1</v>
      </c>
      <c r="B4184" s="45">
        <f>INDEX(overview!$B$4:$R$338,MATCH('hydrogen - electrolysis'!B4180,overview!$A$4:$A$338,0),MATCH('hydrogen - electrolysis'!A4184,overview!$B$3:$R$3,0))</f>
        <v>2020</v>
      </c>
    </row>
    <row r="4185" spans="1:2" x14ac:dyDescent="0.2">
      <c r="A4185" t="s">
        <v>2</v>
      </c>
      <c r="B4185" s="45" t="str">
        <f>INDEX(overview!$B$4:$R$338,MATCH('hydrogen - electrolysis'!B4180,overview!$A$4:$A$338,0),MATCH('hydrogen - electrolysis'!A4185,overview!$B$3:$R$3,0))</f>
        <v>1 kWh electricity</v>
      </c>
    </row>
    <row r="4186" spans="1:2" x14ac:dyDescent="0.2">
      <c r="A4186" t="s">
        <v>5</v>
      </c>
      <c r="B4186" s="45" t="str">
        <f>INDEX(overview!$B$4:$R$338,MATCH('hydrogen - electrolysis'!B4180,overview!$A$4:$A$338,0),MATCH('hydrogen - electrolysis'!A4186,overview!$B$3:$R$3,0))</f>
        <v>hydrogen</v>
      </c>
    </row>
    <row r="4187" spans="1:2" x14ac:dyDescent="0.2">
      <c r="A4187" t="s">
        <v>3</v>
      </c>
      <c r="B4187" s="45" t="str">
        <f>INDEX(overview!$B$4:$R$338,MATCH('hydrogen - electrolysis'!B4180,overview!$A$4:$A$338,0),MATCH('hydrogen - electrolysis'!A4187,overview!$B$3:$R$3,0))</f>
        <v>conversion</v>
      </c>
    </row>
    <row r="4188" spans="1:2" x14ac:dyDescent="0.2">
      <c r="A4188" t="s">
        <v>6</v>
      </c>
      <c r="B4188" s="45" t="str">
        <f>INDEX(overview!$B$4:$R$338,MATCH('hydrogen - electrolysis'!B4180,overview!$A$4:$A$338,0),MATCH('hydrogen - electrolysis'!A4188,overview!$B$3:$R$3,0))</f>
        <v>fuel cell, PEM</v>
      </c>
    </row>
    <row r="4189" spans="1:2" x14ac:dyDescent="0.2">
      <c r="A4189" t="s">
        <v>39</v>
      </c>
      <c r="B4189" s="45" t="str">
        <f>INDEX(overview!$B$4:$R$338,MATCH('hydrogen - electrolysis'!B4180,overview!$A$4:$A$338,0),MATCH('hydrogen - electrolysis'!A4189,overview!$B$3:$R$3,0))</f>
        <v>exergy</v>
      </c>
    </row>
    <row r="4190" spans="1:2" x14ac:dyDescent="0.2">
      <c r="A4190" t="s">
        <v>4</v>
      </c>
      <c r="B4190" s="45" t="str">
        <f>INDEX(overview!$B$4:$R$338,MATCH('hydrogen - electrolysis'!B4180,overview!$A$4:$A$338,0),MATCH('hydrogen - electrolysis'!A4190,overview!$B$3:$R$3,0))</f>
        <v>pipeline</v>
      </c>
    </row>
    <row r="4191" spans="1:2" x14ac:dyDescent="0.2">
      <c r="A4191" t="s">
        <v>38</v>
      </c>
      <c r="B4191" s="45">
        <f>INDEX(overview!$B$4:$R$338,MATCH('hydrogen - electrolysis'!B4180,overview!$A$4:$A$338,0),MATCH('hydrogen - electrolysis'!A4191,overview!$B$3:$R$3,0))</f>
        <v>1700</v>
      </c>
    </row>
    <row r="4192" spans="1:2" x14ac:dyDescent="0.2">
      <c r="A4192" t="s">
        <v>12</v>
      </c>
      <c r="B4192" s="45" t="str">
        <f>INDEX(overview!$B$4:$R$338,MATCH('hydrogen - electrolysis'!B4180,overview!$A$4:$A$338,0),MATCH('hydrogen - electrolysis'!A4192,overview!$B$3:$R$3,0))</f>
        <v>Pressure vessel for stationary storage</v>
      </c>
    </row>
    <row r="4193" spans="1:2" x14ac:dyDescent="0.2">
      <c r="A4193" t="s">
        <v>34</v>
      </c>
      <c r="B4193" s="45">
        <f>INDEX(overview!$B$4:$R$338,MATCH('hydrogen - electrolysis'!B4180,overview!$A$4:$A$338,0),MATCH('hydrogen - electrolysis'!A4193,overview!$B$3:$R$3,0))</f>
        <v>0</v>
      </c>
    </row>
    <row r="4194" spans="1:2" x14ac:dyDescent="0.2">
      <c r="A4194" t="s">
        <v>15</v>
      </c>
      <c r="B4194" s="45" t="str">
        <f>INDEX(overview!$B$4:$R$338,MATCH('hydrogen - electrolysis'!B4180,overview!$A$4:$A$338,0),MATCH('hydrogen - electrolysis'!A4194,overview!$B$3:$R$3,0))</f>
        <v>Electrolysis, Alkaline</v>
      </c>
    </row>
    <row r="4195" spans="1:2" x14ac:dyDescent="0.2">
      <c r="A4195" t="s">
        <v>14</v>
      </c>
      <c r="B4195" s="45" t="str">
        <f>INDEX(overview!$B$4:$R$338,MATCH('hydrogen - electrolysis'!B4180,overview!$A$4:$A$338,0),MATCH('hydrogen - electrolysis'!A4195,overview!$B$3:$R$3,0))</f>
        <v>water and electricity</v>
      </c>
    </row>
    <row r="4196" spans="1:2" x14ac:dyDescent="0.2">
      <c r="A4196" t="s">
        <v>26</v>
      </c>
      <c r="B4196" s="45" t="str">
        <f>INDEX(overview!$B$4:$R$338,MATCH('hydrogen - electrolysis'!B4180,overview!$A$4:$A$338,0),MATCH('hydrogen - electrolysis'!A4196,overview!$B$3:$R$3,0))</f>
        <v>Solar PV (IT)</v>
      </c>
    </row>
    <row r="4197" spans="1:2" x14ac:dyDescent="0.2">
      <c r="A4197" t="s">
        <v>29</v>
      </c>
      <c r="B4197" s="45">
        <f>INDEX(overview!$B$4:$R$338,MATCH('hydrogen - electrolysis'!B4180,overview!$A$4:$A$338,0),MATCH('hydrogen - electrolysis'!A4197,overview!$B$3:$R$3,0))</f>
        <v>0</v>
      </c>
    </row>
    <row r="4198" spans="1:2" x14ac:dyDescent="0.2">
      <c r="A4198" t="str">
        <f>IF(B4182="megajoule","Heat","Electricity")&amp;" conversion efficiency [% LHV input]"</f>
        <v>Electricity conversion efficiency [% LHV input]</v>
      </c>
      <c r="B4198" s="46">
        <f>INDEX(parameters!$D$4:$N$20,MATCH('hydrogen - electrolysis'!B4186&amp;'hydrogen - electrolysis'!B4188,parameters!$A$4:$A$20,0),MATCH('hydrogen - electrolysis'!A4198,parameters!$D$3:$N$3,0))</f>
        <v>0.45</v>
      </c>
    </row>
    <row r="4199" spans="1:2" x14ac:dyDescent="0.2">
      <c r="A4199" t="str">
        <f>IF(B4182="megajoule","LHV [MJ/kg]","LHV [kWh/kg]")</f>
        <v>LHV [kWh/kg]</v>
      </c>
      <c r="B4199" s="47">
        <f>INDEX(parameters!$D$4:$N$20,MATCH('hydrogen - electrolysis'!B4186&amp;'hydrogen - electrolysis'!B4188,parameters!$A$4:$A$20,0),MATCH('hydrogen - electrolysis'!A4199,parameters!$D$3:$N$3,0))</f>
        <v>33.333333333333336</v>
      </c>
    </row>
    <row r="4200" spans="1:2" x14ac:dyDescent="0.2">
      <c r="A4200" t="s">
        <v>41</v>
      </c>
      <c r="B4200" s="48">
        <f>INDEX(parameters!$D$4:$N$20,MATCH('hydrogen - electrolysis'!B4186&amp;'hydrogen - electrolysis'!B4188,parameters!$A$4:$A$20,0),MATCH('hydrogen - electrolysis'!A4200,parameters!$D$3:$N$3,0))</f>
        <v>2.6666666666666665E-2</v>
      </c>
    </row>
    <row r="4201" spans="1:2" x14ac:dyDescent="0.2">
      <c r="A4201" t="s">
        <v>45</v>
      </c>
      <c r="B4201" s="46">
        <f>INDEX(parameters!$D$4:$N$20,MATCH('hydrogen - electrolysis'!B4186&amp;'hydrogen - electrolysis'!B4188,parameters!$A$4:$A$20,0),MATCH('hydrogen - electrolysis'!A4201,parameters!$D$3:$N$3,0))</f>
        <v>0</v>
      </c>
    </row>
    <row r="4202" spans="1:2" x14ac:dyDescent="0.2">
      <c r="A4202" t="s">
        <v>46</v>
      </c>
      <c r="B4202" s="46">
        <f>INDEX(parameters!$D$4:$N$20,MATCH('hydrogen - electrolysis'!B4186&amp;'hydrogen - electrolysis'!B4188,parameters!$A$4:$A$20,0),MATCH('hydrogen - electrolysis'!A4202,parameters!$D$3:$N$3,0))</f>
        <v>1.4999999999999999E-2</v>
      </c>
    </row>
    <row r="4203" spans="1:2" x14ac:dyDescent="0.2">
      <c r="A4203" t="s">
        <v>43</v>
      </c>
      <c r="B4203" s="46">
        <f>INDEX(parameters!$D$4:$N$20,MATCH('hydrogen - electrolysis'!B4186&amp;'hydrogen - electrolysis'!B4188,parameters!$A$4:$A$20,0),MATCH('hydrogen - electrolysis'!A4203,parameters!$D$3:$N$3,0))</f>
        <v>0</v>
      </c>
    </row>
    <row r="4204" spans="1:2" x14ac:dyDescent="0.2">
      <c r="A4204" t="s">
        <v>44</v>
      </c>
      <c r="B4204" s="46">
        <f>INDEX(parameters!$D$4:$N$20,MATCH('hydrogen - electrolysis'!B4186&amp;'hydrogen - electrolysis'!B4188,parameters!$A$4:$A$20,0),MATCH('hydrogen - electrolysis'!A4204,parameters!$D$3:$N$3,0))</f>
        <v>0</v>
      </c>
    </row>
    <row r="4205" spans="1:2" x14ac:dyDescent="0.2">
      <c r="A4205" t="s">
        <v>634</v>
      </c>
      <c r="B4205" s="51">
        <f>INDEX(parameters!$D$4:$Y$20,MATCH('hydrogen - electrolysis'!B4186&amp;'hydrogen - electrolysis'!B4188,parameters!$A$4:$A$20,0),MATCH('hydrogen - electrolysis'!A4205,parameters!$D$3:$Y$3,0))</f>
        <v>1.8947368421052633</v>
      </c>
    </row>
    <row r="4206" spans="1:2" x14ac:dyDescent="0.2">
      <c r="A4206" t="s">
        <v>82</v>
      </c>
      <c r="B4206" s="46">
        <f>IF(B4197&lt;&gt;0,VLOOKUP(B4197,parameters!A2770:B2772,2,0),0)</f>
        <v>0</v>
      </c>
    </row>
    <row r="4207" spans="1:2" x14ac:dyDescent="0.2">
      <c r="A4207" t="s">
        <v>548</v>
      </c>
      <c r="B4207" s="50">
        <f>INDEX(parameters!$D$4:$P$20,MATCH(B4186&amp;B4188,parameters!$A$4:$A$20,0),MATCH(A4207,parameters!$D$3:$P$3,0))</f>
        <v>0.8</v>
      </c>
    </row>
    <row r="4208" spans="1:2" x14ac:dyDescent="0.2">
      <c r="A4208" t="s">
        <v>547</v>
      </c>
      <c r="B4208" s="51">
        <f>INDEX(parameters!$D$4:$P$20,MATCH(B4186&amp;B4188,parameters!$A$4:$A$20,0),MATCH(A4208,parameters!$D$3:$P$3,0))</f>
        <v>4.8780487804878048</v>
      </c>
    </row>
    <row r="4209" spans="1:22" x14ac:dyDescent="0.2">
      <c r="A4209" t="s">
        <v>630</v>
      </c>
      <c r="B4209" s="51">
        <f>INDEX(parameters!$D$4:$T$20,MATCH(B4186&amp;B4188,parameters!$A$4:$A$20,0),MATCH(A4209,parameters!$D$3:$T$3,0))</f>
        <v>4100</v>
      </c>
    </row>
    <row r="4210" spans="1:22" x14ac:dyDescent="0.2">
      <c r="A4210" t="s">
        <v>1005</v>
      </c>
      <c r="B4210" s="50">
        <f>IF(B4182="megajoule",SUMIFS(allocation!$I$4:$I$30,allocation!$B$4:$B$30,B4188,allocation!$C$4:$C$30,B4189),SUMIFS(allocation!$J$4:$J$30,allocation!$B$4:$B$30,B4188,allocation!$C$4:$C$30,B4189))</f>
        <v>0.86066019201025545</v>
      </c>
    </row>
    <row r="4211" spans="1:22" x14ac:dyDescent="0.2">
      <c r="A4211" t="s">
        <v>1050</v>
      </c>
      <c r="B4211" s="51">
        <f>INDEX(parameters!$D$4:$AB$20,MATCH(B4186&amp;B4188,parameters!$A$4:$A$20,0),MATCH(A4211,parameters!$D$3:$AB$3,0))</f>
        <v>10.221606648199446</v>
      </c>
    </row>
    <row r="4213" spans="1:22" x14ac:dyDescent="0.2">
      <c r="A4213" s="3" t="s">
        <v>57</v>
      </c>
    </row>
    <row r="4214" spans="1:22" x14ac:dyDescent="0.2">
      <c r="A4214" s="2" t="s">
        <v>58</v>
      </c>
      <c r="B4214" s="44" t="s">
        <v>59</v>
      </c>
      <c r="C4214" s="2" t="s">
        <v>55</v>
      </c>
      <c r="D4214" s="2" t="s">
        <v>60</v>
      </c>
      <c r="E4214" s="2" t="s">
        <v>52</v>
      </c>
      <c r="F4214" s="2" t="s">
        <v>61</v>
      </c>
      <c r="G4214" s="2" t="s">
        <v>54</v>
      </c>
      <c r="H4214" s="2" t="s">
        <v>87</v>
      </c>
      <c r="I4214" s="2" t="s">
        <v>51</v>
      </c>
      <c r="J4214" s="2" t="s">
        <v>138</v>
      </c>
      <c r="K4214" s="2" t="s">
        <v>136</v>
      </c>
      <c r="L4214" s="2" t="s">
        <v>221</v>
      </c>
      <c r="M4214" s="2" t="s">
        <v>379</v>
      </c>
      <c r="N4214" s="2" t="s">
        <v>1059</v>
      </c>
      <c r="O4214" s="2" t="s">
        <v>1060</v>
      </c>
      <c r="P4214" s="2" t="s">
        <v>1061</v>
      </c>
      <c r="Q4214" s="2" t="s">
        <v>1062</v>
      </c>
      <c r="R4214" s="2" t="s">
        <v>1063</v>
      </c>
      <c r="S4214" s="2" t="s">
        <v>1064</v>
      </c>
      <c r="T4214" s="2" t="s">
        <v>1065</v>
      </c>
      <c r="U4214" s="2" t="s">
        <v>380</v>
      </c>
      <c r="V4214" s="2" t="s">
        <v>1128</v>
      </c>
    </row>
    <row r="4215" spans="1:22" x14ac:dyDescent="0.2">
      <c r="A4215" t="str">
        <f>B4176</f>
        <v>electricity, residential, by conversion of hydrogen using fuel cell, PEM, allocated by exergy, transported by pipeline, produced by Electrolysis, Alkaline using water and electricity from Solar PV (IT)</v>
      </c>
      <c r="B4215" s="45">
        <v>1</v>
      </c>
      <c r="C4215" t="str">
        <f>B4182</f>
        <v>kilowatt hour</v>
      </c>
      <c r="E4215" t="str">
        <f>B4179</f>
        <v>CH</v>
      </c>
      <c r="F4215" t="s">
        <v>62</v>
      </c>
      <c r="G4215" t="str">
        <f>B4181</f>
        <v>electricity, from residential heating system</v>
      </c>
      <c r="K4215" t="str">
        <f>B4176</f>
        <v>electricity, residential, by conversion of hydrogen using fuel cell, PEM, allocated by exergy, transported by pipeline, produced by Electrolysis, Alkaline using water and electricity from Solar PV (IT)</v>
      </c>
    </row>
    <row r="4216" spans="1:22" x14ac:dyDescent="0.2">
      <c r="A4216" t="str">
        <f>VLOOKUP(J4216,'dataset mapping'!$A$4:$E$69,2,0)</f>
        <v>fuel cell system assembly, 1 kWe, proton exchange membrane (PEM)</v>
      </c>
      <c r="B4216" s="52">
        <f>(1/(B4205*B4209*B4208))*B4210</f>
        <v>2.2711866178048405E-5</v>
      </c>
      <c r="C4216" t="str">
        <f>VLOOKUP(J4216,'dataset mapping'!$A$4:$E$69,5,0)</f>
        <v>unit</v>
      </c>
      <c r="E4216" t="str">
        <f>VLOOKUP(J4216,'dataset mapping'!$A$4:$E$69,4,0)</f>
        <v>GLO</v>
      </c>
      <c r="F4216" t="s">
        <v>86</v>
      </c>
      <c r="G4216" t="str">
        <f>VLOOKUP(J4216,'dataset mapping'!$A$4:$E$69,3,0)</f>
        <v>fuel cell system, 1 kWe, proton exchange membrane (PEM)</v>
      </c>
      <c r="H4216" t="s">
        <v>88</v>
      </c>
      <c r="I4216" t="s">
        <v>272</v>
      </c>
      <c r="J4216" t="s">
        <v>273</v>
      </c>
      <c r="K4216" t="str">
        <f>B4176</f>
        <v>electricity, residential, by conversion of hydrogen using fuel cell, PEM, allocated by exergy, transported by pipeline, produced by Electrolysis, Alkaline using water and electricity from Solar PV (IT)</v>
      </c>
      <c r="L4216">
        <f>IF(OR(B4216&lt;0,B4216=0),1,2)</f>
        <v>2</v>
      </c>
      <c r="M4216">
        <f>IF(L4216=2,LN(B4216),"")</f>
        <v>-10.692623030936341</v>
      </c>
      <c r="N4216">
        <v>1</v>
      </c>
      <c r="O4216" s="15">
        <v>1.2</v>
      </c>
      <c r="P4216">
        <v>1</v>
      </c>
      <c r="Q4216">
        <v>1.01</v>
      </c>
      <c r="R4216">
        <v>1.2</v>
      </c>
      <c r="S4216">
        <v>1.2</v>
      </c>
      <c r="T4216">
        <v>3</v>
      </c>
      <c r="U4216">
        <f>LN(SQRT(EXP(
SQRT(
+POWER(LN(N4216),2)
+POWER(LN(O4216),2)
+POWER(LN(P4216),2)
+POWER(LN(Q4216),2)
+POWER(LN(R4216),2)
+POWER(LN(S4216),2)
+POWER(LN(T4216),2)
)
)))</f>
        <v>0.57157051623399524</v>
      </c>
    </row>
    <row r="4217" spans="1:22" x14ac:dyDescent="0.2">
      <c r="A4217" s="45" t="str">
        <f>"hydrogen supply, transported by "&amp;B4190&amp;", produced by "&amp;B4194&amp;" using "&amp;B4195&amp;" from "&amp;B4196</f>
        <v>hydrogen supply, transported by pipeline, produced by Electrolysis, Alkaline using water and electricity from Solar PV (IT)</v>
      </c>
      <c r="B4217" s="53">
        <f>(B4215/B4199)/B4198*B4210</f>
        <v>5.7377346134017029E-2</v>
      </c>
      <c r="C4217" t="s">
        <v>56</v>
      </c>
      <c r="E4217" t="s">
        <v>64</v>
      </c>
      <c r="F4217" t="s">
        <v>86</v>
      </c>
      <c r="G4217" t="str">
        <f>"hydrogen, gaseous, from "&amp;B4190</f>
        <v>hydrogen, gaseous, from pipeline</v>
      </c>
      <c r="H4217" t="s">
        <v>76</v>
      </c>
      <c r="I4217" t="s">
        <v>1054</v>
      </c>
      <c r="J4217" t="s">
        <v>636</v>
      </c>
      <c r="K4217" t="str">
        <f>B4176</f>
        <v>electricity, residential, by conversion of hydrogen using fuel cell, PEM, allocated by exergy, transported by pipeline, produced by Electrolysis, Alkaline using water and electricity from Solar PV (IT)</v>
      </c>
      <c r="L4217">
        <f>IF(OR(B4217&lt;0,B4217=0),1,2)</f>
        <v>2</v>
      </c>
      <c r="M4217">
        <f>IF(L4217=2,LN(B4217),"")</f>
        <v>-2.8581057202127536</v>
      </c>
      <c r="N4217">
        <v>1</v>
      </c>
      <c r="O4217" s="15">
        <v>1.2</v>
      </c>
      <c r="P4217">
        <v>1</v>
      </c>
      <c r="Q4217">
        <v>1.01</v>
      </c>
      <c r="R4217">
        <v>1.2</v>
      </c>
      <c r="S4217">
        <v>1.2</v>
      </c>
      <c r="T4217">
        <v>1.05</v>
      </c>
      <c r="U4217">
        <f>LN(SQRT(EXP(
SQRT(
+POWER(LN(N4217),2)
+POWER(LN(O4217),2)
+POWER(LN(P4217),2)
+POWER(LN(Q4217),2)
+POWER(LN(R4217),2)
+POWER(LN(S4217),2)
+POWER(LN(T4217),2)
)
)))</f>
        <v>0.15984597228197622</v>
      </c>
    </row>
    <row r="4218" spans="1:22" x14ac:dyDescent="0.2">
      <c r="A4218" t="s">
        <v>134</v>
      </c>
      <c r="B4218" s="53">
        <f>B4217*9</f>
        <v>0.51639611520615325</v>
      </c>
      <c r="C4218" t="s">
        <v>56</v>
      </c>
      <c r="D4218" t="s">
        <v>100</v>
      </c>
      <c r="F4218" t="s">
        <v>99</v>
      </c>
      <c r="H4218" t="s">
        <v>131</v>
      </c>
      <c r="I4218" t="s">
        <v>1057</v>
      </c>
      <c r="K4218" t="str">
        <f>B4176</f>
        <v>electricity, residential, by conversion of hydrogen using fuel cell, PEM, allocated by exergy, transported by pipeline, produced by Electrolysis, Alkaline using water and electricity from Solar PV (IT)</v>
      </c>
      <c r="L4218">
        <f>IF(OR(B4218&lt;0,B4218=0),1,2)</f>
        <v>2</v>
      </c>
      <c r="M4218">
        <f>IF(L4218=2,LN(B4218),"")</f>
        <v>-0.6608811428765341</v>
      </c>
      <c r="N4218">
        <v>1</v>
      </c>
      <c r="O4218" s="15">
        <v>1.2</v>
      </c>
      <c r="P4218">
        <v>1</v>
      </c>
      <c r="Q4218">
        <v>1.01</v>
      </c>
      <c r="R4218">
        <v>1.2</v>
      </c>
      <c r="S4218">
        <v>1.2</v>
      </c>
      <c r="T4218">
        <v>1.05</v>
      </c>
      <c r="U4218">
        <f>LN(SQRT(EXP(
SQRT(
+POWER(LN(N4218),2)
+POWER(LN(O4218),2)
+POWER(LN(P4218),2)
+POWER(LN(Q4218),2)
+POWER(LN(R4218),2)
+POWER(LN(S4218),2)
+POWER(LN(T4218),2)
)
)))</f>
        <v>0.15984597228197622</v>
      </c>
    </row>
    <row r="4220" spans="1:22" x14ac:dyDescent="0.2">
      <c r="A4220" s="2" t="s">
        <v>50</v>
      </c>
      <c r="B4220" s="44" t="str">
        <f>IF(B4226="megajoule","heat","electricity")&amp;", residential, by "&amp;B4231&amp;" of "&amp;B4230&amp;" using "&amp;B4232&amp;IF(B4233&lt;&gt;0,", allocated by "&amp;B4233,"")&amp;", transported by "&amp;B4234&amp;", produced by "&amp;B4238&amp;" using "&amp;B4239&amp;" from "&amp;B4240</f>
        <v>electricity, residential, by conversion of hydrogen using fuel cell, SOFC, allocated by exergy, transported by pipeline, produced by Electrolysis, Alkaline using water and electricity from Solar PV (IT)</v>
      </c>
    </row>
    <row r="4221" spans="1:22" x14ac:dyDescent="0.2">
      <c r="A4221" t="s">
        <v>51</v>
      </c>
      <c r="B4221" s="45" t="str">
        <f>"This dataset represents the supply of 1 "&amp;IF(B4226="megajoule","megajoule of heat","kilowatt hour of electricity")&amp;" in a residence, by "&amp;B4230&amp;" "&amp;B4231&amp;" in a "&amp;B4232&amp;". "&amp;" The hydrogen is transported by "&amp;B4234&amp;" over "&amp;B4235&amp;" km from regional storage. "&amp;" The "&amp;B4230&amp;" is produced by  "&amp;B4238&amp;", with "&amp;B4239&amp;" from "&amp;B4240&amp;" as feedstock. "&amp;A4242&amp;": "&amp;(B4242*100)&amp;"%. "&amp;A4243&amp;": "&amp;B4243&amp;". "&amp;A4244&amp;": "&amp;B4244&amp;". "&amp;A4245&amp;": "&amp;(B4245*100)&amp;"%. "&amp;A4246&amp;": "&amp;(B4246*100)&amp;"%. "&amp;A4247&amp;": "&amp;(B4247*100)&amp;"%. "&amp;A4248&amp;": "&amp;B4248&amp;". "&amp;A4249&amp;": "&amp;B4249&amp;". "&amp;A4250&amp;": "&amp;(B4250*100)&amp;"%. "&amp;A4251&amp;": "&amp;B4251&amp;". "&amp;A4252&amp;": "&amp;B4252&amp;". "&amp;A4253&amp;": "&amp;B4253&amp;". "&amp;A4254&amp;": "&amp;B4254&amp;".  For more information, refer to: "&amp;B4222</f>
        <v>This dataset represents the supply of 1 kilowatt hour of electricity in a residence, by hydrogen conversion in a fuel cell, SOFC.  The hydrogen is transported by pipeline over 1700 km from regional storage.  The hydrogen is produced by  Electrolysis, Alkaline,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4222" spans="1:22" x14ac:dyDescent="0.2">
      <c r="A4222" t="s">
        <v>63</v>
      </c>
      <c r="B4222" s="45" t="s">
        <v>1223</v>
      </c>
    </row>
    <row r="4223" spans="1:22" x14ac:dyDescent="0.2">
      <c r="A4223" t="s">
        <v>52</v>
      </c>
      <c r="B4223" s="45" t="s">
        <v>64</v>
      </c>
    </row>
    <row r="4224" spans="1:22" x14ac:dyDescent="0.2">
      <c r="A4224" t="s">
        <v>48</v>
      </c>
      <c r="B4224" s="45" t="s">
        <v>903</v>
      </c>
    </row>
    <row r="4225" spans="1:2" x14ac:dyDescent="0.2">
      <c r="A4225" t="s">
        <v>54</v>
      </c>
      <c r="B4225" s="45" t="str">
        <f>INDEX(overview!$B$4:$R$338,MATCH('hydrogen - electrolysis'!B4224,overview!$A$4:$A$338,0),MATCH('hydrogen - electrolysis'!A4225,overview!$B$3:$R$3,0))</f>
        <v>electricity, from residential heating system</v>
      </c>
    </row>
    <row r="4226" spans="1:2" x14ac:dyDescent="0.2">
      <c r="A4226" t="s">
        <v>55</v>
      </c>
      <c r="B4226" s="45" t="str">
        <f>INDEX(overview!$B$4:$R$338,MATCH('hydrogen - electrolysis'!B4224,overview!$A$4:$A$338,0),MATCH('hydrogen - electrolysis'!A4226,overview!$B$3:$R$3,0))</f>
        <v>kilowatt hour</v>
      </c>
    </row>
    <row r="4227" spans="1:2" x14ac:dyDescent="0.2">
      <c r="A4227" t="s">
        <v>0</v>
      </c>
      <c r="B4227" s="45" t="str">
        <f>INDEX(overview!$B$4:$R$338,MATCH('hydrogen - electrolysis'!B4224,overview!$A$4:$A$338,0),MATCH('hydrogen - electrolysis'!A4227,overview!$B$3:$R$3,0))</f>
        <v>Switzerland</v>
      </c>
    </row>
    <row r="4228" spans="1:2" x14ac:dyDescent="0.2">
      <c r="A4228" t="s">
        <v>1</v>
      </c>
      <c r="B4228" s="45">
        <f>INDEX(overview!$B$4:$R$338,MATCH('hydrogen - electrolysis'!B4224,overview!$A$4:$A$338,0),MATCH('hydrogen - electrolysis'!A4228,overview!$B$3:$R$3,0))</f>
        <v>2020</v>
      </c>
    </row>
    <row r="4229" spans="1:2" x14ac:dyDescent="0.2">
      <c r="A4229" t="s">
        <v>2</v>
      </c>
      <c r="B4229" s="45" t="str">
        <f>INDEX(overview!$B$4:$R$338,MATCH('hydrogen - electrolysis'!B4224,overview!$A$4:$A$338,0),MATCH('hydrogen - electrolysis'!A4229,overview!$B$3:$R$3,0))</f>
        <v>1 kWh electricity</v>
      </c>
    </row>
    <row r="4230" spans="1:2" x14ac:dyDescent="0.2">
      <c r="A4230" t="s">
        <v>5</v>
      </c>
      <c r="B4230" s="45" t="str">
        <f>INDEX(overview!$B$4:$R$338,MATCH('hydrogen - electrolysis'!B4224,overview!$A$4:$A$338,0),MATCH('hydrogen - electrolysis'!A4230,overview!$B$3:$R$3,0))</f>
        <v>hydrogen</v>
      </c>
    </row>
    <row r="4231" spans="1:2" x14ac:dyDescent="0.2">
      <c r="A4231" t="s">
        <v>3</v>
      </c>
      <c r="B4231" s="45" t="str">
        <f>INDEX(overview!$B$4:$R$338,MATCH('hydrogen - electrolysis'!B4224,overview!$A$4:$A$338,0),MATCH('hydrogen - electrolysis'!A4231,overview!$B$3:$R$3,0))</f>
        <v>conversion</v>
      </c>
    </row>
    <row r="4232" spans="1:2" x14ac:dyDescent="0.2">
      <c r="A4232" t="s">
        <v>6</v>
      </c>
      <c r="B4232" s="45" t="str">
        <f>INDEX(overview!$B$4:$R$338,MATCH('hydrogen - electrolysis'!B4224,overview!$A$4:$A$338,0),MATCH('hydrogen - electrolysis'!A4232,overview!$B$3:$R$3,0))</f>
        <v>fuel cell, SOFC</v>
      </c>
    </row>
    <row r="4233" spans="1:2" x14ac:dyDescent="0.2">
      <c r="A4233" t="s">
        <v>39</v>
      </c>
      <c r="B4233" s="45" t="str">
        <f>INDEX(overview!$B$4:$R$338,MATCH('hydrogen - electrolysis'!B4224,overview!$A$4:$A$338,0),MATCH('hydrogen - electrolysis'!A4233,overview!$B$3:$R$3,0))</f>
        <v>exergy</v>
      </c>
    </row>
    <row r="4234" spans="1:2" x14ac:dyDescent="0.2">
      <c r="A4234" t="s">
        <v>4</v>
      </c>
      <c r="B4234" s="45" t="str">
        <f>INDEX(overview!$B$4:$R$338,MATCH('hydrogen - electrolysis'!B4224,overview!$A$4:$A$338,0),MATCH('hydrogen - electrolysis'!A4234,overview!$B$3:$R$3,0))</f>
        <v>pipeline</v>
      </c>
    </row>
    <row r="4235" spans="1:2" x14ac:dyDescent="0.2">
      <c r="A4235" t="s">
        <v>38</v>
      </c>
      <c r="B4235" s="45">
        <f>INDEX(overview!$B$4:$R$338,MATCH('hydrogen - electrolysis'!B4224,overview!$A$4:$A$338,0),MATCH('hydrogen - electrolysis'!A4235,overview!$B$3:$R$3,0))</f>
        <v>1700</v>
      </c>
    </row>
    <row r="4236" spans="1:2" x14ac:dyDescent="0.2">
      <c r="A4236" t="s">
        <v>12</v>
      </c>
      <c r="B4236" s="45" t="str">
        <f>INDEX(overview!$B$4:$R$338,MATCH('hydrogen - electrolysis'!B4224,overview!$A$4:$A$338,0),MATCH('hydrogen - electrolysis'!A4236,overview!$B$3:$R$3,0))</f>
        <v>Pressure vessel for stationary storage</v>
      </c>
    </row>
    <row r="4237" spans="1:2" x14ac:dyDescent="0.2">
      <c r="A4237" t="s">
        <v>34</v>
      </c>
      <c r="B4237" s="45">
        <f>INDEX(overview!$B$4:$R$338,MATCH('hydrogen - electrolysis'!B4224,overview!$A$4:$A$338,0),MATCH('hydrogen - electrolysis'!A4237,overview!$B$3:$R$3,0))</f>
        <v>0</v>
      </c>
    </row>
    <row r="4238" spans="1:2" x14ac:dyDescent="0.2">
      <c r="A4238" t="s">
        <v>15</v>
      </c>
      <c r="B4238" s="45" t="str">
        <f>INDEX(overview!$B$4:$R$338,MATCH('hydrogen - electrolysis'!B4224,overview!$A$4:$A$338,0),MATCH('hydrogen - electrolysis'!A4238,overview!$B$3:$R$3,0))</f>
        <v>Electrolysis, Alkaline</v>
      </c>
    </row>
    <row r="4239" spans="1:2" x14ac:dyDescent="0.2">
      <c r="A4239" t="s">
        <v>14</v>
      </c>
      <c r="B4239" s="45" t="str">
        <f>INDEX(overview!$B$4:$R$338,MATCH('hydrogen - electrolysis'!B4224,overview!$A$4:$A$338,0),MATCH('hydrogen - electrolysis'!A4239,overview!$B$3:$R$3,0))</f>
        <v>water and electricity</v>
      </c>
    </row>
    <row r="4240" spans="1:2" x14ac:dyDescent="0.2">
      <c r="A4240" t="s">
        <v>26</v>
      </c>
      <c r="B4240" s="45" t="str">
        <f>INDEX(overview!$B$4:$R$338,MATCH('hydrogen - electrolysis'!B4224,overview!$A$4:$A$338,0),MATCH('hydrogen - electrolysis'!A4240,overview!$B$3:$R$3,0))</f>
        <v>Solar PV (IT)</v>
      </c>
    </row>
    <row r="4241" spans="1:4" x14ac:dyDescent="0.2">
      <c r="A4241" t="s">
        <v>29</v>
      </c>
      <c r="B4241" s="45">
        <f>INDEX(overview!$B$4:$R$338,MATCH('hydrogen - electrolysis'!B4224,overview!$A$4:$A$338,0),MATCH('hydrogen - electrolysis'!A4241,overview!$B$3:$R$3,0))</f>
        <v>0</v>
      </c>
    </row>
    <row r="4242" spans="1:4" x14ac:dyDescent="0.2">
      <c r="A4242" t="str">
        <f>IF(B4226="megajoule","Heat","Electricity")&amp;" conversion efficiency [% LHV input]"</f>
        <v>Electricity conversion efficiency [% LHV input]</v>
      </c>
      <c r="B4242" s="46">
        <f>INDEX(parameters!$D$4:$N$20,MATCH('hydrogen - electrolysis'!B4230&amp;'hydrogen - electrolysis'!B4232,parameters!$A$4:$A$20,0),MATCH('hydrogen - electrolysis'!A4242,parameters!$D$3:$N$3,0))</f>
        <v>0.47</v>
      </c>
    </row>
    <row r="4243" spans="1:4" x14ac:dyDescent="0.2">
      <c r="A4243" t="str">
        <f>IF(B4226="megajoule","LHV [MJ/kg]","LHV [kWh/kg]")</f>
        <v>LHV [kWh/kg]</v>
      </c>
      <c r="B4243" s="47">
        <f>INDEX(parameters!$D$4:$N$20,MATCH('hydrogen - electrolysis'!B4230&amp;'hydrogen - electrolysis'!B4232,parameters!$A$4:$A$20,0),MATCH('hydrogen - electrolysis'!A4243,parameters!$D$3:$N$3,0))</f>
        <v>33.333333333333336</v>
      </c>
    </row>
    <row r="4244" spans="1:4" x14ac:dyDescent="0.2">
      <c r="A4244" t="s">
        <v>41</v>
      </c>
      <c r="B4244" s="48">
        <f>INDEX(parameters!$D$4:$N$20,MATCH('hydrogen - electrolysis'!B4230&amp;'hydrogen - electrolysis'!B4232,parameters!$A$4:$A$20,0),MATCH('hydrogen - electrolysis'!A4244,parameters!$D$3:$N$3,0))</f>
        <v>2.6666666666666665E-2</v>
      </c>
    </row>
    <row r="4245" spans="1:4" x14ac:dyDescent="0.2">
      <c r="A4245" t="s">
        <v>45</v>
      </c>
      <c r="B4245" s="46">
        <f>INDEX(parameters!$D$4:$N$20,MATCH('hydrogen - electrolysis'!B4230&amp;'hydrogen - electrolysis'!B4232,parameters!$A$4:$A$20,0),MATCH('hydrogen - electrolysis'!A4245,parameters!$D$3:$N$3,0))</f>
        <v>0</v>
      </c>
    </row>
    <row r="4246" spans="1:4" x14ac:dyDescent="0.2">
      <c r="A4246" t="s">
        <v>46</v>
      </c>
      <c r="B4246" s="46">
        <f>INDEX(parameters!$D$4:$N$20,MATCH('hydrogen - electrolysis'!B4230&amp;'hydrogen - electrolysis'!B4232,parameters!$A$4:$A$20,0),MATCH('hydrogen - electrolysis'!A4246,parameters!$D$3:$N$3,0))</f>
        <v>1.4999999999999999E-2</v>
      </c>
    </row>
    <row r="4247" spans="1:4" x14ac:dyDescent="0.2">
      <c r="A4247" t="s">
        <v>43</v>
      </c>
      <c r="B4247" s="46">
        <f>INDEX(parameters!$D$4:$N$20,MATCH('hydrogen - electrolysis'!B4230&amp;'hydrogen - electrolysis'!B4232,parameters!$A$4:$A$20,0),MATCH('hydrogen - electrolysis'!A4247,parameters!$D$3:$N$3,0))</f>
        <v>0</v>
      </c>
    </row>
    <row r="4248" spans="1:4" x14ac:dyDescent="0.2">
      <c r="A4248" t="s">
        <v>44</v>
      </c>
      <c r="B4248" s="46">
        <f>INDEX(parameters!$D$4:$N$20,MATCH('hydrogen - electrolysis'!B4230&amp;'hydrogen - electrolysis'!B4232,parameters!$A$4:$A$20,0),MATCH('hydrogen - electrolysis'!A4248,parameters!$D$3:$N$3,0))</f>
        <v>0</v>
      </c>
    </row>
    <row r="4249" spans="1:4" x14ac:dyDescent="0.2">
      <c r="A4249" t="s">
        <v>634</v>
      </c>
      <c r="B4249" s="51">
        <f>INDEX(parameters!$D$4:$Y$20,MATCH('hydrogen - electrolysis'!B4230&amp;'hydrogen - electrolysis'!B4232,parameters!$A$4:$A$20,0),MATCH('hydrogen - electrolysis'!A4249,parameters!$D$3:$Y$3,0))</f>
        <v>225</v>
      </c>
      <c r="D4249" s="8"/>
    </row>
    <row r="4250" spans="1:4" x14ac:dyDescent="0.2">
      <c r="A4250" t="s">
        <v>82</v>
      </c>
      <c r="B4250" s="46">
        <f>IF(B4241&lt;&gt;0,VLOOKUP(B4241,parameters!A2819:B2821,2,0),0)</f>
        <v>0</v>
      </c>
    </row>
    <row r="4251" spans="1:4" x14ac:dyDescent="0.2">
      <c r="A4251" t="s">
        <v>548</v>
      </c>
      <c r="B4251" s="50">
        <f>INDEX(parameters!$D$4:$P$20,MATCH(B4230&amp;B4232,parameters!$A$4:$A$20,0),MATCH(A4251,parameters!$D$3:$P$3,0))</f>
        <v>100</v>
      </c>
    </row>
    <row r="4252" spans="1:4" x14ac:dyDescent="0.2">
      <c r="A4252" t="s">
        <v>547</v>
      </c>
      <c r="B4252" s="51">
        <f>INDEX(parameters!$D$4:$P$20,MATCH(B4230&amp;B4232,parameters!$A$4:$A$20,0),MATCH(A4252,parameters!$D$3:$P$3,0))</f>
        <v>6</v>
      </c>
    </row>
    <row r="4253" spans="1:4" x14ac:dyDescent="0.2">
      <c r="A4253" t="s">
        <v>630</v>
      </c>
      <c r="B4253" s="51">
        <f>INDEX(parameters!$D$4:$T$20,MATCH(B4230&amp;B4232,parameters!$A$4:$A$20,0),MATCH(A4253,parameters!$D$3:$T$3,0))</f>
        <v>4100</v>
      </c>
    </row>
    <row r="4254" spans="1:4" x14ac:dyDescent="0.2">
      <c r="A4254" t="s">
        <v>1005</v>
      </c>
      <c r="B4254" s="50">
        <f>IF(B4226="megajoule",SUMIFS(allocation!$I$4:$I$30,allocation!$B$4:$B$30,B4232,allocation!$C$4:$C$30,B4233),SUMIFS(allocation!$J$4:$J$30,allocation!$B$4:$B$30,B4232,allocation!$C$4:$C$30,B4233))</f>
        <v>0.86412493489600906</v>
      </c>
    </row>
    <row r="4255" spans="1:4" x14ac:dyDescent="0.2">
      <c r="A4255" t="s">
        <v>1050</v>
      </c>
      <c r="B4255" s="51">
        <f>INDEX(parameters!$D$4:$AB$20,MATCH(B4230&amp;B4232,parameters!$A$4:$A$20,0),MATCH(A4255,parameters!$D$3:$AB$3,0))</f>
        <v>1153.1249999999998</v>
      </c>
    </row>
    <row r="4257" spans="1:22" x14ac:dyDescent="0.2">
      <c r="A4257" s="3" t="s">
        <v>57</v>
      </c>
    </row>
    <row r="4258" spans="1:22" x14ac:dyDescent="0.2">
      <c r="A4258" s="2" t="s">
        <v>58</v>
      </c>
      <c r="B4258" s="44" t="s">
        <v>59</v>
      </c>
      <c r="C4258" s="2" t="s">
        <v>55</v>
      </c>
      <c r="D4258" s="2" t="s">
        <v>60</v>
      </c>
      <c r="E4258" s="2" t="s">
        <v>52</v>
      </c>
      <c r="F4258" s="2" t="s">
        <v>61</v>
      </c>
      <c r="G4258" s="2" t="s">
        <v>54</v>
      </c>
      <c r="H4258" s="2" t="s">
        <v>87</v>
      </c>
      <c r="I4258" s="2" t="s">
        <v>51</v>
      </c>
      <c r="J4258" s="2" t="s">
        <v>138</v>
      </c>
      <c r="K4258" s="2" t="s">
        <v>136</v>
      </c>
      <c r="L4258" s="2" t="s">
        <v>221</v>
      </c>
      <c r="M4258" s="2" t="s">
        <v>379</v>
      </c>
      <c r="N4258" s="2" t="s">
        <v>1059</v>
      </c>
      <c r="O4258" s="2" t="s">
        <v>1060</v>
      </c>
      <c r="P4258" s="2" t="s">
        <v>1061</v>
      </c>
      <c r="Q4258" s="2" t="s">
        <v>1062</v>
      </c>
      <c r="R4258" s="2" t="s">
        <v>1063</v>
      </c>
      <c r="S4258" s="2" t="s">
        <v>1064</v>
      </c>
      <c r="T4258" s="2" t="s">
        <v>1065</v>
      </c>
      <c r="U4258" s="2" t="s">
        <v>380</v>
      </c>
      <c r="V4258" s="2" t="s">
        <v>1128</v>
      </c>
    </row>
    <row r="4259" spans="1:22" x14ac:dyDescent="0.2">
      <c r="A4259" t="str">
        <f>B4220</f>
        <v>electricity, residential, by conversion of hydrogen using fuel cell, SOFC, allocated by exergy, transported by pipeline, produced by Electrolysis, Alkaline using water and electricity from Solar PV (IT)</v>
      </c>
      <c r="B4259" s="45">
        <v>1</v>
      </c>
      <c r="C4259" t="str">
        <f>B4226</f>
        <v>kilowatt hour</v>
      </c>
      <c r="E4259" t="str">
        <f>B4223</f>
        <v>CH</v>
      </c>
      <c r="F4259" t="s">
        <v>62</v>
      </c>
      <c r="G4259" t="str">
        <f>B4225</f>
        <v>electricity, from residential heating system</v>
      </c>
      <c r="K4259" t="str">
        <f>B4220</f>
        <v>electricity, residential, by conversion of hydrogen using fuel cell, SOFC, allocated by exergy, transported by pipeline, produced by Electrolysis, Alkaline using water and electricity from Solar PV (IT)</v>
      </c>
    </row>
    <row r="4260" spans="1:22" x14ac:dyDescent="0.2">
      <c r="A4260" t="str">
        <f>VLOOKUP(J4260,'dataset mapping'!$A$4:$E$69,2,0)</f>
        <v>fuel cell production, stack solid oxide, 125kW electrical, future</v>
      </c>
      <c r="B4260" s="52">
        <f>(1/(B4249*B4253*B4252))*B4254</f>
        <v>1.5612013277254003E-7</v>
      </c>
      <c r="C4260" t="str">
        <f>VLOOKUP(J4260,'dataset mapping'!$A$4:$E$69,5,0)</f>
        <v>unit</v>
      </c>
      <c r="E4260" t="str">
        <f>VLOOKUP(J4260,'dataset mapping'!$A$4:$E$69,4,0)</f>
        <v>CH</v>
      </c>
      <c r="F4260" t="s">
        <v>86</v>
      </c>
      <c r="G4260" t="str">
        <f>VLOOKUP(J4260,'dataset mapping'!$A$4:$E$69,3,0)</f>
        <v>fuel cell, stack solid oxide, 125kW electrical, future</v>
      </c>
      <c r="H4260" t="s">
        <v>88</v>
      </c>
      <c r="I4260" t="s">
        <v>277</v>
      </c>
      <c r="J4260" t="s">
        <v>274</v>
      </c>
      <c r="K4260" t="str">
        <f>B4220</f>
        <v>electricity, residential, by conversion of hydrogen using fuel cell, SOFC, allocated by exergy, transported by pipeline, produced by Electrolysis, Alkaline using water and electricity from Solar PV (IT)</v>
      </c>
      <c r="L4260">
        <f>IF(OR(B4260&lt;0,B4260=0),1,2)</f>
        <v>2</v>
      </c>
      <c r="M4260">
        <f>IF(L4260=2,LN(B4260),"")</f>
        <v>-15.672640044182527</v>
      </c>
      <c r="N4260">
        <v>1</v>
      </c>
      <c r="O4260" s="15">
        <v>1.2</v>
      </c>
      <c r="P4260">
        <v>1</v>
      </c>
      <c r="Q4260">
        <v>1.01</v>
      </c>
      <c r="R4260">
        <v>1.2</v>
      </c>
      <c r="S4260">
        <v>1.2</v>
      </c>
      <c r="T4260">
        <v>3</v>
      </c>
      <c r="U4260">
        <f>LN(SQRT(EXP(
SQRT(
+POWER(LN(N4260),2)
+POWER(LN(O4260),2)
+POWER(LN(P4260),2)
+POWER(LN(Q4260),2)
+POWER(LN(R4260),2)
+POWER(LN(S4260),2)
+POWER(LN(T4260),2)
)
)))</f>
        <v>0.57157051623399524</v>
      </c>
    </row>
    <row r="4261" spans="1:22" x14ac:dyDescent="0.2">
      <c r="A4261" t="s">
        <v>283</v>
      </c>
      <c r="B4261" s="52">
        <f>(1/(B4249*B4253*B4252))*B4254</f>
        <v>1.5612013277254003E-7</v>
      </c>
      <c r="C4261" t="s">
        <v>55</v>
      </c>
      <c r="E4261" t="s">
        <v>64</v>
      </c>
      <c r="F4261" t="s">
        <v>86</v>
      </c>
      <c r="G4261" t="s">
        <v>284</v>
      </c>
      <c r="H4261" t="s">
        <v>88</v>
      </c>
      <c r="I4261" t="s">
        <v>277</v>
      </c>
      <c r="K4261" t="str">
        <f>B4220</f>
        <v>electricity, residential, by conversion of hydrogen using fuel cell, SOFC, allocated by exergy, transported by pipeline, produced by Electrolysis, Alkaline using water and electricity from Solar PV (IT)</v>
      </c>
      <c r="L4261">
        <f>IF(OR(B4261&lt;0,B4261=0),1,2)</f>
        <v>2</v>
      </c>
      <c r="M4261">
        <f>IF(L4261=2,LN(B4261),"")</f>
        <v>-15.672640044182527</v>
      </c>
      <c r="N4261">
        <v>1</v>
      </c>
      <c r="O4261" s="15">
        <v>1.2</v>
      </c>
      <c r="P4261">
        <v>1</v>
      </c>
      <c r="Q4261">
        <v>1.01</v>
      </c>
      <c r="R4261">
        <v>1.2</v>
      </c>
      <c r="S4261">
        <v>1.2</v>
      </c>
      <c r="T4261">
        <v>3</v>
      </c>
      <c r="U4261">
        <f>LN(SQRT(EXP(
SQRT(
+POWER(LN(N4261),2)
+POWER(LN(O4261),2)
+POWER(LN(P4261),2)
+POWER(LN(Q4261),2)
+POWER(LN(R4261),2)
+POWER(LN(S4261),2)
+POWER(LN(T4261),2)
)
)))</f>
        <v>0.57157051623399524</v>
      </c>
    </row>
    <row r="4262" spans="1:22" x14ac:dyDescent="0.2">
      <c r="A4262" t="s">
        <v>288</v>
      </c>
      <c r="B4262" s="52">
        <f>0.000024*B4254</f>
        <v>2.0738998437504217E-5</v>
      </c>
      <c r="C4262" t="s">
        <v>56</v>
      </c>
      <c r="E4262" t="s">
        <v>64</v>
      </c>
      <c r="F4262" t="s">
        <v>86</v>
      </c>
      <c r="G4262" t="s">
        <v>287</v>
      </c>
      <c r="H4262" t="s">
        <v>88</v>
      </c>
      <c r="K4262" t="str">
        <f>B4220</f>
        <v>electricity, residential, by conversion of hydrogen using fuel cell, SOFC, allocated by exergy, transported by pipeline, produced by Electrolysis, Alkaline using water and electricity from Solar PV (IT)</v>
      </c>
      <c r="L4262">
        <f>IF(OR(B4262&lt;0,B4262=0),1,2)</f>
        <v>2</v>
      </c>
      <c r="M4262">
        <f>IF(L4262=2,LN(B4262),"")</f>
        <v>-10.783494647673981</v>
      </c>
      <c r="N4262">
        <v>1</v>
      </c>
      <c r="O4262" s="15">
        <v>1.2</v>
      </c>
      <c r="P4262">
        <v>1</v>
      </c>
      <c r="Q4262">
        <v>1.01</v>
      </c>
      <c r="R4262">
        <v>1.2</v>
      </c>
      <c r="S4262">
        <v>1.2</v>
      </c>
      <c r="T4262">
        <v>1.05</v>
      </c>
      <c r="U4262">
        <f>LN(SQRT(EXP(
SQRT(
+POWER(LN(N4262),2)
+POWER(LN(O4262),2)
+POWER(LN(P4262),2)
+POWER(LN(Q4262),2)
+POWER(LN(R4262),2)
+POWER(LN(S4262),2)
+POWER(LN(T4262),2)
)
)))</f>
        <v>0.15984597228197622</v>
      </c>
    </row>
    <row r="4263" spans="1:22" x14ac:dyDescent="0.2">
      <c r="A4263" s="45" t="str">
        <f>"hydrogen supply, transported by "&amp;B4234&amp;", produced by "&amp;B4238&amp;" using "&amp;B4239&amp;" from "&amp;B4240</f>
        <v>hydrogen supply, transported by pipeline, produced by Electrolysis, Alkaline using water and electricity from Solar PV (IT)</v>
      </c>
      <c r="B4263" s="53">
        <f>(B4259/B4243)/B4242*B4254</f>
        <v>5.515691073804313E-2</v>
      </c>
      <c r="C4263" t="s">
        <v>56</v>
      </c>
      <c r="E4263" t="s">
        <v>64</v>
      </c>
      <c r="F4263" t="s">
        <v>86</v>
      </c>
      <c r="G4263" t="str">
        <f>"hydrogen, gaseous, from "&amp;B4234</f>
        <v>hydrogen, gaseous, from pipeline</v>
      </c>
      <c r="H4263" t="s">
        <v>76</v>
      </c>
      <c r="I4263" t="s">
        <v>1054</v>
      </c>
      <c r="J4263" t="s">
        <v>636</v>
      </c>
      <c r="K4263" t="str">
        <f>B4220</f>
        <v>electricity, residential, by conversion of hydrogen using fuel cell, SOFC, allocated by exergy, transported by pipeline, produced by Electrolysis, Alkaline using water and electricity from Solar PV (IT)</v>
      </c>
      <c r="L4263">
        <f>IF(OR(B4263&lt;0,B4263=0),1,2)</f>
        <v>2</v>
      </c>
      <c r="M4263">
        <f>IF(L4263=2,LN(B4263),"")</f>
        <v>-2.8975732330996009</v>
      </c>
      <c r="N4263">
        <v>1</v>
      </c>
      <c r="O4263" s="15">
        <v>1.2</v>
      </c>
      <c r="P4263">
        <v>1</v>
      </c>
      <c r="Q4263">
        <v>1.01</v>
      </c>
      <c r="R4263">
        <v>1.2</v>
      </c>
      <c r="S4263">
        <v>1.2</v>
      </c>
      <c r="T4263">
        <v>1.05</v>
      </c>
      <c r="U4263">
        <f>LN(SQRT(EXP(
SQRT(
+POWER(LN(N4263),2)
+POWER(LN(O4263),2)
+POWER(LN(P4263),2)
+POWER(LN(Q4263),2)
+POWER(LN(R4263),2)
+POWER(LN(S4263),2)
+POWER(LN(T4263),2)
)
)))</f>
        <v>0.15984597228197622</v>
      </c>
    </row>
    <row r="4264" spans="1:22" x14ac:dyDescent="0.2">
      <c r="A4264" t="s">
        <v>134</v>
      </c>
      <c r="B4264" s="45">
        <f>B4263*9</f>
        <v>0.49641219664238817</v>
      </c>
      <c r="C4264" t="s">
        <v>56</v>
      </c>
      <c r="D4264" t="s">
        <v>100</v>
      </c>
      <c r="F4264" t="s">
        <v>99</v>
      </c>
      <c r="H4264" t="s">
        <v>131</v>
      </c>
      <c r="I4264" t="s">
        <v>1057</v>
      </c>
      <c r="K4264" t="str">
        <f>B4220</f>
        <v>electricity, residential, by conversion of hydrogen using fuel cell, SOFC, allocated by exergy, transported by pipeline, produced by Electrolysis, Alkaline using water and electricity from Solar PV (IT)</v>
      </c>
      <c r="L4264">
        <f>IF(OR(B4264&lt;0,B4264=0),1,2)</f>
        <v>2</v>
      </c>
      <c r="M4264">
        <f>IF(L4264=2,LN(B4264),"")</f>
        <v>-0.70034865576338168</v>
      </c>
      <c r="N4264">
        <v>1</v>
      </c>
      <c r="O4264" s="15">
        <v>1.2</v>
      </c>
      <c r="P4264">
        <v>1</v>
      </c>
      <c r="Q4264">
        <v>1.01</v>
      </c>
      <c r="R4264">
        <v>1.2</v>
      </c>
      <c r="S4264">
        <v>1.2</v>
      </c>
      <c r="T4264">
        <v>1.05</v>
      </c>
      <c r="U4264">
        <f>LN(SQRT(EXP(
SQRT(
+POWER(LN(N4264),2)
+POWER(LN(O4264),2)
+POWER(LN(P4264),2)
+POWER(LN(Q4264),2)
+POWER(LN(R4264),2)
+POWER(LN(S4264),2)
+POWER(LN(T4264),2)
)
)))</f>
        <v>0.15984597228197622</v>
      </c>
    </row>
    <row r="4266" spans="1:22" x14ac:dyDescent="0.2">
      <c r="A4266" s="2" t="s">
        <v>50</v>
      </c>
      <c r="B4266" s="44" t="str">
        <f>IF(B4272="megajoule","heat","electricity")&amp;", residential, by "&amp;B4277&amp;" of "&amp;B4276&amp;" using "&amp;B4278&amp;IF(B4279&lt;&gt;0,", allocated by "&amp;B4279,"")&amp;", transported by "&amp;B4280&amp;", produced by "&amp;B4284&amp;" using "&amp;B4285&amp;" from "&amp;B4286</f>
        <v>heat, residential, by combustion of hydrogen using boiler, transported by train, produced by Electrolysis, Alkaline using water and electricity from Solar PV (IT)</v>
      </c>
    </row>
    <row r="4267" spans="1:22" x14ac:dyDescent="0.2">
      <c r="A4267" t="s">
        <v>51</v>
      </c>
      <c r="B4267" s="45" t="str">
        <f>"This dataset represents the supply of 1 "&amp;IF(B4272="megajoule","megajoule of heat","kilowatt hour of electricity")&amp;" in a residence, by "&amp;B4276&amp;" "&amp;B4277&amp;" in a "&amp;B4278&amp;". "&amp;" The hydrogen is transported by "&amp;B4280&amp;" over "&amp;B4281&amp;" km from regional storage. "&amp;" The "&amp;B4276&amp;" is produced by  "&amp;B4284&amp;", with "&amp;B4285&amp;" from "&amp;B4286&amp;" as feedstock. "&amp;A4288&amp;": "&amp;(B4288*100)&amp;"%. "&amp;A4289&amp;": "&amp;B4289&amp;". "&amp;A4290&amp;": "&amp;B4290&amp;". "&amp;A4291&amp;": "&amp;(B4291*100)&amp;"%. "&amp;A4292&amp;": "&amp;(B4292*100)&amp;"%. "&amp;A4293&amp;": "&amp;(B4293*100)&amp;"%. "&amp;A4294&amp;": "&amp;B4294&amp;". "&amp;A4295&amp;": "&amp;B4295&amp;". "&amp;A4296&amp;": "&amp;(B4296*100)&amp;"%. "&amp;A4297&amp;": "&amp;B4297&amp;". "&amp;A4298&amp;": "&amp;B4298&amp;". "&amp;A4299&amp;": "&amp;B4299&amp;". "&amp;A4300&amp;": "&amp;B4300&amp;".  For more information, refer to: "&amp;B4268</f>
        <v>This dataset represents the supply of 1 megajoule of heat in a residence, by hydrogen combustion in a boiler.  The hydrogen is transported by train over 1700 km from regional storage.  The hydrogen is produced by  Electrolysis, Alkaline,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4268" spans="1:22" x14ac:dyDescent="0.2">
      <c r="A4268" t="s">
        <v>63</v>
      </c>
      <c r="B4268" s="45" t="s">
        <v>1223</v>
      </c>
    </row>
    <row r="4269" spans="1:22" x14ac:dyDescent="0.2">
      <c r="A4269" t="s">
        <v>52</v>
      </c>
      <c r="B4269" s="45" t="s">
        <v>64</v>
      </c>
    </row>
    <row r="4270" spans="1:22" x14ac:dyDescent="0.2">
      <c r="A4270" t="s">
        <v>48</v>
      </c>
      <c r="B4270" s="45">
        <v>53</v>
      </c>
    </row>
    <row r="4271" spans="1:22" x14ac:dyDescent="0.2">
      <c r="A4271" t="s">
        <v>54</v>
      </c>
      <c r="B4271" s="45" t="str">
        <f>INDEX(overview!$B$4:$R$338,MATCH('hydrogen - electrolysis'!B4270,overview!$A$4:$A$338,0),MATCH('hydrogen - electrolysis'!A4271,overview!$B$3:$R$3,0))</f>
        <v>heat, from residential heating system</v>
      </c>
    </row>
    <row r="4272" spans="1:22" x14ac:dyDescent="0.2">
      <c r="A4272" t="s">
        <v>55</v>
      </c>
      <c r="B4272" s="45" t="str">
        <f>INDEX(overview!$B$4:$R$338,MATCH('hydrogen - electrolysis'!B4270,overview!$A$4:$A$338,0),MATCH('hydrogen - electrolysis'!A4272,overview!$B$3:$R$3,0))</f>
        <v>megajoule</v>
      </c>
    </row>
    <row r="4273" spans="1:2" x14ac:dyDescent="0.2">
      <c r="A4273" t="s">
        <v>0</v>
      </c>
      <c r="B4273" s="45" t="str">
        <f>INDEX(overview!$B$4:$R$338,MATCH('hydrogen - electrolysis'!B4270,overview!$A$4:$A$338,0),MATCH('hydrogen - electrolysis'!A4273,overview!$B$3:$R$3,0))</f>
        <v>Switzerland</v>
      </c>
    </row>
    <row r="4274" spans="1:2" x14ac:dyDescent="0.2">
      <c r="A4274" t="s">
        <v>1</v>
      </c>
      <c r="B4274" s="45">
        <f>INDEX(overview!$B$4:$R$338,MATCH('hydrogen - electrolysis'!B4270,overview!$A$4:$A$338,0),MATCH('hydrogen - electrolysis'!A4274,overview!$B$3:$R$3,0))</f>
        <v>2020</v>
      </c>
    </row>
    <row r="4275" spans="1:2" x14ac:dyDescent="0.2">
      <c r="A4275" t="s">
        <v>2</v>
      </c>
      <c r="B4275" s="45" t="str">
        <f>INDEX(overview!$B$4:$R$338,MATCH('hydrogen - electrolysis'!B4270,overview!$A$4:$A$338,0),MATCH('hydrogen - electrolysis'!A4275,overview!$B$3:$R$3,0))</f>
        <v>1 MJ heat</v>
      </c>
    </row>
    <row r="4276" spans="1:2" x14ac:dyDescent="0.2">
      <c r="A4276" t="s">
        <v>5</v>
      </c>
      <c r="B4276" s="45" t="str">
        <f>INDEX(overview!$B$4:$R$338,MATCH('hydrogen - electrolysis'!B4270,overview!$A$4:$A$338,0),MATCH('hydrogen - electrolysis'!A4276,overview!$B$3:$R$3,0))</f>
        <v>hydrogen</v>
      </c>
    </row>
    <row r="4277" spans="1:2" x14ac:dyDescent="0.2">
      <c r="A4277" t="s">
        <v>3</v>
      </c>
      <c r="B4277" s="45" t="str">
        <f>INDEX(overview!$B$4:$R$338,MATCH('hydrogen - electrolysis'!B4270,overview!$A$4:$A$338,0),MATCH('hydrogen - electrolysis'!A4277,overview!$B$3:$R$3,0))</f>
        <v>combustion</v>
      </c>
    </row>
    <row r="4278" spans="1:2" x14ac:dyDescent="0.2">
      <c r="A4278" t="s">
        <v>6</v>
      </c>
      <c r="B4278" s="45" t="str">
        <f>INDEX(overview!$B$4:$R$338,MATCH('hydrogen - electrolysis'!B4270,overview!$A$4:$A$338,0),MATCH('hydrogen - electrolysis'!A4278,overview!$B$3:$R$3,0))</f>
        <v>boiler</v>
      </c>
    </row>
    <row r="4279" spans="1:2" x14ac:dyDescent="0.2">
      <c r="A4279" t="s">
        <v>39</v>
      </c>
      <c r="B4279" s="45">
        <f>INDEX(overview!$B$4:$R$338,MATCH('hydrogen - electrolysis'!B4270,overview!$A$4:$A$338,0),MATCH('hydrogen - electrolysis'!A4279,overview!$B$3:$R$3,0))</f>
        <v>0</v>
      </c>
    </row>
    <row r="4280" spans="1:2" x14ac:dyDescent="0.2">
      <c r="A4280" t="s">
        <v>4</v>
      </c>
      <c r="B4280" s="45" t="str">
        <f>INDEX(overview!$B$4:$R$338,MATCH('hydrogen - electrolysis'!B4270,overview!$A$4:$A$338,0),MATCH('hydrogen - electrolysis'!A4280,overview!$B$3:$R$3,0))</f>
        <v>train</v>
      </c>
    </row>
    <row r="4281" spans="1:2" x14ac:dyDescent="0.2">
      <c r="A4281" t="s">
        <v>38</v>
      </c>
      <c r="B4281" s="45">
        <f>INDEX(overview!$B$4:$R$338,MATCH('hydrogen - electrolysis'!B4270,overview!$A$4:$A$338,0),MATCH('hydrogen - electrolysis'!A4281,overview!$B$3:$R$3,0))</f>
        <v>1700</v>
      </c>
    </row>
    <row r="4282" spans="1:2" x14ac:dyDescent="0.2">
      <c r="A4282" t="s">
        <v>12</v>
      </c>
      <c r="B4282" s="45" t="str">
        <f>INDEX(overview!$B$4:$R$338,MATCH('hydrogen - electrolysis'!B4270,overview!$A$4:$A$338,0),MATCH('hydrogen - electrolysis'!A4282,overview!$B$3:$R$3,0))</f>
        <v>Pressure vessel for stationary storage</v>
      </c>
    </row>
    <row r="4283" spans="1:2" x14ac:dyDescent="0.2">
      <c r="A4283" t="s">
        <v>34</v>
      </c>
      <c r="B4283" s="45">
        <f>INDEX(overview!$B$4:$R$338,MATCH('hydrogen - electrolysis'!B4270,overview!$A$4:$A$338,0),MATCH('hydrogen - electrolysis'!A4283,overview!$B$3:$R$3,0))</f>
        <v>0</v>
      </c>
    </row>
    <row r="4284" spans="1:2" x14ac:dyDescent="0.2">
      <c r="A4284" t="s">
        <v>15</v>
      </c>
      <c r="B4284" s="45" t="str">
        <f>INDEX(overview!$B$4:$R$338,MATCH('hydrogen - electrolysis'!B4270,overview!$A$4:$A$338,0),MATCH('hydrogen - electrolysis'!A4284,overview!$B$3:$R$3,0))</f>
        <v>Electrolysis, Alkaline</v>
      </c>
    </row>
    <row r="4285" spans="1:2" x14ac:dyDescent="0.2">
      <c r="A4285" t="s">
        <v>14</v>
      </c>
      <c r="B4285" s="45" t="str">
        <f>INDEX(overview!$B$4:$R$338,MATCH('hydrogen - electrolysis'!B4270,overview!$A$4:$A$338,0),MATCH('hydrogen - electrolysis'!A4285,overview!$B$3:$R$3,0))</f>
        <v>water and electricity</v>
      </c>
    </row>
    <row r="4286" spans="1:2" x14ac:dyDescent="0.2">
      <c r="A4286" t="s">
        <v>26</v>
      </c>
      <c r="B4286" s="45" t="str">
        <f>INDEX(overview!$B$4:$R$338,MATCH('hydrogen - electrolysis'!B4270,overview!$A$4:$A$338,0),MATCH('hydrogen - electrolysis'!A4286,overview!$B$3:$R$3,0))</f>
        <v>Solar PV (IT)</v>
      </c>
    </row>
    <row r="4287" spans="1:2" x14ac:dyDescent="0.2">
      <c r="A4287" t="s">
        <v>29</v>
      </c>
      <c r="B4287" s="45">
        <f>INDEX(overview!$B$4:$R$338,MATCH('hydrogen - electrolysis'!B4270,overview!$A$4:$A$338,0),MATCH('hydrogen - electrolysis'!A4287,overview!$B$3:$R$3,0))</f>
        <v>0</v>
      </c>
    </row>
    <row r="4288" spans="1:2" x14ac:dyDescent="0.2">
      <c r="A4288" t="str">
        <f>IF(B4272="megajoule","Heat","Electricity")&amp;" conversion efficiency [% LHV input]"</f>
        <v>Heat conversion efficiency [% LHV input]</v>
      </c>
      <c r="B4288" s="46">
        <f>INDEX(parameters!$D$4:$N$20,MATCH('hydrogen - electrolysis'!B4276&amp;'hydrogen - electrolysis'!B4278,parameters!$A$4:$A$20,0),MATCH('hydrogen - electrolysis'!A4288,parameters!$D$3:$N$3,0))</f>
        <v>0.94</v>
      </c>
    </row>
    <row r="4289" spans="1:22" x14ac:dyDescent="0.2">
      <c r="A4289" t="str">
        <f>IF(B4272="megajoule","LHV [MJ/kg]","LHV [kWh/kg]")</f>
        <v>LHV [MJ/kg]</v>
      </c>
      <c r="B4289" s="47">
        <f>INDEX(parameters!$D$4:$N$20,MATCH('hydrogen - electrolysis'!B4276&amp;'hydrogen - electrolysis'!B4278,parameters!$A$4:$A$20,0),MATCH('hydrogen - electrolysis'!A4289,parameters!$D$3:$N$3,0))</f>
        <v>120</v>
      </c>
    </row>
    <row r="4290" spans="1:22" x14ac:dyDescent="0.2">
      <c r="A4290" t="s">
        <v>41</v>
      </c>
      <c r="B4290" s="48">
        <f>INDEX(parameters!$D$4:$N$20,MATCH('hydrogen - electrolysis'!B4276&amp;'hydrogen - electrolysis'!B4278,parameters!$A$4:$A$20,0),MATCH('hydrogen - electrolysis'!A4290,parameters!$D$3:$N$3,0))</f>
        <v>2.6666666666666665E-2</v>
      </c>
    </row>
    <row r="4291" spans="1:22" x14ac:dyDescent="0.2">
      <c r="A4291" t="s">
        <v>45</v>
      </c>
      <c r="B4291" s="49">
        <f>INDEX(parameters!$D$4:$N$20,MATCH('hydrogen - electrolysis'!B4276&amp;'hydrogen - electrolysis'!B4278,parameters!$A$4:$A$20,0),MATCH('hydrogen - electrolysis'!A4291,parameters!$D$3:$N$3,0))</f>
        <v>0</v>
      </c>
    </row>
    <row r="4292" spans="1:22" x14ac:dyDescent="0.2">
      <c r="A4292" t="s">
        <v>46</v>
      </c>
      <c r="B4292" s="49">
        <f>INDEX(parameters!$D$4:$N$20,MATCH('hydrogen - electrolysis'!B4276&amp;'hydrogen - electrolysis'!B4278,parameters!$A$4:$A$20,0),MATCH('hydrogen - electrolysis'!A4292,parameters!$D$3:$N$3,0))</f>
        <v>1.4999999999999999E-2</v>
      </c>
    </row>
    <row r="4293" spans="1:22" x14ac:dyDescent="0.2">
      <c r="A4293" t="s">
        <v>43</v>
      </c>
      <c r="B4293" s="49">
        <f>INDEX(parameters!$D$4:$N$20,MATCH('hydrogen - electrolysis'!B4276&amp;'hydrogen - electrolysis'!B4278,parameters!$A$4:$A$20,0),MATCH('hydrogen - electrolysis'!A4293,parameters!$D$3:$N$3,0))</f>
        <v>0</v>
      </c>
    </row>
    <row r="4294" spans="1:22" x14ac:dyDescent="0.2">
      <c r="A4294" t="s">
        <v>44</v>
      </c>
      <c r="B4294" s="49">
        <f>INDEX(parameters!$D$4:$N$20,MATCH('hydrogen - electrolysis'!B4276&amp;'hydrogen - electrolysis'!B4278,parameters!$A$4:$A$20,0),MATCH('hydrogen - electrolysis'!A4294,parameters!$D$3:$N$3,0))</f>
        <v>0</v>
      </c>
    </row>
    <row r="4295" spans="1:22" x14ac:dyDescent="0.2">
      <c r="A4295" t="s">
        <v>634</v>
      </c>
      <c r="B4295" s="51">
        <f>INDEX(parameters!$D$4:$Y$20,MATCH('hydrogen - electrolysis'!B4276&amp;'hydrogen - electrolysis'!B4278,parameters!$A$4:$A$20,0),MATCH('hydrogen - electrolysis'!A4295,parameters!$D$3:$Y$3,0))</f>
        <v>15.957446808510639</v>
      </c>
    </row>
    <row r="4296" spans="1:22" x14ac:dyDescent="0.2">
      <c r="A4296" t="s">
        <v>82</v>
      </c>
      <c r="B4296" s="46">
        <f>IF(B4287&lt;&gt;0,VLOOKUP(B4287,parameters!A2716:B2718,2,0),0)</f>
        <v>0</v>
      </c>
    </row>
    <row r="4297" spans="1:22" x14ac:dyDescent="0.2">
      <c r="A4297" t="s">
        <v>548</v>
      </c>
      <c r="B4297" s="50">
        <f>INDEX(parameters!$D$4:$P$20,MATCH(B4276&amp;B4278,parameters!$A$4:$A$20,0),MATCH(A4297,parameters!$D$3:$P$3,0))</f>
        <v>15</v>
      </c>
    </row>
    <row r="4298" spans="1:22" x14ac:dyDescent="0.2">
      <c r="A4298" t="s">
        <v>547</v>
      </c>
      <c r="B4298" s="51">
        <f>INDEX(parameters!$D$4:$P$20,MATCH(B4276&amp;B4278,parameters!$A$4:$A$20,0),MATCH(A4298,parameters!$D$3:$P$3,0))</f>
        <v>20</v>
      </c>
    </row>
    <row r="4299" spans="1:22" x14ac:dyDescent="0.2">
      <c r="A4299" t="s">
        <v>630</v>
      </c>
      <c r="B4299" s="51">
        <f>INDEX(parameters!$D$4:$T$20,MATCH(B4276&amp;B4278,parameters!$A$4:$A$20,0),MATCH(A4299,parameters!$D$3:$T$3,0))</f>
        <v>2100</v>
      </c>
    </row>
    <row r="4300" spans="1:22" x14ac:dyDescent="0.2">
      <c r="A4300" t="s">
        <v>1005</v>
      </c>
      <c r="B4300" s="50">
        <f>IF(B4272="megajoule",SUMIFS(allocation!$I$4:$I$30,allocation!$B$4:$B$30,B4278,allocation!$C$4:$C$30,B4279),SUMIFS(allocation!$J$4:$J$30,allocation!$B$4:$B$30,B4278,allocation!$C$4:$C$30,B4279))</f>
        <v>0</v>
      </c>
    </row>
    <row r="4301" spans="1:22" x14ac:dyDescent="0.2">
      <c r="A4301" t="s">
        <v>1050</v>
      </c>
      <c r="B4301" s="51">
        <f>INDEX(parameters!$D$4:$AB$20,MATCH(B4276&amp;B4278,parameters!$A$4:$A$20,0),MATCH(A4301,parameters!$D$3:$AB$3,0))</f>
        <v>44.562019013128115</v>
      </c>
    </row>
    <row r="4303" spans="1:22" x14ac:dyDescent="0.2">
      <c r="A4303" s="3" t="s">
        <v>57</v>
      </c>
    </row>
    <row r="4304" spans="1:22" x14ac:dyDescent="0.2">
      <c r="A4304" s="2" t="s">
        <v>58</v>
      </c>
      <c r="B4304" s="44" t="s">
        <v>59</v>
      </c>
      <c r="C4304" s="2" t="s">
        <v>55</v>
      </c>
      <c r="D4304" s="2" t="s">
        <v>60</v>
      </c>
      <c r="E4304" s="2" t="s">
        <v>52</v>
      </c>
      <c r="F4304" s="2" t="s">
        <v>61</v>
      </c>
      <c r="G4304" s="2" t="s">
        <v>54</v>
      </c>
      <c r="H4304" s="2" t="s">
        <v>87</v>
      </c>
      <c r="I4304" s="2" t="s">
        <v>51</v>
      </c>
      <c r="J4304" s="2" t="s">
        <v>138</v>
      </c>
      <c r="K4304" s="2" t="s">
        <v>136</v>
      </c>
      <c r="L4304" s="2" t="s">
        <v>221</v>
      </c>
      <c r="M4304" s="2" t="s">
        <v>379</v>
      </c>
      <c r="N4304" s="2" t="s">
        <v>1059</v>
      </c>
      <c r="O4304" s="2" t="s">
        <v>1060</v>
      </c>
      <c r="P4304" s="2" t="s">
        <v>1061</v>
      </c>
      <c r="Q4304" s="2" t="s">
        <v>1062</v>
      </c>
      <c r="R4304" s="2" t="s">
        <v>1063</v>
      </c>
      <c r="S4304" s="2" t="s">
        <v>1064</v>
      </c>
      <c r="T4304" s="2" t="s">
        <v>1065</v>
      </c>
      <c r="U4304" s="2" t="s">
        <v>380</v>
      </c>
      <c r="V4304" s="2" t="s">
        <v>1128</v>
      </c>
    </row>
    <row r="4305" spans="1:21" x14ac:dyDescent="0.2">
      <c r="A4305" t="str">
        <f>B4266</f>
        <v>heat, residential, by combustion of hydrogen using boiler, transported by train, produced by Electrolysis, Alkaline using water and electricity from Solar PV (IT)</v>
      </c>
      <c r="B4305" s="45">
        <v>1</v>
      </c>
      <c r="C4305" t="str">
        <f>B4272</f>
        <v>megajoule</v>
      </c>
      <c r="E4305" t="str">
        <f>B4269</f>
        <v>CH</v>
      </c>
      <c r="F4305" t="s">
        <v>62</v>
      </c>
      <c r="G4305" t="str">
        <f>B4271</f>
        <v>heat, from residential heating system</v>
      </c>
      <c r="K4305" t="str">
        <f>B4266</f>
        <v>heat, residential, by combustion of hydrogen using boiler, transported by train, produced by Electrolysis, Alkaline using water and electricity from Solar PV (IT)</v>
      </c>
    </row>
    <row r="4306" spans="1:21" x14ac:dyDescent="0.2">
      <c r="A4306" t="s">
        <v>83</v>
      </c>
      <c r="B4306" s="52">
        <f>1/(B4297*B4299*B4298*3.6)</f>
        <v>4.4091710758377425E-7</v>
      </c>
      <c r="C4306" t="s">
        <v>55</v>
      </c>
      <c r="E4306" t="s">
        <v>85</v>
      </c>
      <c r="F4306" t="s">
        <v>86</v>
      </c>
      <c r="G4306" t="s">
        <v>84</v>
      </c>
      <c r="H4306" t="s">
        <v>88</v>
      </c>
      <c r="K4306" t="str">
        <f>B4266</f>
        <v>heat, residential, by combustion of hydrogen using boiler, transported by train, produced by Electrolysis, Alkaline using water and electricity from Solar PV (IT)</v>
      </c>
      <c r="L4306">
        <f t="shared" ref="L4306:L4313" si="133">IF(OR(B4306&lt;0,B4306=0),1,2)</f>
        <v>2</v>
      </c>
      <c r="M4306">
        <f t="shared" ref="M4306:M4313" si="134">IF(L4306=2,LN(B4306),"")</f>
        <v>-14.634408943829779</v>
      </c>
      <c r="N4306">
        <v>1.05</v>
      </c>
      <c r="O4306" s="15">
        <v>1.2</v>
      </c>
      <c r="P4306">
        <v>1</v>
      </c>
      <c r="Q4306">
        <v>1.01</v>
      </c>
      <c r="R4306">
        <v>1.2</v>
      </c>
      <c r="S4306">
        <v>1.2</v>
      </c>
      <c r="T4306">
        <v>3</v>
      </c>
      <c r="U4306">
        <f t="shared" ref="U4306:U4313" si="135">LN(SQRT(EXP(
SQRT(
+POWER(LN(N4306),2)
+POWER(LN(O4306),2)
+POWER(LN(P4306),2)
+POWER(LN(Q4306),2)
+POWER(LN(R4306),2)
+POWER(LN(S4306),2)
+POWER(LN(T4306),2)
)
)))</f>
        <v>0.57209088006881903</v>
      </c>
    </row>
    <row r="4307" spans="1:21" x14ac:dyDescent="0.2">
      <c r="A4307" t="s">
        <v>500</v>
      </c>
      <c r="B4307" s="52">
        <f>B4306*2</f>
        <v>8.8183421516754851E-7</v>
      </c>
      <c r="C4307" t="s">
        <v>267</v>
      </c>
      <c r="E4307" t="s">
        <v>85</v>
      </c>
      <c r="F4307" t="s">
        <v>86</v>
      </c>
      <c r="G4307" t="s">
        <v>501</v>
      </c>
      <c r="H4307" t="s">
        <v>88</v>
      </c>
      <c r="I4307" t="s">
        <v>621</v>
      </c>
      <c r="K4307" t="str">
        <f>B4266</f>
        <v>heat, residential, by combustion of hydrogen using boiler, transported by train, produced by Electrolysis, Alkaline using water and electricity from Solar PV (IT)</v>
      </c>
      <c r="L4307">
        <f t="shared" si="133"/>
        <v>2</v>
      </c>
      <c r="M4307">
        <f t="shared" si="134"/>
        <v>-13.941261763269834</v>
      </c>
      <c r="N4307">
        <v>1.05</v>
      </c>
      <c r="O4307" s="15">
        <v>1.2</v>
      </c>
      <c r="P4307">
        <v>1</v>
      </c>
      <c r="Q4307">
        <v>1.01</v>
      </c>
      <c r="R4307">
        <v>1.2</v>
      </c>
      <c r="S4307">
        <v>1.2</v>
      </c>
      <c r="T4307">
        <v>3</v>
      </c>
      <c r="U4307">
        <f t="shared" si="135"/>
        <v>0.57209088006881903</v>
      </c>
    </row>
    <row r="4308" spans="1:21" x14ac:dyDescent="0.2">
      <c r="A4308" t="s">
        <v>130</v>
      </c>
      <c r="B4308" s="52">
        <v>2.64E-3</v>
      </c>
      <c r="C4308" t="s">
        <v>92</v>
      </c>
      <c r="E4308" t="s">
        <v>64</v>
      </c>
      <c r="F4308" t="s">
        <v>86</v>
      </c>
      <c r="G4308" t="s">
        <v>93</v>
      </c>
      <c r="H4308" t="s">
        <v>78</v>
      </c>
      <c r="I4308" t="s">
        <v>270</v>
      </c>
      <c r="J4308" t="s">
        <v>67</v>
      </c>
      <c r="K4308" t="str">
        <f>B4266</f>
        <v>heat, residential, by combustion of hydrogen using boiler, transported by train, produced by Electrolysis, Alkaline using water and electricity from Solar PV (IT)</v>
      </c>
      <c r="L4308">
        <f t="shared" si="133"/>
        <v>2</v>
      </c>
      <c r="M4308">
        <f t="shared" si="134"/>
        <v>-5.9369763618239126</v>
      </c>
      <c r="N4308">
        <v>1.05</v>
      </c>
      <c r="O4308" s="15">
        <v>1.2</v>
      </c>
      <c r="P4308">
        <v>1</v>
      </c>
      <c r="Q4308">
        <v>1.01</v>
      </c>
      <c r="R4308">
        <v>1.2</v>
      </c>
      <c r="S4308">
        <v>1.2</v>
      </c>
      <c r="T4308">
        <v>1.05</v>
      </c>
      <c r="U4308">
        <f t="shared" si="135"/>
        <v>0.16169679924070957</v>
      </c>
    </row>
    <row r="4309" spans="1:21" x14ac:dyDescent="0.2">
      <c r="A4309" s="45" t="str">
        <f>"hydrogen supply, transported by "&amp;B4280&amp;", produced by "&amp;B4284&amp;" using "&amp;B4285&amp;" from "&amp;B4286</f>
        <v>hydrogen supply, transported by train, produced by Electrolysis, Alkaline using water and electricity from Solar PV (IT)</v>
      </c>
      <c r="B4309" s="53">
        <f>(B4305/B4289)/B4288</f>
        <v>8.8652482269503553E-3</v>
      </c>
      <c r="C4309" t="s">
        <v>56</v>
      </c>
      <c r="E4309" t="s">
        <v>64</v>
      </c>
      <c r="F4309" t="s">
        <v>86</v>
      </c>
      <c r="G4309" t="str">
        <f>"hydrogen, gaseous, from "&amp;B4280</f>
        <v>hydrogen, gaseous, from train</v>
      </c>
      <c r="H4309" t="s">
        <v>76</v>
      </c>
      <c r="I4309" t="s">
        <v>1054</v>
      </c>
      <c r="J4309" t="s">
        <v>636</v>
      </c>
      <c r="K4309" t="str">
        <f>B4266</f>
        <v>heat, residential, by combustion of hydrogen using boiler, transported by train, produced by Electrolysis, Alkaline using water and electricity from Solar PV (IT)</v>
      </c>
      <c r="L4309">
        <f t="shared" si="133"/>
        <v>2</v>
      </c>
      <c r="M4309">
        <f t="shared" si="134"/>
        <v>-4.7256163390639587</v>
      </c>
      <c r="N4309">
        <v>1.05</v>
      </c>
      <c r="O4309" s="15">
        <v>1.2</v>
      </c>
      <c r="P4309">
        <v>1</v>
      </c>
      <c r="Q4309">
        <v>1.01</v>
      </c>
      <c r="R4309">
        <v>1.2</v>
      </c>
      <c r="S4309">
        <v>1.2</v>
      </c>
      <c r="T4309">
        <v>1.05</v>
      </c>
      <c r="U4309">
        <f t="shared" si="135"/>
        <v>0.16169679924070957</v>
      </c>
    </row>
    <row r="4310" spans="1:21" x14ac:dyDescent="0.2">
      <c r="A4310" t="str">
        <f>VLOOKUP(J4310,'dataset mapping'!$A$4:$E$69,2,0)</f>
        <v>market for transport, freight train</v>
      </c>
      <c r="B4310" s="45">
        <f>SUM(B4309:B4309)/1000*B4281</f>
        <v>1.5070921985815602E-2</v>
      </c>
      <c r="C4310" t="str">
        <f>VLOOKUP(J4310,'dataset mapping'!$A$4:$E$69,5,0)</f>
        <v>ton kilometer</v>
      </c>
      <c r="E4310" t="str">
        <f>VLOOKUP(J4310,'dataset mapping'!$A$4:$E$69,4,0)</f>
        <v>CH</v>
      </c>
      <c r="F4310" t="s">
        <v>86</v>
      </c>
      <c r="G4310" t="str">
        <f>VLOOKUP(J4310,'dataset mapping'!$A$4:$E$69,3,0)</f>
        <v>transport, freight train</v>
      </c>
      <c r="H4310" t="s">
        <v>88</v>
      </c>
      <c r="I4310" t="s">
        <v>1052</v>
      </c>
      <c r="J4310" t="s">
        <v>295</v>
      </c>
      <c r="K4310" t="str">
        <f>B4266</f>
        <v>heat, residential, by combustion of hydrogen using boiler, transported by train, produced by Electrolysis, Alkaline using water and electricity from Solar PV (IT)</v>
      </c>
      <c r="L4310">
        <f t="shared" si="133"/>
        <v>2</v>
      </c>
      <c r="M4310">
        <f t="shared" si="134"/>
        <v>-4.1949880880017885</v>
      </c>
      <c r="N4310">
        <v>1.05</v>
      </c>
      <c r="O4310" s="15">
        <v>1.2</v>
      </c>
      <c r="P4310">
        <v>1</v>
      </c>
      <c r="Q4310">
        <v>1.01</v>
      </c>
      <c r="R4310">
        <v>1.2</v>
      </c>
      <c r="S4310">
        <v>1.2</v>
      </c>
      <c r="T4310">
        <v>2</v>
      </c>
      <c r="U4310">
        <f t="shared" si="135"/>
        <v>0.38165951885721477</v>
      </c>
    </row>
    <row r="4311" spans="1:21" x14ac:dyDescent="0.2">
      <c r="A4311" t="str">
        <f>VLOOKUP(J4311,'dataset mapping'!$A$4:$E$69,2,0)</f>
        <v>high pressure hydrogen storage tank</v>
      </c>
      <c r="B4311" s="52">
        <f>((B4301/10)/(B4299*B4295*20*3.6))*IF(B4300&lt;&gt;0,B4300,1)</f>
        <v>1.8469267139479905E-6</v>
      </c>
      <c r="C4311" t="str">
        <f>VLOOKUP(J4311,'dataset mapping'!$A$4:$E$69,5,0)</f>
        <v>kilogram</v>
      </c>
      <c r="E4311" t="str">
        <f>VLOOKUP(J4311,'dataset mapping'!$A$4:$E$69,4,0)</f>
        <v>GLO</v>
      </c>
      <c r="F4311" t="s">
        <v>86</v>
      </c>
      <c r="G4311" t="str">
        <f>VLOOKUP(J4311,'dataset mapping'!$A$4:$E$69,3,0)</f>
        <v>high pressure hydrogen storage tank</v>
      </c>
      <c r="H4311" t="s">
        <v>88</v>
      </c>
      <c r="I4311" t="s">
        <v>230</v>
      </c>
      <c r="J4311" t="s">
        <v>229</v>
      </c>
      <c r="K4311" t="str">
        <f>B4266</f>
        <v>heat, residential, by combustion of hydrogen using boiler, transported by train, produced by Electrolysis, Alkaline using water and electricity from Solar PV (IT)</v>
      </c>
      <c r="L4311">
        <f t="shared" si="133"/>
        <v>2</v>
      </c>
      <c r="M4311">
        <f t="shared" si="134"/>
        <v>-13.20198753595994</v>
      </c>
      <c r="N4311">
        <v>1.05</v>
      </c>
      <c r="O4311" s="15">
        <v>1.2</v>
      </c>
      <c r="P4311">
        <v>1</v>
      </c>
      <c r="Q4311">
        <v>1.01</v>
      </c>
      <c r="R4311">
        <v>1.2</v>
      </c>
      <c r="S4311">
        <v>1.2</v>
      </c>
      <c r="T4311">
        <v>3</v>
      </c>
      <c r="U4311">
        <f t="shared" si="135"/>
        <v>0.57209088006881903</v>
      </c>
    </row>
    <row r="4312" spans="1:21" x14ac:dyDescent="0.2">
      <c r="A4312" t="s">
        <v>134</v>
      </c>
      <c r="B4312" s="45">
        <f>B4309*9</f>
        <v>7.9787234042553196E-2</v>
      </c>
      <c r="C4312" t="s">
        <v>56</v>
      </c>
      <c r="D4312" t="s">
        <v>100</v>
      </c>
      <c r="F4312" t="s">
        <v>99</v>
      </c>
      <c r="H4312" t="s">
        <v>131</v>
      </c>
      <c r="I4312" t="s">
        <v>1058</v>
      </c>
      <c r="K4312" t="str">
        <f>B4266</f>
        <v>heat, residential, by combustion of hydrogen using boiler, transported by train, produced by Electrolysis, Alkaline using water and electricity from Solar PV (IT)</v>
      </c>
      <c r="L4312">
        <f t="shared" si="133"/>
        <v>2</v>
      </c>
      <c r="M4312">
        <f t="shared" si="134"/>
        <v>-2.5283917617277392</v>
      </c>
      <c r="N4312">
        <v>1.05</v>
      </c>
      <c r="O4312" s="15">
        <v>1.2</v>
      </c>
      <c r="P4312">
        <v>1</v>
      </c>
      <c r="Q4312">
        <v>1.01</v>
      </c>
      <c r="R4312">
        <v>1.2</v>
      </c>
      <c r="S4312">
        <v>1.2</v>
      </c>
      <c r="T4312">
        <v>1.05</v>
      </c>
      <c r="U4312">
        <f t="shared" si="135"/>
        <v>0.16169679924070957</v>
      </c>
    </row>
    <row r="4313" spans="1:21" x14ac:dyDescent="0.2">
      <c r="A4313" t="s">
        <v>135</v>
      </c>
      <c r="B4313" s="45">
        <f>912.5/1000000*B4309</f>
        <v>8.0895390070921995E-6</v>
      </c>
      <c r="C4313" t="s">
        <v>56</v>
      </c>
      <c r="D4313" t="s">
        <v>100</v>
      </c>
      <c r="F4313" t="s">
        <v>99</v>
      </c>
      <c r="H4313" t="s">
        <v>131</v>
      </c>
      <c r="I4313" t="s">
        <v>1217</v>
      </c>
      <c r="K4313" t="str">
        <f>B4266</f>
        <v>heat, residential, by combustion of hydrogen using boiler, transported by train, produced by Electrolysis, Alkaline using water and electricity from Solar PV (IT)</v>
      </c>
      <c r="L4313">
        <f t="shared" si="133"/>
        <v>2</v>
      </c>
      <c r="M4313">
        <f t="shared" si="134"/>
        <v>-11.724938811571587</v>
      </c>
      <c r="N4313">
        <v>1.05</v>
      </c>
      <c r="O4313" s="15">
        <v>1.2</v>
      </c>
      <c r="P4313">
        <v>1</v>
      </c>
      <c r="Q4313">
        <v>1.01</v>
      </c>
      <c r="R4313">
        <v>1.2</v>
      </c>
      <c r="S4313">
        <v>1.2</v>
      </c>
      <c r="T4313">
        <v>1.5</v>
      </c>
      <c r="U4313">
        <f t="shared" si="135"/>
        <v>0.25816898211842121</v>
      </c>
    </row>
    <row r="4315" spans="1:21" x14ac:dyDescent="0.2">
      <c r="A4315" s="2" t="s">
        <v>50</v>
      </c>
      <c r="B4315" s="44" t="str">
        <f>IF(B4321="megajoule","heat","electricity")&amp;", residential, by "&amp;B4326&amp;" of "&amp;B4325&amp;" using "&amp;B4327&amp;IF(B4328&lt;&gt;0,", allocated by "&amp;B4328,"")&amp;", transported by "&amp;B4329&amp;", produced by "&amp;B4333&amp;" using "&amp;B4334&amp;" from "&amp;B4335</f>
        <v>heat, residential, by combustion of hydrogen using CHP, allocated by exergy, transported by train, produced by Electrolysis, Alkaline using water and electricity from Solar PV (IT)</v>
      </c>
    </row>
    <row r="4316" spans="1:21" x14ac:dyDescent="0.2">
      <c r="A4316" t="s">
        <v>51</v>
      </c>
      <c r="B4316" s="45" t="str">
        <f>"This dataset represents the supply of 1 "&amp;IF(B4321="megajoule","megajoule of heat","kilowatt hour of electricity")&amp;" in a residence, by "&amp;B4325&amp;" "&amp;B4326&amp;" in a "&amp;B4327&amp;". "&amp;" The hydrogen is transported by "&amp;B4329&amp;" over "&amp;B4330&amp;" km from regional storage. "&amp;" The "&amp;B4325&amp;" is produced by  "&amp;B4333&amp;", with "&amp;B4334&amp;" from "&amp;B4335&amp;" as feedstock. "&amp;A4337&amp;": "&amp;(B4337*100)&amp;"%. "&amp;A4338&amp;": "&amp;B4338&amp;". "&amp;A4339&amp;": "&amp;B4339&amp;". "&amp;A4340&amp;": "&amp;(B4340*100)&amp;"%. "&amp;A4341&amp;": "&amp;(B4341*100)&amp;"%. "&amp;A4342&amp;": "&amp;(B4342*100)&amp;"%. "&amp;A4343&amp;": "&amp;B4343&amp;". "&amp;A4344&amp;": "&amp;B4344&amp;". "&amp;A4345&amp;": "&amp;(B4345*100)&amp;"%. "&amp;A4346&amp;": "&amp;B4346&amp;". "&amp;A4347&amp;": "&amp;B4347&amp;". "&amp;A4348&amp;": "&amp;B4348&amp;". "&amp;A4349&amp;": "&amp;B4349&amp;".  For more information, refer to: "&amp;B4317</f>
        <v>This dataset represents the supply of 1 megajoule of heat in a residence, by hydrogen combustion in a CHP.  The hydrogen is transported by train over 1700 km from regional storage.  The hydrogen is produced by  Electrolysis, Alkaline,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4317" spans="1:21" x14ac:dyDescent="0.2">
      <c r="A4317" t="s">
        <v>63</v>
      </c>
      <c r="B4317" s="45" t="s">
        <v>1223</v>
      </c>
    </row>
    <row r="4318" spans="1:21" x14ac:dyDescent="0.2">
      <c r="A4318" t="s">
        <v>52</v>
      </c>
      <c r="B4318" s="45" t="s">
        <v>64</v>
      </c>
    </row>
    <row r="4319" spans="1:21" x14ac:dyDescent="0.2">
      <c r="A4319" t="s">
        <v>48</v>
      </c>
      <c r="B4319" s="45">
        <v>54</v>
      </c>
    </row>
    <row r="4320" spans="1:21" x14ac:dyDescent="0.2">
      <c r="A4320" t="s">
        <v>54</v>
      </c>
      <c r="B4320" s="45" t="str">
        <f>INDEX(overview!$B$4:$R$338,MATCH('hydrogen - electrolysis'!B4319,overview!$A$4:$A$338,0),MATCH('hydrogen - electrolysis'!A4320,overview!$B$3:$R$3,0))</f>
        <v>heat, from residential heating system</v>
      </c>
    </row>
    <row r="4321" spans="1:2" x14ac:dyDescent="0.2">
      <c r="A4321" t="s">
        <v>55</v>
      </c>
      <c r="B4321" s="45" t="str">
        <f>INDEX(overview!$B$4:$R$338,MATCH('hydrogen - electrolysis'!B4319,overview!$A$4:$A$338,0),MATCH('hydrogen - electrolysis'!A4321,overview!$B$3:$R$3,0))</f>
        <v>megajoule</v>
      </c>
    </row>
    <row r="4322" spans="1:2" x14ac:dyDescent="0.2">
      <c r="A4322" t="s">
        <v>0</v>
      </c>
      <c r="B4322" s="45" t="str">
        <f>INDEX(overview!$B$4:$R$338,MATCH('hydrogen - electrolysis'!B4319,overview!$A$4:$A$338,0),MATCH('hydrogen - electrolysis'!A4322,overview!$B$3:$R$3,0))</f>
        <v>Switzerland</v>
      </c>
    </row>
    <row r="4323" spans="1:2" x14ac:dyDescent="0.2">
      <c r="A4323" t="s">
        <v>1</v>
      </c>
      <c r="B4323" s="45">
        <f>INDEX(overview!$B$4:$R$338,MATCH('hydrogen - electrolysis'!B4319,overview!$A$4:$A$338,0),MATCH('hydrogen - electrolysis'!A4323,overview!$B$3:$R$3,0))</f>
        <v>2020</v>
      </c>
    </row>
    <row r="4324" spans="1:2" x14ac:dyDescent="0.2">
      <c r="A4324" t="s">
        <v>2</v>
      </c>
      <c r="B4324" s="45" t="str">
        <f>INDEX(overview!$B$4:$R$338,MATCH('hydrogen - electrolysis'!B4319,overview!$A$4:$A$338,0),MATCH('hydrogen - electrolysis'!A4324,overview!$B$3:$R$3,0))</f>
        <v>1 MJ heat</v>
      </c>
    </row>
    <row r="4325" spans="1:2" x14ac:dyDescent="0.2">
      <c r="A4325" t="s">
        <v>5</v>
      </c>
      <c r="B4325" s="45" t="str">
        <f>INDEX(overview!$B$4:$R$338,MATCH('hydrogen - electrolysis'!B4319,overview!$A$4:$A$338,0),MATCH('hydrogen - electrolysis'!A4325,overview!$B$3:$R$3,0))</f>
        <v>hydrogen</v>
      </c>
    </row>
    <row r="4326" spans="1:2" x14ac:dyDescent="0.2">
      <c r="A4326" t="s">
        <v>3</v>
      </c>
      <c r="B4326" s="45" t="str">
        <f>INDEX(overview!$B$4:$R$338,MATCH('hydrogen - electrolysis'!B4319,overview!$A$4:$A$338,0),MATCH('hydrogen - electrolysis'!A4326,overview!$B$3:$R$3,0))</f>
        <v>combustion</v>
      </c>
    </row>
    <row r="4327" spans="1:2" x14ac:dyDescent="0.2">
      <c r="A4327" t="s">
        <v>6</v>
      </c>
      <c r="B4327" s="45" t="str">
        <f>INDEX(overview!$B$4:$R$338,MATCH('hydrogen - electrolysis'!B4319,overview!$A$4:$A$338,0),MATCH('hydrogen - electrolysis'!A4327,overview!$B$3:$R$3,0))</f>
        <v>CHP</v>
      </c>
    </row>
    <row r="4328" spans="1:2" x14ac:dyDescent="0.2">
      <c r="A4328" t="s">
        <v>39</v>
      </c>
      <c r="B4328" s="45" t="str">
        <f>INDEX(overview!$B$4:$R$338,MATCH('hydrogen - electrolysis'!B4319,overview!$A$4:$A$338,0),MATCH('hydrogen - electrolysis'!A4328,overview!$B$3:$R$3,0))</f>
        <v>exergy</v>
      </c>
    </row>
    <row r="4329" spans="1:2" x14ac:dyDescent="0.2">
      <c r="A4329" t="s">
        <v>4</v>
      </c>
      <c r="B4329" s="45" t="str">
        <f>INDEX(overview!$B$4:$R$338,MATCH('hydrogen - electrolysis'!B4319,overview!$A$4:$A$338,0),MATCH('hydrogen - electrolysis'!A4329,overview!$B$3:$R$3,0))</f>
        <v>train</v>
      </c>
    </row>
    <row r="4330" spans="1:2" x14ac:dyDescent="0.2">
      <c r="A4330" t="s">
        <v>38</v>
      </c>
      <c r="B4330" s="45">
        <f>INDEX(overview!$B$4:$R$338,MATCH('hydrogen - electrolysis'!B4319,overview!$A$4:$A$338,0),MATCH('hydrogen - electrolysis'!A4330,overview!$B$3:$R$3,0))</f>
        <v>1700</v>
      </c>
    </row>
    <row r="4331" spans="1:2" x14ac:dyDescent="0.2">
      <c r="A4331" t="s">
        <v>12</v>
      </c>
      <c r="B4331" s="45" t="str">
        <f>INDEX(overview!$B$4:$R$338,MATCH('hydrogen - electrolysis'!B4319,overview!$A$4:$A$338,0),MATCH('hydrogen - electrolysis'!A4331,overview!$B$3:$R$3,0))</f>
        <v>Pressure vessel for stationary storage</v>
      </c>
    </row>
    <row r="4332" spans="1:2" x14ac:dyDescent="0.2">
      <c r="A4332" t="s">
        <v>34</v>
      </c>
      <c r="B4332" s="45">
        <f>INDEX(overview!$B$4:$R$338,MATCH('hydrogen - electrolysis'!B4319,overview!$A$4:$A$338,0),MATCH('hydrogen - electrolysis'!A4332,overview!$B$3:$R$3,0))</f>
        <v>0</v>
      </c>
    </row>
    <row r="4333" spans="1:2" x14ac:dyDescent="0.2">
      <c r="A4333" t="s">
        <v>15</v>
      </c>
      <c r="B4333" s="45" t="str">
        <f>INDEX(overview!$B$4:$R$338,MATCH('hydrogen - electrolysis'!B4319,overview!$A$4:$A$338,0),MATCH('hydrogen - electrolysis'!A4333,overview!$B$3:$R$3,0))</f>
        <v>Electrolysis, Alkaline</v>
      </c>
    </row>
    <row r="4334" spans="1:2" x14ac:dyDescent="0.2">
      <c r="A4334" t="s">
        <v>14</v>
      </c>
      <c r="B4334" s="45" t="str">
        <f>INDEX(overview!$B$4:$R$338,MATCH('hydrogen - electrolysis'!B4319,overview!$A$4:$A$338,0),MATCH('hydrogen - electrolysis'!A4334,overview!$B$3:$R$3,0))</f>
        <v>water and electricity</v>
      </c>
    </row>
    <row r="4335" spans="1:2" x14ac:dyDescent="0.2">
      <c r="A4335" t="s">
        <v>26</v>
      </c>
      <c r="B4335" s="45" t="str">
        <f>INDEX(overview!$B$4:$R$338,MATCH('hydrogen - electrolysis'!B4319,overview!$A$4:$A$338,0),MATCH('hydrogen - electrolysis'!A4335,overview!$B$3:$R$3,0))</f>
        <v>Solar PV (IT)</v>
      </c>
    </row>
    <row r="4336" spans="1:2" x14ac:dyDescent="0.2">
      <c r="A4336" t="s">
        <v>29</v>
      </c>
      <c r="B4336" s="45">
        <f>INDEX(overview!$B$4:$R$338,MATCH('hydrogen - electrolysis'!B4319,overview!$A$4:$A$338,0),MATCH('hydrogen - electrolysis'!A4336,overview!$B$3:$R$3,0))</f>
        <v>0</v>
      </c>
    </row>
    <row r="4337" spans="1:2" x14ac:dyDescent="0.2">
      <c r="A4337" t="str">
        <f>IF(B4321="megajoule","Heat","Electricity")&amp;" conversion efficiency [% LHV input]"</f>
        <v>Heat conversion efficiency [% LHV input]</v>
      </c>
      <c r="B4337" s="46">
        <f>INDEX(parameters!$D$4:$N$20,MATCH('hydrogen - electrolysis'!B4325&amp;'hydrogen - electrolysis'!B4327,parameters!$A$4:$A$20,0),MATCH('hydrogen - electrolysis'!A4337,parameters!$D$3:$N$3,0))</f>
        <v>0.41699999999999998</v>
      </c>
    </row>
    <row r="4338" spans="1:2" x14ac:dyDescent="0.2">
      <c r="A4338" t="str">
        <f>IF(B4321="megajoule","LHV [MJ/kg]","LHV [kWh/kg]")</f>
        <v>LHV [MJ/kg]</v>
      </c>
      <c r="B4338" s="47">
        <f>INDEX(parameters!$D$4:$N$20,MATCH('hydrogen - electrolysis'!B4325&amp;'hydrogen - electrolysis'!B4327,parameters!$A$4:$A$20,0),MATCH('hydrogen - electrolysis'!A4338,parameters!$D$3:$N$3,0))</f>
        <v>120</v>
      </c>
    </row>
    <row r="4339" spans="1:2" x14ac:dyDescent="0.2">
      <c r="A4339" t="s">
        <v>41</v>
      </c>
      <c r="B4339" s="48">
        <f>INDEX(parameters!$D$4:$N$20,MATCH('hydrogen - electrolysis'!B4325&amp;'hydrogen - electrolysis'!B4327,parameters!$A$4:$A$20,0),MATCH('hydrogen - electrolysis'!A4339,parameters!$D$3:$N$3,0))</f>
        <v>2.6666666666666665E-2</v>
      </c>
    </row>
    <row r="4340" spans="1:2" x14ac:dyDescent="0.2">
      <c r="A4340" t="s">
        <v>45</v>
      </c>
      <c r="B4340" s="46">
        <f>INDEX(parameters!$D$4:$N$20,MATCH('hydrogen - electrolysis'!B4325&amp;'hydrogen - electrolysis'!B4327,parameters!$A$4:$A$20,0),MATCH('hydrogen - electrolysis'!A4340,parameters!$D$3:$N$3,0))</f>
        <v>0</v>
      </c>
    </row>
    <row r="4341" spans="1:2" x14ac:dyDescent="0.2">
      <c r="A4341" t="s">
        <v>46</v>
      </c>
      <c r="B4341" s="46">
        <f>INDEX(parameters!$D$4:$N$20,MATCH('hydrogen - electrolysis'!B4325&amp;'hydrogen - electrolysis'!B4327,parameters!$A$4:$A$20,0),MATCH('hydrogen - electrolysis'!A4341,parameters!$D$3:$N$3,0))</f>
        <v>1.4999999999999999E-2</v>
      </c>
    </row>
    <row r="4342" spans="1:2" x14ac:dyDescent="0.2">
      <c r="A4342" t="s">
        <v>43</v>
      </c>
      <c r="B4342" s="46">
        <f>INDEX(parameters!$D$4:$N$20,MATCH('hydrogen - electrolysis'!B4325&amp;'hydrogen - electrolysis'!B4327,parameters!$A$4:$A$20,0),MATCH('hydrogen - electrolysis'!A4342,parameters!$D$3:$N$3,0))</f>
        <v>0</v>
      </c>
    </row>
    <row r="4343" spans="1:2" x14ac:dyDescent="0.2">
      <c r="A4343" t="s">
        <v>44</v>
      </c>
      <c r="B4343" s="46">
        <f>INDEX(parameters!$D$4:$N$20,MATCH('hydrogen - electrolysis'!B4325&amp;'hydrogen - electrolysis'!B4327,parameters!$A$4:$A$20,0),MATCH('hydrogen - electrolysis'!A4343,parameters!$D$3:$N$3,0))</f>
        <v>0</v>
      </c>
    </row>
    <row r="4344" spans="1:2" x14ac:dyDescent="0.2">
      <c r="A4344" t="s">
        <v>634</v>
      </c>
      <c r="B4344" s="51">
        <f>INDEX(parameters!$D$4:$Y$20,MATCH('hydrogen - electrolysis'!B4325&amp;'hydrogen - electrolysis'!B4327,parameters!$A$4:$A$20,0),MATCH('hydrogen - electrolysis'!A4344,parameters!$D$3:$Y$3,0))</f>
        <v>351.41800246609125</v>
      </c>
    </row>
    <row r="4345" spans="1:2" x14ac:dyDescent="0.2">
      <c r="A4345" t="s">
        <v>82</v>
      </c>
      <c r="B4345" s="46">
        <f>IF(B4336&lt;&gt;0,VLOOKUP(B4336,parameters!A2767:B2769,2,0),0)</f>
        <v>0</v>
      </c>
    </row>
    <row r="4346" spans="1:2" x14ac:dyDescent="0.2">
      <c r="A4346" t="s">
        <v>548</v>
      </c>
      <c r="B4346" s="50">
        <f>INDEX(parameters!$D$4:$P$20,MATCH(B4325&amp;B4327,parameters!$A$4:$A$20,0),MATCH(A4346,parameters!$D$3:$P$3,0))</f>
        <v>125</v>
      </c>
    </row>
    <row r="4347" spans="1:2" x14ac:dyDescent="0.2">
      <c r="A4347" t="s">
        <v>547</v>
      </c>
      <c r="B4347" s="51">
        <f>INDEX(parameters!$D$4:$P$20,MATCH(B4325&amp;B4327,parameters!$A$4:$A$20,0),MATCH(A4347,parameters!$D$3:$P$3,0))</f>
        <v>19.512195121951219</v>
      </c>
    </row>
    <row r="4348" spans="1:2" x14ac:dyDescent="0.2">
      <c r="A4348" t="s">
        <v>630</v>
      </c>
      <c r="B4348" s="51">
        <f>INDEX(parameters!$D$4:$T$20,MATCH(B4325&amp;B4327,parameters!$A$4:$A$20,0),MATCH(A4348,parameters!$D$3:$T$3,0))</f>
        <v>4100</v>
      </c>
    </row>
    <row r="4349" spans="1:2" x14ac:dyDescent="0.2">
      <c r="A4349" t="s">
        <v>1005</v>
      </c>
      <c r="B4349" s="50">
        <f>IF(B4321="megajoule",SUMIFS(allocation!$I$4:$I$30,allocation!$B$4:$B$30,B4327,allocation!$C$4:$C$30,B4328),SUMIFS(allocation!$J$4:$J$30,allocation!$B$4:$B$30,B4327,allocation!$C$4:$C$30,B4328))</f>
        <v>0.12860042227295038</v>
      </c>
    </row>
    <row r="4350" spans="1:2" x14ac:dyDescent="0.2">
      <c r="A4350" t="s">
        <v>1050</v>
      </c>
      <c r="B4350" s="51">
        <f>INDEX(parameters!$D$4:$AB$20,MATCH(B4325&amp;B4327,parameters!$A$4:$A$20,0),MATCH(A4350,parameters!$D$3:$AB$3,0))</f>
        <v>2220.7364520822662</v>
      </c>
    </row>
    <row r="4352" spans="1:2" x14ac:dyDescent="0.2">
      <c r="A4352" s="3" t="s">
        <v>57</v>
      </c>
    </row>
    <row r="4353" spans="1:22" x14ac:dyDescent="0.2">
      <c r="A4353" s="2" t="s">
        <v>58</v>
      </c>
      <c r="B4353" s="44" t="s">
        <v>59</v>
      </c>
      <c r="C4353" s="2" t="s">
        <v>55</v>
      </c>
      <c r="D4353" s="2" t="s">
        <v>60</v>
      </c>
      <c r="E4353" s="2" t="s">
        <v>52</v>
      </c>
      <c r="F4353" s="2" t="s">
        <v>61</v>
      </c>
      <c r="G4353" s="2" t="s">
        <v>54</v>
      </c>
      <c r="H4353" s="2" t="s">
        <v>87</v>
      </c>
      <c r="I4353" s="2" t="s">
        <v>51</v>
      </c>
      <c r="J4353" s="2" t="s">
        <v>138</v>
      </c>
      <c r="K4353" s="2" t="s">
        <v>136</v>
      </c>
      <c r="L4353" s="2" t="s">
        <v>221</v>
      </c>
      <c r="M4353" s="2" t="s">
        <v>379</v>
      </c>
      <c r="N4353" s="2" t="s">
        <v>1059</v>
      </c>
      <c r="O4353" s="2" t="s">
        <v>1060</v>
      </c>
      <c r="P4353" s="2" t="s">
        <v>1061</v>
      </c>
      <c r="Q4353" s="2" t="s">
        <v>1062</v>
      </c>
      <c r="R4353" s="2" t="s">
        <v>1063</v>
      </c>
      <c r="S4353" s="2" t="s">
        <v>1064</v>
      </c>
      <c r="T4353" s="2" t="s">
        <v>1065</v>
      </c>
      <c r="U4353" s="2" t="s">
        <v>380</v>
      </c>
      <c r="V4353" s="2" t="s">
        <v>1128</v>
      </c>
    </row>
    <row r="4354" spans="1:22" x14ac:dyDescent="0.2">
      <c r="A4354" t="str">
        <f>B4315</f>
        <v>heat, residential, by combustion of hydrogen using CHP, allocated by exergy, transported by train, produced by Electrolysis, Alkaline using water and electricity from Solar PV (IT)</v>
      </c>
      <c r="B4354" s="45">
        <v>1</v>
      </c>
      <c r="C4354" t="str">
        <f>B4321</f>
        <v>megajoule</v>
      </c>
      <c r="E4354" t="str">
        <f>B4318</f>
        <v>CH</v>
      </c>
      <c r="F4354" t="s">
        <v>62</v>
      </c>
      <c r="G4354" t="str">
        <f>B4320</f>
        <v>heat, from residential heating system</v>
      </c>
      <c r="K4354" t="str">
        <f>B4315</f>
        <v>heat, residential, by combustion of hydrogen using CHP, allocated by exergy, transported by train, produced by Electrolysis, Alkaline using water and electricity from Solar PV (IT)</v>
      </c>
    </row>
    <row r="4355" spans="1:22" x14ac:dyDescent="0.2">
      <c r="A4355" t="str">
        <f>VLOOKUP(J4355,'dataset mapping'!$A$4:$E$69,2,0)</f>
        <v>heat and power co-generation unit construction, 160kW electrical, common components for heat+electricity</v>
      </c>
      <c r="B4355" s="52">
        <f>(1/(B4344*B4348*B4347*3.6))*B4349</f>
        <v>1.270649883812899E-9</v>
      </c>
      <c r="C4355" t="str">
        <f>VLOOKUP(J4355,'dataset mapping'!$A$4:$E$69,5,0)</f>
        <v>unit</v>
      </c>
      <c r="E4355" t="str">
        <f>VLOOKUP(J4355,'dataset mapping'!$A$4:$E$69,4,0)</f>
        <v>RER</v>
      </c>
      <c r="F4355" t="s">
        <v>86</v>
      </c>
      <c r="G4355" t="str">
        <f>VLOOKUP(J4355,'dataset mapping'!$A$4:$E$69,3,0)</f>
        <v>heat and power co-generation unit, 160kW electrical, common components for heat+electricity</v>
      </c>
      <c r="H4355" t="s">
        <v>88</v>
      </c>
      <c r="J4355" t="s">
        <v>145</v>
      </c>
      <c r="K4355" t="str">
        <f>B4315</f>
        <v>heat, residential, by combustion of hydrogen using CHP, allocated by exergy, transported by train, produced by Electrolysis, Alkaline using water and electricity from Solar PV (IT)</v>
      </c>
      <c r="L4355">
        <f t="shared" ref="L4355:L4364" si="136">IF(OR(B4355&lt;0,B4355=0),1,2)</f>
        <v>2</v>
      </c>
      <c r="M4355">
        <f t="shared" ref="M4355:M4364" si="137">IF(L4355=2,LN(B4355),"")</f>
        <v>-20.48373734782199</v>
      </c>
      <c r="N4355">
        <v>1.05</v>
      </c>
      <c r="O4355" s="15">
        <v>1.2</v>
      </c>
      <c r="P4355">
        <v>1</v>
      </c>
      <c r="Q4355">
        <v>1.01</v>
      </c>
      <c r="R4355">
        <v>1.2</v>
      </c>
      <c r="S4355">
        <v>1.2</v>
      </c>
      <c r="T4355">
        <v>3</v>
      </c>
      <c r="U4355">
        <f t="shared" ref="U4355:U4364" si="138">LN(SQRT(EXP(
SQRT(
+POWER(LN(N4355),2)
+POWER(LN(O4355),2)
+POWER(LN(P4355),2)
+POWER(LN(Q4355),2)
+POWER(LN(R4355),2)
+POWER(LN(S4355),2)
+POWER(LN(T4355),2)
)
)))</f>
        <v>0.57209088006881903</v>
      </c>
    </row>
    <row r="4356" spans="1:22" x14ac:dyDescent="0.2">
      <c r="A4356" t="str">
        <f>VLOOKUP(J4356,'dataset mapping'!$A$4:$E$69,2,0)</f>
        <v>heat and power co-generation unit construction, 160kW electrical, components for electricity only</v>
      </c>
      <c r="B4356" s="52">
        <f>(1/(B4344*B4348*B4347*3.6))*B4349</f>
        <v>1.270649883812899E-9</v>
      </c>
      <c r="C4356" t="str">
        <f>VLOOKUP(J4356,'dataset mapping'!$A$4:$E$69,5,0)</f>
        <v>unit</v>
      </c>
      <c r="E4356" t="str">
        <f>VLOOKUP(J4356,'dataset mapping'!$A$4:$E$69,4,0)</f>
        <v>RER</v>
      </c>
      <c r="F4356" t="s">
        <v>86</v>
      </c>
      <c r="G4356" t="str">
        <f>VLOOKUP(J4356,'dataset mapping'!$A$4:$E$69,3,0)</f>
        <v>heat and power co-generation unit, 160kW electrical, components for electricity only</v>
      </c>
      <c r="H4356" t="s">
        <v>88</v>
      </c>
      <c r="J4356" t="s">
        <v>146</v>
      </c>
      <c r="K4356" t="str">
        <f>B4315</f>
        <v>heat, residential, by combustion of hydrogen using CHP, allocated by exergy, transported by train, produced by Electrolysis, Alkaline using water and electricity from Solar PV (IT)</v>
      </c>
      <c r="L4356">
        <f t="shared" si="136"/>
        <v>2</v>
      </c>
      <c r="M4356">
        <f t="shared" si="137"/>
        <v>-20.48373734782199</v>
      </c>
      <c r="N4356">
        <v>1.05</v>
      </c>
      <c r="O4356" s="15">
        <v>1.2</v>
      </c>
      <c r="P4356">
        <v>1</v>
      </c>
      <c r="Q4356">
        <v>1.01</v>
      </c>
      <c r="R4356">
        <v>1.2</v>
      </c>
      <c r="S4356">
        <v>1.2</v>
      </c>
      <c r="T4356">
        <v>3</v>
      </c>
      <c r="U4356">
        <f t="shared" si="138"/>
        <v>0.57209088006881903</v>
      </c>
    </row>
    <row r="4357" spans="1:22" x14ac:dyDescent="0.2">
      <c r="A4357" t="str">
        <f>VLOOKUP(J4357,'dataset mapping'!$A$4:$E$69,2,0)</f>
        <v>heat and power co-generation unit construction, 160kW electrical, components for heat only</v>
      </c>
      <c r="B4357" s="52">
        <f>(1/(B4344*B4348*B4347*3.6))*B4349</f>
        <v>1.270649883812899E-9</v>
      </c>
      <c r="C4357" t="str">
        <f>VLOOKUP(J4357,'dataset mapping'!$A$4:$E$69,5,0)</f>
        <v>unit</v>
      </c>
      <c r="E4357" t="str">
        <f>VLOOKUP(J4357,'dataset mapping'!$A$4:$E$69,4,0)</f>
        <v>RER</v>
      </c>
      <c r="F4357" t="s">
        <v>86</v>
      </c>
      <c r="G4357" t="str">
        <f>VLOOKUP(J4357,'dataset mapping'!$A$4:$E$69,3,0)</f>
        <v>heat and power co-generation unit, 160kW electrical, components for heat only</v>
      </c>
      <c r="H4357" t="s">
        <v>88</v>
      </c>
      <c r="J4357" t="s">
        <v>147</v>
      </c>
      <c r="K4357" t="str">
        <f>B4315</f>
        <v>heat, residential, by combustion of hydrogen using CHP, allocated by exergy, transported by train, produced by Electrolysis, Alkaline using water and electricity from Solar PV (IT)</v>
      </c>
      <c r="L4357">
        <f t="shared" si="136"/>
        <v>2</v>
      </c>
      <c r="M4357">
        <f t="shared" si="137"/>
        <v>-20.48373734782199</v>
      </c>
      <c r="N4357">
        <v>1.05</v>
      </c>
      <c r="O4357" s="15">
        <v>1.2</v>
      </c>
      <c r="P4357">
        <v>1</v>
      </c>
      <c r="Q4357">
        <v>1.01</v>
      </c>
      <c r="R4357">
        <v>1.2</v>
      </c>
      <c r="S4357">
        <v>1.2</v>
      </c>
      <c r="T4357">
        <v>3</v>
      </c>
      <c r="U4357">
        <f t="shared" si="138"/>
        <v>0.57209088006881903</v>
      </c>
    </row>
    <row r="4358" spans="1:22" x14ac:dyDescent="0.2">
      <c r="A4358" t="s">
        <v>156</v>
      </c>
      <c r="B4358" s="52">
        <f>0.00000011366*B4349</f>
        <v>1.461672399554354E-8</v>
      </c>
      <c r="C4358" t="s">
        <v>56</v>
      </c>
      <c r="E4358" t="s">
        <v>90</v>
      </c>
      <c r="F4358" t="s">
        <v>86</v>
      </c>
      <c r="G4358" t="s">
        <v>154</v>
      </c>
      <c r="H4358" t="s">
        <v>155</v>
      </c>
      <c r="K4358" t="str">
        <f>B4315</f>
        <v>heat, residential, by combustion of hydrogen using CHP, allocated by exergy, transported by train, produced by Electrolysis, Alkaline using water and electricity from Solar PV (IT)</v>
      </c>
      <c r="L4358">
        <f t="shared" si="136"/>
        <v>2</v>
      </c>
      <c r="M4358">
        <f t="shared" si="137"/>
        <v>-18.041099484645969</v>
      </c>
      <c r="N4358">
        <v>1.05</v>
      </c>
      <c r="O4358" s="15">
        <v>1.2</v>
      </c>
      <c r="P4358">
        <v>1</v>
      </c>
      <c r="Q4358">
        <v>1.01</v>
      </c>
      <c r="R4358">
        <v>1.2</v>
      </c>
      <c r="S4358">
        <v>1.2</v>
      </c>
      <c r="T4358">
        <v>1.05</v>
      </c>
      <c r="U4358">
        <f t="shared" si="138"/>
        <v>0.16169679924070957</v>
      </c>
    </row>
    <row r="4359" spans="1:22" x14ac:dyDescent="0.2">
      <c r="A4359" t="s">
        <v>157</v>
      </c>
      <c r="B4359" s="52">
        <f>0.00000011366*B4349*-1</f>
        <v>-1.461672399554354E-8</v>
      </c>
      <c r="C4359" t="s">
        <v>56</v>
      </c>
      <c r="E4359" t="s">
        <v>64</v>
      </c>
      <c r="F4359" t="s">
        <v>86</v>
      </c>
      <c r="G4359" t="s">
        <v>158</v>
      </c>
      <c r="H4359" t="s">
        <v>155</v>
      </c>
      <c r="K4359" t="str">
        <f>B4315</f>
        <v>heat, residential, by combustion of hydrogen using CHP, allocated by exergy, transported by train, produced by Electrolysis, Alkaline using water and electricity from Solar PV (IT)</v>
      </c>
      <c r="L4359">
        <v>2</v>
      </c>
      <c r="M4359">
        <f>IF(L4359=2,LN(B4359*-1),"")</f>
        <v>-18.041099484645969</v>
      </c>
      <c r="N4359">
        <v>1.05</v>
      </c>
      <c r="O4359" s="15">
        <v>1.2</v>
      </c>
      <c r="P4359">
        <v>1</v>
      </c>
      <c r="Q4359">
        <v>1.01</v>
      </c>
      <c r="R4359">
        <v>1.2</v>
      </c>
      <c r="S4359">
        <v>1.2</v>
      </c>
      <c r="T4359">
        <v>3</v>
      </c>
      <c r="U4359">
        <f>LN(SQRT(EXP(
SQRT(
+POWER(LN(N4359),2)
+POWER(LN(O4359),2)
+POWER(LN(P4359),2)
+POWER(LN(Q4359),2)
+POWER(LN(R4359),2)
+POWER(LN(S4359),2)
+POWER(LN(T4359),2)
)
)))</f>
        <v>0.57209088006881903</v>
      </c>
      <c r="V4359" t="b">
        <v>1</v>
      </c>
    </row>
    <row r="4360" spans="1:22" x14ac:dyDescent="0.2">
      <c r="A4360" s="45" t="str">
        <f>"hydrogen supply, transported by "&amp;B4329&amp;", produced by "&amp;B4333&amp;" using "&amp;B4334&amp;" from "&amp;B4335</f>
        <v>hydrogen supply, transported by train, produced by Electrolysis, Alkaline using water and electricity from Solar PV (IT)</v>
      </c>
      <c r="B4360" s="53">
        <f>(B4354/B4338)/B4337*B4349</f>
        <v>2.56995248347223E-3</v>
      </c>
      <c r="C4360" t="s">
        <v>56</v>
      </c>
      <c r="E4360" t="s">
        <v>64</v>
      </c>
      <c r="F4360" t="s">
        <v>86</v>
      </c>
      <c r="G4360" t="str">
        <f>"hydrogen, gaseous, from "&amp;B4329</f>
        <v>hydrogen, gaseous, from train</v>
      </c>
      <c r="H4360" t="s">
        <v>76</v>
      </c>
      <c r="I4360" t="s">
        <v>1054</v>
      </c>
      <c r="J4360" t="s">
        <v>636</v>
      </c>
      <c r="K4360" t="str">
        <f>B4315</f>
        <v>heat, residential, by combustion of hydrogen using CHP, allocated by exergy, transported by train, produced by Electrolysis, Alkaline using water and electricity from Solar PV (IT)</v>
      </c>
      <c r="L4360">
        <f t="shared" si="136"/>
        <v>2</v>
      </c>
      <c r="M4360">
        <f t="shared" si="137"/>
        <v>-5.9638678691672418</v>
      </c>
      <c r="N4360">
        <v>1.05</v>
      </c>
      <c r="O4360" s="15">
        <v>1.2</v>
      </c>
      <c r="P4360">
        <v>1</v>
      </c>
      <c r="Q4360">
        <v>1.01</v>
      </c>
      <c r="R4360">
        <v>1.2</v>
      </c>
      <c r="S4360">
        <v>1.2</v>
      </c>
      <c r="T4360">
        <v>1.05</v>
      </c>
      <c r="U4360">
        <f t="shared" si="138"/>
        <v>0.16169679924070957</v>
      </c>
    </row>
    <row r="4361" spans="1:22" x14ac:dyDescent="0.2">
      <c r="A4361" t="str">
        <f>VLOOKUP(J4361,'dataset mapping'!$A$4:$E$69,2,0)</f>
        <v>market for transport, freight train</v>
      </c>
      <c r="B4361" s="45">
        <f>SUM(B4360:B4360)/1000*B4330</f>
        <v>4.368919221902791E-3</v>
      </c>
      <c r="C4361" t="str">
        <f>VLOOKUP(J4361,'dataset mapping'!$A$4:$E$69,5,0)</f>
        <v>ton kilometer</v>
      </c>
      <c r="E4361" t="str">
        <f>VLOOKUP(J4361,'dataset mapping'!$A$4:$E$69,4,0)</f>
        <v>CH</v>
      </c>
      <c r="F4361" t="s">
        <v>86</v>
      </c>
      <c r="G4361" t="str">
        <f>VLOOKUP(J4361,'dataset mapping'!$A$4:$E$69,3,0)</f>
        <v>transport, freight train</v>
      </c>
      <c r="H4361" t="s">
        <v>88</v>
      </c>
      <c r="I4361" t="s">
        <v>1052</v>
      </c>
      <c r="J4361" t="s">
        <v>295</v>
      </c>
      <c r="K4361" t="str">
        <f>B4315</f>
        <v>heat, residential, by combustion of hydrogen using CHP, allocated by exergy, transported by train, produced by Electrolysis, Alkaline using water and electricity from Solar PV (IT)</v>
      </c>
      <c r="L4361">
        <f t="shared" si="136"/>
        <v>2</v>
      </c>
      <c r="M4361">
        <f t="shared" si="137"/>
        <v>-5.4332396181050715</v>
      </c>
      <c r="N4361">
        <v>1.05</v>
      </c>
      <c r="O4361" s="15">
        <v>1.2</v>
      </c>
      <c r="P4361">
        <v>1</v>
      </c>
      <c r="Q4361">
        <v>1.01</v>
      </c>
      <c r="R4361">
        <v>1.2</v>
      </c>
      <c r="S4361">
        <v>1.2</v>
      </c>
      <c r="T4361">
        <v>2</v>
      </c>
      <c r="U4361">
        <f t="shared" si="138"/>
        <v>0.38165951885721477</v>
      </c>
    </row>
    <row r="4362" spans="1:22" x14ac:dyDescent="0.2">
      <c r="A4362" t="str">
        <f>VLOOKUP(J4362,'dataset mapping'!$A$4:$E$69,2,0)</f>
        <v>high pressure hydrogen storage tank</v>
      </c>
      <c r="B4362" s="52">
        <f>((B4350/10)/(B4348*B4344*20*3.6))*IF(B4349&lt;&gt;0,B4349,1)</f>
        <v>2.7529546486023421E-7</v>
      </c>
      <c r="C4362" t="str">
        <f>VLOOKUP(J4362,'dataset mapping'!$A$4:$E$69,5,0)</f>
        <v>kilogram</v>
      </c>
      <c r="E4362" t="str">
        <f>VLOOKUP(J4362,'dataset mapping'!$A$4:$E$69,4,0)</f>
        <v>GLO</v>
      </c>
      <c r="F4362" t="s">
        <v>86</v>
      </c>
      <c r="G4362" t="str">
        <f>VLOOKUP(J4362,'dataset mapping'!$A$4:$E$69,3,0)</f>
        <v>high pressure hydrogen storage tank</v>
      </c>
      <c r="H4362" t="s">
        <v>88</v>
      </c>
      <c r="I4362" t="s">
        <v>279</v>
      </c>
      <c r="J4362" t="s">
        <v>229</v>
      </c>
      <c r="K4362" t="str">
        <f>B4315</f>
        <v>heat, residential, by combustion of hydrogen using CHP, allocated by exergy, transported by train, produced by Electrolysis, Alkaline using water and electricity from Solar PV (IT)</v>
      </c>
      <c r="L4362">
        <f t="shared" si="136"/>
        <v>2</v>
      </c>
      <c r="M4362">
        <f t="shared" si="137"/>
        <v>-15.105420898379837</v>
      </c>
      <c r="N4362">
        <v>1.05</v>
      </c>
      <c r="O4362" s="15">
        <v>1.2</v>
      </c>
      <c r="P4362">
        <v>1</v>
      </c>
      <c r="Q4362">
        <v>1.01</v>
      </c>
      <c r="R4362">
        <v>1.2</v>
      </c>
      <c r="S4362">
        <v>1.2</v>
      </c>
      <c r="T4362">
        <v>3</v>
      </c>
      <c r="U4362">
        <f t="shared" si="138"/>
        <v>0.57209088006881903</v>
      </c>
    </row>
    <row r="4363" spans="1:22" x14ac:dyDescent="0.2">
      <c r="A4363" t="s">
        <v>134</v>
      </c>
      <c r="B4363" s="45">
        <f>B4360*9</f>
        <v>2.3129572351250072E-2</v>
      </c>
      <c r="C4363" t="s">
        <v>56</v>
      </c>
      <c r="D4363" t="s">
        <v>100</v>
      </c>
      <c r="F4363" t="s">
        <v>99</v>
      </c>
      <c r="H4363" t="s">
        <v>131</v>
      </c>
      <c r="I4363" t="s">
        <v>1058</v>
      </c>
      <c r="K4363" t="str">
        <f>B4315</f>
        <v>heat, residential, by combustion of hydrogen using CHP, allocated by exergy, transported by train, produced by Electrolysis, Alkaline using water and electricity from Solar PV (IT)</v>
      </c>
      <c r="L4363">
        <f t="shared" si="136"/>
        <v>2</v>
      </c>
      <c r="M4363">
        <f t="shared" si="137"/>
        <v>-3.7666432918310226</v>
      </c>
      <c r="N4363">
        <v>1.05</v>
      </c>
      <c r="O4363" s="15">
        <v>1.2</v>
      </c>
      <c r="P4363">
        <v>1</v>
      </c>
      <c r="Q4363">
        <v>1.01</v>
      </c>
      <c r="R4363">
        <v>1.2</v>
      </c>
      <c r="S4363">
        <v>1.2</v>
      </c>
      <c r="T4363">
        <v>1.05</v>
      </c>
      <c r="U4363">
        <f t="shared" si="138"/>
        <v>0.16169679924070957</v>
      </c>
    </row>
    <row r="4364" spans="1:22" x14ac:dyDescent="0.2">
      <c r="A4364" t="s">
        <v>135</v>
      </c>
      <c r="B4364" s="45">
        <f>912.5/1000000*B4361</f>
        <v>3.9866387899862971E-6</v>
      </c>
      <c r="C4364" t="s">
        <v>56</v>
      </c>
      <c r="D4364" t="s">
        <v>100</v>
      </c>
      <c r="F4364" t="s">
        <v>99</v>
      </c>
      <c r="H4364" t="s">
        <v>131</v>
      </c>
      <c r="I4364" t="s">
        <v>1217</v>
      </c>
      <c r="K4364" t="str">
        <f>B4315</f>
        <v>heat, residential, by combustion of hydrogen using CHP, allocated by exergy, transported by train, produced by Electrolysis, Alkaline using water and electricity from Solar PV (IT)</v>
      </c>
      <c r="L4364">
        <f t="shared" si="136"/>
        <v>2</v>
      </c>
      <c r="M4364">
        <f t="shared" si="137"/>
        <v>-12.432562090612699</v>
      </c>
      <c r="N4364">
        <v>1.05</v>
      </c>
      <c r="O4364" s="15">
        <v>1.2</v>
      </c>
      <c r="P4364">
        <v>1</v>
      </c>
      <c r="Q4364">
        <v>1.01</v>
      </c>
      <c r="R4364">
        <v>1.2</v>
      </c>
      <c r="S4364">
        <v>1.2</v>
      </c>
      <c r="T4364">
        <v>1.5</v>
      </c>
      <c r="U4364">
        <f t="shared" si="138"/>
        <v>0.25816898211842121</v>
      </c>
    </row>
    <row r="4366" spans="1:22" x14ac:dyDescent="0.2">
      <c r="A4366" s="2" t="s">
        <v>50</v>
      </c>
      <c r="B4366" s="44" t="str">
        <f>IF(B4372="megajoule","heat","electricity")&amp;", residential, by "&amp;B4377&amp;" of "&amp;B4376&amp;" using "&amp;B4378&amp;IF(B4379&lt;&gt;0,", allocated by "&amp;B4379,"")&amp;", transported by "&amp;B4380&amp;", produced by "&amp;B4384&amp;" using "&amp;B4385&amp;" from "&amp;B4386</f>
        <v>heat, residential, by conversion of hydrogen using fuel cell, PEM, allocated by exergy, transported by train, produced by Electrolysis, Alkaline using water and electricity from Solar PV (IT)</v>
      </c>
    </row>
    <row r="4367" spans="1:22" x14ac:dyDescent="0.2">
      <c r="A4367" t="s">
        <v>51</v>
      </c>
      <c r="B4367" s="45" t="str">
        <f>"This dataset represents the supply of 1 "&amp;IF(B4372="megajoule","megajoule of heat","kilowatt hour of electricity")&amp;" in a residence, by "&amp;B4376&amp;" "&amp;B4377&amp;" in a "&amp;B4378&amp;". "&amp;" The hydrogen is transported by "&amp;B4380&amp;" over "&amp;B4381&amp;" km from regional storage. "&amp;" The "&amp;B4376&amp;" is produced by  "&amp;B4384&amp;", with "&amp;B4385&amp;" from "&amp;B4386&amp;" as feedstock. "&amp;A4388&amp;": "&amp;(B4388*100)&amp;"%. "&amp;A4389&amp;": "&amp;B4389&amp;". "&amp;A4390&amp;": "&amp;B4390&amp;". "&amp;A4391&amp;": "&amp;(B4391*100)&amp;"%. "&amp;A4392&amp;": "&amp;(B4392*100)&amp;"%. "&amp;A4393&amp;": "&amp;(B4393*100)&amp;"%. "&amp;A4394&amp;": "&amp;B4394&amp;". "&amp;A4395&amp;": "&amp;B4395&amp;". "&amp;A4396&amp;": "&amp;(B4396*100)&amp;"%. "&amp;A4397&amp;": "&amp;B4397&amp;". "&amp;A4398&amp;": "&amp;B4398&amp;". "&amp;A4399&amp;": "&amp;B4399&amp;". "&amp;A4400&amp;": "&amp;B4400&amp;".  For more information, refer to: "&amp;B4368</f>
        <v>This dataset represents the supply of 1 megajoule of heat in a residence, by hydrogen conversion in a fuel cell, PEM.  The hydrogen is transported by train over 1700 km from regional storage.  The hydrogen is produced by  Electrolysis, Alkaline,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4368" spans="1:22" x14ac:dyDescent="0.2">
      <c r="A4368" t="s">
        <v>63</v>
      </c>
      <c r="B4368" s="45" t="s">
        <v>1223</v>
      </c>
    </row>
    <row r="4369" spans="1:2" x14ac:dyDescent="0.2">
      <c r="A4369" t="s">
        <v>52</v>
      </c>
      <c r="B4369" s="45" t="s">
        <v>64</v>
      </c>
    </row>
    <row r="4370" spans="1:2" x14ac:dyDescent="0.2">
      <c r="A4370" t="s">
        <v>48</v>
      </c>
      <c r="B4370" s="45">
        <v>55</v>
      </c>
    </row>
    <row r="4371" spans="1:2" x14ac:dyDescent="0.2">
      <c r="A4371" t="s">
        <v>54</v>
      </c>
      <c r="B4371" s="45" t="str">
        <f>INDEX(overview!$B$4:$R$338,MATCH('hydrogen - electrolysis'!B4370,overview!$A$4:$A$338,0),MATCH('hydrogen - electrolysis'!A4371,overview!$B$3:$R$3,0))</f>
        <v>heat, from residential heating system</v>
      </c>
    </row>
    <row r="4372" spans="1:2" x14ac:dyDescent="0.2">
      <c r="A4372" t="s">
        <v>55</v>
      </c>
      <c r="B4372" s="45" t="str">
        <f>INDEX(overview!$B$4:$R$338,MATCH('hydrogen - electrolysis'!B4370,overview!$A$4:$A$338,0),MATCH('hydrogen - electrolysis'!A4372,overview!$B$3:$R$3,0))</f>
        <v>megajoule</v>
      </c>
    </row>
    <row r="4373" spans="1:2" x14ac:dyDescent="0.2">
      <c r="A4373" t="s">
        <v>0</v>
      </c>
      <c r="B4373" s="45" t="str">
        <f>INDEX(overview!$B$4:$R$338,MATCH('hydrogen - electrolysis'!B4370,overview!$A$4:$A$338,0),MATCH('hydrogen - electrolysis'!A4373,overview!$B$3:$R$3,0))</f>
        <v>Switzerland</v>
      </c>
    </row>
    <row r="4374" spans="1:2" x14ac:dyDescent="0.2">
      <c r="A4374" t="s">
        <v>1</v>
      </c>
      <c r="B4374" s="45">
        <f>INDEX(overview!$B$4:$R$338,MATCH('hydrogen - electrolysis'!B4370,overview!$A$4:$A$338,0),MATCH('hydrogen - electrolysis'!A4374,overview!$B$3:$R$3,0))</f>
        <v>2020</v>
      </c>
    </row>
    <row r="4375" spans="1:2" x14ac:dyDescent="0.2">
      <c r="A4375" t="s">
        <v>2</v>
      </c>
      <c r="B4375" s="45" t="str">
        <f>INDEX(overview!$B$4:$R$338,MATCH('hydrogen - electrolysis'!B4370,overview!$A$4:$A$338,0),MATCH('hydrogen - electrolysis'!A4375,overview!$B$3:$R$3,0))</f>
        <v>1 MJ heat</v>
      </c>
    </row>
    <row r="4376" spans="1:2" x14ac:dyDescent="0.2">
      <c r="A4376" t="s">
        <v>5</v>
      </c>
      <c r="B4376" s="45" t="str">
        <f>INDEX(overview!$B$4:$R$338,MATCH('hydrogen - electrolysis'!B4370,overview!$A$4:$A$338,0),MATCH('hydrogen - electrolysis'!A4376,overview!$B$3:$R$3,0))</f>
        <v>hydrogen</v>
      </c>
    </row>
    <row r="4377" spans="1:2" x14ac:dyDescent="0.2">
      <c r="A4377" t="s">
        <v>3</v>
      </c>
      <c r="B4377" s="45" t="str">
        <f>INDEX(overview!$B$4:$R$338,MATCH('hydrogen - electrolysis'!B4370,overview!$A$4:$A$338,0),MATCH('hydrogen - electrolysis'!A4377,overview!$B$3:$R$3,0))</f>
        <v>conversion</v>
      </c>
    </row>
    <row r="4378" spans="1:2" x14ac:dyDescent="0.2">
      <c r="A4378" t="s">
        <v>6</v>
      </c>
      <c r="B4378" s="45" t="str">
        <f>INDEX(overview!$B$4:$R$338,MATCH('hydrogen - electrolysis'!B4370,overview!$A$4:$A$338,0),MATCH('hydrogen - electrolysis'!A4378,overview!$B$3:$R$3,0))</f>
        <v>fuel cell, PEM</v>
      </c>
    </row>
    <row r="4379" spans="1:2" x14ac:dyDescent="0.2">
      <c r="A4379" t="s">
        <v>39</v>
      </c>
      <c r="B4379" s="45" t="str">
        <f>INDEX(overview!$B$4:$R$338,MATCH('hydrogen - electrolysis'!B4370,overview!$A$4:$A$338,0),MATCH('hydrogen - electrolysis'!A4379,overview!$B$3:$R$3,0))</f>
        <v>exergy</v>
      </c>
    </row>
    <row r="4380" spans="1:2" x14ac:dyDescent="0.2">
      <c r="A4380" t="s">
        <v>4</v>
      </c>
      <c r="B4380" s="45" t="str">
        <f>INDEX(overview!$B$4:$R$338,MATCH('hydrogen - electrolysis'!B4370,overview!$A$4:$A$338,0),MATCH('hydrogen - electrolysis'!A4380,overview!$B$3:$R$3,0))</f>
        <v>train</v>
      </c>
    </row>
    <row r="4381" spans="1:2" x14ac:dyDescent="0.2">
      <c r="A4381" t="s">
        <v>38</v>
      </c>
      <c r="B4381" s="45">
        <f>INDEX(overview!$B$4:$R$338,MATCH('hydrogen - electrolysis'!B4370,overview!$A$4:$A$338,0),MATCH('hydrogen - electrolysis'!A4381,overview!$B$3:$R$3,0))</f>
        <v>1700</v>
      </c>
    </row>
    <row r="4382" spans="1:2" x14ac:dyDescent="0.2">
      <c r="A4382" t="s">
        <v>12</v>
      </c>
      <c r="B4382" s="45" t="str">
        <f>INDEX(overview!$B$4:$R$338,MATCH('hydrogen - electrolysis'!B4370,overview!$A$4:$A$338,0),MATCH('hydrogen - electrolysis'!A4382,overview!$B$3:$R$3,0))</f>
        <v>Pressure vessel for stationary storage</v>
      </c>
    </row>
    <row r="4383" spans="1:2" x14ac:dyDescent="0.2">
      <c r="A4383" t="s">
        <v>34</v>
      </c>
      <c r="B4383" s="45">
        <f>INDEX(overview!$B$4:$R$338,MATCH('hydrogen - electrolysis'!B4370,overview!$A$4:$A$338,0),MATCH('hydrogen - electrolysis'!A4383,overview!$B$3:$R$3,0))</f>
        <v>0</v>
      </c>
    </row>
    <row r="4384" spans="1:2" x14ac:dyDescent="0.2">
      <c r="A4384" t="s">
        <v>15</v>
      </c>
      <c r="B4384" s="45" t="str">
        <f>INDEX(overview!$B$4:$R$338,MATCH('hydrogen - electrolysis'!B4370,overview!$A$4:$A$338,0),MATCH('hydrogen - electrolysis'!A4384,overview!$B$3:$R$3,0))</f>
        <v>Electrolysis, Alkaline</v>
      </c>
    </row>
    <row r="4385" spans="1:2" x14ac:dyDescent="0.2">
      <c r="A4385" t="s">
        <v>14</v>
      </c>
      <c r="B4385" s="45" t="str">
        <f>INDEX(overview!$B$4:$R$338,MATCH('hydrogen - electrolysis'!B4370,overview!$A$4:$A$338,0),MATCH('hydrogen - electrolysis'!A4385,overview!$B$3:$R$3,0))</f>
        <v>water and electricity</v>
      </c>
    </row>
    <row r="4386" spans="1:2" x14ac:dyDescent="0.2">
      <c r="A4386" t="s">
        <v>26</v>
      </c>
      <c r="B4386" s="45" t="str">
        <f>INDEX(overview!$B$4:$R$338,MATCH('hydrogen - electrolysis'!B4370,overview!$A$4:$A$338,0),MATCH('hydrogen - electrolysis'!A4386,overview!$B$3:$R$3,0))</f>
        <v>Solar PV (IT)</v>
      </c>
    </row>
    <row r="4387" spans="1:2" x14ac:dyDescent="0.2">
      <c r="A4387" t="s">
        <v>29</v>
      </c>
      <c r="B4387" s="45">
        <f>INDEX(overview!$B$4:$R$338,MATCH('hydrogen - electrolysis'!B4370,overview!$A$4:$A$338,0),MATCH('hydrogen - electrolysis'!A4387,overview!$B$3:$R$3,0))</f>
        <v>0</v>
      </c>
    </row>
    <row r="4388" spans="1:2" x14ac:dyDescent="0.2">
      <c r="A4388" t="str">
        <f>IF(B4372="megajoule","Heat","Electricity")&amp;" conversion efficiency [% LHV input]"</f>
        <v>Heat conversion efficiency [% LHV input]</v>
      </c>
      <c r="B4388" s="46">
        <f>INDEX(parameters!$D$4:$N$20,MATCH('hydrogen - electrolysis'!B4376&amp;'hydrogen - electrolysis'!B4378,parameters!$A$4:$A$20,0),MATCH('hydrogen - electrolysis'!A4388,parameters!$D$3:$N$3,0))</f>
        <v>0.5</v>
      </c>
    </row>
    <row r="4389" spans="1:2" x14ac:dyDescent="0.2">
      <c r="A4389" t="str">
        <f>IF(B4372="megajoule","LHV [MJ/kg]","LHV [kWh/kg]")</f>
        <v>LHV [MJ/kg]</v>
      </c>
      <c r="B4389" s="47">
        <f>INDEX(parameters!$D$4:$N$20,MATCH('hydrogen - electrolysis'!B4376&amp;'hydrogen - electrolysis'!B4378,parameters!$A$4:$A$20,0),MATCH('hydrogen - electrolysis'!A4389,parameters!$D$3:$N$3,0))</f>
        <v>120</v>
      </c>
    </row>
    <row r="4390" spans="1:2" x14ac:dyDescent="0.2">
      <c r="A4390" t="s">
        <v>41</v>
      </c>
      <c r="B4390" s="48">
        <f>INDEX(parameters!$D$4:$N$20,MATCH('hydrogen - electrolysis'!B4376&amp;'hydrogen - electrolysis'!B4378,parameters!$A$4:$A$20,0),MATCH('hydrogen - electrolysis'!A4390,parameters!$D$3:$N$3,0))</f>
        <v>2.6666666666666665E-2</v>
      </c>
    </row>
    <row r="4391" spans="1:2" x14ac:dyDescent="0.2">
      <c r="A4391" t="s">
        <v>45</v>
      </c>
      <c r="B4391" s="46">
        <f>INDEX(parameters!$D$4:$N$20,MATCH('hydrogen - electrolysis'!B4376&amp;'hydrogen - electrolysis'!B4378,parameters!$A$4:$A$20,0),MATCH('hydrogen - electrolysis'!A4391,parameters!$D$3:$N$3,0))</f>
        <v>0</v>
      </c>
    </row>
    <row r="4392" spans="1:2" x14ac:dyDescent="0.2">
      <c r="A4392" t="s">
        <v>46</v>
      </c>
      <c r="B4392" s="46">
        <f>INDEX(parameters!$D$4:$N$20,MATCH('hydrogen - electrolysis'!B4376&amp;'hydrogen - electrolysis'!B4378,parameters!$A$4:$A$20,0),MATCH('hydrogen - electrolysis'!A4392,parameters!$D$3:$N$3,0))</f>
        <v>1.4999999999999999E-2</v>
      </c>
    </row>
    <row r="4393" spans="1:2" x14ac:dyDescent="0.2">
      <c r="A4393" t="s">
        <v>43</v>
      </c>
      <c r="B4393" s="46">
        <f>INDEX(parameters!$D$4:$N$20,MATCH('hydrogen - electrolysis'!B4376&amp;'hydrogen - electrolysis'!B4378,parameters!$A$4:$A$20,0),MATCH('hydrogen - electrolysis'!A4393,parameters!$D$3:$N$3,0))</f>
        <v>0</v>
      </c>
    </row>
    <row r="4394" spans="1:2" x14ac:dyDescent="0.2">
      <c r="A4394" t="s">
        <v>44</v>
      </c>
      <c r="B4394" s="46">
        <f>INDEX(parameters!$D$4:$N$20,MATCH('hydrogen - electrolysis'!B4376&amp;'hydrogen - electrolysis'!B4378,parameters!$A$4:$A$20,0),MATCH('hydrogen - electrolysis'!A4394,parameters!$D$3:$N$3,0))</f>
        <v>0</v>
      </c>
    </row>
    <row r="4395" spans="1:2" x14ac:dyDescent="0.2">
      <c r="A4395" t="s">
        <v>634</v>
      </c>
      <c r="B4395" s="51">
        <f>INDEX(parameters!$D$4:$Y$20,MATCH('hydrogen - electrolysis'!B4376&amp;'hydrogen - electrolysis'!B4378,parameters!$A$4:$A$20,0),MATCH('hydrogen - electrolysis'!A4395,parameters!$D$3:$Y$3,0))</f>
        <v>1.8947368421052633</v>
      </c>
    </row>
    <row r="4396" spans="1:2" x14ac:dyDescent="0.2">
      <c r="A4396" t="s">
        <v>82</v>
      </c>
      <c r="B4396" s="46">
        <f>IF(B4387&lt;&gt;0,VLOOKUP(B4387,parameters!A2820:B2822,2,0),0)</f>
        <v>0</v>
      </c>
    </row>
    <row r="4397" spans="1:2" x14ac:dyDescent="0.2">
      <c r="A4397" t="s">
        <v>548</v>
      </c>
      <c r="B4397" s="50">
        <f>INDEX(parameters!$D$4:$P$20,MATCH(B4376&amp;B4378,parameters!$A$4:$A$20,0),MATCH(A4397,parameters!$D$3:$P$3,0))</f>
        <v>0.8</v>
      </c>
    </row>
    <row r="4398" spans="1:2" x14ac:dyDescent="0.2">
      <c r="A4398" t="s">
        <v>547</v>
      </c>
      <c r="B4398" s="51">
        <f>INDEX(parameters!$D$4:$P$20,MATCH(B4376&amp;B4378,parameters!$A$4:$A$20,0),MATCH(A4398,parameters!$D$3:$P$3,0))</f>
        <v>4.8780487804878048</v>
      </c>
    </row>
    <row r="4399" spans="1:2" x14ac:dyDescent="0.2">
      <c r="A4399" t="s">
        <v>630</v>
      </c>
      <c r="B4399" s="51">
        <f>INDEX(parameters!$D$4:$T$20,MATCH(B4376&amp;B4378,parameters!$A$4:$A$20,0),MATCH(A4399,parameters!$D$3:$T$3,0))</f>
        <v>4100</v>
      </c>
    </row>
    <row r="4400" spans="1:2" x14ac:dyDescent="0.2">
      <c r="A4400" t="s">
        <v>1005</v>
      </c>
      <c r="B4400" s="50">
        <f>IF(B4372="megajoule",SUMIFS(allocation!$I$4:$I$30,allocation!$B$4:$B$30,B4378,allocation!$C$4:$C$30,B4379),SUMIFS(allocation!$J$4:$J$30,allocation!$B$4:$B$30,B4378,allocation!$C$4:$C$30,B4379))</f>
        <v>0.13933980798974457</v>
      </c>
    </row>
    <row r="4401" spans="1:22" x14ac:dyDescent="0.2">
      <c r="A4401" t="s">
        <v>1050</v>
      </c>
      <c r="B4401" s="51">
        <f>INDEX(parameters!$D$4:$AB$20,MATCH(B4376&amp;B4378,parameters!$A$4:$A$20,0),MATCH(A4401,parameters!$D$3:$AB$3,0))</f>
        <v>10.221606648199446</v>
      </c>
    </row>
    <row r="4403" spans="1:22" x14ac:dyDescent="0.2">
      <c r="A4403" s="3" t="s">
        <v>57</v>
      </c>
    </row>
    <row r="4404" spans="1:22" x14ac:dyDescent="0.2">
      <c r="A4404" s="2" t="s">
        <v>58</v>
      </c>
      <c r="B4404" s="44" t="s">
        <v>59</v>
      </c>
      <c r="C4404" s="2" t="s">
        <v>55</v>
      </c>
      <c r="D4404" s="2" t="s">
        <v>60</v>
      </c>
      <c r="E4404" s="2" t="s">
        <v>52</v>
      </c>
      <c r="F4404" s="2" t="s">
        <v>61</v>
      </c>
      <c r="G4404" s="2" t="s">
        <v>54</v>
      </c>
      <c r="H4404" s="2" t="s">
        <v>87</v>
      </c>
      <c r="I4404" s="2" t="s">
        <v>51</v>
      </c>
      <c r="J4404" s="2" t="s">
        <v>138</v>
      </c>
      <c r="K4404" s="2" t="s">
        <v>136</v>
      </c>
      <c r="L4404" s="2" t="s">
        <v>221</v>
      </c>
      <c r="M4404" s="2" t="s">
        <v>379</v>
      </c>
      <c r="N4404" s="2" t="s">
        <v>1059</v>
      </c>
      <c r="O4404" s="2" t="s">
        <v>1060</v>
      </c>
      <c r="P4404" s="2" t="s">
        <v>1061</v>
      </c>
      <c r="Q4404" s="2" t="s">
        <v>1062</v>
      </c>
      <c r="R4404" s="2" t="s">
        <v>1063</v>
      </c>
      <c r="S4404" s="2" t="s">
        <v>1064</v>
      </c>
      <c r="T4404" s="2" t="s">
        <v>1065</v>
      </c>
      <c r="U4404" s="2" t="s">
        <v>380</v>
      </c>
      <c r="V4404" s="2" t="s">
        <v>1128</v>
      </c>
    </row>
    <row r="4405" spans="1:22" x14ac:dyDescent="0.2">
      <c r="A4405" t="str">
        <f>B4366</f>
        <v>heat, residential, by conversion of hydrogen using fuel cell, PEM, allocated by exergy, transported by train, produced by Electrolysis, Alkaline using water and electricity from Solar PV (IT)</v>
      </c>
      <c r="B4405" s="45">
        <v>1</v>
      </c>
      <c r="C4405" t="str">
        <f>B4372</f>
        <v>megajoule</v>
      </c>
      <c r="E4405" t="str">
        <f>B4369</f>
        <v>CH</v>
      </c>
      <c r="F4405" t="s">
        <v>62</v>
      </c>
      <c r="G4405" t="str">
        <f>B4371</f>
        <v>heat, from residential heating system</v>
      </c>
      <c r="K4405" t="str">
        <f>B4366</f>
        <v>heat, residential, by conversion of hydrogen using fuel cell, PEM, allocated by exergy, transported by train, produced by Electrolysis, Alkaline using water and electricity from Solar PV (IT)</v>
      </c>
    </row>
    <row r="4406" spans="1:22" x14ac:dyDescent="0.2">
      <c r="A4406" t="str">
        <f>VLOOKUP(J4406,'dataset mapping'!$A$4:$E$69,2,0)</f>
        <v>fuel cell system assembly, 1 kWe, proton exchange membrane (PEM)</v>
      </c>
      <c r="B4406" s="52">
        <f>1/(80000*3.6)/0.5*SUMIFS(allocation!$I$4:$I$30,allocation!$B$4:$B$30,'hydrogen - electrolysis'!B4378,allocation!$C$4:$C$30,'hydrogen - electrolysis'!B4379)</f>
        <v>9.6763755548433728E-7</v>
      </c>
      <c r="C4406" t="str">
        <f>VLOOKUP(J4406,'dataset mapping'!$A$4:$E$69,5,0)</f>
        <v>unit</v>
      </c>
      <c r="E4406" t="str">
        <f>VLOOKUP(J4406,'dataset mapping'!$A$4:$E$69,4,0)</f>
        <v>GLO</v>
      </c>
      <c r="F4406" t="s">
        <v>86</v>
      </c>
      <c r="G4406" t="str">
        <f>VLOOKUP(J4406,'dataset mapping'!$A$4:$E$69,3,0)</f>
        <v>fuel cell system, 1 kWe, proton exchange membrane (PEM)</v>
      </c>
      <c r="H4406" t="s">
        <v>88</v>
      </c>
      <c r="I4406" t="s">
        <v>272</v>
      </c>
      <c r="J4406" t="s">
        <v>273</v>
      </c>
      <c r="K4406" t="str">
        <f>B4366</f>
        <v>heat, residential, by conversion of hydrogen using fuel cell, PEM, allocated by exergy, transported by train, produced by Electrolysis, Alkaline using water and electricity from Solar PV (IT)</v>
      </c>
      <c r="L4406">
        <f t="shared" ref="L4406:L4410" si="139">IF(OR(B4406&lt;0,B4406=0),1,2)</f>
        <v>2</v>
      </c>
      <c r="M4406">
        <f t="shared" ref="M4406:M4410" si="140">IF(L4406=2,LN(B4406),"")</f>
        <v>-13.848408245937353</v>
      </c>
      <c r="N4406">
        <v>1</v>
      </c>
      <c r="O4406" s="15">
        <v>1.2</v>
      </c>
      <c r="P4406">
        <v>1</v>
      </c>
      <c r="Q4406">
        <v>1.01</v>
      </c>
      <c r="R4406">
        <v>1.2</v>
      </c>
      <c r="S4406">
        <v>1.2</v>
      </c>
      <c r="T4406">
        <v>3</v>
      </c>
      <c r="U4406">
        <f t="shared" ref="U4406:U4410" si="141">LN(SQRT(EXP(
SQRT(
+POWER(LN(N4406),2)
+POWER(LN(O4406),2)
+POWER(LN(P4406),2)
+POWER(LN(Q4406),2)
+POWER(LN(R4406),2)
+POWER(LN(S4406),2)
+POWER(LN(T4406),2)
)
)))</f>
        <v>0.57157051623399524</v>
      </c>
    </row>
    <row r="4407" spans="1:22" x14ac:dyDescent="0.2">
      <c r="A4407" s="45" t="str">
        <f>"hydrogen supply, transported by "&amp;B4380&amp;", produced by "&amp;B4384&amp;" using "&amp;B4385&amp;" from "&amp;B4386</f>
        <v>hydrogen supply, transported by train, produced by Electrolysis, Alkaline using water and electricity from Solar PV (IT)</v>
      </c>
      <c r="B4407" s="53">
        <f>(B4405/B4389)/B4388*B4400</f>
        <v>2.3223301331624095E-3</v>
      </c>
      <c r="C4407" t="s">
        <v>56</v>
      </c>
      <c r="E4407" t="s">
        <v>64</v>
      </c>
      <c r="F4407" t="s">
        <v>86</v>
      </c>
      <c r="G4407" t="str">
        <f>"hydrogen, gaseous, from "&amp;B4380</f>
        <v>hydrogen, gaseous, from train</v>
      </c>
      <c r="H4407" t="s">
        <v>76</v>
      </c>
      <c r="I4407" t="s">
        <v>1054</v>
      </c>
      <c r="J4407" t="s">
        <v>636</v>
      </c>
      <c r="K4407" t="str">
        <f>B4366</f>
        <v>heat, residential, by conversion of hydrogen using fuel cell, PEM, allocated by exergy, transported by train, produced by Electrolysis, Alkaline using water and electricity from Solar PV (IT)</v>
      </c>
      <c r="L4407">
        <f t="shared" si="139"/>
        <v>2</v>
      </c>
      <c r="M4407">
        <f t="shared" si="140"/>
        <v>-6.0651842296013152</v>
      </c>
      <c r="N4407">
        <v>1</v>
      </c>
      <c r="O4407" s="15">
        <v>1.2</v>
      </c>
      <c r="P4407">
        <v>1</v>
      </c>
      <c r="Q4407">
        <v>1.01</v>
      </c>
      <c r="R4407">
        <v>1.2</v>
      </c>
      <c r="S4407">
        <v>1.2</v>
      </c>
      <c r="T4407">
        <v>1.05</v>
      </c>
      <c r="U4407">
        <f t="shared" si="141"/>
        <v>0.15984597228197622</v>
      </c>
    </row>
    <row r="4408" spans="1:22" x14ac:dyDescent="0.2">
      <c r="A4408" t="str">
        <f>VLOOKUP(J4408,'dataset mapping'!$A$4:$E$69,2,0)</f>
        <v>market for transport, freight train</v>
      </c>
      <c r="B4408" s="45">
        <f>SUM(B4407:B4407)/1000*B4381*SUMIFS(allocation!$I$4:$I$30,allocation!$B$4:$B$30,'hydrogen - electrolysis'!B4378,allocation!$C$4:$C$30,'hydrogen - electrolysis'!B4379)</f>
        <v>5.5010815923420167E-4</v>
      </c>
      <c r="C4408" t="str">
        <f>VLOOKUP(J4408,'dataset mapping'!$A$4:$E$69,5,0)</f>
        <v>ton kilometer</v>
      </c>
      <c r="E4408" t="str">
        <f>VLOOKUP(J4408,'dataset mapping'!$A$4:$E$69,4,0)</f>
        <v>CH</v>
      </c>
      <c r="F4408" t="s">
        <v>86</v>
      </c>
      <c r="G4408" t="str">
        <f>VLOOKUP(J4408,'dataset mapping'!$A$4:$E$69,3,0)</f>
        <v>transport, freight train</v>
      </c>
      <c r="H4408" t="s">
        <v>88</v>
      </c>
      <c r="I4408" t="s">
        <v>1052</v>
      </c>
      <c r="J4408" t="s">
        <v>295</v>
      </c>
      <c r="K4408" t="str">
        <f>B4366</f>
        <v>heat, residential, by conversion of hydrogen using fuel cell, PEM, allocated by exergy, transported by train, produced by Electrolysis, Alkaline using water and electricity from Solar PV (IT)</v>
      </c>
      <c r="L4408">
        <f t="shared" si="139"/>
        <v>2</v>
      </c>
      <c r="M4408">
        <f t="shared" si="140"/>
        <v>-7.5053956459183606</v>
      </c>
      <c r="N4408">
        <v>1</v>
      </c>
      <c r="O4408" s="15">
        <v>1.2</v>
      </c>
      <c r="P4408">
        <v>1</v>
      </c>
      <c r="Q4408">
        <v>1.01</v>
      </c>
      <c r="R4408">
        <v>1.2</v>
      </c>
      <c r="S4408">
        <v>1.2</v>
      </c>
      <c r="T4408">
        <v>2</v>
      </c>
      <c r="U4408">
        <f t="shared" si="141"/>
        <v>0.38087907307228186</v>
      </c>
    </row>
    <row r="4409" spans="1:22" x14ac:dyDescent="0.2">
      <c r="A4409" t="str">
        <f>VLOOKUP(J4409,'dataset mapping'!$A$4:$E$69,2,0)</f>
        <v>high pressure hydrogen storage tank</v>
      </c>
      <c r="B4409" s="52">
        <f>((B4401/10)/(B4399*B4395*20*3.6))*IF(B4400&lt;&gt;0,B4400,1)</f>
        <v>2.5464146196956242E-7</v>
      </c>
      <c r="C4409" t="str">
        <f>VLOOKUP(J4409,'dataset mapping'!$A$4:$E$69,5,0)</f>
        <v>kilogram</v>
      </c>
      <c r="E4409" t="str">
        <f>VLOOKUP(J4409,'dataset mapping'!$A$4:$E$69,4,0)</f>
        <v>GLO</v>
      </c>
      <c r="F4409" t="s">
        <v>86</v>
      </c>
      <c r="G4409" t="str">
        <f>VLOOKUP(J4409,'dataset mapping'!$A$4:$E$69,3,0)</f>
        <v>high pressure hydrogen storage tank</v>
      </c>
      <c r="H4409" t="s">
        <v>88</v>
      </c>
      <c r="I4409" t="s">
        <v>280</v>
      </c>
      <c r="J4409" t="s">
        <v>229</v>
      </c>
      <c r="K4409" t="str">
        <f>B4366</f>
        <v>heat, residential, by conversion of hydrogen using fuel cell, PEM, allocated by exergy, transported by train, produced by Electrolysis, Alkaline using water and electricity from Solar PV (IT)</v>
      </c>
      <c r="L4409">
        <f t="shared" si="139"/>
        <v>2</v>
      </c>
      <c r="M4409">
        <f t="shared" si="140"/>
        <v>-15.183409312669692</v>
      </c>
      <c r="N4409">
        <v>1</v>
      </c>
      <c r="O4409" s="15">
        <v>1.2</v>
      </c>
      <c r="P4409">
        <v>1</v>
      </c>
      <c r="Q4409">
        <v>1.01</v>
      </c>
      <c r="R4409">
        <v>1.2</v>
      </c>
      <c r="S4409">
        <v>1.2</v>
      </c>
      <c r="T4409">
        <v>3</v>
      </c>
      <c r="U4409">
        <f t="shared" si="141"/>
        <v>0.57157051623399524</v>
      </c>
    </row>
    <row r="4410" spans="1:22" x14ac:dyDescent="0.2">
      <c r="A4410" t="s">
        <v>134</v>
      </c>
      <c r="B4410" s="45">
        <f>B4407*9</f>
        <v>2.0900971198461685E-2</v>
      </c>
      <c r="C4410" t="s">
        <v>56</v>
      </c>
      <c r="D4410" t="s">
        <v>100</v>
      </c>
      <c r="F4410" t="s">
        <v>99</v>
      </c>
      <c r="H4410" t="s">
        <v>131</v>
      </c>
      <c r="I4410" t="s">
        <v>1057</v>
      </c>
      <c r="K4410" t="str">
        <f>B4366</f>
        <v>heat, residential, by conversion of hydrogen using fuel cell, PEM, allocated by exergy, transported by train, produced by Electrolysis, Alkaline using water and electricity from Solar PV (IT)</v>
      </c>
      <c r="L4410">
        <f t="shared" si="139"/>
        <v>2</v>
      </c>
      <c r="M4410">
        <f t="shared" si="140"/>
        <v>-3.8679596522650961</v>
      </c>
      <c r="N4410">
        <v>1</v>
      </c>
      <c r="O4410" s="15">
        <v>1.2</v>
      </c>
      <c r="P4410">
        <v>1</v>
      </c>
      <c r="Q4410">
        <v>1.01</v>
      </c>
      <c r="R4410">
        <v>1.2</v>
      </c>
      <c r="S4410">
        <v>1.2</v>
      </c>
      <c r="T4410">
        <v>1.05</v>
      </c>
      <c r="U4410">
        <f t="shared" si="141"/>
        <v>0.15984597228197622</v>
      </c>
    </row>
    <row r="4412" spans="1:22" x14ac:dyDescent="0.2">
      <c r="A4412" s="2" t="s">
        <v>50</v>
      </c>
      <c r="B4412" s="44" t="str">
        <f>IF(B4418="megajoule","heat","electricity")&amp;", residential, by "&amp;B4423&amp;" of "&amp;B4422&amp;" using "&amp;B4424&amp;IF(B4425&lt;&gt;0,", allocated by "&amp;B4425,"")&amp;", transported by "&amp;B4426&amp;", produced by "&amp;B4430&amp;" using "&amp;B4431&amp;" from "&amp;B4432</f>
        <v>heat, residential, by conversion of hydrogen using fuel cell, SOFC, allocated by exergy, transported by train, produced by Electrolysis, Alkaline using water and electricity from Solar PV (IT)</v>
      </c>
    </row>
    <row r="4413" spans="1:22" x14ac:dyDescent="0.2">
      <c r="A4413" t="s">
        <v>51</v>
      </c>
      <c r="B4413" s="45" t="str">
        <f>"This dataset represents the supply of 1 "&amp;IF(B4418="megajoule","megajoule of heat","kilowatt hour of electricity")&amp;" in a residence, by "&amp;B4422&amp;" "&amp;B4423&amp;" in a "&amp;B4424&amp;". "&amp;" The hydrogen is transported by "&amp;B4426&amp;" over "&amp;B4427&amp;" km from regional storage. "&amp;" The "&amp;B4422&amp;" is produced by  "&amp;B4430&amp;", with "&amp;B4431&amp;" from "&amp;B4432&amp;" as feedstock. "&amp;A4434&amp;": "&amp;(B4434*100)&amp;"%. "&amp;A4435&amp;": "&amp;B4435&amp;". "&amp;A4436&amp;": "&amp;B4436&amp;". "&amp;A4437&amp;": "&amp;(B4437*100)&amp;"%. "&amp;A4438&amp;": "&amp;(B4438*100)&amp;"%. "&amp;A4439&amp;": "&amp;(B4439*100)&amp;"%. "&amp;A4440&amp;": "&amp;B4440&amp;". "&amp;A4441&amp;": "&amp;B4441&amp;". "&amp;A4442&amp;": "&amp;(B4442*100)&amp;"%. "&amp;A4443&amp;": "&amp;B4443&amp;". "&amp;A4444&amp;": "&amp;B4444&amp;". "&amp;A4445&amp;": "&amp;B4445&amp;". "&amp;A4446&amp;": "&amp;B4446&amp;".  For more information, refer to: "&amp;B4414</f>
        <v>This dataset represents the supply of 1 megajoule of heat in a residence, by hydrogen conversion in a fuel cell, SOFC.  The hydrogen is transported by train over 1700 km from regional storage.  The hydrogen is produced by  Electrolysis, Alkaline,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4414" spans="1:22" x14ac:dyDescent="0.2">
      <c r="A4414" t="s">
        <v>63</v>
      </c>
      <c r="B4414" s="45" t="s">
        <v>1223</v>
      </c>
    </row>
    <row r="4415" spans="1:22" x14ac:dyDescent="0.2">
      <c r="A4415" t="s">
        <v>52</v>
      </c>
      <c r="B4415" s="45" t="s">
        <v>64</v>
      </c>
    </row>
    <row r="4416" spans="1:22" x14ac:dyDescent="0.2">
      <c r="A4416" t="s">
        <v>48</v>
      </c>
      <c r="B4416" s="45">
        <v>56</v>
      </c>
    </row>
    <row r="4417" spans="1:2" x14ac:dyDescent="0.2">
      <c r="A4417" t="s">
        <v>54</v>
      </c>
      <c r="B4417" s="45" t="str">
        <f>INDEX(overview!$B$4:$R$338,MATCH('hydrogen - electrolysis'!B4416,overview!$A$4:$A$338,0),MATCH('hydrogen - electrolysis'!A4417,overview!$B$3:$R$3,0))</f>
        <v>heat, from residential heating system</v>
      </c>
    </row>
    <row r="4418" spans="1:2" x14ac:dyDescent="0.2">
      <c r="A4418" t="s">
        <v>55</v>
      </c>
      <c r="B4418" s="45" t="str">
        <f>INDEX(overview!$B$4:$R$338,MATCH('hydrogen - electrolysis'!B4416,overview!$A$4:$A$338,0),MATCH('hydrogen - electrolysis'!A4418,overview!$B$3:$R$3,0))</f>
        <v>megajoule</v>
      </c>
    </row>
    <row r="4419" spans="1:2" x14ac:dyDescent="0.2">
      <c r="A4419" t="s">
        <v>0</v>
      </c>
      <c r="B4419" s="45" t="str">
        <f>INDEX(overview!$B$4:$R$338,MATCH('hydrogen - electrolysis'!B4416,overview!$A$4:$A$338,0),MATCH('hydrogen - electrolysis'!A4419,overview!$B$3:$R$3,0))</f>
        <v>Switzerland</v>
      </c>
    </row>
    <row r="4420" spans="1:2" x14ac:dyDescent="0.2">
      <c r="A4420" t="s">
        <v>1</v>
      </c>
      <c r="B4420" s="45">
        <f>INDEX(overview!$B$4:$R$338,MATCH('hydrogen - electrolysis'!B4416,overview!$A$4:$A$338,0),MATCH('hydrogen - electrolysis'!A4420,overview!$B$3:$R$3,0))</f>
        <v>2020</v>
      </c>
    </row>
    <row r="4421" spans="1:2" x14ac:dyDescent="0.2">
      <c r="A4421" t="s">
        <v>2</v>
      </c>
      <c r="B4421" s="45" t="str">
        <f>INDEX(overview!$B$4:$R$338,MATCH('hydrogen - electrolysis'!B4416,overview!$A$4:$A$338,0),MATCH('hydrogen - electrolysis'!A4421,overview!$B$3:$R$3,0))</f>
        <v>1 MJ heat</v>
      </c>
    </row>
    <row r="4422" spans="1:2" x14ac:dyDescent="0.2">
      <c r="A4422" t="s">
        <v>5</v>
      </c>
      <c r="B4422" s="45" t="str">
        <f>INDEX(overview!$B$4:$R$338,MATCH('hydrogen - electrolysis'!B4416,overview!$A$4:$A$338,0),MATCH('hydrogen - electrolysis'!A4422,overview!$B$3:$R$3,0))</f>
        <v>hydrogen</v>
      </c>
    </row>
    <row r="4423" spans="1:2" x14ac:dyDescent="0.2">
      <c r="A4423" t="s">
        <v>3</v>
      </c>
      <c r="B4423" s="45" t="str">
        <f>INDEX(overview!$B$4:$R$338,MATCH('hydrogen - electrolysis'!B4416,overview!$A$4:$A$338,0),MATCH('hydrogen - electrolysis'!A4423,overview!$B$3:$R$3,0))</f>
        <v>conversion</v>
      </c>
    </row>
    <row r="4424" spans="1:2" x14ac:dyDescent="0.2">
      <c r="A4424" t="s">
        <v>6</v>
      </c>
      <c r="B4424" s="45" t="str">
        <f>INDEX(overview!$B$4:$R$338,MATCH('hydrogen - electrolysis'!B4416,overview!$A$4:$A$338,0),MATCH('hydrogen - electrolysis'!A4424,overview!$B$3:$R$3,0))</f>
        <v>fuel cell, SOFC</v>
      </c>
    </row>
    <row r="4425" spans="1:2" x14ac:dyDescent="0.2">
      <c r="A4425" t="s">
        <v>39</v>
      </c>
      <c r="B4425" s="45" t="str">
        <f>INDEX(overview!$B$4:$R$338,MATCH('hydrogen - electrolysis'!B4416,overview!$A$4:$A$338,0),MATCH('hydrogen - electrolysis'!A4425,overview!$B$3:$R$3,0))</f>
        <v>exergy</v>
      </c>
    </row>
    <row r="4426" spans="1:2" x14ac:dyDescent="0.2">
      <c r="A4426" t="s">
        <v>4</v>
      </c>
      <c r="B4426" s="45" t="str">
        <f>INDEX(overview!$B$4:$R$338,MATCH('hydrogen - electrolysis'!B4416,overview!$A$4:$A$338,0),MATCH('hydrogen - electrolysis'!A4426,overview!$B$3:$R$3,0))</f>
        <v>train</v>
      </c>
    </row>
    <row r="4427" spans="1:2" x14ac:dyDescent="0.2">
      <c r="A4427" t="s">
        <v>38</v>
      </c>
      <c r="B4427" s="45">
        <f>INDEX(overview!$B$4:$R$338,MATCH('hydrogen - electrolysis'!B4416,overview!$A$4:$A$338,0),MATCH('hydrogen - electrolysis'!A4427,overview!$B$3:$R$3,0))</f>
        <v>1700</v>
      </c>
    </row>
    <row r="4428" spans="1:2" x14ac:dyDescent="0.2">
      <c r="A4428" t="s">
        <v>12</v>
      </c>
      <c r="B4428" s="45" t="str">
        <f>INDEX(overview!$B$4:$R$338,MATCH('hydrogen - electrolysis'!B4416,overview!$A$4:$A$338,0),MATCH('hydrogen - electrolysis'!A4428,overview!$B$3:$R$3,0))</f>
        <v>Pressure vessel for stationary storage</v>
      </c>
    </row>
    <row r="4429" spans="1:2" x14ac:dyDescent="0.2">
      <c r="A4429" t="s">
        <v>34</v>
      </c>
      <c r="B4429" s="45">
        <f>INDEX(overview!$B$4:$R$338,MATCH('hydrogen - electrolysis'!B4416,overview!$A$4:$A$338,0),MATCH('hydrogen - electrolysis'!A4429,overview!$B$3:$R$3,0))</f>
        <v>0</v>
      </c>
    </row>
    <row r="4430" spans="1:2" x14ac:dyDescent="0.2">
      <c r="A4430" t="s">
        <v>15</v>
      </c>
      <c r="B4430" s="45" t="str">
        <f>INDEX(overview!$B$4:$R$338,MATCH('hydrogen - electrolysis'!B4416,overview!$A$4:$A$338,0),MATCH('hydrogen - electrolysis'!A4430,overview!$B$3:$R$3,0))</f>
        <v>Electrolysis, Alkaline</v>
      </c>
    </row>
    <row r="4431" spans="1:2" x14ac:dyDescent="0.2">
      <c r="A4431" t="s">
        <v>14</v>
      </c>
      <c r="B4431" s="45" t="str">
        <f>INDEX(overview!$B$4:$R$338,MATCH('hydrogen - electrolysis'!B4416,overview!$A$4:$A$338,0),MATCH('hydrogen - electrolysis'!A4431,overview!$B$3:$R$3,0))</f>
        <v>water and electricity</v>
      </c>
    </row>
    <row r="4432" spans="1:2" x14ac:dyDescent="0.2">
      <c r="A4432" t="s">
        <v>26</v>
      </c>
      <c r="B4432" s="45" t="str">
        <f>INDEX(overview!$B$4:$R$338,MATCH('hydrogen - electrolysis'!B4416,overview!$A$4:$A$338,0),MATCH('hydrogen - electrolysis'!A4432,overview!$B$3:$R$3,0))</f>
        <v>Solar PV (IT)</v>
      </c>
    </row>
    <row r="4433" spans="1:4" x14ac:dyDescent="0.2">
      <c r="A4433" t="s">
        <v>29</v>
      </c>
      <c r="B4433" s="45">
        <f>INDEX(overview!$B$4:$R$338,MATCH('hydrogen - electrolysis'!B4416,overview!$A$4:$A$338,0),MATCH('hydrogen - electrolysis'!A4433,overview!$B$3:$R$3,0))</f>
        <v>0</v>
      </c>
    </row>
    <row r="4434" spans="1:4" x14ac:dyDescent="0.2">
      <c r="A4434" t="str">
        <f>IF(B4418="megajoule","Heat","Electricity")&amp;" conversion efficiency [% LHV input]"</f>
        <v>Heat conversion efficiency [% LHV input]</v>
      </c>
      <c r="B4434" s="46">
        <f>INDEX(parameters!$D$4:$N$20,MATCH('hydrogen - electrolysis'!B4422&amp;'hydrogen - electrolysis'!B4424,parameters!$A$4:$A$20,0),MATCH('hydrogen - electrolysis'!A4434,parameters!$D$3:$N$3,0))</f>
        <v>0.53</v>
      </c>
    </row>
    <row r="4435" spans="1:4" x14ac:dyDescent="0.2">
      <c r="A4435" t="str">
        <f>IF(B4418="megajoule","LHV [MJ/kg]","LHV [kWh/kg]")</f>
        <v>LHV [MJ/kg]</v>
      </c>
      <c r="B4435" s="47">
        <f>INDEX(parameters!$D$4:$N$20,MATCH('hydrogen - electrolysis'!B4422&amp;'hydrogen - electrolysis'!B4424,parameters!$A$4:$A$20,0),MATCH('hydrogen - electrolysis'!A4435,parameters!$D$3:$N$3,0))</f>
        <v>120</v>
      </c>
    </row>
    <row r="4436" spans="1:4" x14ac:dyDescent="0.2">
      <c r="A4436" t="s">
        <v>41</v>
      </c>
      <c r="B4436" s="48">
        <f>INDEX(parameters!$D$4:$N$20,MATCH('hydrogen - electrolysis'!B4422&amp;'hydrogen - electrolysis'!B4424,parameters!$A$4:$A$20,0),MATCH('hydrogen - electrolysis'!A4436,parameters!$D$3:$N$3,0))</f>
        <v>2.6666666666666665E-2</v>
      </c>
    </row>
    <row r="4437" spans="1:4" x14ac:dyDescent="0.2">
      <c r="A4437" t="s">
        <v>45</v>
      </c>
      <c r="B4437" s="46">
        <f>INDEX(parameters!$D$4:$N$20,MATCH('hydrogen - electrolysis'!B4422&amp;'hydrogen - electrolysis'!B4424,parameters!$A$4:$A$20,0),MATCH('hydrogen - electrolysis'!A4437,parameters!$D$3:$N$3,0))</f>
        <v>0</v>
      </c>
    </row>
    <row r="4438" spans="1:4" x14ac:dyDescent="0.2">
      <c r="A4438" t="s">
        <v>46</v>
      </c>
      <c r="B4438" s="46">
        <f>INDEX(parameters!$D$4:$N$20,MATCH('hydrogen - electrolysis'!B4422&amp;'hydrogen - electrolysis'!B4424,parameters!$A$4:$A$20,0),MATCH('hydrogen - electrolysis'!A4438,parameters!$D$3:$N$3,0))</f>
        <v>1.4999999999999999E-2</v>
      </c>
    </row>
    <row r="4439" spans="1:4" x14ac:dyDescent="0.2">
      <c r="A4439" t="s">
        <v>43</v>
      </c>
      <c r="B4439" s="46">
        <f>INDEX(parameters!$D$4:$N$20,MATCH('hydrogen - electrolysis'!B4422&amp;'hydrogen - electrolysis'!B4424,parameters!$A$4:$A$20,0),MATCH('hydrogen - electrolysis'!A4439,parameters!$D$3:$N$3,0))</f>
        <v>0</v>
      </c>
    </row>
    <row r="4440" spans="1:4" x14ac:dyDescent="0.2">
      <c r="A4440" t="s">
        <v>44</v>
      </c>
      <c r="B4440" s="46">
        <f>INDEX(parameters!$D$4:$N$20,MATCH('hydrogen - electrolysis'!B4422&amp;'hydrogen - electrolysis'!B4424,parameters!$A$4:$A$20,0),MATCH('hydrogen - electrolysis'!A4440,parameters!$D$3:$N$3,0))</f>
        <v>0</v>
      </c>
    </row>
    <row r="4441" spans="1:4" x14ac:dyDescent="0.2">
      <c r="A4441" t="s">
        <v>634</v>
      </c>
      <c r="B4441" s="51">
        <f>INDEX(parameters!$D$4:$Y$20,MATCH('hydrogen - electrolysis'!B4422&amp;'hydrogen - electrolysis'!B4424,parameters!$A$4:$A$20,0),MATCH('hydrogen - electrolysis'!A4441,parameters!$D$3:$Y$3,0))</f>
        <v>225</v>
      </c>
      <c r="D4441" s="8"/>
    </row>
    <row r="4442" spans="1:4" x14ac:dyDescent="0.2">
      <c r="A4442" t="s">
        <v>82</v>
      </c>
      <c r="B4442" s="46">
        <f>IF(B4433&lt;&gt;0,VLOOKUP(B4433,parameters!A2868:B2870,2,0),0)</f>
        <v>0</v>
      </c>
    </row>
    <row r="4443" spans="1:4" x14ac:dyDescent="0.2">
      <c r="A4443" t="s">
        <v>548</v>
      </c>
      <c r="B4443" s="50">
        <f>INDEX(parameters!$D$4:$P$20,MATCH(B4422&amp;B4424,parameters!$A$4:$A$20,0),MATCH(A4443,parameters!$D$3:$P$3,0))</f>
        <v>100</v>
      </c>
    </row>
    <row r="4444" spans="1:4" x14ac:dyDescent="0.2">
      <c r="A4444" t="s">
        <v>547</v>
      </c>
      <c r="B4444" s="51">
        <f>INDEX(parameters!$D$4:$P$20,MATCH(B4422&amp;B4424,parameters!$A$4:$A$20,0),MATCH(A4444,parameters!$D$3:$P$3,0))</f>
        <v>6</v>
      </c>
    </row>
    <row r="4445" spans="1:4" x14ac:dyDescent="0.2">
      <c r="A4445" t="s">
        <v>630</v>
      </c>
      <c r="B4445" s="51">
        <f>INDEX(parameters!$D$4:$T$20,MATCH(B4422&amp;B4424,parameters!$A$4:$A$20,0),MATCH(A4445,parameters!$D$3:$T$3,0))</f>
        <v>4100</v>
      </c>
    </row>
    <row r="4446" spans="1:4" x14ac:dyDescent="0.2">
      <c r="A4446" t="s">
        <v>1005</v>
      </c>
      <c r="B4446" s="50">
        <f>IF(B4418="megajoule",SUMIFS(allocation!$I$4:$I$30,allocation!$B$4:$B$30,B4424,allocation!$C$4:$C$30,B4425),SUMIFS(allocation!$J$4:$J$30,allocation!$B$4:$B$30,B4424,allocation!$C$4:$C$30,B4425))</f>
        <v>0.13587506510399097</v>
      </c>
    </row>
    <row r="4447" spans="1:4" x14ac:dyDescent="0.2">
      <c r="A4447" t="s">
        <v>1050</v>
      </c>
      <c r="B4447" s="51">
        <f>INDEX(parameters!$D$4:$AB$20,MATCH(B4422&amp;B4424,parameters!$A$4:$A$20,0),MATCH(A4447,parameters!$D$3:$AB$3,0))</f>
        <v>1153.1249999999998</v>
      </c>
    </row>
    <row r="4449" spans="1:22" x14ac:dyDescent="0.2">
      <c r="A4449" s="3" t="s">
        <v>57</v>
      </c>
    </row>
    <row r="4450" spans="1:22" x14ac:dyDescent="0.2">
      <c r="A4450" s="2" t="s">
        <v>58</v>
      </c>
      <c r="B4450" s="44" t="s">
        <v>59</v>
      </c>
      <c r="C4450" s="2" t="s">
        <v>55</v>
      </c>
      <c r="D4450" s="2" t="s">
        <v>60</v>
      </c>
      <c r="E4450" s="2" t="s">
        <v>52</v>
      </c>
      <c r="F4450" s="2" t="s">
        <v>61</v>
      </c>
      <c r="G4450" s="2" t="s">
        <v>54</v>
      </c>
      <c r="H4450" s="2" t="s">
        <v>87</v>
      </c>
      <c r="I4450" s="2" t="s">
        <v>51</v>
      </c>
      <c r="J4450" s="2" t="s">
        <v>138</v>
      </c>
      <c r="K4450" s="2" t="s">
        <v>136</v>
      </c>
      <c r="L4450" s="2" t="s">
        <v>221</v>
      </c>
      <c r="M4450" s="2" t="s">
        <v>379</v>
      </c>
      <c r="N4450" s="2" t="s">
        <v>1059</v>
      </c>
      <c r="O4450" s="2" t="s">
        <v>1060</v>
      </c>
      <c r="P4450" s="2" t="s">
        <v>1061</v>
      </c>
      <c r="Q4450" s="2" t="s">
        <v>1062</v>
      </c>
      <c r="R4450" s="2" t="s">
        <v>1063</v>
      </c>
      <c r="S4450" s="2" t="s">
        <v>1064</v>
      </c>
      <c r="T4450" s="2" t="s">
        <v>1065</v>
      </c>
      <c r="U4450" s="2" t="s">
        <v>380</v>
      </c>
      <c r="V4450" s="2" t="s">
        <v>1128</v>
      </c>
    </row>
    <row r="4451" spans="1:22" x14ac:dyDescent="0.2">
      <c r="A4451" t="str">
        <f>B4412</f>
        <v>heat, residential, by conversion of hydrogen using fuel cell, SOFC, allocated by exergy, transported by train, produced by Electrolysis, Alkaline using water and electricity from Solar PV (IT)</v>
      </c>
      <c r="B4451" s="45">
        <v>1</v>
      </c>
      <c r="C4451" t="str">
        <f>B4418</f>
        <v>megajoule</v>
      </c>
      <c r="E4451" t="str">
        <f>B4415</f>
        <v>CH</v>
      </c>
      <c r="F4451" t="s">
        <v>62</v>
      </c>
      <c r="G4451" t="str">
        <f>B4417</f>
        <v>heat, from residential heating system</v>
      </c>
      <c r="K4451" t="str">
        <f>B4412</f>
        <v>heat, residential, by conversion of hydrogen using fuel cell, SOFC, allocated by exergy, transported by train, produced by Electrolysis, Alkaline using water and electricity from Solar PV (IT)</v>
      </c>
    </row>
    <row r="4452" spans="1:22" x14ac:dyDescent="0.2">
      <c r="A4452" t="str">
        <f>VLOOKUP(J4452,'dataset mapping'!$A$4:$E$69,2,0)</f>
        <v>fuel cell production, stack solid oxide, 125kW electrical, future</v>
      </c>
      <c r="B4452" s="52">
        <f>(1/(B4441*B4445*B4444*3.6))*B4446</f>
        <v>6.8189834941278219E-9</v>
      </c>
      <c r="C4452" t="str">
        <f>VLOOKUP(J4452,'dataset mapping'!$A$4:$E$69,5,0)</f>
        <v>unit</v>
      </c>
      <c r="E4452" t="str">
        <f>VLOOKUP(J4452,'dataset mapping'!$A$4:$E$69,4,0)</f>
        <v>CH</v>
      </c>
      <c r="F4452" t="s">
        <v>86</v>
      </c>
      <c r="G4452" t="str">
        <f>VLOOKUP(J4452,'dataset mapping'!$A$4:$E$69,3,0)</f>
        <v>fuel cell, stack solid oxide, 125kW electrical, future</v>
      </c>
      <c r="H4452" t="s">
        <v>88</v>
      </c>
      <c r="I4452" t="s">
        <v>277</v>
      </c>
      <c r="J4452" t="s">
        <v>274</v>
      </c>
      <c r="K4452" t="str">
        <f>B4412</f>
        <v>heat, residential, by conversion of hydrogen using fuel cell, SOFC, allocated by exergy, transported by train, produced by Electrolysis, Alkaline using water and electricity from Solar PV (IT)</v>
      </c>
      <c r="L4452">
        <f t="shared" ref="L4452:L4458" si="142">IF(OR(B4452&lt;0,B4452=0),1,2)</f>
        <v>2</v>
      </c>
      <c r="M4452">
        <f t="shared" ref="M4452:M4458" si="143">IF(L4452=2,LN(B4452),"")</f>
        <v>-18.80355542398161</v>
      </c>
      <c r="N4452">
        <v>1</v>
      </c>
      <c r="O4452" s="15">
        <v>1.2</v>
      </c>
      <c r="P4452">
        <v>1</v>
      </c>
      <c r="Q4452">
        <v>1.01</v>
      </c>
      <c r="R4452">
        <v>1.2</v>
      </c>
      <c r="S4452">
        <v>1.2</v>
      </c>
      <c r="T4452">
        <v>3</v>
      </c>
      <c r="U4452">
        <f t="shared" ref="U4452:U4458" si="144">LN(SQRT(EXP(
SQRT(
+POWER(LN(N4452),2)
+POWER(LN(O4452),2)
+POWER(LN(P4452),2)
+POWER(LN(Q4452),2)
+POWER(LN(R4452),2)
+POWER(LN(S4452),2)
+POWER(LN(T4452),2)
)
)))</f>
        <v>0.57157051623399524</v>
      </c>
    </row>
    <row r="4453" spans="1:22" x14ac:dyDescent="0.2">
      <c r="A4453" t="s">
        <v>283</v>
      </c>
      <c r="B4453" s="52">
        <f>(1/(B4441*B4445*B4444*3.6))*B4446</f>
        <v>6.8189834941278219E-9</v>
      </c>
      <c r="C4453" t="s">
        <v>55</v>
      </c>
      <c r="E4453" t="s">
        <v>64</v>
      </c>
      <c r="F4453" t="s">
        <v>86</v>
      </c>
      <c r="G4453" t="s">
        <v>284</v>
      </c>
      <c r="H4453" t="s">
        <v>88</v>
      </c>
      <c r="I4453" t="s">
        <v>277</v>
      </c>
      <c r="K4453" t="str">
        <f>B4412</f>
        <v>heat, residential, by conversion of hydrogen using fuel cell, SOFC, allocated by exergy, transported by train, produced by Electrolysis, Alkaline using water and electricity from Solar PV (IT)</v>
      </c>
      <c r="L4453">
        <f t="shared" si="142"/>
        <v>2</v>
      </c>
      <c r="M4453">
        <f t="shared" si="143"/>
        <v>-18.80355542398161</v>
      </c>
      <c r="N4453">
        <v>1</v>
      </c>
      <c r="O4453" s="15">
        <v>1.2</v>
      </c>
      <c r="P4453">
        <v>1</v>
      </c>
      <c r="Q4453">
        <v>1.01</v>
      </c>
      <c r="R4453">
        <v>1.2</v>
      </c>
      <c r="S4453">
        <v>1.2</v>
      </c>
      <c r="T4453">
        <v>3</v>
      </c>
      <c r="U4453">
        <f t="shared" si="144"/>
        <v>0.57157051623399524</v>
      </c>
    </row>
    <row r="4454" spans="1:22" x14ac:dyDescent="0.2">
      <c r="A4454" t="s">
        <v>288</v>
      </c>
      <c r="B4454" s="52">
        <f>0.000024*B4446</f>
        <v>3.2610015624957834E-6</v>
      </c>
      <c r="C4454" t="s">
        <v>56</v>
      </c>
      <c r="E4454" t="s">
        <v>64</v>
      </c>
      <c r="F4454" t="s">
        <v>86</v>
      </c>
      <c r="G4454" t="s">
        <v>287</v>
      </c>
      <c r="H4454" t="s">
        <v>88</v>
      </c>
      <c r="K4454" t="str">
        <f>B4412</f>
        <v>heat, residential, by conversion of hydrogen using fuel cell, SOFC, allocated by exergy, transported by train, produced by Electrolysis, Alkaline using water and electricity from Solar PV (IT)</v>
      </c>
      <c r="L4454">
        <f t="shared" si="142"/>
        <v>2</v>
      </c>
      <c r="M4454">
        <f t="shared" si="143"/>
        <v>-12.633476182011</v>
      </c>
      <c r="N4454">
        <v>1</v>
      </c>
      <c r="O4454" s="15">
        <v>1.2</v>
      </c>
      <c r="P4454">
        <v>1</v>
      </c>
      <c r="Q4454">
        <v>1.01</v>
      </c>
      <c r="R4454">
        <v>1.2</v>
      </c>
      <c r="S4454">
        <v>1.2</v>
      </c>
      <c r="T4454">
        <v>1.05</v>
      </c>
      <c r="U4454">
        <f t="shared" si="144"/>
        <v>0.15984597228197622</v>
      </c>
    </row>
    <row r="4455" spans="1:22" x14ac:dyDescent="0.2">
      <c r="A4455" s="45" t="str">
        <f>"hydrogen supply, transported by "&amp;B4426&amp;", produced by "&amp;B4430&amp;" using "&amp;B4431&amp;" from "&amp;B4432</f>
        <v>hydrogen supply, transported by train, produced by Electrolysis, Alkaline using water and electricity from Solar PV (IT)</v>
      </c>
      <c r="B4455" s="53">
        <f>(B4451/B4435)/B4434*B4446</f>
        <v>2.1364003947168392E-3</v>
      </c>
      <c r="C4455" t="s">
        <v>56</v>
      </c>
      <c r="E4455" t="s">
        <v>64</v>
      </c>
      <c r="F4455" t="s">
        <v>86</v>
      </c>
      <c r="G4455" t="str">
        <f>"hydrogen, gaseous, from "&amp;B4426</f>
        <v>hydrogen, gaseous, from train</v>
      </c>
      <c r="H4455" t="s">
        <v>76</v>
      </c>
      <c r="I4455" t="s">
        <v>1054</v>
      </c>
      <c r="J4455" t="s">
        <v>636</v>
      </c>
      <c r="K4455" t="str">
        <f>B4412</f>
        <v>heat, residential, by conversion of hydrogen using fuel cell, SOFC, allocated by exergy, transported by train, produced by Electrolysis, Alkaline using water and electricity from Solar PV (IT)</v>
      </c>
      <c r="L4455">
        <f t="shared" si="142"/>
        <v>2</v>
      </c>
      <c r="M4455">
        <f t="shared" si="143"/>
        <v>-6.1486329247407472</v>
      </c>
      <c r="N4455">
        <v>1</v>
      </c>
      <c r="O4455" s="15">
        <v>1.2</v>
      </c>
      <c r="P4455">
        <v>1</v>
      </c>
      <c r="Q4455">
        <v>1.01</v>
      </c>
      <c r="R4455">
        <v>1.2</v>
      </c>
      <c r="S4455">
        <v>1.2</v>
      </c>
      <c r="T4455">
        <v>1.05</v>
      </c>
      <c r="U4455">
        <f t="shared" si="144"/>
        <v>0.15984597228197622</v>
      </c>
    </row>
    <row r="4456" spans="1:22" x14ac:dyDescent="0.2">
      <c r="A4456" t="str">
        <f>VLOOKUP(J4456,'dataset mapping'!$A$4:$E$69,2,0)</f>
        <v>market for transport, freight train</v>
      </c>
      <c r="B4456" s="45">
        <f>SUM(B4455:B4455)/1000*B4427</f>
        <v>3.6318806710186266E-3</v>
      </c>
      <c r="C4456" t="str">
        <f>VLOOKUP(J4456,'dataset mapping'!$A$4:$E$69,5,0)</f>
        <v>ton kilometer</v>
      </c>
      <c r="E4456" t="str">
        <f>VLOOKUP(J4456,'dataset mapping'!$A$4:$E$69,4,0)</f>
        <v>CH</v>
      </c>
      <c r="F4456" t="s">
        <v>86</v>
      </c>
      <c r="G4456" t="str">
        <f>VLOOKUP(J4456,'dataset mapping'!$A$4:$E$69,3,0)</f>
        <v>transport, freight train</v>
      </c>
      <c r="H4456" t="s">
        <v>88</v>
      </c>
      <c r="I4456" t="s">
        <v>1052</v>
      </c>
      <c r="J4456" t="s">
        <v>295</v>
      </c>
      <c r="K4456" t="str">
        <f>B4412</f>
        <v>heat, residential, by conversion of hydrogen using fuel cell, SOFC, allocated by exergy, transported by train, produced by Electrolysis, Alkaline using water and electricity from Solar PV (IT)</v>
      </c>
      <c r="L4456">
        <f t="shared" si="142"/>
        <v>2</v>
      </c>
      <c r="M4456">
        <f t="shared" si="143"/>
        <v>-5.6180046736785769</v>
      </c>
      <c r="N4456">
        <v>1</v>
      </c>
      <c r="O4456" s="15">
        <v>1.2</v>
      </c>
      <c r="P4456">
        <v>1</v>
      </c>
      <c r="Q4456">
        <v>1.01</v>
      </c>
      <c r="R4456">
        <v>1.2</v>
      </c>
      <c r="S4456">
        <v>1.2</v>
      </c>
      <c r="T4456">
        <v>2</v>
      </c>
      <c r="U4456">
        <f t="shared" si="144"/>
        <v>0.38087907307228186</v>
      </c>
    </row>
    <row r="4457" spans="1:22" x14ac:dyDescent="0.2">
      <c r="A4457" t="str">
        <f>VLOOKUP(J4457,'dataset mapping'!$A$4:$E$69,2,0)</f>
        <v>high pressure hydrogen storage tank</v>
      </c>
      <c r="B4457" s="52">
        <f>((B4447/10)/(B4445*B4441*20*3.6))*IF(B4446&lt;&gt;0,B4446,1)</f>
        <v>2.3589421024998428E-7</v>
      </c>
      <c r="C4457" t="str">
        <f>VLOOKUP(J4457,'dataset mapping'!$A$4:$E$69,5,0)</f>
        <v>kilogram</v>
      </c>
      <c r="E4457" t="str">
        <f>VLOOKUP(J4457,'dataset mapping'!$A$4:$E$69,4,0)</f>
        <v>GLO</v>
      </c>
      <c r="F4457" t="s">
        <v>86</v>
      </c>
      <c r="G4457" t="str">
        <f>VLOOKUP(J4457,'dataset mapping'!$A$4:$E$69,3,0)</f>
        <v>high pressure hydrogen storage tank</v>
      </c>
      <c r="H4457" t="s">
        <v>88</v>
      </c>
      <c r="I4457" t="s">
        <v>230</v>
      </c>
      <c r="J4457" t="s">
        <v>229</v>
      </c>
      <c r="K4457" t="str">
        <f>B4412</f>
        <v>heat, residential, by conversion of hydrogen using fuel cell, SOFC, allocated by exergy, transported by train, produced by Electrolysis, Alkaline using water and electricity from Solar PV (IT)</v>
      </c>
      <c r="L4457">
        <f t="shared" si="142"/>
        <v>2</v>
      </c>
      <c r="M4457">
        <f t="shared" si="143"/>
        <v>-15.259882394072699</v>
      </c>
      <c r="N4457">
        <v>1</v>
      </c>
      <c r="O4457" s="15">
        <v>1.2</v>
      </c>
      <c r="P4457">
        <v>1</v>
      </c>
      <c r="Q4457">
        <v>1.01</v>
      </c>
      <c r="R4457">
        <v>1.2</v>
      </c>
      <c r="S4457">
        <v>1.2</v>
      </c>
      <c r="T4457">
        <v>3</v>
      </c>
      <c r="U4457">
        <f t="shared" si="144"/>
        <v>0.57157051623399524</v>
      </c>
    </row>
    <row r="4458" spans="1:22" x14ac:dyDescent="0.2">
      <c r="A4458" t="s">
        <v>134</v>
      </c>
      <c r="B4458" s="45">
        <f>B4455*9</f>
        <v>1.9227603552451553E-2</v>
      </c>
      <c r="C4458" t="s">
        <v>56</v>
      </c>
      <c r="D4458" t="s">
        <v>100</v>
      </c>
      <c r="F4458" t="s">
        <v>99</v>
      </c>
      <c r="H4458" t="s">
        <v>131</v>
      </c>
      <c r="I4458" t="s">
        <v>1057</v>
      </c>
      <c r="K4458" t="str">
        <f>B4412</f>
        <v>heat, residential, by conversion of hydrogen using fuel cell, SOFC, allocated by exergy, transported by train, produced by Electrolysis, Alkaline using water and electricity from Solar PV (IT)</v>
      </c>
      <c r="L4458">
        <f t="shared" si="142"/>
        <v>2</v>
      </c>
      <c r="M4458">
        <f t="shared" si="143"/>
        <v>-3.9514083474045276</v>
      </c>
      <c r="N4458">
        <v>1</v>
      </c>
      <c r="O4458" s="15">
        <v>1.2</v>
      </c>
      <c r="P4458">
        <v>1</v>
      </c>
      <c r="Q4458">
        <v>1.01</v>
      </c>
      <c r="R4458">
        <v>1.2</v>
      </c>
      <c r="S4458">
        <v>1.2</v>
      </c>
      <c r="T4458">
        <v>1.05</v>
      </c>
      <c r="U4458">
        <f t="shared" si="144"/>
        <v>0.15984597228197622</v>
      </c>
    </row>
    <row r="4460" spans="1:22" x14ac:dyDescent="0.2">
      <c r="A4460" s="2" t="s">
        <v>50</v>
      </c>
      <c r="B4460" s="44" t="str">
        <f>IF(B4466="megajoule","heat","electricity")&amp;", residential, by "&amp;B4471&amp;" of "&amp;B4470&amp;" using "&amp;B4472&amp;IF(B4473&lt;&gt;0,", allocated by "&amp;B4473,"")&amp;", transported by "&amp;B4474&amp;", produced by "&amp;B4478&amp;" using "&amp;B4479&amp;" from "&amp;B4480</f>
        <v>electricity, residential, by combustion of hydrogen using CHP, allocated by exergy, transported by train, produced by Electrolysis, Alkaline using water and electricity from Solar PV (IT)</v>
      </c>
    </row>
    <row r="4461" spans="1:22" x14ac:dyDescent="0.2">
      <c r="A4461" t="s">
        <v>51</v>
      </c>
      <c r="B4461" s="45" t="str">
        <f>"This dataset represents the supply of 1 "&amp;IF(B4466="megajoule","megajoule of heat","kilowatt hour of electricity")&amp;" in a residence, by "&amp;B4470&amp;" "&amp;B4471&amp;" in a "&amp;B4472&amp;". "&amp;" The hydrogen is transported by "&amp;B4474&amp;" over "&amp;B4475&amp;" km from regional storage. "&amp;" The "&amp;B4470&amp;" is produced by  "&amp;B4478&amp;", with "&amp;B4479&amp;" from "&amp;B4480&amp;" as feedstock. "&amp;A4482&amp;": "&amp;(B4482*100)&amp;"%. "&amp;A4483&amp;": "&amp;B4483&amp;". "&amp;A4484&amp;": "&amp;B4484&amp;". "&amp;A4485&amp;": "&amp;(B4485*100)&amp;"%. "&amp;A4486&amp;": "&amp;(B4486*100)&amp;"%. "&amp;A4487&amp;": "&amp;(B4487*100)&amp;"%. "&amp;A4488&amp;": "&amp;B4488&amp;". "&amp;A4489&amp;": "&amp;B4489&amp;". "&amp;A4490&amp;": "&amp;(B4490*100)&amp;"%. "&amp;A4491&amp;": "&amp;B4491&amp;". "&amp;A4492&amp;": "&amp;B4492&amp;". "&amp;A4493&amp;": "&amp;B4493&amp;". "&amp;A4494&amp;": "&amp;B4494&amp;".  For more information, refer to: "&amp;B4462</f>
        <v>This dataset represents the supply of 1 kilowatt hour of electricity in a residence, by hydrogen combustion in a CHP.  The hydrogen is transported by train over 1700 km from regional storage.  The hydrogen is produced by  Electrolysis, Alkaline,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4462" spans="1:22" x14ac:dyDescent="0.2">
      <c r="A4462" t="s">
        <v>63</v>
      </c>
      <c r="B4462" s="45" t="s">
        <v>1223</v>
      </c>
    </row>
    <row r="4463" spans="1:22" x14ac:dyDescent="0.2">
      <c r="A4463" t="s">
        <v>52</v>
      </c>
      <c r="B4463" s="45" t="s">
        <v>64</v>
      </c>
    </row>
    <row r="4464" spans="1:22" x14ac:dyDescent="0.2">
      <c r="A4464" t="s">
        <v>48</v>
      </c>
      <c r="B4464" s="45" t="s">
        <v>904</v>
      </c>
    </row>
    <row r="4465" spans="1:2" x14ac:dyDescent="0.2">
      <c r="A4465" t="s">
        <v>54</v>
      </c>
      <c r="B4465" s="45" t="str">
        <f>INDEX(overview!$B$4:$R$338,MATCH('hydrogen - electrolysis'!B4464,overview!$A$4:$A$338,0),MATCH('hydrogen - electrolysis'!A4465,overview!$B$3:$R$3,0))</f>
        <v>electricity, from residential heating system</v>
      </c>
    </row>
    <row r="4466" spans="1:2" x14ac:dyDescent="0.2">
      <c r="A4466" t="s">
        <v>55</v>
      </c>
      <c r="B4466" s="45" t="str">
        <f>INDEX(overview!$B$4:$R$338,MATCH('hydrogen - electrolysis'!B4464,overview!$A$4:$A$338,0),MATCH('hydrogen - electrolysis'!A4466,overview!$B$3:$R$3,0))</f>
        <v>kilowatt hour</v>
      </c>
    </row>
    <row r="4467" spans="1:2" x14ac:dyDescent="0.2">
      <c r="A4467" t="s">
        <v>0</v>
      </c>
      <c r="B4467" s="45" t="str">
        <f>INDEX(overview!$B$4:$R$338,MATCH('hydrogen - electrolysis'!B4464,overview!$A$4:$A$338,0),MATCH('hydrogen - electrolysis'!A4467,overview!$B$3:$R$3,0))</f>
        <v>Switzerland</v>
      </c>
    </row>
    <row r="4468" spans="1:2" x14ac:dyDescent="0.2">
      <c r="A4468" t="s">
        <v>1</v>
      </c>
      <c r="B4468" s="45">
        <f>INDEX(overview!$B$4:$R$338,MATCH('hydrogen - electrolysis'!B4464,overview!$A$4:$A$338,0),MATCH('hydrogen - electrolysis'!A4468,overview!$B$3:$R$3,0))</f>
        <v>2020</v>
      </c>
    </row>
    <row r="4469" spans="1:2" x14ac:dyDescent="0.2">
      <c r="A4469" t="s">
        <v>2</v>
      </c>
      <c r="B4469" s="45" t="str">
        <f>INDEX(overview!$B$4:$R$338,MATCH('hydrogen - electrolysis'!B4464,overview!$A$4:$A$338,0),MATCH('hydrogen - electrolysis'!A4469,overview!$B$3:$R$3,0))</f>
        <v>1 kWh electricity</v>
      </c>
    </row>
    <row r="4470" spans="1:2" x14ac:dyDescent="0.2">
      <c r="A4470" t="s">
        <v>5</v>
      </c>
      <c r="B4470" s="45" t="str">
        <f>INDEX(overview!$B$4:$R$338,MATCH('hydrogen - electrolysis'!B4464,overview!$A$4:$A$338,0),MATCH('hydrogen - electrolysis'!A4470,overview!$B$3:$R$3,0))</f>
        <v>hydrogen</v>
      </c>
    </row>
    <row r="4471" spans="1:2" x14ac:dyDescent="0.2">
      <c r="A4471" t="s">
        <v>3</v>
      </c>
      <c r="B4471" s="45" t="str">
        <f>INDEX(overview!$B$4:$R$338,MATCH('hydrogen - electrolysis'!B4464,overview!$A$4:$A$338,0),MATCH('hydrogen - electrolysis'!A4471,overview!$B$3:$R$3,0))</f>
        <v>combustion</v>
      </c>
    </row>
    <row r="4472" spans="1:2" x14ac:dyDescent="0.2">
      <c r="A4472" t="s">
        <v>6</v>
      </c>
      <c r="B4472" s="45" t="str">
        <f>INDEX(overview!$B$4:$R$338,MATCH('hydrogen - electrolysis'!B4464,overview!$A$4:$A$338,0),MATCH('hydrogen - electrolysis'!A4472,overview!$B$3:$R$3,0))</f>
        <v>CHP</v>
      </c>
    </row>
    <row r="4473" spans="1:2" x14ac:dyDescent="0.2">
      <c r="A4473" t="s">
        <v>39</v>
      </c>
      <c r="B4473" s="45" t="str">
        <f>INDEX(overview!$B$4:$R$338,MATCH('hydrogen - electrolysis'!B4464,overview!$A$4:$A$338,0),MATCH('hydrogen - electrolysis'!A4473,overview!$B$3:$R$3,0))</f>
        <v>exergy</v>
      </c>
    </row>
    <row r="4474" spans="1:2" x14ac:dyDescent="0.2">
      <c r="A4474" t="s">
        <v>4</v>
      </c>
      <c r="B4474" s="45" t="str">
        <f>INDEX(overview!$B$4:$R$338,MATCH('hydrogen - electrolysis'!B4464,overview!$A$4:$A$338,0),MATCH('hydrogen - electrolysis'!A4474,overview!$B$3:$R$3,0))</f>
        <v>train</v>
      </c>
    </row>
    <row r="4475" spans="1:2" x14ac:dyDescent="0.2">
      <c r="A4475" t="s">
        <v>38</v>
      </c>
      <c r="B4475" s="45">
        <f>INDEX(overview!$B$4:$R$338,MATCH('hydrogen - electrolysis'!B4464,overview!$A$4:$A$338,0),MATCH('hydrogen - electrolysis'!A4475,overview!$B$3:$R$3,0))</f>
        <v>1700</v>
      </c>
    </row>
    <row r="4476" spans="1:2" x14ac:dyDescent="0.2">
      <c r="A4476" t="s">
        <v>12</v>
      </c>
      <c r="B4476" s="45" t="str">
        <f>INDEX(overview!$B$4:$R$338,MATCH('hydrogen - electrolysis'!B4464,overview!$A$4:$A$338,0),MATCH('hydrogen - electrolysis'!A4476,overview!$B$3:$R$3,0))</f>
        <v>Pressure vessel for stationary storage</v>
      </c>
    </row>
    <row r="4477" spans="1:2" x14ac:dyDescent="0.2">
      <c r="A4477" t="s">
        <v>34</v>
      </c>
      <c r="B4477" s="45">
        <f>INDEX(overview!$B$4:$R$338,MATCH('hydrogen - electrolysis'!B4464,overview!$A$4:$A$338,0),MATCH('hydrogen - electrolysis'!A4477,overview!$B$3:$R$3,0))</f>
        <v>0</v>
      </c>
    </row>
    <row r="4478" spans="1:2" x14ac:dyDescent="0.2">
      <c r="A4478" t="s">
        <v>15</v>
      </c>
      <c r="B4478" s="45" t="str">
        <f>INDEX(overview!$B$4:$R$338,MATCH('hydrogen - electrolysis'!B4464,overview!$A$4:$A$338,0),MATCH('hydrogen - electrolysis'!A4478,overview!$B$3:$R$3,0))</f>
        <v>Electrolysis, Alkaline</v>
      </c>
    </row>
    <row r="4479" spans="1:2" x14ac:dyDescent="0.2">
      <c r="A4479" t="s">
        <v>14</v>
      </c>
      <c r="B4479" s="45" t="str">
        <f>INDEX(overview!$B$4:$R$338,MATCH('hydrogen - electrolysis'!B4464,overview!$A$4:$A$338,0),MATCH('hydrogen - electrolysis'!A4479,overview!$B$3:$R$3,0))</f>
        <v>water and electricity</v>
      </c>
    </row>
    <row r="4480" spans="1:2" x14ac:dyDescent="0.2">
      <c r="A4480" t="s">
        <v>26</v>
      </c>
      <c r="B4480" s="45" t="str">
        <f>INDEX(overview!$B$4:$R$338,MATCH('hydrogen - electrolysis'!B4464,overview!$A$4:$A$338,0),MATCH('hydrogen - electrolysis'!A4480,overview!$B$3:$R$3,0))</f>
        <v>Solar PV (IT)</v>
      </c>
    </row>
    <row r="4481" spans="1:2" x14ac:dyDescent="0.2">
      <c r="A4481" t="s">
        <v>29</v>
      </c>
      <c r="B4481" s="45">
        <f>INDEX(overview!$B$4:$R$338,MATCH('hydrogen - electrolysis'!B4464,overview!$A$4:$A$338,0),MATCH('hydrogen - electrolysis'!A4481,overview!$B$3:$R$3,0))</f>
        <v>0</v>
      </c>
    </row>
    <row r="4482" spans="1:2" x14ac:dyDescent="0.2">
      <c r="A4482" t="str">
        <f>IF(B4466="megajoule","Heat","Electricity")&amp;" conversion efficiency [% LHV input]"</f>
        <v>Electricity conversion efficiency [% LHV input]</v>
      </c>
      <c r="B4482" s="46">
        <f>INDEX(parameters!$D$4:$N$20,MATCH('hydrogen - electrolysis'!B4470&amp;'hydrogen - electrolysis'!B4472,parameters!$A$4:$A$20,0),MATCH('hydrogen - electrolysis'!A4482,parameters!$D$3:$N$3,0))</f>
        <v>0.39400000000000002</v>
      </c>
    </row>
    <row r="4483" spans="1:2" x14ac:dyDescent="0.2">
      <c r="A4483" t="str">
        <f>IF(B4466="megajoule","LHV [MJ/kg]","LHV [kWh/kg]")</f>
        <v>LHV [kWh/kg]</v>
      </c>
      <c r="B4483" s="47">
        <f>INDEX(parameters!$D$4:$N$20,MATCH('hydrogen - electrolysis'!B4470&amp;'hydrogen - electrolysis'!B4472,parameters!$A$4:$A$20,0),MATCH('hydrogen - electrolysis'!A4483,parameters!$D$3:$N$3,0))</f>
        <v>33.333333333333336</v>
      </c>
    </row>
    <row r="4484" spans="1:2" x14ac:dyDescent="0.2">
      <c r="A4484" t="s">
        <v>41</v>
      </c>
      <c r="B4484" s="48">
        <f>INDEX(parameters!$D$4:$N$20,MATCH('hydrogen - electrolysis'!B4470&amp;'hydrogen - electrolysis'!B4472,parameters!$A$4:$A$20,0),MATCH('hydrogen - electrolysis'!A4484,parameters!$D$3:$N$3,0))</f>
        <v>2.6666666666666665E-2</v>
      </c>
    </row>
    <row r="4485" spans="1:2" x14ac:dyDescent="0.2">
      <c r="A4485" t="s">
        <v>45</v>
      </c>
      <c r="B4485" s="46">
        <f>INDEX(parameters!$D$4:$N$20,MATCH('hydrogen - electrolysis'!B4470&amp;'hydrogen - electrolysis'!B4472,parameters!$A$4:$A$20,0),MATCH('hydrogen - electrolysis'!A4485,parameters!$D$3:$N$3,0))</f>
        <v>0</v>
      </c>
    </row>
    <row r="4486" spans="1:2" x14ac:dyDescent="0.2">
      <c r="A4486" t="s">
        <v>46</v>
      </c>
      <c r="B4486" s="46">
        <f>INDEX(parameters!$D$4:$N$20,MATCH('hydrogen - electrolysis'!B4470&amp;'hydrogen - electrolysis'!B4472,parameters!$A$4:$A$20,0),MATCH('hydrogen - electrolysis'!A4486,parameters!$D$3:$N$3,0))</f>
        <v>1.4999999999999999E-2</v>
      </c>
    </row>
    <row r="4487" spans="1:2" x14ac:dyDescent="0.2">
      <c r="A4487" t="s">
        <v>43</v>
      </c>
      <c r="B4487" s="46">
        <f>INDEX(parameters!$D$4:$N$20,MATCH('hydrogen - electrolysis'!B4470&amp;'hydrogen - electrolysis'!B4472,parameters!$A$4:$A$20,0),MATCH('hydrogen - electrolysis'!A4487,parameters!$D$3:$N$3,0))</f>
        <v>0</v>
      </c>
    </row>
    <row r="4488" spans="1:2" x14ac:dyDescent="0.2">
      <c r="A4488" t="s">
        <v>44</v>
      </c>
      <c r="B4488" s="46">
        <f>INDEX(parameters!$D$4:$N$20,MATCH('hydrogen - electrolysis'!B4470&amp;'hydrogen - electrolysis'!B4472,parameters!$A$4:$A$20,0),MATCH('hydrogen - electrolysis'!A4488,parameters!$D$3:$N$3,0))</f>
        <v>0</v>
      </c>
    </row>
    <row r="4489" spans="1:2" x14ac:dyDescent="0.2">
      <c r="A4489" t="s">
        <v>634</v>
      </c>
      <c r="B4489" s="51">
        <f>INDEX(parameters!$D$4:$Y$20,MATCH('hydrogen - electrolysis'!B4470&amp;'hydrogen - electrolysis'!B4472,parameters!$A$4:$A$20,0),MATCH('hydrogen - electrolysis'!A4489,parameters!$D$3:$Y$3,0))</f>
        <v>351.41800246609125</v>
      </c>
    </row>
    <row r="4490" spans="1:2" x14ac:dyDescent="0.2">
      <c r="A4490" t="s">
        <v>82</v>
      </c>
      <c r="B4490" s="46">
        <f>IF(B4481&lt;&gt;0,VLOOKUP(B4481,parameters!A2919:B2921,2,0),0)</f>
        <v>0</v>
      </c>
    </row>
    <row r="4491" spans="1:2" x14ac:dyDescent="0.2">
      <c r="A4491" t="s">
        <v>548</v>
      </c>
      <c r="B4491" s="50">
        <f>INDEX(parameters!$D$4:$P$20,MATCH(B4470&amp;B4472,parameters!$A$4:$A$20,0),MATCH(A4491,parameters!$D$3:$P$3,0))</f>
        <v>125</v>
      </c>
    </row>
    <row r="4492" spans="1:2" x14ac:dyDescent="0.2">
      <c r="A4492" t="s">
        <v>547</v>
      </c>
      <c r="B4492" s="51">
        <f>INDEX(parameters!$D$4:$P$20,MATCH(B4470&amp;B4472,parameters!$A$4:$A$20,0),MATCH(A4492,parameters!$D$3:$P$3,0))</f>
        <v>19.512195121951219</v>
      </c>
    </row>
    <row r="4493" spans="1:2" x14ac:dyDescent="0.2">
      <c r="A4493" t="s">
        <v>630</v>
      </c>
      <c r="B4493" s="51">
        <f>INDEX(parameters!$D$4:$T$20,MATCH(B4470&amp;B4472,parameters!$A$4:$A$20,0),MATCH(A4493,parameters!$D$3:$T$3,0))</f>
        <v>4100</v>
      </c>
    </row>
    <row r="4494" spans="1:2" x14ac:dyDescent="0.2">
      <c r="A4494" t="s">
        <v>1005</v>
      </c>
      <c r="B4494" s="50">
        <f>IF(B4466="megajoule",SUMIFS(allocation!$I$4:$I$30,allocation!$B$4:$B$30,B4472,allocation!$C$4:$C$30,B4473),SUMIFS(allocation!$J$4:$J$30,allocation!$B$4:$B$30,B4472,allocation!$C$4:$C$30,B4473))</f>
        <v>0.87139957772704957</v>
      </c>
    </row>
    <row r="4495" spans="1:2" x14ac:dyDescent="0.2">
      <c r="A4495" t="s">
        <v>1050</v>
      </c>
      <c r="B4495" s="51">
        <f>INDEX(parameters!$D$4:$AB$20,MATCH(B4470&amp;B4472,parameters!$A$4:$A$20,0),MATCH(A4495,parameters!$D$3:$AB$3,0))</f>
        <v>2220.7364520822662</v>
      </c>
    </row>
    <row r="4497" spans="1:22" x14ac:dyDescent="0.2">
      <c r="A4497" s="3" t="s">
        <v>57</v>
      </c>
    </row>
    <row r="4498" spans="1:22" x14ac:dyDescent="0.2">
      <c r="A4498" s="2" t="s">
        <v>58</v>
      </c>
      <c r="B4498" s="44" t="s">
        <v>59</v>
      </c>
      <c r="C4498" s="2" t="s">
        <v>55</v>
      </c>
      <c r="D4498" s="2" t="s">
        <v>60</v>
      </c>
      <c r="E4498" s="2" t="s">
        <v>52</v>
      </c>
      <c r="F4498" s="2" t="s">
        <v>61</v>
      </c>
      <c r="G4498" s="2" t="s">
        <v>54</v>
      </c>
      <c r="H4498" s="2" t="s">
        <v>87</v>
      </c>
      <c r="I4498" s="2" t="s">
        <v>51</v>
      </c>
      <c r="J4498" s="2" t="s">
        <v>138</v>
      </c>
      <c r="K4498" s="2" t="s">
        <v>136</v>
      </c>
      <c r="L4498" s="2" t="s">
        <v>221</v>
      </c>
      <c r="M4498" s="2" t="s">
        <v>379</v>
      </c>
      <c r="N4498" s="2" t="s">
        <v>1059</v>
      </c>
      <c r="O4498" s="2" t="s">
        <v>1060</v>
      </c>
      <c r="P4498" s="2" t="s">
        <v>1061</v>
      </c>
      <c r="Q4498" s="2" t="s">
        <v>1062</v>
      </c>
      <c r="R4498" s="2" t="s">
        <v>1063</v>
      </c>
      <c r="S4498" s="2" t="s">
        <v>1064</v>
      </c>
      <c r="T4498" s="2" t="s">
        <v>1065</v>
      </c>
      <c r="U4498" s="2" t="s">
        <v>380</v>
      </c>
      <c r="V4498" s="2" t="s">
        <v>1128</v>
      </c>
    </row>
    <row r="4499" spans="1:22" x14ac:dyDescent="0.2">
      <c r="A4499" t="str">
        <f>B4460</f>
        <v>electricity, residential, by combustion of hydrogen using CHP, allocated by exergy, transported by train, produced by Electrolysis, Alkaline using water and electricity from Solar PV (IT)</v>
      </c>
      <c r="B4499" s="45">
        <v>1</v>
      </c>
      <c r="C4499" t="str">
        <f>B4466</f>
        <v>kilowatt hour</v>
      </c>
      <c r="E4499" t="str">
        <f>B4463</f>
        <v>CH</v>
      </c>
      <c r="F4499" t="s">
        <v>62</v>
      </c>
      <c r="G4499" t="str">
        <f>B4465</f>
        <v>electricity, from residential heating system</v>
      </c>
      <c r="K4499" t="str">
        <f>B4460</f>
        <v>electricity, residential, by combustion of hydrogen using CHP, allocated by exergy, transported by train, produced by Electrolysis, Alkaline using water and electricity from Solar PV (IT)</v>
      </c>
    </row>
    <row r="4500" spans="1:22" x14ac:dyDescent="0.2">
      <c r="A4500" t="str">
        <f>VLOOKUP(J4500,'dataset mapping'!$A$4:$E$69,2,0)</f>
        <v>heat and power co-generation unit construction, 160kW electrical, common components for heat+electricity</v>
      </c>
      <c r="B4500" s="52">
        <f>(1/(B4489*B4493*B4492))*B4494</f>
        <v>3.0995835856870056E-8</v>
      </c>
      <c r="C4500" t="str">
        <f>VLOOKUP(J4500,'dataset mapping'!$A$4:$E$69,5,0)</f>
        <v>unit</v>
      </c>
      <c r="E4500" t="str">
        <f>VLOOKUP(J4500,'dataset mapping'!$A$4:$E$69,4,0)</f>
        <v>RER</v>
      </c>
      <c r="F4500" t="s">
        <v>86</v>
      </c>
      <c r="G4500" t="str">
        <f>VLOOKUP(J4500,'dataset mapping'!$A$4:$E$69,3,0)</f>
        <v>heat and power co-generation unit, 160kW electrical, common components for heat+electricity</v>
      </c>
      <c r="H4500" t="s">
        <v>88</v>
      </c>
      <c r="J4500" t="s">
        <v>145</v>
      </c>
      <c r="K4500" t="str">
        <f>B4460</f>
        <v>electricity, residential, by combustion of hydrogen using CHP, allocated by exergy, transported by train, produced by Electrolysis, Alkaline using water and electricity from Solar PV (IT)</v>
      </c>
      <c r="L4500">
        <f t="shared" ref="L4500:L4509" si="145">IF(OR(B4500&lt;0,B4500=0),1,2)</f>
        <v>2</v>
      </c>
      <c r="M4500">
        <f t="shared" ref="M4500:M4509" si="146">IF(L4500=2,LN(B4500),"")</f>
        <v>-17.28941296868171</v>
      </c>
      <c r="N4500">
        <v>1.05</v>
      </c>
      <c r="O4500" s="15">
        <v>1.2</v>
      </c>
      <c r="P4500">
        <v>1</v>
      </c>
      <c r="Q4500">
        <v>1.01</v>
      </c>
      <c r="R4500">
        <v>1.2</v>
      </c>
      <c r="S4500">
        <v>1.2</v>
      </c>
      <c r="T4500">
        <v>3</v>
      </c>
      <c r="U4500">
        <f t="shared" ref="U4500:U4509" si="147">LN(SQRT(EXP(
SQRT(
+POWER(LN(N4500),2)
+POWER(LN(O4500),2)
+POWER(LN(P4500),2)
+POWER(LN(Q4500),2)
+POWER(LN(R4500),2)
+POWER(LN(S4500),2)
+POWER(LN(T4500),2)
)
)))</f>
        <v>0.57209088006881903</v>
      </c>
    </row>
    <row r="4501" spans="1:22" x14ac:dyDescent="0.2">
      <c r="A4501" t="str">
        <f>VLOOKUP(J4501,'dataset mapping'!$A$4:$E$69,2,0)</f>
        <v>heat and power co-generation unit construction, 160kW electrical, components for electricity only</v>
      </c>
      <c r="B4501" s="52">
        <f>(1/(B4489*B4493*B4492))*B4494</f>
        <v>3.0995835856870056E-8</v>
      </c>
      <c r="C4501" t="str">
        <f>VLOOKUP(J4501,'dataset mapping'!$A$4:$E$69,5,0)</f>
        <v>unit</v>
      </c>
      <c r="E4501" t="str">
        <f>VLOOKUP(J4501,'dataset mapping'!$A$4:$E$69,4,0)</f>
        <v>RER</v>
      </c>
      <c r="F4501" t="s">
        <v>86</v>
      </c>
      <c r="G4501" t="str">
        <f>VLOOKUP(J4501,'dataset mapping'!$A$4:$E$69,3,0)</f>
        <v>heat and power co-generation unit, 160kW electrical, components for electricity only</v>
      </c>
      <c r="H4501" t="s">
        <v>88</v>
      </c>
      <c r="J4501" t="s">
        <v>146</v>
      </c>
      <c r="K4501" t="str">
        <f>B4460</f>
        <v>electricity, residential, by combustion of hydrogen using CHP, allocated by exergy, transported by train, produced by Electrolysis, Alkaline using water and electricity from Solar PV (IT)</v>
      </c>
      <c r="L4501">
        <f t="shared" si="145"/>
        <v>2</v>
      </c>
      <c r="M4501">
        <f t="shared" si="146"/>
        <v>-17.28941296868171</v>
      </c>
      <c r="N4501">
        <v>1.05</v>
      </c>
      <c r="O4501" s="15">
        <v>1.2</v>
      </c>
      <c r="P4501">
        <v>1</v>
      </c>
      <c r="Q4501">
        <v>1.01</v>
      </c>
      <c r="R4501">
        <v>1.2</v>
      </c>
      <c r="S4501">
        <v>1.2</v>
      </c>
      <c r="T4501">
        <v>3</v>
      </c>
      <c r="U4501">
        <f t="shared" si="147"/>
        <v>0.57209088006881903</v>
      </c>
    </row>
    <row r="4502" spans="1:22" x14ac:dyDescent="0.2">
      <c r="A4502" t="str">
        <f>VLOOKUP(J4502,'dataset mapping'!$A$4:$E$69,2,0)</f>
        <v>heat and power co-generation unit construction, 160kW electrical, components for heat only</v>
      </c>
      <c r="B4502" s="52">
        <f>(1/(B4489*B4493*B4492))*B4494</f>
        <v>3.0995835856870056E-8</v>
      </c>
      <c r="C4502" t="str">
        <f>VLOOKUP(J4502,'dataset mapping'!$A$4:$E$69,5,0)</f>
        <v>unit</v>
      </c>
      <c r="E4502" t="str">
        <f>VLOOKUP(J4502,'dataset mapping'!$A$4:$E$69,4,0)</f>
        <v>RER</v>
      </c>
      <c r="F4502" t="s">
        <v>86</v>
      </c>
      <c r="G4502" t="str">
        <f>VLOOKUP(J4502,'dataset mapping'!$A$4:$E$69,3,0)</f>
        <v>heat and power co-generation unit, 160kW electrical, components for heat only</v>
      </c>
      <c r="H4502" t="s">
        <v>88</v>
      </c>
      <c r="J4502" t="s">
        <v>147</v>
      </c>
      <c r="K4502" t="str">
        <f>B4460</f>
        <v>electricity, residential, by combustion of hydrogen using CHP, allocated by exergy, transported by train, produced by Electrolysis, Alkaline using water and electricity from Solar PV (IT)</v>
      </c>
      <c r="L4502">
        <f t="shared" si="145"/>
        <v>2</v>
      </c>
      <c r="M4502">
        <f t="shared" si="146"/>
        <v>-17.28941296868171</v>
      </c>
      <c r="N4502">
        <v>1.05</v>
      </c>
      <c r="O4502" s="15">
        <v>1.2</v>
      </c>
      <c r="P4502">
        <v>1</v>
      </c>
      <c r="Q4502">
        <v>1.01</v>
      </c>
      <c r="R4502">
        <v>1.2</v>
      </c>
      <c r="S4502">
        <v>1.2</v>
      </c>
      <c r="T4502">
        <v>3</v>
      </c>
      <c r="U4502">
        <f t="shared" si="147"/>
        <v>0.57209088006881903</v>
      </c>
    </row>
    <row r="4503" spans="1:22" x14ac:dyDescent="0.2">
      <c r="A4503" t="s">
        <v>156</v>
      </c>
      <c r="B4503" s="52">
        <f>0.00000011366*B4494</f>
        <v>9.9043276004456456E-8</v>
      </c>
      <c r="C4503" t="s">
        <v>56</v>
      </c>
      <c r="E4503" t="s">
        <v>90</v>
      </c>
      <c r="F4503" t="s">
        <v>86</v>
      </c>
      <c r="G4503" t="s">
        <v>154</v>
      </c>
      <c r="H4503" t="s">
        <v>155</v>
      </c>
      <c r="K4503" t="str">
        <f>B4460</f>
        <v>electricity, residential, by combustion of hydrogen using CHP, allocated by exergy, transported by train, produced by Electrolysis, Alkaline using water and electricity from Solar PV (IT)</v>
      </c>
      <c r="L4503">
        <f t="shared" si="145"/>
        <v>2</v>
      </c>
      <c r="M4503">
        <f t="shared" si="146"/>
        <v>-16.127708950967754</v>
      </c>
      <c r="N4503">
        <v>1.05</v>
      </c>
      <c r="O4503" s="15">
        <v>1.2</v>
      </c>
      <c r="P4503">
        <v>1</v>
      </c>
      <c r="Q4503">
        <v>1.01</v>
      </c>
      <c r="R4503">
        <v>1.2</v>
      </c>
      <c r="S4503">
        <v>1.2</v>
      </c>
      <c r="T4503">
        <v>1.05</v>
      </c>
      <c r="U4503">
        <f t="shared" si="147"/>
        <v>0.16169679924070957</v>
      </c>
    </row>
    <row r="4504" spans="1:22" x14ac:dyDescent="0.2">
      <c r="A4504" t="s">
        <v>157</v>
      </c>
      <c r="B4504" s="52">
        <f>0.00000011366*B4494*-1</f>
        <v>-9.9043276004456456E-8</v>
      </c>
      <c r="C4504" t="s">
        <v>56</v>
      </c>
      <c r="E4504" t="s">
        <v>64</v>
      </c>
      <c r="F4504" t="s">
        <v>86</v>
      </c>
      <c r="G4504" t="s">
        <v>158</v>
      </c>
      <c r="H4504" t="s">
        <v>155</v>
      </c>
      <c r="K4504" t="str">
        <f>B4460</f>
        <v>electricity, residential, by combustion of hydrogen using CHP, allocated by exergy, transported by train, produced by Electrolysis, Alkaline using water and electricity from Solar PV (IT)</v>
      </c>
      <c r="L4504">
        <v>2</v>
      </c>
      <c r="M4504">
        <f>IF(L4504=2,LN(B4504*-1),"")</f>
        <v>-16.127708950967754</v>
      </c>
      <c r="N4504">
        <v>1.05</v>
      </c>
      <c r="O4504" s="15">
        <v>1.2</v>
      </c>
      <c r="P4504">
        <v>1</v>
      </c>
      <c r="Q4504">
        <v>1.01</v>
      </c>
      <c r="R4504">
        <v>1.2</v>
      </c>
      <c r="S4504">
        <v>1.2</v>
      </c>
      <c r="T4504">
        <v>3</v>
      </c>
      <c r="U4504">
        <f>LN(SQRT(EXP(
SQRT(
+POWER(LN(N4504),2)
+POWER(LN(O4504),2)
+POWER(LN(P4504),2)
+POWER(LN(Q4504),2)
+POWER(LN(R4504),2)
+POWER(LN(S4504),2)
+POWER(LN(T4504),2)
)
)))</f>
        <v>0.57209088006881903</v>
      </c>
      <c r="V4504" t="b">
        <v>1</v>
      </c>
    </row>
    <row r="4505" spans="1:22" x14ac:dyDescent="0.2">
      <c r="A4505" s="45" t="str">
        <f>"hydrogen supply, transported by "&amp;B4474&amp;", produced by "&amp;B4478&amp;" using "&amp;B4479&amp;" from "&amp;B4480</f>
        <v>hydrogen supply, transported by train, produced by Electrolysis, Alkaline using water and electricity from Solar PV (IT)</v>
      </c>
      <c r="B4505" s="53">
        <f>(B4499/B4483)/B4482*B4494</f>
        <v>6.6350221654343872E-2</v>
      </c>
      <c r="C4505" t="s">
        <v>56</v>
      </c>
      <c r="E4505" t="s">
        <v>64</v>
      </c>
      <c r="F4505" t="s">
        <v>86</v>
      </c>
      <c r="G4505" t="str">
        <f>"hydrogen, gaseous, from "&amp;B4474</f>
        <v>hydrogen, gaseous, from train</v>
      </c>
      <c r="H4505" t="s">
        <v>76</v>
      </c>
      <c r="I4505" t="s">
        <v>1054</v>
      </c>
      <c r="J4505" t="s">
        <v>636</v>
      </c>
      <c r="K4505" t="str">
        <f>B4460</f>
        <v>electricity, residential, by combustion of hydrogen using CHP, allocated by exergy, transported by train, produced by Electrolysis, Alkaline using water and electricity from Solar PV (IT)</v>
      </c>
      <c r="L4505">
        <f t="shared" si="145"/>
        <v>2</v>
      </c>
      <c r="M4505">
        <f t="shared" si="146"/>
        <v>-2.7128081775260964</v>
      </c>
      <c r="N4505">
        <v>1.05</v>
      </c>
      <c r="O4505" s="15">
        <v>1.2</v>
      </c>
      <c r="P4505">
        <v>1</v>
      </c>
      <c r="Q4505">
        <v>1.01</v>
      </c>
      <c r="R4505">
        <v>1.2</v>
      </c>
      <c r="S4505">
        <v>1.2</v>
      </c>
      <c r="T4505">
        <v>1.05</v>
      </c>
      <c r="U4505">
        <f t="shared" si="147"/>
        <v>0.16169679924070957</v>
      </c>
    </row>
    <row r="4506" spans="1:22" x14ac:dyDescent="0.2">
      <c r="A4506" t="str">
        <f>VLOOKUP(J4506,'dataset mapping'!$A$4:$E$69,2,0)</f>
        <v>market for transport, freight train</v>
      </c>
      <c r="B4506" s="45">
        <f>SUM(B4505:B4505)/1000*B4475</f>
        <v>0.11279537681238458</v>
      </c>
      <c r="C4506" t="str">
        <f>VLOOKUP(J4506,'dataset mapping'!$A$4:$E$69,5,0)</f>
        <v>ton kilometer</v>
      </c>
      <c r="E4506" t="str">
        <f>VLOOKUP(J4506,'dataset mapping'!$A$4:$E$69,4,0)</f>
        <v>CH</v>
      </c>
      <c r="F4506" t="s">
        <v>86</v>
      </c>
      <c r="G4506" t="str">
        <f>VLOOKUP(J4506,'dataset mapping'!$A$4:$E$69,3,0)</f>
        <v>transport, freight train</v>
      </c>
      <c r="H4506" t="s">
        <v>88</v>
      </c>
      <c r="I4506" t="s">
        <v>1052</v>
      </c>
      <c r="J4506" t="s">
        <v>295</v>
      </c>
      <c r="K4506" t="str">
        <f>B4460</f>
        <v>electricity, residential, by combustion of hydrogen using CHP, allocated by exergy, transported by train, produced by Electrolysis, Alkaline using water and electricity from Solar PV (IT)</v>
      </c>
      <c r="L4506">
        <f t="shared" si="145"/>
        <v>2</v>
      </c>
      <c r="M4506">
        <f t="shared" si="146"/>
        <v>-2.1821799264639261</v>
      </c>
      <c r="N4506">
        <v>1.05</v>
      </c>
      <c r="O4506" s="15">
        <v>1.2</v>
      </c>
      <c r="P4506">
        <v>1</v>
      </c>
      <c r="Q4506">
        <v>1.01</v>
      </c>
      <c r="R4506">
        <v>1.2</v>
      </c>
      <c r="S4506">
        <v>1.2</v>
      </c>
      <c r="T4506">
        <v>2</v>
      </c>
      <c r="U4506">
        <f t="shared" si="147"/>
        <v>0.38165951885721477</v>
      </c>
    </row>
    <row r="4507" spans="1:22" x14ac:dyDescent="0.2">
      <c r="A4507" t="str">
        <f>VLOOKUP(J4507,'dataset mapping'!$A$4:$E$69,2,0)</f>
        <v>high pressure hydrogen storage tank</v>
      </c>
      <c r="B4507" s="52">
        <f>((B4495/10)/(B4493*B4489*20))*IF(B4494&lt;&gt;0,B4494,1)</f>
        <v>6.7154714683034044E-6</v>
      </c>
      <c r="C4507" t="str">
        <f>VLOOKUP(J4507,'dataset mapping'!$A$4:$E$69,5,0)</f>
        <v>kilogram</v>
      </c>
      <c r="E4507" t="str">
        <f>VLOOKUP(J4507,'dataset mapping'!$A$4:$E$69,4,0)</f>
        <v>GLO</v>
      </c>
      <c r="F4507" t="s">
        <v>86</v>
      </c>
      <c r="G4507" t="str">
        <f>VLOOKUP(J4507,'dataset mapping'!$A$4:$E$69,3,0)</f>
        <v>high pressure hydrogen storage tank</v>
      </c>
      <c r="H4507" t="s">
        <v>88</v>
      </c>
      <c r="I4507" t="s">
        <v>279</v>
      </c>
      <c r="J4507" t="s">
        <v>229</v>
      </c>
      <c r="K4507" t="str">
        <f>B4460</f>
        <v>electricity, residential, by combustion of hydrogen using CHP, allocated by exergy, transported by train, produced by Electrolysis, Alkaline using water and electricity from Solar PV (IT)</v>
      </c>
      <c r="L4507">
        <f t="shared" si="145"/>
        <v>2</v>
      </c>
      <c r="M4507">
        <f t="shared" si="146"/>
        <v>-11.911096519239557</v>
      </c>
      <c r="N4507">
        <v>1.05</v>
      </c>
      <c r="O4507" s="15">
        <v>1.2</v>
      </c>
      <c r="P4507">
        <v>1</v>
      </c>
      <c r="Q4507">
        <v>1.01</v>
      </c>
      <c r="R4507">
        <v>1.2</v>
      </c>
      <c r="S4507">
        <v>1.2</v>
      </c>
      <c r="T4507">
        <v>3</v>
      </c>
      <c r="U4507">
        <f t="shared" si="147"/>
        <v>0.57209088006881903</v>
      </c>
    </row>
    <row r="4508" spans="1:22" x14ac:dyDescent="0.2">
      <c r="A4508" t="s">
        <v>134</v>
      </c>
      <c r="B4508" s="45">
        <f>B4505*9</f>
        <v>0.59715199488909487</v>
      </c>
      <c r="C4508" t="s">
        <v>56</v>
      </c>
      <c r="D4508" t="s">
        <v>100</v>
      </c>
      <c r="F4508" t="s">
        <v>99</v>
      </c>
      <c r="H4508" t="s">
        <v>131</v>
      </c>
      <c r="I4508" t="s">
        <v>1058</v>
      </c>
      <c r="K4508" t="str">
        <f>B4460</f>
        <v>electricity, residential, by combustion of hydrogen using CHP, allocated by exergy, transported by train, produced by Electrolysis, Alkaline using water and electricity from Solar PV (IT)</v>
      </c>
      <c r="L4508">
        <f t="shared" si="145"/>
        <v>2</v>
      </c>
      <c r="M4508">
        <f t="shared" si="146"/>
        <v>-0.51558360018987692</v>
      </c>
      <c r="N4508">
        <v>1.05</v>
      </c>
      <c r="O4508" s="15">
        <v>1.2</v>
      </c>
      <c r="P4508">
        <v>1</v>
      </c>
      <c r="Q4508">
        <v>1.01</v>
      </c>
      <c r="R4508">
        <v>1.2</v>
      </c>
      <c r="S4508">
        <v>1.2</v>
      </c>
      <c r="T4508">
        <v>1.05</v>
      </c>
      <c r="U4508">
        <f t="shared" si="147"/>
        <v>0.16169679924070957</v>
      </c>
    </row>
    <row r="4509" spans="1:22" x14ac:dyDescent="0.2">
      <c r="A4509" t="s">
        <v>135</v>
      </c>
      <c r="B4509" s="45">
        <f>912.5/1000000*B4505</f>
        <v>6.0544577259588785E-5</v>
      </c>
      <c r="C4509" t="s">
        <v>56</v>
      </c>
      <c r="D4509" t="s">
        <v>100</v>
      </c>
      <c r="F4509" t="s">
        <v>99</v>
      </c>
      <c r="H4509" t="s">
        <v>131</v>
      </c>
      <c r="I4509" t="s">
        <v>1217</v>
      </c>
      <c r="K4509" t="str">
        <f>B4460</f>
        <v>electricity, residential, by combustion of hydrogen using CHP, allocated by exergy, transported by train, produced by Electrolysis, Alkaline using water and electricity from Solar PV (IT)</v>
      </c>
      <c r="L4509">
        <f t="shared" si="145"/>
        <v>2</v>
      </c>
      <c r="M4509">
        <f t="shared" si="146"/>
        <v>-9.712130650033723</v>
      </c>
      <c r="N4509">
        <v>1.05</v>
      </c>
      <c r="O4509" s="15">
        <v>1.2</v>
      </c>
      <c r="P4509">
        <v>1</v>
      </c>
      <c r="Q4509">
        <v>1.01</v>
      </c>
      <c r="R4509">
        <v>1.2</v>
      </c>
      <c r="S4509">
        <v>1.2</v>
      </c>
      <c r="T4509">
        <v>1.5</v>
      </c>
      <c r="U4509">
        <f t="shared" si="147"/>
        <v>0.25816898211842121</v>
      </c>
    </row>
    <row r="4511" spans="1:22" x14ac:dyDescent="0.2">
      <c r="A4511" s="2" t="s">
        <v>50</v>
      </c>
      <c r="B4511" s="44" t="str">
        <f>IF(B4517="megajoule","heat","electricity")&amp;", residential, by "&amp;B4522&amp;" of "&amp;B4521&amp;" using "&amp;B4523&amp;IF(B4524&lt;&gt;0,", allocated by "&amp;B4524,"")&amp;", transported by "&amp;B4525&amp;", produced by "&amp;B4529&amp;" using "&amp;B4530&amp;" from "&amp;B4531</f>
        <v>electricity, residential, by conversion of hydrogen using fuel cell, PEM, allocated by exergy, transported by train, produced by Electrolysis, Alkaline using water and electricity from Solar PV (IT)</v>
      </c>
    </row>
    <row r="4512" spans="1:22" x14ac:dyDescent="0.2">
      <c r="A4512" t="s">
        <v>51</v>
      </c>
      <c r="B4512" s="45" t="str">
        <f>"This dataset represents the supply of 1 "&amp;IF(B4517="megajoule","megajoule of heat","kilowatt hour of electricity")&amp;" in a residence, by "&amp;B4521&amp;" "&amp;B4522&amp;" in a "&amp;B4523&amp;". "&amp;" The hydrogen is transported by "&amp;B4525&amp;" over "&amp;B4526&amp;" km from regional storage. "&amp;" The "&amp;B4521&amp;" is produced by  "&amp;B4529&amp;", with "&amp;B4530&amp;" from "&amp;B4531&amp;" as feedstock. "&amp;A4533&amp;": "&amp;(B4533*100)&amp;"%. "&amp;A4534&amp;": "&amp;B4534&amp;". "&amp;A4535&amp;": "&amp;B4535&amp;". "&amp;A4536&amp;": "&amp;(B4536*100)&amp;"%. "&amp;A4537&amp;": "&amp;(B4537*100)&amp;"%. "&amp;A4538&amp;": "&amp;(B4538*100)&amp;"%. "&amp;A4539&amp;": "&amp;B4539&amp;". "&amp;A4540&amp;": "&amp;B4540&amp;". "&amp;A4541&amp;": "&amp;(B4541*100)&amp;"%. "&amp;A4542&amp;": "&amp;B4542&amp;". "&amp;A4543&amp;": "&amp;B4543&amp;". "&amp;A4544&amp;": "&amp;B4544&amp;". "&amp;A4545&amp;": "&amp;B4545&amp;".  For more information, refer to: "&amp;B4513</f>
        <v>This dataset represents the supply of 1 kilowatt hour of electricity in a residence, by hydrogen conversion in a fuel cell, PEM.  The hydrogen is transported by train over 1700 km from regional storage.  The hydrogen is produced by  Electrolysis, Alkaline,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4513" spans="1:2" x14ac:dyDescent="0.2">
      <c r="A4513" t="s">
        <v>63</v>
      </c>
      <c r="B4513" s="45" t="s">
        <v>1223</v>
      </c>
    </row>
    <row r="4514" spans="1:2" x14ac:dyDescent="0.2">
      <c r="A4514" t="s">
        <v>52</v>
      </c>
      <c r="B4514" s="45" t="s">
        <v>64</v>
      </c>
    </row>
    <row r="4515" spans="1:2" x14ac:dyDescent="0.2">
      <c r="A4515" t="s">
        <v>48</v>
      </c>
      <c r="B4515" s="45" t="s">
        <v>905</v>
      </c>
    </row>
    <row r="4516" spans="1:2" x14ac:dyDescent="0.2">
      <c r="A4516" t="s">
        <v>54</v>
      </c>
      <c r="B4516" s="45" t="str">
        <f>INDEX(overview!$B$4:$R$338,MATCH('hydrogen - electrolysis'!B4515,overview!$A$4:$A$338,0),MATCH('hydrogen - electrolysis'!A4516,overview!$B$3:$R$3,0))</f>
        <v>electricity, from residential heating system</v>
      </c>
    </row>
    <row r="4517" spans="1:2" x14ac:dyDescent="0.2">
      <c r="A4517" t="s">
        <v>55</v>
      </c>
      <c r="B4517" s="45" t="str">
        <f>INDEX(overview!$B$4:$R$338,MATCH('hydrogen - electrolysis'!B4515,overview!$A$4:$A$338,0),MATCH('hydrogen - electrolysis'!A4517,overview!$B$3:$R$3,0))</f>
        <v>kilowatt hour</v>
      </c>
    </row>
    <row r="4518" spans="1:2" x14ac:dyDescent="0.2">
      <c r="A4518" t="s">
        <v>0</v>
      </c>
      <c r="B4518" s="45" t="str">
        <f>INDEX(overview!$B$4:$R$338,MATCH('hydrogen - electrolysis'!B4515,overview!$A$4:$A$338,0),MATCH('hydrogen - electrolysis'!A4518,overview!$B$3:$R$3,0))</f>
        <v>Switzerland</v>
      </c>
    </row>
    <row r="4519" spans="1:2" x14ac:dyDescent="0.2">
      <c r="A4519" t="s">
        <v>1</v>
      </c>
      <c r="B4519" s="45">
        <f>INDEX(overview!$B$4:$R$338,MATCH('hydrogen - electrolysis'!B4515,overview!$A$4:$A$338,0),MATCH('hydrogen - electrolysis'!A4519,overview!$B$3:$R$3,0))</f>
        <v>2020</v>
      </c>
    </row>
    <row r="4520" spans="1:2" x14ac:dyDescent="0.2">
      <c r="A4520" t="s">
        <v>2</v>
      </c>
      <c r="B4520" s="45" t="str">
        <f>INDEX(overview!$B$4:$R$338,MATCH('hydrogen - electrolysis'!B4515,overview!$A$4:$A$338,0),MATCH('hydrogen - electrolysis'!A4520,overview!$B$3:$R$3,0))</f>
        <v>1 kWh electricity</v>
      </c>
    </row>
    <row r="4521" spans="1:2" x14ac:dyDescent="0.2">
      <c r="A4521" t="s">
        <v>5</v>
      </c>
      <c r="B4521" s="45" t="str">
        <f>INDEX(overview!$B$4:$R$338,MATCH('hydrogen - electrolysis'!B4515,overview!$A$4:$A$338,0),MATCH('hydrogen - electrolysis'!A4521,overview!$B$3:$R$3,0))</f>
        <v>hydrogen</v>
      </c>
    </row>
    <row r="4522" spans="1:2" x14ac:dyDescent="0.2">
      <c r="A4522" t="s">
        <v>3</v>
      </c>
      <c r="B4522" s="45" t="str">
        <f>INDEX(overview!$B$4:$R$338,MATCH('hydrogen - electrolysis'!B4515,overview!$A$4:$A$338,0),MATCH('hydrogen - electrolysis'!A4522,overview!$B$3:$R$3,0))</f>
        <v>conversion</v>
      </c>
    </row>
    <row r="4523" spans="1:2" x14ac:dyDescent="0.2">
      <c r="A4523" t="s">
        <v>6</v>
      </c>
      <c r="B4523" s="45" t="str">
        <f>INDEX(overview!$B$4:$R$338,MATCH('hydrogen - electrolysis'!B4515,overview!$A$4:$A$338,0),MATCH('hydrogen - electrolysis'!A4523,overview!$B$3:$R$3,0))</f>
        <v>fuel cell, PEM</v>
      </c>
    </row>
    <row r="4524" spans="1:2" x14ac:dyDescent="0.2">
      <c r="A4524" t="s">
        <v>39</v>
      </c>
      <c r="B4524" s="45" t="str">
        <f>INDEX(overview!$B$4:$R$338,MATCH('hydrogen - electrolysis'!B4515,overview!$A$4:$A$338,0),MATCH('hydrogen - electrolysis'!A4524,overview!$B$3:$R$3,0))</f>
        <v>exergy</v>
      </c>
    </row>
    <row r="4525" spans="1:2" x14ac:dyDescent="0.2">
      <c r="A4525" t="s">
        <v>4</v>
      </c>
      <c r="B4525" s="45" t="str">
        <f>INDEX(overview!$B$4:$R$338,MATCH('hydrogen - electrolysis'!B4515,overview!$A$4:$A$338,0),MATCH('hydrogen - electrolysis'!A4525,overview!$B$3:$R$3,0))</f>
        <v>train</v>
      </c>
    </row>
    <row r="4526" spans="1:2" x14ac:dyDescent="0.2">
      <c r="A4526" t="s">
        <v>38</v>
      </c>
      <c r="B4526" s="45">
        <f>INDEX(overview!$B$4:$R$338,MATCH('hydrogen - electrolysis'!B4515,overview!$A$4:$A$338,0),MATCH('hydrogen - electrolysis'!A4526,overview!$B$3:$R$3,0))</f>
        <v>1700</v>
      </c>
    </row>
    <row r="4527" spans="1:2" x14ac:dyDescent="0.2">
      <c r="A4527" t="s">
        <v>12</v>
      </c>
      <c r="B4527" s="45" t="str">
        <f>INDEX(overview!$B$4:$R$338,MATCH('hydrogen - electrolysis'!B4515,overview!$A$4:$A$338,0),MATCH('hydrogen - electrolysis'!A4527,overview!$B$3:$R$3,0))</f>
        <v>Pressure vessel for stationary storage</v>
      </c>
    </row>
    <row r="4528" spans="1:2" x14ac:dyDescent="0.2">
      <c r="A4528" t="s">
        <v>34</v>
      </c>
      <c r="B4528" s="45">
        <f>INDEX(overview!$B$4:$R$338,MATCH('hydrogen - electrolysis'!B4515,overview!$A$4:$A$338,0),MATCH('hydrogen - electrolysis'!A4528,overview!$B$3:$R$3,0))</f>
        <v>0</v>
      </c>
    </row>
    <row r="4529" spans="1:2" x14ac:dyDescent="0.2">
      <c r="A4529" t="s">
        <v>15</v>
      </c>
      <c r="B4529" s="45" t="str">
        <f>INDEX(overview!$B$4:$R$338,MATCH('hydrogen - electrolysis'!B4515,overview!$A$4:$A$338,0),MATCH('hydrogen - electrolysis'!A4529,overview!$B$3:$R$3,0))</f>
        <v>Electrolysis, Alkaline</v>
      </c>
    </row>
    <row r="4530" spans="1:2" x14ac:dyDescent="0.2">
      <c r="A4530" t="s">
        <v>14</v>
      </c>
      <c r="B4530" s="45" t="str">
        <f>INDEX(overview!$B$4:$R$338,MATCH('hydrogen - electrolysis'!B4515,overview!$A$4:$A$338,0),MATCH('hydrogen - electrolysis'!A4530,overview!$B$3:$R$3,0))</f>
        <v>water and electricity</v>
      </c>
    </row>
    <row r="4531" spans="1:2" x14ac:dyDescent="0.2">
      <c r="A4531" t="s">
        <v>26</v>
      </c>
      <c r="B4531" s="45" t="str">
        <f>INDEX(overview!$B$4:$R$338,MATCH('hydrogen - electrolysis'!B4515,overview!$A$4:$A$338,0),MATCH('hydrogen - electrolysis'!A4531,overview!$B$3:$R$3,0))</f>
        <v>Solar PV (IT)</v>
      </c>
    </row>
    <row r="4532" spans="1:2" x14ac:dyDescent="0.2">
      <c r="A4532" t="s">
        <v>29</v>
      </c>
      <c r="B4532" s="45">
        <f>INDEX(overview!$B$4:$R$338,MATCH('hydrogen - electrolysis'!B4515,overview!$A$4:$A$338,0),MATCH('hydrogen - electrolysis'!A4532,overview!$B$3:$R$3,0))</f>
        <v>0</v>
      </c>
    </row>
    <row r="4533" spans="1:2" x14ac:dyDescent="0.2">
      <c r="A4533" t="str">
        <f>IF(B4517="megajoule","Heat","Electricity")&amp;" conversion efficiency [% LHV input]"</f>
        <v>Electricity conversion efficiency [% LHV input]</v>
      </c>
      <c r="B4533" s="46">
        <f>INDEX(parameters!$D$4:$N$20,MATCH('hydrogen - electrolysis'!B4521&amp;'hydrogen - electrolysis'!B4523,parameters!$A$4:$A$20,0),MATCH('hydrogen - electrolysis'!A4533,parameters!$D$3:$N$3,0))</f>
        <v>0.45</v>
      </c>
    </row>
    <row r="4534" spans="1:2" x14ac:dyDescent="0.2">
      <c r="A4534" t="str">
        <f>IF(B4517="megajoule","LHV [MJ/kg]","LHV [kWh/kg]")</f>
        <v>LHV [kWh/kg]</v>
      </c>
      <c r="B4534" s="47">
        <f>INDEX(parameters!$D$4:$N$20,MATCH('hydrogen - electrolysis'!B4521&amp;'hydrogen - electrolysis'!B4523,parameters!$A$4:$A$20,0),MATCH('hydrogen - electrolysis'!A4534,parameters!$D$3:$N$3,0))</f>
        <v>33.333333333333336</v>
      </c>
    </row>
    <row r="4535" spans="1:2" x14ac:dyDescent="0.2">
      <c r="A4535" t="s">
        <v>41</v>
      </c>
      <c r="B4535" s="48">
        <f>INDEX(parameters!$D$4:$N$20,MATCH('hydrogen - electrolysis'!B4521&amp;'hydrogen - electrolysis'!B4523,parameters!$A$4:$A$20,0),MATCH('hydrogen - electrolysis'!A4535,parameters!$D$3:$N$3,0))</f>
        <v>2.6666666666666665E-2</v>
      </c>
    </row>
    <row r="4536" spans="1:2" x14ac:dyDescent="0.2">
      <c r="A4536" t="s">
        <v>45</v>
      </c>
      <c r="B4536" s="46">
        <f>INDEX(parameters!$D$4:$N$20,MATCH('hydrogen - electrolysis'!B4521&amp;'hydrogen - electrolysis'!B4523,parameters!$A$4:$A$20,0),MATCH('hydrogen - electrolysis'!A4536,parameters!$D$3:$N$3,0))</f>
        <v>0</v>
      </c>
    </row>
    <row r="4537" spans="1:2" x14ac:dyDescent="0.2">
      <c r="A4537" t="s">
        <v>46</v>
      </c>
      <c r="B4537" s="46">
        <f>INDEX(parameters!$D$4:$N$20,MATCH('hydrogen - electrolysis'!B4521&amp;'hydrogen - electrolysis'!B4523,parameters!$A$4:$A$20,0),MATCH('hydrogen - electrolysis'!A4537,parameters!$D$3:$N$3,0))</f>
        <v>1.4999999999999999E-2</v>
      </c>
    </row>
    <row r="4538" spans="1:2" x14ac:dyDescent="0.2">
      <c r="A4538" t="s">
        <v>43</v>
      </c>
      <c r="B4538" s="46">
        <f>INDEX(parameters!$D$4:$N$20,MATCH('hydrogen - electrolysis'!B4521&amp;'hydrogen - electrolysis'!B4523,parameters!$A$4:$A$20,0),MATCH('hydrogen - electrolysis'!A4538,parameters!$D$3:$N$3,0))</f>
        <v>0</v>
      </c>
    </row>
    <row r="4539" spans="1:2" x14ac:dyDescent="0.2">
      <c r="A4539" t="s">
        <v>44</v>
      </c>
      <c r="B4539" s="46">
        <f>INDEX(parameters!$D$4:$N$20,MATCH('hydrogen - electrolysis'!B4521&amp;'hydrogen - electrolysis'!B4523,parameters!$A$4:$A$20,0),MATCH('hydrogen - electrolysis'!A4539,parameters!$D$3:$N$3,0))</f>
        <v>0</v>
      </c>
    </row>
    <row r="4540" spans="1:2" x14ac:dyDescent="0.2">
      <c r="A4540" t="s">
        <v>634</v>
      </c>
      <c r="B4540" s="51">
        <f>INDEX(parameters!$D$4:$Y$20,MATCH('hydrogen - electrolysis'!B4521&amp;'hydrogen - electrolysis'!B4523,parameters!$A$4:$A$20,0),MATCH('hydrogen - electrolysis'!A4540,parameters!$D$3:$Y$3,0))</f>
        <v>1.8947368421052633</v>
      </c>
    </row>
    <row r="4541" spans="1:2" x14ac:dyDescent="0.2">
      <c r="A4541" t="s">
        <v>82</v>
      </c>
      <c r="B4541" s="46">
        <f>IF(B4532&lt;&gt;0,VLOOKUP(B4532,parameters!A2972:B2974,2,0),0)</f>
        <v>0</v>
      </c>
    </row>
    <row r="4542" spans="1:2" x14ac:dyDescent="0.2">
      <c r="A4542" t="s">
        <v>548</v>
      </c>
      <c r="B4542" s="50">
        <f>INDEX(parameters!$D$4:$P$20,MATCH(B4521&amp;B4523,parameters!$A$4:$A$20,0),MATCH(A4542,parameters!$D$3:$P$3,0))</f>
        <v>0.8</v>
      </c>
    </row>
    <row r="4543" spans="1:2" x14ac:dyDescent="0.2">
      <c r="A4543" t="s">
        <v>547</v>
      </c>
      <c r="B4543" s="51">
        <f>INDEX(parameters!$D$4:$P$20,MATCH(B4521&amp;B4523,parameters!$A$4:$A$20,0),MATCH(A4543,parameters!$D$3:$P$3,0))</f>
        <v>4.8780487804878048</v>
      </c>
    </row>
    <row r="4544" spans="1:2" x14ac:dyDescent="0.2">
      <c r="A4544" t="s">
        <v>630</v>
      </c>
      <c r="B4544" s="51">
        <f>INDEX(parameters!$D$4:$T$20,MATCH(B4521&amp;B4523,parameters!$A$4:$A$20,0),MATCH(A4544,parameters!$D$3:$T$3,0))</f>
        <v>4100</v>
      </c>
    </row>
    <row r="4545" spans="1:22" x14ac:dyDescent="0.2">
      <c r="A4545" t="s">
        <v>1005</v>
      </c>
      <c r="B4545" s="50">
        <f>IF(B4517="megajoule",SUMIFS(allocation!$I$4:$I$30,allocation!$B$4:$B$30,B4523,allocation!$C$4:$C$30,B4524),SUMIFS(allocation!$J$4:$J$30,allocation!$B$4:$B$30,B4523,allocation!$C$4:$C$30,B4524))</f>
        <v>0.86066019201025545</v>
      </c>
    </row>
    <row r="4546" spans="1:22" x14ac:dyDescent="0.2">
      <c r="A4546" t="s">
        <v>1050</v>
      </c>
      <c r="B4546" s="51">
        <f>INDEX(parameters!$D$4:$AB$20,MATCH(B4521&amp;B4523,parameters!$A$4:$A$20,0),MATCH(A4546,parameters!$D$3:$AB$3,0))</f>
        <v>10.221606648199446</v>
      </c>
    </row>
    <row r="4548" spans="1:22" x14ac:dyDescent="0.2">
      <c r="A4548" s="3" t="s">
        <v>57</v>
      </c>
    </row>
    <row r="4549" spans="1:22" x14ac:dyDescent="0.2">
      <c r="A4549" s="2" t="s">
        <v>58</v>
      </c>
      <c r="B4549" s="44" t="s">
        <v>59</v>
      </c>
      <c r="C4549" s="2" t="s">
        <v>55</v>
      </c>
      <c r="D4549" s="2" t="s">
        <v>60</v>
      </c>
      <c r="E4549" s="2" t="s">
        <v>52</v>
      </c>
      <c r="F4549" s="2" t="s">
        <v>61</v>
      </c>
      <c r="G4549" s="2" t="s">
        <v>54</v>
      </c>
      <c r="H4549" s="2" t="s">
        <v>87</v>
      </c>
      <c r="I4549" s="2" t="s">
        <v>51</v>
      </c>
      <c r="J4549" s="2" t="s">
        <v>138</v>
      </c>
      <c r="K4549" s="2" t="s">
        <v>136</v>
      </c>
      <c r="L4549" s="2" t="s">
        <v>221</v>
      </c>
      <c r="M4549" s="2" t="s">
        <v>379</v>
      </c>
      <c r="N4549" s="2" t="s">
        <v>1059</v>
      </c>
      <c r="O4549" s="2" t="s">
        <v>1060</v>
      </c>
      <c r="P4549" s="2" t="s">
        <v>1061</v>
      </c>
      <c r="Q4549" s="2" t="s">
        <v>1062</v>
      </c>
      <c r="R4549" s="2" t="s">
        <v>1063</v>
      </c>
      <c r="S4549" s="2" t="s">
        <v>1064</v>
      </c>
      <c r="T4549" s="2" t="s">
        <v>1065</v>
      </c>
      <c r="U4549" s="2" t="s">
        <v>380</v>
      </c>
      <c r="V4549" s="2" t="s">
        <v>1128</v>
      </c>
    </row>
    <row r="4550" spans="1:22" x14ac:dyDescent="0.2">
      <c r="A4550" t="str">
        <f>B4511</f>
        <v>electricity, residential, by conversion of hydrogen using fuel cell, PEM, allocated by exergy, transported by train, produced by Electrolysis, Alkaline using water and electricity from Solar PV (IT)</v>
      </c>
      <c r="B4550" s="45">
        <v>1</v>
      </c>
      <c r="C4550" t="str">
        <f>B4517</f>
        <v>kilowatt hour</v>
      </c>
      <c r="E4550" t="str">
        <f>B4514</f>
        <v>CH</v>
      </c>
      <c r="F4550" t="s">
        <v>62</v>
      </c>
      <c r="G4550" t="str">
        <f>B4516</f>
        <v>electricity, from residential heating system</v>
      </c>
      <c r="K4550" t="str">
        <f>B4511</f>
        <v>electricity, residential, by conversion of hydrogen using fuel cell, PEM, allocated by exergy, transported by train, produced by Electrolysis, Alkaline using water and electricity from Solar PV (IT)</v>
      </c>
    </row>
    <row r="4551" spans="1:22" x14ac:dyDescent="0.2">
      <c r="A4551" t="str">
        <f>VLOOKUP(J4551,'dataset mapping'!$A$4:$E$69,2,0)</f>
        <v>fuel cell system assembly, 1 kWe, proton exchange membrane (PEM)</v>
      </c>
      <c r="B4551" s="52">
        <f>1/(80000)/0.5*SUMIFS(allocation!$I$4:$I$30,allocation!$B$4:$B$30,'hydrogen - electrolysis'!B4523,allocation!$C$4:$C$30,'hydrogen - electrolysis'!B4524)</f>
        <v>3.4834951997436147E-6</v>
      </c>
      <c r="C4551" t="str">
        <f>VLOOKUP(J4551,'dataset mapping'!$A$4:$E$69,5,0)</f>
        <v>unit</v>
      </c>
      <c r="E4551" t="str">
        <f>VLOOKUP(J4551,'dataset mapping'!$A$4:$E$69,4,0)</f>
        <v>GLO</v>
      </c>
      <c r="F4551" t="s">
        <v>86</v>
      </c>
      <c r="G4551" t="str">
        <f>VLOOKUP(J4551,'dataset mapping'!$A$4:$E$69,3,0)</f>
        <v>fuel cell system, 1 kWe, proton exchange membrane (PEM)</v>
      </c>
      <c r="H4551" t="s">
        <v>88</v>
      </c>
      <c r="I4551" t="s">
        <v>272</v>
      </c>
      <c r="J4551" t="s">
        <v>273</v>
      </c>
      <c r="K4551" t="str">
        <f>B4511</f>
        <v>electricity, residential, by conversion of hydrogen using fuel cell, PEM, allocated by exergy, transported by train, produced by Electrolysis, Alkaline using water and electricity from Solar PV (IT)</v>
      </c>
      <c r="L4551">
        <f t="shared" ref="L4551:L4555" si="148">IF(OR(B4551&lt;0,B4551=0),1,2)</f>
        <v>2</v>
      </c>
      <c r="M4551">
        <f t="shared" ref="M4551:M4555" si="149">IF(L4551=2,LN(B4551),"")</f>
        <v>-12.567474400475287</v>
      </c>
      <c r="N4551">
        <v>1</v>
      </c>
      <c r="O4551" s="15">
        <v>1.2</v>
      </c>
      <c r="P4551">
        <v>1</v>
      </c>
      <c r="Q4551">
        <v>1.01</v>
      </c>
      <c r="R4551">
        <v>1.2</v>
      </c>
      <c r="S4551">
        <v>1.2</v>
      </c>
      <c r="T4551">
        <v>3</v>
      </c>
      <c r="U4551">
        <f t="shared" ref="U4551:U4555" si="150">LN(SQRT(EXP(
SQRT(
+POWER(LN(N4551),2)
+POWER(LN(O4551),2)
+POWER(LN(P4551),2)
+POWER(LN(Q4551),2)
+POWER(LN(R4551),2)
+POWER(LN(S4551),2)
+POWER(LN(T4551),2)
)
)))</f>
        <v>0.57157051623399524</v>
      </c>
    </row>
    <row r="4552" spans="1:22" x14ac:dyDescent="0.2">
      <c r="A4552" s="45" t="str">
        <f>"hydrogen supply, transported by "&amp;B4525&amp;", produced by "&amp;B4529&amp;" using "&amp;B4530&amp;" from "&amp;B4531</f>
        <v>hydrogen supply, transported by train, produced by Electrolysis, Alkaline using water and electricity from Solar PV (IT)</v>
      </c>
      <c r="B4552" s="53">
        <f>(B4550/B4534)/B4533*B4545</f>
        <v>5.7377346134017029E-2</v>
      </c>
      <c r="C4552" t="s">
        <v>56</v>
      </c>
      <c r="E4552" t="s">
        <v>64</v>
      </c>
      <c r="F4552" t="s">
        <v>86</v>
      </c>
      <c r="G4552" t="str">
        <f>"hydrogen, gaseous, from "&amp;B4525</f>
        <v>hydrogen, gaseous, from train</v>
      </c>
      <c r="H4552" t="s">
        <v>76</v>
      </c>
      <c r="I4552" t="s">
        <v>1054</v>
      </c>
      <c r="J4552" t="s">
        <v>636</v>
      </c>
      <c r="K4552" t="str">
        <f>B4511</f>
        <v>electricity, residential, by conversion of hydrogen using fuel cell, PEM, allocated by exergy, transported by train, produced by Electrolysis, Alkaline using water and electricity from Solar PV (IT)</v>
      </c>
      <c r="L4552">
        <f t="shared" si="148"/>
        <v>2</v>
      </c>
      <c r="M4552">
        <f t="shared" si="149"/>
        <v>-2.8581057202127536</v>
      </c>
      <c r="N4552">
        <v>1</v>
      </c>
      <c r="O4552" s="15">
        <v>1.2</v>
      </c>
      <c r="P4552">
        <v>1</v>
      </c>
      <c r="Q4552">
        <v>1.01</v>
      </c>
      <c r="R4552">
        <v>1.2</v>
      </c>
      <c r="S4552">
        <v>1.2</v>
      </c>
      <c r="T4552">
        <v>1.05</v>
      </c>
      <c r="U4552">
        <f t="shared" si="150"/>
        <v>0.15984597228197622</v>
      </c>
    </row>
    <row r="4553" spans="1:22" x14ac:dyDescent="0.2">
      <c r="A4553" t="str">
        <f>VLOOKUP(J4553,'dataset mapping'!$A$4:$E$69,2,0)</f>
        <v>market for transport, freight train</v>
      </c>
      <c r="B4553" s="45">
        <f>SUM(B4552:B4552)/1000*B4526*SUMIFS(allocation!$I$4:$I$30,allocation!$B$4:$B$30,'hydrogen - electrolysis'!B4523,allocation!$C$4:$C$30,'hydrogen - electrolysis'!B4524)</f>
        <v>1.3591412268567579E-2</v>
      </c>
      <c r="C4553" t="str">
        <f>VLOOKUP(J4553,'dataset mapping'!$A$4:$E$69,5,0)</f>
        <v>ton kilometer</v>
      </c>
      <c r="E4553" t="str">
        <f>VLOOKUP(J4553,'dataset mapping'!$A$4:$E$69,4,0)</f>
        <v>CH</v>
      </c>
      <c r="F4553" t="s">
        <v>86</v>
      </c>
      <c r="G4553" t="str">
        <f>VLOOKUP(J4553,'dataset mapping'!$A$4:$E$69,3,0)</f>
        <v>transport, freight train</v>
      </c>
      <c r="H4553" t="s">
        <v>88</v>
      </c>
      <c r="I4553" t="s">
        <v>1052</v>
      </c>
      <c r="J4553" t="s">
        <v>295</v>
      </c>
      <c r="K4553" t="str">
        <f>B4511</f>
        <v>electricity, residential, by conversion of hydrogen using fuel cell, PEM, allocated by exergy, transported by train, produced by Electrolysis, Alkaline using water and electricity from Solar PV (IT)</v>
      </c>
      <c r="L4553">
        <f t="shared" si="148"/>
        <v>2</v>
      </c>
      <c r="M4553">
        <f t="shared" si="149"/>
        <v>-4.2983171365297981</v>
      </c>
      <c r="N4553">
        <v>1</v>
      </c>
      <c r="O4553" s="15">
        <v>1.2</v>
      </c>
      <c r="P4553">
        <v>1</v>
      </c>
      <c r="Q4553">
        <v>1.01</v>
      </c>
      <c r="R4553">
        <v>1.2</v>
      </c>
      <c r="S4553">
        <v>1.2</v>
      </c>
      <c r="T4553">
        <v>2</v>
      </c>
      <c r="U4553">
        <f t="shared" si="150"/>
        <v>0.38087907307228186</v>
      </c>
    </row>
    <row r="4554" spans="1:22" x14ac:dyDescent="0.2">
      <c r="A4554" t="str">
        <f>VLOOKUP(J4554,'dataset mapping'!$A$4:$E$69,2,0)</f>
        <v>high pressure hydrogen storage tank</v>
      </c>
      <c r="B4554" s="52">
        <f>((B4546/10)/(B4544*B4540*20))*IF(B4545&lt;&gt;0,B4545,1)</f>
        <v>5.6622381053306285E-6</v>
      </c>
      <c r="C4554" t="str">
        <f>VLOOKUP(J4554,'dataset mapping'!$A$4:$E$69,5,0)</f>
        <v>kilogram</v>
      </c>
      <c r="E4554" t="str">
        <f>VLOOKUP(J4554,'dataset mapping'!$A$4:$E$69,4,0)</f>
        <v>GLO</v>
      </c>
      <c r="F4554" t="s">
        <v>86</v>
      </c>
      <c r="G4554" t="str">
        <f>VLOOKUP(J4554,'dataset mapping'!$A$4:$E$69,3,0)</f>
        <v>high pressure hydrogen storage tank</v>
      </c>
      <c r="H4554" t="s">
        <v>88</v>
      </c>
      <c r="I4554" t="s">
        <v>280</v>
      </c>
      <c r="J4554" t="s">
        <v>229</v>
      </c>
      <c r="K4554" t="str">
        <f>B4511</f>
        <v>electricity, residential, by conversion of hydrogen using fuel cell, PEM, allocated by exergy, transported by train, produced by Electrolysis, Alkaline using water and electricity from Solar PV (IT)</v>
      </c>
      <c r="L4554">
        <f t="shared" si="148"/>
        <v>2</v>
      </c>
      <c r="M4554">
        <f t="shared" si="149"/>
        <v>-12.081691318938956</v>
      </c>
      <c r="N4554">
        <v>1</v>
      </c>
      <c r="O4554" s="15">
        <v>1.2</v>
      </c>
      <c r="P4554">
        <v>1</v>
      </c>
      <c r="Q4554">
        <v>1.01</v>
      </c>
      <c r="R4554">
        <v>1.2</v>
      </c>
      <c r="S4554">
        <v>1.2</v>
      </c>
      <c r="T4554">
        <v>3</v>
      </c>
      <c r="U4554">
        <f t="shared" si="150"/>
        <v>0.57157051623399524</v>
      </c>
    </row>
    <row r="4555" spans="1:22" x14ac:dyDescent="0.2">
      <c r="A4555" t="s">
        <v>134</v>
      </c>
      <c r="B4555" s="45">
        <f>B4552*9</f>
        <v>0.51639611520615325</v>
      </c>
      <c r="C4555" t="s">
        <v>56</v>
      </c>
      <c r="D4555" t="s">
        <v>100</v>
      </c>
      <c r="F4555" t="s">
        <v>99</v>
      </c>
      <c r="H4555" t="s">
        <v>131</v>
      </c>
      <c r="I4555" t="s">
        <v>1057</v>
      </c>
      <c r="K4555" t="str">
        <f>B4511</f>
        <v>electricity, residential, by conversion of hydrogen using fuel cell, PEM, allocated by exergy, transported by train, produced by Electrolysis, Alkaline using water and electricity from Solar PV (IT)</v>
      </c>
      <c r="L4555">
        <f t="shared" si="148"/>
        <v>2</v>
      </c>
      <c r="M4555">
        <f t="shared" si="149"/>
        <v>-0.6608811428765341</v>
      </c>
      <c r="N4555">
        <v>1</v>
      </c>
      <c r="O4555" s="15">
        <v>1.2</v>
      </c>
      <c r="P4555">
        <v>1</v>
      </c>
      <c r="Q4555">
        <v>1.01</v>
      </c>
      <c r="R4555">
        <v>1.2</v>
      </c>
      <c r="S4555">
        <v>1.2</v>
      </c>
      <c r="T4555">
        <v>1.05</v>
      </c>
      <c r="U4555">
        <f t="shared" si="150"/>
        <v>0.15984597228197622</v>
      </c>
    </row>
    <row r="4557" spans="1:22" x14ac:dyDescent="0.2">
      <c r="A4557" s="2" t="s">
        <v>50</v>
      </c>
      <c r="B4557" s="44" t="str">
        <f>IF(B4563="megajoule","heat","electricity")&amp;", residential, by "&amp;B4568&amp;" of "&amp;B4567&amp;" using "&amp;B4569&amp;IF(B4570&lt;&gt;0,", allocated by "&amp;B4570,"")&amp;", transported by "&amp;B4571&amp;", produced by "&amp;B4575&amp;" using "&amp;B4576&amp;" from "&amp;B4577</f>
        <v>electricity, residential, by conversion of hydrogen using fuel cell, SOFC, allocated by exergy, transported by train, produced by Electrolysis, Alkaline using water and electricity from Solar PV (IT)</v>
      </c>
    </row>
    <row r="4558" spans="1:22" x14ac:dyDescent="0.2">
      <c r="A4558" t="s">
        <v>51</v>
      </c>
      <c r="B4558" s="45" t="str">
        <f>"This dataset represents the supply of 1 "&amp;IF(B4563="megajoule","megajoule of heat","kilowatt hour of electricity")&amp;" in a residence, by "&amp;B4567&amp;" "&amp;B4568&amp;" in a "&amp;B4569&amp;". "&amp;" The hydrogen is transported by "&amp;B4571&amp;" over "&amp;B4572&amp;" km from regional storage. "&amp;" The "&amp;B4567&amp;" is produced by  "&amp;B4575&amp;", with "&amp;B4576&amp;" from "&amp;B4577&amp;" as feedstock. "&amp;A4579&amp;": "&amp;(B4579*100)&amp;"%. "&amp;A4580&amp;": "&amp;B4580&amp;". "&amp;A4581&amp;": "&amp;B4581&amp;". "&amp;A4582&amp;": "&amp;(B4582*100)&amp;"%. "&amp;A4583&amp;": "&amp;(B4583*100)&amp;"%. "&amp;A4584&amp;": "&amp;(B4584*100)&amp;"%. "&amp;A4585&amp;": "&amp;B4585&amp;". "&amp;A4586&amp;": "&amp;B4586&amp;". "&amp;A4587&amp;": "&amp;(B4587*100)&amp;"%. "&amp;A4588&amp;": "&amp;B4588&amp;". "&amp;A4589&amp;": "&amp;B4589&amp;". "&amp;A4590&amp;": "&amp;B4590&amp;". "&amp;A4591&amp;": "&amp;B4591&amp;".  For more information, refer to: "&amp;B4559</f>
        <v>This dataset represents the supply of 1 kilowatt hour of electricity in a residence, by hydrogen conversion in a fuel cell, SOFC.  The hydrogen is transported by train over 1700 km from regional storage.  The hydrogen is produced by  Electrolysis, Alkaline,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4559" spans="1:22" x14ac:dyDescent="0.2">
      <c r="A4559" t="s">
        <v>63</v>
      </c>
      <c r="B4559" s="45" t="s">
        <v>1223</v>
      </c>
    </row>
    <row r="4560" spans="1:22" x14ac:dyDescent="0.2">
      <c r="A4560" t="s">
        <v>52</v>
      </c>
      <c r="B4560" s="45" t="s">
        <v>64</v>
      </c>
    </row>
    <row r="4561" spans="1:2" x14ac:dyDescent="0.2">
      <c r="A4561" t="s">
        <v>48</v>
      </c>
      <c r="B4561" s="45" t="s">
        <v>906</v>
      </c>
    </row>
    <row r="4562" spans="1:2" x14ac:dyDescent="0.2">
      <c r="A4562" t="s">
        <v>54</v>
      </c>
      <c r="B4562" s="45" t="str">
        <f>INDEX(overview!$B$4:$R$338,MATCH('hydrogen - electrolysis'!B4561,overview!$A$4:$A$338,0),MATCH('hydrogen - electrolysis'!A4562,overview!$B$3:$R$3,0))</f>
        <v>electricity, from residential heating system</v>
      </c>
    </row>
    <row r="4563" spans="1:2" x14ac:dyDescent="0.2">
      <c r="A4563" t="s">
        <v>55</v>
      </c>
      <c r="B4563" s="45" t="str">
        <f>INDEX(overview!$B$4:$R$338,MATCH('hydrogen - electrolysis'!B4561,overview!$A$4:$A$338,0),MATCH('hydrogen - electrolysis'!A4563,overview!$B$3:$R$3,0))</f>
        <v>kilowatt hour</v>
      </c>
    </row>
    <row r="4564" spans="1:2" x14ac:dyDescent="0.2">
      <c r="A4564" t="s">
        <v>0</v>
      </c>
      <c r="B4564" s="45" t="str">
        <f>INDEX(overview!$B$4:$R$338,MATCH('hydrogen - electrolysis'!B4561,overview!$A$4:$A$338,0),MATCH('hydrogen - electrolysis'!A4564,overview!$B$3:$R$3,0))</f>
        <v>Switzerland</v>
      </c>
    </row>
    <row r="4565" spans="1:2" x14ac:dyDescent="0.2">
      <c r="A4565" t="s">
        <v>1</v>
      </c>
      <c r="B4565" s="45">
        <f>INDEX(overview!$B$4:$R$338,MATCH('hydrogen - electrolysis'!B4561,overview!$A$4:$A$338,0),MATCH('hydrogen - electrolysis'!A4565,overview!$B$3:$R$3,0))</f>
        <v>2020</v>
      </c>
    </row>
    <row r="4566" spans="1:2" x14ac:dyDescent="0.2">
      <c r="A4566" t="s">
        <v>2</v>
      </c>
      <c r="B4566" s="45" t="str">
        <f>INDEX(overview!$B$4:$R$338,MATCH('hydrogen - electrolysis'!B4561,overview!$A$4:$A$338,0),MATCH('hydrogen - electrolysis'!A4566,overview!$B$3:$R$3,0))</f>
        <v>1 kWh electricity</v>
      </c>
    </row>
    <row r="4567" spans="1:2" x14ac:dyDescent="0.2">
      <c r="A4567" t="s">
        <v>5</v>
      </c>
      <c r="B4567" s="45" t="str">
        <f>INDEX(overview!$B$4:$R$338,MATCH('hydrogen - electrolysis'!B4561,overview!$A$4:$A$338,0),MATCH('hydrogen - electrolysis'!A4567,overview!$B$3:$R$3,0))</f>
        <v>hydrogen</v>
      </c>
    </row>
    <row r="4568" spans="1:2" x14ac:dyDescent="0.2">
      <c r="A4568" t="s">
        <v>3</v>
      </c>
      <c r="B4568" s="45" t="str">
        <f>INDEX(overview!$B$4:$R$338,MATCH('hydrogen - electrolysis'!B4561,overview!$A$4:$A$338,0),MATCH('hydrogen - electrolysis'!A4568,overview!$B$3:$R$3,0))</f>
        <v>conversion</v>
      </c>
    </row>
    <row r="4569" spans="1:2" x14ac:dyDescent="0.2">
      <c r="A4569" t="s">
        <v>6</v>
      </c>
      <c r="B4569" s="45" t="str">
        <f>INDEX(overview!$B$4:$R$338,MATCH('hydrogen - electrolysis'!B4561,overview!$A$4:$A$338,0),MATCH('hydrogen - electrolysis'!A4569,overview!$B$3:$R$3,0))</f>
        <v>fuel cell, SOFC</v>
      </c>
    </row>
    <row r="4570" spans="1:2" x14ac:dyDescent="0.2">
      <c r="A4570" t="s">
        <v>39</v>
      </c>
      <c r="B4570" s="45" t="str">
        <f>INDEX(overview!$B$4:$R$338,MATCH('hydrogen - electrolysis'!B4561,overview!$A$4:$A$338,0),MATCH('hydrogen - electrolysis'!A4570,overview!$B$3:$R$3,0))</f>
        <v>exergy</v>
      </c>
    </row>
    <row r="4571" spans="1:2" x14ac:dyDescent="0.2">
      <c r="A4571" t="s">
        <v>4</v>
      </c>
      <c r="B4571" s="45" t="str">
        <f>INDEX(overview!$B$4:$R$338,MATCH('hydrogen - electrolysis'!B4561,overview!$A$4:$A$338,0),MATCH('hydrogen - electrolysis'!A4571,overview!$B$3:$R$3,0))</f>
        <v>train</v>
      </c>
    </row>
    <row r="4572" spans="1:2" x14ac:dyDescent="0.2">
      <c r="A4572" t="s">
        <v>38</v>
      </c>
      <c r="B4572" s="45">
        <f>INDEX(overview!$B$4:$R$338,MATCH('hydrogen - electrolysis'!B4561,overview!$A$4:$A$338,0),MATCH('hydrogen - electrolysis'!A4572,overview!$B$3:$R$3,0))</f>
        <v>1700</v>
      </c>
    </row>
    <row r="4573" spans="1:2" x14ac:dyDescent="0.2">
      <c r="A4573" t="s">
        <v>12</v>
      </c>
      <c r="B4573" s="45" t="str">
        <f>INDEX(overview!$B$4:$R$338,MATCH('hydrogen - electrolysis'!B4561,overview!$A$4:$A$338,0),MATCH('hydrogen - electrolysis'!A4573,overview!$B$3:$R$3,0))</f>
        <v>Pressure vessel for stationary storage</v>
      </c>
    </row>
    <row r="4574" spans="1:2" x14ac:dyDescent="0.2">
      <c r="A4574" t="s">
        <v>34</v>
      </c>
      <c r="B4574" s="45">
        <f>INDEX(overview!$B$4:$R$338,MATCH('hydrogen - electrolysis'!B4561,overview!$A$4:$A$338,0),MATCH('hydrogen - electrolysis'!A4574,overview!$B$3:$R$3,0))</f>
        <v>0</v>
      </c>
    </row>
    <row r="4575" spans="1:2" x14ac:dyDescent="0.2">
      <c r="A4575" t="s">
        <v>15</v>
      </c>
      <c r="B4575" s="45" t="str">
        <f>INDEX(overview!$B$4:$R$338,MATCH('hydrogen - electrolysis'!B4561,overview!$A$4:$A$338,0),MATCH('hydrogen - electrolysis'!A4575,overview!$B$3:$R$3,0))</f>
        <v>Electrolysis, Alkaline</v>
      </c>
    </row>
    <row r="4576" spans="1:2" x14ac:dyDescent="0.2">
      <c r="A4576" t="s">
        <v>14</v>
      </c>
      <c r="B4576" s="45" t="str">
        <f>INDEX(overview!$B$4:$R$338,MATCH('hydrogen - electrolysis'!B4561,overview!$A$4:$A$338,0),MATCH('hydrogen - electrolysis'!A4576,overview!$B$3:$R$3,0))</f>
        <v>water and electricity</v>
      </c>
    </row>
    <row r="4577" spans="1:4" x14ac:dyDescent="0.2">
      <c r="A4577" t="s">
        <v>26</v>
      </c>
      <c r="B4577" s="45" t="str">
        <f>INDEX(overview!$B$4:$R$338,MATCH('hydrogen - electrolysis'!B4561,overview!$A$4:$A$338,0),MATCH('hydrogen - electrolysis'!A4577,overview!$B$3:$R$3,0))</f>
        <v>Solar PV (IT)</v>
      </c>
    </row>
    <row r="4578" spans="1:4" x14ac:dyDescent="0.2">
      <c r="A4578" t="s">
        <v>29</v>
      </c>
      <c r="B4578" s="45">
        <f>INDEX(overview!$B$4:$R$338,MATCH('hydrogen - electrolysis'!B4561,overview!$A$4:$A$338,0),MATCH('hydrogen - electrolysis'!A4578,overview!$B$3:$R$3,0))</f>
        <v>0</v>
      </c>
    </row>
    <row r="4579" spans="1:4" x14ac:dyDescent="0.2">
      <c r="A4579" t="str">
        <f>IF(B4563="megajoule","Heat","Electricity")&amp;" conversion efficiency [% LHV input]"</f>
        <v>Electricity conversion efficiency [% LHV input]</v>
      </c>
      <c r="B4579" s="46">
        <f>INDEX(parameters!$D$4:$N$20,MATCH('hydrogen - electrolysis'!B4567&amp;'hydrogen - electrolysis'!B4569,parameters!$A$4:$A$20,0),MATCH('hydrogen - electrolysis'!A4579,parameters!$D$3:$N$3,0))</f>
        <v>0.47</v>
      </c>
    </row>
    <row r="4580" spans="1:4" x14ac:dyDescent="0.2">
      <c r="A4580" t="str">
        <f>IF(B4563="megajoule","LHV [MJ/kg]","LHV [kWh/kg]")</f>
        <v>LHV [kWh/kg]</v>
      </c>
      <c r="B4580" s="47">
        <f>INDEX(parameters!$D$4:$N$20,MATCH('hydrogen - electrolysis'!B4567&amp;'hydrogen - electrolysis'!B4569,parameters!$A$4:$A$20,0),MATCH('hydrogen - electrolysis'!A4580,parameters!$D$3:$N$3,0))</f>
        <v>33.333333333333336</v>
      </c>
    </row>
    <row r="4581" spans="1:4" x14ac:dyDescent="0.2">
      <c r="A4581" t="s">
        <v>41</v>
      </c>
      <c r="B4581" s="48">
        <f>INDEX(parameters!$D$4:$N$20,MATCH('hydrogen - electrolysis'!B4567&amp;'hydrogen - electrolysis'!B4569,parameters!$A$4:$A$20,0),MATCH('hydrogen - electrolysis'!A4581,parameters!$D$3:$N$3,0))</f>
        <v>2.6666666666666665E-2</v>
      </c>
    </row>
    <row r="4582" spans="1:4" x14ac:dyDescent="0.2">
      <c r="A4582" t="s">
        <v>45</v>
      </c>
      <c r="B4582" s="46">
        <f>INDEX(parameters!$D$4:$N$20,MATCH('hydrogen - electrolysis'!B4567&amp;'hydrogen - electrolysis'!B4569,parameters!$A$4:$A$20,0),MATCH('hydrogen - electrolysis'!A4582,parameters!$D$3:$N$3,0))</f>
        <v>0</v>
      </c>
    </row>
    <row r="4583" spans="1:4" x14ac:dyDescent="0.2">
      <c r="A4583" t="s">
        <v>46</v>
      </c>
      <c r="B4583" s="46">
        <f>INDEX(parameters!$D$4:$N$20,MATCH('hydrogen - electrolysis'!B4567&amp;'hydrogen - electrolysis'!B4569,parameters!$A$4:$A$20,0),MATCH('hydrogen - electrolysis'!A4583,parameters!$D$3:$N$3,0))</f>
        <v>1.4999999999999999E-2</v>
      </c>
    </row>
    <row r="4584" spans="1:4" x14ac:dyDescent="0.2">
      <c r="A4584" t="s">
        <v>43</v>
      </c>
      <c r="B4584" s="46">
        <f>INDEX(parameters!$D$4:$N$20,MATCH('hydrogen - electrolysis'!B4567&amp;'hydrogen - electrolysis'!B4569,parameters!$A$4:$A$20,0),MATCH('hydrogen - electrolysis'!A4584,parameters!$D$3:$N$3,0))</f>
        <v>0</v>
      </c>
    </row>
    <row r="4585" spans="1:4" x14ac:dyDescent="0.2">
      <c r="A4585" t="s">
        <v>44</v>
      </c>
      <c r="B4585" s="46">
        <f>INDEX(parameters!$D$4:$N$20,MATCH('hydrogen - electrolysis'!B4567&amp;'hydrogen - electrolysis'!B4569,parameters!$A$4:$A$20,0),MATCH('hydrogen - electrolysis'!A4585,parameters!$D$3:$N$3,0))</f>
        <v>0</v>
      </c>
    </row>
    <row r="4586" spans="1:4" x14ac:dyDescent="0.2">
      <c r="A4586" t="s">
        <v>634</v>
      </c>
      <c r="B4586" s="51">
        <f>INDEX(parameters!$D$4:$Y$20,MATCH('hydrogen - electrolysis'!B4567&amp;'hydrogen - electrolysis'!B4569,parameters!$A$4:$A$20,0),MATCH('hydrogen - electrolysis'!A4586,parameters!$D$3:$Y$3,0))</f>
        <v>225</v>
      </c>
      <c r="D4586" s="8"/>
    </row>
    <row r="4587" spans="1:4" x14ac:dyDescent="0.2">
      <c r="A4587" t="s">
        <v>82</v>
      </c>
      <c r="B4587" s="46">
        <f>IF(B4578&lt;&gt;0,VLOOKUP(B4578,parameters!A3020:B3022,2,0),0)</f>
        <v>0</v>
      </c>
    </row>
    <row r="4588" spans="1:4" x14ac:dyDescent="0.2">
      <c r="A4588" t="s">
        <v>548</v>
      </c>
      <c r="B4588" s="50">
        <f>INDEX(parameters!$D$4:$P$20,MATCH(B4567&amp;B4569,parameters!$A$4:$A$20,0),MATCH(A4588,parameters!$D$3:$P$3,0))</f>
        <v>100</v>
      </c>
    </row>
    <row r="4589" spans="1:4" x14ac:dyDescent="0.2">
      <c r="A4589" t="s">
        <v>547</v>
      </c>
      <c r="B4589" s="51">
        <f>INDEX(parameters!$D$4:$P$20,MATCH(B4567&amp;B4569,parameters!$A$4:$A$20,0),MATCH(A4589,parameters!$D$3:$P$3,0))</f>
        <v>6</v>
      </c>
    </row>
    <row r="4590" spans="1:4" x14ac:dyDescent="0.2">
      <c r="A4590" t="s">
        <v>630</v>
      </c>
      <c r="B4590" s="51">
        <f>INDEX(parameters!$D$4:$T$20,MATCH(B4567&amp;B4569,parameters!$A$4:$A$20,0),MATCH(A4590,parameters!$D$3:$T$3,0))</f>
        <v>4100</v>
      </c>
    </row>
    <row r="4591" spans="1:4" x14ac:dyDescent="0.2">
      <c r="A4591" t="s">
        <v>1005</v>
      </c>
      <c r="B4591" s="50">
        <f>IF(B4563="megajoule",SUMIFS(allocation!$I$4:$I$30,allocation!$B$4:$B$30,B4569,allocation!$C$4:$C$30,B4570),SUMIFS(allocation!$J$4:$J$30,allocation!$B$4:$B$30,B4569,allocation!$C$4:$C$30,B4570))</f>
        <v>0.86412493489600906</v>
      </c>
    </row>
    <row r="4592" spans="1:4" x14ac:dyDescent="0.2">
      <c r="A4592" t="s">
        <v>1050</v>
      </c>
      <c r="B4592" s="51">
        <f>INDEX(parameters!$D$4:$AB$20,MATCH(B4567&amp;B4569,parameters!$A$4:$A$20,0),MATCH(A4592,parameters!$D$3:$AB$3,0))</f>
        <v>1153.1249999999998</v>
      </c>
    </row>
    <row r="4594" spans="1:22" x14ac:dyDescent="0.2">
      <c r="A4594" s="3" t="s">
        <v>57</v>
      </c>
    </row>
    <row r="4595" spans="1:22" x14ac:dyDescent="0.2">
      <c r="A4595" s="2" t="s">
        <v>58</v>
      </c>
      <c r="B4595" s="44" t="s">
        <v>59</v>
      </c>
      <c r="C4595" s="2" t="s">
        <v>55</v>
      </c>
      <c r="D4595" s="2" t="s">
        <v>60</v>
      </c>
      <c r="E4595" s="2" t="s">
        <v>52</v>
      </c>
      <c r="F4595" s="2" t="s">
        <v>61</v>
      </c>
      <c r="G4595" s="2" t="s">
        <v>54</v>
      </c>
      <c r="H4595" s="2" t="s">
        <v>87</v>
      </c>
      <c r="I4595" s="2" t="s">
        <v>51</v>
      </c>
      <c r="J4595" s="2" t="s">
        <v>138</v>
      </c>
      <c r="K4595" s="2" t="s">
        <v>136</v>
      </c>
      <c r="L4595" s="2" t="s">
        <v>221</v>
      </c>
      <c r="M4595" s="2" t="s">
        <v>379</v>
      </c>
      <c r="N4595" s="2" t="s">
        <v>1059</v>
      </c>
      <c r="O4595" s="2" t="s">
        <v>1060</v>
      </c>
      <c r="P4595" s="2" t="s">
        <v>1061</v>
      </c>
      <c r="Q4595" s="2" t="s">
        <v>1062</v>
      </c>
      <c r="R4595" s="2" t="s">
        <v>1063</v>
      </c>
      <c r="S4595" s="2" t="s">
        <v>1064</v>
      </c>
      <c r="T4595" s="2" t="s">
        <v>1065</v>
      </c>
      <c r="U4595" s="2" t="s">
        <v>380</v>
      </c>
      <c r="V4595" s="2" t="s">
        <v>1128</v>
      </c>
    </row>
    <row r="4596" spans="1:22" x14ac:dyDescent="0.2">
      <c r="A4596" t="str">
        <f>B4557</f>
        <v>electricity, residential, by conversion of hydrogen using fuel cell, SOFC, allocated by exergy, transported by train, produced by Electrolysis, Alkaline using water and electricity from Solar PV (IT)</v>
      </c>
      <c r="B4596" s="45">
        <v>1</v>
      </c>
      <c r="C4596" t="str">
        <f>B4563</f>
        <v>kilowatt hour</v>
      </c>
      <c r="E4596" t="str">
        <f>B4560</f>
        <v>CH</v>
      </c>
      <c r="F4596" t="s">
        <v>62</v>
      </c>
      <c r="G4596" t="str">
        <f>B4562</f>
        <v>electricity, from residential heating system</v>
      </c>
      <c r="K4596" t="str">
        <f>B4557</f>
        <v>electricity, residential, by conversion of hydrogen using fuel cell, SOFC, allocated by exergy, transported by train, produced by Electrolysis, Alkaline using water and electricity from Solar PV (IT)</v>
      </c>
    </row>
    <row r="4597" spans="1:22" x14ac:dyDescent="0.2">
      <c r="A4597" t="str">
        <f>VLOOKUP(J4597,'dataset mapping'!$A$4:$E$69,2,0)</f>
        <v>fuel cell production, stack solid oxide, 125kW electrical, future</v>
      </c>
      <c r="B4597" s="52">
        <f>(1/(B4586*B4590*B4589))*B4591</f>
        <v>1.5612013277254003E-7</v>
      </c>
      <c r="C4597" t="str">
        <f>VLOOKUP(J4597,'dataset mapping'!$A$4:$E$69,5,0)</f>
        <v>unit</v>
      </c>
      <c r="E4597" t="str">
        <f>VLOOKUP(J4597,'dataset mapping'!$A$4:$E$69,4,0)</f>
        <v>CH</v>
      </c>
      <c r="F4597" t="s">
        <v>86</v>
      </c>
      <c r="G4597" t="str">
        <f>VLOOKUP(J4597,'dataset mapping'!$A$4:$E$69,3,0)</f>
        <v>fuel cell, stack solid oxide, 125kW electrical, future</v>
      </c>
      <c r="H4597" t="s">
        <v>88</v>
      </c>
      <c r="I4597" t="s">
        <v>277</v>
      </c>
      <c r="J4597" t="s">
        <v>274</v>
      </c>
      <c r="K4597" t="str">
        <f>B4557</f>
        <v>electricity, residential, by conversion of hydrogen using fuel cell, SOFC, allocated by exergy, transported by train, produced by Electrolysis, Alkaline using water and electricity from Solar PV (IT)</v>
      </c>
      <c r="L4597">
        <f t="shared" ref="L4597:L4603" si="151">IF(OR(B4597&lt;0,B4597=0),1,2)</f>
        <v>2</v>
      </c>
      <c r="M4597">
        <f t="shared" ref="M4597:M4603" si="152">IF(L4597=2,LN(B4597),"")</f>
        <v>-15.672640044182527</v>
      </c>
      <c r="N4597">
        <v>1</v>
      </c>
      <c r="O4597" s="15">
        <v>1.2</v>
      </c>
      <c r="P4597">
        <v>1</v>
      </c>
      <c r="Q4597">
        <v>1.01</v>
      </c>
      <c r="R4597">
        <v>1.2</v>
      </c>
      <c r="S4597">
        <v>1.2</v>
      </c>
      <c r="T4597">
        <v>3</v>
      </c>
      <c r="U4597">
        <f t="shared" ref="U4597:U4603" si="153">LN(SQRT(EXP(
SQRT(
+POWER(LN(N4597),2)
+POWER(LN(O4597),2)
+POWER(LN(P4597),2)
+POWER(LN(Q4597),2)
+POWER(LN(R4597),2)
+POWER(LN(S4597),2)
+POWER(LN(T4597),2)
)
)))</f>
        <v>0.57157051623399524</v>
      </c>
    </row>
    <row r="4598" spans="1:22" x14ac:dyDescent="0.2">
      <c r="A4598" t="s">
        <v>283</v>
      </c>
      <c r="B4598" s="52">
        <f>(1/(B4586*B4590*B4589))*B4591</f>
        <v>1.5612013277254003E-7</v>
      </c>
      <c r="C4598" t="s">
        <v>55</v>
      </c>
      <c r="E4598" t="s">
        <v>64</v>
      </c>
      <c r="F4598" t="s">
        <v>86</v>
      </c>
      <c r="G4598" t="s">
        <v>284</v>
      </c>
      <c r="H4598" t="s">
        <v>88</v>
      </c>
      <c r="I4598" t="s">
        <v>277</v>
      </c>
      <c r="K4598" t="str">
        <f>B4557</f>
        <v>electricity, residential, by conversion of hydrogen using fuel cell, SOFC, allocated by exergy, transported by train, produced by Electrolysis, Alkaline using water and electricity from Solar PV (IT)</v>
      </c>
      <c r="L4598">
        <f t="shared" si="151"/>
        <v>2</v>
      </c>
      <c r="M4598">
        <f t="shared" si="152"/>
        <v>-15.672640044182527</v>
      </c>
      <c r="N4598">
        <v>1</v>
      </c>
      <c r="O4598" s="15">
        <v>1.2</v>
      </c>
      <c r="P4598">
        <v>1</v>
      </c>
      <c r="Q4598">
        <v>1.01</v>
      </c>
      <c r="R4598">
        <v>1.2</v>
      </c>
      <c r="S4598">
        <v>1.2</v>
      </c>
      <c r="T4598">
        <v>3</v>
      </c>
      <c r="U4598">
        <f t="shared" si="153"/>
        <v>0.57157051623399524</v>
      </c>
    </row>
    <row r="4599" spans="1:22" x14ac:dyDescent="0.2">
      <c r="A4599" t="s">
        <v>288</v>
      </c>
      <c r="B4599" s="52">
        <f>0.000024*B4591</f>
        <v>2.0738998437504217E-5</v>
      </c>
      <c r="C4599" t="s">
        <v>56</v>
      </c>
      <c r="E4599" t="s">
        <v>64</v>
      </c>
      <c r="F4599" t="s">
        <v>86</v>
      </c>
      <c r="G4599" t="s">
        <v>287</v>
      </c>
      <c r="H4599" t="s">
        <v>88</v>
      </c>
      <c r="K4599" t="str">
        <f>B4557</f>
        <v>electricity, residential, by conversion of hydrogen using fuel cell, SOFC, allocated by exergy, transported by train, produced by Electrolysis, Alkaline using water and electricity from Solar PV (IT)</v>
      </c>
      <c r="L4599">
        <f t="shared" si="151"/>
        <v>2</v>
      </c>
      <c r="M4599">
        <f t="shared" si="152"/>
        <v>-10.783494647673981</v>
      </c>
      <c r="N4599">
        <v>1</v>
      </c>
      <c r="O4599" s="15">
        <v>1.2</v>
      </c>
      <c r="P4599">
        <v>1</v>
      </c>
      <c r="Q4599">
        <v>1.01</v>
      </c>
      <c r="R4599">
        <v>1.2</v>
      </c>
      <c r="S4599">
        <v>1.2</v>
      </c>
      <c r="T4599">
        <v>1.05</v>
      </c>
      <c r="U4599">
        <f t="shared" si="153"/>
        <v>0.15984597228197622</v>
      </c>
    </row>
    <row r="4600" spans="1:22" x14ac:dyDescent="0.2">
      <c r="A4600" s="45" t="str">
        <f>"hydrogen supply, transported by "&amp;B4571&amp;", produced by "&amp;B4575&amp;" using "&amp;B4576&amp;" from "&amp;B4577</f>
        <v>hydrogen supply, transported by train, produced by Electrolysis, Alkaline using water and electricity from Solar PV (IT)</v>
      </c>
      <c r="B4600" s="53">
        <f>(B4596/B4580)/B4579*B4591</f>
        <v>5.515691073804313E-2</v>
      </c>
      <c r="C4600" t="s">
        <v>56</v>
      </c>
      <c r="E4600" t="s">
        <v>64</v>
      </c>
      <c r="F4600" t="s">
        <v>86</v>
      </c>
      <c r="G4600" t="str">
        <f>"hydrogen, gaseous, from "&amp;B4571</f>
        <v>hydrogen, gaseous, from train</v>
      </c>
      <c r="H4600" t="s">
        <v>76</v>
      </c>
      <c r="I4600" t="s">
        <v>1054</v>
      </c>
      <c r="J4600" t="s">
        <v>636</v>
      </c>
      <c r="K4600" t="str">
        <f>B4557</f>
        <v>electricity, residential, by conversion of hydrogen using fuel cell, SOFC, allocated by exergy, transported by train, produced by Electrolysis, Alkaline using water and electricity from Solar PV (IT)</v>
      </c>
      <c r="L4600">
        <f t="shared" si="151"/>
        <v>2</v>
      </c>
      <c r="M4600">
        <f t="shared" si="152"/>
        <v>-2.8975732330996009</v>
      </c>
      <c r="N4600">
        <v>1</v>
      </c>
      <c r="O4600" s="15">
        <v>1.2</v>
      </c>
      <c r="P4600">
        <v>1</v>
      </c>
      <c r="Q4600">
        <v>1.01</v>
      </c>
      <c r="R4600">
        <v>1.2</v>
      </c>
      <c r="S4600">
        <v>1.2</v>
      </c>
      <c r="T4600">
        <v>1.05</v>
      </c>
      <c r="U4600">
        <f t="shared" si="153"/>
        <v>0.15984597228197622</v>
      </c>
    </row>
    <row r="4601" spans="1:22" x14ac:dyDescent="0.2">
      <c r="A4601" t="str">
        <f>VLOOKUP(J4601,'dataset mapping'!$A$4:$E$69,2,0)</f>
        <v>market for transport, freight train</v>
      </c>
      <c r="B4601" s="45">
        <f>SUM(B4600:B4600)/1000*B4572</f>
        <v>9.3766748254673321E-2</v>
      </c>
      <c r="C4601" t="str">
        <f>VLOOKUP(J4601,'dataset mapping'!$A$4:$E$69,5,0)</f>
        <v>ton kilometer</v>
      </c>
      <c r="E4601" t="str">
        <f>VLOOKUP(J4601,'dataset mapping'!$A$4:$E$69,4,0)</f>
        <v>CH</v>
      </c>
      <c r="F4601" t="s">
        <v>86</v>
      </c>
      <c r="G4601" t="str">
        <f>VLOOKUP(J4601,'dataset mapping'!$A$4:$E$69,3,0)</f>
        <v>transport, freight train</v>
      </c>
      <c r="H4601" t="s">
        <v>88</v>
      </c>
      <c r="I4601" t="s">
        <v>1052</v>
      </c>
      <c r="J4601" t="s">
        <v>295</v>
      </c>
      <c r="K4601" t="str">
        <f>B4557</f>
        <v>electricity, residential, by conversion of hydrogen using fuel cell, SOFC, allocated by exergy, transported by train, produced by Electrolysis, Alkaline using water and electricity from Solar PV (IT)</v>
      </c>
      <c r="L4601">
        <f t="shared" si="151"/>
        <v>2</v>
      </c>
      <c r="M4601">
        <f t="shared" si="152"/>
        <v>-2.3669449820374306</v>
      </c>
      <c r="N4601">
        <v>1</v>
      </c>
      <c r="O4601" s="15">
        <v>1.2</v>
      </c>
      <c r="P4601">
        <v>1</v>
      </c>
      <c r="Q4601">
        <v>1.01</v>
      </c>
      <c r="R4601">
        <v>1.2</v>
      </c>
      <c r="S4601">
        <v>1.2</v>
      </c>
      <c r="T4601">
        <v>2</v>
      </c>
      <c r="U4601">
        <f t="shared" si="153"/>
        <v>0.38087907307228186</v>
      </c>
    </row>
    <row r="4602" spans="1:22" x14ac:dyDescent="0.2">
      <c r="A4602" t="str">
        <f>VLOOKUP(J4602,'dataset mapping'!$A$4:$E$69,2,0)</f>
        <v>high pressure hydrogen storage tank</v>
      </c>
      <c r="B4602" s="52">
        <f>((B4592/10)/(B4590*B4586*20))*IF(B4591&lt;&gt;0,B4591,1)</f>
        <v>5.400780843100055E-6</v>
      </c>
      <c r="C4602" t="str">
        <f>VLOOKUP(J4602,'dataset mapping'!$A$4:$E$69,5,0)</f>
        <v>kilogram</v>
      </c>
      <c r="E4602" t="str">
        <f>VLOOKUP(J4602,'dataset mapping'!$A$4:$E$69,4,0)</f>
        <v>GLO</v>
      </c>
      <c r="F4602" t="s">
        <v>86</v>
      </c>
      <c r="G4602" t="str">
        <f>VLOOKUP(J4602,'dataset mapping'!$A$4:$E$69,3,0)</f>
        <v>high pressure hydrogen storage tank</v>
      </c>
      <c r="H4602" t="s">
        <v>88</v>
      </c>
      <c r="I4602" t="s">
        <v>230</v>
      </c>
      <c r="J4602" t="s">
        <v>229</v>
      </c>
      <c r="K4602" t="str">
        <f>B4557</f>
        <v>electricity, residential, by conversion of hydrogen using fuel cell, SOFC, allocated by exergy, transported by train, produced by Electrolysis, Alkaline using water and electricity from Solar PV (IT)</v>
      </c>
      <c r="L4602">
        <f t="shared" si="151"/>
        <v>2</v>
      </c>
      <c r="M4602">
        <f t="shared" si="152"/>
        <v>-12.128967014273616</v>
      </c>
      <c r="N4602">
        <v>1</v>
      </c>
      <c r="O4602" s="15">
        <v>1.2</v>
      </c>
      <c r="P4602">
        <v>1</v>
      </c>
      <c r="Q4602">
        <v>1.01</v>
      </c>
      <c r="R4602">
        <v>1.2</v>
      </c>
      <c r="S4602">
        <v>1.2</v>
      </c>
      <c r="T4602">
        <v>3</v>
      </c>
      <c r="U4602">
        <f t="shared" si="153"/>
        <v>0.57157051623399524</v>
      </c>
    </row>
    <row r="4603" spans="1:22" x14ac:dyDescent="0.2">
      <c r="A4603" t="s">
        <v>134</v>
      </c>
      <c r="B4603" s="45">
        <f>B4600*9</f>
        <v>0.49641219664238817</v>
      </c>
      <c r="C4603" t="s">
        <v>56</v>
      </c>
      <c r="D4603" t="s">
        <v>100</v>
      </c>
      <c r="F4603" t="s">
        <v>99</v>
      </c>
      <c r="H4603" t="s">
        <v>131</v>
      </c>
      <c r="I4603" t="s">
        <v>1057</v>
      </c>
      <c r="K4603" t="str">
        <f>B4557</f>
        <v>electricity, residential, by conversion of hydrogen using fuel cell, SOFC, allocated by exergy, transported by train, produced by Electrolysis, Alkaline using water and electricity from Solar PV (IT)</v>
      </c>
      <c r="L4603">
        <f t="shared" si="151"/>
        <v>2</v>
      </c>
      <c r="M4603">
        <f t="shared" si="152"/>
        <v>-0.70034865576338168</v>
      </c>
      <c r="N4603">
        <v>1</v>
      </c>
      <c r="O4603" s="15">
        <v>1.2</v>
      </c>
      <c r="P4603">
        <v>1</v>
      </c>
      <c r="Q4603">
        <v>1.01</v>
      </c>
      <c r="R4603">
        <v>1.2</v>
      </c>
      <c r="S4603">
        <v>1.2</v>
      </c>
      <c r="T4603">
        <v>1.05</v>
      </c>
      <c r="U4603">
        <f t="shared" si="153"/>
        <v>0.15984597228197622</v>
      </c>
    </row>
    <row r="4605" spans="1:22" x14ac:dyDescent="0.2">
      <c r="A4605" s="2" t="s">
        <v>50</v>
      </c>
      <c r="B4605" s="44" t="str">
        <f>IF(B4611="megajoule","heat","electricity")&amp;", residential, by "&amp;B4616&amp;" of "&amp;B4615&amp;" using "&amp;B4617&amp;IF(B4618&lt;&gt;0,", allocated by "&amp;B4618,"")&amp;", transported by "&amp;B4619&amp;", produced by "&amp;B4623&amp;" using "&amp;B4624&amp;" from "&amp;B4625</f>
        <v>heat, residential, by combustion of hydrogen using boiler, transported by pipeline, produced by Electrolysis, PEM using water and electricity from Solar PV (IT)</v>
      </c>
    </row>
    <row r="4606" spans="1:22" x14ac:dyDescent="0.2">
      <c r="A4606" t="s">
        <v>51</v>
      </c>
      <c r="B4606" s="45" t="str">
        <f>"This dataset represents the supply of 1 "&amp;IF(B4611="megajoule","megajoule of heat","kilowatt hour of electricity")&amp;" in a residence, by "&amp;B4615&amp;" "&amp;B4616&amp;" in a "&amp;B4617&amp;". "&amp;" The hydrogen is transported by "&amp;B4619&amp;" over "&amp;B4620&amp;" km from regional storage. "&amp;" The "&amp;B4615&amp;" is produced by  "&amp;B4623&amp;", with "&amp;B4624&amp;" from "&amp;B4625&amp;" as feedstock. "&amp;A4627&amp;": "&amp;(B4627*100)&amp;"%. "&amp;A4628&amp;": "&amp;B4628&amp;". "&amp;A4629&amp;": "&amp;B4629&amp;". "&amp;A4630&amp;": "&amp;(B4630*100)&amp;"%. "&amp;A4631&amp;": "&amp;(B4631*100)&amp;"%. "&amp;A4632&amp;": "&amp;(B4632*100)&amp;"%. "&amp;A4633&amp;": "&amp;B4633&amp;". "&amp;A4634&amp;": "&amp;B4634&amp;". "&amp;A4635&amp;": "&amp;(B4635*100)&amp;"%. "&amp;A4636&amp;": "&amp;B4636&amp;". "&amp;A4637&amp;": "&amp;B4637&amp;". "&amp;A4638&amp;": "&amp;B4638&amp;". "&amp;A4639&amp;": "&amp;B4639&amp;".  For more information, refer to: "&amp;B4607</f>
        <v>This dataset represents the supply of 1 megajoule of heat in a residence, by hydrogen combustion in a boiler.  The hydrogen is transported by pipeline over 1700 km from regional storage.  The hydrogen is produced by  Electrolysis, PEM,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4607" spans="1:22" x14ac:dyDescent="0.2">
      <c r="A4607" t="s">
        <v>63</v>
      </c>
      <c r="B4607" s="45" t="s">
        <v>1223</v>
      </c>
    </row>
    <row r="4608" spans="1:22" x14ac:dyDescent="0.2">
      <c r="A4608" t="s">
        <v>52</v>
      </c>
      <c r="B4608" s="45" t="s">
        <v>64</v>
      </c>
    </row>
    <row r="4609" spans="1:2" x14ac:dyDescent="0.2">
      <c r="A4609" t="s">
        <v>48</v>
      </c>
      <c r="B4609" s="45">
        <v>57</v>
      </c>
    </row>
    <row r="4610" spans="1:2" x14ac:dyDescent="0.2">
      <c r="A4610" t="s">
        <v>54</v>
      </c>
      <c r="B4610" s="45" t="str">
        <f>INDEX(overview!$B$4:$R$338,MATCH('hydrogen - electrolysis'!B4609,overview!$A$4:$A$338,0),MATCH('hydrogen - electrolysis'!A4610,overview!$B$3:$R$3,0))</f>
        <v>heat, from residential heating system</v>
      </c>
    </row>
    <row r="4611" spans="1:2" x14ac:dyDescent="0.2">
      <c r="A4611" t="s">
        <v>55</v>
      </c>
      <c r="B4611" s="45" t="str">
        <f>INDEX(overview!$B$4:$R$338,MATCH('hydrogen - electrolysis'!B4609,overview!$A$4:$A$338,0),MATCH('hydrogen - electrolysis'!A4611,overview!$B$3:$R$3,0))</f>
        <v>megajoule</v>
      </c>
    </row>
    <row r="4612" spans="1:2" x14ac:dyDescent="0.2">
      <c r="A4612" t="s">
        <v>0</v>
      </c>
      <c r="B4612" s="45" t="str">
        <f>INDEX(overview!$B$4:$R$338,MATCH('hydrogen - electrolysis'!B4609,overview!$A$4:$A$338,0),MATCH('hydrogen - electrolysis'!A4612,overview!$B$3:$R$3,0))</f>
        <v>Switzerland</v>
      </c>
    </row>
    <row r="4613" spans="1:2" x14ac:dyDescent="0.2">
      <c r="A4613" t="s">
        <v>1</v>
      </c>
      <c r="B4613" s="45">
        <f>INDEX(overview!$B$4:$R$338,MATCH('hydrogen - electrolysis'!B4609,overview!$A$4:$A$338,0),MATCH('hydrogen - electrolysis'!A4613,overview!$B$3:$R$3,0))</f>
        <v>2020</v>
      </c>
    </row>
    <row r="4614" spans="1:2" x14ac:dyDescent="0.2">
      <c r="A4614" t="s">
        <v>2</v>
      </c>
      <c r="B4614" s="45" t="str">
        <f>INDEX(overview!$B$4:$R$338,MATCH('hydrogen - electrolysis'!B4609,overview!$A$4:$A$338,0),MATCH('hydrogen - electrolysis'!A4614,overview!$B$3:$R$3,0))</f>
        <v>1 MJ heat</v>
      </c>
    </row>
    <row r="4615" spans="1:2" x14ac:dyDescent="0.2">
      <c r="A4615" t="s">
        <v>5</v>
      </c>
      <c r="B4615" s="45" t="str">
        <f>INDEX(overview!$B$4:$R$338,MATCH('hydrogen - electrolysis'!B4609,overview!$A$4:$A$338,0),MATCH('hydrogen - electrolysis'!A4615,overview!$B$3:$R$3,0))</f>
        <v>hydrogen</v>
      </c>
    </row>
    <row r="4616" spans="1:2" x14ac:dyDescent="0.2">
      <c r="A4616" t="s">
        <v>3</v>
      </c>
      <c r="B4616" s="45" t="str">
        <f>INDEX(overview!$B$4:$R$338,MATCH('hydrogen - electrolysis'!B4609,overview!$A$4:$A$338,0),MATCH('hydrogen - electrolysis'!A4616,overview!$B$3:$R$3,0))</f>
        <v>combustion</v>
      </c>
    </row>
    <row r="4617" spans="1:2" x14ac:dyDescent="0.2">
      <c r="A4617" t="s">
        <v>6</v>
      </c>
      <c r="B4617" s="45" t="str">
        <f>INDEX(overview!$B$4:$R$338,MATCH('hydrogen - electrolysis'!B4609,overview!$A$4:$A$338,0),MATCH('hydrogen - electrolysis'!A4617,overview!$B$3:$R$3,0))</f>
        <v>boiler</v>
      </c>
    </row>
    <row r="4618" spans="1:2" x14ac:dyDescent="0.2">
      <c r="A4618" t="s">
        <v>39</v>
      </c>
      <c r="B4618" s="45">
        <f>INDEX(overview!$B$4:$R$338,MATCH('hydrogen - electrolysis'!B4609,overview!$A$4:$A$338,0),MATCH('hydrogen - electrolysis'!A4618,overview!$B$3:$R$3,0))</f>
        <v>0</v>
      </c>
    </row>
    <row r="4619" spans="1:2" x14ac:dyDescent="0.2">
      <c r="A4619" t="s">
        <v>4</v>
      </c>
      <c r="B4619" s="45" t="str">
        <f>INDEX(overview!$B$4:$R$338,MATCH('hydrogen - electrolysis'!B4609,overview!$A$4:$A$338,0),MATCH('hydrogen - electrolysis'!A4619,overview!$B$3:$R$3,0))</f>
        <v>pipeline</v>
      </c>
    </row>
    <row r="4620" spans="1:2" x14ac:dyDescent="0.2">
      <c r="A4620" t="s">
        <v>38</v>
      </c>
      <c r="B4620" s="45">
        <f>INDEX(overview!$B$4:$R$338,MATCH('hydrogen - electrolysis'!B4609,overview!$A$4:$A$338,0),MATCH('hydrogen - electrolysis'!A4620,overview!$B$3:$R$3,0))</f>
        <v>1700</v>
      </c>
    </row>
    <row r="4621" spans="1:2" x14ac:dyDescent="0.2">
      <c r="A4621" t="s">
        <v>12</v>
      </c>
      <c r="B4621" s="45" t="str">
        <f>INDEX(overview!$B$4:$R$338,MATCH('hydrogen - electrolysis'!B4609,overview!$A$4:$A$338,0),MATCH('hydrogen - electrolysis'!A4621,overview!$B$3:$R$3,0))</f>
        <v>Pressure vessel for stationary storage</v>
      </c>
    </row>
    <row r="4622" spans="1:2" x14ac:dyDescent="0.2">
      <c r="A4622" t="s">
        <v>34</v>
      </c>
      <c r="B4622" s="45">
        <f>INDEX(overview!$B$4:$R$338,MATCH('hydrogen - electrolysis'!B4609,overview!$A$4:$A$338,0),MATCH('hydrogen - electrolysis'!A4622,overview!$B$3:$R$3,0))</f>
        <v>0</v>
      </c>
    </row>
    <row r="4623" spans="1:2" x14ac:dyDescent="0.2">
      <c r="A4623" t="s">
        <v>15</v>
      </c>
      <c r="B4623" s="45" t="str">
        <f>INDEX(overview!$B$4:$R$338,MATCH('hydrogen - electrolysis'!B4609,overview!$A$4:$A$338,0),MATCH('hydrogen - electrolysis'!A4623,overview!$B$3:$R$3,0))</f>
        <v>Electrolysis, PEM</v>
      </c>
    </row>
    <row r="4624" spans="1:2" x14ac:dyDescent="0.2">
      <c r="A4624" t="s">
        <v>14</v>
      </c>
      <c r="B4624" s="45" t="str">
        <f>INDEX(overview!$B$4:$R$338,MATCH('hydrogen - electrolysis'!B4609,overview!$A$4:$A$338,0),MATCH('hydrogen - electrolysis'!A4624,overview!$B$3:$R$3,0))</f>
        <v>water and electricity</v>
      </c>
    </row>
    <row r="4625" spans="1:2" x14ac:dyDescent="0.2">
      <c r="A4625" t="s">
        <v>26</v>
      </c>
      <c r="B4625" s="45" t="str">
        <f>INDEX(overview!$B$4:$R$338,MATCH('hydrogen - electrolysis'!B4609,overview!$A$4:$A$338,0),MATCH('hydrogen - electrolysis'!A4625,overview!$B$3:$R$3,0))</f>
        <v>Solar PV (IT)</v>
      </c>
    </row>
    <row r="4626" spans="1:2" x14ac:dyDescent="0.2">
      <c r="A4626" t="s">
        <v>29</v>
      </c>
      <c r="B4626" s="45">
        <f>INDEX(overview!$B$4:$R$338,MATCH('hydrogen - electrolysis'!B4609,overview!$A$4:$A$338,0),MATCH('hydrogen - electrolysis'!A4626,overview!$B$3:$R$3,0))</f>
        <v>0</v>
      </c>
    </row>
    <row r="4627" spans="1:2" x14ac:dyDescent="0.2">
      <c r="A4627" t="str">
        <f>IF(B4611="megajoule","Heat","Electricity")&amp;" conversion efficiency [% LHV input]"</f>
        <v>Heat conversion efficiency [% LHV input]</v>
      </c>
      <c r="B4627" s="46">
        <f>INDEX(parameters!$D$4:$N$20,MATCH('hydrogen - electrolysis'!B4615&amp;'hydrogen - electrolysis'!B4617,parameters!$A$4:$A$20,0),MATCH('hydrogen - electrolysis'!A4627,parameters!$D$3:$N$3,0))</f>
        <v>0.94</v>
      </c>
    </row>
    <row r="4628" spans="1:2" x14ac:dyDescent="0.2">
      <c r="A4628" t="str">
        <f>IF(B4611="megajoule","LHV [MJ/kg]","LHV [kWh/kg]")</f>
        <v>LHV [MJ/kg]</v>
      </c>
      <c r="B4628" s="47">
        <f>INDEX(parameters!$D$4:$N$20,MATCH('hydrogen - electrolysis'!B4615&amp;'hydrogen - electrolysis'!B4617,parameters!$A$4:$A$20,0),MATCH('hydrogen - electrolysis'!A4628,parameters!$D$3:$N$3,0))</f>
        <v>120</v>
      </c>
    </row>
    <row r="4629" spans="1:2" x14ac:dyDescent="0.2">
      <c r="A4629" t="s">
        <v>41</v>
      </c>
      <c r="B4629" s="48">
        <f>INDEX(parameters!$D$4:$N$20,MATCH('hydrogen - electrolysis'!B4615&amp;'hydrogen - electrolysis'!B4617,parameters!$A$4:$A$20,0),MATCH('hydrogen - electrolysis'!A4629,parameters!$D$3:$N$3,0))</f>
        <v>2.6666666666666665E-2</v>
      </c>
    </row>
    <row r="4630" spans="1:2" x14ac:dyDescent="0.2">
      <c r="A4630" t="s">
        <v>45</v>
      </c>
      <c r="B4630" s="49">
        <f>INDEX(parameters!$D$4:$N$20,MATCH('hydrogen - electrolysis'!B4615&amp;'hydrogen - electrolysis'!B4617,parameters!$A$4:$A$20,0),MATCH('hydrogen - electrolysis'!A4630,parameters!$D$3:$N$3,0))</f>
        <v>0</v>
      </c>
    </row>
    <row r="4631" spans="1:2" x14ac:dyDescent="0.2">
      <c r="A4631" t="s">
        <v>46</v>
      </c>
      <c r="B4631" s="49">
        <f>INDEX(parameters!$D$4:$N$20,MATCH('hydrogen - electrolysis'!B4615&amp;'hydrogen - electrolysis'!B4617,parameters!$A$4:$A$20,0),MATCH('hydrogen - electrolysis'!A4631,parameters!$D$3:$N$3,0))</f>
        <v>1.4999999999999999E-2</v>
      </c>
    </row>
    <row r="4632" spans="1:2" x14ac:dyDescent="0.2">
      <c r="A4632" t="s">
        <v>43</v>
      </c>
      <c r="B4632" s="49">
        <f>INDEX(parameters!$D$4:$N$20,MATCH('hydrogen - electrolysis'!B4615&amp;'hydrogen - electrolysis'!B4617,parameters!$A$4:$A$20,0),MATCH('hydrogen - electrolysis'!A4632,parameters!$D$3:$N$3,0))</f>
        <v>0</v>
      </c>
    </row>
    <row r="4633" spans="1:2" x14ac:dyDescent="0.2">
      <c r="A4633" t="s">
        <v>44</v>
      </c>
      <c r="B4633" s="49">
        <f>INDEX(parameters!$D$4:$N$20,MATCH('hydrogen - electrolysis'!B4615&amp;'hydrogen - electrolysis'!B4617,parameters!$A$4:$A$20,0),MATCH('hydrogen - electrolysis'!A4633,parameters!$D$3:$N$3,0))</f>
        <v>0</v>
      </c>
    </row>
    <row r="4634" spans="1:2" x14ac:dyDescent="0.2">
      <c r="A4634" t="s">
        <v>634</v>
      </c>
      <c r="B4634" s="51">
        <f>INDEX(parameters!$D$4:$Y$20,MATCH('hydrogen - electrolysis'!B4615&amp;'hydrogen - electrolysis'!B4617,parameters!$A$4:$A$20,0),MATCH('hydrogen - electrolysis'!A4634,parameters!$D$3:$Y$3,0))</f>
        <v>15.957446808510639</v>
      </c>
    </row>
    <row r="4635" spans="1:2" x14ac:dyDescent="0.2">
      <c r="A4635" t="s">
        <v>82</v>
      </c>
      <c r="B4635" s="46">
        <f>IF(B4626&lt;&gt;0,VLOOKUP(B4626,parameters!A2919:B2921,2,0),0)</f>
        <v>0</v>
      </c>
    </row>
    <row r="4636" spans="1:2" x14ac:dyDescent="0.2">
      <c r="A4636" t="s">
        <v>548</v>
      </c>
      <c r="B4636" s="50">
        <f>INDEX(parameters!$D$4:$P$20,MATCH(B4615&amp;B4617,parameters!$A$4:$A$20,0),MATCH(A4636,parameters!$D$3:$P$3,0))</f>
        <v>15</v>
      </c>
    </row>
    <row r="4637" spans="1:2" x14ac:dyDescent="0.2">
      <c r="A4637" t="s">
        <v>547</v>
      </c>
      <c r="B4637" s="51">
        <f>INDEX(parameters!$D$4:$P$20,MATCH(B4615&amp;B4617,parameters!$A$4:$A$20,0),MATCH(A4637,parameters!$D$3:$P$3,0))</f>
        <v>20</v>
      </c>
    </row>
    <row r="4638" spans="1:2" x14ac:dyDescent="0.2">
      <c r="A4638" t="s">
        <v>630</v>
      </c>
      <c r="B4638" s="51">
        <f>INDEX(parameters!$D$4:$T$20,MATCH(B4615&amp;B4617,parameters!$A$4:$A$20,0),MATCH(A4638,parameters!$D$3:$T$3,0))</f>
        <v>2100</v>
      </c>
    </row>
    <row r="4639" spans="1:2" x14ac:dyDescent="0.2">
      <c r="A4639" t="s">
        <v>1005</v>
      </c>
      <c r="B4639" s="50">
        <f>IF(B4611="megajoule",SUMIFS(allocation!$I$4:$I$30,allocation!$B$4:$B$30,B4617,allocation!$C$4:$C$30,B4618),SUMIFS(allocation!$J$4:$J$30,allocation!$B$4:$B$30,B4617,allocation!$C$4:$C$30,B4618))</f>
        <v>0</v>
      </c>
    </row>
    <row r="4640" spans="1:2" x14ac:dyDescent="0.2">
      <c r="A4640" t="s">
        <v>1050</v>
      </c>
      <c r="B4640" s="51">
        <f>INDEX(parameters!$D$4:$AB$20,MATCH(B4615&amp;B4617,parameters!$A$4:$A$20,0),MATCH(A4640,parameters!$D$3:$AB$3,0))</f>
        <v>44.562019013128115</v>
      </c>
    </row>
    <row r="4642" spans="1:22" x14ac:dyDescent="0.2">
      <c r="A4642" s="3" t="s">
        <v>57</v>
      </c>
    </row>
    <row r="4643" spans="1:22" x14ac:dyDescent="0.2">
      <c r="A4643" s="2" t="s">
        <v>58</v>
      </c>
      <c r="B4643" s="44" t="s">
        <v>59</v>
      </c>
      <c r="C4643" s="2" t="s">
        <v>55</v>
      </c>
      <c r="D4643" s="2" t="s">
        <v>60</v>
      </c>
      <c r="E4643" s="2" t="s">
        <v>52</v>
      </c>
      <c r="F4643" s="2" t="s">
        <v>61</v>
      </c>
      <c r="G4643" s="2" t="s">
        <v>54</v>
      </c>
      <c r="H4643" s="2" t="s">
        <v>87</v>
      </c>
      <c r="I4643" s="2" t="s">
        <v>51</v>
      </c>
      <c r="J4643" s="2" t="s">
        <v>138</v>
      </c>
      <c r="K4643" s="2" t="s">
        <v>136</v>
      </c>
      <c r="L4643" s="2" t="s">
        <v>221</v>
      </c>
      <c r="M4643" s="2" t="s">
        <v>379</v>
      </c>
      <c r="N4643" s="2" t="s">
        <v>1059</v>
      </c>
      <c r="O4643" s="2" t="s">
        <v>1060</v>
      </c>
      <c r="P4643" s="2" t="s">
        <v>1061</v>
      </c>
      <c r="Q4643" s="2" t="s">
        <v>1062</v>
      </c>
      <c r="R4643" s="2" t="s">
        <v>1063</v>
      </c>
      <c r="S4643" s="2" t="s">
        <v>1064</v>
      </c>
      <c r="T4643" s="2" t="s">
        <v>1065</v>
      </c>
      <c r="U4643" s="2" t="s">
        <v>380</v>
      </c>
      <c r="V4643" s="2" t="s">
        <v>1128</v>
      </c>
    </row>
    <row r="4644" spans="1:22" x14ac:dyDescent="0.2">
      <c r="A4644" t="str">
        <f>B4605</f>
        <v>heat, residential, by combustion of hydrogen using boiler, transported by pipeline, produced by Electrolysis, PEM using water and electricity from Solar PV (IT)</v>
      </c>
      <c r="B4644" s="45">
        <v>1</v>
      </c>
      <c r="C4644" t="str">
        <f>B4611</f>
        <v>megajoule</v>
      </c>
      <c r="E4644" t="str">
        <f>B4608</f>
        <v>CH</v>
      </c>
      <c r="F4644" t="s">
        <v>62</v>
      </c>
      <c r="G4644" t="str">
        <f>B4610</f>
        <v>heat, from residential heating system</v>
      </c>
      <c r="K4644" t="str">
        <f>B4605</f>
        <v>heat, residential, by combustion of hydrogen using boiler, transported by pipeline, produced by Electrolysis, PEM using water and electricity from Solar PV (IT)</v>
      </c>
    </row>
    <row r="4645" spans="1:22" x14ac:dyDescent="0.2">
      <c r="A4645" t="s">
        <v>83</v>
      </c>
      <c r="B4645" s="52">
        <f>1/(B4636*B4638*B4637*3.6)</f>
        <v>4.4091710758377425E-7</v>
      </c>
      <c r="C4645" t="s">
        <v>55</v>
      </c>
      <c r="E4645" t="s">
        <v>85</v>
      </c>
      <c r="F4645" t="s">
        <v>86</v>
      </c>
      <c r="G4645" t="s">
        <v>84</v>
      </c>
      <c r="H4645" t="s">
        <v>88</v>
      </c>
      <c r="K4645" t="str">
        <f>B4605</f>
        <v>heat, residential, by combustion of hydrogen using boiler, transported by pipeline, produced by Electrolysis, PEM using water and electricity from Solar PV (IT)</v>
      </c>
      <c r="L4645">
        <f t="shared" ref="L4645:L4650" si="154">IF(OR(B4645&lt;0,B4645=0),1,2)</f>
        <v>2</v>
      </c>
      <c r="M4645">
        <f t="shared" ref="M4645:M4650" si="155">IF(L4645=2,LN(B4645),"")</f>
        <v>-14.634408943829779</v>
      </c>
      <c r="N4645">
        <v>1.05</v>
      </c>
      <c r="O4645" s="15">
        <v>1.2</v>
      </c>
      <c r="P4645">
        <v>1</v>
      </c>
      <c r="Q4645">
        <v>1.01</v>
      </c>
      <c r="R4645">
        <v>1.2</v>
      </c>
      <c r="S4645">
        <v>1.2</v>
      </c>
      <c r="T4645">
        <v>3</v>
      </c>
      <c r="U4645">
        <f t="shared" ref="U4645:U4650" si="156">LN(SQRT(EXP(
SQRT(
+POWER(LN(N4645),2)
+POWER(LN(O4645),2)
+POWER(LN(P4645),2)
+POWER(LN(Q4645),2)
+POWER(LN(R4645),2)
+POWER(LN(S4645),2)
+POWER(LN(T4645),2)
)
)))</f>
        <v>0.57209088006881903</v>
      </c>
    </row>
    <row r="4646" spans="1:22" x14ac:dyDescent="0.2">
      <c r="A4646" t="s">
        <v>500</v>
      </c>
      <c r="B4646" s="52">
        <f>B4645*2</f>
        <v>8.8183421516754851E-7</v>
      </c>
      <c r="C4646" t="s">
        <v>267</v>
      </c>
      <c r="E4646" t="s">
        <v>85</v>
      </c>
      <c r="F4646" t="s">
        <v>86</v>
      </c>
      <c r="G4646" t="s">
        <v>501</v>
      </c>
      <c r="H4646" t="s">
        <v>88</v>
      </c>
      <c r="I4646" t="s">
        <v>621</v>
      </c>
      <c r="K4646" t="str">
        <f>B4605</f>
        <v>heat, residential, by combustion of hydrogen using boiler, transported by pipeline, produced by Electrolysis, PEM using water and electricity from Solar PV (IT)</v>
      </c>
      <c r="L4646">
        <f t="shared" si="154"/>
        <v>2</v>
      </c>
      <c r="M4646">
        <f t="shared" si="155"/>
        <v>-13.941261763269834</v>
      </c>
      <c r="N4646">
        <v>1.05</v>
      </c>
      <c r="O4646" s="15">
        <v>1.2</v>
      </c>
      <c r="P4646">
        <v>1</v>
      </c>
      <c r="Q4646">
        <v>1.01</v>
      </c>
      <c r="R4646">
        <v>1.2</v>
      </c>
      <c r="S4646">
        <v>1.2</v>
      </c>
      <c r="T4646">
        <v>3</v>
      </c>
      <c r="U4646">
        <f t="shared" si="156"/>
        <v>0.57209088006881903</v>
      </c>
    </row>
    <row r="4647" spans="1:22" x14ac:dyDescent="0.2">
      <c r="A4647" t="s">
        <v>130</v>
      </c>
      <c r="B4647" s="52">
        <v>2.64E-3</v>
      </c>
      <c r="C4647" t="s">
        <v>92</v>
      </c>
      <c r="E4647" t="s">
        <v>64</v>
      </c>
      <c r="F4647" t="s">
        <v>86</v>
      </c>
      <c r="G4647" t="s">
        <v>93</v>
      </c>
      <c r="H4647" t="s">
        <v>78</v>
      </c>
      <c r="I4647" t="s">
        <v>270</v>
      </c>
      <c r="J4647" t="s">
        <v>67</v>
      </c>
      <c r="K4647" t="str">
        <f>B4605</f>
        <v>heat, residential, by combustion of hydrogen using boiler, transported by pipeline, produced by Electrolysis, PEM using water and electricity from Solar PV (IT)</v>
      </c>
      <c r="L4647">
        <f t="shared" si="154"/>
        <v>2</v>
      </c>
      <c r="M4647">
        <f t="shared" si="155"/>
        <v>-5.9369763618239126</v>
      </c>
      <c r="N4647">
        <v>1.05</v>
      </c>
      <c r="O4647" s="15">
        <v>1.2</v>
      </c>
      <c r="P4647">
        <v>1</v>
      </c>
      <c r="Q4647">
        <v>1.01</v>
      </c>
      <c r="R4647">
        <v>1.2</v>
      </c>
      <c r="S4647">
        <v>1.2</v>
      </c>
      <c r="T4647">
        <v>1.05</v>
      </c>
      <c r="U4647">
        <f t="shared" si="156"/>
        <v>0.16169679924070957</v>
      </c>
    </row>
    <row r="4648" spans="1:22" x14ac:dyDescent="0.2">
      <c r="A4648" s="45" t="str">
        <f>"hydrogen supply, transported by "&amp;B4619&amp;", produced by "&amp;B4623&amp;" using "&amp;B4624&amp;" from "&amp;B4625</f>
        <v>hydrogen supply, transported by pipeline, produced by Electrolysis, PEM using water and electricity from Solar PV (IT)</v>
      </c>
      <c r="B4648" s="53">
        <f>(B4644/B4628)/B4627</f>
        <v>8.8652482269503553E-3</v>
      </c>
      <c r="C4648" t="s">
        <v>56</v>
      </c>
      <c r="E4648" t="s">
        <v>64</v>
      </c>
      <c r="F4648" t="s">
        <v>86</v>
      </c>
      <c r="G4648" t="str">
        <f>"hydrogen, gaseous, from "&amp;B4619</f>
        <v>hydrogen, gaseous, from pipeline</v>
      </c>
      <c r="H4648" t="s">
        <v>76</v>
      </c>
      <c r="I4648" t="s">
        <v>1054</v>
      </c>
      <c r="J4648" t="s">
        <v>637</v>
      </c>
      <c r="K4648" t="str">
        <f>B4605</f>
        <v>heat, residential, by combustion of hydrogen using boiler, transported by pipeline, produced by Electrolysis, PEM using water and electricity from Solar PV (IT)</v>
      </c>
      <c r="L4648">
        <f t="shared" si="154"/>
        <v>2</v>
      </c>
      <c r="M4648">
        <f t="shared" si="155"/>
        <v>-4.7256163390639587</v>
      </c>
      <c r="N4648">
        <v>1.05</v>
      </c>
      <c r="O4648" s="15">
        <v>1.2</v>
      </c>
      <c r="P4648">
        <v>1</v>
      </c>
      <c r="Q4648">
        <v>1.01</v>
      </c>
      <c r="R4648">
        <v>1.2</v>
      </c>
      <c r="S4648">
        <v>1.2</v>
      </c>
      <c r="T4648">
        <v>1.05</v>
      </c>
      <c r="U4648">
        <f t="shared" si="156"/>
        <v>0.16169679924070957</v>
      </c>
    </row>
    <row r="4649" spans="1:22" x14ac:dyDescent="0.2">
      <c r="A4649" t="s">
        <v>134</v>
      </c>
      <c r="B4649" s="45">
        <f>B4648*9</f>
        <v>7.9787234042553196E-2</v>
      </c>
      <c r="C4649" t="s">
        <v>56</v>
      </c>
      <c r="D4649" t="s">
        <v>100</v>
      </c>
      <c r="F4649" t="s">
        <v>99</v>
      </c>
      <c r="H4649" t="s">
        <v>131</v>
      </c>
      <c r="I4649" t="s">
        <v>1058</v>
      </c>
      <c r="K4649" t="str">
        <f>B4605</f>
        <v>heat, residential, by combustion of hydrogen using boiler, transported by pipeline, produced by Electrolysis, PEM using water and electricity from Solar PV (IT)</v>
      </c>
      <c r="L4649">
        <f t="shared" si="154"/>
        <v>2</v>
      </c>
      <c r="M4649">
        <f t="shared" si="155"/>
        <v>-2.5283917617277392</v>
      </c>
      <c r="N4649">
        <v>1.05</v>
      </c>
      <c r="O4649" s="15">
        <v>1.2</v>
      </c>
      <c r="P4649">
        <v>1</v>
      </c>
      <c r="Q4649">
        <v>1.01</v>
      </c>
      <c r="R4649">
        <v>1.2</v>
      </c>
      <c r="S4649">
        <v>1.2</v>
      </c>
      <c r="T4649">
        <v>1.05</v>
      </c>
      <c r="U4649">
        <f t="shared" si="156"/>
        <v>0.16169679924070957</v>
      </c>
    </row>
    <row r="4650" spans="1:22" x14ac:dyDescent="0.2">
      <c r="A4650" t="s">
        <v>135</v>
      </c>
      <c r="B4650" s="45">
        <f>912.5/1000000*B4648</f>
        <v>8.0895390070921995E-6</v>
      </c>
      <c r="C4650" t="s">
        <v>56</v>
      </c>
      <c r="D4650" t="s">
        <v>100</v>
      </c>
      <c r="F4650" t="s">
        <v>99</v>
      </c>
      <c r="H4650" t="s">
        <v>131</v>
      </c>
      <c r="I4650" t="s">
        <v>1217</v>
      </c>
      <c r="K4650" t="str">
        <f>B4605</f>
        <v>heat, residential, by combustion of hydrogen using boiler, transported by pipeline, produced by Electrolysis, PEM using water and electricity from Solar PV (IT)</v>
      </c>
      <c r="L4650">
        <f t="shared" si="154"/>
        <v>2</v>
      </c>
      <c r="M4650">
        <f t="shared" si="155"/>
        <v>-11.724938811571587</v>
      </c>
      <c r="N4650">
        <v>1.05</v>
      </c>
      <c r="O4650" s="15">
        <v>1.2</v>
      </c>
      <c r="P4650">
        <v>1</v>
      </c>
      <c r="Q4650">
        <v>1.01</v>
      </c>
      <c r="R4650">
        <v>1.2</v>
      </c>
      <c r="S4650">
        <v>1.2</v>
      </c>
      <c r="T4650">
        <v>1.5</v>
      </c>
      <c r="U4650">
        <f t="shared" si="156"/>
        <v>0.25816898211842121</v>
      </c>
    </row>
    <row r="4652" spans="1:22" x14ac:dyDescent="0.2">
      <c r="A4652" s="2" t="s">
        <v>50</v>
      </c>
      <c r="B4652" s="44" t="str">
        <f>IF(B4658="megajoule","heat","electricity")&amp;", residential, by "&amp;B4663&amp;" of "&amp;B4662&amp;" using "&amp;B4664&amp;IF(B4665&lt;&gt;0,", allocated by "&amp;B4665,"")&amp;", transported by "&amp;B4666&amp;", produced by "&amp;B4670&amp;" using "&amp;B4671&amp;" from "&amp;B4672</f>
        <v>heat, residential, by combustion of hydrogen using CHP, allocated by exergy, transported by pipeline, produced by Electrolysis, PEM using water and electricity from Solar PV (IT)</v>
      </c>
    </row>
    <row r="4653" spans="1:22" x14ac:dyDescent="0.2">
      <c r="A4653" t="s">
        <v>51</v>
      </c>
      <c r="B4653" s="45" t="str">
        <f>"This dataset represents the supply of 1 "&amp;IF(B4658="megajoule","megajoule of heat","kilowatt hour of electricity")&amp;" in a residence, by "&amp;B4662&amp;" "&amp;B4663&amp;" in a "&amp;B4664&amp;". "&amp;" The hydrogen is transported by "&amp;B4666&amp;" over "&amp;B4667&amp;" km from regional storage. "&amp;" The "&amp;B4662&amp;" is produced by  "&amp;B4670&amp;", with "&amp;B4671&amp;" from "&amp;B4672&amp;" as feedstock. "&amp;A4674&amp;": "&amp;(B4674*100)&amp;"%. "&amp;A4675&amp;": "&amp;B4675&amp;". "&amp;A4676&amp;": "&amp;B4676&amp;". "&amp;A4677&amp;": "&amp;(B4677*100)&amp;"%. "&amp;A4678&amp;": "&amp;(B4678*100)&amp;"%. "&amp;A4679&amp;": "&amp;(B4679*100)&amp;"%. "&amp;A4680&amp;": "&amp;B4680&amp;". "&amp;A4681&amp;": "&amp;B4681&amp;". "&amp;A4682&amp;": "&amp;(B4682*100)&amp;"%. "&amp;A4683&amp;": "&amp;B4683&amp;". "&amp;A4684&amp;": "&amp;B4684&amp;". "&amp;A4685&amp;": "&amp;B4685&amp;". "&amp;A4686&amp;": "&amp;B4686&amp;".  For more information, refer to: "&amp;B4654</f>
        <v>This dataset represents the supply of 1 megajoule of heat in a residence, by hydrogen combustion in a CHP.  The hydrogen is transported by pipeline over 1700 km from regional storage.  The hydrogen is produced by  Electrolysis, PEM,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4654" spans="1:22" x14ac:dyDescent="0.2">
      <c r="A4654" t="s">
        <v>63</v>
      </c>
      <c r="B4654" s="45" t="s">
        <v>1223</v>
      </c>
    </row>
    <row r="4655" spans="1:22" x14ac:dyDescent="0.2">
      <c r="A4655" t="s">
        <v>52</v>
      </c>
      <c r="B4655" s="45" t="s">
        <v>64</v>
      </c>
    </row>
    <row r="4656" spans="1:22" x14ac:dyDescent="0.2">
      <c r="A4656" t="s">
        <v>48</v>
      </c>
      <c r="B4656" s="45">
        <v>58</v>
      </c>
    </row>
    <row r="4657" spans="1:2" x14ac:dyDescent="0.2">
      <c r="A4657" t="s">
        <v>54</v>
      </c>
      <c r="B4657" s="45" t="str">
        <f>INDEX(overview!$B$4:$R$338,MATCH('hydrogen - electrolysis'!B4656,overview!$A$4:$A$338,0),MATCH('hydrogen - electrolysis'!A4657,overview!$B$3:$R$3,0))</f>
        <v>heat, from residential heating system</v>
      </c>
    </row>
    <row r="4658" spans="1:2" x14ac:dyDescent="0.2">
      <c r="A4658" t="s">
        <v>55</v>
      </c>
      <c r="B4658" s="45" t="str">
        <f>INDEX(overview!$B$4:$R$338,MATCH('hydrogen - electrolysis'!B4656,overview!$A$4:$A$338,0),MATCH('hydrogen - electrolysis'!A4658,overview!$B$3:$R$3,0))</f>
        <v>megajoule</v>
      </c>
    </row>
    <row r="4659" spans="1:2" x14ac:dyDescent="0.2">
      <c r="A4659" t="s">
        <v>0</v>
      </c>
      <c r="B4659" s="45" t="str">
        <f>INDEX(overview!$B$4:$R$338,MATCH('hydrogen - electrolysis'!B4656,overview!$A$4:$A$338,0),MATCH('hydrogen - electrolysis'!A4659,overview!$B$3:$R$3,0))</f>
        <v>Switzerland</v>
      </c>
    </row>
    <row r="4660" spans="1:2" x14ac:dyDescent="0.2">
      <c r="A4660" t="s">
        <v>1</v>
      </c>
      <c r="B4660" s="45">
        <f>INDEX(overview!$B$4:$R$338,MATCH('hydrogen - electrolysis'!B4656,overview!$A$4:$A$338,0),MATCH('hydrogen - electrolysis'!A4660,overview!$B$3:$R$3,0))</f>
        <v>2020</v>
      </c>
    </row>
    <row r="4661" spans="1:2" x14ac:dyDescent="0.2">
      <c r="A4661" t="s">
        <v>2</v>
      </c>
      <c r="B4661" s="45" t="str">
        <f>INDEX(overview!$B$4:$R$338,MATCH('hydrogen - electrolysis'!B4656,overview!$A$4:$A$338,0),MATCH('hydrogen - electrolysis'!A4661,overview!$B$3:$R$3,0))</f>
        <v>1 MJ heat</v>
      </c>
    </row>
    <row r="4662" spans="1:2" x14ac:dyDescent="0.2">
      <c r="A4662" t="s">
        <v>5</v>
      </c>
      <c r="B4662" s="45" t="str">
        <f>INDEX(overview!$B$4:$R$338,MATCH('hydrogen - electrolysis'!B4656,overview!$A$4:$A$338,0),MATCH('hydrogen - electrolysis'!A4662,overview!$B$3:$R$3,0))</f>
        <v>hydrogen</v>
      </c>
    </row>
    <row r="4663" spans="1:2" x14ac:dyDescent="0.2">
      <c r="A4663" t="s">
        <v>3</v>
      </c>
      <c r="B4663" s="45" t="str">
        <f>INDEX(overview!$B$4:$R$338,MATCH('hydrogen - electrolysis'!B4656,overview!$A$4:$A$338,0),MATCH('hydrogen - electrolysis'!A4663,overview!$B$3:$R$3,0))</f>
        <v>combustion</v>
      </c>
    </row>
    <row r="4664" spans="1:2" x14ac:dyDescent="0.2">
      <c r="A4664" t="s">
        <v>6</v>
      </c>
      <c r="B4664" s="45" t="str">
        <f>INDEX(overview!$B$4:$R$338,MATCH('hydrogen - electrolysis'!B4656,overview!$A$4:$A$338,0),MATCH('hydrogen - electrolysis'!A4664,overview!$B$3:$R$3,0))</f>
        <v>CHP</v>
      </c>
    </row>
    <row r="4665" spans="1:2" x14ac:dyDescent="0.2">
      <c r="A4665" t="s">
        <v>39</v>
      </c>
      <c r="B4665" s="45" t="str">
        <f>INDEX(overview!$B$4:$R$338,MATCH('hydrogen - electrolysis'!B4656,overview!$A$4:$A$338,0),MATCH('hydrogen - electrolysis'!A4665,overview!$B$3:$R$3,0))</f>
        <v>exergy</v>
      </c>
    </row>
    <row r="4666" spans="1:2" x14ac:dyDescent="0.2">
      <c r="A4666" t="s">
        <v>4</v>
      </c>
      <c r="B4666" s="45" t="str">
        <f>INDEX(overview!$B$4:$R$338,MATCH('hydrogen - electrolysis'!B4656,overview!$A$4:$A$338,0),MATCH('hydrogen - electrolysis'!A4666,overview!$B$3:$R$3,0))</f>
        <v>pipeline</v>
      </c>
    </row>
    <row r="4667" spans="1:2" x14ac:dyDescent="0.2">
      <c r="A4667" t="s">
        <v>38</v>
      </c>
      <c r="B4667" s="45">
        <f>INDEX(overview!$B$4:$R$338,MATCH('hydrogen - electrolysis'!B4656,overview!$A$4:$A$338,0),MATCH('hydrogen - electrolysis'!A4667,overview!$B$3:$R$3,0))</f>
        <v>1700</v>
      </c>
    </row>
    <row r="4668" spans="1:2" x14ac:dyDescent="0.2">
      <c r="A4668" t="s">
        <v>12</v>
      </c>
      <c r="B4668" s="45" t="str">
        <f>INDEX(overview!$B$4:$R$338,MATCH('hydrogen - electrolysis'!B4656,overview!$A$4:$A$338,0),MATCH('hydrogen - electrolysis'!A4668,overview!$B$3:$R$3,0))</f>
        <v>Pressure vessel for stationary storage</v>
      </c>
    </row>
    <row r="4669" spans="1:2" x14ac:dyDescent="0.2">
      <c r="A4669" t="s">
        <v>34</v>
      </c>
      <c r="B4669" s="45">
        <f>INDEX(overview!$B$4:$R$338,MATCH('hydrogen - electrolysis'!B4656,overview!$A$4:$A$338,0),MATCH('hydrogen - electrolysis'!A4669,overview!$B$3:$R$3,0))</f>
        <v>0</v>
      </c>
    </row>
    <row r="4670" spans="1:2" x14ac:dyDescent="0.2">
      <c r="A4670" t="s">
        <v>15</v>
      </c>
      <c r="B4670" s="45" t="str">
        <f>INDEX(overview!$B$4:$R$338,MATCH('hydrogen - electrolysis'!B4656,overview!$A$4:$A$338,0),MATCH('hydrogen - electrolysis'!A4670,overview!$B$3:$R$3,0))</f>
        <v>Electrolysis, PEM</v>
      </c>
    </row>
    <row r="4671" spans="1:2" x14ac:dyDescent="0.2">
      <c r="A4671" t="s">
        <v>14</v>
      </c>
      <c r="B4671" s="45" t="str">
        <f>INDEX(overview!$B$4:$R$338,MATCH('hydrogen - electrolysis'!B4656,overview!$A$4:$A$338,0),MATCH('hydrogen - electrolysis'!A4671,overview!$B$3:$R$3,0))</f>
        <v>water and electricity</v>
      </c>
    </row>
    <row r="4672" spans="1:2" x14ac:dyDescent="0.2">
      <c r="A4672" t="s">
        <v>26</v>
      </c>
      <c r="B4672" s="45" t="str">
        <f>INDEX(overview!$B$4:$R$338,MATCH('hydrogen - electrolysis'!B4656,overview!$A$4:$A$338,0),MATCH('hydrogen - electrolysis'!A4672,overview!$B$3:$R$3,0))</f>
        <v>Solar PV (IT)</v>
      </c>
    </row>
    <row r="4673" spans="1:2" x14ac:dyDescent="0.2">
      <c r="A4673" t="s">
        <v>29</v>
      </c>
      <c r="B4673" s="45">
        <f>INDEX(overview!$B$4:$R$338,MATCH('hydrogen - electrolysis'!B4656,overview!$A$4:$A$338,0),MATCH('hydrogen - electrolysis'!A4673,overview!$B$3:$R$3,0))</f>
        <v>0</v>
      </c>
    </row>
    <row r="4674" spans="1:2" x14ac:dyDescent="0.2">
      <c r="A4674" t="str">
        <f>IF(B4658="megajoule","Heat","Electricity")&amp;" conversion efficiency [% LHV input]"</f>
        <v>Heat conversion efficiency [% LHV input]</v>
      </c>
      <c r="B4674" s="46">
        <f>INDEX(parameters!$D$4:$N$20,MATCH('hydrogen - electrolysis'!B4662&amp;'hydrogen - electrolysis'!B4664,parameters!$A$4:$A$20,0),MATCH('hydrogen - electrolysis'!A4674,parameters!$D$3:$N$3,0))</f>
        <v>0.41699999999999998</v>
      </c>
    </row>
    <row r="4675" spans="1:2" x14ac:dyDescent="0.2">
      <c r="A4675" t="str">
        <f>IF(B4658="megajoule","LHV [MJ/kg]","LHV [kWh/kg]")</f>
        <v>LHV [MJ/kg]</v>
      </c>
      <c r="B4675" s="47">
        <f>INDEX(parameters!$D$4:$N$20,MATCH('hydrogen - electrolysis'!B4662&amp;'hydrogen - electrolysis'!B4664,parameters!$A$4:$A$20,0),MATCH('hydrogen - electrolysis'!A4675,parameters!$D$3:$N$3,0))</f>
        <v>120</v>
      </c>
    </row>
    <row r="4676" spans="1:2" x14ac:dyDescent="0.2">
      <c r="A4676" t="s">
        <v>41</v>
      </c>
      <c r="B4676" s="48">
        <f>INDEX(parameters!$D$4:$N$20,MATCH('hydrogen - electrolysis'!B4662&amp;'hydrogen - electrolysis'!B4664,parameters!$A$4:$A$20,0),MATCH('hydrogen - electrolysis'!A4676,parameters!$D$3:$N$3,0))</f>
        <v>2.6666666666666665E-2</v>
      </c>
    </row>
    <row r="4677" spans="1:2" x14ac:dyDescent="0.2">
      <c r="A4677" t="s">
        <v>45</v>
      </c>
      <c r="B4677" s="46">
        <f>INDEX(parameters!$D$4:$N$20,MATCH('hydrogen - electrolysis'!B4662&amp;'hydrogen - electrolysis'!B4664,parameters!$A$4:$A$20,0),MATCH('hydrogen - electrolysis'!A4677,parameters!$D$3:$N$3,0))</f>
        <v>0</v>
      </c>
    </row>
    <row r="4678" spans="1:2" x14ac:dyDescent="0.2">
      <c r="A4678" t="s">
        <v>46</v>
      </c>
      <c r="B4678" s="46">
        <f>INDEX(parameters!$D$4:$N$20,MATCH('hydrogen - electrolysis'!B4662&amp;'hydrogen - electrolysis'!B4664,parameters!$A$4:$A$20,0),MATCH('hydrogen - electrolysis'!A4678,parameters!$D$3:$N$3,0))</f>
        <v>1.4999999999999999E-2</v>
      </c>
    </row>
    <row r="4679" spans="1:2" x14ac:dyDescent="0.2">
      <c r="A4679" t="s">
        <v>43</v>
      </c>
      <c r="B4679" s="46">
        <f>INDEX(parameters!$D$4:$N$20,MATCH('hydrogen - electrolysis'!B4662&amp;'hydrogen - electrolysis'!B4664,parameters!$A$4:$A$20,0),MATCH('hydrogen - electrolysis'!A4679,parameters!$D$3:$N$3,0))</f>
        <v>0</v>
      </c>
    </row>
    <row r="4680" spans="1:2" x14ac:dyDescent="0.2">
      <c r="A4680" t="s">
        <v>44</v>
      </c>
      <c r="B4680" s="46">
        <f>INDEX(parameters!$D$4:$N$20,MATCH('hydrogen - electrolysis'!B4662&amp;'hydrogen - electrolysis'!B4664,parameters!$A$4:$A$20,0),MATCH('hydrogen - electrolysis'!A4680,parameters!$D$3:$N$3,0))</f>
        <v>0</v>
      </c>
    </row>
    <row r="4681" spans="1:2" x14ac:dyDescent="0.2">
      <c r="A4681" t="s">
        <v>634</v>
      </c>
      <c r="B4681" s="51">
        <f>INDEX(parameters!$D$4:$Y$20,MATCH('hydrogen - electrolysis'!B4662&amp;'hydrogen - electrolysis'!B4664,parameters!$A$4:$A$20,0),MATCH('hydrogen - electrolysis'!A4681,parameters!$D$3:$Y$3,0))</f>
        <v>351.41800246609125</v>
      </c>
    </row>
    <row r="4682" spans="1:2" x14ac:dyDescent="0.2">
      <c r="A4682" t="s">
        <v>82</v>
      </c>
      <c r="B4682" s="46">
        <f>IF(B4673&lt;&gt;0,VLOOKUP(B4673,parameters!A2971:B2973,2,0),0)</f>
        <v>0</v>
      </c>
    </row>
    <row r="4683" spans="1:2" x14ac:dyDescent="0.2">
      <c r="A4683" t="s">
        <v>548</v>
      </c>
      <c r="B4683" s="50">
        <f>INDEX(parameters!$D$4:$P$20,MATCH(B4662&amp;B4664,parameters!$A$4:$A$20,0),MATCH(A4683,parameters!$D$3:$P$3,0))</f>
        <v>125</v>
      </c>
    </row>
    <row r="4684" spans="1:2" x14ac:dyDescent="0.2">
      <c r="A4684" t="s">
        <v>547</v>
      </c>
      <c r="B4684" s="51">
        <f>INDEX(parameters!$D$4:$P$20,MATCH(B4662&amp;B4664,parameters!$A$4:$A$20,0),MATCH(A4684,parameters!$D$3:$P$3,0))</f>
        <v>19.512195121951219</v>
      </c>
    </row>
    <row r="4685" spans="1:2" x14ac:dyDescent="0.2">
      <c r="A4685" t="s">
        <v>630</v>
      </c>
      <c r="B4685" s="51">
        <f>INDEX(parameters!$D$4:$T$20,MATCH(B4662&amp;B4664,parameters!$A$4:$A$20,0),MATCH(A4685,parameters!$D$3:$T$3,0))</f>
        <v>4100</v>
      </c>
    </row>
    <row r="4686" spans="1:2" x14ac:dyDescent="0.2">
      <c r="A4686" t="s">
        <v>1005</v>
      </c>
      <c r="B4686" s="50">
        <f>IF(B4658="megajoule",SUMIFS(allocation!$I$4:$I$30,allocation!$B$4:$B$30,B4664,allocation!$C$4:$C$30,B4665),SUMIFS(allocation!$J$4:$J$30,allocation!$B$4:$B$30,B4664,allocation!$C$4:$C$30,B4665))</f>
        <v>0.12860042227295038</v>
      </c>
    </row>
    <row r="4687" spans="1:2" x14ac:dyDescent="0.2">
      <c r="A4687" t="s">
        <v>1050</v>
      </c>
      <c r="B4687" s="51">
        <f>INDEX(parameters!$D$4:$AB$20,MATCH(B4662&amp;B4664,parameters!$A$4:$A$20,0),MATCH(A4687,parameters!$D$3:$AB$3,0))</f>
        <v>2220.7364520822662</v>
      </c>
    </row>
    <row r="4689" spans="1:22" x14ac:dyDescent="0.2">
      <c r="A4689" s="3" t="s">
        <v>57</v>
      </c>
    </row>
    <row r="4690" spans="1:22" x14ac:dyDescent="0.2">
      <c r="A4690" s="2" t="s">
        <v>58</v>
      </c>
      <c r="B4690" s="44" t="s">
        <v>59</v>
      </c>
      <c r="C4690" s="2" t="s">
        <v>55</v>
      </c>
      <c r="D4690" s="2" t="s">
        <v>60</v>
      </c>
      <c r="E4690" s="2" t="s">
        <v>52</v>
      </c>
      <c r="F4690" s="2" t="s">
        <v>61</v>
      </c>
      <c r="G4690" s="2" t="s">
        <v>54</v>
      </c>
      <c r="H4690" s="2" t="s">
        <v>87</v>
      </c>
      <c r="I4690" s="2" t="s">
        <v>51</v>
      </c>
      <c r="J4690" s="2" t="s">
        <v>138</v>
      </c>
      <c r="K4690" s="2" t="s">
        <v>136</v>
      </c>
      <c r="L4690" s="2" t="s">
        <v>221</v>
      </c>
      <c r="M4690" s="2" t="s">
        <v>379</v>
      </c>
      <c r="N4690" s="2" t="s">
        <v>1059</v>
      </c>
      <c r="O4690" s="2" t="s">
        <v>1060</v>
      </c>
      <c r="P4690" s="2" t="s">
        <v>1061</v>
      </c>
      <c r="Q4690" s="2" t="s">
        <v>1062</v>
      </c>
      <c r="R4690" s="2" t="s">
        <v>1063</v>
      </c>
      <c r="S4690" s="2" t="s">
        <v>1064</v>
      </c>
      <c r="T4690" s="2" t="s">
        <v>1065</v>
      </c>
      <c r="U4690" s="2" t="s">
        <v>380</v>
      </c>
      <c r="V4690" s="2" t="s">
        <v>1128</v>
      </c>
    </row>
    <row r="4691" spans="1:22" x14ac:dyDescent="0.2">
      <c r="A4691" t="str">
        <f>B4652</f>
        <v>heat, residential, by combustion of hydrogen using CHP, allocated by exergy, transported by pipeline, produced by Electrolysis, PEM using water and electricity from Solar PV (IT)</v>
      </c>
      <c r="B4691" s="45">
        <v>1</v>
      </c>
      <c r="C4691" t="str">
        <f>B4658</f>
        <v>megajoule</v>
      </c>
      <c r="E4691" t="str">
        <f>B4655</f>
        <v>CH</v>
      </c>
      <c r="F4691" t="s">
        <v>62</v>
      </c>
      <c r="G4691" t="str">
        <f>B4657</f>
        <v>heat, from residential heating system</v>
      </c>
      <c r="K4691" t="str">
        <f>B4652</f>
        <v>heat, residential, by combustion of hydrogen using CHP, allocated by exergy, transported by pipeline, produced by Electrolysis, PEM using water and electricity from Solar PV (IT)</v>
      </c>
    </row>
    <row r="4692" spans="1:22" x14ac:dyDescent="0.2">
      <c r="A4692" t="str">
        <f>VLOOKUP(J4692,'dataset mapping'!$A$4:$E$69,2,0)</f>
        <v>heat and power co-generation unit construction, 160kW electrical, common components for heat+electricity</v>
      </c>
      <c r="B4692" s="52">
        <f>(1/(B4681*B4685*B4684*3.6))*B4686</f>
        <v>1.270649883812899E-9</v>
      </c>
      <c r="C4692" t="str">
        <f>VLOOKUP(J4692,'dataset mapping'!$A$4:$E$69,5,0)</f>
        <v>unit</v>
      </c>
      <c r="E4692" t="str">
        <f>VLOOKUP(J4692,'dataset mapping'!$A$4:$E$69,4,0)</f>
        <v>RER</v>
      </c>
      <c r="F4692" t="s">
        <v>86</v>
      </c>
      <c r="G4692" t="str">
        <f>VLOOKUP(J4692,'dataset mapping'!$A$4:$E$69,3,0)</f>
        <v>heat and power co-generation unit, 160kW electrical, common components for heat+electricity</v>
      </c>
      <c r="H4692" t="s">
        <v>88</v>
      </c>
      <c r="J4692" t="s">
        <v>145</v>
      </c>
      <c r="K4692" t="str">
        <f>B4652</f>
        <v>heat, residential, by combustion of hydrogen using CHP, allocated by exergy, transported by pipeline, produced by Electrolysis, PEM using water and electricity from Solar PV (IT)</v>
      </c>
      <c r="L4692">
        <f t="shared" ref="L4692:L4699" si="157">IF(OR(B4692&lt;0,B4692=0),1,2)</f>
        <v>2</v>
      </c>
      <c r="M4692">
        <f t="shared" ref="M4692:M4699" si="158">IF(L4692=2,LN(B4692),"")</f>
        <v>-20.48373734782199</v>
      </c>
      <c r="N4692">
        <v>1.05</v>
      </c>
      <c r="O4692" s="15">
        <v>1.2</v>
      </c>
      <c r="P4692">
        <v>1</v>
      </c>
      <c r="Q4692">
        <v>1.01</v>
      </c>
      <c r="R4692">
        <v>1.2</v>
      </c>
      <c r="S4692">
        <v>1.2</v>
      </c>
      <c r="T4692">
        <v>3</v>
      </c>
      <c r="U4692">
        <f t="shared" ref="U4692:U4699" si="159">LN(SQRT(EXP(
SQRT(
+POWER(LN(N4692),2)
+POWER(LN(O4692),2)
+POWER(LN(P4692),2)
+POWER(LN(Q4692),2)
+POWER(LN(R4692),2)
+POWER(LN(S4692),2)
+POWER(LN(T4692),2)
)
)))</f>
        <v>0.57209088006881903</v>
      </c>
    </row>
    <row r="4693" spans="1:22" x14ac:dyDescent="0.2">
      <c r="A4693" t="str">
        <f>VLOOKUP(J4693,'dataset mapping'!$A$4:$E$69,2,0)</f>
        <v>heat and power co-generation unit construction, 160kW electrical, components for electricity only</v>
      </c>
      <c r="B4693" s="52">
        <f>(1/(B4681*B4685*B4684*3.6))*B4686</f>
        <v>1.270649883812899E-9</v>
      </c>
      <c r="C4693" t="str">
        <f>VLOOKUP(J4693,'dataset mapping'!$A$4:$E$69,5,0)</f>
        <v>unit</v>
      </c>
      <c r="E4693" t="str">
        <f>VLOOKUP(J4693,'dataset mapping'!$A$4:$E$69,4,0)</f>
        <v>RER</v>
      </c>
      <c r="F4693" t="s">
        <v>86</v>
      </c>
      <c r="G4693" t="str">
        <f>VLOOKUP(J4693,'dataset mapping'!$A$4:$E$69,3,0)</f>
        <v>heat and power co-generation unit, 160kW electrical, components for electricity only</v>
      </c>
      <c r="H4693" t="s">
        <v>88</v>
      </c>
      <c r="J4693" t="s">
        <v>146</v>
      </c>
      <c r="K4693" t="str">
        <f>B4652</f>
        <v>heat, residential, by combustion of hydrogen using CHP, allocated by exergy, transported by pipeline, produced by Electrolysis, PEM using water and electricity from Solar PV (IT)</v>
      </c>
      <c r="L4693">
        <f t="shared" si="157"/>
        <v>2</v>
      </c>
      <c r="M4693">
        <f t="shared" si="158"/>
        <v>-20.48373734782199</v>
      </c>
      <c r="N4693">
        <v>1.05</v>
      </c>
      <c r="O4693" s="15">
        <v>1.2</v>
      </c>
      <c r="P4693">
        <v>1</v>
      </c>
      <c r="Q4693">
        <v>1.01</v>
      </c>
      <c r="R4693">
        <v>1.2</v>
      </c>
      <c r="S4693">
        <v>1.2</v>
      </c>
      <c r="T4693">
        <v>3</v>
      </c>
      <c r="U4693">
        <f t="shared" si="159"/>
        <v>0.57209088006881903</v>
      </c>
    </row>
    <row r="4694" spans="1:22" x14ac:dyDescent="0.2">
      <c r="A4694" t="str">
        <f>VLOOKUP(J4694,'dataset mapping'!$A$4:$E$69,2,0)</f>
        <v>heat and power co-generation unit construction, 160kW electrical, components for heat only</v>
      </c>
      <c r="B4694" s="52">
        <f>(1/(B4681*B4685*B4684*3.6))*B4686</f>
        <v>1.270649883812899E-9</v>
      </c>
      <c r="C4694" t="str">
        <f>VLOOKUP(J4694,'dataset mapping'!$A$4:$E$69,5,0)</f>
        <v>unit</v>
      </c>
      <c r="E4694" t="str">
        <f>VLOOKUP(J4694,'dataset mapping'!$A$4:$E$69,4,0)</f>
        <v>RER</v>
      </c>
      <c r="F4694" t="s">
        <v>86</v>
      </c>
      <c r="G4694" t="str">
        <f>VLOOKUP(J4694,'dataset mapping'!$A$4:$E$69,3,0)</f>
        <v>heat and power co-generation unit, 160kW electrical, components for heat only</v>
      </c>
      <c r="H4694" t="s">
        <v>88</v>
      </c>
      <c r="J4694" t="s">
        <v>147</v>
      </c>
      <c r="K4694" t="str">
        <f>B4652</f>
        <v>heat, residential, by combustion of hydrogen using CHP, allocated by exergy, transported by pipeline, produced by Electrolysis, PEM using water and electricity from Solar PV (IT)</v>
      </c>
      <c r="L4694">
        <f t="shared" si="157"/>
        <v>2</v>
      </c>
      <c r="M4694">
        <f t="shared" si="158"/>
        <v>-20.48373734782199</v>
      </c>
      <c r="N4694">
        <v>1.05</v>
      </c>
      <c r="O4694" s="15">
        <v>1.2</v>
      </c>
      <c r="P4694">
        <v>1</v>
      </c>
      <c r="Q4694">
        <v>1.01</v>
      </c>
      <c r="R4694">
        <v>1.2</v>
      </c>
      <c r="S4694">
        <v>1.2</v>
      </c>
      <c r="T4694">
        <v>3</v>
      </c>
      <c r="U4694">
        <f t="shared" si="159"/>
        <v>0.57209088006881903</v>
      </c>
    </row>
    <row r="4695" spans="1:22" x14ac:dyDescent="0.2">
      <c r="A4695" t="s">
        <v>156</v>
      </c>
      <c r="B4695" s="52">
        <f>0.00000011366*B4686</f>
        <v>1.461672399554354E-8</v>
      </c>
      <c r="C4695" t="s">
        <v>56</v>
      </c>
      <c r="E4695" t="s">
        <v>90</v>
      </c>
      <c r="F4695" t="s">
        <v>86</v>
      </c>
      <c r="G4695" t="s">
        <v>154</v>
      </c>
      <c r="H4695" t="s">
        <v>155</v>
      </c>
      <c r="K4695" t="str">
        <f>B4652</f>
        <v>heat, residential, by combustion of hydrogen using CHP, allocated by exergy, transported by pipeline, produced by Electrolysis, PEM using water and electricity from Solar PV (IT)</v>
      </c>
      <c r="L4695">
        <f t="shared" si="157"/>
        <v>2</v>
      </c>
      <c r="M4695">
        <f t="shared" si="158"/>
        <v>-18.041099484645969</v>
      </c>
      <c r="N4695">
        <v>1.05</v>
      </c>
      <c r="O4695" s="15">
        <v>1.2</v>
      </c>
      <c r="P4695">
        <v>1</v>
      </c>
      <c r="Q4695">
        <v>1.01</v>
      </c>
      <c r="R4695">
        <v>1.2</v>
      </c>
      <c r="S4695">
        <v>1.2</v>
      </c>
      <c r="T4695">
        <v>1.05</v>
      </c>
      <c r="U4695">
        <f t="shared" si="159"/>
        <v>0.16169679924070957</v>
      </c>
    </row>
    <row r="4696" spans="1:22" x14ac:dyDescent="0.2">
      <c r="A4696" t="s">
        <v>157</v>
      </c>
      <c r="B4696" s="52">
        <f>0.00000011366*B4686*-1</f>
        <v>-1.461672399554354E-8</v>
      </c>
      <c r="C4696" t="s">
        <v>56</v>
      </c>
      <c r="E4696" t="s">
        <v>64</v>
      </c>
      <c r="F4696" t="s">
        <v>86</v>
      </c>
      <c r="G4696" t="s">
        <v>158</v>
      </c>
      <c r="H4696" t="s">
        <v>155</v>
      </c>
      <c r="K4696" t="str">
        <f>B4652</f>
        <v>heat, residential, by combustion of hydrogen using CHP, allocated by exergy, transported by pipeline, produced by Electrolysis, PEM using water and electricity from Solar PV (IT)</v>
      </c>
      <c r="L4696">
        <v>2</v>
      </c>
      <c r="M4696">
        <f>IF(L4696=2,LN(B4696*-1),"")</f>
        <v>-18.041099484645969</v>
      </c>
      <c r="N4696">
        <v>1.05</v>
      </c>
      <c r="O4696" s="15">
        <v>1.2</v>
      </c>
      <c r="P4696">
        <v>1</v>
      </c>
      <c r="Q4696">
        <v>1.01</v>
      </c>
      <c r="R4696">
        <v>1.2</v>
      </c>
      <c r="S4696">
        <v>1.2</v>
      </c>
      <c r="T4696">
        <v>3</v>
      </c>
      <c r="U4696">
        <f>LN(SQRT(EXP(
SQRT(
+POWER(LN(N4696),2)
+POWER(LN(O4696),2)
+POWER(LN(P4696),2)
+POWER(LN(Q4696),2)
+POWER(LN(R4696),2)
+POWER(LN(S4696),2)
+POWER(LN(T4696),2)
)
)))</f>
        <v>0.57209088006881903</v>
      </c>
      <c r="V4696" t="b">
        <v>1</v>
      </c>
    </row>
    <row r="4697" spans="1:22" x14ac:dyDescent="0.2">
      <c r="A4697" s="45" t="str">
        <f>"hydrogen supply, transported by "&amp;B4666&amp;", produced by "&amp;B4670&amp;" using "&amp;B4671&amp;" from "&amp;B4672</f>
        <v>hydrogen supply, transported by pipeline, produced by Electrolysis, PEM using water and electricity from Solar PV (IT)</v>
      </c>
      <c r="B4697" s="53">
        <f>(B4691/B4675)/B4674*B4686</f>
        <v>2.56995248347223E-3</v>
      </c>
      <c r="C4697" t="s">
        <v>56</v>
      </c>
      <c r="E4697" t="s">
        <v>64</v>
      </c>
      <c r="F4697" t="s">
        <v>86</v>
      </c>
      <c r="G4697" t="str">
        <f>"hydrogen, gaseous, from "&amp;B4666</f>
        <v>hydrogen, gaseous, from pipeline</v>
      </c>
      <c r="H4697" t="s">
        <v>76</v>
      </c>
      <c r="I4697" t="s">
        <v>1054</v>
      </c>
      <c r="J4697" t="s">
        <v>637</v>
      </c>
      <c r="K4697" t="str">
        <f>B4652</f>
        <v>heat, residential, by combustion of hydrogen using CHP, allocated by exergy, transported by pipeline, produced by Electrolysis, PEM using water and electricity from Solar PV (IT)</v>
      </c>
      <c r="L4697">
        <f t="shared" si="157"/>
        <v>2</v>
      </c>
      <c r="M4697">
        <f t="shared" si="158"/>
        <v>-5.9638678691672418</v>
      </c>
      <c r="N4697">
        <v>1.05</v>
      </c>
      <c r="O4697" s="15">
        <v>1.2</v>
      </c>
      <c r="P4697">
        <v>1</v>
      </c>
      <c r="Q4697">
        <v>1.01</v>
      </c>
      <c r="R4697">
        <v>1.2</v>
      </c>
      <c r="S4697">
        <v>1.2</v>
      </c>
      <c r="T4697">
        <v>1.05</v>
      </c>
      <c r="U4697">
        <f t="shared" si="159"/>
        <v>0.16169679924070957</v>
      </c>
    </row>
    <row r="4698" spans="1:22" x14ac:dyDescent="0.2">
      <c r="A4698" t="s">
        <v>134</v>
      </c>
      <c r="B4698" s="45">
        <f>B4697*9</f>
        <v>2.3129572351250072E-2</v>
      </c>
      <c r="C4698" t="s">
        <v>56</v>
      </c>
      <c r="D4698" t="s">
        <v>100</v>
      </c>
      <c r="F4698" t="s">
        <v>99</v>
      </c>
      <c r="H4698" t="s">
        <v>131</v>
      </c>
      <c r="I4698" t="s">
        <v>1058</v>
      </c>
      <c r="K4698" t="str">
        <f>B4652</f>
        <v>heat, residential, by combustion of hydrogen using CHP, allocated by exergy, transported by pipeline, produced by Electrolysis, PEM using water and electricity from Solar PV (IT)</v>
      </c>
      <c r="L4698">
        <f t="shared" si="157"/>
        <v>2</v>
      </c>
      <c r="M4698">
        <f t="shared" si="158"/>
        <v>-3.7666432918310226</v>
      </c>
      <c r="N4698">
        <v>1.05</v>
      </c>
      <c r="O4698" s="15">
        <v>1.2</v>
      </c>
      <c r="P4698">
        <v>1</v>
      </c>
      <c r="Q4698">
        <v>1.01</v>
      </c>
      <c r="R4698">
        <v>1.2</v>
      </c>
      <c r="S4698">
        <v>1.2</v>
      </c>
      <c r="T4698">
        <v>1.05</v>
      </c>
      <c r="U4698">
        <f t="shared" si="159"/>
        <v>0.16169679924070957</v>
      </c>
    </row>
    <row r="4699" spans="1:22" x14ac:dyDescent="0.2">
      <c r="A4699" t="s">
        <v>135</v>
      </c>
      <c r="B4699" s="45">
        <f>912.5/1000000*B4697</f>
        <v>2.3450816411684101E-6</v>
      </c>
      <c r="C4699" t="s">
        <v>56</v>
      </c>
      <c r="D4699" t="s">
        <v>100</v>
      </c>
      <c r="F4699" t="s">
        <v>99</v>
      </c>
      <c r="H4699" t="s">
        <v>131</v>
      </c>
      <c r="I4699" t="s">
        <v>1217</v>
      </c>
      <c r="K4699" t="str">
        <f>B4652</f>
        <v>heat, residential, by combustion of hydrogen using CHP, allocated by exergy, transported by pipeline, produced by Electrolysis, PEM using water and electricity from Solar PV (IT)</v>
      </c>
      <c r="L4699">
        <f t="shared" si="157"/>
        <v>2</v>
      </c>
      <c r="M4699">
        <f t="shared" si="158"/>
        <v>-12.963190341674869</v>
      </c>
      <c r="N4699">
        <v>1.05</v>
      </c>
      <c r="O4699" s="15">
        <v>1.2</v>
      </c>
      <c r="P4699">
        <v>1</v>
      </c>
      <c r="Q4699">
        <v>1.01</v>
      </c>
      <c r="R4699">
        <v>1.2</v>
      </c>
      <c r="S4699">
        <v>1.2</v>
      </c>
      <c r="T4699">
        <v>1.5</v>
      </c>
      <c r="U4699">
        <f t="shared" si="159"/>
        <v>0.25816898211842121</v>
      </c>
    </row>
    <row r="4701" spans="1:22" x14ac:dyDescent="0.2">
      <c r="A4701" s="2" t="s">
        <v>50</v>
      </c>
      <c r="B4701" s="44" t="str">
        <f>IF(B4707="megajoule","heat","electricity")&amp;", residential, by "&amp;B4712&amp;" of "&amp;B4711&amp;" using "&amp;B4713&amp;IF(B4714&lt;&gt;0,", allocated by "&amp;B4714,"")&amp;", transported by "&amp;B4715&amp;", produced by "&amp;B4719&amp;" using "&amp;B4720&amp;" from "&amp;B4721</f>
        <v>heat, residential, by conversion of hydrogen using fuel cell, PEM, allocated by exergy, transported by pipeline, produced by Electrolysis, PEM using water and electricity from Solar PV (IT)</v>
      </c>
    </row>
    <row r="4702" spans="1:22" x14ac:dyDescent="0.2">
      <c r="A4702" t="s">
        <v>51</v>
      </c>
      <c r="B4702" s="45" t="str">
        <f>"This dataset represents the supply of 1 "&amp;IF(B4707="megajoule","megajoule of heat","kilowatt hour of electricity")&amp;" in a residence, by "&amp;B4711&amp;" "&amp;B4712&amp;" in a "&amp;B4713&amp;". "&amp;" The hydrogen is transported by "&amp;B4715&amp;" over "&amp;B4716&amp;" km from regional storage. "&amp;" The "&amp;B4711&amp;" is produced by  "&amp;B4719&amp;", with "&amp;B4720&amp;" from "&amp;B4721&amp;" as feedstock. "&amp;A4723&amp;": "&amp;(B4723*100)&amp;"%. "&amp;A4724&amp;": "&amp;B4724&amp;". "&amp;A4725&amp;": "&amp;B4725&amp;". "&amp;A4726&amp;": "&amp;(B4726*100)&amp;"%. "&amp;A4727&amp;": "&amp;(B4727*100)&amp;"%. "&amp;A4728&amp;": "&amp;(B4728*100)&amp;"%. "&amp;A4729&amp;": "&amp;B4729&amp;". "&amp;A4730&amp;": "&amp;B4730&amp;". "&amp;A4731&amp;": "&amp;(B4731*100)&amp;"%. "&amp;A4732&amp;": "&amp;B4732&amp;". "&amp;A4733&amp;": "&amp;B4733&amp;". "&amp;A4734&amp;": "&amp;B4734&amp;". "&amp;A4735&amp;": "&amp;B4735&amp;".  For more information, refer to: "&amp;B4703</f>
        <v>This dataset represents the supply of 1 megajoule of heat in a residence, by hydrogen conversion in a fuel cell, PEM.  The hydrogen is transported by pipeline over 1700 km from regional storage.  The hydrogen is produced by  Electrolysis, PEM,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4703" spans="1:22" x14ac:dyDescent="0.2">
      <c r="A4703" t="s">
        <v>63</v>
      </c>
      <c r="B4703" s="45" t="s">
        <v>1223</v>
      </c>
    </row>
    <row r="4704" spans="1:22" x14ac:dyDescent="0.2">
      <c r="A4704" t="s">
        <v>52</v>
      </c>
      <c r="B4704" s="45" t="s">
        <v>64</v>
      </c>
    </row>
    <row r="4705" spans="1:2" x14ac:dyDescent="0.2">
      <c r="A4705" t="s">
        <v>48</v>
      </c>
      <c r="B4705" s="45">
        <v>59</v>
      </c>
    </row>
    <row r="4706" spans="1:2" x14ac:dyDescent="0.2">
      <c r="A4706" t="s">
        <v>54</v>
      </c>
      <c r="B4706" s="45" t="str">
        <f>INDEX(overview!$B$4:$R$338,MATCH('hydrogen - electrolysis'!B4705,overview!$A$4:$A$338,0),MATCH('hydrogen - electrolysis'!A4706,overview!$B$3:$R$3,0))</f>
        <v>heat, from residential heating system</v>
      </c>
    </row>
    <row r="4707" spans="1:2" x14ac:dyDescent="0.2">
      <c r="A4707" t="s">
        <v>55</v>
      </c>
      <c r="B4707" s="45" t="str">
        <f>INDEX(overview!$B$4:$R$338,MATCH('hydrogen - electrolysis'!B4705,overview!$A$4:$A$338,0),MATCH('hydrogen - electrolysis'!A4707,overview!$B$3:$R$3,0))</f>
        <v>megajoule</v>
      </c>
    </row>
    <row r="4708" spans="1:2" x14ac:dyDescent="0.2">
      <c r="A4708" t="s">
        <v>0</v>
      </c>
      <c r="B4708" s="45" t="str">
        <f>INDEX(overview!$B$4:$R$338,MATCH('hydrogen - electrolysis'!B4705,overview!$A$4:$A$338,0),MATCH('hydrogen - electrolysis'!A4708,overview!$B$3:$R$3,0))</f>
        <v>Switzerland</v>
      </c>
    </row>
    <row r="4709" spans="1:2" x14ac:dyDescent="0.2">
      <c r="A4709" t="s">
        <v>1</v>
      </c>
      <c r="B4709" s="45">
        <f>INDEX(overview!$B$4:$R$338,MATCH('hydrogen - electrolysis'!B4705,overview!$A$4:$A$338,0),MATCH('hydrogen - electrolysis'!A4709,overview!$B$3:$R$3,0))</f>
        <v>2020</v>
      </c>
    </row>
    <row r="4710" spans="1:2" x14ac:dyDescent="0.2">
      <c r="A4710" t="s">
        <v>2</v>
      </c>
      <c r="B4710" s="45" t="str">
        <f>INDEX(overview!$B$4:$R$338,MATCH('hydrogen - electrolysis'!B4705,overview!$A$4:$A$338,0),MATCH('hydrogen - electrolysis'!A4710,overview!$B$3:$R$3,0))</f>
        <v>1 MJ heat</v>
      </c>
    </row>
    <row r="4711" spans="1:2" x14ac:dyDescent="0.2">
      <c r="A4711" t="s">
        <v>5</v>
      </c>
      <c r="B4711" s="45" t="str">
        <f>INDEX(overview!$B$4:$R$338,MATCH('hydrogen - electrolysis'!B4705,overview!$A$4:$A$338,0),MATCH('hydrogen - electrolysis'!A4711,overview!$B$3:$R$3,0))</f>
        <v>hydrogen</v>
      </c>
    </row>
    <row r="4712" spans="1:2" x14ac:dyDescent="0.2">
      <c r="A4712" t="s">
        <v>3</v>
      </c>
      <c r="B4712" s="45" t="str">
        <f>INDEX(overview!$B$4:$R$338,MATCH('hydrogen - electrolysis'!B4705,overview!$A$4:$A$338,0),MATCH('hydrogen - electrolysis'!A4712,overview!$B$3:$R$3,0))</f>
        <v>conversion</v>
      </c>
    </row>
    <row r="4713" spans="1:2" x14ac:dyDescent="0.2">
      <c r="A4713" t="s">
        <v>6</v>
      </c>
      <c r="B4713" s="45" t="str">
        <f>INDEX(overview!$B$4:$R$338,MATCH('hydrogen - electrolysis'!B4705,overview!$A$4:$A$338,0),MATCH('hydrogen - electrolysis'!A4713,overview!$B$3:$R$3,0))</f>
        <v>fuel cell, PEM</v>
      </c>
    </row>
    <row r="4714" spans="1:2" x14ac:dyDescent="0.2">
      <c r="A4714" t="s">
        <v>39</v>
      </c>
      <c r="B4714" s="45" t="str">
        <f>INDEX(overview!$B$4:$R$338,MATCH('hydrogen - electrolysis'!B4705,overview!$A$4:$A$338,0),MATCH('hydrogen - electrolysis'!A4714,overview!$B$3:$R$3,0))</f>
        <v>exergy</v>
      </c>
    </row>
    <row r="4715" spans="1:2" x14ac:dyDescent="0.2">
      <c r="A4715" t="s">
        <v>4</v>
      </c>
      <c r="B4715" s="45" t="str">
        <f>INDEX(overview!$B$4:$R$338,MATCH('hydrogen - electrolysis'!B4705,overview!$A$4:$A$338,0),MATCH('hydrogen - electrolysis'!A4715,overview!$B$3:$R$3,0))</f>
        <v>pipeline</v>
      </c>
    </row>
    <row r="4716" spans="1:2" x14ac:dyDescent="0.2">
      <c r="A4716" t="s">
        <v>38</v>
      </c>
      <c r="B4716" s="45">
        <f>INDEX(overview!$B$4:$R$338,MATCH('hydrogen - electrolysis'!B4705,overview!$A$4:$A$338,0),MATCH('hydrogen - electrolysis'!A4716,overview!$B$3:$R$3,0))</f>
        <v>1700</v>
      </c>
    </row>
    <row r="4717" spans="1:2" x14ac:dyDescent="0.2">
      <c r="A4717" t="s">
        <v>12</v>
      </c>
      <c r="B4717" s="45" t="str">
        <f>INDEX(overview!$B$4:$R$338,MATCH('hydrogen - electrolysis'!B4705,overview!$A$4:$A$338,0),MATCH('hydrogen - electrolysis'!A4717,overview!$B$3:$R$3,0))</f>
        <v>Pressure vessel for stationary storage</v>
      </c>
    </row>
    <row r="4718" spans="1:2" x14ac:dyDescent="0.2">
      <c r="A4718" t="s">
        <v>34</v>
      </c>
      <c r="B4718" s="45">
        <f>INDEX(overview!$B$4:$R$338,MATCH('hydrogen - electrolysis'!B4705,overview!$A$4:$A$338,0),MATCH('hydrogen - electrolysis'!A4718,overview!$B$3:$R$3,0))</f>
        <v>0</v>
      </c>
    </row>
    <row r="4719" spans="1:2" x14ac:dyDescent="0.2">
      <c r="A4719" t="s">
        <v>15</v>
      </c>
      <c r="B4719" s="45" t="str">
        <f>INDEX(overview!$B$4:$R$338,MATCH('hydrogen - electrolysis'!B4705,overview!$A$4:$A$338,0),MATCH('hydrogen - electrolysis'!A4719,overview!$B$3:$R$3,0))</f>
        <v>Electrolysis, PEM</v>
      </c>
    </row>
    <row r="4720" spans="1:2" x14ac:dyDescent="0.2">
      <c r="A4720" t="s">
        <v>14</v>
      </c>
      <c r="B4720" s="45" t="str">
        <f>INDEX(overview!$B$4:$R$338,MATCH('hydrogen - electrolysis'!B4705,overview!$A$4:$A$338,0),MATCH('hydrogen - electrolysis'!A4720,overview!$B$3:$R$3,0))</f>
        <v>water and electricity</v>
      </c>
    </row>
    <row r="4721" spans="1:2" x14ac:dyDescent="0.2">
      <c r="A4721" t="s">
        <v>26</v>
      </c>
      <c r="B4721" s="45" t="str">
        <f>INDEX(overview!$B$4:$R$338,MATCH('hydrogen - electrolysis'!B4705,overview!$A$4:$A$338,0),MATCH('hydrogen - electrolysis'!A4721,overview!$B$3:$R$3,0))</f>
        <v>Solar PV (IT)</v>
      </c>
    </row>
    <row r="4722" spans="1:2" x14ac:dyDescent="0.2">
      <c r="A4722" t="s">
        <v>29</v>
      </c>
      <c r="B4722" s="45">
        <f>INDEX(overview!$B$4:$R$338,MATCH('hydrogen - electrolysis'!B4705,overview!$A$4:$A$338,0),MATCH('hydrogen - electrolysis'!A4722,overview!$B$3:$R$3,0))</f>
        <v>0</v>
      </c>
    </row>
    <row r="4723" spans="1:2" x14ac:dyDescent="0.2">
      <c r="A4723" t="str">
        <f>IF(B4707="megajoule","Heat","Electricity")&amp;" conversion efficiency [% LHV input]"</f>
        <v>Heat conversion efficiency [% LHV input]</v>
      </c>
      <c r="B4723" s="46">
        <f>INDEX(parameters!$D$4:$N$20,MATCH('hydrogen - electrolysis'!B4711&amp;'hydrogen - electrolysis'!B4713,parameters!$A$4:$A$20,0),MATCH('hydrogen - electrolysis'!A4723,parameters!$D$3:$N$3,0))</f>
        <v>0.5</v>
      </c>
    </row>
    <row r="4724" spans="1:2" x14ac:dyDescent="0.2">
      <c r="A4724" t="str">
        <f>IF(B4707="megajoule","LHV [MJ/kg]","LHV [kWh/kg]")</f>
        <v>LHV [MJ/kg]</v>
      </c>
      <c r="B4724" s="47">
        <f>INDEX(parameters!$D$4:$N$20,MATCH('hydrogen - electrolysis'!B4711&amp;'hydrogen - electrolysis'!B4713,parameters!$A$4:$A$20,0),MATCH('hydrogen - electrolysis'!A4724,parameters!$D$3:$N$3,0))</f>
        <v>120</v>
      </c>
    </row>
    <row r="4725" spans="1:2" x14ac:dyDescent="0.2">
      <c r="A4725" t="s">
        <v>41</v>
      </c>
      <c r="B4725" s="48">
        <f>INDEX(parameters!$D$4:$N$20,MATCH('hydrogen - electrolysis'!B4711&amp;'hydrogen - electrolysis'!B4713,parameters!$A$4:$A$20,0),MATCH('hydrogen - electrolysis'!A4725,parameters!$D$3:$N$3,0))</f>
        <v>2.6666666666666665E-2</v>
      </c>
    </row>
    <row r="4726" spans="1:2" x14ac:dyDescent="0.2">
      <c r="A4726" t="s">
        <v>45</v>
      </c>
      <c r="B4726" s="46">
        <f>INDEX(parameters!$D$4:$N$20,MATCH('hydrogen - electrolysis'!B4711&amp;'hydrogen - electrolysis'!B4713,parameters!$A$4:$A$20,0),MATCH('hydrogen - electrolysis'!A4726,parameters!$D$3:$N$3,0))</f>
        <v>0</v>
      </c>
    </row>
    <row r="4727" spans="1:2" x14ac:dyDescent="0.2">
      <c r="A4727" t="s">
        <v>46</v>
      </c>
      <c r="B4727" s="46">
        <f>INDEX(parameters!$D$4:$N$20,MATCH('hydrogen - electrolysis'!B4711&amp;'hydrogen - electrolysis'!B4713,parameters!$A$4:$A$20,0),MATCH('hydrogen - electrolysis'!A4727,parameters!$D$3:$N$3,0))</f>
        <v>1.4999999999999999E-2</v>
      </c>
    </row>
    <row r="4728" spans="1:2" x14ac:dyDescent="0.2">
      <c r="A4728" t="s">
        <v>43</v>
      </c>
      <c r="B4728" s="46">
        <f>INDEX(parameters!$D$4:$N$20,MATCH('hydrogen - electrolysis'!B4711&amp;'hydrogen - electrolysis'!B4713,parameters!$A$4:$A$20,0),MATCH('hydrogen - electrolysis'!A4728,parameters!$D$3:$N$3,0))</f>
        <v>0</v>
      </c>
    </row>
    <row r="4729" spans="1:2" x14ac:dyDescent="0.2">
      <c r="A4729" t="s">
        <v>44</v>
      </c>
      <c r="B4729" s="46">
        <f>INDEX(parameters!$D$4:$N$20,MATCH('hydrogen - electrolysis'!B4711&amp;'hydrogen - electrolysis'!B4713,parameters!$A$4:$A$20,0),MATCH('hydrogen - electrolysis'!A4729,parameters!$D$3:$N$3,0))</f>
        <v>0</v>
      </c>
    </row>
    <row r="4730" spans="1:2" x14ac:dyDescent="0.2">
      <c r="A4730" t="s">
        <v>634</v>
      </c>
      <c r="B4730" s="51">
        <f>INDEX(parameters!$D$4:$Y$20,MATCH('hydrogen - electrolysis'!B4711&amp;'hydrogen - electrolysis'!B4713,parameters!$A$4:$A$20,0),MATCH('hydrogen - electrolysis'!A4730,parameters!$D$3:$Y$3,0))</f>
        <v>1.8947368421052633</v>
      </c>
    </row>
    <row r="4731" spans="1:2" x14ac:dyDescent="0.2">
      <c r="A4731" t="s">
        <v>82</v>
      </c>
      <c r="B4731" s="46">
        <f>IF(B4722&lt;&gt;0,VLOOKUP(B4722,parameters!A3025:B3027,2,0),0)</f>
        <v>0</v>
      </c>
    </row>
    <row r="4732" spans="1:2" x14ac:dyDescent="0.2">
      <c r="A4732" t="s">
        <v>548</v>
      </c>
      <c r="B4732" s="50">
        <f>INDEX(parameters!$D$4:$P$20,MATCH(B4711&amp;B4713,parameters!$A$4:$A$20,0),MATCH(A4732,parameters!$D$3:$P$3,0))</f>
        <v>0.8</v>
      </c>
    </row>
    <row r="4733" spans="1:2" x14ac:dyDescent="0.2">
      <c r="A4733" t="s">
        <v>547</v>
      </c>
      <c r="B4733" s="51">
        <f>INDEX(parameters!$D$4:$P$20,MATCH(B4711&amp;B4713,parameters!$A$4:$A$20,0),MATCH(A4733,parameters!$D$3:$P$3,0))</f>
        <v>4.8780487804878048</v>
      </c>
    </row>
    <row r="4734" spans="1:2" x14ac:dyDescent="0.2">
      <c r="A4734" t="s">
        <v>630</v>
      </c>
      <c r="B4734" s="51">
        <f>INDEX(parameters!$D$4:$T$20,MATCH(B4711&amp;B4713,parameters!$A$4:$A$20,0),MATCH(A4734,parameters!$D$3:$T$3,0))</f>
        <v>4100</v>
      </c>
    </row>
    <row r="4735" spans="1:2" x14ac:dyDescent="0.2">
      <c r="A4735" t="s">
        <v>1005</v>
      </c>
      <c r="B4735" s="50">
        <f>IF(B4707="megajoule",SUMIFS(allocation!$I$4:$I$30,allocation!$B$4:$B$30,B4713,allocation!$C$4:$C$30,B4714),SUMIFS(allocation!$J$4:$J$30,allocation!$B$4:$B$30,B4713,allocation!$C$4:$C$30,B4714))</f>
        <v>0.13933980798974457</v>
      </c>
    </row>
    <row r="4736" spans="1:2" x14ac:dyDescent="0.2">
      <c r="A4736" t="s">
        <v>1050</v>
      </c>
      <c r="B4736" s="51">
        <f>INDEX(parameters!$D$4:$AB$20,MATCH(B4711&amp;B4713,parameters!$A$4:$A$20,0),MATCH(A4736,parameters!$D$3:$AB$3,0))</f>
        <v>10.221606648199446</v>
      </c>
    </row>
    <row r="4738" spans="1:22" x14ac:dyDescent="0.2">
      <c r="A4738" s="3" t="s">
        <v>57</v>
      </c>
    </row>
    <row r="4739" spans="1:22" x14ac:dyDescent="0.2">
      <c r="A4739" s="2" t="s">
        <v>58</v>
      </c>
      <c r="B4739" s="44" t="s">
        <v>59</v>
      </c>
      <c r="C4739" s="2" t="s">
        <v>55</v>
      </c>
      <c r="D4739" s="2" t="s">
        <v>60</v>
      </c>
      <c r="E4739" s="2" t="s">
        <v>52</v>
      </c>
      <c r="F4739" s="2" t="s">
        <v>61</v>
      </c>
      <c r="G4739" s="2" t="s">
        <v>54</v>
      </c>
      <c r="H4739" s="2" t="s">
        <v>87</v>
      </c>
      <c r="I4739" s="2" t="s">
        <v>51</v>
      </c>
      <c r="J4739" s="2" t="s">
        <v>138</v>
      </c>
      <c r="K4739" s="2" t="s">
        <v>136</v>
      </c>
      <c r="L4739" s="2" t="s">
        <v>221</v>
      </c>
      <c r="M4739" s="2" t="s">
        <v>379</v>
      </c>
      <c r="N4739" s="2" t="s">
        <v>1059</v>
      </c>
      <c r="O4739" s="2" t="s">
        <v>1060</v>
      </c>
      <c r="P4739" s="2" t="s">
        <v>1061</v>
      </c>
      <c r="Q4739" s="2" t="s">
        <v>1062</v>
      </c>
      <c r="R4739" s="2" t="s">
        <v>1063</v>
      </c>
      <c r="S4739" s="2" t="s">
        <v>1064</v>
      </c>
      <c r="T4739" s="2" t="s">
        <v>1065</v>
      </c>
      <c r="U4739" s="2" t="s">
        <v>380</v>
      </c>
      <c r="V4739" s="2" t="s">
        <v>1128</v>
      </c>
    </row>
    <row r="4740" spans="1:22" x14ac:dyDescent="0.2">
      <c r="A4740" t="str">
        <f>B4701</f>
        <v>heat, residential, by conversion of hydrogen using fuel cell, PEM, allocated by exergy, transported by pipeline, produced by Electrolysis, PEM using water and electricity from Solar PV (IT)</v>
      </c>
      <c r="B4740" s="45">
        <v>1</v>
      </c>
      <c r="C4740" t="str">
        <f>B4707</f>
        <v>megajoule</v>
      </c>
      <c r="E4740" t="str">
        <f>B4704</f>
        <v>CH</v>
      </c>
      <c r="F4740" t="s">
        <v>62</v>
      </c>
      <c r="G4740" t="str">
        <f>B4706</f>
        <v>heat, from residential heating system</v>
      </c>
      <c r="K4740" t="str">
        <f>B4701</f>
        <v>heat, residential, by conversion of hydrogen using fuel cell, PEM, allocated by exergy, transported by pipeline, produced by Electrolysis, PEM using water and electricity from Solar PV (IT)</v>
      </c>
    </row>
    <row r="4741" spans="1:22" x14ac:dyDescent="0.2">
      <c r="A4741" t="str">
        <f>VLOOKUP(J4741,'dataset mapping'!$A$4:$E$69,2,0)</f>
        <v>fuel cell system assembly, 1 kWe, proton exchange membrane (PEM)</v>
      </c>
      <c r="B4741" s="52">
        <f>(1/(B4730*B4734*B4733*3.6))*B4735</f>
        <v>1.0213951974556892E-6</v>
      </c>
      <c r="C4741" t="str">
        <f>VLOOKUP(J4741,'dataset mapping'!$A$4:$E$69,5,0)</f>
        <v>unit</v>
      </c>
      <c r="E4741" t="str">
        <f>VLOOKUP(J4741,'dataset mapping'!$A$4:$E$69,4,0)</f>
        <v>GLO</v>
      </c>
      <c r="F4741" t="s">
        <v>86</v>
      </c>
      <c r="G4741" t="str">
        <f>VLOOKUP(J4741,'dataset mapping'!$A$4:$E$69,3,0)</f>
        <v>fuel cell system, 1 kWe, proton exchange membrane (PEM)</v>
      </c>
      <c r="H4741" t="s">
        <v>88</v>
      </c>
      <c r="I4741" t="s">
        <v>272</v>
      </c>
      <c r="J4741" t="s">
        <v>273</v>
      </c>
      <c r="K4741" t="str">
        <f>B4701</f>
        <v>heat, residential, by conversion of hydrogen using fuel cell, PEM, allocated by exergy, transported by pipeline, produced by Electrolysis, PEM using water and electricity from Solar PV (IT)</v>
      </c>
      <c r="L4741">
        <f t="shared" ref="L4741:L4743" si="160">IF(OR(B4741&lt;0,B4741=0),1,2)</f>
        <v>2</v>
      </c>
      <c r="M4741">
        <f t="shared" ref="M4741:M4743" si="161">IF(L4741=2,LN(B4741),"")</f>
        <v>-13.794341024667077</v>
      </c>
      <c r="N4741">
        <v>1</v>
      </c>
      <c r="O4741" s="15">
        <v>1.2</v>
      </c>
      <c r="P4741">
        <v>1</v>
      </c>
      <c r="Q4741">
        <v>1.01</v>
      </c>
      <c r="R4741">
        <v>1.2</v>
      </c>
      <c r="S4741">
        <v>1.2</v>
      </c>
      <c r="T4741">
        <v>3</v>
      </c>
      <c r="U4741">
        <f t="shared" ref="U4741:U4743" si="162">LN(SQRT(EXP(
SQRT(
+POWER(LN(N4741),2)
+POWER(LN(O4741),2)
+POWER(LN(P4741),2)
+POWER(LN(Q4741),2)
+POWER(LN(R4741),2)
+POWER(LN(S4741),2)
+POWER(LN(T4741),2)
)
)))</f>
        <v>0.57157051623399524</v>
      </c>
    </row>
    <row r="4742" spans="1:22" x14ac:dyDescent="0.2">
      <c r="A4742" s="45" t="str">
        <f>"hydrogen supply, transported by "&amp;B4715&amp;", produced by "&amp;B4719&amp;" using "&amp;B4720&amp;" from "&amp;B4721</f>
        <v>hydrogen supply, transported by pipeline, produced by Electrolysis, PEM using water and electricity from Solar PV (IT)</v>
      </c>
      <c r="B4742" s="53">
        <f>(B4740/B4724)/B4723*B4735</f>
        <v>2.3223301331624095E-3</v>
      </c>
      <c r="C4742" t="s">
        <v>56</v>
      </c>
      <c r="E4742" t="s">
        <v>64</v>
      </c>
      <c r="F4742" t="s">
        <v>86</v>
      </c>
      <c r="G4742" t="str">
        <f>"hydrogen, gaseous, from "&amp;B4715</f>
        <v>hydrogen, gaseous, from pipeline</v>
      </c>
      <c r="H4742" t="s">
        <v>76</v>
      </c>
      <c r="I4742" t="s">
        <v>1054</v>
      </c>
      <c r="J4742" t="s">
        <v>637</v>
      </c>
      <c r="K4742" t="str">
        <f>B4701</f>
        <v>heat, residential, by conversion of hydrogen using fuel cell, PEM, allocated by exergy, transported by pipeline, produced by Electrolysis, PEM using water and electricity from Solar PV (IT)</v>
      </c>
      <c r="L4742">
        <f t="shared" si="160"/>
        <v>2</v>
      </c>
      <c r="M4742">
        <f t="shared" si="161"/>
        <v>-6.0651842296013152</v>
      </c>
      <c r="N4742">
        <v>1</v>
      </c>
      <c r="O4742" s="15">
        <v>1.2</v>
      </c>
      <c r="P4742">
        <v>1</v>
      </c>
      <c r="Q4742">
        <v>1.01</v>
      </c>
      <c r="R4742">
        <v>1.2</v>
      </c>
      <c r="S4742">
        <v>1.2</v>
      </c>
      <c r="T4742">
        <v>1.05</v>
      </c>
      <c r="U4742">
        <f t="shared" si="162"/>
        <v>0.15984597228197622</v>
      </c>
    </row>
    <row r="4743" spans="1:22" x14ac:dyDescent="0.2">
      <c r="A4743" t="s">
        <v>134</v>
      </c>
      <c r="B4743" s="53">
        <f>B4742*9</f>
        <v>2.0900971198461685E-2</v>
      </c>
      <c r="C4743" t="s">
        <v>56</v>
      </c>
      <c r="D4743" t="s">
        <v>100</v>
      </c>
      <c r="F4743" t="s">
        <v>99</v>
      </c>
      <c r="H4743" t="s">
        <v>131</v>
      </c>
      <c r="I4743" t="s">
        <v>1057</v>
      </c>
      <c r="K4743" t="str">
        <f>B4701</f>
        <v>heat, residential, by conversion of hydrogen using fuel cell, PEM, allocated by exergy, transported by pipeline, produced by Electrolysis, PEM using water and electricity from Solar PV (IT)</v>
      </c>
      <c r="L4743">
        <f t="shared" si="160"/>
        <v>2</v>
      </c>
      <c r="M4743">
        <f t="shared" si="161"/>
        <v>-3.8679596522650961</v>
      </c>
      <c r="N4743">
        <v>1</v>
      </c>
      <c r="O4743" s="15">
        <v>1.2</v>
      </c>
      <c r="P4743">
        <v>1</v>
      </c>
      <c r="Q4743">
        <v>1.01</v>
      </c>
      <c r="R4743">
        <v>1.2</v>
      </c>
      <c r="S4743">
        <v>1.2</v>
      </c>
      <c r="T4743">
        <v>1.05</v>
      </c>
      <c r="U4743">
        <f t="shared" si="162"/>
        <v>0.15984597228197622</v>
      </c>
    </row>
    <row r="4745" spans="1:22" x14ac:dyDescent="0.2">
      <c r="A4745" s="2" t="s">
        <v>50</v>
      </c>
      <c r="B4745" s="44" t="str">
        <f>IF(B4751="megajoule","heat","electricity")&amp;", residential, by "&amp;B4756&amp;" of "&amp;B4755&amp;" using "&amp;B4757&amp;IF(B4758&lt;&gt;0,", allocated by "&amp;B4758,"")&amp;", transported by "&amp;B4759&amp;", produced by "&amp;B4763&amp;" using "&amp;B4764&amp;" from "&amp;B4765</f>
        <v>heat, residential, by conversion of hydrogen using fuel cell, SOFC, allocated by exergy, transported by pipeline, produced by Electrolysis, PEM using water and electricity from Solar PV (IT)</v>
      </c>
    </row>
    <row r="4746" spans="1:22" x14ac:dyDescent="0.2">
      <c r="A4746" t="s">
        <v>51</v>
      </c>
      <c r="B4746" s="45" t="str">
        <f>"This dataset represents the supply of 1 "&amp;IF(B4751="megajoule","megajoule of heat","kilowatt hour of electricity")&amp;" in a residence, by "&amp;B4755&amp;" "&amp;B4756&amp;" in a "&amp;B4757&amp;". "&amp;" The hydrogen is transported by "&amp;B4759&amp;" over "&amp;B4760&amp;" km from regional storage. "&amp;" The "&amp;B4755&amp;" is produced by  "&amp;B4763&amp;", with "&amp;B4764&amp;" from "&amp;B4765&amp;" as feedstock. "&amp;A4767&amp;": "&amp;(B4767*100)&amp;"%. "&amp;A4768&amp;": "&amp;B4768&amp;". "&amp;A4769&amp;": "&amp;B4769&amp;". "&amp;A4770&amp;": "&amp;(B4770*100)&amp;"%. "&amp;A4771&amp;": "&amp;(B4771*100)&amp;"%. "&amp;A4772&amp;": "&amp;(B4772*100)&amp;"%. "&amp;A4773&amp;": "&amp;B4773&amp;". "&amp;A4774&amp;": "&amp;B4774&amp;". "&amp;A4775&amp;": "&amp;(B4775*100)&amp;"%. "&amp;A4776&amp;": "&amp;B4776&amp;". "&amp;A4777&amp;": "&amp;B4777&amp;". "&amp;A4778&amp;": "&amp;B4778&amp;". "&amp;A4779&amp;": "&amp;B4779&amp;".  For more information, refer to: "&amp;B4747</f>
        <v>This dataset represents the supply of 1 megajoule of heat in a residence, by hydrogen conversion in a fuel cell, SOFC.  The hydrogen is transported by pipeline over 1700 km from regional storage.  The hydrogen is produced by  Electrolysis, PEM,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4747" spans="1:22" x14ac:dyDescent="0.2">
      <c r="A4747" t="s">
        <v>63</v>
      </c>
      <c r="B4747" s="45" t="s">
        <v>1223</v>
      </c>
    </row>
    <row r="4748" spans="1:22" x14ac:dyDescent="0.2">
      <c r="A4748" t="s">
        <v>52</v>
      </c>
      <c r="B4748" s="45" t="s">
        <v>64</v>
      </c>
    </row>
    <row r="4749" spans="1:22" x14ac:dyDescent="0.2">
      <c r="A4749" t="s">
        <v>48</v>
      </c>
      <c r="B4749" s="45">
        <v>60</v>
      </c>
    </row>
    <row r="4750" spans="1:22" x14ac:dyDescent="0.2">
      <c r="A4750" t="s">
        <v>54</v>
      </c>
      <c r="B4750" s="45" t="str">
        <f>INDEX(overview!$B$4:$R$338,MATCH('hydrogen - electrolysis'!B4749,overview!$A$4:$A$338,0),MATCH('hydrogen - electrolysis'!A4750,overview!$B$3:$R$3,0))</f>
        <v>heat, from residential heating system</v>
      </c>
    </row>
    <row r="4751" spans="1:22" x14ac:dyDescent="0.2">
      <c r="A4751" t="s">
        <v>55</v>
      </c>
      <c r="B4751" s="45" t="str">
        <f>INDEX(overview!$B$4:$R$338,MATCH('hydrogen - electrolysis'!B4749,overview!$A$4:$A$338,0),MATCH('hydrogen - electrolysis'!A4751,overview!$B$3:$R$3,0))</f>
        <v>megajoule</v>
      </c>
    </row>
    <row r="4752" spans="1:22" x14ac:dyDescent="0.2">
      <c r="A4752" t="s">
        <v>0</v>
      </c>
      <c r="B4752" s="45" t="str">
        <f>INDEX(overview!$B$4:$R$338,MATCH('hydrogen - electrolysis'!B4749,overview!$A$4:$A$338,0),MATCH('hydrogen - electrolysis'!A4752,overview!$B$3:$R$3,0))</f>
        <v>Switzerland</v>
      </c>
    </row>
    <row r="4753" spans="1:2" x14ac:dyDescent="0.2">
      <c r="A4753" t="s">
        <v>1</v>
      </c>
      <c r="B4753" s="45">
        <f>INDEX(overview!$B$4:$R$338,MATCH('hydrogen - electrolysis'!B4749,overview!$A$4:$A$338,0),MATCH('hydrogen - electrolysis'!A4753,overview!$B$3:$R$3,0))</f>
        <v>2020</v>
      </c>
    </row>
    <row r="4754" spans="1:2" x14ac:dyDescent="0.2">
      <c r="A4754" t="s">
        <v>2</v>
      </c>
      <c r="B4754" s="45" t="str">
        <f>INDEX(overview!$B$4:$R$338,MATCH('hydrogen - electrolysis'!B4749,overview!$A$4:$A$338,0),MATCH('hydrogen - electrolysis'!A4754,overview!$B$3:$R$3,0))</f>
        <v>1 MJ heat</v>
      </c>
    </row>
    <row r="4755" spans="1:2" x14ac:dyDescent="0.2">
      <c r="A4755" t="s">
        <v>5</v>
      </c>
      <c r="B4755" s="45" t="str">
        <f>INDEX(overview!$B$4:$R$338,MATCH('hydrogen - electrolysis'!B4749,overview!$A$4:$A$338,0),MATCH('hydrogen - electrolysis'!A4755,overview!$B$3:$R$3,0))</f>
        <v>hydrogen</v>
      </c>
    </row>
    <row r="4756" spans="1:2" x14ac:dyDescent="0.2">
      <c r="A4756" t="s">
        <v>3</v>
      </c>
      <c r="B4756" s="45" t="str">
        <f>INDEX(overview!$B$4:$R$338,MATCH('hydrogen - electrolysis'!B4749,overview!$A$4:$A$338,0),MATCH('hydrogen - electrolysis'!A4756,overview!$B$3:$R$3,0))</f>
        <v>conversion</v>
      </c>
    </row>
    <row r="4757" spans="1:2" x14ac:dyDescent="0.2">
      <c r="A4757" t="s">
        <v>6</v>
      </c>
      <c r="B4757" s="45" t="str">
        <f>INDEX(overview!$B$4:$R$338,MATCH('hydrogen - electrolysis'!B4749,overview!$A$4:$A$338,0),MATCH('hydrogen - electrolysis'!A4757,overview!$B$3:$R$3,0))</f>
        <v>fuel cell, SOFC</v>
      </c>
    </row>
    <row r="4758" spans="1:2" x14ac:dyDescent="0.2">
      <c r="A4758" t="s">
        <v>39</v>
      </c>
      <c r="B4758" s="45" t="str">
        <f>INDEX(overview!$B$4:$R$338,MATCH('hydrogen - electrolysis'!B4749,overview!$A$4:$A$338,0),MATCH('hydrogen - electrolysis'!A4758,overview!$B$3:$R$3,0))</f>
        <v>exergy</v>
      </c>
    </row>
    <row r="4759" spans="1:2" x14ac:dyDescent="0.2">
      <c r="A4759" t="s">
        <v>4</v>
      </c>
      <c r="B4759" s="45" t="str">
        <f>INDEX(overview!$B$4:$R$338,MATCH('hydrogen - electrolysis'!B4749,overview!$A$4:$A$338,0),MATCH('hydrogen - electrolysis'!A4759,overview!$B$3:$R$3,0))</f>
        <v>pipeline</v>
      </c>
    </row>
    <row r="4760" spans="1:2" x14ac:dyDescent="0.2">
      <c r="A4760" t="s">
        <v>38</v>
      </c>
      <c r="B4760" s="45">
        <f>INDEX(overview!$B$4:$R$338,MATCH('hydrogen - electrolysis'!B4749,overview!$A$4:$A$338,0),MATCH('hydrogen - electrolysis'!A4760,overview!$B$3:$R$3,0))</f>
        <v>1700</v>
      </c>
    </row>
    <row r="4761" spans="1:2" x14ac:dyDescent="0.2">
      <c r="A4761" t="s">
        <v>12</v>
      </c>
      <c r="B4761" s="45" t="str">
        <f>INDEX(overview!$B$4:$R$338,MATCH('hydrogen - electrolysis'!B4749,overview!$A$4:$A$338,0),MATCH('hydrogen - electrolysis'!A4761,overview!$B$3:$R$3,0))</f>
        <v>Pressure vessel for stationary storage</v>
      </c>
    </row>
    <row r="4762" spans="1:2" x14ac:dyDescent="0.2">
      <c r="A4762" t="s">
        <v>34</v>
      </c>
      <c r="B4762" s="45">
        <f>INDEX(overview!$B$4:$R$338,MATCH('hydrogen - electrolysis'!B4749,overview!$A$4:$A$338,0),MATCH('hydrogen - electrolysis'!A4762,overview!$B$3:$R$3,0))</f>
        <v>0</v>
      </c>
    </row>
    <row r="4763" spans="1:2" x14ac:dyDescent="0.2">
      <c r="A4763" t="s">
        <v>15</v>
      </c>
      <c r="B4763" s="45" t="str">
        <f>INDEX(overview!$B$4:$R$338,MATCH('hydrogen - electrolysis'!B4749,overview!$A$4:$A$338,0),MATCH('hydrogen - electrolysis'!A4763,overview!$B$3:$R$3,0))</f>
        <v>Electrolysis, PEM</v>
      </c>
    </row>
    <row r="4764" spans="1:2" x14ac:dyDescent="0.2">
      <c r="A4764" t="s">
        <v>14</v>
      </c>
      <c r="B4764" s="45" t="str">
        <f>INDEX(overview!$B$4:$R$338,MATCH('hydrogen - electrolysis'!B4749,overview!$A$4:$A$338,0),MATCH('hydrogen - electrolysis'!A4764,overview!$B$3:$R$3,0))</f>
        <v>water and electricity</v>
      </c>
    </row>
    <row r="4765" spans="1:2" x14ac:dyDescent="0.2">
      <c r="A4765" t="s">
        <v>26</v>
      </c>
      <c r="B4765" s="45" t="str">
        <f>INDEX(overview!$B$4:$R$338,MATCH('hydrogen - electrolysis'!B4749,overview!$A$4:$A$338,0),MATCH('hydrogen - electrolysis'!A4765,overview!$B$3:$R$3,0))</f>
        <v>Solar PV (IT)</v>
      </c>
    </row>
    <row r="4766" spans="1:2" x14ac:dyDescent="0.2">
      <c r="A4766" t="s">
        <v>29</v>
      </c>
      <c r="B4766" s="45">
        <f>INDEX(overview!$B$4:$R$338,MATCH('hydrogen - electrolysis'!B4749,overview!$A$4:$A$338,0),MATCH('hydrogen - electrolysis'!A4766,overview!$B$3:$R$3,0))</f>
        <v>0</v>
      </c>
    </row>
    <row r="4767" spans="1:2" x14ac:dyDescent="0.2">
      <c r="A4767" t="str">
        <f>IF(B4751="megajoule","Heat","Electricity")&amp;" conversion efficiency [% LHV input]"</f>
        <v>Heat conversion efficiency [% LHV input]</v>
      </c>
      <c r="B4767" s="46">
        <f>INDEX(parameters!$D$4:$N$20,MATCH('hydrogen - electrolysis'!B4755&amp;'hydrogen - electrolysis'!B4757,parameters!$A$4:$A$20,0),MATCH('hydrogen - electrolysis'!A4767,parameters!$D$3:$N$3,0))</f>
        <v>0.53</v>
      </c>
    </row>
    <row r="4768" spans="1:2" x14ac:dyDescent="0.2">
      <c r="A4768" t="str">
        <f>IF(B4751="megajoule","LHV [MJ/kg]","LHV [kWh/kg]")</f>
        <v>LHV [MJ/kg]</v>
      </c>
      <c r="B4768" s="47">
        <f>INDEX(parameters!$D$4:$N$20,MATCH('hydrogen - electrolysis'!B4755&amp;'hydrogen - electrolysis'!B4757,parameters!$A$4:$A$20,0),MATCH('hydrogen - electrolysis'!A4768,parameters!$D$3:$N$3,0))</f>
        <v>120</v>
      </c>
    </row>
    <row r="4769" spans="1:22" x14ac:dyDescent="0.2">
      <c r="A4769" t="s">
        <v>41</v>
      </c>
      <c r="B4769" s="48">
        <f>INDEX(parameters!$D$4:$N$20,MATCH('hydrogen - electrolysis'!B4755&amp;'hydrogen - electrolysis'!B4757,parameters!$A$4:$A$20,0),MATCH('hydrogen - electrolysis'!A4769,parameters!$D$3:$N$3,0))</f>
        <v>2.6666666666666665E-2</v>
      </c>
    </row>
    <row r="4770" spans="1:22" x14ac:dyDescent="0.2">
      <c r="A4770" t="s">
        <v>45</v>
      </c>
      <c r="B4770" s="46">
        <f>INDEX(parameters!$D$4:$N$20,MATCH('hydrogen - electrolysis'!B4755&amp;'hydrogen - electrolysis'!B4757,parameters!$A$4:$A$20,0),MATCH('hydrogen - electrolysis'!A4770,parameters!$D$3:$N$3,0))</f>
        <v>0</v>
      </c>
    </row>
    <row r="4771" spans="1:22" x14ac:dyDescent="0.2">
      <c r="A4771" t="s">
        <v>46</v>
      </c>
      <c r="B4771" s="46">
        <f>INDEX(parameters!$D$4:$N$20,MATCH('hydrogen - electrolysis'!B4755&amp;'hydrogen - electrolysis'!B4757,parameters!$A$4:$A$20,0),MATCH('hydrogen - electrolysis'!A4771,parameters!$D$3:$N$3,0))</f>
        <v>1.4999999999999999E-2</v>
      </c>
    </row>
    <row r="4772" spans="1:22" x14ac:dyDescent="0.2">
      <c r="A4772" t="s">
        <v>43</v>
      </c>
      <c r="B4772" s="46">
        <f>INDEX(parameters!$D$4:$N$20,MATCH('hydrogen - electrolysis'!B4755&amp;'hydrogen - electrolysis'!B4757,parameters!$A$4:$A$20,0),MATCH('hydrogen - electrolysis'!A4772,parameters!$D$3:$N$3,0))</f>
        <v>0</v>
      </c>
    </row>
    <row r="4773" spans="1:22" x14ac:dyDescent="0.2">
      <c r="A4773" t="s">
        <v>44</v>
      </c>
      <c r="B4773" s="46">
        <f>INDEX(parameters!$D$4:$N$20,MATCH('hydrogen - electrolysis'!B4755&amp;'hydrogen - electrolysis'!B4757,parameters!$A$4:$A$20,0),MATCH('hydrogen - electrolysis'!A4773,parameters!$D$3:$N$3,0))</f>
        <v>0</v>
      </c>
    </row>
    <row r="4774" spans="1:22" x14ac:dyDescent="0.2">
      <c r="A4774" t="s">
        <v>634</v>
      </c>
      <c r="B4774" s="51">
        <f>INDEX(parameters!$D$4:$Y$20,MATCH('hydrogen - electrolysis'!B4755&amp;'hydrogen - electrolysis'!B4757,parameters!$A$4:$A$20,0),MATCH('hydrogen - electrolysis'!A4774,parameters!$D$3:$Y$3,0))</f>
        <v>225</v>
      </c>
      <c r="D4774" s="8"/>
    </row>
    <row r="4775" spans="1:22" x14ac:dyDescent="0.2">
      <c r="A4775" t="s">
        <v>82</v>
      </c>
      <c r="B4775" s="46">
        <f>IF(B4766&lt;&gt;0,VLOOKUP(B4766,parameters!A3074:B3076,2,0),0)</f>
        <v>0</v>
      </c>
    </row>
    <row r="4776" spans="1:22" x14ac:dyDescent="0.2">
      <c r="A4776" t="s">
        <v>548</v>
      </c>
      <c r="B4776" s="50">
        <f>INDEX(parameters!$D$4:$P$20,MATCH(B4755&amp;B4757,parameters!$A$4:$A$20,0),MATCH(A4776,parameters!$D$3:$P$3,0))</f>
        <v>100</v>
      </c>
    </row>
    <row r="4777" spans="1:22" x14ac:dyDescent="0.2">
      <c r="A4777" t="s">
        <v>547</v>
      </c>
      <c r="B4777" s="51">
        <f>INDEX(parameters!$D$4:$P$20,MATCH(B4755&amp;B4757,parameters!$A$4:$A$20,0),MATCH(A4777,parameters!$D$3:$P$3,0))</f>
        <v>6</v>
      </c>
    </row>
    <row r="4778" spans="1:22" x14ac:dyDescent="0.2">
      <c r="A4778" t="s">
        <v>630</v>
      </c>
      <c r="B4778" s="51">
        <f>INDEX(parameters!$D$4:$T$20,MATCH(B4755&amp;B4757,parameters!$A$4:$A$20,0),MATCH(A4778,parameters!$D$3:$T$3,0))</f>
        <v>4100</v>
      </c>
    </row>
    <row r="4779" spans="1:22" x14ac:dyDescent="0.2">
      <c r="A4779" t="s">
        <v>1005</v>
      </c>
      <c r="B4779" s="50">
        <f>IF(B4751="megajoule",SUMIFS(allocation!$I$4:$I$30,allocation!$B$4:$B$30,B4757,allocation!$C$4:$C$30,B4758),SUMIFS(allocation!$J$4:$J$30,allocation!$B$4:$B$30,B4757,allocation!$C$4:$C$30,B4758))</f>
        <v>0.13587506510399097</v>
      </c>
    </row>
    <row r="4780" spans="1:22" x14ac:dyDescent="0.2">
      <c r="A4780" t="s">
        <v>1050</v>
      </c>
      <c r="B4780" s="51">
        <f>INDEX(parameters!$D$4:$AB$20,MATCH(B4755&amp;B4757,parameters!$A$4:$A$20,0),MATCH(A4780,parameters!$D$3:$AB$3,0))</f>
        <v>1153.1249999999998</v>
      </c>
    </row>
    <row r="4782" spans="1:22" x14ac:dyDescent="0.2">
      <c r="A4782" s="3" t="s">
        <v>57</v>
      </c>
    </row>
    <row r="4783" spans="1:22" x14ac:dyDescent="0.2">
      <c r="A4783" s="2" t="s">
        <v>58</v>
      </c>
      <c r="B4783" s="44" t="s">
        <v>59</v>
      </c>
      <c r="C4783" s="2" t="s">
        <v>55</v>
      </c>
      <c r="D4783" s="2" t="s">
        <v>60</v>
      </c>
      <c r="E4783" s="2" t="s">
        <v>52</v>
      </c>
      <c r="F4783" s="2" t="s">
        <v>61</v>
      </c>
      <c r="G4783" s="2" t="s">
        <v>54</v>
      </c>
      <c r="H4783" s="2" t="s">
        <v>87</v>
      </c>
      <c r="I4783" s="2" t="s">
        <v>51</v>
      </c>
      <c r="J4783" s="2" t="s">
        <v>138</v>
      </c>
      <c r="K4783" s="2" t="s">
        <v>136</v>
      </c>
      <c r="L4783" s="2" t="s">
        <v>221</v>
      </c>
      <c r="M4783" s="2" t="s">
        <v>379</v>
      </c>
      <c r="N4783" s="2" t="s">
        <v>1059</v>
      </c>
      <c r="O4783" s="2" t="s">
        <v>1060</v>
      </c>
      <c r="P4783" s="2" t="s">
        <v>1061</v>
      </c>
      <c r="Q4783" s="2" t="s">
        <v>1062</v>
      </c>
      <c r="R4783" s="2" t="s">
        <v>1063</v>
      </c>
      <c r="S4783" s="2" t="s">
        <v>1064</v>
      </c>
      <c r="T4783" s="2" t="s">
        <v>1065</v>
      </c>
      <c r="U4783" s="2" t="s">
        <v>380</v>
      </c>
      <c r="V4783" s="2" t="s">
        <v>1128</v>
      </c>
    </row>
    <row r="4784" spans="1:22" x14ac:dyDescent="0.2">
      <c r="A4784" t="str">
        <f>B4745</f>
        <v>heat, residential, by conversion of hydrogen using fuel cell, SOFC, allocated by exergy, transported by pipeline, produced by Electrolysis, PEM using water and electricity from Solar PV (IT)</v>
      </c>
      <c r="B4784" s="45">
        <v>1</v>
      </c>
      <c r="C4784" t="str">
        <f>B4751</f>
        <v>megajoule</v>
      </c>
      <c r="E4784" t="str">
        <f>B4748</f>
        <v>CH</v>
      </c>
      <c r="F4784" t="s">
        <v>62</v>
      </c>
      <c r="G4784" t="str">
        <f>B4750</f>
        <v>heat, from residential heating system</v>
      </c>
      <c r="K4784" t="str">
        <f>B4745</f>
        <v>heat, residential, by conversion of hydrogen using fuel cell, SOFC, allocated by exergy, transported by pipeline, produced by Electrolysis, PEM using water and electricity from Solar PV (IT)</v>
      </c>
    </row>
    <row r="4785" spans="1:21" x14ac:dyDescent="0.2">
      <c r="A4785" t="str">
        <f>VLOOKUP(J4785,'dataset mapping'!$A$4:$E$69,2,0)</f>
        <v>fuel cell production, stack solid oxide, 125kW electrical, future</v>
      </c>
      <c r="B4785" s="52">
        <f>(1/(B4774*B4778*B4777*3.6))*B4779</f>
        <v>6.8189834941278219E-9</v>
      </c>
      <c r="C4785" t="str">
        <f>VLOOKUP(J4785,'dataset mapping'!$A$4:$E$69,5,0)</f>
        <v>unit</v>
      </c>
      <c r="E4785" t="str">
        <f>VLOOKUP(J4785,'dataset mapping'!$A$4:$E$69,4,0)</f>
        <v>CH</v>
      </c>
      <c r="F4785" t="s">
        <v>86</v>
      </c>
      <c r="G4785" t="str">
        <f>VLOOKUP(J4785,'dataset mapping'!$A$4:$E$69,3,0)</f>
        <v>fuel cell, stack solid oxide, 125kW electrical, future</v>
      </c>
      <c r="H4785" t="s">
        <v>88</v>
      </c>
      <c r="I4785" t="s">
        <v>277</v>
      </c>
      <c r="J4785" t="s">
        <v>274</v>
      </c>
      <c r="K4785" t="str">
        <f>B4745</f>
        <v>heat, residential, by conversion of hydrogen using fuel cell, SOFC, allocated by exergy, transported by pipeline, produced by Electrolysis, PEM using water and electricity from Solar PV (IT)</v>
      </c>
      <c r="L4785">
        <f t="shared" ref="L4785:L4789" si="163">IF(OR(B4785&lt;0,B4785=0),1,2)</f>
        <v>2</v>
      </c>
      <c r="M4785">
        <f t="shared" ref="M4785:M4789" si="164">IF(L4785=2,LN(B4785),"")</f>
        <v>-18.80355542398161</v>
      </c>
      <c r="N4785">
        <v>1</v>
      </c>
      <c r="O4785" s="15">
        <v>1.2</v>
      </c>
      <c r="P4785">
        <v>1</v>
      </c>
      <c r="Q4785">
        <v>1.01</v>
      </c>
      <c r="R4785">
        <v>1.2</v>
      </c>
      <c r="S4785">
        <v>1.2</v>
      </c>
      <c r="T4785">
        <v>3</v>
      </c>
      <c r="U4785">
        <f t="shared" ref="U4785:U4789" si="165">LN(SQRT(EXP(
SQRT(
+POWER(LN(N4785),2)
+POWER(LN(O4785),2)
+POWER(LN(P4785),2)
+POWER(LN(Q4785),2)
+POWER(LN(R4785),2)
+POWER(LN(S4785),2)
+POWER(LN(T4785),2)
)
)))</f>
        <v>0.57157051623399524</v>
      </c>
    </row>
    <row r="4786" spans="1:21" x14ac:dyDescent="0.2">
      <c r="A4786" t="s">
        <v>283</v>
      </c>
      <c r="B4786" s="52">
        <f>(1/(B4774*B4778*B4777*3.6))*B4779</f>
        <v>6.8189834941278219E-9</v>
      </c>
      <c r="C4786" t="s">
        <v>55</v>
      </c>
      <c r="E4786" t="s">
        <v>64</v>
      </c>
      <c r="F4786" t="s">
        <v>86</v>
      </c>
      <c r="G4786" t="s">
        <v>284</v>
      </c>
      <c r="H4786" t="s">
        <v>88</v>
      </c>
      <c r="I4786" t="s">
        <v>277</v>
      </c>
      <c r="K4786" t="str">
        <f>B4745</f>
        <v>heat, residential, by conversion of hydrogen using fuel cell, SOFC, allocated by exergy, transported by pipeline, produced by Electrolysis, PEM using water and electricity from Solar PV (IT)</v>
      </c>
      <c r="L4786">
        <f t="shared" si="163"/>
        <v>2</v>
      </c>
      <c r="M4786">
        <f t="shared" si="164"/>
        <v>-18.80355542398161</v>
      </c>
      <c r="N4786">
        <v>1</v>
      </c>
      <c r="O4786" s="15">
        <v>1.2</v>
      </c>
      <c r="P4786">
        <v>1</v>
      </c>
      <c r="Q4786">
        <v>1.01</v>
      </c>
      <c r="R4786">
        <v>1.2</v>
      </c>
      <c r="S4786">
        <v>1.2</v>
      </c>
      <c r="T4786">
        <v>3</v>
      </c>
      <c r="U4786">
        <f t="shared" si="165"/>
        <v>0.57157051623399524</v>
      </c>
    </row>
    <row r="4787" spans="1:21" x14ac:dyDescent="0.2">
      <c r="A4787" t="s">
        <v>288</v>
      </c>
      <c r="B4787" s="52">
        <f>0.000024*B4779</f>
        <v>3.2610015624957834E-6</v>
      </c>
      <c r="C4787" t="s">
        <v>56</v>
      </c>
      <c r="E4787" t="s">
        <v>64</v>
      </c>
      <c r="F4787" t="s">
        <v>86</v>
      </c>
      <c r="G4787" t="s">
        <v>287</v>
      </c>
      <c r="H4787" t="s">
        <v>88</v>
      </c>
      <c r="K4787" t="str">
        <f>B4745</f>
        <v>heat, residential, by conversion of hydrogen using fuel cell, SOFC, allocated by exergy, transported by pipeline, produced by Electrolysis, PEM using water and electricity from Solar PV (IT)</v>
      </c>
      <c r="L4787">
        <f t="shared" si="163"/>
        <v>2</v>
      </c>
      <c r="M4787">
        <f t="shared" si="164"/>
        <v>-12.633476182011</v>
      </c>
      <c r="N4787">
        <v>1</v>
      </c>
      <c r="O4787" s="15">
        <v>1.2</v>
      </c>
      <c r="P4787">
        <v>1</v>
      </c>
      <c r="Q4787">
        <v>1.01</v>
      </c>
      <c r="R4787">
        <v>1.2</v>
      </c>
      <c r="S4787">
        <v>1.2</v>
      </c>
      <c r="T4787">
        <v>1.05</v>
      </c>
      <c r="U4787">
        <f t="shared" si="165"/>
        <v>0.15984597228197622</v>
      </c>
    </row>
    <row r="4788" spans="1:21" x14ac:dyDescent="0.2">
      <c r="A4788" s="45" t="str">
        <f>"hydrogen supply, transported by "&amp;B4759&amp;", produced by "&amp;B4763&amp;" using "&amp;B4764&amp;" from "&amp;B4765</f>
        <v>hydrogen supply, transported by pipeline, produced by Electrolysis, PEM using water and electricity from Solar PV (IT)</v>
      </c>
      <c r="B4788" s="53">
        <f>(B4784/B4768)/B4767*B4779</f>
        <v>2.1364003947168392E-3</v>
      </c>
      <c r="C4788" t="s">
        <v>56</v>
      </c>
      <c r="E4788" t="s">
        <v>64</v>
      </c>
      <c r="F4788" t="s">
        <v>86</v>
      </c>
      <c r="G4788" t="str">
        <f>"hydrogen, gaseous, from "&amp;B4759</f>
        <v>hydrogen, gaseous, from pipeline</v>
      </c>
      <c r="H4788" t="s">
        <v>76</v>
      </c>
      <c r="I4788" t="s">
        <v>1054</v>
      </c>
      <c r="J4788" t="s">
        <v>637</v>
      </c>
      <c r="K4788" t="str">
        <f>B4745</f>
        <v>heat, residential, by conversion of hydrogen using fuel cell, SOFC, allocated by exergy, transported by pipeline, produced by Electrolysis, PEM using water and electricity from Solar PV (IT)</v>
      </c>
      <c r="L4788">
        <f t="shared" si="163"/>
        <v>2</v>
      </c>
      <c r="M4788">
        <f t="shared" si="164"/>
        <v>-6.1486329247407472</v>
      </c>
      <c r="N4788">
        <v>1</v>
      </c>
      <c r="O4788" s="15">
        <v>1.2</v>
      </c>
      <c r="P4788">
        <v>1</v>
      </c>
      <c r="Q4788">
        <v>1.01</v>
      </c>
      <c r="R4788">
        <v>1.2</v>
      </c>
      <c r="S4788">
        <v>1.2</v>
      </c>
      <c r="T4788">
        <v>1.05</v>
      </c>
      <c r="U4788">
        <f t="shared" si="165"/>
        <v>0.15984597228197622</v>
      </c>
    </row>
    <row r="4789" spans="1:21" x14ac:dyDescent="0.2">
      <c r="A4789" t="s">
        <v>134</v>
      </c>
      <c r="B4789" s="45">
        <f>B4788*9</f>
        <v>1.9227603552451553E-2</v>
      </c>
      <c r="C4789" t="s">
        <v>56</v>
      </c>
      <c r="D4789" t="s">
        <v>100</v>
      </c>
      <c r="F4789" t="s">
        <v>99</v>
      </c>
      <c r="H4789" t="s">
        <v>131</v>
      </c>
      <c r="I4789" t="s">
        <v>1057</v>
      </c>
      <c r="K4789" t="str">
        <f>B4745</f>
        <v>heat, residential, by conversion of hydrogen using fuel cell, SOFC, allocated by exergy, transported by pipeline, produced by Electrolysis, PEM using water and electricity from Solar PV (IT)</v>
      </c>
      <c r="L4789">
        <f t="shared" si="163"/>
        <v>2</v>
      </c>
      <c r="M4789">
        <f t="shared" si="164"/>
        <v>-3.9514083474045276</v>
      </c>
      <c r="N4789">
        <v>1</v>
      </c>
      <c r="O4789" s="15">
        <v>1.2</v>
      </c>
      <c r="P4789">
        <v>1</v>
      </c>
      <c r="Q4789">
        <v>1.01</v>
      </c>
      <c r="R4789">
        <v>1.2</v>
      </c>
      <c r="S4789">
        <v>1.2</v>
      </c>
      <c r="T4789">
        <v>1.05</v>
      </c>
      <c r="U4789">
        <f t="shared" si="165"/>
        <v>0.15984597228197622</v>
      </c>
    </row>
    <row r="4791" spans="1:21" x14ac:dyDescent="0.2">
      <c r="A4791" s="2" t="s">
        <v>50</v>
      </c>
      <c r="B4791" s="44" t="str">
        <f>IF(B4797="megajoule","heat","electricity")&amp;", residential, by "&amp;B4802&amp;" of "&amp;B4801&amp;" using "&amp;B4803&amp;IF(B4804&lt;&gt;0,", allocated by "&amp;B4804,"")&amp;", transported by "&amp;B4805&amp;", produced by "&amp;B4809&amp;" using "&amp;B4810&amp;" from "&amp;B4811</f>
        <v>electricity, residential, by combustion of hydrogen using CHP, allocated by exergy, transported by pipeline, produced by Electrolysis, PEM using water and electricity from Solar PV (IT)</v>
      </c>
    </row>
    <row r="4792" spans="1:21" x14ac:dyDescent="0.2">
      <c r="A4792" t="s">
        <v>51</v>
      </c>
      <c r="B4792" s="45" t="str">
        <f>"This dataset represents the supply of 1 "&amp;IF(B4797="megajoule","megajoule of heat","kilowatt hour of electricity")&amp;" in a residence, by "&amp;B4801&amp;" "&amp;B4802&amp;" in a "&amp;B4803&amp;". "&amp;" The hydrogen is transported by "&amp;B4805&amp;" over "&amp;B4806&amp;" km from regional storage. "&amp;" The "&amp;B4801&amp;" is produced by  "&amp;B4809&amp;", with "&amp;B4810&amp;" from "&amp;B4811&amp;" as feedstock. "&amp;A4813&amp;": "&amp;(B4813*100)&amp;"%. "&amp;A4814&amp;": "&amp;B4814&amp;". "&amp;A4815&amp;": "&amp;B4815&amp;". "&amp;A4816&amp;": "&amp;(B4816*100)&amp;"%. "&amp;A4817&amp;": "&amp;(B4817*100)&amp;"%. "&amp;A4818&amp;": "&amp;(B4818*100)&amp;"%. "&amp;A4819&amp;": "&amp;B4819&amp;". "&amp;A4820&amp;": "&amp;B4820&amp;". "&amp;A4821&amp;": "&amp;(B4821*100)&amp;"%. "&amp;A4822&amp;": "&amp;B4822&amp;". "&amp;A4823&amp;": "&amp;B4823&amp;". "&amp;A4824&amp;": "&amp;B4824&amp;". "&amp;A4825&amp;": "&amp;B4825&amp;".  For more information, refer to: "&amp;B4793</f>
        <v>This dataset represents the supply of 1 kilowatt hour of electricity in a residence, by hydrogen combustion in a CHP.  The hydrogen is transported by pipeline over 1700 km from regional storage.  The hydrogen is produced by  Electrolysis, PEM,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4793" spans="1:21" x14ac:dyDescent="0.2">
      <c r="A4793" t="s">
        <v>63</v>
      </c>
      <c r="B4793" s="45" t="s">
        <v>1223</v>
      </c>
    </row>
    <row r="4794" spans="1:21" x14ac:dyDescent="0.2">
      <c r="A4794" t="s">
        <v>52</v>
      </c>
      <c r="B4794" s="45" t="s">
        <v>64</v>
      </c>
    </row>
    <row r="4795" spans="1:21" x14ac:dyDescent="0.2">
      <c r="A4795" t="s">
        <v>48</v>
      </c>
      <c r="B4795" s="45" t="s">
        <v>907</v>
      </c>
    </row>
    <row r="4796" spans="1:21" x14ac:dyDescent="0.2">
      <c r="A4796" t="s">
        <v>54</v>
      </c>
      <c r="B4796" s="45" t="str">
        <f>INDEX(overview!$B$4:$R$338,MATCH('hydrogen - electrolysis'!B4795,overview!$A$4:$A$338,0),MATCH('hydrogen - electrolysis'!A4796,overview!$B$3:$R$3,0))</f>
        <v>electricity, from residential heating system</v>
      </c>
    </row>
    <row r="4797" spans="1:21" x14ac:dyDescent="0.2">
      <c r="A4797" t="s">
        <v>55</v>
      </c>
      <c r="B4797" s="45" t="str">
        <f>INDEX(overview!$B$4:$R$338,MATCH('hydrogen - electrolysis'!B4795,overview!$A$4:$A$338,0),MATCH('hydrogen - electrolysis'!A4797,overview!$B$3:$R$3,0))</f>
        <v>kilowatt hour</v>
      </c>
    </row>
    <row r="4798" spans="1:21" x14ac:dyDescent="0.2">
      <c r="A4798" t="s">
        <v>0</v>
      </c>
      <c r="B4798" s="45" t="str">
        <f>INDEX(overview!$B$4:$R$338,MATCH('hydrogen - electrolysis'!B4795,overview!$A$4:$A$338,0),MATCH('hydrogen - electrolysis'!A4798,overview!$B$3:$R$3,0))</f>
        <v>Switzerland</v>
      </c>
    </row>
    <row r="4799" spans="1:21" x14ac:dyDescent="0.2">
      <c r="A4799" t="s">
        <v>1</v>
      </c>
      <c r="B4799" s="45">
        <f>INDEX(overview!$B$4:$R$338,MATCH('hydrogen - electrolysis'!B4795,overview!$A$4:$A$338,0),MATCH('hydrogen - electrolysis'!A4799,overview!$B$3:$R$3,0))</f>
        <v>2020</v>
      </c>
    </row>
    <row r="4800" spans="1:21" x14ac:dyDescent="0.2">
      <c r="A4800" t="s">
        <v>2</v>
      </c>
      <c r="B4800" s="45" t="str">
        <f>INDEX(overview!$B$4:$R$338,MATCH('hydrogen - electrolysis'!B4795,overview!$A$4:$A$338,0),MATCH('hydrogen - electrolysis'!A4800,overview!$B$3:$R$3,0))</f>
        <v>1 kWh electricity</v>
      </c>
    </row>
    <row r="4801" spans="1:2" x14ac:dyDescent="0.2">
      <c r="A4801" t="s">
        <v>5</v>
      </c>
      <c r="B4801" s="45" t="str">
        <f>INDEX(overview!$B$4:$R$338,MATCH('hydrogen - electrolysis'!B4795,overview!$A$4:$A$338,0),MATCH('hydrogen - electrolysis'!A4801,overview!$B$3:$R$3,0))</f>
        <v>hydrogen</v>
      </c>
    </row>
    <row r="4802" spans="1:2" x14ac:dyDescent="0.2">
      <c r="A4802" t="s">
        <v>3</v>
      </c>
      <c r="B4802" s="45" t="str">
        <f>INDEX(overview!$B$4:$R$338,MATCH('hydrogen - electrolysis'!B4795,overview!$A$4:$A$338,0),MATCH('hydrogen - electrolysis'!A4802,overview!$B$3:$R$3,0))</f>
        <v>combustion</v>
      </c>
    </row>
    <row r="4803" spans="1:2" x14ac:dyDescent="0.2">
      <c r="A4803" t="s">
        <v>6</v>
      </c>
      <c r="B4803" s="45" t="str">
        <f>INDEX(overview!$B$4:$R$338,MATCH('hydrogen - electrolysis'!B4795,overview!$A$4:$A$338,0),MATCH('hydrogen - electrolysis'!A4803,overview!$B$3:$R$3,0))</f>
        <v>CHP</v>
      </c>
    </row>
    <row r="4804" spans="1:2" x14ac:dyDescent="0.2">
      <c r="A4804" t="s">
        <v>39</v>
      </c>
      <c r="B4804" s="45" t="str">
        <f>INDEX(overview!$B$4:$R$338,MATCH('hydrogen - electrolysis'!B4795,overview!$A$4:$A$338,0),MATCH('hydrogen - electrolysis'!A4804,overview!$B$3:$R$3,0))</f>
        <v>exergy</v>
      </c>
    </row>
    <row r="4805" spans="1:2" x14ac:dyDescent="0.2">
      <c r="A4805" t="s">
        <v>4</v>
      </c>
      <c r="B4805" s="45" t="str">
        <f>INDEX(overview!$B$4:$R$338,MATCH('hydrogen - electrolysis'!B4795,overview!$A$4:$A$338,0),MATCH('hydrogen - electrolysis'!A4805,overview!$B$3:$R$3,0))</f>
        <v>pipeline</v>
      </c>
    </row>
    <row r="4806" spans="1:2" x14ac:dyDescent="0.2">
      <c r="A4806" t="s">
        <v>38</v>
      </c>
      <c r="B4806" s="45">
        <f>INDEX(overview!$B$4:$R$338,MATCH('hydrogen - electrolysis'!B4795,overview!$A$4:$A$338,0),MATCH('hydrogen - electrolysis'!A4806,overview!$B$3:$R$3,0))</f>
        <v>1700</v>
      </c>
    </row>
    <row r="4807" spans="1:2" x14ac:dyDescent="0.2">
      <c r="A4807" t="s">
        <v>12</v>
      </c>
      <c r="B4807" s="45" t="str">
        <f>INDEX(overview!$B$4:$R$338,MATCH('hydrogen - electrolysis'!B4795,overview!$A$4:$A$338,0),MATCH('hydrogen - electrolysis'!A4807,overview!$B$3:$R$3,0))</f>
        <v>Pressure vessel for stationary storage</v>
      </c>
    </row>
    <row r="4808" spans="1:2" x14ac:dyDescent="0.2">
      <c r="A4808" t="s">
        <v>34</v>
      </c>
      <c r="B4808" s="45">
        <f>INDEX(overview!$B$4:$R$338,MATCH('hydrogen - electrolysis'!B4795,overview!$A$4:$A$338,0),MATCH('hydrogen - electrolysis'!A4808,overview!$B$3:$R$3,0))</f>
        <v>0</v>
      </c>
    </row>
    <row r="4809" spans="1:2" x14ac:dyDescent="0.2">
      <c r="A4809" t="s">
        <v>15</v>
      </c>
      <c r="B4809" s="45" t="str">
        <f>INDEX(overview!$B$4:$R$338,MATCH('hydrogen - electrolysis'!B4795,overview!$A$4:$A$338,0),MATCH('hydrogen - electrolysis'!A4809,overview!$B$3:$R$3,0))</f>
        <v>Electrolysis, PEM</v>
      </c>
    </row>
    <row r="4810" spans="1:2" x14ac:dyDescent="0.2">
      <c r="A4810" t="s">
        <v>14</v>
      </c>
      <c r="B4810" s="45" t="str">
        <f>INDEX(overview!$B$4:$R$338,MATCH('hydrogen - electrolysis'!B4795,overview!$A$4:$A$338,0),MATCH('hydrogen - electrolysis'!A4810,overview!$B$3:$R$3,0))</f>
        <v>water and electricity</v>
      </c>
    </row>
    <row r="4811" spans="1:2" x14ac:dyDescent="0.2">
      <c r="A4811" t="s">
        <v>26</v>
      </c>
      <c r="B4811" s="45" t="str">
        <f>INDEX(overview!$B$4:$R$338,MATCH('hydrogen - electrolysis'!B4795,overview!$A$4:$A$338,0),MATCH('hydrogen - electrolysis'!A4811,overview!$B$3:$R$3,0))</f>
        <v>Solar PV (IT)</v>
      </c>
    </row>
    <row r="4812" spans="1:2" x14ac:dyDescent="0.2">
      <c r="A4812" t="s">
        <v>29</v>
      </c>
      <c r="B4812" s="45">
        <f>INDEX(overview!$B$4:$R$338,MATCH('hydrogen - electrolysis'!B4795,overview!$A$4:$A$338,0),MATCH('hydrogen - electrolysis'!A4812,overview!$B$3:$R$3,0))</f>
        <v>0</v>
      </c>
    </row>
    <row r="4813" spans="1:2" x14ac:dyDescent="0.2">
      <c r="A4813" t="str">
        <f>IF(B4797="megajoule","Heat","Electricity")&amp;" conversion efficiency [% LHV input]"</f>
        <v>Electricity conversion efficiency [% LHV input]</v>
      </c>
      <c r="B4813" s="46">
        <f>INDEX(parameters!$D$4:$N$20,MATCH('hydrogen - electrolysis'!B4801&amp;'hydrogen - electrolysis'!B4803,parameters!$A$4:$A$20,0),MATCH('hydrogen - electrolysis'!A4813,parameters!$D$3:$N$3,0))</f>
        <v>0.39400000000000002</v>
      </c>
    </row>
    <row r="4814" spans="1:2" x14ac:dyDescent="0.2">
      <c r="A4814" t="str">
        <f>IF(B4797="megajoule","LHV [MJ/kg]","LHV [kWh/kg]")</f>
        <v>LHV [kWh/kg]</v>
      </c>
      <c r="B4814" s="47">
        <f>INDEX(parameters!$D$4:$N$20,MATCH('hydrogen - electrolysis'!B4801&amp;'hydrogen - electrolysis'!B4803,parameters!$A$4:$A$20,0),MATCH('hydrogen - electrolysis'!A4814,parameters!$D$3:$N$3,0))</f>
        <v>33.333333333333336</v>
      </c>
    </row>
    <row r="4815" spans="1:2" x14ac:dyDescent="0.2">
      <c r="A4815" t="s">
        <v>41</v>
      </c>
      <c r="B4815" s="48">
        <f>INDEX(parameters!$D$4:$N$20,MATCH('hydrogen - electrolysis'!B4801&amp;'hydrogen - electrolysis'!B4803,parameters!$A$4:$A$20,0),MATCH('hydrogen - electrolysis'!A4815,parameters!$D$3:$N$3,0))</f>
        <v>2.6666666666666665E-2</v>
      </c>
    </row>
    <row r="4816" spans="1:2" x14ac:dyDescent="0.2">
      <c r="A4816" t="s">
        <v>45</v>
      </c>
      <c r="B4816" s="46">
        <f>INDEX(parameters!$D$4:$N$20,MATCH('hydrogen - electrolysis'!B4801&amp;'hydrogen - electrolysis'!B4803,parameters!$A$4:$A$20,0),MATCH('hydrogen - electrolysis'!A4816,parameters!$D$3:$N$3,0))</f>
        <v>0</v>
      </c>
    </row>
    <row r="4817" spans="1:22" x14ac:dyDescent="0.2">
      <c r="A4817" t="s">
        <v>46</v>
      </c>
      <c r="B4817" s="46">
        <f>INDEX(parameters!$D$4:$N$20,MATCH('hydrogen - electrolysis'!B4801&amp;'hydrogen - electrolysis'!B4803,parameters!$A$4:$A$20,0),MATCH('hydrogen - electrolysis'!A4817,parameters!$D$3:$N$3,0))</f>
        <v>1.4999999999999999E-2</v>
      </c>
    </row>
    <row r="4818" spans="1:22" x14ac:dyDescent="0.2">
      <c r="A4818" t="s">
        <v>43</v>
      </c>
      <c r="B4818" s="46">
        <f>INDEX(parameters!$D$4:$N$20,MATCH('hydrogen - electrolysis'!B4801&amp;'hydrogen - electrolysis'!B4803,parameters!$A$4:$A$20,0),MATCH('hydrogen - electrolysis'!A4818,parameters!$D$3:$N$3,0))</f>
        <v>0</v>
      </c>
    </row>
    <row r="4819" spans="1:22" x14ac:dyDescent="0.2">
      <c r="A4819" t="s">
        <v>44</v>
      </c>
      <c r="B4819" s="46">
        <f>INDEX(parameters!$D$4:$N$20,MATCH('hydrogen - electrolysis'!B4801&amp;'hydrogen - electrolysis'!B4803,parameters!$A$4:$A$20,0),MATCH('hydrogen - electrolysis'!A4819,parameters!$D$3:$N$3,0))</f>
        <v>0</v>
      </c>
    </row>
    <row r="4820" spans="1:22" x14ac:dyDescent="0.2">
      <c r="A4820" t="s">
        <v>634</v>
      </c>
      <c r="B4820" s="51">
        <f>INDEX(parameters!$D$4:$Y$20,MATCH('hydrogen - electrolysis'!B4801&amp;'hydrogen - electrolysis'!B4803,parameters!$A$4:$A$20,0),MATCH('hydrogen - electrolysis'!A4820,parameters!$D$3:$Y$3,0))</f>
        <v>351.41800246609125</v>
      </c>
    </row>
    <row r="4821" spans="1:22" x14ac:dyDescent="0.2">
      <c r="A4821" t="s">
        <v>82</v>
      </c>
      <c r="B4821" s="46">
        <f>IF(B4812&lt;&gt;0,VLOOKUP(B4812,parameters!A3126:B3128,2,0),0)</f>
        <v>0</v>
      </c>
    </row>
    <row r="4822" spans="1:22" x14ac:dyDescent="0.2">
      <c r="A4822" t="s">
        <v>548</v>
      </c>
      <c r="B4822" s="50">
        <f>INDEX(parameters!$D$4:$P$20,MATCH(B4801&amp;B4803,parameters!$A$4:$A$20,0),MATCH(A4822,parameters!$D$3:$P$3,0))</f>
        <v>125</v>
      </c>
    </row>
    <row r="4823" spans="1:22" x14ac:dyDescent="0.2">
      <c r="A4823" t="s">
        <v>547</v>
      </c>
      <c r="B4823" s="51">
        <f>INDEX(parameters!$D$4:$P$20,MATCH(B4801&amp;B4803,parameters!$A$4:$A$20,0),MATCH(A4823,parameters!$D$3:$P$3,0))</f>
        <v>19.512195121951219</v>
      </c>
    </row>
    <row r="4824" spans="1:22" x14ac:dyDescent="0.2">
      <c r="A4824" t="s">
        <v>630</v>
      </c>
      <c r="B4824" s="51">
        <f>INDEX(parameters!$D$4:$T$20,MATCH(B4801&amp;B4803,parameters!$A$4:$A$20,0),MATCH(A4824,parameters!$D$3:$T$3,0))</f>
        <v>4100</v>
      </c>
    </row>
    <row r="4825" spans="1:22" x14ac:dyDescent="0.2">
      <c r="A4825" t="s">
        <v>1005</v>
      </c>
      <c r="B4825" s="50">
        <f>IF(B4797="megajoule",SUMIFS(allocation!$I$4:$I$30,allocation!$B$4:$B$30,B4803,allocation!$C$4:$C$30,B4804),SUMIFS(allocation!$J$4:$J$30,allocation!$B$4:$B$30,B4803,allocation!$C$4:$C$30,B4804))</f>
        <v>0.87139957772704957</v>
      </c>
    </row>
    <row r="4826" spans="1:22" x14ac:dyDescent="0.2">
      <c r="A4826" t="s">
        <v>1050</v>
      </c>
      <c r="B4826" s="51">
        <f>INDEX(parameters!$D$4:$AB$20,MATCH(B4801&amp;B4803,parameters!$A$4:$A$20,0),MATCH(A4826,parameters!$D$3:$AB$3,0))</f>
        <v>2220.7364520822662</v>
      </c>
    </row>
    <row r="4828" spans="1:22" x14ac:dyDescent="0.2">
      <c r="A4828" s="3" t="s">
        <v>57</v>
      </c>
    </row>
    <row r="4829" spans="1:22" x14ac:dyDescent="0.2">
      <c r="A4829" s="2" t="s">
        <v>58</v>
      </c>
      <c r="B4829" s="44" t="s">
        <v>59</v>
      </c>
      <c r="C4829" s="2" t="s">
        <v>55</v>
      </c>
      <c r="D4829" s="2" t="s">
        <v>60</v>
      </c>
      <c r="E4829" s="2" t="s">
        <v>52</v>
      </c>
      <c r="F4829" s="2" t="s">
        <v>61</v>
      </c>
      <c r="G4829" s="2" t="s">
        <v>54</v>
      </c>
      <c r="H4829" s="2" t="s">
        <v>87</v>
      </c>
      <c r="I4829" s="2" t="s">
        <v>51</v>
      </c>
      <c r="J4829" s="2" t="s">
        <v>138</v>
      </c>
      <c r="K4829" s="2" t="s">
        <v>136</v>
      </c>
      <c r="L4829" s="2" t="s">
        <v>221</v>
      </c>
      <c r="M4829" s="2" t="s">
        <v>379</v>
      </c>
      <c r="N4829" s="2" t="s">
        <v>1059</v>
      </c>
      <c r="O4829" s="2" t="s">
        <v>1060</v>
      </c>
      <c r="P4829" s="2" t="s">
        <v>1061</v>
      </c>
      <c r="Q4829" s="2" t="s">
        <v>1062</v>
      </c>
      <c r="R4829" s="2" t="s">
        <v>1063</v>
      </c>
      <c r="S4829" s="2" t="s">
        <v>1064</v>
      </c>
      <c r="T4829" s="2" t="s">
        <v>1065</v>
      </c>
      <c r="U4829" s="2" t="s">
        <v>380</v>
      </c>
      <c r="V4829" s="2" t="s">
        <v>1128</v>
      </c>
    </row>
    <row r="4830" spans="1:22" x14ac:dyDescent="0.2">
      <c r="A4830" t="str">
        <f>B4791</f>
        <v>electricity, residential, by combustion of hydrogen using CHP, allocated by exergy, transported by pipeline, produced by Electrolysis, PEM using water and electricity from Solar PV (IT)</v>
      </c>
      <c r="B4830" s="45">
        <v>1</v>
      </c>
      <c r="C4830" t="str">
        <f>B4797</f>
        <v>kilowatt hour</v>
      </c>
      <c r="E4830" t="str">
        <f>B4794</f>
        <v>CH</v>
      </c>
      <c r="F4830" t="s">
        <v>62</v>
      </c>
      <c r="G4830" t="str">
        <f>B4796</f>
        <v>electricity, from residential heating system</v>
      </c>
      <c r="K4830" t="str">
        <f>B4791</f>
        <v>electricity, residential, by combustion of hydrogen using CHP, allocated by exergy, transported by pipeline, produced by Electrolysis, PEM using water and electricity from Solar PV (IT)</v>
      </c>
    </row>
    <row r="4831" spans="1:22" x14ac:dyDescent="0.2">
      <c r="A4831" t="str">
        <f>VLOOKUP(J4831,'dataset mapping'!$A$4:$E$69,2,0)</f>
        <v>heat and power co-generation unit construction, 160kW electrical, common components for heat+electricity</v>
      </c>
      <c r="B4831" s="52">
        <f>(1/(B4820*B4824*B4823))*B4825</f>
        <v>3.0995835856870056E-8</v>
      </c>
      <c r="C4831" t="str">
        <f>VLOOKUP(J4831,'dataset mapping'!$A$4:$E$69,5,0)</f>
        <v>unit</v>
      </c>
      <c r="E4831" t="str">
        <f>VLOOKUP(J4831,'dataset mapping'!$A$4:$E$69,4,0)</f>
        <v>RER</v>
      </c>
      <c r="F4831" t="s">
        <v>86</v>
      </c>
      <c r="G4831" t="str">
        <f>VLOOKUP(J4831,'dataset mapping'!$A$4:$E$69,3,0)</f>
        <v>heat and power co-generation unit, 160kW electrical, common components for heat+electricity</v>
      </c>
      <c r="H4831" t="s">
        <v>88</v>
      </c>
      <c r="J4831" t="s">
        <v>145</v>
      </c>
      <c r="K4831" t="str">
        <f>B4791</f>
        <v>electricity, residential, by combustion of hydrogen using CHP, allocated by exergy, transported by pipeline, produced by Electrolysis, PEM using water and electricity from Solar PV (IT)</v>
      </c>
      <c r="L4831">
        <f t="shared" ref="L4831:L4838" si="166">IF(OR(B4831&lt;0,B4831=0),1,2)</f>
        <v>2</v>
      </c>
      <c r="M4831">
        <f t="shared" ref="M4831:M4838" si="167">IF(L4831=2,LN(B4831),"")</f>
        <v>-17.28941296868171</v>
      </c>
      <c r="N4831">
        <v>1.05</v>
      </c>
      <c r="O4831" s="15">
        <v>1.2</v>
      </c>
      <c r="P4831">
        <v>1</v>
      </c>
      <c r="Q4831">
        <v>1.01</v>
      </c>
      <c r="R4831">
        <v>1.2</v>
      </c>
      <c r="S4831">
        <v>1.2</v>
      </c>
      <c r="T4831">
        <v>3</v>
      </c>
      <c r="U4831">
        <f t="shared" ref="U4831:U4838" si="168">LN(SQRT(EXP(
SQRT(
+POWER(LN(N4831),2)
+POWER(LN(O4831),2)
+POWER(LN(P4831),2)
+POWER(LN(Q4831),2)
+POWER(LN(R4831),2)
+POWER(LN(S4831),2)
+POWER(LN(T4831),2)
)
)))</f>
        <v>0.57209088006881903</v>
      </c>
    </row>
    <row r="4832" spans="1:22" x14ac:dyDescent="0.2">
      <c r="A4832" t="str">
        <f>VLOOKUP(J4832,'dataset mapping'!$A$4:$E$69,2,0)</f>
        <v>heat and power co-generation unit construction, 160kW electrical, components for electricity only</v>
      </c>
      <c r="B4832" s="52">
        <f>(1/(B4820*B4824*B4823))*B4825</f>
        <v>3.0995835856870056E-8</v>
      </c>
      <c r="C4832" t="str">
        <f>VLOOKUP(J4832,'dataset mapping'!$A$4:$E$69,5,0)</f>
        <v>unit</v>
      </c>
      <c r="E4832" t="str">
        <f>VLOOKUP(J4832,'dataset mapping'!$A$4:$E$69,4,0)</f>
        <v>RER</v>
      </c>
      <c r="F4832" t="s">
        <v>86</v>
      </c>
      <c r="G4832" t="str">
        <f>VLOOKUP(J4832,'dataset mapping'!$A$4:$E$69,3,0)</f>
        <v>heat and power co-generation unit, 160kW electrical, components for electricity only</v>
      </c>
      <c r="H4832" t="s">
        <v>88</v>
      </c>
      <c r="J4832" t="s">
        <v>146</v>
      </c>
      <c r="K4832" t="str">
        <f>B4791</f>
        <v>electricity, residential, by combustion of hydrogen using CHP, allocated by exergy, transported by pipeline, produced by Electrolysis, PEM using water and electricity from Solar PV (IT)</v>
      </c>
      <c r="L4832">
        <f t="shared" si="166"/>
        <v>2</v>
      </c>
      <c r="M4832">
        <f t="shared" si="167"/>
        <v>-17.28941296868171</v>
      </c>
      <c r="N4832">
        <v>1.05</v>
      </c>
      <c r="O4832" s="15">
        <v>1.2</v>
      </c>
      <c r="P4832">
        <v>1</v>
      </c>
      <c r="Q4832">
        <v>1.01</v>
      </c>
      <c r="R4832">
        <v>1.2</v>
      </c>
      <c r="S4832">
        <v>1.2</v>
      </c>
      <c r="T4832">
        <v>3</v>
      </c>
      <c r="U4832">
        <f t="shared" si="168"/>
        <v>0.57209088006881903</v>
      </c>
    </row>
    <row r="4833" spans="1:22" x14ac:dyDescent="0.2">
      <c r="A4833" t="str">
        <f>VLOOKUP(J4833,'dataset mapping'!$A$4:$E$69,2,0)</f>
        <v>heat and power co-generation unit construction, 160kW electrical, components for heat only</v>
      </c>
      <c r="B4833" s="52">
        <f>(1/(B4820*B4824*B4823))*B4825</f>
        <v>3.0995835856870056E-8</v>
      </c>
      <c r="C4833" t="str">
        <f>VLOOKUP(J4833,'dataset mapping'!$A$4:$E$69,5,0)</f>
        <v>unit</v>
      </c>
      <c r="E4833" t="str">
        <f>VLOOKUP(J4833,'dataset mapping'!$A$4:$E$69,4,0)</f>
        <v>RER</v>
      </c>
      <c r="F4833" t="s">
        <v>86</v>
      </c>
      <c r="G4833" t="str">
        <f>VLOOKUP(J4833,'dataset mapping'!$A$4:$E$69,3,0)</f>
        <v>heat and power co-generation unit, 160kW electrical, components for heat only</v>
      </c>
      <c r="H4833" t="s">
        <v>88</v>
      </c>
      <c r="J4833" t="s">
        <v>147</v>
      </c>
      <c r="K4833" t="str">
        <f>B4791</f>
        <v>electricity, residential, by combustion of hydrogen using CHP, allocated by exergy, transported by pipeline, produced by Electrolysis, PEM using water and electricity from Solar PV (IT)</v>
      </c>
      <c r="L4833">
        <f t="shared" si="166"/>
        <v>2</v>
      </c>
      <c r="M4833">
        <f t="shared" si="167"/>
        <v>-17.28941296868171</v>
      </c>
      <c r="N4833">
        <v>1.05</v>
      </c>
      <c r="O4833" s="15">
        <v>1.2</v>
      </c>
      <c r="P4833">
        <v>1</v>
      </c>
      <c r="Q4833">
        <v>1.01</v>
      </c>
      <c r="R4833">
        <v>1.2</v>
      </c>
      <c r="S4833">
        <v>1.2</v>
      </c>
      <c r="T4833">
        <v>3</v>
      </c>
      <c r="U4833">
        <f t="shared" si="168"/>
        <v>0.57209088006881903</v>
      </c>
    </row>
    <row r="4834" spans="1:22" x14ac:dyDescent="0.2">
      <c r="A4834" t="s">
        <v>156</v>
      </c>
      <c r="B4834" s="52">
        <f>0.00000011366*B4825</f>
        <v>9.9043276004456456E-8</v>
      </c>
      <c r="C4834" t="s">
        <v>56</v>
      </c>
      <c r="E4834" t="s">
        <v>90</v>
      </c>
      <c r="F4834" t="s">
        <v>86</v>
      </c>
      <c r="G4834" t="s">
        <v>154</v>
      </c>
      <c r="H4834" t="s">
        <v>155</v>
      </c>
      <c r="K4834" t="str">
        <f>B4791</f>
        <v>electricity, residential, by combustion of hydrogen using CHP, allocated by exergy, transported by pipeline, produced by Electrolysis, PEM using water and electricity from Solar PV (IT)</v>
      </c>
      <c r="L4834">
        <f t="shared" si="166"/>
        <v>2</v>
      </c>
      <c r="M4834">
        <f t="shared" si="167"/>
        <v>-16.127708950967754</v>
      </c>
      <c r="N4834">
        <v>1.05</v>
      </c>
      <c r="O4834" s="15">
        <v>1.2</v>
      </c>
      <c r="P4834">
        <v>1</v>
      </c>
      <c r="Q4834">
        <v>1.01</v>
      </c>
      <c r="R4834">
        <v>1.2</v>
      </c>
      <c r="S4834">
        <v>1.2</v>
      </c>
      <c r="T4834">
        <v>1.05</v>
      </c>
      <c r="U4834">
        <f t="shared" si="168"/>
        <v>0.16169679924070957</v>
      </c>
    </row>
    <row r="4835" spans="1:22" x14ac:dyDescent="0.2">
      <c r="A4835" t="s">
        <v>157</v>
      </c>
      <c r="B4835" s="52">
        <f>0.00000011366*B4825*-1</f>
        <v>-9.9043276004456456E-8</v>
      </c>
      <c r="C4835" t="s">
        <v>56</v>
      </c>
      <c r="E4835" t="s">
        <v>64</v>
      </c>
      <c r="F4835" t="s">
        <v>86</v>
      </c>
      <c r="G4835" t="s">
        <v>158</v>
      </c>
      <c r="H4835" t="s">
        <v>155</v>
      </c>
      <c r="K4835" t="str">
        <f>B4791</f>
        <v>electricity, residential, by combustion of hydrogen using CHP, allocated by exergy, transported by pipeline, produced by Electrolysis, PEM using water and electricity from Solar PV (IT)</v>
      </c>
      <c r="L4835">
        <v>2</v>
      </c>
      <c r="M4835">
        <f>IF(L4835=2,LN(B4835*-1),"")</f>
        <v>-16.127708950967754</v>
      </c>
      <c r="N4835">
        <v>1.05</v>
      </c>
      <c r="O4835" s="15">
        <v>1.2</v>
      </c>
      <c r="P4835">
        <v>1</v>
      </c>
      <c r="Q4835">
        <v>1.01</v>
      </c>
      <c r="R4835">
        <v>1.2</v>
      </c>
      <c r="S4835">
        <v>1.2</v>
      </c>
      <c r="T4835">
        <v>3</v>
      </c>
      <c r="U4835">
        <f>LN(SQRT(EXP(
SQRT(
+POWER(LN(N4835),2)
+POWER(LN(O4835),2)
+POWER(LN(P4835),2)
+POWER(LN(Q4835),2)
+POWER(LN(R4835),2)
+POWER(LN(S4835),2)
+POWER(LN(T4835),2)
)
)))</f>
        <v>0.57209088006881903</v>
      </c>
      <c r="V4835" t="b">
        <v>1</v>
      </c>
    </row>
    <row r="4836" spans="1:22" x14ac:dyDescent="0.2">
      <c r="A4836" s="45" t="str">
        <f>"hydrogen supply, transported by "&amp;B4805&amp;", produced by "&amp;B4809&amp;" using "&amp;B4810&amp;" from "&amp;B4811</f>
        <v>hydrogen supply, transported by pipeline, produced by Electrolysis, PEM using water and electricity from Solar PV (IT)</v>
      </c>
      <c r="B4836" s="53">
        <f>(B4830/B4814)/B4813*B4825</f>
        <v>6.6350221654343872E-2</v>
      </c>
      <c r="C4836" t="s">
        <v>56</v>
      </c>
      <c r="E4836" t="s">
        <v>64</v>
      </c>
      <c r="F4836" t="s">
        <v>86</v>
      </c>
      <c r="G4836" t="str">
        <f>"hydrogen, gaseous, from "&amp;B4805</f>
        <v>hydrogen, gaseous, from pipeline</v>
      </c>
      <c r="H4836" t="s">
        <v>76</v>
      </c>
      <c r="I4836" t="s">
        <v>1054</v>
      </c>
      <c r="J4836" t="s">
        <v>637</v>
      </c>
      <c r="K4836" t="str">
        <f>B4791</f>
        <v>electricity, residential, by combustion of hydrogen using CHP, allocated by exergy, transported by pipeline, produced by Electrolysis, PEM using water and electricity from Solar PV (IT)</v>
      </c>
      <c r="L4836">
        <f t="shared" si="166"/>
        <v>2</v>
      </c>
      <c r="M4836">
        <f t="shared" si="167"/>
        <v>-2.7128081775260964</v>
      </c>
      <c r="N4836">
        <v>1.05</v>
      </c>
      <c r="O4836" s="15">
        <v>1.2</v>
      </c>
      <c r="P4836">
        <v>1</v>
      </c>
      <c r="Q4836">
        <v>1.01</v>
      </c>
      <c r="R4836">
        <v>1.2</v>
      </c>
      <c r="S4836">
        <v>1.2</v>
      </c>
      <c r="T4836">
        <v>1.05</v>
      </c>
      <c r="U4836">
        <f t="shared" si="168"/>
        <v>0.16169679924070957</v>
      </c>
    </row>
    <row r="4837" spans="1:22" x14ac:dyDescent="0.2">
      <c r="A4837" t="s">
        <v>134</v>
      </c>
      <c r="B4837" s="45">
        <f>B4836*9</f>
        <v>0.59715199488909487</v>
      </c>
      <c r="C4837" t="s">
        <v>56</v>
      </c>
      <c r="D4837" t="s">
        <v>100</v>
      </c>
      <c r="F4837" t="s">
        <v>99</v>
      </c>
      <c r="H4837" t="s">
        <v>131</v>
      </c>
      <c r="I4837" t="s">
        <v>1058</v>
      </c>
      <c r="K4837" t="str">
        <f>B4791</f>
        <v>electricity, residential, by combustion of hydrogen using CHP, allocated by exergy, transported by pipeline, produced by Electrolysis, PEM using water and electricity from Solar PV (IT)</v>
      </c>
      <c r="L4837">
        <f t="shared" si="166"/>
        <v>2</v>
      </c>
      <c r="M4837">
        <f t="shared" si="167"/>
        <v>-0.51558360018987692</v>
      </c>
      <c r="N4837">
        <v>1.05</v>
      </c>
      <c r="O4837" s="15">
        <v>1.2</v>
      </c>
      <c r="P4837">
        <v>1</v>
      </c>
      <c r="Q4837">
        <v>1.01</v>
      </c>
      <c r="R4837">
        <v>1.2</v>
      </c>
      <c r="S4837">
        <v>1.2</v>
      </c>
      <c r="T4837">
        <v>1.05</v>
      </c>
      <c r="U4837">
        <f t="shared" si="168"/>
        <v>0.16169679924070957</v>
      </c>
    </row>
    <row r="4838" spans="1:22" x14ac:dyDescent="0.2">
      <c r="A4838" t="s">
        <v>135</v>
      </c>
      <c r="B4838" s="45">
        <f>912.5/1000000*B4836</f>
        <v>6.0544577259588785E-5</v>
      </c>
      <c r="C4838" t="s">
        <v>56</v>
      </c>
      <c r="D4838" t="s">
        <v>100</v>
      </c>
      <c r="F4838" t="s">
        <v>99</v>
      </c>
      <c r="H4838" t="s">
        <v>131</v>
      </c>
      <c r="I4838" t="s">
        <v>1217</v>
      </c>
      <c r="K4838" t="str">
        <f>B4791</f>
        <v>electricity, residential, by combustion of hydrogen using CHP, allocated by exergy, transported by pipeline, produced by Electrolysis, PEM using water and electricity from Solar PV (IT)</v>
      </c>
      <c r="L4838">
        <f t="shared" si="166"/>
        <v>2</v>
      </c>
      <c r="M4838">
        <f t="shared" si="167"/>
        <v>-9.712130650033723</v>
      </c>
      <c r="N4838">
        <v>1.05</v>
      </c>
      <c r="O4838" s="15">
        <v>1.2</v>
      </c>
      <c r="P4838">
        <v>1</v>
      </c>
      <c r="Q4838">
        <v>1.01</v>
      </c>
      <c r="R4838">
        <v>1.2</v>
      </c>
      <c r="S4838">
        <v>1.2</v>
      </c>
      <c r="T4838">
        <v>1.5</v>
      </c>
      <c r="U4838">
        <f t="shared" si="168"/>
        <v>0.25816898211842121</v>
      </c>
    </row>
    <row r="4840" spans="1:22" x14ac:dyDescent="0.2">
      <c r="A4840" s="2" t="s">
        <v>50</v>
      </c>
      <c r="B4840" s="44" t="str">
        <f>IF(B4846="megajoule","heat","electricity")&amp;", residential, by "&amp;B4851&amp;" of "&amp;B4850&amp;" using "&amp;B4852&amp;IF(B4853&lt;&gt;0,", allocated by "&amp;B4853,"")&amp;", transported by "&amp;B4854&amp;", produced by "&amp;B4858&amp;" using "&amp;B4859&amp;" from "&amp;B4860</f>
        <v>electricity, residential, by conversion of hydrogen using fuel cell, PEM, allocated by exergy, transported by pipeline, produced by Electrolysis, PEM using water and electricity from Solar PV (IT)</v>
      </c>
    </row>
    <row r="4841" spans="1:22" x14ac:dyDescent="0.2">
      <c r="A4841" t="s">
        <v>51</v>
      </c>
      <c r="B4841" s="45" t="str">
        <f>"This dataset represents the supply of 1 "&amp;IF(B4846="megajoule","megajoule of heat","kilowatt hour of electricity")&amp;" in a residence, by "&amp;B4850&amp;" "&amp;B4851&amp;" in a "&amp;B4852&amp;". "&amp;" The hydrogen is transported by "&amp;B4854&amp;" over "&amp;B4855&amp;" km from regional storage. "&amp;" The "&amp;B4850&amp;" is produced by  "&amp;B4858&amp;", with "&amp;B4859&amp;" from "&amp;B4860&amp;" as feedstock. "&amp;A4862&amp;": "&amp;(B4862*100)&amp;"%. "&amp;A4863&amp;": "&amp;B4863&amp;". "&amp;A4864&amp;": "&amp;B4864&amp;". "&amp;A4865&amp;": "&amp;(B4865*100)&amp;"%. "&amp;A4866&amp;": "&amp;(B4866*100)&amp;"%. "&amp;A4867&amp;": "&amp;(B4867*100)&amp;"%. "&amp;A4868&amp;": "&amp;B4868&amp;". "&amp;A4869&amp;": "&amp;B4869&amp;". "&amp;A4870&amp;": "&amp;(B4870*100)&amp;"%. "&amp;A4871&amp;": "&amp;B4871&amp;". "&amp;A4872&amp;": "&amp;B4872&amp;". "&amp;A4873&amp;": "&amp;B4873&amp;". "&amp;A4874&amp;": "&amp;B4874&amp;".  For more information, refer to: "&amp;B4842</f>
        <v>This dataset represents the supply of 1 kilowatt hour of electricity in a residence, by hydrogen conversion in a fuel cell, PEM.  The hydrogen is transported by pipeline over 1700 km from regional storage.  The hydrogen is produced by  Electrolysis, PEM,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4842" spans="1:22" x14ac:dyDescent="0.2">
      <c r="A4842" t="s">
        <v>63</v>
      </c>
      <c r="B4842" s="45" t="s">
        <v>1223</v>
      </c>
    </row>
    <row r="4843" spans="1:22" x14ac:dyDescent="0.2">
      <c r="A4843" t="s">
        <v>52</v>
      </c>
      <c r="B4843" s="45" t="s">
        <v>64</v>
      </c>
    </row>
    <row r="4844" spans="1:22" x14ac:dyDescent="0.2">
      <c r="A4844" t="s">
        <v>48</v>
      </c>
      <c r="B4844" s="45" t="s">
        <v>908</v>
      </c>
    </row>
    <row r="4845" spans="1:22" x14ac:dyDescent="0.2">
      <c r="A4845" t="s">
        <v>54</v>
      </c>
      <c r="B4845" s="45" t="str">
        <f>INDEX(overview!$B$4:$R$338,MATCH('hydrogen - electrolysis'!B4844,overview!$A$4:$A$338,0),MATCH('hydrogen - electrolysis'!A4845,overview!$B$3:$R$3,0))</f>
        <v>electricity, from residential heating system</v>
      </c>
    </row>
    <row r="4846" spans="1:22" x14ac:dyDescent="0.2">
      <c r="A4846" t="s">
        <v>55</v>
      </c>
      <c r="B4846" s="45" t="str">
        <f>INDEX(overview!$B$4:$R$338,MATCH('hydrogen - electrolysis'!B4844,overview!$A$4:$A$338,0),MATCH('hydrogen - electrolysis'!A4846,overview!$B$3:$R$3,0))</f>
        <v>kilowatt hour</v>
      </c>
    </row>
    <row r="4847" spans="1:22" x14ac:dyDescent="0.2">
      <c r="A4847" t="s">
        <v>0</v>
      </c>
      <c r="B4847" s="45" t="str">
        <f>INDEX(overview!$B$4:$R$338,MATCH('hydrogen - electrolysis'!B4844,overview!$A$4:$A$338,0),MATCH('hydrogen - electrolysis'!A4847,overview!$B$3:$R$3,0))</f>
        <v>Switzerland</v>
      </c>
    </row>
    <row r="4848" spans="1:22" x14ac:dyDescent="0.2">
      <c r="A4848" t="s">
        <v>1</v>
      </c>
      <c r="B4848" s="45">
        <f>INDEX(overview!$B$4:$R$338,MATCH('hydrogen - electrolysis'!B4844,overview!$A$4:$A$338,0),MATCH('hydrogen - electrolysis'!A4848,overview!$B$3:$R$3,0))</f>
        <v>2020</v>
      </c>
    </row>
    <row r="4849" spans="1:2" x14ac:dyDescent="0.2">
      <c r="A4849" t="s">
        <v>2</v>
      </c>
      <c r="B4849" s="45" t="str">
        <f>INDEX(overview!$B$4:$R$338,MATCH('hydrogen - electrolysis'!B4844,overview!$A$4:$A$338,0),MATCH('hydrogen - electrolysis'!A4849,overview!$B$3:$R$3,0))</f>
        <v>1 kWh electricity</v>
      </c>
    </row>
    <row r="4850" spans="1:2" x14ac:dyDescent="0.2">
      <c r="A4850" t="s">
        <v>5</v>
      </c>
      <c r="B4850" s="45" t="str">
        <f>INDEX(overview!$B$4:$R$338,MATCH('hydrogen - electrolysis'!B4844,overview!$A$4:$A$338,0),MATCH('hydrogen - electrolysis'!A4850,overview!$B$3:$R$3,0))</f>
        <v>hydrogen</v>
      </c>
    </row>
    <row r="4851" spans="1:2" x14ac:dyDescent="0.2">
      <c r="A4851" t="s">
        <v>3</v>
      </c>
      <c r="B4851" s="45" t="str">
        <f>INDEX(overview!$B$4:$R$338,MATCH('hydrogen - electrolysis'!B4844,overview!$A$4:$A$338,0),MATCH('hydrogen - electrolysis'!A4851,overview!$B$3:$R$3,0))</f>
        <v>conversion</v>
      </c>
    </row>
    <row r="4852" spans="1:2" x14ac:dyDescent="0.2">
      <c r="A4852" t="s">
        <v>6</v>
      </c>
      <c r="B4852" s="45" t="str">
        <f>INDEX(overview!$B$4:$R$338,MATCH('hydrogen - electrolysis'!B4844,overview!$A$4:$A$338,0),MATCH('hydrogen - electrolysis'!A4852,overview!$B$3:$R$3,0))</f>
        <v>fuel cell, PEM</v>
      </c>
    </row>
    <row r="4853" spans="1:2" x14ac:dyDescent="0.2">
      <c r="A4853" t="s">
        <v>39</v>
      </c>
      <c r="B4853" s="45" t="str">
        <f>INDEX(overview!$B$4:$R$338,MATCH('hydrogen - electrolysis'!B4844,overview!$A$4:$A$338,0),MATCH('hydrogen - electrolysis'!A4853,overview!$B$3:$R$3,0))</f>
        <v>exergy</v>
      </c>
    </row>
    <row r="4854" spans="1:2" x14ac:dyDescent="0.2">
      <c r="A4854" t="s">
        <v>4</v>
      </c>
      <c r="B4854" s="45" t="str">
        <f>INDEX(overview!$B$4:$R$338,MATCH('hydrogen - electrolysis'!B4844,overview!$A$4:$A$338,0),MATCH('hydrogen - electrolysis'!A4854,overview!$B$3:$R$3,0))</f>
        <v>pipeline</v>
      </c>
    </row>
    <row r="4855" spans="1:2" x14ac:dyDescent="0.2">
      <c r="A4855" t="s">
        <v>38</v>
      </c>
      <c r="B4855" s="45">
        <f>INDEX(overview!$B$4:$R$338,MATCH('hydrogen - electrolysis'!B4844,overview!$A$4:$A$338,0),MATCH('hydrogen - electrolysis'!A4855,overview!$B$3:$R$3,0))</f>
        <v>1700</v>
      </c>
    </row>
    <row r="4856" spans="1:2" x14ac:dyDescent="0.2">
      <c r="A4856" t="s">
        <v>12</v>
      </c>
      <c r="B4856" s="45" t="str">
        <f>INDEX(overview!$B$4:$R$338,MATCH('hydrogen - electrolysis'!B4844,overview!$A$4:$A$338,0),MATCH('hydrogen - electrolysis'!A4856,overview!$B$3:$R$3,0))</f>
        <v>Pressure vessel for stationary storage</v>
      </c>
    </row>
    <row r="4857" spans="1:2" x14ac:dyDescent="0.2">
      <c r="A4857" t="s">
        <v>34</v>
      </c>
      <c r="B4857" s="45">
        <f>INDEX(overview!$B$4:$R$338,MATCH('hydrogen - electrolysis'!B4844,overview!$A$4:$A$338,0),MATCH('hydrogen - electrolysis'!A4857,overview!$B$3:$R$3,0))</f>
        <v>0</v>
      </c>
    </row>
    <row r="4858" spans="1:2" x14ac:dyDescent="0.2">
      <c r="A4858" t="s">
        <v>15</v>
      </c>
      <c r="B4858" s="45" t="str">
        <f>INDEX(overview!$B$4:$R$338,MATCH('hydrogen - electrolysis'!B4844,overview!$A$4:$A$338,0),MATCH('hydrogen - electrolysis'!A4858,overview!$B$3:$R$3,0))</f>
        <v>Electrolysis, PEM</v>
      </c>
    </row>
    <row r="4859" spans="1:2" x14ac:dyDescent="0.2">
      <c r="A4859" t="s">
        <v>14</v>
      </c>
      <c r="B4859" s="45" t="str">
        <f>INDEX(overview!$B$4:$R$338,MATCH('hydrogen - electrolysis'!B4844,overview!$A$4:$A$338,0),MATCH('hydrogen - electrolysis'!A4859,overview!$B$3:$R$3,0))</f>
        <v>water and electricity</v>
      </c>
    </row>
    <row r="4860" spans="1:2" x14ac:dyDescent="0.2">
      <c r="A4860" t="s">
        <v>26</v>
      </c>
      <c r="B4860" s="45" t="str">
        <f>INDEX(overview!$B$4:$R$338,MATCH('hydrogen - electrolysis'!B4844,overview!$A$4:$A$338,0),MATCH('hydrogen - electrolysis'!A4860,overview!$B$3:$R$3,0))</f>
        <v>Solar PV (IT)</v>
      </c>
    </row>
    <row r="4861" spans="1:2" x14ac:dyDescent="0.2">
      <c r="A4861" t="s">
        <v>29</v>
      </c>
      <c r="B4861" s="45">
        <f>INDEX(overview!$B$4:$R$338,MATCH('hydrogen - electrolysis'!B4844,overview!$A$4:$A$338,0),MATCH('hydrogen - electrolysis'!A4861,overview!$B$3:$R$3,0))</f>
        <v>0</v>
      </c>
    </row>
    <row r="4862" spans="1:2" x14ac:dyDescent="0.2">
      <c r="A4862" t="str">
        <f>IF(B4846="megajoule","Heat","Electricity")&amp;" conversion efficiency [% LHV input]"</f>
        <v>Electricity conversion efficiency [% LHV input]</v>
      </c>
      <c r="B4862" s="46">
        <f>INDEX(parameters!$D$4:$N$20,MATCH('hydrogen - electrolysis'!B4850&amp;'hydrogen - electrolysis'!B4852,parameters!$A$4:$A$20,0),MATCH('hydrogen - electrolysis'!A4862,parameters!$D$3:$N$3,0))</f>
        <v>0.45</v>
      </c>
    </row>
    <row r="4863" spans="1:2" x14ac:dyDescent="0.2">
      <c r="A4863" t="str">
        <f>IF(B4846="megajoule","LHV [MJ/kg]","LHV [kWh/kg]")</f>
        <v>LHV [kWh/kg]</v>
      </c>
      <c r="B4863" s="47">
        <f>INDEX(parameters!$D$4:$N$20,MATCH('hydrogen - electrolysis'!B4850&amp;'hydrogen - electrolysis'!B4852,parameters!$A$4:$A$20,0),MATCH('hydrogen - electrolysis'!A4863,parameters!$D$3:$N$3,0))</f>
        <v>33.333333333333336</v>
      </c>
    </row>
    <row r="4864" spans="1:2" x14ac:dyDescent="0.2">
      <c r="A4864" t="s">
        <v>41</v>
      </c>
      <c r="B4864" s="48">
        <f>INDEX(parameters!$D$4:$N$20,MATCH('hydrogen - electrolysis'!B4850&amp;'hydrogen - electrolysis'!B4852,parameters!$A$4:$A$20,0),MATCH('hydrogen - electrolysis'!A4864,parameters!$D$3:$N$3,0))</f>
        <v>2.6666666666666665E-2</v>
      </c>
    </row>
    <row r="4865" spans="1:22" x14ac:dyDescent="0.2">
      <c r="A4865" t="s">
        <v>45</v>
      </c>
      <c r="B4865" s="46">
        <f>INDEX(parameters!$D$4:$N$20,MATCH('hydrogen - electrolysis'!B4850&amp;'hydrogen - electrolysis'!B4852,parameters!$A$4:$A$20,0),MATCH('hydrogen - electrolysis'!A4865,parameters!$D$3:$N$3,0))</f>
        <v>0</v>
      </c>
    </row>
    <row r="4866" spans="1:22" x14ac:dyDescent="0.2">
      <c r="A4866" t="s">
        <v>46</v>
      </c>
      <c r="B4866" s="46">
        <f>INDEX(parameters!$D$4:$N$20,MATCH('hydrogen - electrolysis'!B4850&amp;'hydrogen - electrolysis'!B4852,parameters!$A$4:$A$20,0),MATCH('hydrogen - electrolysis'!A4866,parameters!$D$3:$N$3,0))</f>
        <v>1.4999999999999999E-2</v>
      </c>
    </row>
    <row r="4867" spans="1:22" x14ac:dyDescent="0.2">
      <c r="A4867" t="s">
        <v>43</v>
      </c>
      <c r="B4867" s="46">
        <f>INDEX(parameters!$D$4:$N$20,MATCH('hydrogen - electrolysis'!B4850&amp;'hydrogen - electrolysis'!B4852,parameters!$A$4:$A$20,0),MATCH('hydrogen - electrolysis'!A4867,parameters!$D$3:$N$3,0))</f>
        <v>0</v>
      </c>
    </row>
    <row r="4868" spans="1:22" x14ac:dyDescent="0.2">
      <c r="A4868" t="s">
        <v>44</v>
      </c>
      <c r="B4868" s="46">
        <f>INDEX(parameters!$D$4:$N$20,MATCH('hydrogen - electrolysis'!B4850&amp;'hydrogen - electrolysis'!B4852,parameters!$A$4:$A$20,0),MATCH('hydrogen - electrolysis'!A4868,parameters!$D$3:$N$3,0))</f>
        <v>0</v>
      </c>
    </row>
    <row r="4869" spans="1:22" x14ac:dyDescent="0.2">
      <c r="A4869" t="s">
        <v>634</v>
      </c>
      <c r="B4869" s="51">
        <f>INDEX(parameters!$D$4:$Y$20,MATCH('hydrogen - electrolysis'!B4850&amp;'hydrogen - electrolysis'!B4852,parameters!$A$4:$A$20,0),MATCH('hydrogen - electrolysis'!A4869,parameters!$D$3:$Y$3,0))</f>
        <v>1.8947368421052633</v>
      </c>
    </row>
    <row r="4870" spans="1:22" x14ac:dyDescent="0.2">
      <c r="A4870" t="s">
        <v>82</v>
      </c>
      <c r="B4870" s="46">
        <f>IF(B4861&lt;&gt;0,VLOOKUP(B4861,parameters!A3180:B3182,2,0),0)</f>
        <v>0</v>
      </c>
    </row>
    <row r="4871" spans="1:22" x14ac:dyDescent="0.2">
      <c r="A4871" t="s">
        <v>548</v>
      </c>
      <c r="B4871" s="50">
        <f>INDEX(parameters!$D$4:$P$20,MATCH(B4850&amp;B4852,parameters!$A$4:$A$20,0),MATCH(A4871,parameters!$D$3:$P$3,0))</f>
        <v>0.8</v>
      </c>
    </row>
    <row r="4872" spans="1:22" x14ac:dyDescent="0.2">
      <c r="A4872" t="s">
        <v>547</v>
      </c>
      <c r="B4872" s="51">
        <f>INDEX(parameters!$D$4:$P$20,MATCH(B4850&amp;B4852,parameters!$A$4:$A$20,0),MATCH(A4872,parameters!$D$3:$P$3,0))</f>
        <v>4.8780487804878048</v>
      </c>
    </row>
    <row r="4873" spans="1:22" x14ac:dyDescent="0.2">
      <c r="A4873" t="s">
        <v>630</v>
      </c>
      <c r="B4873" s="51">
        <f>INDEX(parameters!$D$4:$T$20,MATCH(B4850&amp;B4852,parameters!$A$4:$A$20,0),MATCH(A4873,parameters!$D$3:$T$3,0))</f>
        <v>4100</v>
      </c>
    </row>
    <row r="4874" spans="1:22" x14ac:dyDescent="0.2">
      <c r="A4874" t="s">
        <v>1005</v>
      </c>
      <c r="B4874" s="50">
        <f>IF(B4846="megajoule",SUMIFS(allocation!$I$4:$I$30,allocation!$B$4:$B$30,B4852,allocation!$C$4:$C$30,B4853),SUMIFS(allocation!$J$4:$J$30,allocation!$B$4:$B$30,B4852,allocation!$C$4:$C$30,B4853))</f>
        <v>0.86066019201025545</v>
      </c>
    </row>
    <row r="4875" spans="1:22" x14ac:dyDescent="0.2">
      <c r="A4875" t="s">
        <v>1050</v>
      </c>
      <c r="B4875" s="51">
        <f>INDEX(parameters!$D$4:$AB$20,MATCH(B4850&amp;B4852,parameters!$A$4:$A$20,0),MATCH(A4875,parameters!$D$3:$AB$3,0))</f>
        <v>10.221606648199446</v>
      </c>
    </row>
    <row r="4877" spans="1:22" x14ac:dyDescent="0.2">
      <c r="A4877" s="3" t="s">
        <v>57</v>
      </c>
    </row>
    <row r="4878" spans="1:22" x14ac:dyDescent="0.2">
      <c r="A4878" s="2" t="s">
        <v>58</v>
      </c>
      <c r="B4878" s="44" t="s">
        <v>59</v>
      </c>
      <c r="C4878" s="2" t="s">
        <v>55</v>
      </c>
      <c r="D4878" s="2" t="s">
        <v>60</v>
      </c>
      <c r="E4878" s="2" t="s">
        <v>52</v>
      </c>
      <c r="F4878" s="2" t="s">
        <v>61</v>
      </c>
      <c r="G4878" s="2" t="s">
        <v>54</v>
      </c>
      <c r="H4878" s="2" t="s">
        <v>87</v>
      </c>
      <c r="I4878" s="2" t="s">
        <v>51</v>
      </c>
      <c r="J4878" s="2" t="s">
        <v>138</v>
      </c>
      <c r="K4878" s="2" t="s">
        <v>136</v>
      </c>
      <c r="L4878" s="2" t="s">
        <v>221</v>
      </c>
      <c r="M4878" s="2" t="s">
        <v>379</v>
      </c>
      <c r="N4878" s="2" t="s">
        <v>1059</v>
      </c>
      <c r="O4878" s="2" t="s">
        <v>1060</v>
      </c>
      <c r="P4878" s="2" t="s">
        <v>1061</v>
      </c>
      <c r="Q4878" s="2" t="s">
        <v>1062</v>
      </c>
      <c r="R4878" s="2" t="s">
        <v>1063</v>
      </c>
      <c r="S4878" s="2" t="s">
        <v>1064</v>
      </c>
      <c r="T4878" s="2" t="s">
        <v>1065</v>
      </c>
      <c r="U4878" s="2" t="s">
        <v>380</v>
      </c>
      <c r="V4878" s="2" t="s">
        <v>1128</v>
      </c>
    </row>
    <row r="4879" spans="1:22" x14ac:dyDescent="0.2">
      <c r="A4879" t="str">
        <f>B4840</f>
        <v>electricity, residential, by conversion of hydrogen using fuel cell, PEM, allocated by exergy, transported by pipeline, produced by Electrolysis, PEM using water and electricity from Solar PV (IT)</v>
      </c>
      <c r="B4879" s="45">
        <v>1</v>
      </c>
      <c r="C4879" t="str">
        <f>B4846</f>
        <v>kilowatt hour</v>
      </c>
      <c r="E4879" t="str">
        <f>B4843</f>
        <v>CH</v>
      </c>
      <c r="F4879" t="s">
        <v>62</v>
      </c>
      <c r="G4879" t="str">
        <f>B4845</f>
        <v>electricity, from residential heating system</v>
      </c>
      <c r="K4879" t="str">
        <f>B4840</f>
        <v>electricity, residential, by conversion of hydrogen using fuel cell, PEM, allocated by exergy, transported by pipeline, produced by Electrolysis, PEM using water and electricity from Solar PV (IT)</v>
      </c>
    </row>
    <row r="4880" spans="1:22" x14ac:dyDescent="0.2">
      <c r="A4880" t="str">
        <f>VLOOKUP(J4880,'dataset mapping'!$A$4:$E$69,2,0)</f>
        <v>fuel cell system assembly, 1 kWe, proton exchange membrane (PEM)</v>
      </c>
      <c r="B4880" s="52">
        <f>(1/(B4869*B4873*B4872))*B4874</f>
        <v>2.2711866178048405E-5</v>
      </c>
      <c r="C4880" t="str">
        <f>VLOOKUP(J4880,'dataset mapping'!$A$4:$E$69,5,0)</f>
        <v>unit</v>
      </c>
      <c r="E4880" t="str">
        <f>VLOOKUP(J4880,'dataset mapping'!$A$4:$E$69,4,0)</f>
        <v>GLO</v>
      </c>
      <c r="F4880" t="s">
        <v>86</v>
      </c>
      <c r="G4880" t="str">
        <f>VLOOKUP(J4880,'dataset mapping'!$A$4:$E$69,3,0)</f>
        <v>fuel cell system, 1 kWe, proton exchange membrane (PEM)</v>
      </c>
      <c r="H4880" t="s">
        <v>88</v>
      </c>
      <c r="I4880" t="s">
        <v>272</v>
      </c>
      <c r="J4880" t="s">
        <v>273</v>
      </c>
      <c r="K4880" t="str">
        <f>B4840</f>
        <v>electricity, residential, by conversion of hydrogen using fuel cell, PEM, allocated by exergy, transported by pipeline, produced by Electrolysis, PEM using water and electricity from Solar PV (IT)</v>
      </c>
      <c r="L4880">
        <f t="shared" ref="L4880:L4882" si="169">IF(OR(B4880&lt;0,B4880=0),1,2)</f>
        <v>2</v>
      </c>
      <c r="M4880">
        <f t="shared" ref="M4880:M4882" si="170">IF(L4880=2,LN(B4880),"")</f>
        <v>-10.692623030936341</v>
      </c>
      <c r="N4880">
        <v>1</v>
      </c>
      <c r="O4880" s="15">
        <v>1.2</v>
      </c>
      <c r="P4880">
        <v>1</v>
      </c>
      <c r="Q4880">
        <v>1.01</v>
      </c>
      <c r="R4880">
        <v>1.2</v>
      </c>
      <c r="S4880">
        <v>1.2</v>
      </c>
      <c r="T4880">
        <v>3</v>
      </c>
      <c r="U4880">
        <f t="shared" ref="U4880:U4882" si="171">LN(SQRT(EXP(
SQRT(
+POWER(LN(N4880),2)
+POWER(LN(O4880),2)
+POWER(LN(P4880),2)
+POWER(LN(Q4880),2)
+POWER(LN(R4880),2)
+POWER(LN(S4880),2)
+POWER(LN(T4880),2)
)
)))</f>
        <v>0.57157051623399524</v>
      </c>
    </row>
    <row r="4881" spans="1:21" x14ac:dyDescent="0.2">
      <c r="A4881" s="45" t="str">
        <f>"hydrogen supply, transported by "&amp;B4854&amp;", produced by "&amp;B4858&amp;" using "&amp;B4859&amp;" from "&amp;B4860</f>
        <v>hydrogen supply, transported by pipeline, produced by Electrolysis, PEM using water and electricity from Solar PV (IT)</v>
      </c>
      <c r="B4881" s="53">
        <f>(B4879/B4863)/B4862*B4874</f>
        <v>5.7377346134017029E-2</v>
      </c>
      <c r="C4881" t="s">
        <v>56</v>
      </c>
      <c r="E4881" t="s">
        <v>64</v>
      </c>
      <c r="F4881" t="s">
        <v>86</v>
      </c>
      <c r="G4881" t="str">
        <f>"hydrogen, gaseous, from "&amp;B4854</f>
        <v>hydrogen, gaseous, from pipeline</v>
      </c>
      <c r="H4881" t="s">
        <v>76</v>
      </c>
      <c r="I4881" t="s">
        <v>1054</v>
      </c>
      <c r="J4881" t="s">
        <v>637</v>
      </c>
      <c r="K4881" t="str">
        <f>B4840</f>
        <v>electricity, residential, by conversion of hydrogen using fuel cell, PEM, allocated by exergy, transported by pipeline, produced by Electrolysis, PEM using water and electricity from Solar PV (IT)</v>
      </c>
      <c r="L4881">
        <f t="shared" si="169"/>
        <v>2</v>
      </c>
      <c r="M4881">
        <f t="shared" si="170"/>
        <v>-2.8581057202127536</v>
      </c>
      <c r="N4881">
        <v>1</v>
      </c>
      <c r="O4881" s="15">
        <v>1.2</v>
      </c>
      <c r="P4881">
        <v>1</v>
      </c>
      <c r="Q4881">
        <v>1.01</v>
      </c>
      <c r="R4881">
        <v>1.2</v>
      </c>
      <c r="S4881">
        <v>1.2</v>
      </c>
      <c r="T4881">
        <v>1.05</v>
      </c>
      <c r="U4881">
        <f t="shared" si="171"/>
        <v>0.15984597228197622</v>
      </c>
    </row>
    <row r="4882" spans="1:21" x14ac:dyDescent="0.2">
      <c r="A4882" t="s">
        <v>134</v>
      </c>
      <c r="B4882" s="53">
        <f>B4881*9</f>
        <v>0.51639611520615325</v>
      </c>
      <c r="C4882" t="s">
        <v>56</v>
      </c>
      <c r="D4882" t="s">
        <v>100</v>
      </c>
      <c r="F4882" t="s">
        <v>99</v>
      </c>
      <c r="H4882" t="s">
        <v>131</v>
      </c>
      <c r="I4882" t="s">
        <v>1057</v>
      </c>
      <c r="K4882" t="str">
        <f>B4840</f>
        <v>electricity, residential, by conversion of hydrogen using fuel cell, PEM, allocated by exergy, transported by pipeline, produced by Electrolysis, PEM using water and electricity from Solar PV (IT)</v>
      </c>
      <c r="L4882">
        <f t="shared" si="169"/>
        <v>2</v>
      </c>
      <c r="M4882">
        <f t="shared" si="170"/>
        <v>-0.6608811428765341</v>
      </c>
      <c r="N4882">
        <v>1</v>
      </c>
      <c r="O4882" s="15">
        <v>1.2</v>
      </c>
      <c r="P4882">
        <v>1</v>
      </c>
      <c r="Q4882">
        <v>1.01</v>
      </c>
      <c r="R4882">
        <v>1.2</v>
      </c>
      <c r="S4882">
        <v>1.2</v>
      </c>
      <c r="T4882">
        <v>1.05</v>
      </c>
      <c r="U4882">
        <f t="shared" si="171"/>
        <v>0.15984597228197622</v>
      </c>
    </row>
    <row r="4884" spans="1:21" x14ac:dyDescent="0.2">
      <c r="A4884" s="2" t="s">
        <v>50</v>
      </c>
      <c r="B4884" s="44" t="str">
        <f>IF(B4890="megajoule","heat","electricity")&amp;", residential, by "&amp;B4895&amp;" of "&amp;B4894&amp;" using "&amp;B4896&amp;IF(B4897&lt;&gt;0,", allocated by "&amp;B4897,"")&amp;", transported by "&amp;B4898&amp;", produced by "&amp;B4902&amp;" using "&amp;B4903&amp;" from "&amp;B4904</f>
        <v>electricity, residential, by conversion of hydrogen using fuel cell, SOFC, allocated by exergy, transported by pipeline, produced by Electrolysis, PEM using water and electricity from Solar PV (IT)</v>
      </c>
    </row>
    <row r="4885" spans="1:21" x14ac:dyDescent="0.2">
      <c r="A4885" t="s">
        <v>51</v>
      </c>
      <c r="B4885" s="45" t="str">
        <f>"This dataset represents the supply of 1 "&amp;IF(B4890="megajoule","megajoule of heat","kilowatt hour of electricity")&amp;" in a residence, by "&amp;B4894&amp;" "&amp;B4895&amp;" in a "&amp;B4896&amp;". "&amp;" The hydrogen is transported by "&amp;B4898&amp;" over "&amp;B4899&amp;" km from regional storage. "&amp;" The "&amp;B4894&amp;" is produced by  "&amp;B4902&amp;", with "&amp;B4903&amp;" from "&amp;B4904&amp;" as feedstock. "&amp;A4906&amp;": "&amp;(B4906*100)&amp;"%. "&amp;A4907&amp;": "&amp;B4907&amp;". "&amp;A4908&amp;": "&amp;B4908&amp;". "&amp;A4909&amp;": "&amp;(B4909*100)&amp;"%. "&amp;A4910&amp;": "&amp;(B4910*100)&amp;"%. "&amp;A4911&amp;": "&amp;(B4911*100)&amp;"%. "&amp;A4912&amp;": "&amp;B4912&amp;". "&amp;A4913&amp;": "&amp;B4913&amp;". "&amp;A4914&amp;": "&amp;(B4914*100)&amp;"%. "&amp;A4915&amp;": "&amp;B4915&amp;". "&amp;A4916&amp;": "&amp;B4916&amp;". "&amp;A4917&amp;": "&amp;B4917&amp;". "&amp;A4918&amp;": "&amp;B4918&amp;".  For more information, refer to: "&amp;B4886</f>
        <v>This dataset represents the supply of 1 kilowatt hour of electricity in a residence, by hydrogen conversion in a fuel cell, SOFC.  The hydrogen is transported by pipeline over 1700 km from regional storage.  The hydrogen is produced by  Electrolysis, PEM,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4886" spans="1:21" x14ac:dyDescent="0.2">
      <c r="A4886" t="s">
        <v>63</v>
      </c>
      <c r="B4886" s="45" t="s">
        <v>1223</v>
      </c>
    </row>
    <row r="4887" spans="1:21" x14ac:dyDescent="0.2">
      <c r="A4887" t="s">
        <v>52</v>
      </c>
      <c r="B4887" s="45" t="s">
        <v>64</v>
      </c>
    </row>
    <row r="4888" spans="1:21" x14ac:dyDescent="0.2">
      <c r="A4888" t="s">
        <v>48</v>
      </c>
      <c r="B4888" s="45" t="s">
        <v>909</v>
      </c>
    </row>
    <row r="4889" spans="1:21" x14ac:dyDescent="0.2">
      <c r="A4889" t="s">
        <v>54</v>
      </c>
      <c r="B4889" s="45" t="str">
        <f>INDEX(overview!$B$4:$R$338,MATCH('hydrogen - electrolysis'!B4888,overview!$A$4:$A$338,0),MATCH('hydrogen - electrolysis'!A4889,overview!$B$3:$R$3,0))</f>
        <v>electricity, from residential heating system</v>
      </c>
    </row>
    <row r="4890" spans="1:21" x14ac:dyDescent="0.2">
      <c r="A4890" t="s">
        <v>55</v>
      </c>
      <c r="B4890" s="45" t="str">
        <f>INDEX(overview!$B$4:$R$338,MATCH('hydrogen - electrolysis'!B4888,overview!$A$4:$A$338,0),MATCH('hydrogen - electrolysis'!A4890,overview!$B$3:$R$3,0))</f>
        <v>kilowatt hour</v>
      </c>
    </row>
    <row r="4891" spans="1:21" x14ac:dyDescent="0.2">
      <c r="A4891" t="s">
        <v>0</v>
      </c>
      <c r="B4891" s="45" t="str">
        <f>INDEX(overview!$B$4:$R$338,MATCH('hydrogen - electrolysis'!B4888,overview!$A$4:$A$338,0),MATCH('hydrogen - electrolysis'!A4891,overview!$B$3:$R$3,0))</f>
        <v>Switzerland</v>
      </c>
    </row>
    <row r="4892" spans="1:21" x14ac:dyDescent="0.2">
      <c r="A4892" t="s">
        <v>1</v>
      </c>
      <c r="B4892" s="45">
        <f>INDEX(overview!$B$4:$R$338,MATCH('hydrogen - electrolysis'!B4888,overview!$A$4:$A$338,0),MATCH('hydrogen - electrolysis'!A4892,overview!$B$3:$R$3,0))</f>
        <v>2020</v>
      </c>
    </row>
    <row r="4893" spans="1:21" x14ac:dyDescent="0.2">
      <c r="A4893" t="s">
        <v>2</v>
      </c>
      <c r="B4893" s="45" t="str">
        <f>INDEX(overview!$B$4:$R$338,MATCH('hydrogen - electrolysis'!B4888,overview!$A$4:$A$338,0),MATCH('hydrogen - electrolysis'!A4893,overview!$B$3:$R$3,0))</f>
        <v>1 kWh electricity</v>
      </c>
    </row>
    <row r="4894" spans="1:21" x14ac:dyDescent="0.2">
      <c r="A4894" t="s">
        <v>5</v>
      </c>
      <c r="B4894" s="45" t="str">
        <f>INDEX(overview!$B$4:$R$338,MATCH('hydrogen - electrolysis'!B4888,overview!$A$4:$A$338,0),MATCH('hydrogen - electrolysis'!A4894,overview!$B$3:$R$3,0))</f>
        <v>hydrogen</v>
      </c>
    </row>
    <row r="4895" spans="1:21" x14ac:dyDescent="0.2">
      <c r="A4895" t="s">
        <v>3</v>
      </c>
      <c r="B4895" s="45" t="str">
        <f>INDEX(overview!$B$4:$R$338,MATCH('hydrogen - electrolysis'!B4888,overview!$A$4:$A$338,0),MATCH('hydrogen - electrolysis'!A4895,overview!$B$3:$R$3,0))</f>
        <v>conversion</v>
      </c>
    </row>
    <row r="4896" spans="1:21" x14ac:dyDescent="0.2">
      <c r="A4896" t="s">
        <v>6</v>
      </c>
      <c r="B4896" s="45" t="str">
        <f>INDEX(overview!$B$4:$R$338,MATCH('hydrogen - electrolysis'!B4888,overview!$A$4:$A$338,0),MATCH('hydrogen - electrolysis'!A4896,overview!$B$3:$R$3,0))</f>
        <v>fuel cell, SOFC</v>
      </c>
    </row>
    <row r="4897" spans="1:2" x14ac:dyDescent="0.2">
      <c r="A4897" t="s">
        <v>39</v>
      </c>
      <c r="B4897" s="45" t="str">
        <f>INDEX(overview!$B$4:$R$338,MATCH('hydrogen - electrolysis'!B4888,overview!$A$4:$A$338,0),MATCH('hydrogen - electrolysis'!A4897,overview!$B$3:$R$3,0))</f>
        <v>exergy</v>
      </c>
    </row>
    <row r="4898" spans="1:2" x14ac:dyDescent="0.2">
      <c r="A4898" t="s">
        <v>4</v>
      </c>
      <c r="B4898" s="45" t="str">
        <f>INDEX(overview!$B$4:$R$338,MATCH('hydrogen - electrolysis'!B4888,overview!$A$4:$A$338,0),MATCH('hydrogen - electrolysis'!A4898,overview!$B$3:$R$3,0))</f>
        <v>pipeline</v>
      </c>
    </row>
    <row r="4899" spans="1:2" x14ac:dyDescent="0.2">
      <c r="A4899" t="s">
        <v>38</v>
      </c>
      <c r="B4899" s="45">
        <f>INDEX(overview!$B$4:$R$338,MATCH('hydrogen - electrolysis'!B4888,overview!$A$4:$A$338,0),MATCH('hydrogen - electrolysis'!A4899,overview!$B$3:$R$3,0))</f>
        <v>1700</v>
      </c>
    </row>
    <row r="4900" spans="1:2" x14ac:dyDescent="0.2">
      <c r="A4900" t="s">
        <v>12</v>
      </c>
      <c r="B4900" s="45" t="str">
        <f>INDEX(overview!$B$4:$R$338,MATCH('hydrogen - electrolysis'!B4888,overview!$A$4:$A$338,0),MATCH('hydrogen - electrolysis'!A4900,overview!$B$3:$R$3,0))</f>
        <v>Pressure vessel for stationary storage</v>
      </c>
    </row>
    <row r="4901" spans="1:2" x14ac:dyDescent="0.2">
      <c r="A4901" t="s">
        <v>34</v>
      </c>
      <c r="B4901" s="45">
        <f>INDEX(overview!$B$4:$R$338,MATCH('hydrogen - electrolysis'!B4888,overview!$A$4:$A$338,0),MATCH('hydrogen - electrolysis'!A4901,overview!$B$3:$R$3,0))</f>
        <v>0</v>
      </c>
    </row>
    <row r="4902" spans="1:2" x14ac:dyDescent="0.2">
      <c r="A4902" t="s">
        <v>15</v>
      </c>
      <c r="B4902" s="45" t="str">
        <f>INDEX(overview!$B$4:$R$338,MATCH('hydrogen - electrolysis'!B4888,overview!$A$4:$A$338,0),MATCH('hydrogen - electrolysis'!A4902,overview!$B$3:$R$3,0))</f>
        <v>Electrolysis, PEM</v>
      </c>
    </row>
    <row r="4903" spans="1:2" x14ac:dyDescent="0.2">
      <c r="A4903" t="s">
        <v>14</v>
      </c>
      <c r="B4903" s="45" t="str">
        <f>INDEX(overview!$B$4:$R$338,MATCH('hydrogen - electrolysis'!B4888,overview!$A$4:$A$338,0),MATCH('hydrogen - electrolysis'!A4903,overview!$B$3:$R$3,0))</f>
        <v>water and electricity</v>
      </c>
    </row>
    <row r="4904" spans="1:2" x14ac:dyDescent="0.2">
      <c r="A4904" t="s">
        <v>26</v>
      </c>
      <c r="B4904" s="45" t="str">
        <f>INDEX(overview!$B$4:$R$338,MATCH('hydrogen - electrolysis'!B4888,overview!$A$4:$A$338,0),MATCH('hydrogen - electrolysis'!A4904,overview!$B$3:$R$3,0))</f>
        <v>Solar PV (IT)</v>
      </c>
    </row>
    <row r="4905" spans="1:2" x14ac:dyDescent="0.2">
      <c r="A4905" t="s">
        <v>29</v>
      </c>
      <c r="B4905" s="45">
        <f>INDEX(overview!$B$4:$R$338,MATCH('hydrogen - electrolysis'!B4888,overview!$A$4:$A$338,0),MATCH('hydrogen - electrolysis'!A4905,overview!$B$3:$R$3,0))</f>
        <v>0</v>
      </c>
    </row>
    <row r="4906" spans="1:2" x14ac:dyDescent="0.2">
      <c r="A4906" t="str">
        <f>IF(B4890="megajoule","Heat","Electricity")&amp;" conversion efficiency [% LHV input]"</f>
        <v>Electricity conversion efficiency [% LHV input]</v>
      </c>
      <c r="B4906" s="46">
        <f>INDEX(parameters!$D$4:$N$20,MATCH('hydrogen - electrolysis'!B4894&amp;'hydrogen - electrolysis'!B4896,parameters!$A$4:$A$20,0),MATCH('hydrogen - electrolysis'!A4906,parameters!$D$3:$N$3,0))</f>
        <v>0.47</v>
      </c>
    </row>
    <row r="4907" spans="1:2" x14ac:dyDescent="0.2">
      <c r="A4907" t="str">
        <f>IF(B4890="megajoule","LHV [MJ/kg]","LHV [kWh/kg]")</f>
        <v>LHV [kWh/kg]</v>
      </c>
      <c r="B4907" s="47">
        <f>INDEX(parameters!$D$4:$N$20,MATCH('hydrogen - electrolysis'!B4894&amp;'hydrogen - electrolysis'!B4896,parameters!$A$4:$A$20,0),MATCH('hydrogen - electrolysis'!A4907,parameters!$D$3:$N$3,0))</f>
        <v>33.333333333333336</v>
      </c>
    </row>
    <row r="4908" spans="1:2" x14ac:dyDescent="0.2">
      <c r="A4908" t="s">
        <v>41</v>
      </c>
      <c r="B4908" s="48">
        <f>INDEX(parameters!$D$4:$N$20,MATCH('hydrogen - electrolysis'!B4894&amp;'hydrogen - electrolysis'!B4896,parameters!$A$4:$A$20,0),MATCH('hydrogen - electrolysis'!A4908,parameters!$D$3:$N$3,0))</f>
        <v>2.6666666666666665E-2</v>
      </c>
    </row>
    <row r="4909" spans="1:2" x14ac:dyDescent="0.2">
      <c r="A4909" t="s">
        <v>45</v>
      </c>
      <c r="B4909" s="46">
        <f>INDEX(parameters!$D$4:$N$20,MATCH('hydrogen - electrolysis'!B4894&amp;'hydrogen - electrolysis'!B4896,parameters!$A$4:$A$20,0),MATCH('hydrogen - electrolysis'!A4909,parameters!$D$3:$N$3,0))</f>
        <v>0</v>
      </c>
    </row>
    <row r="4910" spans="1:2" x14ac:dyDescent="0.2">
      <c r="A4910" t="s">
        <v>46</v>
      </c>
      <c r="B4910" s="46">
        <f>INDEX(parameters!$D$4:$N$20,MATCH('hydrogen - electrolysis'!B4894&amp;'hydrogen - electrolysis'!B4896,parameters!$A$4:$A$20,0),MATCH('hydrogen - electrolysis'!A4910,parameters!$D$3:$N$3,0))</f>
        <v>1.4999999999999999E-2</v>
      </c>
    </row>
    <row r="4911" spans="1:2" x14ac:dyDescent="0.2">
      <c r="A4911" t="s">
        <v>43</v>
      </c>
      <c r="B4911" s="46">
        <f>INDEX(parameters!$D$4:$N$20,MATCH('hydrogen - electrolysis'!B4894&amp;'hydrogen - electrolysis'!B4896,parameters!$A$4:$A$20,0),MATCH('hydrogen - electrolysis'!A4911,parameters!$D$3:$N$3,0))</f>
        <v>0</v>
      </c>
    </row>
    <row r="4912" spans="1:2" x14ac:dyDescent="0.2">
      <c r="A4912" t="s">
        <v>44</v>
      </c>
      <c r="B4912" s="46">
        <f>INDEX(parameters!$D$4:$N$20,MATCH('hydrogen - electrolysis'!B4894&amp;'hydrogen - electrolysis'!B4896,parameters!$A$4:$A$20,0),MATCH('hydrogen - electrolysis'!A4912,parameters!$D$3:$N$3,0))</f>
        <v>0</v>
      </c>
    </row>
    <row r="4913" spans="1:22" x14ac:dyDescent="0.2">
      <c r="A4913" t="s">
        <v>634</v>
      </c>
      <c r="B4913" s="51">
        <f>INDEX(parameters!$D$4:$Y$20,MATCH('hydrogen - electrolysis'!B4894&amp;'hydrogen - electrolysis'!B4896,parameters!$A$4:$A$20,0),MATCH('hydrogen - electrolysis'!A4913,parameters!$D$3:$Y$3,0))</f>
        <v>225</v>
      </c>
      <c r="D4913" s="8"/>
    </row>
    <row r="4914" spans="1:22" x14ac:dyDescent="0.2">
      <c r="A4914" t="s">
        <v>82</v>
      </c>
      <c r="B4914" s="46">
        <f>IF(B4905&lt;&gt;0,VLOOKUP(B4905,parameters!A3229:B3231,2,0),0)</f>
        <v>0</v>
      </c>
    </row>
    <row r="4915" spans="1:22" x14ac:dyDescent="0.2">
      <c r="A4915" t="s">
        <v>548</v>
      </c>
      <c r="B4915" s="50">
        <f>INDEX(parameters!$D$4:$P$20,MATCH(B4894&amp;B4896,parameters!$A$4:$A$20,0),MATCH(A4915,parameters!$D$3:$P$3,0))</f>
        <v>100</v>
      </c>
    </row>
    <row r="4916" spans="1:22" x14ac:dyDescent="0.2">
      <c r="A4916" t="s">
        <v>547</v>
      </c>
      <c r="B4916" s="51">
        <f>INDEX(parameters!$D$4:$P$20,MATCH(B4894&amp;B4896,parameters!$A$4:$A$20,0),MATCH(A4916,parameters!$D$3:$P$3,0))</f>
        <v>6</v>
      </c>
    </row>
    <row r="4917" spans="1:22" x14ac:dyDescent="0.2">
      <c r="A4917" t="s">
        <v>630</v>
      </c>
      <c r="B4917" s="51">
        <f>INDEX(parameters!$D$4:$T$20,MATCH(B4894&amp;B4896,parameters!$A$4:$A$20,0),MATCH(A4917,parameters!$D$3:$T$3,0))</f>
        <v>4100</v>
      </c>
    </row>
    <row r="4918" spans="1:22" x14ac:dyDescent="0.2">
      <c r="A4918" t="s">
        <v>1005</v>
      </c>
      <c r="B4918" s="50">
        <f>IF(B4890="megajoule",SUMIFS(allocation!$I$4:$I$30,allocation!$B$4:$B$30,B4896,allocation!$C$4:$C$30,B4897),SUMIFS(allocation!$J$4:$J$30,allocation!$B$4:$B$30,B4896,allocation!$C$4:$C$30,B4897))</f>
        <v>0.86412493489600906</v>
      </c>
    </row>
    <row r="4919" spans="1:22" x14ac:dyDescent="0.2">
      <c r="A4919" t="s">
        <v>1050</v>
      </c>
      <c r="B4919" s="51">
        <f>INDEX(parameters!$D$4:$AB$20,MATCH(B4894&amp;B4896,parameters!$A$4:$A$20,0),MATCH(A4919,parameters!$D$3:$AB$3,0))</f>
        <v>1153.1249999999998</v>
      </c>
    </row>
    <row r="4921" spans="1:22" x14ac:dyDescent="0.2">
      <c r="A4921" s="3" t="s">
        <v>57</v>
      </c>
    </row>
    <row r="4922" spans="1:22" x14ac:dyDescent="0.2">
      <c r="A4922" s="2" t="s">
        <v>58</v>
      </c>
      <c r="B4922" s="44" t="s">
        <v>59</v>
      </c>
      <c r="C4922" s="2" t="s">
        <v>55</v>
      </c>
      <c r="D4922" s="2" t="s">
        <v>60</v>
      </c>
      <c r="E4922" s="2" t="s">
        <v>52</v>
      </c>
      <c r="F4922" s="2" t="s">
        <v>61</v>
      </c>
      <c r="G4922" s="2" t="s">
        <v>54</v>
      </c>
      <c r="H4922" s="2" t="s">
        <v>87</v>
      </c>
      <c r="I4922" s="2" t="s">
        <v>51</v>
      </c>
      <c r="J4922" s="2" t="s">
        <v>138</v>
      </c>
      <c r="K4922" s="2" t="s">
        <v>136</v>
      </c>
      <c r="L4922" s="2" t="s">
        <v>221</v>
      </c>
      <c r="M4922" s="2" t="s">
        <v>379</v>
      </c>
      <c r="N4922" s="2" t="s">
        <v>1059</v>
      </c>
      <c r="O4922" s="2" t="s">
        <v>1060</v>
      </c>
      <c r="P4922" s="2" t="s">
        <v>1061</v>
      </c>
      <c r="Q4922" s="2" t="s">
        <v>1062</v>
      </c>
      <c r="R4922" s="2" t="s">
        <v>1063</v>
      </c>
      <c r="S4922" s="2" t="s">
        <v>1064</v>
      </c>
      <c r="T4922" s="2" t="s">
        <v>1065</v>
      </c>
      <c r="U4922" s="2" t="s">
        <v>380</v>
      </c>
      <c r="V4922" s="2" t="s">
        <v>1128</v>
      </c>
    </row>
    <row r="4923" spans="1:22" x14ac:dyDescent="0.2">
      <c r="A4923" t="str">
        <f>B4884</f>
        <v>electricity, residential, by conversion of hydrogen using fuel cell, SOFC, allocated by exergy, transported by pipeline, produced by Electrolysis, PEM using water and electricity from Solar PV (IT)</v>
      </c>
      <c r="B4923" s="45">
        <v>1</v>
      </c>
      <c r="C4923" t="str">
        <f>B4890</f>
        <v>kilowatt hour</v>
      </c>
      <c r="E4923" t="str">
        <f>B4887</f>
        <v>CH</v>
      </c>
      <c r="F4923" t="s">
        <v>62</v>
      </c>
      <c r="G4923" t="str">
        <f>B4889</f>
        <v>electricity, from residential heating system</v>
      </c>
      <c r="K4923" t="str">
        <f>B4884</f>
        <v>electricity, residential, by conversion of hydrogen using fuel cell, SOFC, allocated by exergy, transported by pipeline, produced by Electrolysis, PEM using water and electricity from Solar PV (IT)</v>
      </c>
    </row>
    <row r="4924" spans="1:22" x14ac:dyDescent="0.2">
      <c r="A4924" t="str">
        <f>VLOOKUP(J4924,'dataset mapping'!$A$4:$E$69,2,0)</f>
        <v>fuel cell production, stack solid oxide, 125kW electrical, future</v>
      </c>
      <c r="B4924" s="52">
        <f>(1/(B4913*B4917*B4916))*B4918</f>
        <v>1.5612013277254003E-7</v>
      </c>
      <c r="C4924" t="str">
        <f>VLOOKUP(J4924,'dataset mapping'!$A$4:$E$69,5,0)</f>
        <v>unit</v>
      </c>
      <c r="E4924" t="str">
        <f>VLOOKUP(J4924,'dataset mapping'!$A$4:$E$69,4,0)</f>
        <v>CH</v>
      </c>
      <c r="F4924" t="s">
        <v>86</v>
      </c>
      <c r="G4924" t="str">
        <f>VLOOKUP(J4924,'dataset mapping'!$A$4:$E$69,3,0)</f>
        <v>fuel cell, stack solid oxide, 125kW electrical, future</v>
      </c>
      <c r="H4924" t="s">
        <v>88</v>
      </c>
      <c r="I4924" t="s">
        <v>277</v>
      </c>
      <c r="J4924" t="s">
        <v>274</v>
      </c>
      <c r="K4924" t="str">
        <f>B4884</f>
        <v>electricity, residential, by conversion of hydrogen using fuel cell, SOFC, allocated by exergy, transported by pipeline, produced by Electrolysis, PEM using water and electricity from Solar PV (IT)</v>
      </c>
      <c r="L4924">
        <f t="shared" ref="L4924:L4928" si="172">IF(OR(B4924&lt;0,B4924=0),1,2)</f>
        <v>2</v>
      </c>
      <c r="M4924">
        <f t="shared" ref="M4924:M4928" si="173">IF(L4924=2,LN(B4924),"")</f>
        <v>-15.672640044182527</v>
      </c>
      <c r="N4924">
        <v>1</v>
      </c>
      <c r="O4924" s="15">
        <v>1.2</v>
      </c>
      <c r="P4924">
        <v>1</v>
      </c>
      <c r="Q4924">
        <v>1.01</v>
      </c>
      <c r="R4924">
        <v>1.2</v>
      </c>
      <c r="S4924">
        <v>1.2</v>
      </c>
      <c r="T4924">
        <v>3</v>
      </c>
      <c r="U4924">
        <f t="shared" ref="U4924:U4928" si="174">LN(SQRT(EXP(
SQRT(
+POWER(LN(N4924),2)
+POWER(LN(O4924),2)
+POWER(LN(P4924),2)
+POWER(LN(Q4924),2)
+POWER(LN(R4924),2)
+POWER(LN(S4924),2)
+POWER(LN(T4924),2)
)
)))</f>
        <v>0.57157051623399524</v>
      </c>
    </row>
    <row r="4925" spans="1:22" x14ac:dyDescent="0.2">
      <c r="A4925" t="s">
        <v>283</v>
      </c>
      <c r="B4925" s="52">
        <f>(1/(B4913*B4917*B4916))*B4918</f>
        <v>1.5612013277254003E-7</v>
      </c>
      <c r="C4925" t="s">
        <v>55</v>
      </c>
      <c r="E4925" t="s">
        <v>64</v>
      </c>
      <c r="F4925" t="s">
        <v>86</v>
      </c>
      <c r="G4925" t="s">
        <v>284</v>
      </c>
      <c r="H4925" t="s">
        <v>88</v>
      </c>
      <c r="I4925" t="s">
        <v>277</v>
      </c>
      <c r="K4925" t="str">
        <f>B4884</f>
        <v>electricity, residential, by conversion of hydrogen using fuel cell, SOFC, allocated by exergy, transported by pipeline, produced by Electrolysis, PEM using water and electricity from Solar PV (IT)</v>
      </c>
      <c r="L4925">
        <f t="shared" si="172"/>
        <v>2</v>
      </c>
      <c r="M4925">
        <f t="shared" si="173"/>
        <v>-15.672640044182527</v>
      </c>
      <c r="N4925">
        <v>1</v>
      </c>
      <c r="O4925" s="15">
        <v>1.2</v>
      </c>
      <c r="P4925">
        <v>1</v>
      </c>
      <c r="Q4925">
        <v>1.01</v>
      </c>
      <c r="R4925">
        <v>1.2</v>
      </c>
      <c r="S4925">
        <v>1.2</v>
      </c>
      <c r="T4925">
        <v>3</v>
      </c>
      <c r="U4925">
        <f t="shared" si="174"/>
        <v>0.57157051623399524</v>
      </c>
    </row>
    <row r="4926" spans="1:22" x14ac:dyDescent="0.2">
      <c r="A4926" t="s">
        <v>288</v>
      </c>
      <c r="B4926" s="52">
        <f>0.000024*B4918</f>
        <v>2.0738998437504217E-5</v>
      </c>
      <c r="C4926" t="s">
        <v>56</v>
      </c>
      <c r="E4926" t="s">
        <v>64</v>
      </c>
      <c r="F4926" t="s">
        <v>86</v>
      </c>
      <c r="G4926" t="s">
        <v>287</v>
      </c>
      <c r="H4926" t="s">
        <v>88</v>
      </c>
      <c r="K4926" t="str">
        <f>B4884</f>
        <v>electricity, residential, by conversion of hydrogen using fuel cell, SOFC, allocated by exergy, transported by pipeline, produced by Electrolysis, PEM using water and electricity from Solar PV (IT)</v>
      </c>
      <c r="L4926">
        <f t="shared" si="172"/>
        <v>2</v>
      </c>
      <c r="M4926">
        <f t="shared" si="173"/>
        <v>-10.783494647673981</v>
      </c>
      <c r="N4926">
        <v>1</v>
      </c>
      <c r="O4926" s="15">
        <v>1.2</v>
      </c>
      <c r="P4926">
        <v>1</v>
      </c>
      <c r="Q4926">
        <v>1.01</v>
      </c>
      <c r="R4926">
        <v>1.2</v>
      </c>
      <c r="S4926">
        <v>1.2</v>
      </c>
      <c r="T4926">
        <v>1.05</v>
      </c>
      <c r="U4926">
        <f t="shared" si="174"/>
        <v>0.15984597228197622</v>
      </c>
    </row>
    <row r="4927" spans="1:22" x14ac:dyDescent="0.2">
      <c r="A4927" s="45" t="str">
        <f>"hydrogen supply, transported by "&amp;B4898&amp;", produced by "&amp;B4902&amp;" using "&amp;B4903&amp;" from "&amp;B4904</f>
        <v>hydrogen supply, transported by pipeline, produced by Electrolysis, PEM using water and electricity from Solar PV (IT)</v>
      </c>
      <c r="B4927" s="53">
        <f>(B4923/B4907)/B4906*B4918</f>
        <v>5.515691073804313E-2</v>
      </c>
      <c r="C4927" t="s">
        <v>56</v>
      </c>
      <c r="E4927" t="s">
        <v>64</v>
      </c>
      <c r="F4927" t="s">
        <v>86</v>
      </c>
      <c r="G4927" t="str">
        <f>"hydrogen, gaseous, from "&amp;B4898</f>
        <v>hydrogen, gaseous, from pipeline</v>
      </c>
      <c r="H4927" t="s">
        <v>76</v>
      </c>
      <c r="I4927" t="s">
        <v>1054</v>
      </c>
      <c r="J4927" t="s">
        <v>637</v>
      </c>
      <c r="K4927" t="str">
        <f>B4884</f>
        <v>electricity, residential, by conversion of hydrogen using fuel cell, SOFC, allocated by exergy, transported by pipeline, produced by Electrolysis, PEM using water and electricity from Solar PV (IT)</v>
      </c>
      <c r="L4927">
        <f t="shared" si="172"/>
        <v>2</v>
      </c>
      <c r="M4927">
        <f t="shared" si="173"/>
        <v>-2.8975732330996009</v>
      </c>
      <c r="N4927">
        <v>1</v>
      </c>
      <c r="O4927" s="15">
        <v>1.2</v>
      </c>
      <c r="P4927">
        <v>1</v>
      </c>
      <c r="Q4927">
        <v>1.01</v>
      </c>
      <c r="R4927">
        <v>1.2</v>
      </c>
      <c r="S4927">
        <v>1.2</v>
      </c>
      <c r="T4927">
        <v>1.05</v>
      </c>
      <c r="U4927">
        <f t="shared" si="174"/>
        <v>0.15984597228197622</v>
      </c>
    </row>
    <row r="4928" spans="1:22" x14ac:dyDescent="0.2">
      <c r="A4928" t="s">
        <v>134</v>
      </c>
      <c r="B4928" s="45">
        <f>B4927*9</f>
        <v>0.49641219664238817</v>
      </c>
      <c r="C4928" t="s">
        <v>56</v>
      </c>
      <c r="D4928" t="s">
        <v>100</v>
      </c>
      <c r="F4928" t="s">
        <v>99</v>
      </c>
      <c r="H4928" t="s">
        <v>131</v>
      </c>
      <c r="I4928" t="s">
        <v>1057</v>
      </c>
      <c r="K4928" t="str">
        <f>B4884</f>
        <v>electricity, residential, by conversion of hydrogen using fuel cell, SOFC, allocated by exergy, transported by pipeline, produced by Electrolysis, PEM using water and electricity from Solar PV (IT)</v>
      </c>
      <c r="L4928">
        <f t="shared" si="172"/>
        <v>2</v>
      </c>
      <c r="M4928">
        <f t="shared" si="173"/>
        <v>-0.70034865576338168</v>
      </c>
      <c r="N4928">
        <v>1</v>
      </c>
      <c r="O4928" s="15">
        <v>1.2</v>
      </c>
      <c r="P4928">
        <v>1</v>
      </c>
      <c r="Q4928">
        <v>1.01</v>
      </c>
      <c r="R4928">
        <v>1.2</v>
      </c>
      <c r="S4928">
        <v>1.2</v>
      </c>
      <c r="T4928">
        <v>1.05</v>
      </c>
      <c r="U4928">
        <f t="shared" si="174"/>
        <v>0.15984597228197622</v>
      </c>
    </row>
    <row r="4930" spans="1:2" x14ac:dyDescent="0.2">
      <c r="A4930" s="2" t="s">
        <v>50</v>
      </c>
      <c r="B4930" s="44" t="str">
        <f>IF(B4936="megajoule","heat","electricity")&amp;", residential, by "&amp;B4941&amp;" of "&amp;B4940&amp;" using "&amp;B4942&amp;IF(B4943&lt;&gt;0,", allocated by "&amp;B4943,"")&amp;", transported by "&amp;B4944&amp;", produced by "&amp;B4948&amp;" using "&amp;B4949&amp;" from "&amp;B4950</f>
        <v>heat, residential, by combustion of hydrogen using boiler, transported by train, produced by Electrolysis, PEM using water and electricity from Solar PV (IT)</v>
      </c>
    </row>
    <row r="4931" spans="1:2" x14ac:dyDescent="0.2">
      <c r="A4931" t="s">
        <v>51</v>
      </c>
      <c r="B4931" s="45" t="str">
        <f>"This dataset represents the supply of 1 "&amp;IF(B4936="megajoule","megajoule of heat","kilowatt hour of electricity")&amp;" in a residence, by "&amp;B4940&amp;" "&amp;B4941&amp;" in a "&amp;B4942&amp;". "&amp;" The hydrogen is transported by "&amp;B4944&amp;" over "&amp;B4945&amp;" km from regional storage. "&amp;" The "&amp;B4940&amp;" is produced by  "&amp;B4948&amp;", with "&amp;B4949&amp;" from "&amp;B4950&amp;" as feedstock. "&amp;A4952&amp;": "&amp;(B4952*100)&amp;"%. "&amp;A4953&amp;": "&amp;B4953&amp;". "&amp;A4954&amp;": "&amp;B4954&amp;". "&amp;A4955&amp;": "&amp;(B4955*100)&amp;"%. "&amp;A4956&amp;": "&amp;(B4956*100)&amp;"%. "&amp;A4957&amp;": "&amp;(B4957*100)&amp;"%. "&amp;A4958&amp;": "&amp;B4958&amp;". "&amp;A4959&amp;": "&amp;B4959&amp;". "&amp;A4960&amp;": "&amp;(B4960*100)&amp;"%. "&amp;A4961&amp;": "&amp;B4961&amp;". "&amp;A4962&amp;": "&amp;B4962&amp;". "&amp;A4963&amp;": "&amp;B4963&amp;". "&amp;A4964&amp;": "&amp;B4964&amp;".  For more information, refer to: "&amp;B4932</f>
        <v>This dataset represents the supply of 1 megajoule of heat in a residence, by hydrogen combustion in a boiler.  The hydrogen is transported by train over 1700 km from regional storage.  The hydrogen is produced by  Electrolysis, PEM,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4932" spans="1:2" x14ac:dyDescent="0.2">
      <c r="A4932" t="s">
        <v>63</v>
      </c>
      <c r="B4932" s="45" t="s">
        <v>1223</v>
      </c>
    </row>
    <row r="4933" spans="1:2" x14ac:dyDescent="0.2">
      <c r="A4933" t="s">
        <v>52</v>
      </c>
      <c r="B4933" s="45" t="s">
        <v>64</v>
      </c>
    </row>
    <row r="4934" spans="1:2" x14ac:dyDescent="0.2">
      <c r="A4934" t="s">
        <v>48</v>
      </c>
      <c r="B4934" s="45">
        <v>61</v>
      </c>
    </row>
    <row r="4935" spans="1:2" x14ac:dyDescent="0.2">
      <c r="A4935" t="s">
        <v>54</v>
      </c>
      <c r="B4935" s="45" t="str">
        <f>INDEX(overview!$B$4:$R$338,MATCH('hydrogen - electrolysis'!B4934,overview!$A$4:$A$338,0),MATCH('hydrogen - electrolysis'!A4935,overview!$B$3:$R$3,0))</f>
        <v>heat, from residential heating system</v>
      </c>
    </row>
    <row r="4936" spans="1:2" x14ac:dyDescent="0.2">
      <c r="A4936" t="s">
        <v>55</v>
      </c>
      <c r="B4936" s="45" t="str">
        <f>INDEX(overview!$B$4:$R$338,MATCH('hydrogen - electrolysis'!B4934,overview!$A$4:$A$338,0),MATCH('hydrogen - electrolysis'!A4936,overview!$B$3:$R$3,0))</f>
        <v>megajoule</v>
      </c>
    </row>
    <row r="4937" spans="1:2" x14ac:dyDescent="0.2">
      <c r="A4937" t="s">
        <v>0</v>
      </c>
      <c r="B4937" s="45" t="str">
        <f>INDEX(overview!$B$4:$R$338,MATCH('hydrogen - electrolysis'!B4934,overview!$A$4:$A$338,0),MATCH('hydrogen - electrolysis'!A4937,overview!$B$3:$R$3,0))</f>
        <v>Switzerland</v>
      </c>
    </row>
    <row r="4938" spans="1:2" x14ac:dyDescent="0.2">
      <c r="A4938" t="s">
        <v>1</v>
      </c>
      <c r="B4938" s="45">
        <f>INDEX(overview!$B$4:$R$338,MATCH('hydrogen - electrolysis'!B4934,overview!$A$4:$A$338,0),MATCH('hydrogen - electrolysis'!A4938,overview!$B$3:$R$3,0))</f>
        <v>2020</v>
      </c>
    </row>
    <row r="4939" spans="1:2" x14ac:dyDescent="0.2">
      <c r="A4939" t="s">
        <v>2</v>
      </c>
      <c r="B4939" s="45" t="str">
        <f>INDEX(overview!$B$4:$R$338,MATCH('hydrogen - electrolysis'!B4934,overview!$A$4:$A$338,0),MATCH('hydrogen - electrolysis'!A4939,overview!$B$3:$R$3,0))</f>
        <v>1 MJ heat</v>
      </c>
    </row>
    <row r="4940" spans="1:2" x14ac:dyDescent="0.2">
      <c r="A4940" t="s">
        <v>5</v>
      </c>
      <c r="B4940" s="45" t="str">
        <f>INDEX(overview!$B$4:$R$338,MATCH('hydrogen - electrolysis'!B4934,overview!$A$4:$A$338,0),MATCH('hydrogen - electrolysis'!A4940,overview!$B$3:$R$3,0))</f>
        <v>hydrogen</v>
      </c>
    </row>
    <row r="4941" spans="1:2" x14ac:dyDescent="0.2">
      <c r="A4941" t="s">
        <v>3</v>
      </c>
      <c r="B4941" s="45" t="str">
        <f>INDEX(overview!$B$4:$R$338,MATCH('hydrogen - electrolysis'!B4934,overview!$A$4:$A$338,0),MATCH('hydrogen - electrolysis'!A4941,overview!$B$3:$R$3,0))</f>
        <v>combustion</v>
      </c>
    </row>
    <row r="4942" spans="1:2" x14ac:dyDescent="0.2">
      <c r="A4942" t="s">
        <v>6</v>
      </c>
      <c r="B4942" s="45" t="str">
        <f>INDEX(overview!$B$4:$R$338,MATCH('hydrogen - electrolysis'!B4934,overview!$A$4:$A$338,0),MATCH('hydrogen - electrolysis'!A4942,overview!$B$3:$R$3,0))</f>
        <v>boiler</v>
      </c>
    </row>
    <row r="4943" spans="1:2" x14ac:dyDescent="0.2">
      <c r="A4943" t="s">
        <v>39</v>
      </c>
      <c r="B4943" s="45">
        <f>INDEX(overview!$B$4:$R$338,MATCH('hydrogen - electrolysis'!B4934,overview!$A$4:$A$338,0),MATCH('hydrogen - electrolysis'!A4943,overview!$B$3:$R$3,0))</f>
        <v>0</v>
      </c>
    </row>
    <row r="4944" spans="1:2" x14ac:dyDescent="0.2">
      <c r="A4944" t="s">
        <v>4</v>
      </c>
      <c r="B4944" s="45" t="str">
        <f>INDEX(overview!$B$4:$R$338,MATCH('hydrogen - electrolysis'!B4934,overview!$A$4:$A$338,0),MATCH('hydrogen - electrolysis'!A4944,overview!$B$3:$R$3,0))</f>
        <v>train</v>
      </c>
    </row>
    <row r="4945" spans="1:2" x14ac:dyDescent="0.2">
      <c r="A4945" t="s">
        <v>38</v>
      </c>
      <c r="B4945" s="45">
        <f>INDEX(overview!$B$4:$R$338,MATCH('hydrogen - electrolysis'!B4934,overview!$A$4:$A$338,0),MATCH('hydrogen - electrolysis'!A4945,overview!$B$3:$R$3,0))</f>
        <v>1700</v>
      </c>
    </row>
    <row r="4946" spans="1:2" x14ac:dyDescent="0.2">
      <c r="A4946" t="s">
        <v>12</v>
      </c>
      <c r="B4946" s="45" t="str">
        <f>INDEX(overview!$B$4:$R$338,MATCH('hydrogen - electrolysis'!B4934,overview!$A$4:$A$338,0),MATCH('hydrogen - electrolysis'!A4946,overview!$B$3:$R$3,0))</f>
        <v>Pressure vessel for stationary storage</v>
      </c>
    </row>
    <row r="4947" spans="1:2" x14ac:dyDescent="0.2">
      <c r="A4947" t="s">
        <v>34</v>
      </c>
      <c r="B4947" s="45">
        <f>INDEX(overview!$B$4:$R$338,MATCH('hydrogen - electrolysis'!B4934,overview!$A$4:$A$338,0),MATCH('hydrogen - electrolysis'!A4947,overview!$B$3:$R$3,0))</f>
        <v>0</v>
      </c>
    </row>
    <row r="4948" spans="1:2" x14ac:dyDescent="0.2">
      <c r="A4948" t="s">
        <v>15</v>
      </c>
      <c r="B4948" s="45" t="str">
        <f>INDEX(overview!$B$4:$R$338,MATCH('hydrogen - electrolysis'!B4934,overview!$A$4:$A$338,0),MATCH('hydrogen - electrolysis'!A4948,overview!$B$3:$R$3,0))</f>
        <v>Electrolysis, PEM</v>
      </c>
    </row>
    <row r="4949" spans="1:2" x14ac:dyDescent="0.2">
      <c r="A4949" t="s">
        <v>14</v>
      </c>
      <c r="B4949" s="45" t="str">
        <f>INDEX(overview!$B$4:$R$338,MATCH('hydrogen - electrolysis'!B4934,overview!$A$4:$A$338,0),MATCH('hydrogen - electrolysis'!A4949,overview!$B$3:$R$3,0))</f>
        <v>water and electricity</v>
      </c>
    </row>
    <row r="4950" spans="1:2" x14ac:dyDescent="0.2">
      <c r="A4950" t="s">
        <v>26</v>
      </c>
      <c r="B4950" s="45" t="str">
        <f>INDEX(overview!$B$4:$R$338,MATCH('hydrogen - electrolysis'!B4934,overview!$A$4:$A$338,0),MATCH('hydrogen - electrolysis'!A4950,overview!$B$3:$R$3,0))</f>
        <v>Solar PV (IT)</v>
      </c>
    </row>
    <row r="4951" spans="1:2" x14ac:dyDescent="0.2">
      <c r="A4951" t="s">
        <v>29</v>
      </c>
      <c r="B4951" s="45">
        <f>INDEX(overview!$B$4:$R$338,MATCH('hydrogen - electrolysis'!B4934,overview!$A$4:$A$338,0),MATCH('hydrogen - electrolysis'!A4951,overview!$B$3:$R$3,0))</f>
        <v>0</v>
      </c>
    </row>
    <row r="4952" spans="1:2" x14ac:dyDescent="0.2">
      <c r="A4952" t="str">
        <f>IF(B4936="megajoule","Heat","Electricity")&amp;" conversion efficiency [% LHV input]"</f>
        <v>Heat conversion efficiency [% LHV input]</v>
      </c>
      <c r="B4952" s="46">
        <f>INDEX(parameters!$D$4:$N$20,MATCH('hydrogen - electrolysis'!B4940&amp;'hydrogen - electrolysis'!B4942,parameters!$A$4:$A$20,0),MATCH('hydrogen - electrolysis'!A4952,parameters!$D$3:$N$3,0))</f>
        <v>0.94</v>
      </c>
    </row>
    <row r="4953" spans="1:2" x14ac:dyDescent="0.2">
      <c r="A4953" t="str">
        <f>IF(B4936="megajoule","LHV [MJ/kg]","LHV [kWh/kg]")</f>
        <v>LHV [MJ/kg]</v>
      </c>
      <c r="B4953" s="47">
        <f>INDEX(parameters!$D$4:$N$20,MATCH('hydrogen - electrolysis'!B4940&amp;'hydrogen - electrolysis'!B4942,parameters!$A$4:$A$20,0),MATCH('hydrogen - electrolysis'!A4953,parameters!$D$3:$N$3,0))</f>
        <v>120</v>
      </c>
    </row>
    <row r="4954" spans="1:2" x14ac:dyDescent="0.2">
      <c r="A4954" t="s">
        <v>41</v>
      </c>
      <c r="B4954" s="48">
        <f>INDEX(parameters!$D$4:$N$20,MATCH('hydrogen - electrolysis'!B4940&amp;'hydrogen - electrolysis'!B4942,parameters!$A$4:$A$20,0),MATCH('hydrogen - electrolysis'!A4954,parameters!$D$3:$N$3,0))</f>
        <v>2.6666666666666665E-2</v>
      </c>
    </row>
    <row r="4955" spans="1:2" x14ac:dyDescent="0.2">
      <c r="A4955" t="s">
        <v>45</v>
      </c>
      <c r="B4955" s="49">
        <f>INDEX(parameters!$D$4:$N$20,MATCH('hydrogen - electrolysis'!B4940&amp;'hydrogen - electrolysis'!B4942,parameters!$A$4:$A$20,0),MATCH('hydrogen - electrolysis'!A4955,parameters!$D$3:$N$3,0))</f>
        <v>0</v>
      </c>
    </row>
    <row r="4956" spans="1:2" x14ac:dyDescent="0.2">
      <c r="A4956" t="s">
        <v>46</v>
      </c>
      <c r="B4956" s="49">
        <f>INDEX(parameters!$D$4:$N$20,MATCH('hydrogen - electrolysis'!B4940&amp;'hydrogen - electrolysis'!B4942,parameters!$A$4:$A$20,0),MATCH('hydrogen - electrolysis'!A4956,parameters!$D$3:$N$3,0))</f>
        <v>1.4999999999999999E-2</v>
      </c>
    </row>
    <row r="4957" spans="1:2" x14ac:dyDescent="0.2">
      <c r="A4957" t="s">
        <v>43</v>
      </c>
      <c r="B4957" s="49">
        <f>INDEX(parameters!$D$4:$N$20,MATCH('hydrogen - electrolysis'!B4940&amp;'hydrogen - electrolysis'!B4942,parameters!$A$4:$A$20,0),MATCH('hydrogen - electrolysis'!A4957,parameters!$D$3:$N$3,0))</f>
        <v>0</v>
      </c>
    </row>
    <row r="4958" spans="1:2" x14ac:dyDescent="0.2">
      <c r="A4958" t="s">
        <v>44</v>
      </c>
      <c r="B4958" s="49">
        <f>INDEX(parameters!$D$4:$N$20,MATCH('hydrogen - electrolysis'!B4940&amp;'hydrogen - electrolysis'!B4942,parameters!$A$4:$A$20,0),MATCH('hydrogen - electrolysis'!A4958,parameters!$D$3:$N$3,0))</f>
        <v>0</v>
      </c>
    </row>
    <row r="4959" spans="1:2" x14ac:dyDescent="0.2">
      <c r="A4959" t="s">
        <v>634</v>
      </c>
      <c r="B4959" s="51">
        <f>INDEX(parameters!$D$4:$Y$20,MATCH('hydrogen - electrolysis'!B4940&amp;'hydrogen - electrolysis'!B4942,parameters!$A$4:$A$20,0),MATCH('hydrogen - electrolysis'!A4959,parameters!$D$3:$Y$3,0))</f>
        <v>15.957446808510639</v>
      </c>
    </row>
    <row r="4960" spans="1:2" x14ac:dyDescent="0.2">
      <c r="A4960" t="s">
        <v>82</v>
      </c>
      <c r="B4960" s="46">
        <f>IF(B4951&lt;&gt;0,VLOOKUP(B4951,parameters!A3126:B3128,2,0),0)</f>
        <v>0</v>
      </c>
    </row>
    <row r="4961" spans="1:22" x14ac:dyDescent="0.2">
      <c r="A4961" t="s">
        <v>548</v>
      </c>
      <c r="B4961" s="50">
        <f>INDEX(parameters!$D$4:$P$20,MATCH(B4940&amp;B4942,parameters!$A$4:$A$20,0),MATCH(A4961,parameters!$D$3:$P$3,0))</f>
        <v>15</v>
      </c>
    </row>
    <row r="4962" spans="1:22" x14ac:dyDescent="0.2">
      <c r="A4962" t="s">
        <v>547</v>
      </c>
      <c r="B4962" s="51">
        <f>INDEX(parameters!$D$4:$P$20,MATCH(B4940&amp;B4942,parameters!$A$4:$A$20,0),MATCH(A4962,parameters!$D$3:$P$3,0))</f>
        <v>20</v>
      </c>
    </row>
    <row r="4963" spans="1:22" x14ac:dyDescent="0.2">
      <c r="A4963" t="s">
        <v>630</v>
      </c>
      <c r="B4963" s="51">
        <f>INDEX(parameters!$D$4:$T$20,MATCH(B4940&amp;B4942,parameters!$A$4:$A$20,0),MATCH(A4963,parameters!$D$3:$T$3,0))</f>
        <v>2100</v>
      </c>
    </row>
    <row r="4964" spans="1:22" x14ac:dyDescent="0.2">
      <c r="A4964" t="s">
        <v>1005</v>
      </c>
      <c r="B4964" s="50">
        <f>IF(B4936="megajoule",SUMIFS(allocation!$I$4:$I$30,allocation!$B$4:$B$30,B4942,allocation!$C$4:$C$30,B4943),SUMIFS(allocation!$J$4:$J$30,allocation!$B$4:$B$30,B4942,allocation!$C$4:$C$30,B4943))</f>
        <v>0</v>
      </c>
    </row>
    <row r="4965" spans="1:22" x14ac:dyDescent="0.2">
      <c r="A4965" t="s">
        <v>1050</v>
      </c>
      <c r="B4965" s="51">
        <f>INDEX(parameters!$D$4:$AB$20,MATCH(B4940&amp;B4942,parameters!$A$4:$A$20,0),MATCH(A4965,parameters!$D$3:$AB$3,0))</f>
        <v>44.562019013128115</v>
      </c>
    </row>
    <row r="4967" spans="1:22" x14ac:dyDescent="0.2">
      <c r="A4967" s="3" t="s">
        <v>57</v>
      </c>
    </row>
    <row r="4968" spans="1:22" x14ac:dyDescent="0.2">
      <c r="A4968" s="2" t="s">
        <v>58</v>
      </c>
      <c r="B4968" s="44" t="s">
        <v>59</v>
      </c>
      <c r="C4968" s="2" t="s">
        <v>55</v>
      </c>
      <c r="D4968" s="2" t="s">
        <v>60</v>
      </c>
      <c r="E4968" s="2" t="s">
        <v>52</v>
      </c>
      <c r="F4968" s="2" t="s">
        <v>61</v>
      </c>
      <c r="G4968" s="2" t="s">
        <v>54</v>
      </c>
      <c r="H4968" s="2" t="s">
        <v>87</v>
      </c>
      <c r="I4968" s="2" t="s">
        <v>51</v>
      </c>
      <c r="J4968" s="2" t="s">
        <v>138</v>
      </c>
      <c r="K4968" s="2" t="s">
        <v>136</v>
      </c>
      <c r="L4968" s="2" t="s">
        <v>221</v>
      </c>
      <c r="M4968" s="2" t="s">
        <v>379</v>
      </c>
      <c r="N4968" s="2" t="s">
        <v>1059</v>
      </c>
      <c r="O4968" s="2" t="s">
        <v>1060</v>
      </c>
      <c r="P4968" s="2" t="s">
        <v>1061</v>
      </c>
      <c r="Q4968" s="2" t="s">
        <v>1062</v>
      </c>
      <c r="R4968" s="2" t="s">
        <v>1063</v>
      </c>
      <c r="S4968" s="2" t="s">
        <v>1064</v>
      </c>
      <c r="T4968" s="2" t="s">
        <v>1065</v>
      </c>
      <c r="U4968" s="2" t="s">
        <v>380</v>
      </c>
      <c r="V4968" s="2" t="s">
        <v>1128</v>
      </c>
    </row>
    <row r="4969" spans="1:22" x14ac:dyDescent="0.2">
      <c r="A4969" t="str">
        <f>B4930</f>
        <v>heat, residential, by combustion of hydrogen using boiler, transported by train, produced by Electrolysis, PEM using water and electricity from Solar PV (IT)</v>
      </c>
      <c r="B4969" s="45">
        <v>1</v>
      </c>
      <c r="C4969" t="str">
        <f>B4936</f>
        <v>megajoule</v>
      </c>
      <c r="E4969" t="str">
        <f>B4933</f>
        <v>CH</v>
      </c>
      <c r="F4969" t="s">
        <v>62</v>
      </c>
      <c r="G4969" t="str">
        <f>B4935</f>
        <v>heat, from residential heating system</v>
      </c>
      <c r="K4969" t="str">
        <f>B4930</f>
        <v>heat, residential, by combustion of hydrogen using boiler, transported by train, produced by Electrolysis, PEM using water and electricity from Solar PV (IT)</v>
      </c>
    </row>
    <row r="4970" spans="1:22" x14ac:dyDescent="0.2">
      <c r="A4970" t="s">
        <v>83</v>
      </c>
      <c r="B4970" s="52">
        <f>1/(B4961*B4963*B4962*3.6)</f>
        <v>4.4091710758377425E-7</v>
      </c>
      <c r="C4970" t="s">
        <v>55</v>
      </c>
      <c r="E4970" t="s">
        <v>85</v>
      </c>
      <c r="F4970" t="s">
        <v>86</v>
      </c>
      <c r="G4970" t="s">
        <v>84</v>
      </c>
      <c r="H4970" t="s">
        <v>88</v>
      </c>
      <c r="K4970" t="str">
        <f>B4930</f>
        <v>heat, residential, by combustion of hydrogen using boiler, transported by train, produced by Electrolysis, PEM using water and electricity from Solar PV (IT)</v>
      </c>
      <c r="L4970">
        <f t="shared" ref="L4970:L4977" si="175">IF(OR(B4970&lt;0,B4970=0),1,2)</f>
        <v>2</v>
      </c>
      <c r="M4970">
        <f t="shared" ref="M4970:M4977" si="176">IF(L4970=2,LN(B4970),"")</f>
        <v>-14.634408943829779</v>
      </c>
      <c r="N4970">
        <v>1.05</v>
      </c>
      <c r="O4970" s="15">
        <v>1.2</v>
      </c>
      <c r="P4970">
        <v>1</v>
      </c>
      <c r="Q4970">
        <v>1.01</v>
      </c>
      <c r="R4970">
        <v>1.2</v>
      </c>
      <c r="S4970">
        <v>1.2</v>
      </c>
      <c r="T4970">
        <v>3</v>
      </c>
      <c r="U4970">
        <f t="shared" ref="U4970:U4977" si="177">LN(SQRT(EXP(
SQRT(
+POWER(LN(N4970),2)
+POWER(LN(O4970),2)
+POWER(LN(P4970),2)
+POWER(LN(Q4970),2)
+POWER(LN(R4970),2)
+POWER(LN(S4970),2)
+POWER(LN(T4970),2)
)
)))</f>
        <v>0.57209088006881903</v>
      </c>
    </row>
    <row r="4971" spans="1:22" x14ac:dyDescent="0.2">
      <c r="A4971" t="s">
        <v>500</v>
      </c>
      <c r="B4971" s="52">
        <f>B4970*2</f>
        <v>8.8183421516754851E-7</v>
      </c>
      <c r="C4971" t="s">
        <v>267</v>
      </c>
      <c r="E4971" t="s">
        <v>85</v>
      </c>
      <c r="F4971" t="s">
        <v>86</v>
      </c>
      <c r="G4971" t="s">
        <v>501</v>
      </c>
      <c r="H4971" t="s">
        <v>88</v>
      </c>
      <c r="I4971" t="s">
        <v>621</v>
      </c>
      <c r="K4971" t="str">
        <f>B4930</f>
        <v>heat, residential, by combustion of hydrogen using boiler, transported by train, produced by Electrolysis, PEM using water and electricity from Solar PV (IT)</v>
      </c>
      <c r="L4971">
        <f t="shared" si="175"/>
        <v>2</v>
      </c>
      <c r="M4971">
        <f t="shared" si="176"/>
        <v>-13.941261763269834</v>
      </c>
      <c r="N4971">
        <v>1.05</v>
      </c>
      <c r="O4971" s="15">
        <v>1.2</v>
      </c>
      <c r="P4971">
        <v>1</v>
      </c>
      <c r="Q4971">
        <v>1.01</v>
      </c>
      <c r="R4971">
        <v>1.2</v>
      </c>
      <c r="S4971">
        <v>1.2</v>
      </c>
      <c r="T4971">
        <v>3</v>
      </c>
      <c r="U4971">
        <f t="shared" si="177"/>
        <v>0.57209088006881903</v>
      </c>
    </row>
    <row r="4972" spans="1:22" x14ac:dyDescent="0.2">
      <c r="A4972" t="s">
        <v>130</v>
      </c>
      <c r="B4972" s="52">
        <v>2.64E-3</v>
      </c>
      <c r="C4972" t="s">
        <v>92</v>
      </c>
      <c r="E4972" t="s">
        <v>64</v>
      </c>
      <c r="F4972" t="s">
        <v>86</v>
      </c>
      <c r="G4972" t="s">
        <v>93</v>
      </c>
      <c r="H4972" t="s">
        <v>78</v>
      </c>
      <c r="I4972" t="s">
        <v>270</v>
      </c>
      <c r="J4972" t="s">
        <v>67</v>
      </c>
      <c r="K4972" t="str">
        <f>B4930</f>
        <v>heat, residential, by combustion of hydrogen using boiler, transported by train, produced by Electrolysis, PEM using water and electricity from Solar PV (IT)</v>
      </c>
      <c r="L4972">
        <f t="shared" si="175"/>
        <v>2</v>
      </c>
      <c r="M4972">
        <f t="shared" si="176"/>
        <v>-5.9369763618239126</v>
      </c>
      <c r="N4972">
        <v>1.05</v>
      </c>
      <c r="O4972" s="15">
        <v>1.2</v>
      </c>
      <c r="P4972">
        <v>1</v>
      </c>
      <c r="Q4972">
        <v>1.01</v>
      </c>
      <c r="R4972">
        <v>1.2</v>
      </c>
      <c r="S4972">
        <v>1.2</v>
      </c>
      <c r="T4972">
        <v>1.05</v>
      </c>
      <c r="U4972">
        <f t="shared" si="177"/>
        <v>0.16169679924070957</v>
      </c>
    </row>
    <row r="4973" spans="1:22" x14ac:dyDescent="0.2">
      <c r="A4973" s="45" t="str">
        <f>"hydrogen supply, transported by "&amp;B4944&amp;", produced by "&amp;B4948&amp;" using "&amp;B4949&amp;" from "&amp;B4950</f>
        <v>hydrogen supply, transported by train, produced by Electrolysis, PEM using water and electricity from Solar PV (IT)</v>
      </c>
      <c r="B4973" s="53">
        <f>(B4969/B4953)/B4952</f>
        <v>8.8652482269503553E-3</v>
      </c>
      <c r="C4973" t="s">
        <v>56</v>
      </c>
      <c r="E4973" t="s">
        <v>64</v>
      </c>
      <c r="F4973" t="s">
        <v>86</v>
      </c>
      <c r="G4973" t="str">
        <f>"hydrogen, gaseous, from "&amp;B4944</f>
        <v>hydrogen, gaseous, from train</v>
      </c>
      <c r="H4973" t="s">
        <v>76</v>
      </c>
      <c r="I4973" t="s">
        <v>1054</v>
      </c>
      <c r="J4973" t="s">
        <v>637</v>
      </c>
      <c r="K4973" t="str">
        <f>B4930</f>
        <v>heat, residential, by combustion of hydrogen using boiler, transported by train, produced by Electrolysis, PEM using water and electricity from Solar PV (IT)</v>
      </c>
      <c r="L4973">
        <f t="shared" si="175"/>
        <v>2</v>
      </c>
      <c r="M4973">
        <f t="shared" si="176"/>
        <v>-4.7256163390639587</v>
      </c>
      <c r="N4973">
        <v>1.05</v>
      </c>
      <c r="O4973" s="15">
        <v>1.2</v>
      </c>
      <c r="P4973">
        <v>1</v>
      </c>
      <c r="Q4973">
        <v>1.01</v>
      </c>
      <c r="R4973">
        <v>1.2</v>
      </c>
      <c r="S4973">
        <v>1.2</v>
      </c>
      <c r="T4973">
        <v>1.05</v>
      </c>
      <c r="U4973">
        <f t="shared" si="177"/>
        <v>0.16169679924070957</v>
      </c>
    </row>
    <row r="4974" spans="1:22" x14ac:dyDescent="0.2">
      <c r="A4974" t="str">
        <f>VLOOKUP(J4974,'dataset mapping'!$A$4:$E$69,2,0)</f>
        <v>market for transport, freight train</v>
      </c>
      <c r="B4974" s="45">
        <f>SUM(B4973:B4973)/1000*B4945</f>
        <v>1.5070921985815602E-2</v>
      </c>
      <c r="C4974" t="str">
        <f>VLOOKUP(J4974,'dataset mapping'!$A$4:$E$69,5,0)</f>
        <v>ton kilometer</v>
      </c>
      <c r="E4974" t="str">
        <f>VLOOKUP(J4974,'dataset mapping'!$A$4:$E$69,4,0)</f>
        <v>CH</v>
      </c>
      <c r="F4974" t="s">
        <v>86</v>
      </c>
      <c r="G4974" t="str">
        <f>VLOOKUP(J4974,'dataset mapping'!$A$4:$E$69,3,0)</f>
        <v>transport, freight train</v>
      </c>
      <c r="H4974" t="s">
        <v>88</v>
      </c>
      <c r="I4974" t="s">
        <v>1052</v>
      </c>
      <c r="J4974" t="s">
        <v>295</v>
      </c>
      <c r="K4974" t="str">
        <f>B4930</f>
        <v>heat, residential, by combustion of hydrogen using boiler, transported by train, produced by Electrolysis, PEM using water and electricity from Solar PV (IT)</v>
      </c>
      <c r="L4974">
        <f t="shared" si="175"/>
        <v>2</v>
      </c>
      <c r="M4974">
        <f t="shared" si="176"/>
        <v>-4.1949880880017885</v>
      </c>
      <c r="N4974">
        <v>1.05</v>
      </c>
      <c r="O4974" s="15">
        <v>1.2</v>
      </c>
      <c r="P4974">
        <v>1</v>
      </c>
      <c r="Q4974">
        <v>1.01</v>
      </c>
      <c r="R4974">
        <v>1.2</v>
      </c>
      <c r="S4974">
        <v>1.2</v>
      </c>
      <c r="T4974">
        <v>2</v>
      </c>
      <c r="U4974">
        <f t="shared" si="177"/>
        <v>0.38165951885721477</v>
      </c>
    </row>
    <row r="4975" spans="1:22" x14ac:dyDescent="0.2">
      <c r="A4975" t="str">
        <f>VLOOKUP(J4975,'dataset mapping'!$A$4:$E$69,2,0)</f>
        <v>high pressure hydrogen storage tank</v>
      </c>
      <c r="B4975" s="52">
        <f>((B4965/10)/(B4963*B4959*20*3.6))*IF(B4964&lt;&gt;0,B4964,1)</f>
        <v>1.8469267139479905E-6</v>
      </c>
      <c r="C4975" t="str">
        <f>VLOOKUP(J4975,'dataset mapping'!$A$4:$E$69,5,0)</f>
        <v>kilogram</v>
      </c>
      <c r="E4975" t="str">
        <f>VLOOKUP(J4975,'dataset mapping'!$A$4:$E$69,4,0)</f>
        <v>GLO</v>
      </c>
      <c r="F4975" t="s">
        <v>86</v>
      </c>
      <c r="G4975" t="str">
        <f>VLOOKUP(J4975,'dataset mapping'!$A$4:$E$69,3,0)</f>
        <v>high pressure hydrogen storage tank</v>
      </c>
      <c r="H4975" t="s">
        <v>88</v>
      </c>
      <c r="I4975" t="s">
        <v>230</v>
      </c>
      <c r="J4975" t="s">
        <v>229</v>
      </c>
      <c r="K4975" t="str">
        <f>B4930</f>
        <v>heat, residential, by combustion of hydrogen using boiler, transported by train, produced by Electrolysis, PEM using water and electricity from Solar PV (IT)</v>
      </c>
      <c r="L4975">
        <f t="shared" si="175"/>
        <v>2</v>
      </c>
      <c r="M4975">
        <f t="shared" si="176"/>
        <v>-13.20198753595994</v>
      </c>
      <c r="N4975">
        <v>1.05</v>
      </c>
      <c r="O4975" s="15">
        <v>1.2</v>
      </c>
      <c r="P4975">
        <v>1</v>
      </c>
      <c r="Q4975">
        <v>1.01</v>
      </c>
      <c r="R4975">
        <v>1.2</v>
      </c>
      <c r="S4975">
        <v>1.2</v>
      </c>
      <c r="T4975">
        <v>3</v>
      </c>
      <c r="U4975">
        <f t="shared" si="177"/>
        <v>0.57209088006881903</v>
      </c>
    </row>
    <row r="4976" spans="1:22" x14ac:dyDescent="0.2">
      <c r="A4976" t="s">
        <v>134</v>
      </c>
      <c r="B4976" s="45">
        <f>B4973*9</f>
        <v>7.9787234042553196E-2</v>
      </c>
      <c r="C4976" t="s">
        <v>56</v>
      </c>
      <c r="D4976" t="s">
        <v>100</v>
      </c>
      <c r="F4976" t="s">
        <v>99</v>
      </c>
      <c r="H4976" t="s">
        <v>131</v>
      </c>
      <c r="I4976" t="s">
        <v>1058</v>
      </c>
      <c r="K4976" t="str">
        <f>B4930</f>
        <v>heat, residential, by combustion of hydrogen using boiler, transported by train, produced by Electrolysis, PEM using water and electricity from Solar PV (IT)</v>
      </c>
      <c r="L4976">
        <f t="shared" si="175"/>
        <v>2</v>
      </c>
      <c r="M4976">
        <f t="shared" si="176"/>
        <v>-2.5283917617277392</v>
      </c>
      <c r="N4976">
        <v>1.05</v>
      </c>
      <c r="O4976" s="15">
        <v>1.2</v>
      </c>
      <c r="P4976">
        <v>1</v>
      </c>
      <c r="Q4976">
        <v>1.01</v>
      </c>
      <c r="R4976">
        <v>1.2</v>
      </c>
      <c r="S4976">
        <v>1.2</v>
      </c>
      <c r="T4976">
        <v>1.05</v>
      </c>
      <c r="U4976">
        <f t="shared" si="177"/>
        <v>0.16169679924070957</v>
      </c>
    </row>
    <row r="4977" spans="1:21" x14ac:dyDescent="0.2">
      <c r="A4977" t="s">
        <v>135</v>
      </c>
      <c r="B4977" s="45">
        <f>912.5/1000000*B4973</f>
        <v>8.0895390070921995E-6</v>
      </c>
      <c r="C4977" t="s">
        <v>56</v>
      </c>
      <c r="D4977" t="s">
        <v>100</v>
      </c>
      <c r="F4977" t="s">
        <v>99</v>
      </c>
      <c r="H4977" t="s">
        <v>131</v>
      </c>
      <c r="I4977" t="s">
        <v>1217</v>
      </c>
      <c r="K4977" t="str">
        <f>B4930</f>
        <v>heat, residential, by combustion of hydrogen using boiler, transported by train, produced by Electrolysis, PEM using water and electricity from Solar PV (IT)</v>
      </c>
      <c r="L4977">
        <f t="shared" si="175"/>
        <v>2</v>
      </c>
      <c r="M4977">
        <f t="shared" si="176"/>
        <v>-11.724938811571587</v>
      </c>
      <c r="N4977">
        <v>1.05</v>
      </c>
      <c r="O4977" s="15">
        <v>1.2</v>
      </c>
      <c r="P4977">
        <v>1</v>
      </c>
      <c r="Q4977">
        <v>1.01</v>
      </c>
      <c r="R4977">
        <v>1.2</v>
      </c>
      <c r="S4977">
        <v>1.2</v>
      </c>
      <c r="T4977">
        <v>1.5</v>
      </c>
      <c r="U4977">
        <f t="shared" si="177"/>
        <v>0.25816898211842121</v>
      </c>
    </row>
    <row r="4979" spans="1:21" x14ac:dyDescent="0.2">
      <c r="A4979" s="2" t="s">
        <v>50</v>
      </c>
      <c r="B4979" s="44" t="str">
        <f>IF(B4985="megajoule","heat","electricity")&amp;", residential, by "&amp;B4990&amp;" of "&amp;B4989&amp;" using "&amp;B4991&amp;IF(B4992&lt;&gt;0,", allocated by "&amp;B4992,"")&amp;", transported by "&amp;B4993&amp;", produced by "&amp;B4997&amp;" using "&amp;B4998&amp;" from "&amp;B4999</f>
        <v>heat, residential, by combustion of hydrogen using CHP, allocated by exergy, transported by train, produced by Electrolysis, PEM using water and electricity from Solar PV (IT)</v>
      </c>
    </row>
    <row r="4980" spans="1:21" x14ac:dyDescent="0.2">
      <c r="A4980" t="s">
        <v>51</v>
      </c>
      <c r="B4980" s="45" t="str">
        <f>"This dataset represents the supply of 1 "&amp;IF(B4985="megajoule","megajoule of heat","kilowatt hour of electricity")&amp;" in a residence, by "&amp;B4989&amp;" "&amp;B4990&amp;" in a "&amp;B4991&amp;". "&amp;" The hydrogen is transported by "&amp;B4993&amp;" over "&amp;B4994&amp;" km from regional storage. "&amp;" The "&amp;B4989&amp;" is produced by  "&amp;B4997&amp;", with "&amp;B4998&amp;" from "&amp;B4999&amp;" as feedstock. "&amp;A5001&amp;": "&amp;(B5001*100)&amp;"%. "&amp;A5002&amp;": "&amp;B5002&amp;". "&amp;A5003&amp;": "&amp;B5003&amp;". "&amp;A5004&amp;": "&amp;(B5004*100)&amp;"%. "&amp;A5005&amp;": "&amp;(B5005*100)&amp;"%. "&amp;A5006&amp;": "&amp;(B5006*100)&amp;"%. "&amp;A5007&amp;": "&amp;B5007&amp;". "&amp;A5008&amp;": "&amp;B5008&amp;". "&amp;A5009&amp;": "&amp;(B5009*100)&amp;"%. "&amp;A5010&amp;": "&amp;B5010&amp;". "&amp;A5011&amp;": "&amp;B5011&amp;". "&amp;A5012&amp;": "&amp;B5012&amp;". "&amp;A5013&amp;": "&amp;B5013&amp;".  For more information, refer to: "&amp;B4981</f>
        <v>This dataset represents the supply of 1 megajoule of heat in a residence, by hydrogen combustion in a CHP.  The hydrogen is transported by train over 1700 km from regional storage.  The hydrogen is produced by  Electrolysis, PEM,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4981" spans="1:21" x14ac:dyDescent="0.2">
      <c r="A4981" t="s">
        <v>63</v>
      </c>
      <c r="B4981" s="45" t="s">
        <v>1223</v>
      </c>
    </row>
    <row r="4982" spans="1:21" x14ac:dyDescent="0.2">
      <c r="A4982" t="s">
        <v>52</v>
      </c>
      <c r="B4982" s="45" t="s">
        <v>64</v>
      </c>
    </row>
    <row r="4983" spans="1:21" x14ac:dyDescent="0.2">
      <c r="A4983" t="s">
        <v>48</v>
      </c>
      <c r="B4983" s="45">
        <v>62</v>
      </c>
    </row>
    <row r="4984" spans="1:21" x14ac:dyDescent="0.2">
      <c r="A4984" t="s">
        <v>54</v>
      </c>
      <c r="B4984" s="45" t="str">
        <f>INDEX(overview!$B$4:$R$338,MATCH('hydrogen - electrolysis'!B4983,overview!$A$4:$A$338,0),MATCH('hydrogen - electrolysis'!A4984,overview!$B$3:$R$3,0))</f>
        <v>heat, from residential heating system</v>
      </c>
    </row>
    <row r="4985" spans="1:21" x14ac:dyDescent="0.2">
      <c r="A4985" t="s">
        <v>55</v>
      </c>
      <c r="B4985" s="45" t="str">
        <f>INDEX(overview!$B$4:$R$338,MATCH('hydrogen - electrolysis'!B4983,overview!$A$4:$A$338,0),MATCH('hydrogen - electrolysis'!A4985,overview!$B$3:$R$3,0))</f>
        <v>megajoule</v>
      </c>
    </row>
    <row r="4986" spans="1:21" x14ac:dyDescent="0.2">
      <c r="A4986" t="s">
        <v>0</v>
      </c>
      <c r="B4986" s="45" t="str">
        <f>INDEX(overview!$B$4:$R$338,MATCH('hydrogen - electrolysis'!B4983,overview!$A$4:$A$338,0),MATCH('hydrogen - electrolysis'!A4986,overview!$B$3:$R$3,0))</f>
        <v>Switzerland</v>
      </c>
    </row>
    <row r="4987" spans="1:21" x14ac:dyDescent="0.2">
      <c r="A4987" t="s">
        <v>1</v>
      </c>
      <c r="B4987" s="45">
        <f>INDEX(overview!$B$4:$R$338,MATCH('hydrogen - electrolysis'!B4983,overview!$A$4:$A$338,0),MATCH('hydrogen - electrolysis'!A4987,overview!$B$3:$R$3,0))</f>
        <v>2020</v>
      </c>
    </row>
    <row r="4988" spans="1:21" x14ac:dyDescent="0.2">
      <c r="A4988" t="s">
        <v>2</v>
      </c>
      <c r="B4988" s="45" t="str">
        <f>INDEX(overview!$B$4:$R$338,MATCH('hydrogen - electrolysis'!B4983,overview!$A$4:$A$338,0),MATCH('hydrogen - electrolysis'!A4988,overview!$B$3:$R$3,0))</f>
        <v>1 MJ heat</v>
      </c>
    </row>
    <row r="4989" spans="1:21" x14ac:dyDescent="0.2">
      <c r="A4989" t="s">
        <v>5</v>
      </c>
      <c r="B4989" s="45" t="str">
        <f>INDEX(overview!$B$4:$R$338,MATCH('hydrogen - electrolysis'!B4983,overview!$A$4:$A$338,0),MATCH('hydrogen - electrolysis'!A4989,overview!$B$3:$R$3,0))</f>
        <v>hydrogen</v>
      </c>
    </row>
    <row r="4990" spans="1:21" x14ac:dyDescent="0.2">
      <c r="A4990" t="s">
        <v>3</v>
      </c>
      <c r="B4990" s="45" t="str">
        <f>INDEX(overview!$B$4:$R$338,MATCH('hydrogen - electrolysis'!B4983,overview!$A$4:$A$338,0),MATCH('hydrogen - electrolysis'!A4990,overview!$B$3:$R$3,0))</f>
        <v>combustion</v>
      </c>
    </row>
    <row r="4991" spans="1:21" x14ac:dyDescent="0.2">
      <c r="A4991" t="s">
        <v>6</v>
      </c>
      <c r="B4991" s="45" t="str">
        <f>INDEX(overview!$B$4:$R$338,MATCH('hydrogen - electrolysis'!B4983,overview!$A$4:$A$338,0),MATCH('hydrogen - electrolysis'!A4991,overview!$B$3:$R$3,0))</f>
        <v>CHP</v>
      </c>
    </row>
    <row r="4992" spans="1:21" x14ac:dyDescent="0.2">
      <c r="A4992" t="s">
        <v>39</v>
      </c>
      <c r="B4992" s="45" t="str">
        <f>INDEX(overview!$B$4:$R$338,MATCH('hydrogen - electrolysis'!B4983,overview!$A$4:$A$338,0),MATCH('hydrogen - electrolysis'!A4992,overview!$B$3:$R$3,0))</f>
        <v>exergy</v>
      </c>
    </row>
    <row r="4993" spans="1:2" x14ac:dyDescent="0.2">
      <c r="A4993" t="s">
        <v>4</v>
      </c>
      <c r="B4993" s="45" t="str">
        <f>INDEX(overview!$B$4:$R$338,MATCH('hydrogen - electrolysis'!B4983,overview!$A$4:$A$338,0),MATCH('hydrogen - electrolysis'!A4993,overview!$B$3:$R$3,0))</f>
        <v>train</v>
      </c>
    </row>
    <row r="4994" spans="1:2" x14ac:dyDescent="0.2">
      <c r="A4994" t="s">
        <v>38</v>
      </c>
      <c r="B4994" s="45">
        <f>INDEX(overview!$B$4:$R$338,MATCH('hydrogen - electrolysis'!B4983,overview!$A$4:$A$338,0),MATCH('hydrogen - electrolysis'!A4994,overview!$B$3:$R$3,0))</f>
        <v>1700</v>
      </c>
    </row>
    <row r="4995" spans="1:2" x14ac:dyDescent="0.2">
      <c r="A4995" t="s">
        <v>12</v>
      </c>
      <c r="B4995" s="45" t="str">
        <f>INDEX(overview!$B$4:$R$338,MATCH('hydrogen - electrolysis'!B4983,overview!$A$4:$A$338,0),MATCH('hydrogen - electrolysis'!A4995,overview!$B$3:$R$3,0))</f>
        <v>Pressure vessel for stationary storage</v>
      </c>
    </row>
    <row r="4996" spans="1:2" x14ac:dyDescent="0.2">
      <c r="A4996" t="s">
        <v>34</v>
      </c>
      <c r="B4996" s="45">
        <f>INDEX(overview!$B$4:$R$338,MATCH('hydrogen - electrolysis'!B4983,overview!$A$4:$A$338,0),MATCH('hydrogen - electrolysis'!A4996,overview!$B$3:$R$3,0))</f>
        <v>0</v>
      </c>
    </row>
    <row r="4997" spans="1:2" x14ac:dyDescent="0.2">
      <c r="A4997" t="s">
        <v>15</v>
      </c>
      <c r="B4997" s="45" t="str">
        <f>INDEX(overview!$B$4:$R$338,MATCH('hydrogen - electrolysis'!B4983,overview!$A$4:$A$338,0),MATCH('hydrogen - electrolysis'!A4997,overview!$B$3:$R$3,0))</f>
        <v>Electrolysis, PEM</v>
      </c>
    </row>
    <row r="4998" spans="1:2" x14ac:dyDescent="0.2">
      <c r="A4998" t="s">
        <v>14</v>
      </c>
      <c r="B4998" s="45" t="str">
        <f>INDEX(overview!$B$4:$R$338,MATCH('hydrogen - electrolysis'!B4983,overview!$A$4:$A$338,0),MATCH('hydrogen - electrolysis'!A4998,overview!$B$3:$R$3,0))</f>
        <v>water and electricity</v>
      </c>
    </row>
    <row r="4999" spans="1:2" x14ac:dyDescent="0.2">
      <c r="A4999" t="s">
        <v>26</v>
      </c>
      <c r="B4999" s="45" t="str">
        <f>INDEX(overview!$B$4:$R$338,MATCH('hydrogen - electrolysis'!B4983,overview!$A$4:$A$338,0),MATCH('hydrogen - electrolysis'!A4999,overview!$B$3:$R$3,0))</f>
        <v>Solar PV (IT)</v>
      </c>
    </row>
    <row r="5000" spans="1:2" x14ac:dyDescent="0.2">
      <c r="A5000" t="s">
        <v>29</v>
      </c>
      <c r="B5000" s="45">
        <f>INDEX(overview!$B$4:$R$338,MATCH('hydrogen - electrolysis'!B4983,overview!$A$4:$A$338,0),MATCH('hydrogen - electrolysis'!A5000,overview!$B$3:$R$3,0))</f>
        <v>0</v>
      </c>
    </row>
    <row r="5001" spans="1:2" x14ac:dyDescent="0.2">
      <c r="A5001" t="str">
        <f>IF(B4985="megajoule","Heat","Electricity")&amp;" conversion efficiency [% LHV input]"</f>
        <v>Heat conversion efficiency [% LHV input]</v>
      </c>
      <c r="B5001" s="46">
        <f>INDEX(parameters!$D$4:$N$20,MATCH('hydrogen - electrolysis'!B4989&amp;'hydrogen - electrolysis'!B4991,parameters!$A$4:$A$20,0),MATCH('hydrogen - electrolysis'!A5001,parameters!$D$3:$N$3,0))</f>
        <v>0.41699999999999998</v>
      </c>
    </row>
    <row r="5002" spans="1:2" x14ac:dyDescent="0.2">
      <c r="A5002" t="str">
        <f>IF(B4985="megajoule","LHV [MJ/kg]","LHV [kWh/kg]")</f>
        <v>LHV [MJ/kg]</v>
      </c>
      <c r="B5002" s="47">
        <f>INDEX(parameters!$D$4:$N$20,MATCH('hydrogen - electrolysis'!B4989&amp;'hydrogen - electrolysis'!B4991,parameters!$A$4:$A$20,0),MATCH('hydrogen - electrolysis'!A5002,parameters!$D$3:$N$3,0))</f>
        <v>120</v>
      </c>
    </row>
    <row r="5003" spans="1:2" x14ac:dyDescent="0.2">
      <c r="A5003" t="s">
        <v>41</v>
      </c>
      <c r="B5003" s="48">
        <f>INDEX(parameters!$D$4:$N$20,MATCH('hydrogen - electrolysis'!B4989&amp;'hydrogen - electrolysis'!B4991,parameters!$A$4:$A$20,0),MATCH('hydrogen - electrolysis'!A5003,parameters!$D$3:$N$3,0))</f>
        <v>2.6666666666666665E-2</v>
      </c>
    </row>
    <row r="5004" spans="1:2" x14ac:dyDescent="0.2">
      <c r="A5004" t="s">
        <v>45</v>
      </c>
      <c r="B5004" s="46">
        <f>INDEX(parameters!$D$4:$N$20,MATCH('hydrogen - electrolysis'!B4989&amp;'hydrogen - electrolysis'!B4991,parameters!$A$4:$A$20,0),MATCH('hydrogen - electrolysis'!A5004,parameters!$D$3:$N$3,0))</f>
        <v>0</v>
      </c>
    </row>
    <row r="5005" spans="1:2" x14ac:dyDescent="0.2">
      <c r="A5005" t="s">
        <v>46</v>
      </c>
      <c r="B5005" s="46">
        <f>INDEX(parameters!$D$4:$N$20,MATCH('hydrogen - electrolysis'!B4989&amp;'hydrogen - electrolysis'!B4991,parameters!$A$4:$A$20,0),MATCH('hydrogen - electrolysis'!A5005,parameters!$D$3:$N$3,0))</f>
        <v>1.4999999999999999E-2</v>
      </c>
    </row>
    <row r="5006" spans="1:2" x14ac:dyDescent="0.2">
      <c r="A5006" t="s">
        <v>43</v>
      </c>
      <c r="B5006" s="46">
        <f>INDEX(parameters!$D$4:$N$20,MATCH('hydrogen - electrolysis'!B4989&amp;'hydrogen - electrolysis'!B4991,parameters!$A$4:$A$20,0),MATCH('hydrogen - electrolysis'!A5006,parameters!$D$3:$N$3,0))</f>
        <v>0</v>
      </c>
    </row>
    <row r="5007" spans="1:2" x14ac:dyDescent="0.2">
      <c r="A5007" t="s">
        <v>44</v>
      </c>
      <c r="B5007" s="46">
        <f>INDEX(parameters!$D$4:$N$20,MATCH('hydrogen - electrolysis'!B4989&amp;'hydrogen - electrolysis'!B4991,parameters!$A$4:$A$20,0),MATCH('hydrogen - electrolysis'!A5007,parameters!$D$3:$N$3,0))</f>
        <v>0</v>
      </c>
    </row>
    <row r="5008" spans="1:2" x14ac:dyDescent="0.2">
      <c r="A5008" t="s">
        <v>634</v>
      </c>
      <c r="B5008" s="51">
        <f>INDEX(parameters!$D$4:$Y$20,MATCH('hydrogen - electrolysis'!B4989&amp;'hydrogen - electrolysis'!B4991,parameters!$A$4:$A$20,0),MATCH('hydrogen - electrolysis'!A5008,parameters!$D$3:$Y$3,0))</f>
        <v>351.41800246609125</v>
      </c>
    </row>
    <row r="5009" spans="1:22" x14ac:dyDescent="0.2">
      <c r="A5009" t="s">
        <v>82</v>
      </c>
      <c r="B5009" s="46">
        <f>IF(B5000&lt;&gt;0,VLOOKUP(B5000,parameters!A3177:B3179,2,0),0)</f>
        <v>0</v>
      </c>
    </row>
    <row r="5010" spans="1:22" x14ac:dyDescent="0.2">
      <c r="A5010" t="s">
        <v>548</v>
      </c>
      <c r="B5010" s="50">
        <f>INDEX(parameters!$D$4:$P$20,MATCH(B4989&amp;B4991,parameters!$A$4:$A$20,0),MATCH(A5010,parameters!$D$3:$P$3,0))</f>
        <v>125</v>
      </c>
    </row>
    <row r="5011" spans="1:22" x14ac:dyDescent="0.2">
      <c r="A5011" t="s">
        <v>547</v>
      </c>
      <c r="B5011" s="51">
        <f>INDEX(parameters!$D$4:$P$20,MATCH(B4989&amp;B4991,parameters!$A$4:$A$20,0),MATCH(A5011,parameters!$D$3:$P$3,0))</f>
        <v>19.512195121951219</v>
      </c>
    </row>
    <row r="5012" spans="1:22" x14ac:dyDescent="0.2">
      <c r="A5012" t="s">
        <v>630</v>
      </c>
      <c r="B5012" s="51">
        <f>INDEX(parameters!$D$4:$T$20,MATCH(B4989&amp;B4991,parameters!$A$4:$A$20,0),MATCH(A5012,parameters!$D$3:$T$3,0))</f>
        <v>4100</v>
      </c>
    </row>
    <row r="5013" spans="1:22" x14ac:dyDescent="0.2">
      <c r="A5013" t="s">
        <v>1005</v>
      </c>
      <c r="B5013" s="50">
        <f>IF(B4985="megajoule",SUMIFS(allocation!$I$4:$I$30,allocation!$B$4:$B$30,B4991,allocation!$C$4:$C$30,B4992),SUMIFS(allocation!$J$4:$J$30,allocation!$B$4:$B$30,B4991,allocation!$C$4:$C$30,B4992))</f>
        <v>0.12860042227295038</v>
      </c>
    </row>
    <row r="5014" spans="1:22" x14ac:dyDescent="0.2">
      <c r="A5014" t="s">
        <v>1050</v>
      </c>
      <c r="B5014" s="51">
        <f>INDEX(parameters!$D$4:$AB$20,MATCH(B4989&amp;B4991,parameters!$A$4:$A$20,0),MATCH(A5014,parameters!$D$3:$AB$3,0))</f>
        <v>2220.7364520822662</v>
      </c>
    </row>
    <row r="5016" spans="1:22" x14ac:dyDescent="0.2">
      <c r="A5016" s="3" t="s">
        <v>57</v>
      </c>
    </row>
    <row r="5017" spans="1:22" x14ac:dyDescent="0.2">
      <c r="A5017" s="2" t="s">
        <v>58</v>
      </c>
      <c r="B5017" s="44" t="s">
        <v>59</v>
      </c>
      <c r="C5017" s="2" t="s">
        <v>55</v>
      </c>
      <c r="D5017" s="2" t="s">
        <v>60</v>
      </c>
      <c r="E5017" s="2" t="s">
        <v>52</v>
      </c>
      <c r="F5017" s="2" t="s">
        <v>61</v>
      </c>
      <c r="G5017" s="2" t="s">
        <v>54</v>
      </c>
      <c r="H5017" s="2" t="s">
        <v>87</v>
      </c>
      <c r="I5017" s="2" t="s">
        <v>51</v>
      </c>
      <c r="J5017" s="2" t="s">
        <v>138</v>
      </c>
      <c r="K5017" s="2" t="s">
        <v>136</v>
      </c>
      <c r="L5017" s="2" t="s">
        <v>221</v>
      </c>
      <c r="M5017" s="2" t="s">
        <v>379</v>
      </c>
      <c r="N5017" s="2" t="s">
        <v>1059</v>
      </c>
      <c r="O5017" s="2" t="s">
        <v>1060</v>
      </c>
      <c r="P5017" s="2" t="s">
        <v>1061</v>
      </c>
      <c r="Q5017" s="2" t="s">
        <v>1062</v>
      </c>
      <c r="R5017" s="2" t="s">
        <v>1063</v>
      </c>
      <c r="S5017" s="2" t="s">
        <v>1064</v>
      </c>
      <c r="T5017" s="2" t="s">
        <v>1065</v>
      </c>
      <c r="U5017" s="2" t="s">
        <v>380</v>
      </c>
      <c r="V5017" s="2" t="s">
        <v>1128</v>
      </c>
    </row>
    <row r="5018" spans="1:22" x14ac:dyDescent="0.2">
      <c r="A5018" t="str">
        <f>B4979</f>
        <v>heat, residential, by combustion of hydrogen using CHP, allocated by exergy, transported by train, produced by Electrolysis, PEM using water and electricity from Solar PV (IT)</v>
      </c>
      <c r="B5018" s="45">
        <v>1</v>
      </c>
      <c r="C5018" t="str">
        <f>B4985</f>
        <v>megajoule</v>
      </c>
      <c r="E5018" t="str">
        <f>B4982</f>
        <v>CH</v>
      </c>
      <c r="F5018" t="s">
        <v>62</v>
      </c>
      <c r="G5018" t="str">
        <f>B4984</f>
        <v>heat, from residential heating system</v>
      </c>
      <c r="K5018" t="str">
        <f>B4979</f>
        <v>heat, residential, by combustion of hydrogen using CHP, allocated by exergy, transported by train, produced by Electrolysis, PEM using water and electricity from Solar PV (IT)</v>
      </c>
    </row>
    <row r="5019" spans="1:22" x14ac:dyDescent="0.2">
      <c r="A5019" t="str">
        <f>VLOOKUP(J5019,'dataset mapping'!$A$4:$E$69,2,0)</f>
        <v>heat and power co-generation unit construction, 160kW electrical, common components for heat+electricity</v>
      </c>
      <c r="B5019" s="52">
        <f>(1/(B5008*B5012*B5011*3.6))*B5013</f>
        <v>1.270649883812899E-9</v>
      </c>
      <c r="C5019" t="str">
        <f>VLOOKUP(J5019,'dataset mapping'!$A$4:$E$69,5,0)</f>
        <v>unit</v>
      </c>
      <c r="E5019" t="str">
        <f>VLOOKUP(J5019,'dataset mapping'!$A$4:$E$69,4,0)</f>
        <v>RER</v>
      </c>
      <c r="F5019" t="s">
        <v>86</v>
      </c>
      <c r="G5019" t="str">
        <f>VLOOKUP(J5019,'dataset mapping'!$A$4:$E$69,3,0)</f>
        <v>heat and power co-generation unit, 160kW electrical, common components for heat+electricity</v>
      </c>
      <c r="H5019" t="s">
        <v>88</v>
      </c>
      <c r="J5019" t="s">
        <v>145</v>
      </c>
      <c r="K5019" t="str">
        <f>B4979</f>
        <v>heat, residential, by combustion of hydrogen using CHP, allocated by exergy, transported by train, produced by Electrolysis, PEM using water and electricity from Solar PV (IT)</v>
      </c>
      <c r="L5019">
        <f t="shared" ref="L5019:L5028" si="178">IF(OR(B5019&lt;0,B5019=0),1,2)</f>
        <v>2</v>
      </c>
      <c r="M5019">
        <f t="shared" ref="M5019:M5028" si="179">IF(L5019=2,LN(B5019),"")</f>
        <v>-20.48373734782199</v>
      </c>
      <c r="N5019">
        <v>1.05</v>
      </c>
      <c r="O5019" s="15">
        <v>1.2</v>
      </c>
      <c r="P5019">
        <v>1</v>
      </c>
      <c r="Q5019">
        <v>1.01</v>
      </c>
      <c r="R5019">
        <v>1.2</v>
      </c>
      <c r="S5019">
        <v>1.2</v>
      </c>
      <c r="T5019">
        <v>3</v>
      </c>
      <c r="U5019">
        <f t="shared" ref="U5019:U5028" si="180">LN(SQRT(EXP(
SQRT(
+POWER(LN(N5019),2)
+POWER(LN(O5019),2)
+POWER(LN(P5019),2)
+POWER(LN(Q5019),2)
+POWER(LN(R5019),2)
+POWER(LN(S5019),2)
+POWER(LN(T5019),2)
)
)))</f>
        <v>0.57209088006881903</v>
      </c>
    </row>
    <row r="5020" spans="1:22" x14ac:dyDescent="0.2">
      <c r="A5020" t="str">
        <f>VLOOKUP(J5020,'dataset mapping'!$A$4:$E$69,2,0)</f>
        <v>heat and power co-generation unit construction, 160kW electrical, components for electricity only</v>
      </c>
      <c r="B5020" s="52">
        <f>(1/(B5008*B5012*B5011*3.6))*B5013</f>
        <v>1.270649883812899E-9</v>
      </c>
      <c r="C5020" t="str">
        <f>VLOOKUP(J5020,'dataset mapping'!$A$4:$E$69,5,0)</f>
        <v>unit</v>
      </c>
      <c r="E5020" t="str">
        <f>VLOOKUP(J5020,'dataset mapping'!$A$4:$E$69,4,0)</f>
        <v>RER</v>
      </c>
      <c r="F5020" t="s">
        <v>86</v>
      </c>
      <c r="G5020" t="str">
        <f>VLOOKUP(J5020,'dataset mapping'!$A$4:$E$69,3,0)</f>
        <v>heat and power co-generation unit, 160kW electrical, components for electricity only</v>
      </c>
      <c r="H5020" t="s">
        <v>88</v>
      </c>
      <c r="J5020" t="s">
        <v>146</v>
      </c>
      <c r="K5020" t="str">
        <f>B4979</f>
        <v>heat, residential, by combustion of hydrogen using CHP, allocated by exergy, transported by train, produced by Electrolysis, PEM using water and electricity from Solar PV (IT)</v>
      </c>
      <c r="L5020">
        <f t="shared" si="178"/>
        <v>2</v>
      </c>
      <c r="M5020">
        <f t="shared" si="179"/>
        <v>-20.48373734782199</v>
      </c>
      <c r="N5020">
        <v>1.05</v>
      </c>
      <c r="O5020" s="15">
        <v>1.2</v>
      </c>
      <c r="P5020">
        <v>1</v>
      </c>
      <c r="Q5020">
        <v>1.01</v>
      </c>
      <c r="R5020">
        <v>1.2</v>
      </c>
      <c r="S5020">
        <v>1.2</v>
      </c>
      <c r="T5020">
        <v>3</v>
      </c>
      <c r="U5020">
        <f t="shared" si="180"/>
        <v>0.57209088006881903</v>
      </c>
    </row>
    <row r="5021" spans="1:22" x14ac:dyDescent="0.2">
      <c r="A5021" t="str">
        <f>VLOOKUP(J5021,'dataset mapping'!$A$4:$E$69,2,0)</f>
        <v>heat and power co-generation unit construction, 160kW electrical, components for heat only</v>
      </c>
      <c r="B5021" s="52">
        <f>(1/(B5008*B5012*B5011*3.6))*B5013</f>
        <v>1.270649883812899E-9</v>
      </c>
      <c r="C5021" t="str">
        <f>VLOOKUP(J5021,'dataset mapping'!$A$4:$E$69,5,0)</f>
        <v>unit</v>
      </c>
      <c r="E5021" t="str">
        <f>VLOOKUP(J5021,'dataset mapping'!$A$4:$E$69,4,0)</f>
        <v>RER</v>
      </c>
      <c r="F5021" t="s">
        <v>86</v>
      </c>
      <c r="G5021" t="str">
        <f>VLOOKUP(J5021,'dataset mapping'!$A$4:$E$69,3,0)</f>
        <v>heat and power co-generation unit, 160kW electrical, components for heat only</v>
      </c>
      <c r="H5021" t="s">
        <v>88</v>
      </c>
      <c r="J5021" t="s">
        <v>147</v>
      </c>
      <c r="K5021" t="str">
        <f>B4979</f>
        <v>heat, residential, by combustion of hydrogen using CHP, allocated by exergy, transported by train, produced by Electrolysis, PEM using water and electricity from Solar PV (IT)</v>
      </c>
      <c r="L5021">
        <f t="shared" si="178"/>
        <v>2</v>
      </c>
      <c r="M5021">
        <f t="shared" si="179"/>
        <v>-20.48373734782199</v>
      </c>
      <c r="N5021">
        <v>1.05</v>
      </c>
      <c r="O5021" s="15">
        <v>1.2</v>
      </c>
      <c r="P5021">
        <v>1</v>
      </c>
      <c r="Q5021">
        <v>1.01</v>
      </c>
      <c r="R5021">
        <v>1.2</v>
      </c>
      <c r="S5021">
        <v>1.2</v>
      </c>
      <c r="T5021">
        <v>3</v>
      </c>
      <c r="U5021">
        <f t="shared" si="180"/>
        <v>0.57209088006881903</v>
      </c>
    </row>
    <row r="5022" spans="1:22" x14ac:dyDescent="0.2">
      <c r="A5022" t="s">
        <v>156</v>
      </c>
      <c r="B5022" s="52">
        <f>0.00000011366*B5013</f>
        <v>1.461672399554354E-8</v>
      </c>
      <c r="C5022" t="s">
        <v>56</v>
      </c>
      <c r="E5022" t="s">
        <v>90</v>
      </c>
      <c r="F5022" t="s">
        <v>86</v>
      </c>
      <c r="G5022" t="s">
        <v>154</v>
      </c>
      <c r="H5022" t="s">
        <v>155</v>
      </c>
      <c r="K5022" t="str">
        <f>B4979</f>
        <v>heat, residential, by combustion of hydrogen using CHP, allocated by exergy, transported by train, produced by Electrolysis, PEM using water and electricity from Solar PV (IT)</v>
      </c>
      <c r="L5022">
        <f t="shared" si="178"/>
        <v>2</v>
      </c>
      <c r="M5022">
        <f t="shared" si="179"/>
        <v>-18.041099484645969</v>
      </c>
      <c r="N5022">
        <v>1.05</v>
      </c>
      <c r="O5022" s="15">
        <v>1.2</v>
      </c>
      <c r="P5022">
        <v>1</v>
      </c>
      <c r="Q5022">
        <v>1.01</v>
      </c>
      <c r="R5022">
        <v>1.2</v>
      </c>
      <c r="S5022">
        <v>1.2</v>
      </c>
      <c r="T5022">
        <v>1.05</v>
      </c>
      <c r="U5022">
        <f t="shared" si="180"/>
        <v>0.16169679924070957</v>
      </c>
    </row>
    <row r="5023" spans="1:22" x14ac:dyDescent="0.2">
      <c r="A5023" t="s">
        <v>157</v>
      </c>
      <c r="B5023" s="52">
        <f>0.00000011366*B5013*-1</f>
        <v>-1.461672399554354E-8</v>
      </c>
      <c r="C5023" t="s">
        <v>56</v>
      </c>
      <c r="E5023" t="s">
        <v>64</v>
      </c>
      <c r="F5023" t="s">
        <v>86</v>
      </c>
      <c r="G5023" t="s">
        <v>158</v>
      </c>
      <c r="H5023" t="s">
        <v>155</v>
      </c>
      <c r="K5023" t="str">
        <f>B4979</f>
        <v>heat, residential, by combustion of hydrogen using CHP, allocated by exergy, transported by train, produced by Electrolysis, PEM using water and electricity from Solar PV (IT)</v>
      </c>
      <c r="L5023">
        <v>2</v>
      </c>
      <c r="M5023">
        <f>IF(L5023=2,LN(B5023*-1),"")</f>
        <v>-18.041099484645969</v>
      </c>
      <c r="N5023">
        <v>1.05</v>
      </c>
      <c r="O5023" s="15">
        <v>1.2</v>
      </c>
      <c r="P5023">
        <v>1</v>
      </c>
      <c r="Q5023">
        <v>1.01</v>
      </c>
      <c r="R5023">
        <v>1.2</v>
      </c>
      <c r="S5023">
        <v>1.2</v>
      </c>
      <c r="T5023">
        <v>3</v>
      </c>
      <c r="U5023">
        <f>LN(SQRT(EXP(
SQRT(
+POWER(LN(N5023),2)
+POWER(LN(O5023),2)
+POWER(LN(P5023),2)
+POWER(LN(Q5023),2)
+POWER(LN(R5023),2)
+POWER(LN(S5023),2)
+POWER(LN(T5023),2)
)
)))</f>
        <v>0.57209088006881903</v>
      </c>
      <c r="V5023" t="b">
        <v>1</v>
      </c>
    </row>
    <row r="5024" spans="1:22" x14ac:dyDescent="0.2">
      <c r="A5024" s="45" t="str">
        <f>"hydrogen supply, transported by "&amp;B4993&amp;", produced by "&amp;B4997&amp;" using "&amp;B4998&amp;" from "&amp;B4999</f>
        <v>hydrogen supply, transported by train, produced by Electrolysis, PEM using water and electricity from Solar PV (IT)</v>
      </c>
      <c r="B5024" s="53">
        <f>(B5018/B5002)/B5001*B5013</f>
        <v>2.56995248347223E-3</v>
      </c>
      <c r="C5024" t="s">
        <v>56</v>
      </c>
      <c r="E5024" t="s">
        <v>64</v>
      </c>
      <c r="F5024" t="s">
        <v>86</v>
      </c>
      <c r="G5024" t="str">
        <f>"hydrogen, gaseous, from "&amp;B4993</f>
        <v>hydrogen, gaseous, from train</v>
      </c>
      <c r="H5024" t="s">
        <v>76</v>
      </c>
      <c r="I5024" t="s">
        <v>1054</v>
      </c>
      <c r="J5024" t="s">
        <v>637</v>
      </c>
      <c r="K5024" t="str">
        <f>B4979</f>
        <v>heat, residential, by combustion of hydrogen using CHP, allocated by exergy, transported by train, produced by Electrolysis, PEM using water and electricity from Solar PV (IT)</v>
      </c>
      <c r="L5024">
        <f t="shared" si="178"/>
        <v>2</v>
      </c>
      <c r="M5024">
        <f t="shared" si="179"/>
        <v>-5.9638678691672418</v>
      </c>
      <c r="N5024">
        <v>1.05</v>
      </c>
      <c r="O5024" s="15">
        <v>1.2</v>
      </c>
      <c r="P5024">
        <v>1</v>
      </c>
      <c r="Q5024">
        <v>1.01</v>
      </c>
      <c r="R5024">
        <v>1.2</v>
      </c>
      <c r="S5024">
        <v>1.2</v>
      </c>
      <c r="T5024">
        <v>1.05</v>
      </c>
      <c r="U5024">
        <f t="shared" si="180"/>
        <v>0.16169679924070957</v>
      </c>
    </row>
    <row r="5025" spans="1:21" x14ac:dyDescent="0.2">
      <c r="A5025" t="str">
        <f>VLOOKUP(J5025,'dataset mapping'!$A$4:$E$69,2,0)</f>
        <v>market for transport, freight train</v>
      </c>
      <c r="B5025" s="45">
        <f>SUM(B5024:B5024)/1000*B4994</f>
        <v>4.368919221902791E-3</v>
      </c>
      <c r="C5025" t="str">
        <f>VLOOKUP(J5025,'dataset mapping'!$A$4:$E$69,5,0)</f>
        <v>ton kilometer</v>
      </c>
      <c r="E5025" t="str">
        <f>VLOOKUP(J5025,'dataset mapping'!$A$4:$E$69,4,0)</f>
        <v>CH</v>
      </c>
      <c r="F5025" t="s">
        <v>86</v>
      </c>
      <c r="G5025" t="str">
        <f>VLOOKUP(J5025,'dataset mapping'!$A$4:$E$69,3,0)</f>
        <v>transport, freight train</v>
      </c>
      <c r="H5025" t="s">
        <v>88</v>
      </c>
      <c r="I5025" t="s">
        <v>1052</v>
      </c>
      <c r="J5025" t="s">
        <v>295</v>
      </c>
      <c r="K5025" t="str">
        <f>B4979</f>
        <v>heat, residential, by combustion of hydrogen using CHP, allocated by exergy, transported by train, produced by Electrolysis, PEM using water and electricity from Solar PV (IT)</v>
      </c>
      <c r="L5025">
        <f t="shared" si="178"/>
        <v>2</v>
      </c>
      <c r="M5025">
        <f t="shared" si="179"/>
        <v>-5.4332396181050715</v>
      </c>
      <c r="N5025">
        <v>1.05</v>
      </c>
      <c r="O5025" s="15">
        <v>1.2</v>
      </c>
      <c r="P5025">
        <v>1</v>
      </c>
      <c r="Q5025">
        <v>1.01</v>
      </c>
      <c r="R5025">
        <v>1.2</v>
      </c>
      <c r="S5025">
        <v>1.2</v>
      </c>
      <c r="T5025">
        <v>2</v>
      </c>
      <c r="U5025">
        <f t="shared" si="180"/>
        <v>0.38165951885721477</v>
      </c>
    </row>
    <row r="5026" spans="1:21" x14ac:dyDescent="0.2">
      <c r="A5026" t="str">
        <f>VLOOKUP(J5026,'dataset mapping'!$A$4:$E$69,2,0)</f>
        <v>high pressure hydrogen storage tank</v>
      </c>
      <c r="B5026" s="52">
        <f>((B5014/10)/(B5012*B5008*20*3.6))*IF(B5013&lt;&gt;0,B5013,1)</f>
        <v>2.7529546486023421E-7</v>
      </c>
      <c r="C5026" t="str">
        <f>VLOOKUP(J5026,'dataset mapping'!$A$4:$E$69,5,0)</f>
        <v>kilogram</v>
      </c>
      <c r="E5026" t="str">
        <f>VLOOKUP(J5026,'dataset mapping'!$A$4:$E$69,4,0)</f>
        <v>GLO</v>
      </c>
      <c r="F5026" t="s">
        <v>86</v>
      </c>
      <c r="G5026" t="str">
        <f>VLOOKUP(J5026,'dataset mapping'!$A$4:$E$69,3,0)</f>
        <v>high pressure hydrogen storage tank</v>
      </c>
      <c r="H5026" t="s">
        <v>88</v>
      </c>
      <c r="I5026" t="s">
        <v>279</v>
      </c>
      <c r="J5026" t="s">
        <v>229</v>
      </c>
      <c r="K5026" t="str">
        <f>B4979</f>
        <v>heat, residential, by combustion of hydrogen using CHP, allocated by exergy, transported by train, produced by Electrolysis, PEM using water and electricity from Solar PV (IT)</v>
      </c>
      <c r="L5026">
        <f t="shared" si="178"/>
        <v>2</v>
      </c>
      <c r="M5026">
        <f t="shared" si="179"/>
        <v>-15.105420898379837</v>
      </c>
      <c r="N5026">
        <v>1.05</v>
      </c>
      <c r="O5026" s="15">
        <v>1.2</v>
      </c>
      <c r="P5026">
        <v>1</v>
      </c>
      <c r="Q5026">
        <v>1.01</v>
      </c>
      <c r="R5026">
        <v>1.2</v>
      </c>
      <c r="S5026">
        <v>1.2</v>
      </c>
      <c r="T5026">
        <v>3</v>
      </c>
      <c r="U5026">
        <f t="shared" si="180"/>
        <v>0.57209088006881903</v>
      </c>
    </row>
    <row r="5027" spans="1:21" x14ac:dyDescent="0.2">
      <c r="A5027" t="s">
        <v>134</v>
      </c>
      <c r="B5027" s="45">
        <f>B5024*9</f>
        <v>2.3129572351250072E-2</v>
      </c>
      <c r="C5027" t="s">
        <v>56</v>
      </c>
      <c r="D5027" t="s">
        <v>100</v>
      </c>
      <c r="F5027" t="s">
        <v>99</v>
      </c>
      <c r="H5027" t="s">
        <v>131</v>
      </c>
      <c r="I5027" t="s">
        <v>1058</v>
      </c>
      <c r="K5027" t="str">
        <f>B4979</f>
        <v>heat, residential, by combustion of hydrogen using CHP, allocated by exergy, transported by train, produced by Electrolysis, PEM using water and electricity from Solar PV (IT)</v>
      </c>
      <c r="L5027">
        <f t="shared" si="178"/>
        <v>2</v>
      </c>
      <c r="M5027">
        <f t="shared" si="179"/>
        <v>-3.7666432918310226</v>
      </c>
      <c r="N5027">
        <v>1.05</v>
      </c>
      <c r="O5027" s="15">
        <v>1.2</v>
      </c>
      <c r="P5027">
        <v>1</v>
      </c>
      <c r="Q5027">
        <v>1.01</v>
      </c>
      <c r="R5027">
        <v>1.2</v>
      </c>
      <c r="S5027">
        <v>1.2</v>
      </c>
      <c r="T5027">
        <v>1.05</v>
      </c>
      <c r="U5027">
        <f t="shared" si="180"/>
        <v>0.16169679924070957</v>
      </c>
    </row>
    <row r="5028" spans="1:21" x14ac:dyDescent="0.2">
      <c r="A5028" t="s">
        <v>135</v>
      </c>
      <c r="B5028" s="45">
        <f>912.5/1000000*B5025</f>
        <v>3.9866387899862971E-6</v>
      </c>
      <c r="C5028" t="s">
        <v>56</v>
      </c>
      <c r="D5028" t="s">
        <v>100</v>
      </c>
      <c r="F5028" t="s">
        <v>99</v>
      </c>
      <c r="H5028" t="s">
        <v>131</v>
      </c>
      <c r="I5028" t="s">
        <v>1217</v>
      </c>
      <c r="K5028" t="str">
        <f>B4979</f>
        <v>heat, residential, by combustion of hydrogen using CHP, allocated by exergy, transported by train, produced by Electrolysis, PEM using water and electricity from Solar PV (IT)</v>
      </c>
      <c r="L5028">
        <f t="shared" si="178"/>
        <v>2</v>
      </c>
      <c r="M5028">
        <f t="shared" si="179"/>
        <v>-12.432562090612699</v>
      </c>
      <c r="N5028">
        <v>1.05</v>
      </c>
      <c r="O5028" s="15">
        <v>1.2</v>
      </c>
      <c r="P5028">
        <v>1</v>
      </c>
      <c r="Q5028">
        <v>1.01</v>
      </c>
      <c r="R5028">
        <v>1.2</v>
      </c>
      <c r="S5028">
        <v>1.2</v>
      </c>
      <c r="T5028">
        <v>1.5</v>
      </c>
      <c r="U5028">
        <f t="shared" si="180"/>
        <v>0.25816898211842121</v>
      </c>
    </row>
    <row r="5030" spans="1:21" x14ac:dyDescent="0.2">
      <c r="A5030" s="2" t="s">
        <v>50</v>
      </c>
      <c r="B5030" s="44" t="str">
        <f>IF(B5036="megajoule","heat","electricity")&amp;", residential, by "&amp;B5041&amp;" of "&amp;B5040&amp;" using "&amp;B5042&amp;IF(B5043&lt;&gt;0,", allocated by "&amp;B5043,"")&amp;", transported by "&amp;B5044&amp;", produced by "&amp;B5048&amp;" using "&amp;B5049&amp;" from "&amp;B5050</f>
        <v>heat, residential, by conversion of hydrogen using fuel cell, PEM, allocated by exergy, transported by train, produced by Electrolysis, PEM using water and electricity from Solar PV (IT)</v>
      </c>
    </row>
    <row r="5031" spans="1:21" x14ac:dyDescent="0.2">
      <c r="A5031" t="s">
        <v>51</v>
      </c>
      <c r="B5031" s="45" t="str">
        <f>"This dataset represents the supply of 1 "&amp;IF(B5036="megajoule","megajoule of heat","kilowatt hour of electricity")&amp;" in a residence, by "&amp;B5040&amp;" "&amp;B5041&amp;" in a "&amp;B5042&amp;". "&amp;" The hydrogen is transported by "&amp;B5044&amp;" over "&amp;B5045&amp;" km from regional storage. "&amp;" The "&amp;B5040&amp;" is produced by  "&amp;B5048&amp;", with "&amp;B5049&amp;" from "&amp;B5050&amp;" as feedstock. "&amp;A5052&amp;": "&amp;(B5052*100)&amp;"%. "&amp;A5053&amp;": "&amp;B5053&amp;". "&amp;A5054&amp;": "&amp;B5054&amp;". "&amp;A5055&amp;": "&amp;(B5055*100)&amp;"%. "&amp;A5056&amp;": "&amp;(B5056*100)&amp;"%. "&amp;A5057&amp;": "&amp;(B5057*100)&amp;"%. "&amp;A5058&amp;": "&amp;B5058&amp;". "&amp;A5059&amp;": "&amp;B5059&amp;". "&amp;A5060&amp;": "&amp;(B5060*100)&amp;"%. "&amp;A5061&amp;": "&amp;B5061&amp;". "&amp;A5062&amp;": "&amp;B5062&amp;". "&amp;A5063&amp;": "&amp;B5063&amp;". "&amp;A5064&amp;": "&amp;B5064&amp;".  For more information, refer to: "&amp;B5032</f>
        <v>This dataset represents the supply of 1 megajoule of heat in a residence, by hydrogen conversion in a fuel cell, PEM.  The hydrogen is transported by train over 1700 km from regional storage.  The hydrogen is produced by  Electrolysis, PEM,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5032" spans="1:21" x14ac:dyDescent="0.2">
      <c r="A5032" t="s">
        <v>63</v>
      </c>
      <c r="B5032" s="45" t="s">
        <v>1223</v>
      </c>
    </row>
    <row r="5033" spans="1:21" x14ac:dyDescent="0.2">
      <c r="A5033" t="s">
        <v>52</v>
      </c>
      <c r="B5033" s="45" t="s">
        <v>64</v>
      </c>
    </row>
    <row r="5034" spans="1:21" x14ac:dyDescent="0.2">
      <c r="A5034" t="s">
        <v>48</v>
      </c>
      <c r="B5034" s="45">
        <v>63</v>
      </c>
    </row>
    <row r="5035" spans="1:21" x14ac:dyDescent="0.2">
      <c r="A5035" t="s">
        <v>54</v>
      </c>
      <c r="B5035" s="45" t="str">
        <f>INDEX(overview!$B$4:$R$338,MATCH('hydrogen - electrolysis'!B5034,overview!$A$4:$A$338,0),MATCH('hydrogen - electrolysis'!A5035,overview!$B$3:$R$3,0))</f>
        <v>heat, from residential heating system</v>
      </c>
    </row>
    <row r="5036" spans="1:21" x14ac:dyDescent="0.2">
      <c r="A5036" t="s">
        <v>55</v>
      </c>
      <c r="B5036" s="45" t="str">
        <f>INDEX(overview!$B$4:$R$338,MATCH('hydrogen - electrolysis'!B5034,overview!$A$4:$A$338,0),MATCH('hydrogen - electrolysis'!A5036,overview!$B$3:$R$3,0))</f>
        <v>megajoule</v>
      </c>
    </row>
    <row r="5037" spans="1:21" x14ac:dyDescent="0.2">
      <c r="A5037" t="s">
        <v>0</v>
      </c>
      <c r="B5037" s="45" t="str">
        <f>INDEX(overview!$B$4:$R$338,MATCH('hydrogen - electrolysis'!B5034,overview!$A$4:$A$338,0),MATCH('hydrogen - electrolysis'!A5037,overview!$B$3:$R$3,0))</f>
        <v>Switzerland</v>
      </c>
    </row>
    <row r="5038" spans="1:21" x14ac:dyDescent="0.2">
      <c r="A5038" t="s">
        <v>1</v>
      </c>
      <c r="B5038" s="45">
        <f>INDEX(overview!$B$4:$R$338,MATCH('hydrogen - electrolysis'!B5034,overview!$A$4:$A$338,0),MATCH('hydrogen - electrolysis'!A5038,overview!$B$3:$R$3,0))</f>
        <v>2020</v>
      </c>
    </row>
    <row r="5039" spans="1:21" x14ac:dyDescent="0.2">
      <c r="A5039" t="s">
        <v>2</v>
      </c>
      <c r="B5039" s="45" t="str">
        <f>INDEX(overview!$B$4:$R$338,MATCH('hydrogen - electrolysis'!B5034,overview!$A$4:$A$338,0),MATCH('hydrogen - electrolysis'!A5039,overview!$B$3:$R$3,0))</f>
        <v>1 MJ heat</v>
      </c>
    </row>
    <row r="5040" spans="1:21" x14ac:dyDescent="0.2">
      <c r="A5040" t="s">
        <v>5</v>
      </c>
      <c r="B5040" s="45" t="str">
        <f>INDEX(overview!$B$4:$R$338,MATCH('hydrogen - electrolysis'!B5034,overview!$A$4:$A$338,0),MATCH('hydrogen - electrolysis'!A5040,overview!$B$3:$R$3,0))</f>
        <v>hydrogen</v>
      </c>
    </row>
    <row r="5041" spans="1:2" x14ac:dyDescent="0.2">
      <c r="A5041" t="s">
        <v>3</v>
      </c>
      <c r="B5041" s="45" t="str">
        <f>INDEX(overview!$B$4:$R$338,MATCH('hydrogen - electrolysis'!B5034,overview!$A$4:$A$338,0),MATCH('hydrogen - electrolysis'!A5041,overview!$B$3:$R$3,0))</f>
        <v>conversion</v>
      </c>
    </row>
    <row r="5042" spans="1:2" x14ac:dyDescent="0.2">
      <c r="A5042" t="s">
        <v>6</v>
      </c>
      <c r="B5042" s="45" t="str">
        <f>INDEX(overview!$B$4:$R$338,MATCH('hydrogen - electrolysis'!B5034,overview!$A$4:$A$338,0),MATCH('hydrogen - electrolysis'!A5042,overview!$B$3:$R$3,0))</f>
        <v>fuel cell, PEM</v>
      </c>
    </row>
    <row r="5043" spans="1:2" x14ac:dyDescent="0.2">
      <c r="A5043" t="s">
        <v>39</v>
      </c>
      <c r="B5043" s="45" t="str">
        <f>INDEX(overview!$B$4:$R$338,MATCH('hydrogen - electrolysis'!B5034,overview!$A$4:$A$338,0),MATCH('hydrogen - electrolysis'!A5043,overview!$B$3:$R$3,0))</f>
        <v>exergy</v>
      </c>
    </row>
    <row r="5044" spans="1:2" x14ac:dyDescent="0.2">
      <c r="A5044" t="s">
        <v>4</v>
      </c>
      <c r="B5044" s="45" t="str">
        <f>INDEX(overview!$B$4:$R$338,MATCH('hydrogen - electrolysis'!B5034,overview!$A$4:$A$338,0),MATCH('hydrogen - electrolysis'!A5044,overview!$B$3:$R$3,0))</f>
        <v>train</v>
      </c>
    </row>
    <row r="5045" spans="1:2" x14ac:dyDescent="0.2">
      <c r="A5045" t="s">
        <v>38</v>
      </c>
      <c r="B5045" s="45">
        <f>INDEX(overview!$B$4:$R$338,MATCH('hydrogen - electrolysis'!B5034,overview!$A$4:$A$338,0),MATCH('hydrogen - electrolysis'!A5045,overview!$B$3:$R$3,0))</f>
        <v>1700</v>
      </c>
    </row>
    <row r="5046" spans="1:2" x14ac:dyDescent="0.2">
      <c r="A5046" t="s">
        <v>12</v>
      </c>
      <c r="B5046" s="45" t="str">
        <f>INDEX(overview!$B$4:$R$338,MATCH('hydrogen - electrolysis'!B5034,overview!$A$4:$A$338,0),MATCH('hydrogen - electrolysis'!A5046,overview!$B$3:$R$3,0))</f>
        <v>Pressure vessel for stationary storage</v>
      </c>
    </row>
    <row r="5047" spans="1:2" x14ac:dyDescent="0.2">
      <c r="A5047" t="s">
        <v>34</v>
      </c>
      <c r="B5047" s="45">
        <f>INDEX(overview!$B$4:$R$338,MATCH('hydrogen - electrolysis'!B5034,overview!$A$4:$A$338,0),MATCH('hydrogen - electrolysis'!A5047,overview!$B$3:$R$3,0))</f>
        <v>0</v>
      </c>
    </row>
    <row r="5048" spans="1:2" x14ac:dyDescent="0.2">
      <c r="A5048" t="s">
        <v>15</v>
      </c>
      <c r="B5048" s="45" t="str">
        <f>INDEX(overview!$B$4:$R$338,MATCH('hydrogen - electrolysis'!B5034,overview!$A$4:$A$338,0),MATCH('hydrogen - electrolysis'!A5048,overview!$B$3:$R$3,0))</f>
        <v>Electrolysis, PEM</v>
      </c>
    </row>
    <row r="5049" spans="1:2" x14ac:dyDescent="0.2">
      <c r="A5049" t="s">
        <v>14</v>
      </c>
      <c r="B5049" s="45" t="str">
        <f>INDEX(overview!$B$4:$R$338,MATCH('hydrogen - electrolysis'!B5034,overview!$A$4:$A$338,0),MATCH('hydrogen - electrolysis'!A5049,overview!$B$3:$R$3,0))</f>
        <v>water and electricity</v>
      </c>
    </row>
    <row r="5050" spans="1:2" x14ac:dyDescent="0.2">
      <c r="A5050" t="s">
        <v>26</v>
      </c>
      <c r="B5050" s="45" t="str">
        <f>INDEX(overview!$B$4:$R$338,MATCH('hydrogen - electrolysis'!B5034,overview!$A$4:$A$338,0),MATCH('hydrogen - electrolysis'!A5050,overview!$B$3:$R$3,0))</f>
        <v>Solar PV (IT)</v>
      </c>
    </row>
    <row r="5051" spans="1:2" x14ac:dyDescent="0.2">
      <c r="A5051" t="s">
        <v>29</v>
      </c>
      <c r="B5051" s="45">
        <f>INDEX(overview!$B$4:$R$338,MATCH('hydrogen - electrolysis'!B5034,overview!$A$4:$A$338,0),MATCH('hydrogen - electrolysis'!A5051,overview!$B$3:$R$3,0))</f>
        <v>0</v>
      </c>
    </row>
    <row r="5052" spans="1:2" x14ac:dyDescent="0.2">
      <c r="A5052" t="str">
        <f>IF(B5036="megajoule","Heat","Electricity")&amp;" conversion efficiency [% LHV input]"</f>
        <v>Heat conversion efficiency [% LHV input]</v>
      </c>
      <c r="B5052" s="46">
        <f>INDEX(parameters!$D$4:$N$20,MATCH('hydrogen - electrolysis'!B5040&amp;'hydrogen - electrolysis'!B5042,parameters!$A$4:$A$20,0),MATCH('hydrogen - electrolysis'!A5052,parameters!$D$3:$N$3,0))</f>
        <v>0.5</v>
      </c>
    </row>
    <row r="5053" spans="1:2" x14ac:dyDescent="0.2">
      <c r="A5053" t="str">
        <f>IF(B5036="megajoule","LHV [MJ/kg]","LHV [kWh/kg]")</f>
        <v>LHV [MJ/kg]</v>
      </c>
      <c r="B5053" s="47">
        <f>INDEX(parameters!$D$4:$N$20,MATCH('hydrogen - electrolysis'!B5040&amp;'hydrogen - electrolysis'!B5042,parameters!$A$4:$A$20,0),MATCH('hydrogen - electrolysis'!A5053,parameters!$D$3:$N$3,0))</f>
        <v>120</v>
      </c>
    </row>
    <row r="5054" spans="1:2" x14ac:dyDescent="0.2">
      <c r="A5054" t="s">
        <v>41</v>
      </c>
      <c r="B5054" s="48">
        <f>INDEX(parameters!$D$4:$N$20,MATCH('hydrogen - electrolysis'!B5040&amp;'hydrogen - electrolysis'!B5042,parameters!$A$4:$A$20,0),MATCH('hydrogen - electrolysis'!A5054,parameters!$D$3:$N$3,0))</f>
        <v>2.6666666666666665E-2</v>
      </c>
    </row>
    <row r="5055" spans="1:2" x14ac:dyDescent="0.2">
      <c r="A5055" t="s">
        <v>45</v>
      </c>
      <c r="B5055" s="46">
        <f>INDEX(parameters!$D$4:$N$20,MATCH('hydrogen - electrolysis'!B5040&amp;'hydrogen - electrolysis'!B5042,parameters!$A$4:$A$20,0),MATCH('hydrogen - electrolysis'!A5055,parameters!$D$3:$N$3,0))</f>
        <v>0</v>
      </c>
    </row>
    <row r="5056" spans="1:2" x14ac:dyDescent="0.2">
      <c r="A5056" t="s">
        <v>46</v>
      </c>
      <c r="B5056" s="46">
        <f>INDEX(parameters!$D$4:$N$20,MATCH('hydrogen - electrolysis'!B5040&amp;'hydrogen - electrolysis'!B5042,parameters!$A$4:$A$20,0),MATCH('hydrogen - electrolysis'!A5056,parameters!$D$3:$N$3,0))</f>
        <v>1.4999999999999999E-2</v>
      </c>
    </row>
    <row r="5057" spans="1:22" x14ac:dyDescent="0.2">
      <c r="A5057" t="s">
        <v>43</v>
      </c>
      <c r="B5057" s="46">
        <f>INDEX(parameters!$D$4:$N$20,MATCH('hydrogen - electrolysis'!B5040&amp;'hydrogen - electrolysis'!B5042,parameters!$A$4:$A$20,0),MATCH('hydrogen - electrolysis'!A5057,parameters!$D$3:$N$3,0))</f>
        <v>0</v>
      </c>
    </row>
    <row r="5058" spans="1:22" x14ac:dyDescent="0.2">
      <c r="A5058" t="s">
        <v>44</v>
      </c>
      <c r="B5058" s="46">
        <f>INDEX(parameters!$D$4:$N$20,MATCH('hydrogen - electrolysis'!B5040&amp;'hydrogen - electrolysis'!B5042,parameters!$A$4:$A$20,0),MATCH('hydrogen - electrolysis'!A5058,parameters!$D$3:$N$3,0))</f>
        <v>0</v>
      </c>
    </row>
    <row r="5059" spans="1:22" x14ac:dyDescent="0.2">
      <c r="A5059" t="s">
        <v>634</v>
      </c>
      <c r="B5059" s="51">
        <f>INDEX(parameters!$D$4:$Y$20,MATCH('hydrogen - electrolysis'!B5040&amp;'hydrogen - electrolysis'!B5042,parameters!$A$4:$A$20,0),MATCH('hydrogen - electrolysis'!A5059,parameters!$D$3:$Y$3,0))</f>
        <v>1.8947368421052633</v>
      </c>
    </row>
    <row r="5060" spans="1:22" x14ac:dyDescent="0.2">
      <c r="A5060" t="s">
        <v>82</v>
      </c>
      <c r="B5060" s="46">
        <f>IF(B5051&lt;&gt;0,VLOOKUP(B5051,parameters!A3230:B3232,2,0),0)</f>
        <v>0</v>
      </c>
    </row>
    <row r="5061" spans="1:22" x14ac:dyDescent="0.2">
      <c r="A5061" t="s">
        <v>548</v>
      </c>
      <c r="B5061" s="50">
        <f>INDEX(parameters!$D$4:$P$20,MATCH(B5040&amp;B5042,parameters!$A$4:$A$20,0),MATCH(A5061,parameters!$D$3:$P$3,0))</f>
        <v>0.8</v>
      </c>
    </row>
    <row r="5062" spans="1:22" x14ac:dyDescent="0.2">
      <c r="A5062" t="s">
        <v>547</v>
      </c>
      <c r="B5062" s="51">
        <f>INDEX(parameters!$D$4:$P$20,MATCH(B5040&amp;B5042,parameters!$A$4:$A$20,0),MATCH(A5062,parameters!$D$3:$P$3,0))</f>
        <v>4.8780487804878048</v>
      </c>
    </row>
    <row r="5063" spans="1:22" x14ac:dyDescent="0.2">
      <c r="A5063" t="s">
        <v>630</v>
      </c>
      <c r="B5063" s="51">
        <f>INDEX(parameters!$D$4:$T$20,MATCH(B5040&amp;B5042,parameters!$A$4:$A$20,0),MATCH(A5063,parameters!$D$3:$T$3,0))</f>
        <v>4100</v>
      </c>
    </row>
    <row r="5064" spans="1:22" x14ac:dyDescent="0.2">
      <c r="A5064" t="s">
        <v>1005</v>
      </c>
      <c r="B5064" s="50">
        <f>IF(B5036="megajoule",SUMIFS(allocation!$I$4:$I$30,allocation!$B$4:$B$30,B5042,allocation!$C$4:$C$30,B5043),SUMIFS(allocation!$J$4:$J$30,allocation!$B$4:$B$30,B5042,allocation!$C$4:$C$30,B5043))</f>
        <v>0.13933980798974457</v>
      </c>
    </row>
    <row r="5065" spans="1:22" x14ac:dyDescent="0.2">
      <c r="A5065" t="s">
        <v>1050</v>
      </c>
      <c r="B5065" s="51">
        <f>INDEX(parameters!$D$4:$AB$20,MATCH(B5040&amp;B5042,parameters!$A$4:$A$20,0),MATCH(A5065,parameters!$D$3:$AB$3,0))</f>
        <v>10.221606648199446</v>
      </c>
    </row>
    <row r="5067" spans="1:22" x14ac:dyDescent="0.2">
      <c r="A5067" s="3" t="s">
        <v>57</v>
      </c>
    </row>
    <row r="5068" spans="1:22" x14ac:dyDescent="0.2">
      <c r="A5068" s="2" t="s">
        <v>58</v>
      </c>
      <c r="B5068" s="44" t="s">
        <v>59</v>
      </c>
      <c r="C5068" s="2" t="s">
        <v>55</v>
      </c>
      <c r="D5068" s="2" t="s">
        <v>60</v>
      </c>
      <c r="E5068" s="2" t="s">
        <v>52</v>
      </c>
      <c r="F5068" s="2" t="s">
        <v>61</v>
      </c>
      <c r="G5068" s="2" t="s">
        <v>54</v>
      </c>
      <c r="H5068" s="2" t="s">
        <v>87</v>
      </c>
      <c r="I5068" s="2" t="s">
        <v>51</v>
      </c>
      <c r="J5068" s="2" t="s">
        <v>138</v>
      </c>
      <c r="K5068" s="2" t="s">
        <v>136</v>
      </c>
      <c r="L5068" s="2" t="s">
        <v>221</v>
      </c>
      <c r="M5068" s="2" t="s">
        <v>379</v>
      </c>
      <c r="N5068" s="2" t="s">
        <v>1059</v>
      </c>
      <c r="O5068" s="2" t="s">
        <v>1060</v>
      </c>
      <c r="P5068" s="2" t="s">
        <v>1061</v>
      </c>
      <c r="Q5068" s="2" t="s">
        <v>1062</v>
      </c>
      <c r="R5068" s="2" t="s">
        <v>1063</v>
      </c>
      <c r="S5068" s="2" t="s">
        <v>1064</v>
      </c>
      <c r="T5068" s="2" t="s">
        <v>1065</v>
      </c>
      <c r="U5068" s="2" t="s">
        <v>380</v>
      </c>
      <c r="V5068" s="2" t="s">
        <v>1128</v>
      </c>
    </row>
    <row r="5069" spans="1:22" x14ac:dyDescent="0.2">
      <c r="A5069" t="str">
        <f>B5030</f>
        <v>heat, residential, by conversion of hydrogen using fuel cell, PEM, allocated by exergy, transported by train, produced by Electrolysis, PEM using water and electricity from Solar PV (IT)</v>
      </c>
      <c r="B5069" s="45">
        <v>1</v>
      </c>
      <c r="C5069" t="str">
        <f>B5036</f>
        <v>megajoule</v>
      </c>
      <c r="E5069" t="str">
        <f>B5033</f>
        <v>CH</v>
      </c>
      <c r="F5069" t="s">
        <v>62</v>
      </c>
      <c r="G5069" t="str">
        <f>B5035</f>
        <v>heat, from residential heating system</v>
      </c>
      <c r="K5069" t="str">
        <f>B5030</f>
        <v>heat, residential, by conversion of hydrogen using fuel cell, PEM, allocated by exergy, transported by train, produced by Electrolysis, PEM using water and electricity from Solar PV (IT)</v>
      </c>
    </row>
    <row r="5070" spans="1:22" x14ac:dyDescent="0.2">
      <c r="A5070" t="str">
        <f>VLOOKUP(J5070,'dataset mapping'!$A$4:$E$69,2,0)</f>
        <v>fuel cell system assembly, 1 kWe, proton exchange membrane (PEM)</v>
      </c>
      <c r="B5070" s="52">
        <f>1/(80000*3.6)/0.5*SUMIFS(allocation!$I$4:$I$30,allocation!$B$4:$B$30,'hydrogen - electrolysis'!B5042,allocation!$C$4:$C$30,'hydrogen - electrolysis'!B5043)</f>
        <v>9.6763755548433728E-7</v>
      </c>
      <c r="C5070" t="str">
        <f>VLOOKUP(J5070,'dataset mapping'!$A$4:$E$69,5,0)</f>
        <v>unit</v>
      </c>
      <c r="E5070" t="str">
        <f>VLOOKUP(J5070,'dataset mapping'!$A$4:$E$69,4,0)</f>
        <v>GLO</v>
      </c>
      <c r="F5070" t="s">
        <v>86</v>
      </c>
      <c r="G5070" t="str">
        <f>VLOOKUP(J5070,'dataset mapping'!$A$4:$E$69,3,0)</f>
        <v>fuel cell system, 1 kWe, proton exchange membrane (PEM)</v>
      </c>
      <c r="H5070" t="s">
        <v>88</v>
      </c>
      <c r="I5070" t="s">
        <v>272</v>
      </c>
      <c r="J5070" t="s">
        <v>273</v>
      </c>
      <c r="K5070" t="str">
        <f>B5030</f>
        <v>heat, residential, by conversion of hydrogen using fuel cell, PEM, allocated by exergy, transported by train, produced by Electrolysis, PEM using water and electricity from Solar PV (IT)</v>
      </c>
      <c r="L5070">
        <f t="shared" ref="L5070:L5074" si="181">IF(OR(B5070&lt;0,B5070=0),1,2)</f>
        <v>2</v>
      </c>
      <c r="M5070">
        <f t="shared" ref="M5070:M5074" si="182">IF(L5070=2,LN(B5070),"")</f>
        <v>-13.848408245937353</v>
      </c>
      <c r="N5070">
        <v>1</v>
      </c>
      <c r="O5070" s="15">
        <v>1.2</v>
      </c>
      <c r="P5070">
        <v>1</v>
      </c>
      <c r="Q5070">
        <v>1.01</v>
      </c>
      <c r="R5070">
        <v>1.2</v>
      </c>
      <c r="S5070">
        <v>1.2</v>
      </c>
      <c r="T5070">
        <v>3</v>
      </c>
      <c r="U5070">
        <f t="shared" ref="U5070:U5074" si="183">LN(SQRT(EXP(
SQRT(
+POWER(LN(N5070),2)
+POWER(LN(O5070),2)
+POWER(LN(P5070),2)
+POWER(LN(Q5070),2)
+POWER(LN(R5070),2)
+POWER(LN(S5070),2)
+POWER(LN(T5070),2)
)
)))</f>
        <v>0.57157051623399524</v>
      </c>
    </row>
    <row r="5071" spans="1:22" x14ac:dyDescent="0.2">
      <c r="A5071" s="45" t="str">
        <f>"hydrogen supply, transported by "&amp;B5044&amp;", produced by "&amp;B5048&amp;" using "&amp;B5049&amp;" from "&amp;B5050</f>
        <v>hydrogen supply, transported by train, produced by Electrolysis, PEM using water and electricity from Solar PV (IT)</v>
      </c>
      <c r="B5071" s="53">
        <f>(B5069/B5053)/B5052*B5064</f>
        <v>2.3223301331624095E-3</v>
      </c>
      <c r="C5071" t="s">
        <v>56</v>
      </c>
      <c r="E5071" t="s">
        <v>64</v>
      </c>
      <c r="F5071" t="s">
        <v>86</v>
      </c>
      <c r="G5071" t="str">
        <f>"hydrogen, gaseous, from "&amp;B5044</f>
        <v>hydrogen, gaseous, from train</v>
      </c>
      <c r="H5071" t="s">
        <v>76</v>
      </c>
      <c r="I5071" t="s">
        <v>1054</v>
      </c>
      <c r="J5071" t="s">
        <v>637</v>
      </c>
      <c r="K5071" t="str">
        <f>B5030</f>
        <v>heat, residential, by conversion of hydrogen using fuel cell, PEM, allocated by exergy, transported by train, produced by Electrolysis, PEM using water and electricity from Solar PV (IT)</v>
      </c>
      <c r="L5071">
        <f t="shared" si="181"/>
        <v>2</v>
      </c>
      <c r="M5071">
        <f t="shared" si="182"/>
        <v>-6.0651842296013152</v>
      </c>
      <c r="N5071">
        <v>1</v>
      </c>
      <c r="O5071" s="15">
        <v>1.2</v>
      </c>
      <c r="P5071">
        <v>1</v>
      </c>
      <c r="Q5071">
        <v>1.01</v>
      </c>
      <c r="R5071">
        <v>1.2</v>
      </c>
      <c r="S5071">
        <v>1.2</v>
      </c>
      <c r="T5071">
        <v>1.05</v>
      </c>
      <c r="U5071">
        <f t="shared" si="183"/>
        <v>0.15984597228197622</v>
      </c>
    </row>
    <row r="5072" spans="1:22" x14ac:dyDescent="0.2">
      <c r="A5072" t="str">
        <f>VLOOKUP(J5072,'dataset mapping'!$A$4:$E$69,2,0)</f>
        <v>market for transport, freight train</v>
      </c>
      <c r="B5072" s="45">
        <f>SUM(B5071:B5071)/1000*B5045*SUMIFS(allocation!$I$4:$I$30,allocation!$B$4:$B$30,'hydrogen - electrolysis'!B5042,allocation!$C$4:$C$30,'hydrogen - electrolysis'!B5043)</f>
        <v>5.5010815923420167E-4</v>
      </c>
      <c r="C5072" t="str">
        <f>VLOOKUP(J5072,'dataset mapping'!$A$4:$E$69,5,0)</f>
        <v>ton kilometer</v>
      </c>
      <c r="E5072" t="str">
        <f>VLOOKUP(J5072,'dataset mapping'!$A$4:$E$69,4,0)</f>
        <v>CH</v>
      </c>
      <c r="F5072" t="s">
        <v>86</v>
      </c>
      <c r="G5072" t="str">
        <f>VLOOKUP(J5072,'dataset mapping'!$A$4:$E$69,3,0)</f>
        <v>transport, freight train</v>
      </c>
      <c r="H5072" t="s">
        <v>88</v>
      </c>
      <c r="I5072" t="s">
        <v>1052</v>
      </c>
      <c r="J5072" t="s">
        <v>295</v>
      </c>
      <c r="K5072" t="str">
        <f>B5030</f>
        <v>heat, residential, by conversion of hydrogen using fuel cell, PEM, allocated by exergy, transported by train, produced by Electrolysis, PEM using water and electricity from Solar PV (IT)</v>
      </c>
      <c r="L5072">
        <f t="shared" si="181"/>
        <v>2</v>
      </c>
      <c r="M5072">
        <f t="shared" si="182"/>
        <v>-7.5053956459183606</v>
      </c>
      <c r="N5072">
        <v>1</v>
      </c>
      <c r="O5072" s="15">
        <v>1.2</v>
      </c>
      <c r="P5072">
        <v>1</v>
      </c>
      <c r="Q5072">
        <v>1.01</v>
      </c>
      <c r="R5072">
        <v>1.2</v>
      </c>
      <c r="S5072">
        <v>1.2</v>
      </c>
      <c r="T5072">
        <v>2</v>
      </c>
      <c r="U5072">
        <f t="shared" si="183"/>
        <v>0.38087907307228186</v>
      </c>
    </row>
    <row r="5073" spans="1:21" x14ac:dyDescent="0.2">
      <c r="A5073" t="str">
        <f>VLOOKUP(J5073,'dataset mapping'!$A$4:$E$69,2,0)</f>
        <v>high pressure hydrogen storage tank</v>
      </c>
      <c r="B5073" s="52">
        <f>((B5065/10)/(B5063*B5059*20*3.6))*IF(B5064&lt;&gt;0,B5064,1)</f>
        <v>2.5464146196956242E-7</v>
      </c>
      <c r="C5073" t="str">
        <f>VLOOKUP(J5073,'dataset mapping'!$A$4:$E$69,5,0)</f>
        <v>kilogram</v>
      </c>
      <c r="E5073" t="str">
        <f>VLOOKUP(J5073,'dataset mapping'!$A$4:$E$69,4,0)</f>
        <v>GLO</v>
      </c>
      <c r="F5073" t="s">
        <v>86</v>
      </c>
      <c r="G5073" t="str">
        <f>VLOOKUP(J5073,'dataset mapping'!$A$4:$E$69,3,0)</f>
        <v>high pressure hydrogen storage tank</v>
      </c>
      <c r="H5073" t="s">
        <v>88</v>
      </c>
      <c r="I5073" t="s">
        <v>280</v>
      </c>
      <c r="J5073" t="s">
        <v>229</v>
      </c>
      <c r="K5073" t="str">
        <f>B5030</f>
        <v>heat, residential, by conversion of hydrogen using fuel cell, PEM, allocated by exergy, transported by train, produced by Electrolysis, PEM using water and electricity from Solar PV (IT)</v>
      </c>
      <c r="L5073">
        <f t="shared" si="181"/>
        <v>2</v>
      </c>
      <c r="M5073">
        <f t="shared" si="182"/>
        <v>-15.183409312669692</v>
      </c>
      <c r="N5073">
        <v>1</v>
      </c>
      <c r="O5073" s="15">
        <v>1.2</v>
      </c>
      <c r="P5073">
        <v>1</v>
      </c>
      <c r="Q5073">
        <v>1.01</v>
      </c>
      <c r="R5073">
        <v>1.2</v>
      </c>
      <c r="S5073">
        <v>1.2</v>
      </c>
      <c r="T5073">
        <v>3</v>
      </c>
      <c r="U5073">
        <f t="shared" si="183"/>
        <v>0.57157051623399524</v>
      </c>
    </row>
    <row r="5074" spans="1:21" x14ac:dyDescent="0.2">
      <c r="A5074" t="s">
        <v>134</v>
      </c>
      <c r="B5074" s="45">
        <f>B5071*9</f>
        <v>2.0900971198461685E-2</v>
      </c>
      <c r="C5074" t="s">
        <v>56</v>
      </c>
      <c r="D5074" t="s">
        <v>100</v>
      </c>
      <c r="F5074" t="s">
        <v>99</v>
      </c>
      <c r="H5074" t="s">
        <v>131</v>
      </c>
      <c r="I5074" t="s">
        <v>1057</v>
      </c>
      <c r="K5074" t="str">
        <f>B5030</f>
        <v>heat, residential, by conversion of hydrogen using fuel cell, PEM, allocated by exergy, transported by train, produced by Electrolysis, PEM using water and electricity from Solar PV (IT)</v>
      </c>
      <c r="L5074">
        <f t="shared" si="181"/>
        <v>2</v>
      </c>
      <c r="M5074">
        <f t="shared" si="182"/>
        <v>-3.8679596522650961</v>
      </c>
      <c r="N5074">
        <v>1</v>
      </c>
      <c r="O5074" s="15">
        <v>1.2</v>
      </c>
      <c r="P5074">
        <v>1</v>
      </c>
      <c r="Q5074">
        <v>1.01</v>
      </c>
      <c r="R5074">
        <v>1.2</v>
      </c>
      <c r="S5074">
        <v>1.2</v>
      </c>
      <c r="T5074">
        <v>1.05</v>
      </c>
      <c r="U5074">
        <f t="shared" si="183"/>
        <v>0.15984597228197622</v>
      </c>
    </row>
    <row r="5076" spans="1:21" x14ac:dyDescent="0.2">
      <c r="A5076" s="2" t="s">
        <v>50</v>
      </c>
      <c r="B5076" s="44" t="str">
        <f>IF(B5082="megajoule","heat","electricity")&amp;", residential, by "&amp;B5087&amp;" of "&amp;B5086&amp;" using "&amp;B5088&amp;IF(B5089&lt;&gt;0,", allocated by "&amp;B5089,"")&amp;", transported by "&amp;B5090&amp;", produced by "&amp;B5094&amp;" using "&amp;B5095&amp;" from "&amp;B5096</f>
        <v>heat, residential, by conversion of hydrogen using fuel cell, SOFC, allocated by exergy, transported by train, produced by Electrolysis, PEM using water and electricity from Solar PV (IT)</v>
      </c>
    </row>
    <row r="5077" spans="1:21" x14ac:dyDescent="0.2">
      <c r="A5077" t="s">
        <v>51</v>
      </c>
      <c r="B5077" s="45" t="str">
        <f>"This dataset represents the supply of 1 "&amp;IF(B5082="megajoule","megajoule of heat","kilowatt hour of electricity")&amp;" in a residence, by "&amp;B5086&amp;" "&amp;B5087&amp;" in a "&amp;B5088&amp;". "&amp;" The hydrogen is transported by "&amp;B5090&amp;" over "&amp;B5091&amp;" km from regional storage. "&amp;" The "&amp;B5086&amp;" is produced by  "&amp;B5094&amp;", with "&amp;B5095&amp;" from "&amp;B5096&amp;" as feedstock. "&amp;A5098&amp;": "&amp;(B5098*100)&amp;"%. "&amp;A5099&amp;": "&amp;B5099&amp;". "&amp;A5100&amp;": "&amp;B5100&amp;". "&amp;A5101&amp;": "&amp;(B5101*100)&amp;"%. "&amp;A5102&amp;": "&amp;(B5102*100)&amp;"%. "&amp;A5103&amp;": "&amp;(B5103*100)&amp;"%. "&amp;A5104&amp;": "&amp;B5104&amp;". "&amp;A5105&amp;": "&amp;B5105&amp;". "&amp;A5106&amp;": "&amp;(B5106*100)&amp;"%. "&amp;A5107&amp;": "&amp;B5107&amp;". "&amp;A5108&amp;": "&amp;B5108&amp;". "&amp;A5109&amp;": "&amp;B5109&amp;". "&amp;A5110&amp;": "&amp;B5110&amp;".  For more information, refer to: "&amp;B5078</f>
        <v>This dataset represents the supply of 1 megajoule of heat in a residence, by hydrogen conversion in a fuel cell, SOFC.  The hydrogen is transported by train over 1700 km from regional storage.  The hydrogen is produced by  Electrolysis, PEM,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5078" spans="1:21" x14ac:dyDescent="0.2">
      <c r="A5078" t="s">
        <v>63</v>
      </c>
      <c r="B5078" s="45" t="s">
        <v>1223</v>
      </c>
    </row>
    <row r="5079" spans="1:21" x14ac:dyDescent="0.2">
      <c r="A5079" t="s">
        <v>52</v>
      </c>
      <c r="B5079" s="45" t="s">
        <v>64</v>
      </c>
    </row>
    <row r="5080" spans="1:21" x14ac:dyDescent="0.2">
      <c r="A5080" t="s">
        <v>48</v>
      </c>
      <c r="B5080" s="45">
        <v>64</v>
      </c>
    </row>
    <row r="5081" spans="1:21" x14ac:dyDescent="0.2">
      <c r="A5081" t="s">
        <v>54</v>
      </c>
      <c r="B5081" s="45" t="str">
        <f>INDEX(overview!$B$4:$R$338,MATCH('hydrogen - electrolysis'!B5080,overview!$A$4:$A$338,0),MATCH('hydrogen - electrolysis'!A5081,overview!$B$3:$R$3,0))</f>
        <v>heat, from residential heating system</v>
      </c>
    </row>
    <row r="5082" spans="1:21" x14ac:dyDescent="0.2">
      <c r="A5082" t="s">
        <v>55</v>
      </c>
      <c r="B5082" s="45" t="str">
        <f>INDEX(overview!$B$4:$R$338,MATCH('hydrogen - electrolysis'!B5080,overview!$A$4:$A$338,0),MATCH('hydrogen - electrolysis'!A5082,overview!$B$3:$R$3,0))</f>
        <v>megajoule</v>
      </c>
    </row>
    <row r="5083" spans="1:21" x14ac:dyDescent="0.2">
      <c r="A5083" t="s">
        <v>0</v>
      </c>
      <c r="B5083" s="45" t="str">
        <f>INDEX(overview!$B$4:$R$338,MATCH('hydrogen - electrolysis'!B5080,overview!$A$4:$A$338,0),MATCH('hydrogen - electrolysis'!A5083,overview!$B$3:$R$3,0))</f>
        <v>Switzerland</v>
      </c>
    </row>
    <row r="5084" spans="1:21" x14ac:dyDescent="0.2">
      <c r="A5084" t="s">
        <v>1</v>
      </c>
      <c r="B5084" s="45">
        <f>INDEX(overview!$B$4:$R$338,MATCH('hydrogen - electrolysis'!B5080,overview!$A$4:$A$338,0),MATCH('hydrogen - electrolysis'!A5084,overview!$B$3:$R$3,0))</f>
        <v>2020</v>
      </c>
    </row>
    <row r="5085" spans="1:21" x14ac:dyDescent="0.2">
      <c r="A5085" t="s">
        <v>2</v>
      </c>
      <c r="B5085" s="45" t="str">
        <f>INDEX(overview!$B$4:$R$338,MATCH('hydrogen - electrolysis'!B5080,overview!$A$4:$A$338,0),MATCH('hydrogen - electrolysis'!A5085,overview!$B$3:$R$3,0))</f>
        <v>1 MJ heat</v>
      </c>
    </row>
    <row r="5086" spans="1:21" x14ac:dyDescent="0.2">
      <c r="A5086" t="s">
        <v>5</v>
      </c>
      <c r="B5086" s="45" t="str">
        <f>INDEX(overview!$B$4:$R$338,MATCH('hydrogen - electrolysis'!B5080,overview!$A$4:$A$338,0),MATCH('hydrogen - electrolysis'!A5086,overview!$B$3:$R$3,0))</f>
        <v>hydrogen</v>
      </c>
    </row>
    <row r="5087" spans="1:21" x14ac:dyDescent="0.2">
      <c r="A5087" t="s">
        <v>3</v>
      </c>
      <c r="B5087" s="45" t="str">
        <f>INDEX(overview!$B$4:$R$338,MATCH('hydrogen - electrolysis'!B5080,overview!$A$4:$A$338,0),MATCH('hydrogen - electrolysis'!A5087,overview!$B$3:$R$3,0))</f>
        <v>conversion</v>
      </c>
    </row>
    <row r="5088" spans="1:21" x14ac:dyDescent="0.2">
      <c r="A5088" t="s">
        <v>6</v>
      </c>
      <c r="B5088" s="45" t="str">
        <f>INDEX(overview!$B$4:$R$338,MATCH('hydrogen - electrolysis'!B5080,overview!$A$4:$A$338,0),MATCH('hydrogen - electrolysis'!A5088,overview!$B$3:$R$3,0))</f>
        <v>fuel cell, SOFC</v>
      </c>
    </row>
    <row r="5089" spans="1:2" x14ac:dyDescent="0.2">
      <c r="A5089" t="s">
        <v>39</v>
      </c>
      <c r="B5089" s="45" t="str">
        <f>INDEX(overview!$B$4:$R$338,MATCH('hydrogen - electrolysis'!B5080,overview!$A$4:$A$338,0),MATCH('hydrogen - electrolysis'!A5089,overview!$B$3:$R$3,0))</f>
        <v>exergy</v>
      </c>
    </row>
    <row r="5090" spans="1:2" x14ac:dyDescent="0.2">
      <c r="A5090" t="s">
        <v>4</v>
      </c>
      <c r="B5090" s="45" t="str">
        <f>INDEX(overview!$B$4:$R$338,MATCH('hydrogen - electrolysis'!B5080,overview!$A$4:$A$338,0),MATCH('hydrogen - electrolysis'!A5090,overview!$B$3:$R$3,0))</f>
        <v>train</v>
      </c>
    </row>
    <row r="5091" spans="1:2" x14ac:dyDescent="0.2">
      <c r="A5091" t="s">
        <v>38</v>
      </c>
      <c r="B5091" s="45">
        <f>INDEX(overview!$B$4:$R$338,MATCH('hydrogen - electrolysis'!B5080,overview!$A$4:$A$338,0),MATCH('hydrogen - electrolysis'!A5091,overview!$B$3:$R$3,0))</f>
        <v>1700</v>
      </c>
    </row>
    <row r="5092" spans="1:2" x14ac:dyDescent="0.2">
      <c r="A5092" t="s">
        <v>12</v>
      </c>
      <c r="B5092" s="45" t="str">
        <f>INDEX(overview!$B$4:$R$338,MATCH('hydrogen - electrolysis'!B5080,overview!$A$4:$A$338,0),MATCH('hydrogen - electrolysis'!A5092,overview!$B$3:$R$3,0))</f>
        <v>Pressure vessel for stationary storage</v>
      </c>
    </row>
    <row r="5093" spans="1:2" x14ac:dyDescent="0.2">
      <c r="A5093" t="s">
        <v>34</v>
      </c>
      <c r="B5093" s="45">
        <f>INDEX(overview!$B$4:$R$338,MATCH('hydrogen - electrolysis'!B5080,overview!$A$4:$A$338,0),MATCH('hydrogen - electrolysis'!A5093,overview!$B$3:$R$3,0))</f>
        <v>0</v>
      </c>
    </row>
    <row r="5094" spans="1:2" x14ac:dyDescent="0.2">
      <c r="A5094" t="s">
        <v>15</v>
      </c>
      <c r="B5094" s="45" t="str">
        <f>INDEX(overview!$B$4:$R$338,MATCH('hydrogen - electrolysis'!B5080,overview!$A$4:$A$338,0),MATCH('hydrogen - electrolysis'!A5094,overview!$B$3:$R$3,0))</f>
        <v>Electrolysis, PEM</v>
      </c>
    </row>
    <row r="5095" spans="1:2" x14ac:dyDescent="0.2">
      <c r="A5095" t="s">
        <v>14</v>
      </c>
      <c r="B5095" s="45" t="str">
        <f>INDEX(overview!$B$4:$R$338,MATCH('hydrogen - electrolysis'!B5080,overview!$A$4:$A$338,0),MATCH('hydrogen - electrolysis'!A5095,overview!$B$3:$R$3,0))</f>
        <v>water and electricity</v>
      </c>
    </row>
    <row r="5096" spans="1:2" x14ac:dyDescent="0.2">
      <c r="A5096" t="s">
        <v>26</v>
      </c>
      <c r="B5096" s="45" t="str">
        <f>INDEX(overview!$B$4:$R$338,MATCH('hydrogen - electrolysis'!B5080,overview!$A$4:$A$338,0),MATCH('hydrogen - electrolysis'!A5096,overview!$B$3:$R$3,0))</f>
        <v>Solar PV (IT)</v>
      </c>
    </row>
    <row r="5097" spans="1:2" x14ac:dyDescent="0.2">
      <c r="A5097" t="s">
        <v>29</v>
      </c>
      <c r="B5097" s="45">
        <f>INDEX(overview!$B$4:$R$338,MATCH('hydrogen - electrolysis'!B5080,overview!$A$4:$A$338,0),MATCH('hydrogen - electrolysis'!A5097,overview!$B$3:$R$3,0))</f>
        <v>0</v>
      </c>
    </row>
    <row r="5098" spans="1:2" x14ac:dyDescent="0.2">
      <c r="A5098" t="str">
        <f>IF(B5082="megajoule","Heat","Electricity")&amp;" conversion efficiency [% LHV input]"</f>
        <v>Heat conversion efficiency [% LHV input]</v>
      </c>
      <c r="B5098" s="46">
        <f>INDEX(parameters!$D$4:$N$20,MATCH('hydrogen - electrolysis'!B5086&amp;'hydrogen - electrolysis'!B5088,parameters!$A$4:$A$20,0),MATCH('hydrogen - electrolysis'!A5098,parameters!$D$3:$N$3,0))</f>
        <v>0.53</v>
      </c>
    </row>
    <row r="5099" spans="1:2" x14ac:dyDescent="0.2">
      <c r="A5099" t="str">
        <f>IF(B5082="megajoule","LHV [MJ/kg]","LHV [kWh/kg]")</f>
        <v>LHV [MJ/kg]</v>
      </c>
      <c r="B5099" s="47">
        <f>INDEX(parameters!$D$4:$N$20,MATCH('hydrogen - electrolysis'!B5086&amp;'hydrogen - electrolysis'!B5088,parameters!$A$4:$A$20,0),MATCH('hydrogen - electrolysis'!A5099,parameters!$D$3:$N$3,0))</f>
        <v>120</v>
      </c>
    </row>
    <row r="5100" spans="1:2" x14ac:dyDescent="0.2">
      <c r="A5100" t="s">
        <v>41</v>
      </c>
      <c r="B5100" s="48">
        <f>INDEX(parameters!$D$4:$N$20,MATCH('hydrogen - electrolysis'!B5086&amp;'hydrogen - electrolysis'!B5088,parameters!$A$4:$A$20,0),MATCH('hydrogen - electrolysis'!A5100,parameters!$D$3:$N$3,0))</f>
        <v>2.6666666666666665E-2</v>
      </c>
    </row>
    <row r="5101" spans="1:2" x14ac:dyDescent="0.2">
      <c r="A5101" t="s">
        <v>45</v>
      </c>
      <c r="B5101" s="46">
        <f>INDEX(parameters!$D$4:$N$20,MATCH('hydrogen - electrolysis'!B5086&amp;'hydrogen - electrolysis'!B5088,parameters!$A$4:$A$20,0),MATCH('hydrogen - electrolysis'!A5101,parameters!$D$3:$N$3,0))</f>
        <v>0</v>
      </c>
    </row>
    <row r="5102" spans="1:2" x14ac:dyDescent="0.2">
      <c r="A5102" t="s">
        <v>46</v>
      </c>
      <c r="B5102" s="46">
        <f>INDEX(parameters!$D$4:$N$20,MATCH('hydrogen - electrolysis'!B5086&amp;'hydrogen - electrolysis'!B5088,parameters!$A$4:$A$20,0),MATCH('hydrogen - electrolysis'!A5102,parameters!$D$3:$N$3,0))</f>
        <v>1.4999999999999999E-2</v>
      </c>
    </row>
    <row r="5103" spans="1:2" x14ac:dyDescent="0.2">
      <c r="A5103" t="s">
        <v>43</v>
      </c>
      <c r="B5103" s="46">
        <f>INDEX(parameters!$D$4:$N$20,MATCH('hydrogen - electrolysis'!B5086&amp;'hydrogen - electrolysis'!B5088,parameters!$A$4:$A$20,0),MATCH('hydrogen - electrolysis'!A5103,parameters!$D$3:$N$3,0))</f>
        <v>0</v>
      </c>
    </row>
    <row r="5104" spans="1:2" x14ac:dyDescent="0.2">
      <c r="A5104" t="s">
        <v>44</v>
      </c>
      <c r="B5104" s="46">
        <f>INDEX(parameters!$D$4:$N$20,MATCH('hydrogen - electrolysis'!B5086&amp;'hydrogen - electrolysis'!B5088,parameters!$A$4:$A$20,0),MATCH('hydrogen - electrolysis'!A5104,parameters!$D$3:$N$3,0))</f>
        <v>0</v>
      </c>
    </row>
    <row r="5105" spans="1:22" x14ac:dyDescent="0.2">
      <c r="A5105" t="s">
        <v>634</v>
      </c>
      <c r="B5105" s="51">
        <f>INDEX(parameters!$D$4:$Y$20,MATCH('hydrogen - electrolysis'!B5086&amp;'hydrogen - electrolysis'!B5088,parameters!$A$4:$A$20,0),MATCH('hydrogen - electrolysis'!A5105,parameters!$D$3:$Y$3,0))</f>
        <v>225</v>
      </c>
      <c r="D5105" s="8"/>
    </row>
    <row r="5106" spans="1:22" x14ac:dyDescent="0.2">
      <c r="A5106" t="s">
        <v>82</v>
      </c>
      <c r="B5106" s="46">
        <f>IF(B5097&lt;&gt;0,VLOOKUP(B5097,parameters!A3278:B3280,2,0),0)</f>
        <v>0</v>
      </c>
    </row>
    <row r="5107" spans="1:22" x14ac:dyDescent="0.2">
      <c r="A5107" t="s">
        <v>548</v>
      </c>
      <c r="B5107" s="50">
        <f>INDEX(parameters!$D$4:$P$20,MATCH(B5086&amp;B5088,parameters!$A$4:$A$20,0),MATCH(A5107,parameters!$D$3:$P$3,0))</f>
        <v>100</v>
      </c>
    </row>
    <row r="5108" spans="1:22" x14ac:dyDescent="0.2">
      <c r="A5108" t="s">
        <v>547</v>
      </c>
      <c r="B5108" s="51">
        <f>INDEX(parameters!$D$4:$P$20,MATCH(B5086&amp;B5088,parameters!$A$4:$A$20,0),MATCH(A5108,parameters!$D$3:$P$3,0))</f>
        <v>6</v>
      </c>
    </row>
    <row r="5109" spans="1:22" x14ac:dyDescent="0.2">
      <c r="A5109" t="s">
        <v>630</v>
      </c>
      <c r="B5109" s="51">
        <f>INDEX(parameters!$D$4:$T$20,MATCH(B5086&amp;B5088,parameters!$A$4:$A$20,0),MATCH(A5109,parameters!$D$3:$T$3,0))</f>
        <v>4100</v>
      </c>
    </row>
    <row r="5110" spans="1:22" x14ac:dyDescent="0.2">
      <c r="A5110" t="s">
        <v>1005</v>
      </c>
      <c r="B5110" s="50">
        <f>IF(B5082="megajoule",SUMIFS(allocation!$I$4:$I$30,allocation!$B$4:$B$30,B5088,allocation!$C$4:$C$30,B5089),SUMIFS(allocation!$J$4:$J$30,allocation!$B$4:$B$30,B5088,allocation!$C$4:$C$30,B5089))</f>
        <v>0.13587506510399097</v>
      </c>
    </row>
    <row r="5111" spans="1:22" x14ac:dyDescent="0.2">
      <c r="A5111" t="s">
        <v>1050</v>
      </c>
      <c r="B5111" s="51">
        <f>INDEX(parameters!$D$4:$AB$20,MATCH(B5086&amp;B5088,parameters!$A$4:$A$20,0),MATCH(A5111,parameters!$D$3:$AB$3,0))</f>
        <v>1153.1249999999998</v>
      </c>
    </row>
    <row r="5113" spans="1:22" x14ac:dyDescent="0.2">
      <c r="A5113" s="3" t="s">
        <v>57</v>
      </c>
    </row>
    <row r="5114" spans="1:22" x14ac:dyDescent="0.2">
      <c r="A5114" s="2" t="s">
        <v>58</v>
      </c>
      <c r="B5114" s="44" t="s">
        <v>59</v>
      </c>
      <c r="C5114" s="2" t="s">
        <v>55</v>
      </c>
      <c r="D5114" s="2" t="s">
        <v>60</v>
      </c>
      <c r="E5114" s="2" t="s">
        <v>52</v>
      </c>
      <c r="F5114" s="2" t="s">
        <v>61</v>
      </c>
      <c r="G5114" s="2" t="s">
        <v>54</v>
      </c>
      <c r="H5114" s="2" t="s">
        <v>87</v>
      </c>
      <c r="I5114" s="2" t="s">
        <v>51</v>
      </c>
      <c r="J5114" s="2" t="s">
        <v>138</v>
      </c>
      <c r="K5114" s="2" t="s">
        <v>136</v>
      </c>
      <c r="L5114" s="2" t="s">
        <v>221</v>
      </c>
      <c r="M5114" s="2" t="s">
        <v>379</v>
      </c>
      <c r="N5114" s="2" t="s">
        <v>1059</v>
      </c>
      <c r="O5114" s="2" t="s">
        <v>1060</v>
      </c>
      <c r="P5114" s="2" t="s">
        <v>1061</v>
      </c>
      <c r="Q5114" s="2" t="s">
        <v>1062</v>
      </c>
      <c r="R5114" s="2" t="s">
        <v>1063</v>
      </c>
      <c r="S5114" s="2" t="s">
        <v>1064</v>
      </c>
      <c r="T5114" s="2" t="s">
        <v>1065</v>
      </c>
      <c r="U5114" s="2" t="s">
        <v>380</v>
      </c>
      <c r="V5114" s="2" t="s">
        <v>1128</v>
      </c>
    </row>
    <row r="5115" spans="1:22" x14ac:dyDescent="0.2">
      <c r="A5115" t="str">
        <f>B5076</f>
        <v>heat, residential, by conversion of hydrogen using fuel cell, SOFC, allocated by exergy, transported by train, produced by Electrolysis, PEM using water and electricity from Solar PV (IT)</v>
      </c>
      <c r="B5115" s="45">
        <v>1</v>
      </c>
      <c r="C5115" t="str">
        <f>B5082</f>
        <v>megajoule</v>
      </c>
      <c r="E5115" t="str">
        <f>B5079</f>
        <v>CH</v>
      </c>
      <c r="F5115" t="s">
        <v>62</v>
      </c>
      <c r="G5115" t="str">
        <f>B5081</f>
        <v>heat, from residential heating system</v>
      </c>
      <c r="K5115" t="str">
        <f>B5076</f>
        <v>heat, residential, by conversion of hydrogen using fuel cell, SOFC, allocated by exergy, transported by train, produced by Electrolysis, PEM using water and electricity from Solar PV (IT)</v>
      </c>
    </row>
    <row r="5116" spans="1:22" x14ac:dyDescent="0.2">
      <c r="A5116" t="str">
        <f>VLOOKUP(J5116,'dataset mapping'!$A$4:$E$69,2,0)</f>
        <v>fuel cell production, stack solid oxide, 125kW electrical, future</v>
      </c>
      <c r="B5116" s="52">
        <f>(1/(B5105*B5109*B5108*3.6))*B5110</f>
        <v>6.8189834941278219E-9</v>
      </c>
      <c r="C5116" t="str">
        <f>VLOOKUP(J5116,'dataset mapping'!$A$4:$E$69,5,0)</f>
        <v>unit</v>
      </c>
      <c r="E5116" t="str">
        <f>VLOOKUP(J5116,'dataset mapping'!$A$4:$E$69,4,0)</f>
        <v>CH</v>
      </c>
      <c r="F5116" t="s">
        <v>86</v>
      </c>
      <c r="G5116" t="str">
        <f>VLOOKUP(J5116,'dataset mapping'!$A$4:$E$69,3,0)</f>
        <v>fuel cell, stack solid oxide, 125kW electrical, future</v>
      </c>
      <c r="H5116" t="s">
        <v>88</v>
      </c>
      <c r="I5116" t="s">
        <v>277</v>
      </c>
      <c r="J5116" t="s">
        <v>274</v>
      </c>
      <c r="K5116" t="str">
        <f>B5076</f>
        <v>heat, residential, by conversion of hydrogen using fuel cell, SOFC, allocated by exergy, transported by train, produced by Electrolysis, PEM using water and electricity from Solar PV (IT)</v>
      </c>
      <c r="L5116">
        <f t="shared" ref="L5116:L5122" si="184">IF(OR(B5116&lt;0,B5116=0),1,2)</f>
        <v>2</v>
      </c>
      <c r="M5116">
        <f t="shared" ref="M5116:M5122" si="185">IF(L5116=2,LN(B5116),"")</f>
        <v>-18.80355542398161</v>
      </c>
      <c r="N5116">
        <v>1</v>
      </c>
      <c r="O5116" s="15">
        <v>1.2</v>
      </c>
      <c r="P5116">
        <v>1</v>
      </c>
      <c r="Q5116">
        <v>1.01</v>
      </c>
      <c r="R5116">
        <v>1.2</v>
      </c>
      <c r="S5116">
        <v>1.2</v>
      </c>
      <c r="T5116">
        <v>3</v>
      </c>
      <c r="U5116">
        <f t="shared" ref="U5116:U5122" si="186">LN(SQRT(EXP(
SQRT(
+POWER(LN(N5116),2)
+POWER(LN(O5116),2)
+POWER(LN(P5116),2)
+POWER(LN(Q5116),2)
+POWER(LN(R5116),2)
+POWER(LN(S5116),2)
+POWER(LN(T5116),2)
)
)))</f>
        <v>0.57157051623399524</v>
      </c>
    </row>
    <row r="5117" spans="1:22" x14ac:dyDescent="0.2">
      <c r="A5117" t="s">
        <v>283</v>
      </c>
      <c r="B5117" s="52">
        <f>(1/(B5105*B5109*B5108*3.6))*B5110</f>
        <v>6.8189834941278219E-9</v>
      </c>
      <c r="C5117" t="s">
        <v>55</v>
      </c>
      <c r="E5117" t="s">
        <v>64</v>
      </c>
      <c r="F5117" t="s">
        <v>86</v>
      </c>
      <c r="G5117" t="s">
        <v>284</v>
      </c>
      <c r="H5117" t="s">
        <v>88</v>
      </c>
      <c r="I5117" t="s">
        <v>277</v>
      </c>
      <c r="K5117" t="str">
        <f>B5076</f>
        <v>heat, residential, by conversion of hydrogen using fuel cell, SOFC, allocated by exergy, transported by train, produced by Electrolysis, PEM using water and electricity from Solar PV (IT)</v>
      </c>
      <c r="L5117">
        <f t="shared" si="184"/>
        <v>2</v>
      </c>
      <c r="M5117">
        <f t="shared" si="185"/>
        <v>-18.80355542398161</v>
      </c>
      <c r="N5117">
        <v>1</v>
      </c>
      <c r="O5117" s="15">
        <v>1.2</v>
      </c>
      <c r="P5117">
        <v>1</v>
      </c>
      <c r="Q5117">
        <v>1.01</v>
      </c>
      <c r="R5117">
        <v>1.2</v>
      </c>
      <c r="S5117">
        <v>1.2</v>
      </c>
      <c r="T5117">
        <v>3</v>
      </c>
      <c r="U5117">
        <f t="shared" si="186"/>
        <v>0.57157051623399524</v>
      </c>
    </row>
    <row r="5118" spans="1:22" x14ac:dyDescent="0.2">
      <c r="A5118" t="s">
        <v>288</v>
      </c>
      <c r="B5118" s="52">
        <f>0.000024*B5110</f>
        <v>3.2610015624957834E-6</v>
      </c>
      <c r="C5118" t="s">
        <v>56</v>
      </c>
      <c r="E5118" t="s">
        <v>64</v>
      </c>
      <c r="F5118" t="s">
        <v>86</v>
      </c>
      <c r="G5118" t="s">
        <v>287</v>
      </c>
      <c r="H5118" t="s">
        <v>88</v>
      </c>
      <c r="K5118" t="str">
        <f>B5076</f>
        <v>heat, residential, by conversion of hydrogen using fuel cell, SOFC, allocated by exergy, transported by train, produced by Electrolysis, PEM using water and electricity from Solar PV (IT)</v>
      </c>
      <c r="L5118">
        <f t="shared" si="184"/>
        <v>2</v>
      </c>
      <c r="M5118">
        <f t="shared" si="185"/>
        <v>-12.633476182011</v>
      </c>
      <c r="N5118">
        <v>1</v>
      </c>
      <c r="O5118" s="15">
        <v>1.2</v>
      </c>
      <c r="P5118">
        <v>1</v>
      </c>
      <c r="Q5118">
        <v>1.01</v>
      </c>
      <c r="R5118">
        <v>1.2</v>
      </c>
      <c r="S5118">
        <v>1.2</v>
      </c>
      <c r="T5118">
        <v>1.05</v>
      </c>
      <c r="U5118">
        <f t="shared" si="186"/>
        <v>0.15984597228197622</v>
      </c>
    </row>
    <row r="5119" spans="1:22" x14ac:dyDescent="0.2">
      <c r="A5119" s="45" t="str">
        <f>"hydrogen supply, transported by "&amp;B5090&amp;", produced by "&amp;B5094&amp;" using "&amp;B5095&amp;" from "&amp;B5096</f>
        <v>hydrogen supply, transported by train, produced by Electrolysis, PEM using water and electricity from Solar PV (IT)</v>
      </c>
      <c r="B5119" s="53">
        <f>(B5115/B5099)/B5098*B5110</f>
        <v>2.1364003947168392E-3</v>
      </c>
      <c r="C5119" t="s">
        <v>56</v>
      </c>
      <c r="E5119" t="s">
        <v>64</v>
      </c>
      <c r="F5119" t="s">
        <v>86</v>
      </c>
      <c r="G5119" t="str">
        <f>"hydrogen, gaseous, from "&amp;B5090</f>
        <v>hydrogen, gaseous, from train</v>
      </c>
      <c r="H5119" t="s">
        <v>76</v>
      </c>
      <c r="I5119" t="s">
        <v>1054</v>
      </c>
      <c r="J5119" t="s">
        <v>637</v>
      </c>
      <c r="K5119" t="str">
        <f>B5076</f>
        <v>heat, residential, by conversion of hydrogen using fuel cell, SOFC, allocated by exergy, transported by train, produced by Electrolysis, PEM using water and electricity from Solar PV (IT)</v>
      </c>
      <c r="L5119">
        <f t="shared" si="184"/>
        <v>2</v>
      </c>
      <c r="M5119">
        <f t="shared" si="185"/>
        <v>-6.1486329247407472</v>
      </c>
      <c r="N5119">
        <v>1</v>
      </c>
      <c r="O5119" s="15">
        <v>1.2</v>
      </c>
      <c r="P5119">
        <v>1</v>
      </c>
      <c r="Q5119">
        <v>1.01</v>
      </c>
      <c r="R5119">
        <v>1.2</v>
      </c>
      <c r="S5119">
        <v>1.2</v>
      </c>
      <c r="T5119">
        <v>1.05</v>
      </c>
      <c r="U5119">
        <f t="shared" si="186"/>
        <v>0.15984597228197622</v>
      </c>
    </row>
    <row r="5120" spans="1:22" x14ac:dyDescent="0.2">
      <c r="A5120" t="str">
        <f>VLOOKUP(J5120,'dataset mapping'!$A$4:$E$69,2,0)</f>
        <v>market for transport, freight train</v>
      </c>
      <c r="B5120" s="45">
        <f>SUM(B5119:B5119)/1000*B5091</f>
        <v>3.6318806710186266E-3</v>
      </c>
      <c r="C5120" t="str">
        <f>VLOOKUP(J5120,'dataset mapping'!$A$4:$E$69,5,0)</f>
        <v>ton kilometer</v>
      </c>
      <c r="E5120" t="str">
        <f>VLOOKUP(J5120,'dataset mapping'!$A$4:$E$69,4,0)</f>
        <v>CH</v>
      </c>
      <c r="F5120" t="s">
        <v>86</v>
      </c>
      <c r="G5120" t="str">
        <f>VLOOKUP(J5120,'dataset mapping'!$A$4:$E$69,3,0)</f>
        <v>transport, freight train</v>
      </c>
      <c r="H5120" t="s">
        <v>88</v>
      </c>
      <c r="I5120" t="s">
        <v>1052</v>
      </c>
      <c r="J5120" t="s">
        <v>295</v>
      </c>
      <c r="K5120" t="str">
        <f>B5076</f>
        <v>heat, residential, by conversion of hydrogen using fuel cell, SOFC, allocated by exergy, transported by train, produced by Electrolysis, PEM using water and electricity from Solar PV (IT)</v>
      </c>
      <c r="L5120">
        <f t="shared" si="184"/>
        <v>2</v>
      </c>
      <c r="M5120">
        <f t="shared" si="185"/>
        <v>-5.6180046736785769</v>
      </c>
      <c r="N5120">
        <v>1</v>
      </c>
      <c r="O5120" s="15">
        <v>1.2</v>
      </c>
      <c r="P5120">
        <v>1</v>
      </c>
      <c r="Q5120">
        <v>1.01</v>
      </c>
      <c r="R5120">
        <v>1.2</v>
      </c>
      <c r="S5120">
        <v>1.2</v>
      </c>
      <c r="T5120">
        <v>2</v>
      </c>
      <c r="U5120">
        <f t="shared" si="186"/>
        <v>0.38087907307228186</v>
      </c>
    </row>
    <row r="5121" spans="1:21" x14ac:dyDescent="0.2">
      <c r="A5121" t="str">
        <f>VLOOKUP(J5121,'dataset mapping'!$A$4:$E$69,2,0)</f>
        <v>high pressure hydrogen storage tank</v>
      </c>
      <c r="B5121" s="52">
        <f>((B5111/10)/(B5109*B5105*20*3.6))*IF(B5110&lt;&gt;0,B5110,1)</f>
        <v>2.3589421024998428E-7</v>
      </c>
      <c r="C5121" t="str">
        <f>VLOOKUP(J5121,'dataset mapping'!$A$4:$E$69,5,0)</f>
        <v>kilogram</v>
      </c>
      <c r="E5121" t="str">
        <f>VLOOKUP(J5121,'dataset mapping'!$A$4:$E$69,4,0)</f>
        <v>GLO</v>
      </c>
      <c r="F5121" t="s">
        <v>86</v>
      </c>
      <c r="G5121" t="str">
        <f>VLOOKUP(J5121,'dataset mapping'!$A$4:$E$69,3,0)</f>
        <v>high pressure hydrogen storage tank</v>
      </c>
      <c r="H5121" t="s">
        <v>88</v>
      </c>
      <c r="I5121" t="s">
        <v>230</v>
      </c>
      <c r="J5121" t="s">
        <v>229</v>
      </c>
      <c r="K5121" t="str">
        <f>B5076</f>
        <v>heat, residential, by conversion of hydrogen using fuel cell, SOFC, allocated by exergy, transported by train, produced by Electrolysis, PEM using water and electricity from Solar PV (IT)</v>
      </c>
      <c r="L5121">
        <f t="shared" si="184"/>
        <v>2</v>
      </c>
      <c r="M5121">
        <f t="shared" si="185"/>
        <v>-15.259882394072699</v>
      </c>
      <c r="N5121">
        <v>1</v>
      </c>
      <c r="O5121" s="15">
        <v>1.2</v>
      </c>
      <c r="P5121">
        <v>1</v>
      </c>
      <c r="Q5121">
        <v>1.01</v>
      </c>
      <c r="R5121">
        <v>1.2</v>
      </c>
      <c r="S5121">
        <v>1.2</v>
      </c>
      <c r="T5121">
        <v>3</v>
      </c>
      <c r="U5121">
        <f t="shared" si="186"/>
        <v>0.57157051623399524</v>
      </c>
    </row>
    <row r="5122" spans="1:21" x14ac:dyDescent="0.2">
      <c r="A5122" t="s">
        <v>134</v>
      </c>
      <c r="B5122" s="45">
        <f>B5119*9</f>
        <v>1.9227603552451553E-2</v>
      </c>
      <c r="C5122" t="s">
        <v>56</v>
      </c>
      <c r="D5122" t="s">
        <v>100</v>
      </c>
      <c r="F5122" t="s">
        <v>99</v>
      </c>
      <c r="H5122" t="s">
        <v>131</v>
      </c>
      <c r="I5122" t="s">
        <v>1057</v>
      </c>
      <c r="K5122" t="str">
        <f>B5076</f>
        <v>heat, residential, by conversion of hydrogen using fuel cell, SOFC, allocated by exergy, transported by train, produced by Electrolysis, PEM using water and electricity from Solar PV (IT)</v>
      </c>
      <c r="L5122">
        <f t="shared" si="184"/>
        <v>2</v>
      </c>
      <c r="M5122">
        <f t="shared" si="185"/>
        <v>-3.9514083474045276</v>
      </c>
      <c r="N5122">
        <v>1</v>
      </c>
      <c r="O5122" s="15">
        <v>1.2</v>
      </c>
      <c r="P5122">
        <v>1</v>
      </c>
      <c r="Q5122">
        <v>1.01</v>
      </c>
      <c r="R5122">
        <v>1.2</v>
      </c>
      <c r="S5122">
        <v>1.2</v>
      </c>
      <c r="T5122">
        <v>1.05</v>
      </c>
      <c r="U5122">
        <f t="shared" si="186"/>
        <v>0.15984597228197622</v>
      </c>
    </row>
    <row r="5124" spans="1:21" x14ac:dyDescent="0.2">
      <c r="A5124" s="2" t="s">
        <v>50</v>
      </c>
      <c r="B5124" s="44" t="str">
        <f>IF(B5130="megajoule","heat","electricity")&amp;", residential, by "&amp;B5135&amp;" of "&amp;B5134&amp;" using "&amp;B5136&amp;IF(B5137&lt;&gt;0,", allocated by "&amp;B5137,"")&amp;", transported by "&amp;B5138&amp;", produced by "&amp;B5142&amp;" using "&amp;B5143&amp;" from "&amp;B5144</f>
        <v>electricity, residential, by combustion of hydrogen using CHP, allocated by exergy, transported by train, produced by Electrolysis, PEM using water and electricity from Solar PV (IT)</v>
      </c>
    </row>
    <row r="5125" spans="1:21" x14ac:dyDescent="0.2">
      <c r="A5125" t="s">
        <v>51</v>
      </c>
      <c r="B5125" s="45" t="str">
        <f>"This dataset represents the supply of 1 "&amp;IF(B5130="megajoule","megajoule of heat","kilowatt hour of electricity")&amp;" in a residence, by "&amp;B5134&amp;" "&amp;B5135&amp;" in a "&amp;B5136&amp;". "&amp;" The hydrogen is transported by "&amp;B5138&amp;" over "&amp;B5139&amp;" km from regional storage. "&amp;" The "&amp;B5134&amp;" is produced by  "&amp;B5142&amp;", with "&amp;B5143&amp;" from "&amp;B5144&amp;" as feedstock. "&amp;A5146&amp;": "&amp;(B5146*100)&amp;"%. "&amp;A5147&amp;": "&amp;B5147&amp;". "&amp;A5148&amp;": "&amp;B5148&amp;". "&amp;A5149&amp;": "&amp;(B5149*100)&amp;"%. "&amp;A5150&amp;": "&amp;(B5150*100)&amp;"%. "&amp;A5151&amp;": "&amp;(B5151*100)&amp;"%. "&amp;A5152&amp;": "&amp;B5152&amp;". "&amp;A5153&amp;": "&amp;B5153&amp;". "&amp;A5154&amp;": "&amp;(B5154*100)&amp;"%. "&amp;A5155&amp;": "&amp;B5155&amp;". "&amp;A5156&amp;": "&amp;B5156&amp;". "&amp;A5157&amp;": "&amp;B5157&amp;". "&amp;A5158&amp;": "&amp;B5158&amp;".  For more information, refer to: "&amp;B5126</f>
        <v>This dataset represents the supply of 1 kilowatt hour of electricity in a residence, by hydrogen combustion in a CHP.  The hydrogen is transported by train over 1700 km from regional storage.  The hydrogen is produced by  Electrolysis, PEM,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5126" spans="1:21" x14ac:dyDescent="0.2">
      <c r="A5126" t="s">
        <v>63</v>
      </c>
      <c r="B5126" s="45" t="s">
        <v>1223</v>
      </c>
    </row>
    <row r="5127" spans="1:21" x14ac:dyDescent="0.2">
      <c r="A5127" t="s">
        <v>52</v>
      </c>
      <c r="B5127" s="45" t="s">
        <v>64</v>
      </c>
    </row>
    <row r="5128" spans="1:21" x14ac:dyDescent="0.2">
      <c r="A5128" t="s">
        <v>48</v>
      </c>
      <c r="B5128" s="45" t="s">
        <v>910</v>
      </c>
    </row>
    <row r="5129" spans="1:21" x14ac:dyDescent="0.2">
      <c r="A5129" t="s">
        <v>54</v>
      </c>
      <c r="B5129" s="45" t="str">
        <f>INDEX(overview!$B$4:$R$338,MATCH('hydrogen - electrolysis'!B5128,overview!$A$4:$A$338,0),MATCH('hydrogen - electrolysis'!A5129,overview!$B$3:$R$3,0))</f>
        <v>electricity, from residential heating system</v>
      </c>
    </row>
    <row r="5130" spans="1:21" x14ac:dyDescent="0.2">
      <c r="A5130" t="s">
        <v>55</v>
      </c>
      <c r="B5130" s="45" t="str">
        <f>INDEX(overview!$B$4:$R$338,MATCH('hydrogen - electrolysis'!B5128,overview!$A$4:$A$338,0),MATCH('hydrogen - electrolysis'!A5130,overview!$B$3:$R$3,0))</f>
        <v>kilowatt hour</v>
      </c>
    </row>
    <row r="5131" spans="1:21" x14ac:dyDescent="0.2">
      <c r="A5131" t="s">
        <v>0</v>
      </c>
      <c r="B5131" s="45" t="str">
        <f>INDEX(overview!$B$4:$R$338,MATCH('hydrogen - electrolysis'!B5128,overview!$A$4:$A$338,0),MATCH('hydrogen - electrolysis'!A5131,overview!$B$3:$R$3,0))</f>
        <v>Switzerland</v>
      </c>
    </row>
    <row r="5132" spans="1:21" x14ac:dyDescent="0.2">
      <c r="A5132" t="s">
        <v>1</v>
      </c>
      <c r="B5132" s="45">
        <f>INDEX(overview!$B$4:$R$338,MATCH('hydrogen - electrolysis'!B5128,overview!$A$4:$A$338,0),MATCH('hydrogen - electrolysis'!A5132,overview!$B$3:$R$3,0))</f>
        <v>2020</v>
      </c>
    </row>
    <row r="5133" spans="1:21" x14ac:dyDescent="0.2">
      <c r="A5133" t="s">
        <v>2</v>
      </c>
      <c r="B5133" s="45" t="str">
        <f>INDEX(overview!$B$4:$R$338,MATCH('hydrogen - electrolysis'!B5128,overview!$A$4:$A$338,0),MATCH('hydrogen - electrolysis'!A5133,overview!$B$3:$R$3,0))</f>
        <v>1 kWh electricity</v>
      </c>
    </row>
    <row r="5134" spans="1:21" x14ac:dyDescent="0.2">
      <c r="A5134" t="s">
        <v>5</v>
      </c>
      <c r="B5134" s="45" t="str">
        <f>INDEX(overview!$B$4:$R$338,MATCH('hydrogen - electrolysis'!B5128,overview!$A$4:$A$338,0),MATCH('hydrogen - electrolysis'!A5134,overview!$B$3:$R$3,0))</f>
        <v>hydrogen</v>
      </c>
    </row>
    <row r="5135" spans="1:21" x14ac:dyDescent="0.2">
      <c r="A5135" t="s">
        <v>3</v>
      </c>
      <c r="B5135" s="45" t="str">
        <f>INDEX(overview!$B$4:$R$338,MATCH('hydrogen - electrolysis'!B5128,overview!$A$4:$A$338,0),MATCH('hydrogen - electrolysis'!A5135,overview!$B$3:$R$3,0))</f>
        <v>combustion</v>
      </c>
    </row>
    <row r="5136" spans="1:21" x14ac:dyDescent="0.2">
      <c r="A5136" t="s">
        <v>6</v>
      </c>
      <c r="B5136" s="45" t="str">
        <f>INDEX(overview!$B$4:$R$338,MATCH('hydrogen - electrolysis'!B5128,overview!$A$4:$A$338,0),MATCH('hydrogen - electrolysis'!A5136,overview!$B$3:$R$3,0))</f>
        <v>CHP</v>
      </c>
    </row>
    <row r="5137" spans="1:2" x14ac:dyDescent="0.2">
      <c r="A5137" t="s">
        <v>39</v>
      </c>
      <c r="B5137" s="45" t="str">
        <f>INDEX(overview!$B$4:$R$338,MATCH('hydrogen - electrolysis'!B5128,overview!$A$4:$A$338,0),MATCH('hydrogen - electrolysis'!A5137,overview!$B$3:$R$3,0))</f>
        <v>exergy</v>
      </c>
    </row>
    <row r="5138" spans="1:2" x14ac:dyDescent="0.2">
      <c r="A5138" t="s">
        <v>4</v>
      </c>
      <c r="B5138" s="45" t="str">
        <f>INDEX(overview!$B$4:$R$338,MATCH('hydrogen - electrolysis'!B5128,overview!$A$4:$A$338,0),MATCH('hydrogen - electrolysis'!A5138,overview!$B$3:$R$3,0))</f>
        <v>train</v>
      </c>
    </row>
    <row r="5139" spans="1:2" x14ac:dyDescent="0.2">
      <c r="A5139" t="s">
        <v>38</v>
      </c>
      <c r="B5139" s="45">
        <f>INDEX(overview!$B$4:$R$338,MATCH('hydrogen - electrolysis'!B5128,overview!$A$4:$A$338,0),MATCH('hydrogen - electrolysis'!A5139,overview!$B$3:$R$3,0))</f>
        <v>1700</v>
      </c>
    </row>
    <row r="5140" spans="1:2" x14ac:dyDescent="0.2">
      <c r="A5140" t="s">
        <v>12</v>
      </c>
      <c r="B5140" s="45" t="str">
        <f>INDEX(overview!$B$4:$R$338,MATCH('hydrogen - electrolysis'!B5128,overview!$A$4:$A$338,0),MATCH('hydrogen - electrolysis'!A5140,overview!$B$3:$R$3,0))</f>
        <v>Pressure vessel for stationary storage</v>
      </c>
    </row>
    <row r="5141" spans="1:2" x14ac:dyDescent="0.2">
      <c r="A5141" t="s">
        <v>34</v>
      </c>
      <c r="B5141" s="45">
        <f>INDEX(overview!$B$4:$R$338,MATCH('hydrogen - electrolysis'!B5128,overview!$A$4:$A$338,0),MATCH('hydrogen - electrolysis'!A5141,overview!$B$3:$R$3,0))</f>
        <v>0</v>
      </c>
    </row>
    <row r="5142" spans="1:2" x14ac:dyDescent="0.2">
      <c r="A5142" t="s">
        <v>15</v>
      </c>
      <c r="B5142" s="45" t="str">
        <f>INDEX(overview!$B$4:$R$338,MATCH('hydrogen - electrolysis'!B5128,overview!$A$4:$A$338,0),MATCH('hydrogen - electrolysis'!A5142,overview!$B$3:$R$3,0))</f>
        <v>Electrolysis, PEM</v>
      </c>
    </row>
    <row r="5143" spans="1:2" x14ac:dyDescent="0.2">
      <c r="A5143" t="s">
        <v>14</v>
      </c>
      <c r="B5143" s="45" t="str">
        <f>INDEX(overview!$B$4:$R$338,MATCH('hydrogen - electrolysis'!B5128,overview!$A$4:$A$338,0),MATCH('hydrogen - electrolysis'!A5143,overview!$B$3:$R$3,0))</f>
        <v>water and electricity</v>
      </c>
    </row>
    <row r="5144" spans="1:2" x14ac:dyDescent="0.2">
      <c r="A5144" t="s">
        <v>26</v>
      </c>
      <c r="B5144" s="45" t="str">
        <f>INDEX(overview!$B$4:$R$338,MATCH('hydrogen - electrolysis'!B5128,overview!$A$4:$A$338,0),MATCH('hydrogen - electrolysis'!A5144,overview!$B$3:$R$3,0))</f>
        <v>Solar PV (IT)</v>
      </c>
    </row>
    <row r="5145" spans="1:2" x14ac:dyDescent="0.2">
      <c r="A5145" t="s">
        <v>29</v>
      </c>
      <c r="B5145" s="45">
        <f>INDEX(overview!$B$4:$R$338,MATCH('hydrogen - electrolysis'!B5128,overview!$A$4:$A$338,0),MATCH('hydrogen - electrolysis'!A5145,overview!$B$3:$R$3,0))</f>
        <v>0</v>
      </c>
    </row>
    <row r="5146" spans="1:2" x14ac:dyDescent="0.2">
      <c r="A5146" t="str">
        <f>IF(B5130="megajoule","Heat","Electricity")&amp;" conversion efficiency [% LHV input]"</f>
        <v>Electricity conversion efficiency [% LHV input]</v>
      </c>
      <c r="B5146" s="46">
        <f>INDEX(parameters!$D$4:$N$20,MATCH('hydrogen - electrolysis'!B5134&amp;'hydrogen - electrolysis'!B5136,parameters!$A$4:$A$20,0),MATCH('hydrogen - electrolysis'!A5146,parameters!$D$3:$N$3,0))</f>
        <v>0.39400000000000002</v>
      </c>
    </row>
    <row r="5147" spans="1:2" x14ac:dyDescent="0.2">
      <c r="A5147" t="str">
        <f>IF(B5130="megajoule","LHV [MJ/kg]","LHV [kWh/kg]")</f>
        <v>LHV [kWh/kg]</v>
      </c>
      <c r="B5147" s="47">
        <f>INDEX(parameters!$D$4:$N$20,MATCH('hydrogen - electrolysis'!B5134&amp;'hydrogen - electrolysis'!B5136,parameters!$A$4:$A$20,0),MATCH('hydrogen - electrolysis'!A5147,parameters!$D$3:$N$3,0))</f>
        <v>33.333333333333336</v>
      </c>
    </row>
    <row r="5148" spans="1:2" x14ac:dyDescent="0.2">
      <c r="A5148" t="s">
        <v>41</v>
      </c>
      <c r="B5148" s="48">
        <f>INDEX(parameters!$D$4:$N$20,MATCH('hydrogen - electrolysis'!B5134&amp;'hydrogen - electrolysis'!B5136,parameters!$A$4:$A$20,0),MATCH('hydrogen - electrolysis'!A5148,parameters!$D$3:$N$3,0))</f>
        <v>2.6666666666666665E-2</v>
      </c>
    </row>
    <row r="5149" spans="1:2" x14ac:dyDescent="0.2">
      <c r="A5149" t="s">
        <v>45</v>
      </c>
      <c r="B5149" s="46">
        <f>INDEX(parameters!$D$4:$N$20,MATCH('hydrogen - electrolysis'!B5134&amp;'hydrogen - electrolysis'!B5136,parameters!$A$4:$A$20,0),MATCH('hydrogen - electrolysis'!A5149,parameters!$D$3:$N$3,0))</f>
        <v>0</v>
      </c>
    </row>
    <row r="5150" spans="1:2" x14ac:dyDescent="0.2">
      <c r="A5150" t="s">
        <v>46</v>
      </c>
      <c r="B5150" s="46">
        <f>INDEX(parameters!$D$4:$N$20,MATCH('hydrogen - electrolysis'!B5134&amp;'hydrogen - electrolysis'!B5136,parameters!$A$4:$A$20,0),MATCH('hydrogen - electrolysis'!A5150,parameters!$D$3:$N$3,0))</f>
        <v>1.4999999999999999E-2</v>
      </c>
    </row>
    <row r="5151" spans="1:2" x14ac:dyDescent="0.2">
      <c r="A5151" t="s">
        <v>43</v>
      </c>
      <c r="B5151" s="46">
        <f>INDEX(parameters!$D$4:$N$20,MATCH('hydrogen - electrolysis'!B5134&amp;'hydrogen - electrolysis'!B5136,parameters!$A$4:$A$20,0),MATCH('hydrogen - electrolysis'!A5151,parameters!$D$3:$N$3,0))</f>
        <v>0</v>
      </c>
    </row>
    <row r="5152" spans="1:2" x14ac:dyDescent="0.2">
      <c r="A5152" t="s">
        <v>44</v>
      </c>
      <c r="B5152" s="46">
        <f>INDEX(parameters!$D$4:$N$20,MATCH('hydrogen - electrolysis'!B5134&amp;'hydrogen - electrolysis'!B5136,parameters!$A$4:$A$20,0),MATCH('hydrogen - electrolysis'!A5152,parameters!$D$3:$N$3,0))</f>
        <v>0</v>
      </c>
    </row>
    <row r="5153" spans="1:22" x14ac:dyDescent="0.2">
      <c r="A5153" t="s">
        <v>634</v>
      </c>
      <c r="B5153" s="51">
        <f>INDEX(parameters!$D$4:$Y$20,MATCH('hydrogen - electrolysis'!B5134&amp;'hydrogen - electrolysis'!B5136,parameters!$A$4:$A$20,0),MATCH('hydrogen - electrolysis'!A5153,parameters!$D$3:$Y$3,0))</f>
        <v>351.41800246609125</v>
      </c>
    </row>
    <row r="5154" spans="1:22" x14ac:dyDescent="0.2">
      <c r="A5154" t="s">
        <v>82</v>
      </c>
      <c r="B5154" s="46">
        <f>IF(B5145&lt;&gt;0,VLOOKUP(B5145,parameters!A3329:B3331,2,0),0)</f>
        <v>0</v>
      </c>
    </row>
    <row r="5155" spans="1:22" x14ac:dyDescent="0.2">
      <c r="A5155" t="s">
        <v>548</v>
      </c>
      <c r="B5155" s="50">
        <f>INDEX(parameters!$D$4:$P$20,MATCH(B5134&amp;B5136,parameters!$A$4:$A$20,0),MATCH(A5155,parameters!$D$3:$P$3,0))</f>
        <v>125</v>
      </c>
    </row>
    <row r="5156" spans="1:22" x14ac:dyDescent="0.2">
      <c r="A5156" t="s">
        <v>547</v>
      </c>
      <c r="B5156" s="51">
        <f>INDEX(parameters!$D$4:$P$20,MATCH(B5134&amp;B5136,parameters!$A$4:$A$20,0),MATCH(A5156,parameters!$D$3:$P$3,0))</f>
        <v>19.512195121951219</v>
      </c>
    </row>
    <row r="5157" spans="1:22" x14ac:dyDescent="0.2">
      <c r="A5157" t="s">
        <v>630</v>
      </c>
      <c r="B5157" s="51">
        <f>INDEX(parameters!$D$4:$T$20,MATCH(B5134&amp;B5136,parameters!$A$4:$A$20,0),MATCH(A5157,parameters!$D$3:$T$3,0))</f>
        <v>4100</v>
      </c>
    </row>
    <row r="5158" spans="1:22" x14ac:dyDescent="0.2">
      <c r="A5158" t="s">
        <v>1005</v>
      </c>
      <c r="B5158" s="50">
        <f>IF(B5130="megajoule",SUMIFS(allocation!$I$4:$I$30,allocation!$B$4:$B$30,B5136,allocation!$C$4:$C$30,B5137),SUMIFS(allocation!$J$4:$J$30,allocation!$B$4:$B$30,B5136,allocation!$C$4:$C$30,B5137))</f>
        <v>0.87139957772704957</v>
      </c>
    </row>
    <row r="5159" spans="1:22" x14ac:dyDescent="0.2">
      <c r="A5159" t="s">
        <v>1050</v>
      </c>
      <c r="B5159" s="51">
        <f>INDEX(parameters!$D$4:$AB$20,MATCH(B5134&amp;B5136,parameters!$A$4:$A$20,0),MATCH(A5159,parameters!$D$3:$AB$3,0))</f>
        <v>2220.7364520822662</v>
      </c>
    </row>
    <row r="5161" spans="1:22" x14ac:dyDescent="0.2">
      <c r="A5161" s="3" t="s">
        <v>57</v>
      </c>
    </row>
    <row r="5162" spans="1:22" x14ac:dyDescent="0.2">
      <c r="A5162" s="2" t="s">
        <v>58</v>
      </c>
      <c r="B5162" s="44" t="s">
        <v>59</v>
      </c>
      <c r="C5162" s="2" t="s">
        <v>55</v>
      </c>
      <c r="D5162" s="2" t="s">
        <v>60</v>
      </c>
      <c r="E5162" s="2" t="s">
        <v>52</v>
      </c>
      <c r="F5162" s="2" t="s">
        <v>61</v>
      </c>
      <c r="G5162" s="2" t="s">
        <v>54</v>
      </c>
      <c r="H5162" s="2" t="s">
        <v>87</v>
      </c>
      <c r="I5162" s="2" t="s">
        <v>51</v>
      </c>
      <c r="J5162" s="2" t="s">
        <v>138</v>
      </c>
      <c r="K5162" s="2" t="s">
        <v>136</v>
      </c>
      <c r="L5162" s="2" t="s">
        <v>221</v>
      </c>
      <c r="M5162" s="2" t="s">
        <v>379</v>
      </c>
      <c r="N5162" s="2" t="s">
        <v>1059</v>
      </c>
      <c r="O5162" s="2" t="s">
        <v>1060</v>
      </c>
      <c r="P5162" s="2" t="s">
        <v>1061</v>
      </c>
      <c r="Q5162" s="2" t="s">
        <v>1062</v>
      </c>
      <c r="R5162" s="2" t="s">
        <v>1063</v>
      </c>
      <c r="S5162" s="2" t="s">
        <v>1064</v>
      </c>
      <c r="T5162" s="2" t="s">
        <v>1065</v>
      </c>
      <c r="U5162" s="2" t="s">
        <v>380</v>
      </c>
      <c r="V5162" s="2" t="s">
        <v>1128</v>
      </c>
    </row>
    <row r="5163" spans="1:22" x14ac:dyDescent="0.2">
      <c r="A5163" t="str">
        <f>B5124</f>
        <v>electricity, residential, by combustion of hydrogen using CHP, allocated by exergy, transported by train, produced by Electrolysis, PEM using water and electricity from Solar PV (IT)</v>
      </c>
      <c r="B5163" s="45">
        <v>1</v>
      </c>
      <c r="C5163" t="str">
        <f>B5130</f>
        <v>kilowatt hour</v>
      </c>
      <c r="E5163" t="str">
        <f>B5127</f>
        <v>CH</v>
      </c>
      <c r="F5163" t="s">
        <v>62</v>
      </c>
      <c r="G5163" t="str">
        <f>B5129</f>
        <v>electricity, from residential heating system</v>
      </c>
      <c r="K5163" t="str">
        <f>B5124</f>
        <v>electricity, residential, by combustion of hydrogen using CHP, allocated by exergy, transported by train, produced by Electrolysis, PEM using water and electricity from Solar PV (IT)</v>
      </c>
    </row>
    <row r="5164" spans="1:22" x14ac:dyDescent="0.2">
      <c r="A5164" t="str">
        <f>VLOOKUP(J5164,'dataset mapping'!$A$4:$E$69,2,0)</f>
        <v>heat and power co-generation unit construction, 160kW electrical, common components for heat+electricity</v>
      </c>
      <c r="B5164" s="52">
        <f>(1/(B5153*B5157*B5156))*B5158</f>
        <v>3.0995835856870056E-8</v>
      </c>
      <c r="C5164" t="str">
        <f>VLOOKUP(J5164,'dataset mapping'!$A$4:$E$69,5,0)</f>
        <v>unit</v>
      </c>
      <c r="E5164" t="str">
        <f>VLOOKUP(J5164,'dataset mapping'!$A$4:$E$69,4,0)</f>
        <v>RER</v>
      </c>
      <c r="F5164" t="s">
        <v>86</v>
      </c>
      <c r="G5164" t="str">
        <f>VLOOKUP(J5164,'dataset mapping'!$A$4:$E$69,3,0)</f>
        <v>heat and power co-generation unit, 160kW electrical, common components for heat+electricity</v>
      </c>
      <c r="H5164" t="s">
        <v>88</v>
      </c>
      <c r="J5164" t="s">
        <v>145</v>
      </c>
      <c r="K5164" t="str">
        <f>B5124</f>
        <v>electricity, residential, by combustion of hydrogen using CHP, allocated by exergy, transported by train, produced by Electrolysis, PEM using water and electricity from Solar PV (IT)</v>
      </c>
      <c r="L5164">
        <f t="shared" ref="L5164:L5173" si="187">IF(OR(B5164&lt;0,B5164=0),1,2)</f>
        <v>2</v>
      </c>
      <c r="M5164">
        <f t="shared" ref="M5164:M5173" si="188">IF(L5164=2,LN(B5164),"")</f>
        <v>-17.28941296868171</v>
      </c>
      <c r="N5164">
        <v>1.05</v>
      </c>
      <c r="O5164" s="15">
        <v>1.2</v>
      </c>
      <c r="P5164">
        <v>1</v>
      </c>
      <c r="Q5164">
        <v>1.01</v>
      </c>
      <c r="R5164">
        <v>1.2</v>
      </c>
      <c r="S5164">
        <v>1.2</v>
      </c>
      <c r="T5164">
        <v>3</v>
      </c>
      <c r="U5164">
        <f t="shared" ref="U5164:U5173" si="189">LN(SQRT(EXP(
SQRT(
+POWER(LN(N5164),2)
+POWER(LN(O5164),2)
+POWER(LN(P5164),2)
+POWER(LN(Q5164),2)
+POWER(LN(R5164),2)
+POWER(LN(S5164),2)
+POWER(LN(T5164),2)
)
)))</f>
        <v>0.57209088006881903</v>
      </c>
    </row>
    <row r="5165" spans="1:22" x14ac:dyDescent="0.2">
      <c r="A5165" t="str">
        <f>VLOOKUP(J5165,'dataset mapping'!$A$4:$E$69,2,0)</f>
        <v>heat and power co-generation unit construction, 160kW electrical, components for electricity only</v>
      </c>
      <c r="B5165" s="52">
        <f>(1/(B5153*B5157*B5156))*B5158</f>
        <v>3.0995835856870056E-8</v>
      </c>
      <c r="C5165" t="str">
        <f>VLOOKUP(J5165,'dataset mapping'!$A$4:$E$69,5,0)</f>
        <v>unit</v>
      </c>
      <c r="E5165" t="str">
        <f>VLOOKUP(J5165,'dataset mapping'!$A$4:$E$69,4,0)</f>
        <v>RER</v>
      </c>
      <c r="F5165" t="s">
        <v>86</v>
      </c>
      <c r="G5165" t="str">
        <f>VLOOKUP(J5165,'dataset mapping'!$A$4:$E$69,3,0)</f>
        <v>heat and power co-generation unit, 160kW electrical, components for electricity only</v>
      </c>
      <c r="H5165" t="s">
        <v>88</v>
      </c>
      <c r="J5165" t="s">
        <v>146</v>
      </c>
      <c r="K5165" t="str">
        <f>B5124</f>
        <v>electricity, residential, by combustion of hydrogen using CHP, allocated by exergy, transported by train, produced by Electrolysis, PEM using water and electricity from Solar PV (IT)</v>
      </c>
      <c r="L5165">
        <f t="shared" si="187"/>
        <v>2</v>
      </c>
      <c r="M5165">
        <f t="shared" si="188"/>
        <v>-17.28941296868171</v>
      </c>
      <c r="N5165">
        <v>1.05</v>
      </c>
      <c r="O5165" s="15">
        <v>1.2</v>
      </c>
      <c r="P5165">
        <v>1</v>
      </c>
      <c r="Q5165">
        <v>1.01</v>
      </c>
      <c r="R5165">
        <v>1.2</v>
      </c>
      <c r="S5165">
        <v>1.2</v>
      </c>
      <c r="T5165">
        <v>3</v>
      </c>
      <c r="U5165">
        <f t="shared" si="189"/>
        <v>0.57209088006881903</v>
      </c>
    </row>
    <row r="5166" spans="1:22" x14ac:dyDescent="0.2">
      <c r="A5166" t="str">
        <f>VLOOKUP(J5166,'dataset mapping'!$A$4:$E$69,2,0)</f>
        <v>heat and power co-generation unit construction, 160kW electrical, components for heat only</v>
      </c>
      <c r="B5166" s="52">
        <f>(1/(B5153*B5157*B5156))*B5158</f>
        <v>3.0995835856870056E-8</v>
      </c>
      <c r="C5166" t="str">
        <f>VLOOKUP(J5166,'dataset mapping'!$A$4:$E$69,5,0)</f>
        <v>unit</v>
      </c>
      <c r="E5166" t="str">
        <f>VLOOKUP(J5166,'dataset mapping'!$A$4:$E$69,4,0)</f>
        <v>RER</v>
      </c>
      <c r="F5166" t="s">
        <v>86</v>
      </c>
      <c r="G5166" t="str">
        <f>VLOOKUP(J5166,'dataset mapping'!$A$4:$E$69,3,0)</f>
        <v>heat and power co-generation unit, 160kW electrical, components for heat only</v>
      </c>
      <c r="H5166" t="s">
        <v>88</v>
      </c>
      <c r="J5166" t="s">
        <v>147</v>
      </c>
      <c r="K5166" t="str">
        <f>B5124</f>
        <v>electricity, residential, by combustion of hydrogen using CHP, allocated by exergy, transported by train, produced by Electrolysis, PEM using water and electricity from Solar PV (IT)</v>
      </c>
      <c r="L5166">
        <f t="shared" si="187"/>
        <v>2</v>
      </c>
      <c r="M5166">
        <f t="shared" si="188"/>
        <v>-17.28941296868171</v>
      </c>
      <c r="N5166">
        <v>1.05</v>
      </c>
      <c r="O5166" s="15">
        <v>1.2</v>
      </c>
      <c r="P5166">
        <v>1</v>
      </c>
      <c r="Q5166">
        <v>1.01</v>
      </c>
      <c r="R5166">
        <v>1.2</v>
      </c>
      <c r="S5166">
        <v>1.2</v>
      </c>
      <c r="T5166">
        <v>3</v>
      </c>
      <c r="U5166">
        <f t="shared" si="189"/>
        <v>0.57209088006881903</v>
      </c>
    </row>
    <row r="5167" spans="1:22" x14ac:dyDescent="0.2">
      <c r="A5167" t="s">
        <v>156</v>
      </c>
      <c r="B5167" s="52">
        <f>0.00000011366*B5158</f>
        <v>9.9043276004456456E-8</v>
      </c>
      <c r="C5167" t="s">
        <v>56</v>
      </c>
      <c r="E5167" t="s">
        <v>90</v>
      </c>
      <c r="F5167" t="s">
        <v>86</v>
      </c>
      <c r="G5167" t="s">
        <v>154</v>
      </c>
      <c r="H5167" t="s">
        <v>155</v>
      </c>
      <c r="K5167" t="str">
        <f>B5124</f>
        <v>electricity, residential, by combustion of hydrogen using CHP, allocated by exergy, transported by train, produced by Electrolysis, PEM using water and electricity from Solar PV (IT)</v>
      </c>
      <c r="L5167">
        <f t="shared" si="187"/>
        <v>2</v>
      </c>
      <c r="M5167">
        <f t="shared" si="188"/>
        <v>-16.127708950967754</v>
      </c>
      <c r="N5167">
        <v>1.05</v>
      </c>
      <c r="O5167" s="15">
        <v>1.2</v>
      </c>
      <c r="P5167">
        <v>1</v>
      </c>
      <c r="Q5167">
        <v>1.01</v>
      </c>
      <c r="R5167">
        <v>1.2</v>
      </c>
      <c r="S5167">
        <v>1.2</v>
      </c>
      <c r="T5167">
        <v>1.05</v>
      </c>
      <c r="U5167">
        <f t="shared" si="189"/>
        <v>0.16169679924070957</v>
      </c>
    </row>
    <row r="5168" spans="1:22" x14ac:dyDescent="0.2">
      <c r="A5168" t="s">
        <v>157</v>
      </c>
      <c r="B5168" s="52">
        <f>0.00000011366*B5158*-1</f>
        <v>-9.9043276004456456E-8</v>
      </c>
      <c r="C5168" t="s">
        <v>56</v>
      </c>
      <c r="E5168" t="s">
        <v>64</v>
      </c>
      <c r="F5168" t="s">
        <v>86</v>
      </c>
      <c r="G5168" t="s">
        <v>158</v>
      </c>
      <c r="H5168" t="s">
        <v>155</v>
      </c>
      <c r="K5168" t="str">
        <f>B5124</f>
        <v>electricity, residential, by combustion of hydrogen using CHP, allocated by exergy, transported by train, produced by Electrolysis, PEM using water and electricity from Solar PV (IT)</v>
      </c>
      <c r="L5168">
        <v>2</v>
      </c>
      <c r="M5168">
        <f>IF(L5168=2,LN(B5168*-1),"")</f>
        <v>-16.127708950967754</v>
      </c>
      <c r="N5168">
        <v>1.05</v>
      </c>
      <c r="O5168" s="15">
        <v>1.2</v>
      </c>
      <c r="P5168">
        <v>1</v>
      </c>
      <c r="Q5168">
        <v>1.01</v>
      </c>
      <c r="R5168">
        <v>1.2</v>
      </c>
      <c r="S5168">
        <v>1.2</v>
      </c>
      <c r="T5168">
        <v>3</v>
      </c>
      <c r="U5168">
        <f>LN(SQRT(EXP(
SQRT(
+POWER(LN(N5168),2)
+POWER(LN(O5168),2)
+POWER(LN(P5168),2)
+POWER(LN(Q5168),2)
+POWER(LN(R5168),2)
+POWER(LN(S5168),2)
+POWER(LN(T5168),2)
)
)))</f>
        <v>0.57209088006881903</v>
      </c>
      <c r="V5168" t="b">
        <v>1</v>
      </c>
    </row>
    <row r="5169" spans="1:21" x14ac:dyDescent="0.2">
      <c r="A5169" s="45" t="str">
        <f>"hydrogen supply, transported by "&amp;B5138&amp;", produced by "&amp;B5142&amp;" using "&amp;B5143&amp;" from "&amp;B5144</f>
        <v>hydrogen supply, transported by train, produced by Electrolysis, PEM using water and electricity from Solar PV (IT)</v>
      </c>
      <c r="B5169" s="53">
        <f>(B5163/B5147)/B5146*B5158</f>
        <v>6.6350221654343872E-2</v>
      </c>
      <c r="C5169" t="s">
        <v>56</v>
      </c>
      <c r="E5169" t="s">
        <v>64</v>
      </c>
      <c r="F5169" t="s">
        <v>86</v>
      </c>
      <c r="G5169" t="str">
        <f>"hydrogen, gaseous, from "&amp;B5138</f>
        <v>hydrogen, gaseous, from train</v>
      </c>
      <c r="H5169" t="s">
        <v>76</v>
      </c>
      <c r="I5169" t="s">
        <v>1054</v>
      </c>
      <c r="J5169" t="s">
        <v>637</v>
      </c>
      <c r="K5169" t="str">
        <f>B5124</f>
        <v>electricity, residential, by combustion of hydrogen using CHP, allocated by exergy, transported by train, produced by Electrolysis, PEM using water and electricity from Solar PV (IT)</v>
      </c>
      <c r="L5169">
        <f t="shared" si="187"/>
        <v>2</v>
      </c>
      <c r="M5169">
        <f t="shared" si="188"/>
        <v>-2.7128081775260964</v>
      </c>
      <c r="N5169">
        <v>1.05</v>
      </c>
      <c r="O5169" s="15">
        <v>1.2</v>
      </c>
      <c r="P5169">
        <v>1</v>
      </c>
      <c r="Q5169">
        <v>1.01</v>
      </c>
      <c r="R5169">
        <v>1.2</v>
      </c>
      <c r="S5169">
        <v>1.2</v>
      </c>
      <c r="T5169">
        <v>1.05</v>
      </c>
      <c r="U5169">
        <f t="shared" si="189"/>
        <v>0.16169679924070957</v>
      </c>
    </row>
    <row r="5170" spans="1:21" x14ac:dyDescent="0.2">
      <c r="A5170" t="str">
        <f>VLOOKUP(J5170,'dataset mapping'!$A$4:$E$69,2,0)</f>
        <v>market for transport, freight train</v>
      </c>
      <c r="B5170" s="45">
        <f>SUM(B5169:B5169)/1000*B5139</f>
        <v>0.11279537681238458</v>
      </c>
      <c r="C5170" t="str">
        <f>VLOOKUP(J5170,'dataset mapping'!$A$4:$E$69,5,0)</f>
        <v>ton kilometer</v>
      </c>
      <c r="E5170" t="str">
        <f>VLOOKUP(J5170,'dataset mapping'!$A$4:$E$69,4,0)</f>
        <v>CH</v>
      </c>
      <c r="F5170" t="s">
        <v>86</v>
      </c>
      <c r="G5170" t="str">
        <f>VLOOKUP(J5170,'dataset mapping'!$A$4:$E$69,3,0)</f>
        <v>transport, freight train</v>
      </c>
      <c r="H5170" t="s">
        <v>88</v>
      </c>
      <c r="I5170" t="s">
        <v>1052</v>
      </c>
      <c r="J5170" t="s">
        <v>295</v>
      </c>
      <c r="K5170" t="str">
        <f>B5124</f>
        <v>electricity, residential, by combustion of hydrogen using CHP, allocated by exergy, transported by train, produced by Electrolysis, PEM using water and electricity from Solar PV (IT)</v>
      </c>
      <c r="L5170">
        <f t="shared" si="187"/>
        <v>2</v>
      </c>
      <c r="M5170">
        <f t="shared" si="188"/>
        <v>-2.1821799264639261</v>
      </c>
      <c r="N5170">
        <v>1.05</v>
      </c>
      <c r="O5170" s="15">
        <v>1.2</v>
      </c>
      <c r="P5170">
        <v>1</v>
      </c>
      <c r="Q5170">
        <v>1.01</v>
      </c>
      <c r="R5170">
        <v>1.2</v>
      </c>
      <c r="S5170">
        <v>1.2</v>
      </c>
      <c r="T5170">
        <v>2</v>
      </c>
      <c r="U5170">
        <f t="shared" si="189"/>
        <v>0.38165951885721477</v>
      </c>
    </row>
    <row r="5171" spans="1:21" x14ac:dyDescent="0.2">
      <c r="A5171" t="str">
        <f>VLOOKUP(J5171,'dataset mapping'!$A$4:$E$69,2,0)</f>
        <v>high pressure hydrogen storage tank</v>
      </c>
      <c r="B5171" s="52">
        <f>((B5159/10)/(B5157*B5153*20))*IF(B5158&lt;&gt;0,B5158,1)</f>
        <v>6.7154714683034044E-6</v>
      </c>
      <c r="C5171" t="str">
        <f>VLOOKUP(J5171,'dataset mapping'!$A$4:$E$69,5,0)</f>
        <v>kilogram</v>
      </c>
      <c r="E5171" t="str">
        <f>VLOOKUP(J5171,'dataset mapping'!$A$4:$E$69,4,0)</f>
        <v>GLO</v>
      </c>
      <c r="F5171" t="s">
        <v>86</v>
      </c>
      <c r="G5171" t="str">
        <f>VLOOKUP(J5171,'dataset mapping'!$A$4:$E$69,3,0)</f>
        <v>high pressure hydrogen storage tank</v>
      </c>
      <c r="H5171" t="s">
        <v>88</v>
      </c>
      <c r="I5171" t="s">
        <v>279</v>
      </c>
      <c r="J5171" t="s">
        <v>229</v>
      </c>
      <c r="K5171" t="str">
        <f>B5124</f>
        <v>electricity, residential, by combustion of hydrogen using CHP, allocated by exergy, transported by train, produced by Electrolysis, PEM using water and electricity from Solar PV (IT)</v>
      </c>
      <c r="L5171">
        <f t="shared" si="187"/>
        <v>2</v>
      </c>
      <c r="M5171">
        <f t="shared" si="188"/>
        <v>-11.911096519239557</v>
      </c>
      <c r="N5171">
        <v>1.05</v>
      </c>
      <c r="O5171" s="15">
        <v>1.2</v>
      </c>
      <c r="P5171">
        <v>1</v>
      </c>
      <c r="Q5171">
        <v>1.01</v>
      </c>
      <c r="R5171">
        <v>1.2</v>
      </c>
      <c r="S5171">
        <v>1.2</v>
      </c>
      <c r="T5171">
        <v>3</v>
      </c>
      <c r="U5171">
        <f t="shared" si="189"/>
        <v>0.57209088006881903</v>
      </c>
    </row>
    <row r="5172" spans="1:21" x14ac:dyDescent="0.2">
      <c r="A5172" t="s">
        <v>134</v>
      </c>
      <c r="B5172" s="45">
        <f>B5169*9</f>
        <v>0.59715199488909487</v>
      </c>
      <c r="C5172" t="s">
        <v>56</v>
      </c>
      <c r="D5172" t="s">
        <v>100</v>
      </c>
      <c r="F5172" t="s">
        <v>99</v>
      </c>
      <c r="H5172" t="s">
        <v>131</v>
      </c>
      <c r="I5172" t="s">
        <v>1058</v>
      </c>
      <c r="K5172" t="str">
        <f>B5124</f>
        <v>electricity, residential, by combustion of hydrogen using CHP, allocated by exergy, transported by train, produced by Electrolysis, PEM using water and electricity from Solar PV (IT)</v>
      </c>
      <c r="L5172">
        <f t="shared" si="187"/>
        <v>2</v>
      </c>
      <c r="M5172">
        <f t="shared" si="188"/>
        <v>-0.51558360018987692</v>
      </c>
      <c r="N5172">
        <v>1.05</v>
      </c>
      <c r="O5172" s="15">
        <v>1.2</v>
      </c>
      <c r="P5172">
        <v>1</v>
      </c>
      <c r="Q5172">
        <v>1.01</v>
      </c>
      <c r="R5172">
        <v>1.2</v>
      </c>
      <c r="S5172">
        <v>1.2</v>
      </c>
      <c r="T5172">
        <v>1.05</v>
      </c>
      <c r="U5172">
        <f t="shared" si="189"/>
        <v>0.16169679924070957</v>
      </c>
    </row>
    <row r="5173" spans="1:21" x14ac:dyDescent="0.2">
      <c r="A5173" t="s">
        <v>135</v>
      </c>
      <c r="B5173" s="45">
        <f>912.5/1000000*B5169</f>
        <v>6.0544577259588785E-5</v>
      </c>
      <c r="C5173" t="s">
        <v>56</v>
      </c>
      <c r="D5173" t="s">
        <v>100</v>
      </c>
      <c r="F5173" t="s">
        <v>99</v>
      </c>
      <c r="H5173" t="s">
        <v>131</v>
      </c>
      <c r="I5173" t="s">
        <v>1217</v>
      </c>
      <c r="K5173" t="str">
        <f>B5124</f>
        <v>electricity, residential, by combustion of hydrogen using CHP, allocated by exergy, transported by train, produced by Electrolysis, PEM using water and electricity from Solar PV (IT)</v>
      </c>
      <c r="L5173">
        <f t="shared" si="187"/>
        <v>2</v>
      </c>
      <c r="M5173">
        <f t="shared" si="188"/>
        <v>-9.712130650033723</v>
      </c>
      <c r="N5173">
        <v>1.05</v>
      </c>
      <c r="O5173" s="15">
        <v>1.2</v>
      </c>
      <c r="P5173">
        <v>1</v>
      </c>
      <c r="Q5173">
        <v>1.01</v>
      </c>
      <c r="R5173">
        <v>1.2</v>
      </c>
      <c r="S5173">
        <v>1.2</v>
      </c>
      <c r="T5173">
        <v>1.5</v>
      </c>
      <c r="U5173">
        <f t="shared" si="189"/>
        <v>0.25816898211842121</v>
      </c>
    </row>
    <row r="5175" spans="1:21" x14ac:dyDescent="0.2">
      <c r="A5175" s="2" t="s">
        <v>50</v>
      </c>
      <c r="B5175" s="44" t="str">
        <f>IF(B5181="megajoule","heat","electricity")&amp;", residential, by "&amp;B5186&amp;" of "&amp;B5185&amp;" using "&amp;B5187&amp;IF(B5188&lt;&gt;0,", allocated by "&amp;B5188,"")&amp;", transported by "&amp;B5189&amp;", produced by "&amp;B5193&amp;" using "&amp;B5194&amp;" from "&amp;B5195</f>
        <v>electricity, residential, by conversion of hydrogen using fuel cell, PEM, allocated by exergy, transported by train, produced by Electrolysis, PEM using water and electricity from Solar PV (IT)</v>
      </c>
    </row>
    <row r="5176" spans="1:21" x14ac:dyDescent="0.2">
      <c r="A5176" t="s">
        <v>51</v>
      </c>
      <c r="B5176" s="45" t="str">
        <f>"This dataset represents the supply of 1 "&amp;IF(B5181="megajoule","megajoule of heat","kilowatt hour of electricity")&amp;" in a residence, by "&amp;B5185&amp;" "&amp;B5186&amp;" in a "&amp;B5187&amp;". "&amp;" The hydrogen is transported by "&amp;B5189&amp;" over "&amp;B5190&amp;" km from regional storage. "&amp;" The "&amp;B5185&amp;" is produced by  "&amp;B5193&amp;", with "&amp;B5194&amp;" from "&amp;B5195&amp;" as feedstock. "&amp;A5197&amp;": "&amp;(B5197*100)&amp;"%. "&amp;A5198&amp;": "&amp;B5198&amp;". "&amp;A5199&amp;": "&amp;B5199&amp;". "&amp;A5200&amp;": "&amp;(B5200*100)&amp;"%. "&amp;A5201&amp;": "&amp;(B5201*100)&amp;"%. "&amp;A5202&amp;": "&amp;(B5202*100)&amp;"%. "&amp;A5203&amp;": "&amp;B5203&amp;". "&amp;A5204&amp;": "&amp;B5204&amp;". "&amp;A5205&amp;": "&amp;(B5205*100)&amp;"%. "&amp;A5206&amp;": "&amp;B5206&amp;". "&amp;A5207&amp;": "&amp;B5207&amp;". "&amp;A5208&amp;": "&amp;B5208&amp;". "&amp;A5209&amp;": "&amp;B5209&amp;".  For more information, refer to: "&amp;B5177</f>
        <v>This dataset represents the supply of 1 kilowatt hour of electricity in a residence, by hydrogen conversion in a fuel cell, PEM.  The hydrogen is transported by train over 1700 km from regional storage.  The hydrogen is produced by  Electrolysis, PEM,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5177" spans="1:21" x14ac:dyDescent="0.2">
      <c r="A5177" t="s">
        <v>63</v>
      </c>
      <c r="B5177" s="45" t="s">
        <v>1223</v>
      </c>
    </row>
    <row r="5178" spans="1:21" x14ac:dyDescent="0.2">
      <c r="A5178" t="s">
        <v>52</v>
      </c>
      <c r="B5178" s="45" t="s">
        <v>64</v>
      </c>
    </row>
    <row r="5179" spans="1:21" x14ac:dyDescent="0.2">
      <c r="A5179" t="s">
        <v>48</v>
      </c>
      <c r="B5179" s="45" t="s">
        <v>911</v>
      </c>
    </row>
    <row r="5180" spans="1:21" x14ac:dyDescent="0.2">
      <c r="A5180" t="s">
        <v>54</v>
      </c>
      <c r="B5180" s="45" t="str">
        <f>INDEX(overview!$B$4:$R$338,MATCH('hydrogen - electrolysis'!B5179,overview!$A$4:$A$338,0),MATCH('hydrogen - electrolysis'!A5180,overview!$B$3:$R$3,0))</f>
        <v>electricity, from residential heating system</v>
      </c>
    </row>
    <row r="5181" spans="1:21" x14ac:dyDescent="0.2">
      <c r="A5181" t="s">
        <v>55</v>
      </c>
      <c r="B5181" s="45" t="str">
        <f>INDEX(overview!$B$4:$R$338,MATCH('hydrogen - electrolysis'!B5179,overview!$A$4:$A$338,0),MATCH('hydrogen - electrolysis'!A5181,overview!$B$3:$R$3,0))</f>
        <v>kilowatt hour</v>
      </c>
    </row>
    <row r="5182" spans="1:21" x14ac:dyDescent="0.2">
      <c r="A5182" t="s">
        <v>0</v>
      </c>
      <c r="B5182" s="45" t="str">
        <f>INDEX(overview!$B$4:$R$338,MATCH('hydrogen - electrolysis'!B5179,overview!$A$4:$A$338,0),MATCH('hydrogen - electrolysis'!A5182,overview!$B$3:$R$3,0))</f>
        <v>Switzerland</v>
      </c>
    </row>
    <row r="5183" spans="1:21" x14ac:dyDescent="0.2">
      <c r="A5183" t="s">
        <v>1</v>
      </c>
      <c r="B5183" s="45">
        <f>INDEX(overview!$B$4:$R$338,MATCH('hydrogen - electrolysis'!B5179,overview!$A$4:$A$338,0),MATCH('hydrogen - electrolysis'!A5183,overview!$B$3:$R$3,0))</f>
        <v>2020</v>
      </c>
    </row>
    <row r="5184" spans="1:21" x14ac:dyDescent="0.2">
      <c r="A5184" t="s">
        <v>2</v>
      </c>
      <c r="B5184" s="45" t="str">
        <f>INDEX(overview!$B$4:$R$338,MATCH('hydrogen - electrolysis'!B5179,overview!$A$4:$A$338,0),MATCH('hydrogen - electrolysis'!A5184,overview!$B$3:$R$3,0))</f>
        <v>1 kWh electricity</v>
      </c>
    </row>
    <row r="5185" spans="1:2" x14ac:dyDescent="0.2">
      <c r="A5185" t="s">
        <v>5</v>
      </c>
      <c r="B5185" s="45" t="str">
        <f>INDEX(overview!$B$4:$R$338,MATCH('hydrogen - electrolysis'!B5179,overview!$A$4:$A$338,0),MATCH('hydrogen - electrolysis'!A5185,overview!$B$3:$R$3,0))</f>
        <v>hydrogen</v>
      </c>
    </row>
    <row r="5186" spans="1:2" x14ac:dyDescent="0.2">
      <c r="A5186" t="s">
        <v>3</v>
      </c>
      <c r="B5186" s="45" t="str">
        <f>INDEX(overview!$B$4:$R$338,MATCH('hydrogen - electrolysis'!B5179,overview!$A$4:$A$338,0),MATCH('hydrogen - electrolysis'!A5186,overview!$B$3:$R$3,0))</f>
        <v>conversion</v>
      </c>
    </row>
    <row r="5187" spans="1:2" x14ac:dyDescent="0.2">
      <c r="A5187" t="s">
        <v>6</v>
      </c>
      <c r="B5187" s="45" t="str">
        <f>INDEX(overview!$B$4:$R$338,MATCH('hydrogen - electrolysis'!B5179,overview!$A$4:$A$338,0),MATCH('hydrogen - electrolysis'!A5187,overview!$B$3:$R$3,0))</f>
        <v>fuel cell, PEM</v>
      </c>
    </row>
    <row r="5188" spans="1:2" x14ac:dyDescent="0.2">
      <c r="A5188" t="s">
        <v>39</v>
      </c>
      <c r="B5188" s="45" t="str">
        <f>INDEX(overview!$B$4:$R$338,MATCH('hydrogen - electrolysis'!B5179,overview!$A$4:$A$338,0),MATCH('hydrogen - electrolysis'!A5188,overview!$B$3:$R$3,0))</f>
        <v>exergy</v>
      </c>
    </row>
    <row r="5189" spans="1:2" x14ac:dyDescent="0.2">
      <c r="A5189" t="s">
        <v>4</v>
      </c>
      <c r="B5189" s="45" t="str">
        <f>INDEX(overview!$B$4:$R$338,MATCH('hydrogen - electrolysis'!B5179,overview!$A$4:$A$338,0),MATCH('hydrogen - electrolysis'!A5189,overview!$B$3:$R$3,0))</f>
        <v>train</v>
      </c>
    </row>
    <row r="5190" spans="1:2" x14ac:dyDescent="0.2">
      <c r="A5190" t="s">
        <v>38</v>
      </c>
      <c r="B5190" s="45">
        <f>INDEX(overview!$B$4:$R$338,MATCH('hydrogen - electrolysis'!B5179,overview!$A$4:$A$338,0),MATCH('hydrogen - electrolysis'!A5190,overview!$B$3:$R$3,0))</f>
        <v>1700</v>
      </c>
    </row>
    <row r="5191" spans="1:2" x14ac:dyDescent="0.2">
      <c r="A5191" t="s">
        <v>12</v>
      </c>
      <c r="B5191" s="45" t="str">
        <f>INDEX(overview!$B$4:$R$338,MATCH('hydrogen - electrolysis'!B5179,overview!$A$4:$A$338,0),MATCH('hydrogen - electrolysis'!A5191,overview!$B$3:$R$3,0))</f>
        <v>Pressure vessel for stationary storage</v>
      </c>
    </row>
    <row r="5192" spans="1:2" x14ac:dyDescent="0.2">
      <c r="A5192" t="s">
        <v>34</v>
      </c>
      <c r="B5192" s="45">
        <f>INDEX(overview!$B$4:$R$338,MATCH('hydrogen - electrolysis'!B5179,overview!$A$4:$A$338,0),MATCH('hydrogen - electrolysis'!A5192,overview!$B$3:$R$3,0))</f>
        <v>0</v>
      </c>
    </row>
    <row r="5193" spans="1:2" x14ac:dyDescent="0.2">
      <c r="A5193" t="s">
        <v>15</v>
      </c>
      <c r="B5193" s="45" t="str">
        <f>INDEX(overview!$B$4:$R$338,MATCH('hydrogen - electrolysis'!B5179,overview!$A$4:$A$338,0),MATCH('hydrogen - electrolysis'!A5193,overview!$B$3:$R$3,0))</f>
        <v>Electrolysis, PEM</v>
      </c>
    </row>
    <row r="5194" spans="1:2" x14ac:dyDescent="0.2">
      <c r="A5194" t="s">
        <v>14</v>
      </c>
      <c r="B5194" s="45" t="str">
        <f>INDEX(overview!$B$4:$R$338,MATCH('hydrogen - electrolysis'!B5179,overview!$A$4:$A$338,0),MATCH('hydrogen - electrolysis'!A5194,overview!$B$3:$R$3,0))</f>
        <v>water and electricity</v>
      </c>
    </row>
    <row r="5195" spans="1:2" x14ac:dyDescent="0.2">
      <c r="A5195" t="s">
        <v>26</v>
      </c>
      <c r="B5195" s="45" t="str">
        <f>INDEX(overview!$B$4:$R$338,MATCH('hydrogen - electrolysis'!B5179,overview!$A$4:$A$338,0),MATCH('hydrogen - electrolysis'!A5195,overview!$B$3:$R$3,0))</f>
        <v>Solar PV (IT)</v>
      </c>
    </row>
    <row r="5196" spans="1:2" x14ac:dyDescent="0.2">
      <c r="A5196" t="s">
        <v>29</v>
      </c>
      <c r="B5196" s="45">
        <f>INDEX(overview!$B$4:$R$338,MATCH('hydrogen - electrolysis'!B5179,overview!$A$4:$A$338,0),MATCH('hydrogen - electrolysis'!A5196,overview!$B$3:$R$3,0))</f>
        <v>0</v>
      </c>
    </row>
    <row r="5197" spans="1:2" x14ac:dyDescent="0.2">
      <c r="A5197" t="str">
        <f>IF(B5181="megajoule","Heat","Electricity")&amp;" conversion efficiency [% LHV input]"</f>
        <v>Electricity conversion efficiency [% LHV input]</v>
      </c>
      <c r="B5197" s="46">
        <f>INDEX(parameters!$D$4:$N$20,MATCH('hydrogen - electrolysis'!B5185&amp;'hydrogen - electrolysis'!B5187,parameters!$A$4:$A$20,0),MATCH('hydrogen - electrolysis'!A5197,parameters!$D$3:$N$3,0))</f>
        <v>0.45</v>
      </c>
    </row>
    <row r="5198" spans="1:2" x14ac:dyDescent="0.2">
      <c r="A5198" t="str">
        <f>IF(B5181="megajoule","LHV [MJ/kg]","LHV [kWh/kg]")</f>
        <v>LHV [kWh/kg]</v>
      </c>
      <c r="B5198" s="47">
        <f>INDEX(parameters!$D$4:$N$20,MATCH('hydrogen - electrolysis'!B5185&amp;'hydrogen - electrolysis'!B5187,parameters!$A$4:$A$20,0),MATCH('hydrogen - electrolysis'!A5198,parameters!$D$3:$N$3,0))</f>
        <v>33.333333333333336</v>
      </c>
    </row>
    <row r="5199" spans="1:2" x14ac:dyDescent="0.2">
      <c r="A5199" t="s">
        <v>41</v>
      </c>
      <c r="B5199" s="48">
        <f>INDEX(parameters!$D$4:$N$20,MATCH('hydrogen - electrolysis'!B5185&amp;'hydrogen - electrolysis'!B5187,parameters!$A$4:$A$20,0),MATCH('hydrogen - electrolysis'!A5199,parameters!$D$3:$N$3,0))</f>
        <v>2.6666666666666665E-2</v>
      </c>
    </row>
    <row r="5200" spans="1:2" x14ac:dyDescent="0.2">
      <c r="A5200" t="s">
        <v>45</v>
      </c>
      <c r="B5200" s="46">
        <f>INDEX(parameters!$D$4:$N$20,MATCH('hydrogen - electrolysis'!B5185&amp;'hydrogen - electrolysis'!B5187,parameters!$A$4:$A$20,0),MATCH('hydrogen - electrolysis'!A5200,parameters!$D$3:$N$3,0))</f>
        <v>0</v>
      </c>
    </row>
    <row r="5201" spans="1:22" x14ac:dyDescent="0.2">
      <c r="A5201" t="s">
        <v>46</v>
      </c>
      <c r="B5201" s="46">
        <f>INDEX(parameters!$D$4:$N$20,MATCH('hydrogen - electrolysis'!B5185&amp;'hydrogen - electrolysis'!B5187,parameters!$A$4:$A$20,0),MATCH('hydrogen - electrolysis'!A5201,parameters!$D$3:$N$3,0))</f>
        <v>1.4999999999999999E-2</v>
      </c>
    </row>
    <row r="5202" spans="1:22" x14ac:dyDescent="0.2">
      <c r="A5202" t="s">
        <v>43</v>
      </c>
      <c r="B5202" s="46">
        <f>INDEX(parameters!$D$4:$N$20,MATCH('hydrogen - electrolysis'!B5185&amp;'hydrogen - electrolysis'!B5187,parameters!$A$4:$A$20,0),MATCH('hydrogen - electrolysis'!A5202,parameters!$D$3:$N$3,0))</f>
        <v>0</v>
      </c>
    </row>
    <row r="5203" spans="1:22" x14ac:dyDescent="0.2">
      <c r="A5203" t="s">
        <v>44</v>
      </c>
      <c r="B5203" s="46">
        <f>INDEX(parameters!$D$4:$N$20,MATCH('hydrogen - electrolysis'!B5185&amp;'hydrogen - electrolysis'!B5187,parameters!$A$4:$A$20,0),MATCH('hydrogen - electrolysis'!A5203,parameters!$D$3:$N$3,0))</f>
        <v>0</v>
      </c>
    </row>
    <row r="5204" spans="1:22" x14ac:dyDescent="0.2">
      <c r="A5204" t="s">
        <v>634</v>
      </c>
      <c r="B5204" s="51">
        <f>INDEX(parameters!$D$4:$Y$20,MATCH('hydrogen - electrolysis'!B5185&amp;'hydrogen - electrolysis'!B5187,parameters!$A$4:$A$20,0),MATCH('hydrogen - electrolysis'!A5204,parameters!$D$3:$Y$3,0))</f>
        <v>1.8947368421052633</v>
      </c>
    </row>
    <row r="5205" spans="1:22" x14ac:dyDescent="0.2">
      <c r="A5205" t="s">
        <v>82</v>
      </c>
      <c r="B5205" s="46">
        <f>IF(B5196&lt;&gt;0,VLOOKUP(B5196,parameters!A3382:B3384,2,0),0)</f>
        <v>0</v>
      </c>
    </row>
    <row r="5206" spans="1:22" x14ac:dyDescent="0.2">
      <c r="A5206" t="s">
        <v>548</v>
      </c>
      <c r="B5206" s="50">
        <f>INDEX(parameters!$D$4:$P$20,MATCH(B5185&amp;B5187,parameters!$A$4:$A$20,0),MATCH(A5206,parameters!$D$3:$P$3,0))</f>
        <v>0.8</v>
      </c>
    </row>
    <row r="5207" spans="1:22" x14ac:dyDescent="0.2">
      <c r="A5207" t="s">
        <v>547</v>
      </c>
      <c r="B5207" s="51">
        <f>INDEX(parameters!$D$4:$P$20,MATCH(B5185&amp;B5187,parameters!$A$4:$A$20,0),MATCH(A5207,parameters!$D$3:$P$3,0))</f>
        <v>4.8780487804878048</v>
      </c>
    </row>
    <row r="5208" spans="1:22" x14ac:dyDescent="0.2">
      <c r="A5208" t="s">
        <v>630</v>
      </c>
      <c r="B5208" s="51">
        <f>INDEX(parameters!$D$4:$T$20,MATCH(B5185&amp;B5187,parameters!$A$4:$A$20,0),MATCH(A5208,parameters!$D$3:$T$3,0))</f>
        <v>4100</v>
      </c>
    </row>
    <row r="5209" spans="1:22" x14ac:dyDescent="0.2">
      <c r="A5209" t="s">
        <v>1005</v>
      </c>
      <c r="B5209" s="50">
        <f>IF(B5181="megajoule",SUMIFS(allocation!$I$4:$I$30,allocation!$B$4:$B$30,B5187,allocation!$C$4:$C$30,B5188),SUMIFS(allocation!$J$4:$J$30,allocation!$B$4:$B$30,B5187,allocation!$C$4:$C$30,B5188))</f>
        <v>0.86066019201025545</v>
      </c>
    </row>
    <row r="5210" spans="1:22" x14ac:dyDescent="0.2">
      <c r="A5210" t="s">
        <v>1050</v>
      </c>
      <c r="B5210" s="51">
        <f>INDEX(parameters!$D$4:$AB$20,MATCH(B5185&amp;B5187,parameters!$A$4:$A$20,0),MATCH(A5210,parameters!$D$3:$AB$3,0))</f>
        <v>10.221606648199446</v>
      </c>
    </row>
    <row r="5212" spans="1:22" x14ac:dyDescent="0.2">
      <c r="A5212" s="3" t="s">
        <v>57</v>
      </c>
    </row>
    <row r="5213" spans="1:22" x14ac:dyDescent="0.2">
      <c r="A5213" s="2" t="s">
        <v>58</v>
      </c>
      <c r="B5213" s="44" t="s">
        <v>59</v>
      </c>
      <c r="C5213" s="2" t="s">
        <v>55</v>
      </c>
      <c r="D5213" s="2" t="s">
        <v>60</v>
      </c>
      <c r="E5213" s="2" t="s">
        <v>52</v>
      </c>
      <c r="F5213" s="2" t="s">
        <v>61</v>
      </c>
      <c r="G5213" s="2" t="s">
        <v>54</v>
      </c>
      <c r="H5213" s="2" t="s">
        <v>87</v>
      </c>
      <c r="I5213" s="2" t="s">
        <v>51</v>
      </c>
      <c r="J5213" s="2" t="s">
        <v>138</v>
      </c>
      <c r="K5213" s="2" t="s">
        <v>136</v>
      </c>
      <c r="L5213" s="2" t="s">
        <v>221</v>
      </c>
      <c r="M5213" s="2" t="s">
        <v>379</v>
      </c>
      <c r="N5213" s="2" t="s">
        <v>1059</v>
      </c>
      <c r="O5213" s="2" t="s">
        <v>1060</v>
      </c>
      <c r="P5213" s="2" t="s">
        <v>1061</v>
      </c>
      <c r="Q5213" s="2" t="s">
        <v>1062</v>
      </c>
      <c r="R5213" s="2" t="s">
        <v>1063</v>
      </c>
      <c r="S5213" s="2" t="s">
        <v>1064</v>
      </c>
      <c r="T5213" s="2" t="s">
        <v>1065</v>
      </c>
      <c r="U5213" s="2" t="s">
        <v>380</v>
      </c>
      <c r="V5213" s="2" t="s">
        <v>1128</v>
      </c>
    </row>
    <row r="5214" spans="1:22" x14ac:dyDescent="0.2">
      <c r="A5214" t="str">
        <f>B5175</f>
        <v>electricity, residential, by conversion of hydrogen using fuel cell, PEM, allocated by exergy, transported by train, produced by Electrolysis, PEM using water and electricity from Solar PV (IT)</v>
      </c>
      <c r="B5214" s="45">
        <v>1</v>
      </c>
      <c r="C5214" t="str">
        <f>B5181</f>
        <v>kilowatt hour</v>
      </c>
      <c r="E5214" t="str">
        <f>B5178</f>
        <v>CH</v>
      </c>
      <c r="F5214" t="s">
        <v>62</v>
      </c>
      <c r="G5214" t="str">
        <f>B5180</f>
        <v>electricity, from residential heating system</v>
      </c>
      <c r="K5214" t="str">
        <f>B5175</f>
        <v>electricity, residential, by conversion of hydrogen using fuel cell, PEM, allocated by exergy, transported by train, produced by Electrolysis, PEM using water and electricity from Solar PV (IT)</v>
      </c>
    </row>
    <row r="5215" spans="1:22" x14ac:dyDescent="0.2">
      <c r="A5215" t="str">
        <f>VLOOKUP(J5215,'dataset mapping'!$A$4:$E$69,2,0)</f>
        <v>fuel cell system assembly, 1 kWe, proton exchange membrane (PEM)</v>
      </c>
      <c r="B5215" s="52">
        <f>1/(80000)/0.5*SUMIFS(allocation!$I$4:$I$30,allocation!$B$4:$B$30,'hydrogen - electrolysis'!B5187,allocation!$C$4:$C$30,'hydrogen - electrolysis'!B5188)</f>
        <v>3.4834951997436147E-6</v>
      </c>
      <c r="C5215" t="str">
        <f>VLOOKUP(J5215,'dataset mapping'!$A$4:$E$69,5,0)</f>
        <v>unit</v>
      </c>
      <c r="E5215" t="str">
        <f>VLOOKUP(J5215,'dataset mapping'!$A$4:$E$69,4,0)</f>
        <v>GLO</v>
      </c>
      <c r="F5215" t="s">
        <v>86</v>
      </c>
      <c r="G5215" t="str">
        <f>VLOOKUP(J5215,'dataset mapping'!$A$4:$E$69,3,0)</f>
        <v>fuel cell system, 1 kWe, proton exchange membrane (PEM)</v>
      </c>
      <c r="H5215" t="s">
        <v>88</v>
      </c>
      <c r="I5215" t="s">
        <v>272</v>
      </c>
      <c r="J5215" t="s">
        <v>273</v>
      </c>
      <c r="K5215" t="str">
        <f>B5175</f>
        <v>electricity, residential, by conversion of hydrogen using fuel cell, PEM, allocated by exergy, transported by train, produced by Electrolysis, PEM using water and electricity from Solar PV (IT)</v>
      </c>
      <c r="L5215">
        <f t="shared" ref="L5215:L5219" si="190">IF(OR(B5215&lt;0,B5215=0),1,2)</f>
        <v>2</v>
      </c>
      <c r="M5215">
        <f t="shared" ref="M5215:M5219" si="191">IF(L5215=2,LN(B5215),"")</f>
        <v>-12.567474400475287</v>
      </c>
      <c r="N5215">
        <v>1</v>
      </c>
      <c r="O5215" s="15">
        <v>1.2</v>
      </c>
      <c r="P5215">
        <v>1</v>
      </c>
      <c r="Q5215">
        <v>1.01</v>
      </c>
      <c r="R5215">
        <v>1.2</v>
      </c>
      <c r="S5215">
        <v>1.2</v>
      </c>
      <c r="T5215">
        <v>3</v>
      </c>
      <c r="U5215">
        <f t="shared" ref="U5215:U5219" si="192">LN(SQRT(EXP(
SQRT(
+POWER(LN(N5215),2)
+POWER(LN(O5215),2)
+POWER(LN(P5215),2)
+POWER(LN(Q5215),2)
+POWER(LN(R5215),2)
+POWER(LN(S5215),2)
+POWER(LN(T5215),2)
)
)))</f>
        <v>0.57157051623399524</v>
      </c>
    </row>
    <row r="5216" spans="1:22" x14ac:dyDescent="0.2">
      <c r="A5216" s="45" t="str">
        <f>"hydrogen supply, transported by "&amp;B5189&amp;", produced by "&amp;B5193&amp;" using "&amp;B5194&amp;" from "&amp;B5195</f>
        <v>hydrogen supply, transported by train, produced by Electrolysis, PEM using water and electricity from Solar PV (IT)</v>
      </c>
      <c r="B5216" s="53">
        <f>(B5214/B5198)/B5197*B5209</f>
        <v>5.7377346134017029E-2</v>
      </c>
      <c r="C5216" t="s">
        <v>56</v>
      </c>
      <c r="E5216" t="s">
        <v>64</v>
      </c>
      <c r="F5216" t="s">
        <v>86</v>
      </c>
      <c r="G5216" t="str">
        <f>"hydrogen, gaseous, from "&amp;B5189</f>
        <v>hydrogen, gaseous, from train</v>
      </c>
      <c r="H5216" t="s">
        <v>76</v>
      </c>
      <c r="I5216" t="s">
        <v>1054</v>
      </c>
      <c r="J5216" t="s">
        <v>637</v>
      </c>
      <c r="K5216" t="str">
        <f>B5175</f>
        <v>electricity, residential, by conversion of hydrogen using fuel cell, PEM, allocated by exergy, transported by train, produced by Electrolysis, PEM using water and electricity from Solar PV (IT)</v>
      </c>
      <c r="L5216">
        <f t="shared" si="190"/>
        <v>2</v>
      </c>
      <c r="M5216">
        <f t="shared" si="191"/>
        <v>-2.8581057202127536</v>
      </c>
      <c r="N5216">
        <v>1</v>
      </c>
      <c r="O5216" s="15">
        <v>1.2</v>
      </c>
      <c r="P5216">
        <v>1</v>
      </c>
      <c r="Q5216">
        <v>1.01</v>
      </c>
      <c r="R5216">
        <v>1.2</v>
      </c>
      <c r="S5216">
        <v>1.2</v>
      </c>
      <c r="T5216">
        <v>1.05</v>
      </c>
      <c r="U5216">
        <f t="shared" si="192"/>
        <v>0.15984597228197622</v>
      </c>
    </row>
    <row r="5217" spans="1:21" x14ac:dyDescent="0.2">
      <c r="A5217" t="str">
        <f>VLOOKUP(J5217,'dataset mapping'!$A$4:$E$69,2,0)</f>
        <v>market for transport, freight train</v>
      </c>
      <c r="B5217" s="45">
        <f>SUM(B5216:B5216)/1000*B5190*SUMIFS(allocation!$I$4:$I$30,allocation!$B$4:$B$30,'hydrogen - electrolysis'!B5187,allocation!$C$4:$C$30,'hydrogen - electrolysis'!B5188)</f>
        <v>1.3591412268567579E-2</v>
      </c>
      <c r="C5217" t="str">
        <f>VLOOKUP(J5217,'dataset mapping'!$A$4:$E$69,5,0)</f>
        <v>ton kilometer</v>
      </c>
      <c r="E5217" t="str">
        <f>VLOOKUP(J5217,'dataset mapping'!$A$4:$E$69,4,0)</f>
        <v>CH</v>
      </c>
      <c r="F5217" t="s">
        <v>86</v>
      </c>
      <c r="G5217" t="str">
        <f>VLOOKUP(J5217,'dataset mapping'!$A$4:$E$69,3,0)</f>
        <v>transport, freight train</v>
      </c>
      <c r="H5217" t="s">
        <v>88</v>
      </c>
      <c r="I5217" t="s">
        <v>1052</v>
      </c>
      <c r="J5217" t="s">
        <v>295</v>
      </c>
      <c r="K5217" t="str">
        <f>B5175</f>
        <v>electricity, residential, by conversion of hydrogen using fuel cell, PEM, allocated by exergy, transported by train, produced by Electrolysis, PEM using water and electricity from Solar PV (IT)</v>
      </c>
      <c r="L5217">
        <f t="shared" si="190"/>
        <v>2</v>
      </c>
      <c r="M5217">
        <f t="shared" si="191"/>
        <v>-4.2983171365297981</v>
      </c>
      <c r="N5217">
        <v>1</v>
      </c>
      <c r="O5217" s="15">
        <v>1.2</v>
      </c>
      <c r="P5217">
        <v>1</v>
      </c>
      <c r="Q5217">
        <v>1.01</v>
      </c>
      <c r="R5217">
        <v>1.2</v>
      </c>
      <c r="S5217">
        <v>1.2</v>
      </c>
      <c r="T5217">
        <v>2</v>
      </c>
      <c r="U5217">
        <f t="shared" si="192"/>
        <v>0.38087907307228186</v>
      </c>
    </row>
    <row r="5218" spans="1:21" x14ac:dyDescent="0.2">
      <c r="A5218" t="str">
        <f>VLOOKUP(J5218,'dataset mapping'!$A$4:$E$69,2,0)</f>
        <v>high pressure hydrogen storage tank</v>
      </c>
      <c r="B5218" s="52">
        <f>((B5210/10)/(B5208*B5204*20))*IF(B5209&lt;&gt;0,B5209,1)</f>
        <v>5.6622381053306285E-6</v>
      </c>
      <c r="C5218" t="str">
        <f>VLOOKUP(J5218,'dataset mapping'!$A$4:$E$69,5,0)</f>
        <v>kilogram</v>
      </c>
      <c r="E5218" t="str">
        <f>VLOOKUP(J5218,'dataset mapping'!$A$4:$E$69,4,0)</f>
        <v>GLO</v>
      </c>
      <c r="F5218" t="s">
        <v>86</v>
      </c>
      <c r="G5218" t="str">
        <f>VLOOKUP(J5218,'dataset mapping'!$A$4:$E$69,3,0)</f>
        <v>high pressure hydrogen storage tank</v>
      </c>
      <c r="H5218" t="s">
        <v>88</v>
      </c>
      <c r="I5218" t="s">
        <v>280</v>
      </c>
      <c r="J5218" t="s">
        <v>229</v>
      </c>
      <c r="K5218" t="str">
        <f>B5175</f>
        <v>electricity, residential, by conversion of hydrogen using fuel cell, PEM, allocated by exergy, transported by train, produced by Electrolysis, PEM using water and electricity from Solar PV (IT)</v>
      </c>
      <c r="L5218">
        <f t="shared" si="190"/>
        <v>2</v>
      </c>
      <c r="M5218">
        <f t="shared" si="191"/>
        <v>-12.081691318938956</v>
      </c>
      <c r="N5218">
        <v>1</v>
      </c>
      <c r="O5218" s="15">
        <v>1.2</v>
      </c>
      <c r="P5218">
        <v>1</v>
      </c>
      <c r="Q5218">
        <v>1.01</v>
      </c>
      <c r="R5218">
        <v>1.2</v>
      </c>
      <c r="S5218">
        <v>1.2</v>
      </c>
      <c r="T5218">
        <v>3</v>
      </c>
      <c r="U5218">
        <f t="shared" si="192"/>
        <v>0.57157051623399524</v>
      </c>
    </row>
    <row r="5219" spans="1:21" x14ac:dyDescent="0.2">
      <c r="A5219" t="s">
        <v>134</v>
      </c>
      <c r="B5219" s="45">
        <f>B5216*9</f>
        <v>0.51639611520615325</v>
      </c>
      <c r="C5219" t="s">
        <v>56</v>
      </c>
      <c r="D5219" t="s">
        <v>100</v>
      </c>
      <c r="F5219" t="s">
        <v>99</v>
      </c>
      <c r="H5219" t="s">
        <v>131</v>
      </c>
      <c r="I5219" t="s">
        <v>1057</v>
      </c>
      <c r="K5219" t="str">
        <f>B5175</f>
        <v>electricity, residential, by conversion of hydrogen using fuel cell, PEM, allocated by exergy, transported by train, produced by Electrolysis, PEM using water and electricity from Solar PV (IT)</v>
      </c>
      <c r="L5219">
        <f t="shared" si="190"/>
        <v>2</v>
      </c>
      <c r="M5219">
        <f t="shared" si="191"/>
        <v>-0.6608811428765341</v>
      </c>
      <c r="N5219">
        <v>1</v>
      </c>
      <c r="O5219" s="15">
        <v>1.2</v>
      </c>
      <c r="P5219">
        <v>1</v>
      </c>
      <c r="Q5219">
        <v>1.01</v>
      </c>
      <c r="R5219">
        <v>1.2</v>
      </c>
      <c r="S5219">
        <v>1.2</v>
      </c>
      <c r="T5219">
        <v>1.05</v>
      </c>
      <c r="U5219">
        <f t="shared" si="192"/>
        <v>0.15984597228197622</v>
      </c>
    </row>
    <row r="5221" spans="1:21" x14ac:dyDescent="0.2">
      <c r="A5221" s="2" t="s">
        <v>50</v>
      </c>
      <c r="B5221" s="44" t="str">
        <f>IF(B5227="megajoule","heat","electricity")&amp;", residential, by "&amp;B5232&amp;" of "&amp;B5231&amp;" using "&amp;B5233&amp;IF(B5234&lt;&gt;0,", allocated by "&amp;B5234,"")&amp;", transported by "&amp;B5235&amp;", produced by "&amp;B5239&amp;" using "&amp;B5240&amp;" from "&amp;B5241</f>
        <v>electricity, residential, by conversion of hydrogen using fuel cell, SOFC, allocated by exergy, transported by train, produced by Electrolysis, PEM using water and electricity from Solar PV (IT)</v>
      </c>
    </row>
    <row r="5222" spans="1:21" x14ac:dyDescent="0.2">
      <c r="A5222" t="s">
        <v>51</v>
      </c>
      <c r="B5222" s="45" t="str">
        <f>"This dataset represents the supply of 1 "&amp;IF(B5227="megajoule","megajoule of heat","kilowatt hour of electricity")&amp;" in a residence, by "&amp;B5231&amp;" "&amp;B5232&amp;" in a "&amp;B5233&amp;". "&amp;" The hydrogen is transported by "&amp;B5235&amp;" over "&amp;B5236&amp;" km from regional storage. "&amp;" The "&amp;B5231&amp;" is produced by  "&amp;B5239&amp;", with "&amp;B5240&amp;" from "&amp;B5241&amp;" as feedstock. "&amp;A5243&amp;": "&amp;(B5243*100)&amp;"%. "&amp;A5244&amp;": "&amp;B5244&amp;". "&amp;A5245&amp;": "&amp;B5245&amp;". "&amp;A5246&amp;": "&amp;(B5246*100)&amp;"%. "&amp;A5247&amp;": "&amp;(B5247*100)&amp;"%. "&amp;A5248&amp;": "&amp;(B5248*100)&amp;"%. "&amp;A5249&amp;": "&amp;B5249&amp;". "&amp;A5250&amp;": "&amp;B5250&amp;". "&amp;A5251&amp;": "&amp;(B5251*100)&amp;"%. "&amp;A5252&amp;": "&amp;B5252&amp;". "&amp;A5253&amp;": "&amp;B5253&amp;". "&amp;A5254&amp;": "&amp;B5254&amp;". "&amp;A5255&amp;": "&amp;B5255&amp;".  For more information, refer to: "&amp;B5223</f>
        <v>This dataset represents the supply of 1 kilowatt hour of electricity in a residence, by hydrogen conversion in a fuel cell, SOFC.  The hydrogen is transported by train over 1700 km from regional storage.  The hydrogen is produced by  Electrolysis, PEM,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5223" spans="1:21" x14ac:dyDescent="0.2">
      <c r="A5223" t="s">
        <v>63</v>
      </c>
      <c r="B5223" s="45" t="s">
        <v>1223</v>
      </c>
    </row>
    <row r="5224" spans="1:21" x14ac:dyDescent="0.2">
      <c r="A5224" t="s">
        <v>52</v>
      </c>
      <c r="B5224" s="45" t="s">
        <v>64</v>
      </c>
    </row>
    <row r="5225" spans="1:21" x14ac:dyDescent="0.2">
      <c r="A5225" t="s">
        <v>48</v>
      </c>
      <c r="B5225" s="45" t="s">
        <v>912</v>
      </c>
    </row>
    <row r="5226" spans="1:21" x14ac:dyDescent="0.2">
      <c r="A5226" t="s">
        <v>54</v>
      </c>
      <c r="B5226" s="45" t="str">
        <f>INDEX(overview!$B$4:$R$338,MATCH('hydrogen - electrolysis'!B5225,overview!$A$4:$A$338,0),MATCH('hydrogen - electrolysis'!A5226,overview!$B$3:$R$3,0))</f>
        <v>electricity, from residential heating system</v>
      </c>
    </row>
    <row r="5227" spans="1:21" x14ac:dyDescent="0.2">
      <c r="A5227" t="s">
        <v>55</v>
      </c>
      <c r="B5227" s="45" t="str">
        <f>INDEX(overview!$B$4:$R$338,MATCH('hydrogen - electrolysis'!B5225,overview!$A$4:$A$338,0),MATCH('hydrogen - electrolysis'!A5227,overview!$B$3:$R$3,0))</f>
        <v>kilowatt hour</v>
      </c>
    </row>
    <row r="5228" spans="1:21" x14ac:dyDescent="0.2">
      <c r="A5228" t="s">
        <v>0</v>
      </c>
      <c r="B5228" s="45" t="str">
        <f>INDEX(overview!$B$4:$R$338,MATCH('hydrogen - electrolysis'!B5225,overview!$A$4:$A$338,0),MATCH('hydrogen - electrolysis'!A5228,overview!$B$3:$R$3,0))</f>
        <v>Switzerland</v>
      </c>
    </row>
    <row r="5229" spans="1:21" x14ac:dyDescent="0.2">
      <c r="A5229" t="s">
        <v>1</v>
      </c>
      <c r="B5229" s="45">
        <f>INDEX(overview!$B$4:$R$338,MATCH('hydrogen - electrolysis'!B5225,overview!$A$4:$A$338,0),MATCH('hydrogen - electrolysis'!A5229,overview!$B$3:$R$3,0))</f>
        <v>2020</v>
      </c>
    </row>
    <row r="5230" spans="1:21" x14ac:dyDescent="0.2">
      <c r="A5230" t="s">
        <v>2</v>
      </c>
      <c r="B5230" s="45" t="str">
        <f>INDEX(overview!$B$4:$R$338,MATCH('hydrogen - electrolysis'!B5225,overview!$A$4:$A$338,0),MATCH('hydrogen - electrolysis'!A5230,overview!$B$3:$R$3,0))</f>
        <v>1 kWh electricity</v>
      </c>
    </row>
    <row r="5231" spans="1:21" x14ac:dyDescent="0.2">
      <c r="A5231" t="s">
        <v>5</v>
      </c>
      <c r="B5231" s="45" t="str">
        <f>INDEX(overview!$B$4:$R$338,MATCH('hydrogen - electrolysis'!B5225,overview!$A$4:$A$338,0),MATCH('hydrogen - electrolysis'!A5231,overview!$B$3:$R$3,0))</f>
        <v>hydrogen</v>
      </c>
    </row>
    <row r="5232" spans="1:21" x14ac:dyDescent="0.2">
      <c r="A5232" t="s">
        <v>3</v>
      </c>
      <c r="B5232" s="45" t="str">
        <f>INDEX(overview!$B$4:$R$338,MATCH('hydrogen - electrolysis'!B5225,overview!$A$4:$A$338,0),MATCH('hydrogen - electrolysis'!A5232,overview!$B$3:$R$3,0))</f>
        <v>conversion</v>
      </c>
    </row>
    <row r="5233" spans="1:2" x14ac:dyDescent="0.2">
      <c r="A5233" t="s">
        <v>6</v>
      </c>
      <c r="B5233" s="45" t="str">
        <f>INDEX(overview!$B$4:$R$338,MATCH('hydrogen - electrolysis'!B5225,overview!$A$4:$A$338,0),MATCH('hydrogen - electrolysis'!A5233,overview!$B$3:$R$3,0))</f>
        <v>fuel cell, SOFC</v>
      </c>
    </row>
    <row r="5234" spans="1:2" x14ac:dyDescent="0.2">
      <c r="A5234" t="s">
        <v>39</v>
      </c>
      <c r="B5234" s="45" t="str">
        <f>INDEX(overview!$B$4:$R$338,MATCH('hydrogen - electrolysis'!B5225,overview!$A$4:$A$338,0),MATCH('hydrogen - electrolysis'!A5234,overview!$B$3:$R$3,0))</f>
        <v>exergy</v>
      </c>
    </row>
    <row r="5235" spans="1:2" x14ac:dyDescent="0.2">
      <c r="A5235" t="s">
        <v>4</v>
      </c>
      <c r="B5235" s="45" t="str">
        <f>INDEX(overview!$B$4:$R$338,MATCH('hydrogen - electrolysis'!B5225,overview!$A$4:$A$338,0),MATCH('hydrogen - electrolysis'!A5235,overview!$B$3:$R$3,0))</f>
        <v>train</v>
      </c>
    </row>
    <row r="5236" spans="1:2" x14ac:dyDescent="0.2">
      <c r="A5236" t="s">
        <v>38</v>
      </c>
      <c r="B5236" s="45">
        <f>INDEX(overview!$B$4:$R$338,MATCH('hydrogen - electrolysis'!B5225,overview!$A$4:$A$338,0),MATCH('hydrogen - electrolysis'!A5236,overview!$B$3:$R$3,0))</f>
        <v>1700</v>
      </c>
    </row>
    <row r="5237" spans="1:2" x14ac:dyDescent="0.2">
      <c r="A5237" t="s">
        <v>12</v>
      </c>
      <c r="B5237" s="45" t="str">
        <f>INDEX(overview!$B$4:$R$338,MATCH('hydrogen - electrolysis'!B5225,overview!$A$4:$A$338,0),MATCH('hydrogen - electrolysis'!A5237,overview!$B$3:$R$3,0))</f>
        <v>Pressure vessel for stationary storage</v>
      </c>
    </row>
    <row r="5238" spans="1:2" x14ac:dyDescent="0.2">
      <c r="A5238" t="s">
        <v>34</v>
      </c>
      <c r="B5238" s="45">
        <f>INDEX(overview!$B$4:$R$338,MATCH('hydrogen - electrolysis'!B5225,overview!$A$4:$A$338,0),MATCH('hydrogen - electrolysis'!A5238,overview!$B$3:$R$3,0))</f>
        <v>0</v>
      </c>
    </row>
    <row r="5239" spans="1:2" x14ac:dyDescent="0.2">
      <c r="A5239" t="s">
        <v>15</v>
      </c>
      <c r="B5239" s="45" t="str">
        <f>INDEX(overview!$B$4:$R$338,MATCH('hydrogen - electrolysis'!B5225,overview!$A$4:$A$338,0),MATCH('hydrogen - electrolysis'!A5239,overview!$B$3:$R$3,0))</f>
        <v>Electrolysis, PEM</v>
      </c>
    </row>
    <row r="5240" spans="1:2" x14ac:dyDescent="0.2">
      <c r="A5240" t="s">
        <v>14</v>
      </c>
      <c r="B5240" s="45" t="str">
        <f>INDEX(overview!$B$4:$R$338,MATCH('hydrogen - electrolysis'!B5225,overview!$A$4:$A$338,0),MATCH('hydrogen - electrolysis'!A5240,overview!$B$3:$R$3,0))</f>
        <v>water and electricity</v>
      </c>
    </row>
    <row r="5241" spans="1:2" x14ac:dyDescent="0.2">
      <c r="A5241" t="s">
        <v>26</v>
      </c>
      <c r="B5241" s="45" t="str">
        <f>INDEX(overview!$B$4:$R$338,MATCH('hydrogen - electrolysis'!B5225,overview!$A$4:$A$338,0),MATCH('hydrogen - electrolysis'!A5241,overview!$B$3:$R$3,0))</f>
        <v>Solar PV (IT)</v>
      </c>
    </row>
    <row r="5242" spans="1:2" x14ac:dyDescent="0.2">
      <c r="A5242" t="s">
        <v>29</v>
      </c>
      <c r="B5242" s="45">
        <f>INDEX(overview!$B$4:$R$338,MATCH('hydrogen - electrolysis'!B5225,overview!$A$4:$A$338,0),MATCH('hydrogen - electrolysis'!A5242,overview!$B$3:$R$3,0))</f>
        <v>0</v>
      </c>
    </row>
    <row r="5243" spans="1:2" x14ac:dyDescent="0.2">
      <c r="A5243" t="str">
        <f>IF(B5227="megajoule","Heat","Electricity")&amp;" conversion efficiency [% LHV input]"</f>
        <v>Electricity conversion efficiency [% LHV input]</v>
      </c>
      <c r="B5243" s="46">
        <f>INDEX(parameters!$D$4:$N$20,MATCH('hydrogen - electrolysis'!B5231&amp;'hydrogen - electrolysis'!B5233,parameters!$A$4:$A$20,0),MATCH('hydrogen - electrolysis'!A5243,parameters!$D$3:$N$3,0))</f>
        <v>0.47</v>
      </c>
    </row>
    <row r="5244" spans="1:2" x14ac:dyDescent="0.2">
      <c r="A5244" t="str">
        <f>IF(B5227="megajoule","LHV [MJ/kg]","LHV [kWh/kg]")</f>
        <v>LHV [kWh/kg]</v>
      </c>
      <c r="B5244" s="47">
        <f>INDEX(parameters!$D$4:$N$20,MATCH('hydrogen - electrolysis'!B5231&amp;'hydrogen - electrolysis'!B5233,parameters!$A$4:$A$20,0),MATCH('hydrogen - electrolysis'!A5244,parameters!$D$3:$N$3,0))</f>
        <v>33.333333333333336</v>
      </c>
    </row>
    <row r="5245" spans="1:2" x14ac:dyDescent="0.2">
      <c r="A5245" t="s">
        <v>41</v>
      </c>
      <c r="B5245" s="48">
        <f>INDEX(parameters!$D$4:$N$20,MATCH('hydrogen - electrolysis'!B5231&amp;'hydrogen - electrolysis'!B5233,parameters!$A$4:$A$20,0),MATCH('hydrogen - electrolysis'!A5245,parameters!$D$3:$N$3,0))</f>
        <v>2.6666666666666665E-2</v>
      </c>
    </row>
    <row r="5246" spans="1:2" x14ac:dyDescent="0.2">
      <c r="A5246" t="s">
        <v>45</v>
      </c>
      <c r="B5246" s="46">
        <f>INDEX(parameters!$D$4:$N$20,MATCH('hydrogen - electrolysis'!B5231&amp;'hydrogen - electrolysis'!B5233,parameters!$A$4:$A$20,0),MATCH('hydrogen - electrolysis'!A5246,parameters!$D$3:$N$3,0))</f>
        <v>0</v>
      </c>
    </row>
    <row r="5247" spans="1:2" x14ac:dyDescent="0.2">
      <c r="A5247" t="s">
        <v>46</v>
      </c>
      <c r="B5247" s="46">
        <f>INDEX(parameters!$D$4:$N$20,MATCH('hydrogen - electrolysis'!B5231&amp;'hydrogen - electrolysis'!B5233,parameters!$A$4:$A$20,0),MATCH('hydrogen - electrolysis'!A5247,parameters!$D$3:$N$3,0))</f>
        <v>1.4999999999999999E-2</v>
      </c>
    </row>
    <row r="5248" spans="1:2" x14ac:dyDescent="0.2">
      <c r="A5248" t="s">
        <v>43</v>
      </c>
      <c r="B5248" s="46">
        <f>INDEX(parameters!$D$4:$N$20,MATCH('hydrogen - electrolysis'!B5231&amp;'hydrogen - electrolysis'!B5233,parameters!$A$4:$A$20,0),MATCH('hydrogen - electrolysis'!A5248,parameters!$D$3:$N$3,0))</f>
        <v>0</v>
      </c>
    </row>
    <row r="5249" spans="1:22" x14ac:dyDescent="0.2">
      <c r="A5249" t="s">
        <v>44</v>
      </c>
      <c r="B5249" s="46">
        <f>INDEX(parameters!$D$4:$N$20,MATCH('hydrogen - electrolysis'!B5231&amp;'hydrogen - electrolysis'!B5233,parameters!$A$4:$A$20,0),MATCH('hydrogen - electrolysis'!A5249,parameters!$D$3:$N$3,0))</f>
        <v>0</v>
      </c>
    </row>
    <row r="5250" spans="1:22" x14ac:dyDescent="0.2">
      <c r="A5250" t="s">
        <v>634</v>
      </c>
      <c r="B5250" s="51">
        <f>INDEX(parameters!$D$4:$Y$20,MATCH('hydrogen - electrolysis'!B5231&amp;'hydrogen - electrolysis'!B5233,parameters!$A$4:$A$20,0),MATCH('hydrogen - electrolysis'!A5250,parameters!$D$3:$Y$3,0))</f>
        <v>225</v>
      </c>
      <c r="D5250" s="8"/>
    </row>
    <row r="5251" spans="1:22" x14ac:dyDescent="0.2">
      <c r="A5251" t="s">
        <v>82</v>
      </c>
      <c r="B5251" s="46">
        <f>IF(B5242&lt;&gt;0,VLOOKUP(B5242,parameters!A3430:B3432,2,0),0)</f>
        <v>0</v>
      </c>
    </row>
    <row r="5252" spans="1:22" x14ac:dyDescent="0.2">
      <c r="A5252" t="s">
        <v>548</v>
      </c>
      <c r="B5252" s="50">
        <f>INDEX(parameters!$D$4:$P$20,MATCH(B5231&amp;B5233,parameters!$A$4:$A$20,0),MATCH(A5252,parameters!$D$3:$P$3,0))</f>
        <v>100</v>
      </c>
    </row>
    <row r="5253" spans="1:22" x14ac:dyDescent="0.2">
      <c r="A5253" t="s">
        <v>547</v>
      </c>
      <c r="B5253" s="51">
        <f>INDEX(parameters!$D$4:$P$20,MATCH(B5231&amp;B5233,parameters!$A$4:$A$20,0),MATCH(A5253,parameters!$D$3:$P$3,0))</f>
        <v>6</v>
      </c>
    </row>
    <row r="5254" spans="1:22" x14ac:dyDescent="0.2">
      <c r="A5254" t="s">
        <v>630</v>
      </c>
      <c r="B5254" s="51">
        <f>INDEX(parameters!$D$4:$T$20,MATCH(B5231&amp;B5233,parameters!$A$4:$A$20,0),MATCH(A5254,parameters!$D$3:$T$3,0))</f>
        <v>4100</v>
      </c>
    </row>
    <row r="5255" spans="1:22" x14ac:dyDescent="0.2">
      <c r="A5255" t="s">
        <v>1005</v>
      </c>
      <c r="B5255" s="50">
        <f>IF(B5227="megajoule",SUMIFS(allocation!$I$4:$I$30,allocation!$B$4:$B$30,B5233,allocation!$C$4:$C$30,B5234),SUMIFS(allocation!$J$4:$J$30,allocation!$B$4:$B$30,B5233,allocation!$C$4:$C$30,B5234))</f>
        <v>0.86412493489600906</v>
      </c>
    </row>
    <row r="5256" spans="1:22" x14ac:dyDescent="0.2">
      <c r="A5256" t="s">
        <v>1050</v>
      </c>
      <c r="B5256" s="51">
        <f>INDEX(parameters!$D$4:$AB$20,MATCH(B5231&amp;B5233,parameters!$A$4:$A$20,0),MATCH(A5256,parameters!$D$3:$AB$3,0))</f>
        <v>1153.1249999999998</v>
      </c>
    </row>
    <row r="5258" spans="1:22" x14ac:dyDescent="0.2">
      <c r="A5258" s="3" t="s">
        <v>57</v>
      </c>
    </row>
    <row r="5259" spans="1:22" x14ac:dyDescent="0.2">
      <c r="A5259" s="2" t="s">
        <v>58</v>
      </c>
      <c r="B5259" s="44" t="s">
        <v>59</v>
      </c>
      <c r="C5259" s="2" t="s">
        <v>55</v>
      </c>
      <c r="D5259" s="2" t="s">
        <v>60</v>
      </c>
      <c r="E5259" s="2" t="s">
        <v>52</v>
      </c>
      <c r="F5259" s="2" t="s">
        <v>61</v>
      </c>
      <c r="G5259" s="2" t="s">
        <v>54</v>
      </c>
      <c r="H5259" s="2" t="s">
        <v>87</v>
      </c>
      <c r="I5259" s="2" t="s">
        <v>51</v>
      </c>
      <c r="J5259" s="2" t="s">
        <v>138</v>
      </c>
      <c r="K5259" s="2" t="s">
        <v>136</v>
      </c>
      <c r="L5259" s="2" t="s">
        <v>221</v>
      </c>
      <c r="M5259" s="2" t="s">
        <v>379</v>
      </c>
      <c r="N5259" s="2" t="s">
        <v>1059</v>
      </c>
      <c r="O5259" s="2" t="s">
        <v>1060</v>
      </c>
      <c r="P5259" s="2" t="s">
        <v>1061</v>
      </c>
      <c r="Q5259" s="2" t="s">
        <v>1062</v>
      </c>
      <c r="R5259" s="2" t="s">
        <v>1063</v>
      </c>
      <c r="S5259" s="2" t="s">
        <v>1064</v>
      </c>
      <c r="T5259" s="2" t="s">
        <v>1065</v>
      </c>
      <c r="U5259" s="2" t="s">
        <v>380</v>
      </c>
      <c r="V5259" s="2" t="s">
        <v>1128</v>
      </c>
    </row>
    <row r="5260" spans="1:22" x14ac:dyDescent="0.2">
      <c r="A5260" t="str">
        <f>B5221</f>
        <v>electricity, residential, by conversion of hydrogen using fuel cell, SOFC, allocated by exergy, transported by train, produced by Electrolysis, PEM using water and electricity from Solar PV (IT)</v>
      </c>
      <c r="B5260" s="45">
        <v>1</v>
      </c>
      <c r="C5260" t="str">
        <f>B5227</f>
        <v>kilowatt hour</v>
      </c>
      <c r="E5260" t="str">
        <f>B5224</f>
        <v>CH</v>
      </c>
      <c r="F5260" t="s">
        <v>62</v>
      </c>
      <c r="G5260" t="str">
        <f>B5226</f>
        <v>electricity, from residential heating system</v>
      </c>
      <c r="K5260" t="str">
        <f>B5221</f>
        <v>electricity, residential, by conversion of hydrogen using fuel cell, SOFC, allocated by exergy, transported by train, produced by Electrolysis, PEM using water and electricity from Solar PV (IT)</v>
      </c>
    </row>
    <row r="5261" spans="1:22" x14ac:dyDescent="0.2">
      <c r="A5261" t="str">
        <f>VLOOKUP(J5261,'dataset mapping'!$A$4:$E$69,2,0)</f>
        <v>fuel cell production, stack solid oxide, 125kW electrical, future</v>
      </c>
      <c r="B5261" s="52">
        <f>(1/(B5250*B5254*B5253))*B5255</f>
        <v>1.5612013277254003E-7</v>
      </c>
      <c r="C5261" t="str">
        <f>VLOOKUP(J5261,'dataset mapping'!$A$4:$E$69,5,0)</f>
        <v>unit</v>
      </c>
      <c r="E5261" t="str">
        <f>VLOOKUP(J5261,'dataset mapping'!$A$4:$E$69,4,0)</f>
        <v>CH</v>
      </c>
      <c r="F5261" t="s">
        <v>86</v>
      </c>
      <c r="G5261" t="str">
        <f>VLOOKUP(J5261,'dataset mapping'!$A$4:$E$69,3,0)</f>
        <v>fuel cell, stack solid oxide, 125kW electrical, future</v>
      </c>
      <c r="H5261" t="s">
        <v>88</v>
      </c>
      <c r="I5261" t="s">
        <v>277</v>
      </c>
      <c r="J5261" t="s">
        <v>274</v>
      </c>
      <c r="K5261" t="str">
        <f>B5221</f>
        <v>electricity, residential, by conversion of hydrogen using fuel cell, SOFC, allocated by exergy, transported by train, produced by Electrolysis, PEM using water and electricity from Solar PV (IT)</v>
      </c>
      <c r="L5261">
        <f t="shared" ref="L5261:L5267" si="193">IF(OR(B5261&lt;0,B5261=0),1,2)</f>
        <v>2</v>
      </c>
      <c r="M5261">
        <f t="shared" ref="M5261:M5267" si="194">IF(L5261=2,LN(B5261),"")</f>
        <v>-15.672640044182527</v>
      </c>
      <c r="N5261">
        <v>1</v>
      </c>
      <c r="O5261" s="15">
        <v>1.2</v>
      </c>
      <c r="P5261">
        <v>1</v>
      </c>
      <c r="Q5261">
        <v>1.01</v>
      </c>
      <c r="R5261">
        <v>1.2</v>
      </c>
      <c r="S5261">
        <v>1.2</v>
      </c>
      <c r="T5261">
        <v>3</v>
      </c>
      <c r="U5261">
        <f t="shared" ref="U5261:U5267" si="195">LN(SQRT(EXP(
SQRT(
+POWER(LN(N5261),2)
+POWER(LN(O5261),2)
+POWER(LN(P5261),2)
+POWER(LN(Q5261),2)
+POWER(LN(R5261),2)
+POWER(LN(S5261),2)
+POWER(LN(T5261),2)
)
)))</f>
        <v>0.57157051623399524</v>
      </c>
    </row>
    <row r="5262" spans="1:22" x14ac:dyDescent="0.2">
      <c r="A5262" t="s">
        <v>283</v>
      </c>
      <c r="B5262" s="52">
        <f>(1/(B5250*B5254*B5253))*B5255</f>
        <v>1.5612013277254003E-7</v>
      </c>
      <c r="C5262" t="s">
        <v>55</v>
      </c>
      <c r="E5262" t="s">
        <v>64</v>
      </c>
      <c r="F5262" t="s">
        <v>86</v>
      </c>
      <c r="G5262" t="s">
        <v>284</v>
      </c>
      <c r="H5262" t="s">
        <v>88</v>
      </c>
      <c r="I5262" t="s">
        <v>277</v>
      </c>
      <c r="K5262" t="str">
        <f>B5221</f>
        <v>electricity, residential, by conversion of hydrogen using fuel cell, SOFC, allocated by exergy, transported by train, produced by Electrolysis, PEM using water and electricity from Solar PV (IT)</v>
      </c>
      <c r="L5262">
        <f t="shared" si="193"/>
        <v>2</v>
      </c>
      <c r="M5262">
        <f t="shared" si="194"/>
        <v>-15.672640044182527</v>
      </c>
      <c r="N5262">
        <v>1</v>
      </c>
      <c r="O5262" s="15">
        <v>1.2</v>
      </c>
      <c r="P5262">
        <v>1</v>
      </c>
      <c r="Q5262">
        <v>1.01</v>
      </c>
      <c r="R5262">
        <v>1.2</v>
      </c>
      <c r="S5262">
        <v>1.2</v>
      </c>
      <c r="T5262">
        <v>3</v>
      </c>
      <c r="U5262">
        <f t="shared" si="195"/>
        <v>0.57157051623399524</v>
      </c>
    </row>
    <row r="5263" spans="1:22" x14ac:dyDescent="0.2">
      <c r="A5263" t="s">
        <v>288</v>
      </c>
      <c r="B5263" s="52">
        <f>0.000024*B5255</f>
        <v>2.0738998437504217E-5</v>
      </c>
      <c r="C5263" t="s">
        <v>56</v>
      </c>
      <c r="E5263" t="s">
        <v>64</v>
      </c>
      <c r="F5263" t="s">
        <v>86</v>
      </c>
      <c r="G5263" t="s">
        <v>287</v>
      </c>
      <c r="H5263" t="s">
        <v>88</v>
      </c>
      <c r="K5263" t="str">
        <f>B5221</f>
        <v>electricity, residential, by conversion of hydrogen using fuel cell, SOFC, allocated by exergy, transported by train, produced by Electrolysis, PEM using water and electricity from Solar PV (IT)</v>
      </c>
      <c r="L5263">
        <f t="shared" si="193"/>
        <v>2</v>
      </c>
      <c r="M5263">
        <f t="shared" si="194"/>
        <v>-10.783494647673981</v>
      </c>
      <c r="N5263">
        <v>1</v>
      </c>
      <c r="O5263" s="15">
        <v>1.2</v>
      </c>
      <c r="P5263">
        <v>1</v>
      </c>
      <c r="Q5263">
        <v>1.01</v>
      </c>
      <c r="R5263">
        <v>1.2</v>
      </c>
      <c r="S5263">
        <v>1.2</v>
      </c>
      <c r="T5263">
        <v>1.05</v>
      </c>
      <c r="U5263">
        <f t="shared" si="195"/>
        <v>0.15984597228197622</v>
      </c>
    </row>
    <row r="5264" spans="1:22" x14ac:dyDescent="0.2">
      <c r="A5264" s="45" t="str">
        <f>"hydrogen supply, transported by "&amp;B5235&amp;", produced by "&amp;B5239&amp;" using "&amp;B5240&amp;" from "&amp;B5241</f>
        <v>hydrogen supply, transported by train, produced by Electrolysis, PEM using water and electricity from Solar PV (IT)</v>
      </c>
      <c r="B5264" s="53">
        <f>(B5260/B5244)/B5243*B5255</f>
        <v>5.515691073804313E-2</v>
      </c>
      <c r="C5264" t="s">
        <v>56</v>
      </c>
      <c r="E5264" t="s">
        <v>64</v>
      </c>
      <c r="F5264" t="s">
        <v>86</v>
      </c>
      <c r="G5264" t="str">
        <f>"hydrogen, gaseous, from "&amp;B5235</f>
        <v>hydrogen, gaseous, from train</v>
      </c>
      <c r="H5264" t="s">
        <v>76</v>
      </c>
      <c r="I5264" t="s">
        <v>1054</v>
      </c>
      <c r="J5264" t="s">
        <v>637</v>
      </c>
      <c r="K5264" t="str">
        <f>B5221</f>
        <v>electricity, residential, by conversion of hydrogen using fuel cell, SOFC, allocated by exergy, transported by train, produced by Electrolysis, PEM using water and electricity from Solar PV (IT)</v>
      </c>
      <c r="L5264">
        <f t="shared" si="193"/>
        <v>2</v>
      </c>
      <c r="M5264">
        <f t="shared" si="194"/>
        <v>-2.8975732330996009</v>
      </c>
      <c r="N5264">
        <v>1</v>
      </c>
      <c r="O5264" s="15">
        <v>1.2</v>
      </c>
      <c r="P5264">
        <v>1</v>
      </c>
      <c r="Q5264">
        <v>1.01</v>
      </c>
      <c r="R5264">
        <v>1.2</v>
      </c>
      <c r="S5264">
        <v>1.2</v>
      </c>
      <c r="T5264">
        <v>1.05</v>
      </c>
      <c r="U5264">
        <f t="shared" si="195"/>
        <v>0.15984597228197622</v>
      </c>
    </row>
    <row r="5265" spans="1:21" x14ac:dyDescent="0.2">
      <c r="A5265" t="str">
        <f>VLOOKUP(J5265,'dataset mapping'!$A$4:$E$69,2,0)</f>
        <v>market for transport, freight train</v>
      </c>
      <c r="B5265" s="45">
        <f>SUM(B5264:B5264)/1000*B5236</f>
        <v>9.3766748254673321E-2</v>
      </c>
      <c r="C5265" t="str">
        <f>VLOOKUP(J5265,'dataset mapping'!$A$4:$E$69,5,0)</f>
        <v>ton kilometer</v>
      </c>
      <c r="E5265" t="str">
        <f>VLOOKUP(J5265,'dataset mapping'!$A$4:$E$69,4,0)</f>
        <v>CH</v>
      </c>
      <c r="F5265" t="s">
        <v>86</v>
      </c>
      <c r="G5265" t="str">
        <f>VLOOKUP(J5265,'dataset mapping'!$A$4:$E$69,3,0)</f>
        <v>transport, freight train</v>
      </c>
      <c r="H5265" t="s">
        <v>88</v>
      </c>
      <c r="I5265" t="s">
        <v>1052</v>
      </c>
      <c r="J5265" t="s">
        <v>295</v>
      </c>
      <c r="K5265" t="str">
        <f>B5221</f>
        <v>electricity, residential, by conversion of hydrogen using fuel cell, SOFC, allocated by exergy, transported by train, produced by Electrolysis, PEM using water and electricity from Solar PV (IT)</v>
      </c>
      <c r="L5265">
        <f t="shared" si="193"/>
        <v>2</v>
      </c>
      <c r="M5265">
        <f t="shared" si="194"/>
        <v>-2.3669449820374306</v>
      </c>
      <c r="N5265">
        <v>1</v>
      </c>
      <c r="O5265" s="15">
        <v>1.2</v>
      </c>
      <c r="P5265">
        <v>1</v>
      </c>
      <c r="Q5265">
        <v>1.01</v>
      </c>
      <c r="R5265">
        <v>1.2</v>
      </c>
      <c r="S5265">
        <v>1.2</v>
      </c>
      <c r="T5265">
        <v>2</v>
      </c>
      <c r="U5265">
        <f t="shared" si="195"/>
        <v>0.38087907307228186</v>
      </c>
    </row>
    <row r="5266" spans="1:21" x14ac:dyDescent="0.2">
      <c r="A5266" t="str">
        <f>VLOOKUP(J5266,'dataset mapping'!$A$4:$E$69,2,0)</f>
        <v>high pressure hydrogen storage tank</v>
      </c>
      <c r="B5266" s="52">
        <f>((B5256/10)/(B5254*B5250*20))*IF(B5255&lt;&gt;0,B5255,1)</f>
        <v>5.400780843100055E-6</v>
      </c>
      <c r="C5266" t="str">
        <f>VLOOKUP(J5266,'dataset mapping'!$A$4:$E$69,5,0)</f>
        <v>kilogram</v>
      </c>
      <c r="E5266" t="str">
        <f>VLOOKUP(J5266,'dataset mapping'!$A$4:$E$69,4,0)</f>
        <v>GLO</v>
      </c>
      <c r="F5266" t="s">
        <v>86</v>
      </c>
      <c r="G5266" t="str">
        <f>VLOOKUP(J5266,'dataset mapping'!$A$4:$E$69,3,0)</f>
        <v>high pressure hydrogen storage tank</v>
      </c>
      <c r="H5266" t="s">
        <v>88</v>
      </c>
      <c r="I5266" t="s">
        <v>230</v>
      </c>
      <c r="J5266" t="s">
        <v>229</v>
      </c>
      <c r="K5266" t="str">
        <f>B5221</f>
        <v>electricity, residential, by conversion of hydrogen using fuel cell, SOFC, allocated by exergy, transported by train, produced by Electrolysis, PEM using water and electricity from Solar PV (IT)</v>
      </c>
      <c r="L5266">
        <f t="shared" si="193"/>
        <v>2</v>
      </c>
      <c r="M5266">
        <f t="shared" si="194"/>
        <v>-12.128967014273616</v>
      </c>
      <c r="N5266">
        <v>1</v>
      </c>
      <c r="O5266" s="15">
        <v>1.2</v>
      </c>
      <c r="P5266">
        <v>1</v>
      </c>
      <c r="Q5266">
        <v>1.01</v>
      </c>
      <c r="R5266">
        <v>1.2</v>
      </c>
      <c r="S5266">
        <v>1.2</v>
      </c>
      <c r="T5266">
        <v>3</v>
      </c>
      <c r="U5266">
        <f t="shared" si="195"/>
        <v>0.57157051623399524</v>
      </c>
    </row>
    <row r="5267" spans="1:21" x14ac:dyDescent="0.2">
      <c r="A5267" t="s">
        <v>134</v>
      </c>
      <c r="B5267" s="45">
        <f>B5264*9</f>
        <v>0.49641219664238817</v>
      </c>
      <c r="C5267" t="s">
        <v>56</v>
      </c>
      <c r="D5267" t="s">
        <v>100</v>
      </c>
      <c r="F5267" t="s">
        <v>99</v>
      </c>
      <c r="H5267" t="s">
        <v>131</v>
      </c>
      <c r="I5267" t="s">
        <v>1057</v>
      </c>
      <c r="K5267" t="str">
        <f>B5221</f>
        <v>electricity, residential, by conversion of hydrogen using fuel cell, SOFC, allocated by exergy, transported by train, produced by Electrolysis, PEM using water and electricity from Solar PV (IT)</v>
      </c>
      <c r="L5267">
        <f t="shared" si="193"/>
        <v>2</v>
      </c>
      <c r="M5267">
        <f t="shared" si="194"/>
        <v>-0.70034865576338168</v>
      </c>
      <c r="N5267">
        <v>1</v>
      </c>
      <c r="O5267" s="15">
        <v>1.2</v>
      </c>
      <c r="P5267">
        <v>1</v>
      </c>
      <c r="Q5267">
        <v>1.01</v>
      </c>
      <c r="R5267">
        <v>1.2</v>
      </c>
      <c r="S5267">
        <v>1.2</v>
      </c>
      <c r="T5267">
        <v>1.05</v>
      </c>
      <c r="U5267">
        <f t="shared" si="195"/>
        <v>0.15984597228197622</v>
      </c>
    </row>
    <row r="5270" spans="1:21" x14ac:dyDescent="0.2">
      <c r="A5270" s="2" t="s">
        <v>50</v>
      </c>
      <c r="B5270" s="44" t="str">
        <f>IF(B5276="megajoule","heat","electricity")&amp;", residential, by "&amp;B5281&amp;" of "&amp;B5280&amp;" using "&amp;B5282&amp;IF(B5283&lt;&gt;0,", allocated by "&amp;B5283,"")&amp;", transported by "&amp;B5284&amp;", produced by "&amp;B5288&amp;" using "&amp;B5289&amp;" from "&amp;B5290</f>
        <v>heat, residential, by combustion of hydrogen using boiler, transported by pipeline, produced by Electrolysis, SOEC using water and electricity from Solar PV (IT)</v>
      </c>
    </row>
    <row r="5271" spans="1:21" x14ac:dyDescent="0.2">
      <c r="A5271" t="s">
        <v>51</v>
      </c>
      <c r="B5271" s="45" t="str">
        <f>"This dataset represents the supply of 1 "&amp;IF(B5276="megajoule","megajoule of heat","kilowatt hour of electricity")&amp;" in a residence, by "&amp;B5280&amp;" "&amp;B5281&amp;" in a "&amp;B5282&amp;". "&amp;" The hydrogen is transported by "&amp;B5284&amp;" over "&amp;B5285&amp;" km from regional storage. "&amp;" The "&amp;B5280&amp;" is produced by  "&amp;B5288&amp;", with "&amp;B5289&amp;" from "&amp;B5290&amp;" as feedstock. "&amp;A5292&amp;": "&amp;(B5292*100)&amp;"%. "&amp;A5293&amp;": "&amp;B5293&amp;". "&amp;A5294&amp;": "&amp;B5294&amp;". "&amp;A5295&amp;": "&amp;(B5295*100)&amp;"%. "&amp;A5296&amp;": "&amp;(B5296*100)&amp;"%. "&amp;A5297&amp;": "&amp;(B5297*100)&amp;"%. "&amp;A5298&amp;": "&amp;B5298&amp;". "&amp;A5299&amp;": "&amp;B5299&amp;". "&amp;A5300&amp;": "&amp;(B5300*100)&amp;"%. "&amp;A5301&amp;": "&amp;B5301&amp;". "&amp;A5302&amp;": "&amp;B5302&amp;". "&amp;A5303&amp;": "&amp;B5303&amp;". "&amp;A5304&amp;": "&amp;B5304&amp;".  For more information, refer to: "&amp;B5272</f>
        <v>This dataset represents the supply of 1 megajoule of heat in a residence, by hydrogen combustion in a boiler.  The hydrogen is transported by pipeline over 1700 km from regional storage.  The hydrogen is produced by  Electrolysis, SOEC,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5272" spans="1:21" x14ac:dyDescent="0.2">
      <c r="A5272" t="s">
        <v>63</v>
      </c>
      <c r="B5272" s="45" t="s">
        <v>1223</v>
      </c>
    </row>
    <row r="5273" spans="1:21" x14ac:dyDescent="0.2">
      <c r="A5273" t="s">
        <v>52</v>
      </c>
      <c r="B5273" s="45" t="s">
        <v>64</v>
      </c>
    </row>
    <row r="5274" spans="1:21" x14ac:dyDescent="0.2">
      <c r="A5274" t="s">
        <v>48</v>
      </c>
      <c r="B5274" s="45">
        <v>65</v>
      </c>
    </row>
    <row r="5275" spans="1:21" x14ac:dyDescent="0.2">
      <c r="A5275" t="s">
        <v>54</v>
      </c>
      <c r="B5275" s="45" t="str">
        <f>INDEX(overview!$B$4:$R$338,MATCH('hydrogen - electrolysis'!B5274,overview!$A$4:$A$338,0),MATCH('hydrogen - electrolysis'!A5275,overview!$B$3:$R$3,0))</f>
        <v>heat, from residential heating system</v>
      </c>
    </row>
    <row r="5276" spans="1:21" x14ac:dyDescent="0.2">
      <c r="A5276" t="s">
        <v>55</v>
      </c>
      <c r="B5276" s="45" t="str">
        <f>INDEX(overview!$B$4:$R$338,MATCH('hydrogen - electrolysis'!B5274,overview!$A$4:$A$338,0),MATCH('hydrogen - electrolysis'!A5276,overview!$B$3:$R$3,0))</f>
        <v>megajoule</v>
      </c>
    </row>
    <row r="5277" spans="1:21" x14ac:dyDescent="0.2">
      <c r="A5277" t="s">
        <v>0</v>
      </c>
      <c r="B5277" s="45" t="str">
        <f>INDEX(overview!$B$4:$R$338,MATCH('hydrogen - electrolysis'!B5274,overview!$A$4:$A$338,0),MATCH('hydrogen - electrolysis'!A5277,overview!$B$3:$R$3,0))</f>
        <v>Switzerland</v>
      </c>
    </row>
    <row r="5278" spans="1:21" x14ac:dyDescent="0.2">
      <c r="A5278" t="s">
        <v>1</v>
      </c>
      <c r="B5278" s="45">
        <f>INDEX(overview!$B$4:$R$338,MATCH('hydrogen - electrolysis'!B5274,overview!$A$4:$A$338,0),MATCH('hydrogen - electrolysis'!A5278,overview!$B$3:$R$3,0))</f>
        <v>2020</v>
      </c>
    </row>
    <row r="5279" spans="1:21" x14ac:dyDescent="0.2">
      <c r="A5279" t="s">
        <v>2</v>
      </c>
      <c r="B5279" s="45" t="str">
        <f>INDEX(overview!$B$4:$R$338,MATCH('hydrogen - electrolysis'!B5274,overview!$A$4:$A$338,0),MATCH('hydrogen - electrolysis'!A5279,overview!$B$3:$R$3,0))</f>
        <v>1 MJ heat</v>
      </c>
    </row>
    <row r="5280" spans="1:21" x14ac:dyDescent="0.2">
      <c r="A5280" t="s">
        <v>5</v>
      </c>
      <c r="B5280" s="45" t="str">
        <f>INDEX(overview!$B$4:$R$338,MATCH('hydrogen - electrolysis'!B5274,overview!$A$4:$A$338,0),MATCH('hydrogen - electrolysis'!A5280,overview!$B$3:$R$3,0))</f>
        <v>hydrogen</v>
      </c>
    </row>
    <row r="5281" spans="1:2" x14ac:dyDescent="0.2">
      <c r="A5281" t="s">
        <v>3</v>
      </c>
      <c r="B5281" s="45" t="str">
        <f>INDEX(overview!$B$4:$R$338,MATCH('hydrogen - electrolysis'!B5274,overview!$A$4:$A$338,0),MATCH('hydrogen - electrolysis'!A5281,overview!$B$3:$R$3,0))</f>
        <v>combustion</v>
      </c>
    </row>
    <row r="5282" spans="1:2" x14ac:dyDescent="0.2">
      <c r="A5282" t="s">
        <v>6</v>
      </c>
      <c r="B5282" s="45" t="str">
        <f>INDEX(overview!$B$4:$R$338,MATCH('hydrogen - electrolysis'!B5274,overview!$A$4:$A$338,0),MATCH('hydrogen - electrolysis'!A5282,overview!$B$3:$R$3,0))</f>
        <v>boiler</v>
      </c>
    </row>
    <row r="5283" spans="1:2" x14ac:dyDescent="0.2">
      <c r="A5283" t="s">
        <v>39</v>
      </c>
      <c r="B5283" s="45">
        <f>INDEX(overview!$B$4:$R$338,MATCH('hydrogen - electrolysis'!B5274,overview!$A$4:$A$338,0),MATCH('hydrogen - electrolysis'!A5283,overview!$B$3:$R$3,0))</f>
        <v>0</v>
      </c>
    </row>
    <row r="5284" spans="1:2" x14ac:dyDescent="0.2">
      <c r="A5284" t="s">
        <v>4</v>
      </c>
      <c r="B5284" s="45" t="str">
        <f>INDEX(overview!$B$4:$R$338,MATCH('hydrogen - electrolysis'!B5274,overview!$A$4:$A$338,0),MATCH('hydrogen - electrolysis'!A5284,overview!$B$3:$R$3,0))</f>
        <v>pipeline</v>
      </c>
    </row>
    <row r="5285" spans="1:2" x14ac:dyDescent="0.2">
      <c r="A5285" t="s">
        <v>38</v>
      </c>
      <c r="B5285" s="45">
        <f>INDEX(overview!$B$4:$R$338,MATCH('hydrogen - electrolysis'!B5274,overview!$A$4:$A$338,0),MATCH('hydrogen - electrolysis'!A5285,overview!$B$3:$R$3,0))</f>
        <v>1700</v>
      </c>
    </row>
    <row r="5286" spans="1:2" x14ac:dyDescent="0.2">
      <c r="A5286" t="s">
        <v>12</v>
      </c>
      <c r="B5286" s="45" t="str">
        <f>INDEX(overview!$B$4:$R$338,MATCH('hydrogen - electrolysis'!B5274,overview!$A$4:$A$338,0),MATCH('hydrogen - electrolysis'!A5286,overview!$B$3:$R$3,0))</f>
        <v>Pressure vessel for stationary storage</v>
      </c>
    </row>
    <row r="5287" spans="1:2" x14ac:dyDescent="0.2">
      <c r="A5287" t="s">
        <v>34</v>
      </c>
      <c r="B5287" s="45">
        <f>INDEX(overview!$B$4:$R$338,MATCH('hydrogen - electrolysis'!B5274,overview!$A$4:$A$338,0),MATCH('hydrogen - electrolysis'!A5287,overview!$B$3:$R$3,0))</f>
        <v>0</v>
      </c>
    </row>
    <row r="5288" spans="1:2" x14ac:dyDescent="0.2">
      <c r="A5288" t="s">
        <v>15</v>
      </c>
      <c r="B5288" s="45" t="str">
        <f>INDEX(overview!$B$4:$R$338,MATCH('hydrogen - electrolysis'!B5274,overview!$A$4:$A$338,0),MATCH('hydrogen - electrolysis'!A5288,overview!$B$3:$R$3,0))</f>
        <v>Electrolysis, SOEC</v>
      </c>
    </row>
    <row r="5289" spans="1:2" x14ac:dyDescent="0.2">
      <c r="A5289" t="s">
        <v>14</v>
      </c>
      <c r="B5289" s="45" t="str">
        <f>INDEX(overview!$B$4:$R$338,MATCH('hydrogen - electrolysis'!B5274,overview!$A$4:$A$338,0),MATCH('hydrogen - electrolysis'!A5289,overview!$B$3:$R$3,0))</f>
        <v>water and electricity</v>
      </c>
    </row>
    <row r="5290" spans="1:2" x14ac:dyDescent="0.2">
      <c r="A5290" t="s">
        <v>26</v>
      </c>
      <c r="B5290" s="45" t="str">
        <f>INDEX(overview!$B$4:$R$338,MATCH('hydrogen - electrolysis'!B5274,overview!$A$4:$A$338,0),MATCH('hydrogen - electrolysis'!A5290,overview!$B$3:$R$3,0))</f>
        <v>Solar PV (IT)</v>
      </c>
    </row>
    <row r="5291" spans="1:2" x14ac:dyDescent="0.2">
      <c r="A5291" t="s">
        <v>29</v>
      </c>
      <c r="B5291" s="45">
        <f>INDEX(overview!$B$4:$R$338,MATCH('hydrogen - electrolysis'!B5274,overview!$A$4:$A$338,0),MATCH('hydrogen - electrolysis'!A5291,overview!$B$3:$R$3,0))</f>
        <v>0</v>
      </c>
    </row>
    <row r="5292" spans="1:2" x14ac:dyDescent="0.2">
      <c r="A5292" t="str">
        <f>IF(B5276="megajoule","Heat","Electricity")&amp;" conversion efficiency [% LHV input]"</f>
        <v>Heat conversion efficiency [% LHV input]</v>
      </c>
      <c r="B5292" s="46">
        <f>INDEX(parameters!$D$4:$N$20,MATCH('hydrogen - electrolysis'!B5280&amp;'hydrogen - electrolysis'!B5282,parameters!$A$4:$A$20,0),MATCH('hydrogen - electrolysis'!A5292,parameters!$D$3:$N$3,0))</f>
        <v>0.94</v>
      </c>
    </row>
    <row r="5293" spans="1:2" x14ac:dyDescent="0.2">
      <c r="A5293" t="str">
        <f>IF(B5276="megajoule","LHV [MJ/kg]","LHV [kWh/kg]")</f>
        <v>LHV [MJ/kg]</v>
      </c>
      <c r="B5293" s="47">
        <f>INDEX(parameters!$D$4:$N$20,MATCH('hydrogen - electrolysis'!B5280&amp;'hydrogen - electrolysis'!B5282,parameters!$A$4:$A$20,0),MATCH('hydrogen - electrolysis'!A5293,parameters!$D$3:$N$3,0))</f>
        <v>120</v>
      </c>
    </row>
    <row r="5294" spans="1:2" x14ac:dyDescent="0.2">
      <c r="A5294" t="s">
        <v>41</v>
      </c>
      <c r="B5294" s="48">
        <f>INDEX(parameters!$D$4:$N$20,MATCH('hydrogen - electrolysis'!B5280&amp;'hydrogen - electrolysis'!B5282,parameters!$A$4:$A$20,0),MATCH('hydrogen - electrolysis'!A5294,parameters!$D$3:$N$3,0))</f>
        <v>2.6666666666666665E-2</v>
      </c>
    </row>
    <row r="5295" spans="1:2" x14ac:dyDescent="0.2">
      <c r="A5295" t="s">
        <v>45</v>
      </c>
      <c r="B5295" s="49">
        <f>INDEX(parameters!$D$4:$N$20,MATCH('hydrogen - electrolysis'!B5280&amp;'hydrogen - electrolysis'!B5282,parameters!$A$4:$A$20,0),MATCH('hydrogen - electrolysis'!A5295,parameters!$D$3:$N$3,0))</f>
        <v>0</v>
      </c>
    </row>
    <row r="5296" spans="1:2" x14ac:dyDescent="0.2">
      <c r="A5296" t="s">
        <v>46</v>
      </c>
      <c r="B5296" s="49">
        <f>INDEX(parameters!$D$4:$N$20,MATCH('hydrogen - electrolysis'!B5280&amp;'hydrogen - electrolysis'!B5282,parameters!$A$4:$A$20,0),MATCH('hydrogen - electrolysis'!A5296,parameters!$D$3:$N$3,0))</f>
        <v>1.4999999999999999E-2</v>
      </c>
    </row>
    <row r="5297" spans="1:22" x14ac:dyDescent="0.2">
      <c r="A5297" t="s">
        <v>43</v>
      </c>
      <c r="B5297" s="49">
        <f>INDEX(parameters!$D$4:$N$20,MATCH('hydrogen - electrolysis'!B5280&amp;'hydrogen - electrolysis'!B5282,parameters!$A$4:$A$20,0),MATCH('hydrogen - electrolysis'!A5297,parameters!$D$3:$N$3,0))</f>
        <v>0</v>
      </c>
    </row>
    <row r="5298" spans="1:22" x14ac:dyDescent="0.2">
      <c r="A5298" t="s">
        <v>44</v>
      </c>
      <c r="B5298" s="49">
        <f>INDEX(parameters!$D$4:$N$20,MATCH('hydrogen - electrolysis'!B5280&amp;'hydrogen - electrolysis'!B5282,parameters!$A$4:$A$20,0),MATCH('hydrogen - electrolysis'!A5298,parameters!$D$3:$N$3,0))</f>
        <v>0</v>
      </c>
    </row>
    <row r="5299" spans="1:22" x14ac:dyDescent="0.2">
      <c r="A5299" t="s">
        <v>634</v>
      </c>
      <c r="B5299" s="51">
        <f>INDEX(parameters!$D$4:$Y$20,MATCH('hydrogen - electrolysis'!B5280&amp;'hydrogen - electrolysis'!B5282,parameters!$A$4:$A$20,0),MATCH('hydrogen - electrolysis'!A5299,parameters!$D$3:$Y$3,0))</f>
        <v>15.957446808510639</v>
      </c>
    </row>
    <row r="5300" spans="1:22" x14ac:dyDescent="0.2">
      <c r="A5300" t="s">
        <v>82</v>
      </c>
      <c r="B5300" s="46">
        <f>IF(B5291&lt;&gt;0,VLOOKUP(B5291,parameters!A3330:B3332,2,0),0)</f>
        <v>0</v>
      </c>
    </row>
    <row r="5301" spans="1:22" x14ac:dyDescent="0.2">
      <c r="A5301" t="s">
        <v>548</v>
      </c>
      <c r="B5301" s="50">
        <f>INDEX(parameters!$D$4:$P$20,MATCH(B5280&amp;B5282,parameters!$A$4:$A$20,0),MATCH(A5301,parameters!$D$3:$P$3,0))</f>
        <v>15</v>
      </c>
    </row>
    <row r="5302" spans="1:22" x14ac:dyDescent="0.2">
      <c r="A5302" t="s">
        <v>547</v>
      </c>
      <c r="B5302" s="51">
        <f>INDEX(parameters!$D$4:$P$20,MATCH(B5280&amp;B5282,parameters!$A$4:$A$20,0),MATCH(A5302,parameters!$D$3:$P$3,0))</f>
        <v>20</v>
      </c>
    </row>
    <row r="5303" spans="1:22" x14ac:dyDescent="0.2">
      <c r="A5303" t="s">
        <v>630</v>
      </c>
      <c r="B5303" s="51">
        <f>INDEX(parameters!$D$4:$T$20,MATCH(B5280&amp;B5282,parameters!$A$4:$A$20,0),MATCH(A5303,parameters!$D$3:$T$3,0))</f>
        <v>2100</v>
      </c>
    </row>
    <row r="5304" spans="1:22" x14ac:dyDescent="0.2">
      <c r="A5304" t="s">
        <v>1005</v>
      </c>
      <c r="B5304" s="50">
        <f>IF(B5276="megajoule",SUMIFS(allocation!$I$4:$I$30,allocation!$B$4:$B$30,B5282,allocation!$C$4:$C$30,B5283),SUMIFS(allocation!$J$4:$J$30,allocation!$B$4:$B$30,B5282,allocation!$C$4:$C$30,B5283))</f>
        <v>0</v>
      </c>
    </row>
    <row r="5305" spans="1:22" x14ac:dyDescent="0.2">
      <c r="A5305" t="s">
        <v>1050</v>
      </c>
      <c r="B5305" s="51">
        <f>INDEX(parameters!$D$4:$AB$20,MATCH(B5280&amp;B5282,parameters!$A$4:$A$20,0),MATCH(A5305,parameters!$D$3:$AB$3,0))</f>
        <v>44.562019013128115</v>
      </c>
    </row>
    <row r="5307" spans="1:22" x14ac:dyDescent="0.2">
      <c r="A5307" s="3" t="s">
        <v>57</v>
      </c>
    </row>
    <row r="5308" spans="1:22" x14ac:dyDescent="0.2">
      <c r="A5308" s="2" t="s">
        <v>58</v>
      </c>
      <c r="B5308" s="44" t="s">
        <v>59</v>
      </c>
      <c r="C5308" s="2" t="s">
        <v>55</v>
      </c>
      <c r="D5308" s="2" t="s">
        <v>60</v>
      </c>
      <c r="E5308" s="2" t="s">
        <v>52</v>
      </c>
      <c r="F5308" s="2" t="s">
        <v>61</v>
      </c>
      <c r="G5308" s="2" t="s">
        <v>54</v>
      </c>
      <c r="H5308" s="2" t="s">
        <v>87</v>
      </c>
      <c r="I5308" s="2" t="s">
        <v>51</v>
      </c>
      <c r="J5308" s="2" t="s">
        <v>138</v>
      </c>
      <c r="K5308" s="2" t="s">
        <v>136</v>
      </c>
      <c r="L5308" s="2" t="s">
        <v>221</v>
      </c>
      <c r="M5308" s="2" t="s">
        <v>379</v>
      </c>
      <c r="N5308" s="2" t="s">
        <v>1059</v>
      </c>
      <c r="O5308" s="2" t="s">
        <v>1060</v>
      </c>
      <c r="P5308" s="2" t="s">
        <v>1061</v>
      </c>
      <c r="Q5308" s="2" t="s">
        <v>1062</v>
      </c>
      <c r="R5308" s="2" t="s">
        <v>1063</v>
      </c>
      <c r="S5308" s="2" t="s">
        <v>1064</v>
      </c>
      <c r="T5308" s="2" t="s">
        <v>1065</v>
      </c>
      <c r="U5308" s="2" t="s">
        <v>380</v>
      </c>
      <c r="V5308" s="2" t="s">
        <v>1128</v>
      </c>
    </row>
    <row r="5309" spans="1:22" x14ac:dyDescent="0.2">
      <c r="A5309" t="str">
        <f>B5270</f>
        <v>heat, residential, by combustion of hydrogen using boiler, transported by pipeline, produced by Electrolysis, SOEC using water and electricity from Solar PV (IT)</v>
      </c>
      <c r="B5309" s="45">
        <v>1</v>
      </c>
      <c r="C5309" t="str">
        <f>B5276</f>
        <v>megajoule</v>
      </c>
      <c r="E5309" t="str">
        <f>B5273</f>
        <v>CH</v>
      </c>
      <c r="F5309" t="s">
        <v>62</v>
      </c>
      <c r="G5309" t="str">
        <f>B5275</f>
        <v>heat, from residential heating system</v>
      </c>
      <c r="K5309" t="str">
        <f>B5270</f>
        <v>heat, residential, by combustion of hydrogen using boiler, transported by pipeline, produced by Electrolysis, SOEC using water and electricity from Solar PV (IT)</v>
      </c>
    </row>
    <row r="5310" spans="1:22" x14ac:dyDescent="0.2">
      <c r="A5310" t="s">
        <v>83</v>
      </c>
      <c r="B5310" s="52">
        <f>1/(B5301*B5303*B5302*3.6)</f>
        <v>4.4091710758377425E-7</v>
      </c>
      <c r="C5310" t="s">
        <v>55</v>
      </c>
      <c r="E5310" t="s">
        <v>85</v>
      </c>
      <c r="F5310" t="s">
        <v>86</v>
      </c>
      <c r="G5310" t="s">
        <v>84</v>
      </c>
      <c r="H5310" t="s">
        <v>88</v>
      </c>
      <c r="K5310" t="str">
        <f>B5270</f>
        <v>heat, residential, by combustion of hydrogen using boiler, transported by pipeline, produced by Electrolysis, SOEC using water and electricity from Solar PV (IT)</v>
      </c>
      <c r="L5310">
        <f t="shared" ref="L5310:L5315" si="196">IF(OR(B5310&lt;0,B5310=0),1,2)</f>
        <v>2</v>
      </c>
      <c r="M5310">
        <f t="shared" ref="M5310:M5315" si="197">IF(L5310=2,LN(B5310),"")</f>
        <v>-14.634408943829779</v>
      </c>
      <c r="N5310">
        <v>1.05</v>
      </c>
      <c r="O5310" s="15">
        <v>1.2</v>
      </c>
      <c r="P5310">
        <v>1</v>
      </c>
      <c r="Q5310">
        <v>1.01</v>
      </c>
      <c r="R5310">
        <v>1.2</v>
      </c>
      <c r="S5310">
        <v>1.2</v>
      </c>
      <c r="T5310">
        <v>3</v>
      </c>
      <c r="U5310">
        <f t="shared" ref="U5310:U5315" si="198">LN(SQRT(EXP(
SQRT(
+POWER(LN(N5310),2)
+POWER(LN(O5310),2)
+POWER(LN(P5310),2)
+POWER(LN(Q5310),2)
+POWER(LN(R5310),2)
+POWER(LN(S5310),2)
+POWER(LN(T5310),2)
)
)))</f>
        <v>0.57209088006881903</v>
      </c>
    </row>
    <row r="5311" spans="1:22" x14ac:dyDescent="0.2">
      <c r="A5311" t="s">
        <v>500</v>
      </c>
      <c r="B5311" s="52">
        <f>B5310*2</f>
        <v>8.8183421516754851E-7</v>
      </c>
      <c r="C5311" t="s">
        <v>267</v>
      </c>
      <c r="E5311" t="s">
        <v>85</v>
      </c>
      <c r="F5311" t="s">
        <v>86</v>
      </c>
      <c r="G5311" t="s">
        <v>501</v>
      </c>
      <c r="H5311" t="s">
        <v>88</v>
      </c>
      <c r="I5311" t="s">
        <v>621</v>
      </c>
      <c r="K5311" t="str">
        <f>B5270</f>
        <v>heat, residential, by combustion of hydrogen using boiler, transported by pipeline, produced by Electrolysis, SOEC using water and electricity from Solar PV (IT)</v>
      </c>
      <c r="L5311">
        <f t="shared" si="196"/>
        <v>2</v>
      </c>
      <c r="M5311">
        <f t="shared" si="197"/>
        <v>-13.941261763269834</v>
      </c>
      <c r="N5311">
        <v>1.05</v>
      </c>
      <c r="O5311" s="15">
        <v>1.2</v>
      </c>
      <c r="P5311">
        <v>1</v>
      </c>
      <c r="Q5311">
        <v>1.01</v>
      </c>
      <c r="R5311">
        <v>1.2</v>
      </c>
      <c r="S5311">
        <v>1.2</v>
      </c>
      <c r="T5311">
        <v>3</v>
      </c>
      <c r="U5311">
        <f t="shared" si="198"/>
        <v>0.57209088006881903</v>
      </c>
    </row>
    <row r="5312" spans="1:22" x14ac:dyDescent="0.2">
      <c r="A5312" t="s">
        <v>130</v>
      </c>
      <c r="B5312" s="52">
        <v>2.64E-3</v>
      </c>
      <c r="C5312" t="s">
        <v>92</v>
      </c>
      <c r="E5312" t="s">
        <v>64</v>
      </c>
      <c r="F5312" t="s">
        <v>86</v>
      </c>
      <c r="G5312" t="s">
        <v>93</v>
      </c>
      <c r="H5312" t="s">
        <v>78</v>
      </c>
      <c r="I5312" t="s">
        <v>270</v>
      </c>
      <c r="J5312" t="s">
        <v>67</v>
      </c>
      <c r="K5312" t="str">
        <f>B5270</f>
        <v>heat, residential, by combustion of hydrogen using boiler, transported by pipeline, produced by Electrolysis, SOEC using water and electricity from Solar PV (IT)</v>
      </c>
      <c r="L5312">
        <f t="shared" si="196"/>
        <v>2</v>
      </c>
      <c r="M5312">
        <f t="shared" si="197"/>
        <v>-5.9369763618239126</v>
      </c>
      <c r="N5312">
        <v>1.05</v>
      </c>
      <c r="O5312" s="15">
        <v>1.2</v>
      </c>
      <c r="P5312">
        <v>1</v>
      </c>
      <c r="Q5312">
        <v>1.01</v>
      </c>
      <c r="R5312">
        <v>1.2</v>
      </c>
      <c r="S5312">
        <v>1.2</v>
      </c>
      <c r="T5312">
        <v>1.05</v>
      </c>
      <c r="U5312">
        <f t="shared" si="198"/>
        <v>0.16169679924070957</v>
      </c>
    </row>
    <row r="5313" spans="1:21" x14ac:dyDescent="0.2">
      <c r="A5313" s="45" t="str">
        <f>"hydrogen supply, transported by "&amp;B5284&amp;", produced by "&amp;B5288&amp;" using "&amp;B5289&amp;" from "&amp;B5290</f>
        <v>hydrogen supply, transported by pipeline, produced by Electrolysis, SOEC using water and electricity from Solar PV (IT)</v>
      </c>
      <c r="B5313" s="53">
        <f>(B5309/B5293)/B5292</f>
        <v>8.8652482269503553E-3</v>
      </c>
      <c r="C5313" t="s">
        <v>56</v>
      </c>
      <c r="E5313" t="s">
        <v>64</v>
      </c>
      <c r="F5313" t="s">
        <v>86</v>
      </c>
      <c r="G5313" t="str">
        <f>"hydrogen, gaseous, from "&amp;B5284</f>
        <v>hydrogen, gaseous, from pipeline</v>
      </c>
      <c r="H5313" t="s">
        <v>76</v>
      </c>
      <c r="I5313" t="s">
        <v>1054</v>
      </c>
      <c r="J5313" t="s">
        <v>638</v>
      </c>
      <c r="K5313" t="str">
        <f>B5270</f>
        <v>heat, residential, by combustion of hydrogen using boiler, transported by pipeline, produced by Electrolysis, SOEC using water and electricity from Solar PV (IT)</v>
      </c>
      <c r="L5313">
        <f t="shared" si="196"/>
        <v>2</v>
      </c>
      <c r="M5313">
        <f t="shared" si="197"/>
        <v>-4.7256163390639587</v>
      </c>
      <c r="N5313">
        <v>1.05</v>
      </c>
      <c r="O5313" s="15">
        <v>1.2</v>
      </c>
      <c r="P5313">
        <v>1</v>
      </c>
      <c r="Q5313">
        <v>1.01</v>
      </c>
      <c r="R5313">
        <v>1.2</v>
      </c>
      <c r="S5313">
        <v>1.2</v>
      </c>
      <c r="T5313">
        <v>1.05</v>
      </c>
      <c r="U5313">
        <f t="shared" si="198"/>
        <v>0.16169679924070957</v>
      </c>
    </row>
    <row r="5314" spans="1:21" x14ac:dyDescent="0.2">
      <c r="A5314" t="s">
        <v>134</v>
      </c>
      <c r="B5314" s="45">
        <f>B5313*9</f>
        <v>7.9787234042553196E-2</v>
      </c>
      <c r="C5314" t="s">
        <v>56</v>
      </c>
      <c r="D5314" t="s">
        <v>100</v>
      </c>
      <c r="F5314" t="s">
        <v>99</v>
      </c>
      <c r="H5314" t="s">
        <v>131</v>
      </c>
      <c r="I5314" t="s">
        <v>1058</v>
      </c>
      <c r="K5314" t="str">
        <f>B5270</f>
        <v>heat, residential, by combustion of hydrogen using boiler, transported by pipeline, produced by Electrolysis, SOEC using water and electricity from Solar PV (IT)</v>
      </c>
      <c r="L5314">
        <f t="shared" si="196"/>
        <v>2</v>
      </c>
      <c r="M5314">
        <f t="shared" si="197"/>
        <v>-2.5283917617277392</v>
      </c>
      <c r="N5314">
        <v>1.05</v>
      </c>
      <c r="O5314" s="15">
        <v>1.2</v>
      </c>
      <c r="P5314">
        <v>1</v>
      </c>
      <c r="Q5314">
        <v>1.01</v>
      </c>
      <c r="R5314">
        <v>1.2</v>
      </c>
      <c r="S5314">
        <v>1.2</v>
      </c>
      <c r="T5314">
        <v>1.05</v>
      </c>
      <c r="U5314">
        <f t="shared" si="198"/>
        <v>0.16169679924070957</v>
      </c>
    </row>
    <row r="5315" spans="1:21" x14ac:dyDescent="0.2">
      <c r="A5315" t="s">
        <v>135</v>
      </c>
      <c r="B5315" s="45">
        <f>912.5/1000000*B5313</f>
        <v>8.0895390070921995E-6</v>
      </c>
      <c r="C5315" t="s">
        <v>56</v>
      </c>
      <c r="D5315" t="s">
        <v>100</v>
      </c>
      <c r="F5315" t="s">
        <v>99</v>
      </c>
      <c r="H5315" t="s">
        <v>131</v>
      </c>
      <c r="I5315" t="s">
        <v>1217</v>
      </c>
      <c r="K5315" t="str">
        <f>B5270</f>
        <v>heat, residential, by combustion of hydrogen using boiler, transported by pipeline, produced by Electrolysis, SOEC using water and electricity from Solar PV (IT)</v>
      </c>
      <c r="L5315">
        <f t="shared" si="196"/>
        <v>2</v>
      </c>
      <c r="M5315">
        <f t="shared" si="197"/>
        <v>-11.724938811571587</v>
      </c>
      <c r="N5315">
        <v>1.05</v>
      </c>
      <c r="O5315" s="15">
        <v>1.2</v>
      </c>
      <c r="P5315">
        <v>1</v>
      </c>
      <c r="Q5315">
        <v>1.01</v>
      </c>
      <c r="R5315">
        <v>1.2</v>
      </c>
      <c r="S5315">
        <v>1.2</v>
      </c>
      <c r="T5315">
        <v>1.5</v>
      </c>
      <c r="U5315">
        <f t="shared" si="198"/>
        <v>0.25816898211842121</v>
      </c>
    </row>
    <row r="5317" spans="1:21" x14ac:dyDescent="0.2">
      <c r="A5317" s="2" t="s">
        <v>50</v>
      </c>
      <c r="B5317" s="44" t="str">
        <f>IF(B5323="megajoule","heat","electricity")&amp;", residential, by "&amp;B5328&amp;" of "&amp;B5327&amp;" using "&amp;B5329&amp;IF(B5330&lt;&gt;0,", allocated by "&amp;B5330,"")&amp;", transported by "&amp;B5331&amp;", produced by "&amp;B5335&amp;" using "&amp;B5336&amp;" from "&amp;B5337</f>
        <v>heat, residential, by combustion of hydrogen using CHP, allocated by exergy, transported by pipeline, produced by Electrolysis, SOEC using water and electricity from Solar PV (IT)</v>
      </c>
    </row>
    <row r="5318" spans="1:21" x14ac:dyDescent="0.2">
      <c r="A5318" t="s">
        <v>51</v>
      </c>
      <c r="B5318" s="45" t="str">
        <f>"This dataset represents the supply of 1 "&amp;IF(B5323="megajoule","megajoule of heat","kilowatt hour of electricity")&amp;" in a residence, by "&amp;B5327&amp;" "&amp;B5328&amp;" in a "&amp;B5329&amp;". "&amp;" The hydrogen is transported by "&amp;B5331&amp;" over "&amp;B5332&amp;" km from regional storage. "&amp;" The "&amp;B5327&amp;" is produced by  "&amp;B5335&amp;", with "&amp;B5336&amp;" from "&amp;B5337&amp;" as feedstock. "&amp;A5339&amp;": "&amp;(B5339*100)&amp;"%. "&amp;A5340&amp;": "&amp;B5340&amp;". "&amp;A5341&amp;": "&amp;B5341&amp;". "&amp;A5342&amp;": "&amp;(B5342*100)&amp;"%. "&amp;A5343&amp;": "&amp;(B5343*100)&amp;"%. "&amp;A5344&amp;": "&amp;(B5344*100)&amp;"%. "&amp;A5345&amp;": "&amp;B5345&amp;". "&amp;A5346&amp;": "&amp;B5346&amp;". "&amp;A5347&amp;": "&amp;(B5347*100)&amp;"%. "&amp;A5348&amp;": "&amp;B5348&amp;". "&amp;A5349&amp;": "&amp;B5349&amp;". "&amp;A5350&amp;": "&amp;B5350&amp;". "&amp;A5351&amp;": "&amp;B5351&amp;".  For more information, refer to: "&amp;B5319</f>
        <v>This dataset represents the supply of 1 megajoule of heat in a residence, by hydrogen combustion in a CHP.  The hydrogen is transported by pipeline over 1700 km from regional storage.  The hydrogen is produced by  Electrolysis, SOEC,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5319" spans="1:21" x14ac:dyDescent="0.2">
      <c r="A5319" t="s">
        <v>63</v>
      </c>
      <c r="B5319" s="45" t="s">
        <v>1223</v>
      </c>
    </row>
    <row r="5320" spans="1:21" x14ac:dyDescent="0.2">
      <c r="A5320" t="s">
        <v>52</v>
      </c>
      <c r="B5320" s="45" t="s">
        <v>64</v>
      </c>
    </row>
    <row r="5321" spans="1:21" x14ac:dyDescent="0.2">
      <c r="A5321" t="s">
        <v>48</v>
      </c>
      <c r="B5321" s="45">
        <v>66</v>
      </c>
    </row>
    <row r="5322" spans="1:21" x14ac:dyDescent="0.2">
      <c r="A5322" t="s">
        <v>54</v>
      </c>
      <c r="B5322" s="45" t="str">
        <f>INDEX(overview!$B$4:$R$338,MATCH('hydrogen - electrolysis'!B5321,overview!$A$4:$A$338,0),MATCH('hydrogen - electrolysis'!A5322,overview!$B$3:$R$3,0))</f>
        <v>heat, from residential heating system</v>
      </c>
    </row>
    <row r="5323" spans="1:21" x14ac:dyDescent="0.2">
      <c r="A5323" t="s">
        <v>55</v>
      </c>
      <c r="B5323" s="45" t="str">
        <f>INDEX(overview!$B$4:$R$338,MATCH('hydrogen - electrolysis'!B5321,overview!$A$4:$A$338,0),MATCH('hydrogen - electrolysis'!A5323,overview!$B$3:$R$3,0))</f>
        <v>megajoule</v>
      </c>
    </row>
    <row r="5324" spans="1:21" x14ac:dyDescent="0.2">
      <c r="A5324" t="s">
        <v>0</v>
      </c>
      <c r="B5324" s="45" t="str">
        <f>INDEX(overview!$B$4:$R$338,MATCH('hydrogen - electrolysis'!B5321,overview!$A$4:$A$338,0),MATCH('hydrogen - electrolysis'!A5324,overview!$B$3:$R$3,0))</f>
        <v>Switzerland</v>
      </c>
    </row>
    <row r="5325" spans="1:21" x14ac:dyDescent="0.2">
      <c r="A5325" t="s">
        <v>1</v>
      </c>
      <c r="B5325" s="45">
        <f>INDEX(overview!$B$4:$R$338,MATCH('hydrogen - electrolysis'!B5321,overview!$A$4:$A$338,0),MATCH('hydrogen - electrolysis'!A5325,overview!$B$3:$R$3,0))</f>
        <v>2020</v>
      </c>
    </row>
    <row r="5326" spans="1:21" x14ac:dyDescent="0.2">
      <c r="A5326" t="s">
        <v>2</v>
      </c>
      <c r="B5326" s="45" t="str">
        <f>INDEX(overview!$B$4:$R$338,MATCH('hydrogen - electrolysis'!B5321,overview!$A$4:$A$338,0),MATCH('hydrogen - electrolysis'!A5326,overview!$B$3:$R$3,0))</f>
        <v>1 MJ heat</v>
      </c>
    </row>
    <row r="5327" spans="1:21" x14ac:dyDescent="0.2">
      <c r="A5327" t="s">
        <v>5</v>
      </c>
      <c r="B5327" s="45" t="str">
        <f>INDEX(overview!$B$4:$R$338,MATCH('hydrogen - electrolysis'!B5321,overview!$A$4:$A$338,0),MATCH('hydrogen - electrolysis'!A5327,overview!$B$3:$R$3,0))</f>
        <v>hydrogen</v>
      </c>
    </row>
    <row r="5328" spans="1:21" x14ac:dyDescent="0.2">
      <c r="A5328" t="s">
        <v>3</v>
      </c>
      <c r="B5328" s="45" t="str">
        <f>INDEX(overview!$B$4:$R$338,MATCH('hydrogen - electrolysis'!B5321,overview!$A$4:$A$338,0),MATCH('hydrogen - electrolysis'!A5328,overview!$B$3:$R$3,0))</f>
        <v>combustion</v>
      </c>
    </row>
    <row r="5329" spans="1:2" x14ac:dyDescent="0.2">
      <c r="A5329" t="s">
        <v>6</v>
      </c>
      <c r="B5329" s="45" t="str">
        <f>INDEX(overview!$B$4:$R$338,MATCH('hydrogen - electrolysis'!B5321,overview!$A$4:$A$338,0),MATCH('hydrogen - electrolysis'!A5329,overview!$B$3:$R$3,0))</f>
        <v>CHP</v>
      </c>
    </row>
    <row r="5330" spans="1:2" x14ac:dyDescent="0.2">
      <c r="A5330" t="s">
        <v>39</v>
      </c>
      <c r="B5330" s="45" t="str">
        <f>INDEX(overview!$B$4:$R$338,MATCH('hydrogen - electrolysis'!B5321,overview!$A$4:$A$338,0),MATCH('hydrogen - electrolysis'!A5330,overview!$B$3:$R$3,0))</f>
        <v>exergy</v>
      </c>
    </row>
    <row r="5331" spans="1:2" x14ac:dyDescent="0.2">
      <c r="A5331" t="s">
        <v>4</v>
      </c>
      <c r="B5331" s="45" t="str">
        <f>INDEX(overview!$B$4:$R$338,MATCH('hydrogen - electrolysis'!B5321,overview!$A$4:$A$338,0),MATCH('hydrogen - electrolysis'!A5331,overview!$B$3:$R$3,0))</f>
        <v>pipeline</v>
      </c>
    </row>
    <row r="5332" spans="1:2" x14ac:dyDescent="0.2">
      <c r="A5332" t="s">
        <v>38</v>
      </c>
      <c r="B5332" s="45">
        <f>INDEX(overview!$B$4:$R$338,MATCH('hydrogen - electrolysis'!B5321,overview!$A$4:$A$338,0),MATCH('hydrogen - electrolysis'!A5332,overview!$B$3:$R$3,0))</f>
        <v>1700</v>
      </c>
    </row>
    <row r="5333" spans="1:2" x14ac:dyDescent="0.2">
      <c r="A5333" t="s">
        <v>12</v>
      </c>
      <c r="B5333" s="45" t="str">
        <f>INDEX(overview!$B$4:$R$338,MATCH('hydrogen - electrolysis'!B5321,overview!$A$4:$A$338,0),MATCH('hydrogen - electrolysis'!A5333,overview!$B$3:$R$3,0))</f>
        <v>Pressure vessel for stationary storage</v>
      </c>
    </row>
    <row r="5334" spans="1:2" x14ac:dyDescent="0.2">
      <c r="A5334" t="s">
        <v>34</v>
      </c>
      <c r="B5334" s="45">
        <f>INDEX(overview!$B$4:$R$338,MATCH('hydrogen - electrolysis'!B5321,overview!$A$4:$A$338,0),MATCH('hydrogen - electrolysis'!A5334,overview!$B$3:$R$3,0))</f>
        <v>0</v>
      </c>
    </row>
    <row r="5335" spans="1:2" x14ac:dyDescent="0.2">
      <c r="A5335" t="s">
        <v>15</v>
      </c>
      <c r="B5335" s="45" t="str">
        <f>INDEX(overview!$B$4:$R$338,MATCH('hydrogen - electrolysis'!B5321,overview!$A$4:$A$338,0),MATCH('hydrogen - electrolysis'!A5335,overview!$B$3:$R$3,0))</f>
        <v>Electrolysis, SOEC</v>
      </c>
    </row>
    <row r="5336" spans="1:2" x14ac:dyDescent="0.2">
      <c r="A5336" t="s">
        <v>14</v>
      </c>
      <c r="B5336" s="45" t="str">
        <f>INDEX(overview!$B$4:$R$338,MATCH('hydrogen - electrolysis'!B5321,overview!$A$4:$A$338,0),MATCH('hydrogen - electrolysis'!A5336,overview!$B$3:$R$3,0))</f>
        <v>water and electricity</v>
      </c>
    </row>
    <row r="5337" spans="1:2" x14ac:dyDescent="0.2">
      <c r="A5337" t="s">
        <v>26</v>
      </c>
      <c r="B5337" s="45" t="str">
        <f>INDEX(overview!$B$4:$R$338,MATCH('hydrogen - electrolysis'!B5321,overview!$A$4:$A$338,0),MATCH('hydrogen - electrolysis'!A5337,overview!$B$3:$R$3,0))</f>
        <v>Solar PV (IT)</v>
      </c>
    </row>
    <row r="5338" spans="1:2" x14ac:dyDescent="0.2">
      <c r="A5338" t="s">
        <v>29</v>
      </c>
      <c r="B5338" s="45">
        <f>INDEX(overview!$B$4:$R$338,MATCH('hydrogen - electrolysis'!B5321,overview!$A$4:$A$338,0),MATCH('hydrogen - electrolysis'!A5338,overview!$B$3:$R$3,0))</f>
        <v>0</v>
      </c>
    </row>
    <row r="5339" spans="1:2" x14ac:dyDescent="0.2">
      <c r="A5339" t="str">
        <f>IF(B5323="megajoule","Heat","Electricity")&amp;" conversion efficiency [% LHV input]"</f>
        <v>Heat conversion efficiency [% LHV input]</v>
      </c>
      <c r="B5339" s="46">
        <f>INDEX(parameters!$D$4:$N$20,MATCH('hydrogen - electrolysis'!B5327&amp;'hydrogen - electrolysis'!B5329,parameters!$A$4:$A$20,0),MATCH('hydrogen - electrolysis'!A5339,parameters!$D$3:$N$3,0))</f>
        <v>0.41699999999999998</v>
      </c>
    </row>
    <row r="5340" spans="1:2" x14ac:dyDescent="0.2">
      <c r="A5340" t="str">
        <f>IF(B5323="megajoule","LHV [MJ/kg]","LHV [kWh/kg]")</f>
        <v>LHV [MJ/kg]</v>
      </c>
      <c r="B5340" s="47">
        <f>INDEX(parameters!$D$4:$N$20,MATCH('hydrogen - electrolysis'!B5327&amp;'hydrogen - electrolysis'!B5329,parameters!$A$4:$A$20,0),MATCH('hydrogen - electrolysis'!A5340,parameters!$D$3:$N$3,0))</f>
        <v>120</v>
      </c>
    </row>
    <row r="5341" spans="1:2" x14ac:dyDescent="0.2">
      <c r="A5341" t="s">
        <v>41</v>
      </c>
      <c r="B5341" s="48">
        <f>INDEX(parameters!$D$4:$N$20,MATCH('hydrogen - electrolysis'!B5327&amp;'hydrogen - electrolysis'!B5329,parameters!$A$4:$A$20,0),MATCH('hydrogen - electrolysis'!A5341,parameters!$D$3:$N$3,0))</f>
        <v>2.6666666666666665E-2</v>
      </c>
    </row>
    <row r="5342" spans="1:2" x14ac:dyDescent="0.2">
      <c r="A5342" t="s">
        <v>45</v>
      </c>
      <c r="B5342" s="46">
        <f>INDEX(parameters!$D$4:$N$20,MATCH('hydrogen - electrolysis'!B5327&amp;'hydrogen - electrolysis'!B5329,parameters!$A$4:$A$20,0),MATCH('hydrogen - electrolysis'!A5342,parameters!$D$3:$N$3,0))</f>
        <v>0</v>
      </c>
    </row>
    <row r="5343" spans="1:2" x14ac:dyDescent="0.2">
      <c r="A5343" t="s">
        <v>46</v>
      </c>
      <c r="B5343" s="46">
        <f>INDEX(parameters!$D$4:$N$20,MATCH('hydrogen - electrolysis'!B5327&amp;'hydrogen - electrolysis'!B5329,parameters!$A$4:$A$20,0),MATCH('hydrogen - electrolysis'!A5343,parameters!$D$3:$N$3,0))</f>
        <v>1.4999999999999999E-2</v>
      </c>
    </row>
    <row r="5344" spans="1:2" x14ac:dyDescent="0.2">
      <c r="A5344" t="s">
        <v>43</v>
      </c>
      <c r="B5344" s="46">
        <f>INDEX(parameters!$D$4:$N$20,MATCH('hydrogen - electrolysis'!B5327&amp;'hydrogen - electrolysis'!B5329,parameters!$A$4:$A$20,0),MATCH('hydrogen - electrolysis'!A5344,parameters!$D$3:$N$3,0))</f>
        <v>0</v>
      </c>
    </row>
    <row r="5345" spans="1:22" x14ac:dyDescent="0.2">
      <c r="A5345" t="s">
        <v>44</v>
      </c>
      <c r="B5345" s="46">
        <f>INDEX(parameters!$D$4:$N$20,MATCH('hydrogen - electrolysis'!B5327&amp;'hydrogen - electrolysis'!B5329,parameters!$A$4:$A$20,0),MATCH('hydrogen - electrolysis'!A5345,parameters!$D$3:$N$3,0))</f>
        <v>0</v>
      </c>
    </row>
    <row r="5346" spans="1:22" x14ac:dyDescent="0.2">
      <c r="A5346" t="s">
        <v>634</v>
      </c>
      <c r="B5346" s="51">
        <f>INDEX(parameters!$D$4:$Y$20,MATCH('hydrogen - electrolysis'!B5327&amp;'hydrogen - electrolysis'!B5329,parameters!$A$4:$A$20,0),MATCH('hydrogen - electrolysis'!A5346,parameters!$D$3:$Y$3,0))</f>
        <v>351.41800246609125</v>
      </c>
    </row>
    <row r="5347" spans="1:22" x14ac:dyDescent="0.2">
      <c r="A5347" t="s">
        <v>82</v>
      </c>
      <c r="B5347" s="46">
        <f>IF(B5338&lt;&gt;0,VLOOKUP(B5338,parameters!A3382:B3384,2,0),0)</f>
        <v>0</v>
      </c>
    </row>
    <row r="5348" spans="1:22" x14ac:dyDescent="0.2">
      <c r="A5348" t="s">
        <v>548</v>
      </c>
      <c r="B5348" s="50">
        <f>INDEX(parameters!$D$4:$P$20,MATCH(B5327&amp;B5329,parameters!$A$4:$A$20,0),MATCH(A5348,parameters!$D$3:$P$3,0))</f>
        <v>125</v>
      </c>
    </row>
    <row r="5349" spans="1:22" x14ac:dyDescent="0.2">
      <c r="A5349" t="s">
        <v>547</v>
      </c>
      <c r="B5349" s="51">
        <f>INDEX(parameters!$D$4:$P$20,MATCH(B5327&amp;B5329,parameters!$A$4:$A$20,0),MATCH(A5349,parameters!$D$3:$P$3,0))</f>
        <v>19.512195121951219</v>
      </c>
    </row>
    <row r="5350" spans="1:22" x14ac:dyDescent="0.2">
      <c r="A5350" t="s">
        <v>630</v>
      </c>
      <c r="B5350" s="51">
        <f>INDEX(parameters!$D$4:$T$20,MATCH(B5327&amp;B5329,parameters!$A$4:$A$20,0),MATCH(A5350,parameters!$D$3:$T$3,0))</f>
        <v>4100</v>
      </c>
    </row>
    <row r="5351" spans="1:22" x14ac:dyDescent="0.2">
      <c r="A5351" t="s">
        <v>1005</v>
      </c>
      <c r="B5351" s="50">
        <f>IF(B5323="megajoule",SUMIFS(allocation!$I$4:$I$30,allocation!$B$4:$B$30,B5329,allocation!$C$4:$C$30,B5330),SUMIFS(allocation!$J$4:$J$30,allocation!$B$4:$B$30,B5329,allocation!$C$4:$C$30,B5330))</f>
        <v>0.12860042227295038</v>
      </c>
    </row>
    <row r="5352" spans="1:22" x14ac:dyDescent="0.2">
      <c r="A5352" t="s">
        <v>1050</v>
      </c>
      <c r="B5352" s="51">
        <f>INDEX(parameters!$D$4:$AB$20,MATCH(B5327&amp;B5329,parameters!$A$4:$A$20,0),MATCH(A5352,parameters!$D$3:$AB$3,0))</f>
        <v>2220.7364520822662</v>
      </c>
    </row>
    <row r="5354" spans="1:22" x14ac:dyDescent="0.2">
      <c r="A5354" s="3" t="s">
        <v>57</v>
      </c>
    </row>
    <row r="5355" spans="1:22" x14ac:dyDescent="0.2">
      <c r="A5355" s="2" t="s">
        <v>58</v>
      </c>
      <c r="B5355" s="44" t="s">
        <v>59</v>
      </c>
      <c r="C5355" s="2" t="s">
        <v>55</v>
      </c>
      <c r="D5355" s="2" t="s">
        <v>60</v>
      </c>
      <c r="E5355" s="2" t="s">
        <v>52</v>
      </c>
      <c r="F5355" s="2" t="s">
        <v>61</v>
      </c>
      <c r="G5355" s="2" t="s">
        <v>54</v>
      </c>
      <c r="H5355" s="2" t="s">
        <v>87</v>
      </c>
      <c r="I5355" s="2" t="s">
        <v>51</v>
      </c>
      <c r="J5355" s="2" t="s">
        <v>138</v>
      </c>
      <c r="K5355" s="2" t="s">
        <v>136</v>
      </c>
      <c r="L5355" s="2" t="s">
        <v>221</v>
      </c>
      <c r="M5355" s="2" t="s">
        <v>379</v>
      </c>
      <c r="N5355" s="2" t="s">
        <v>1059</v>
      </c>
      <c r="O5355" s="2" t="s">
        <v>1060</v>
      </c>
      <c r="P5355" s="2" t="s">
        <v>1061</v>
      </c>
      <c r="Q5355" s="2" t="s">
        <v>1062</v>
      </c>
      <c r="R5355" s="2" t="s">
        <v>1063</v>
      </c>
      <c r="S5355" s="2" t="s">
        <v>1064</v>
      </c>
      <c r="T5355" s="2" t="s">
        <v>1065</v>
      </c>
      <c r="U5355" s="2" t="s">
        <v>380</v>
      </c>
      <c r="V5355" s="2" t="s">
        <v>1128</v>
      </c>
    </row>
    <row r="5356" spans="1:22" x14ac:dyDescent="0.2">
      <c r="A5356" t="str">
        <f>B5317</f>
        <v>heat, residential, by combustion of hydrogen using CHP, allocated by exergy, transported by pipeline, produced by Electrolysis, SOEC using water and electricity from Solar PV (IT)</v>
      </c>
      <c r="B5356" s="45">
        <v>1</v>
      </c>
      <c r="C5356" t="str">
        <f>B5323</f>
        <v>megajoule</v>
      </c>
      <c r="E5356" t="str">
        <f>B5320</f>
        <v>CH</v>
      </c>
      <c r="F5356" t="s">
        <v>62</v>
      </c>
      <c r="G5356" t="str">
        <f>B5322</f>
        <v>heat, from residential heating system</v>
      </c>
      <c r="K5356" t="str">
        <f>B5317</f>
        <v>heat, residential, by combustion of hydrogen using CHP, allocated by exergy, transported by pipeline, produced by Electrolysis, SOEC using water and electricity from Solar PV (IT)</v>
      </c>
    </row>
    <row r="5357" spans="1:22" x14ac:dyDescent="0.2">
      <c r="A5357" t="str">
        <f>VLOOKUP(J5357,'dataset mapping'!$A$4:$E$69,2,0)</f>
        <v>heat and power co-generation unit construction, 160kW electrical, common components for heat+electricity</v>
      </c>
      <c r="B5357" s="52">
        <f>(1/(B5346*B5350*B5349*3.6))*B5351</f>
        <v>1.270649883812899E-9</v>
      </c>
      <c r="C5357" t="str">
        <f>VLOOKUP(J5357,'dataset mapping'!$A$4:$E$69,5,0)</f>
        <v>unit</v>
      </c>
      <c r="E5357" t="str">
        <f>VLOOKUP(J5357,'dataset mapping'!$A$4:$E$69,4,0)</f>
        <v>RER</v>
      </c>
      <c r="F5357" t="s">
        <v>86</v>
      </c>
      <c r="G5357" t="str">
        <f>VLOOKUP(J5357,'dataset mapping'!$A$4:$E$69,3,0)</f>
        <v>heat and power co-generation unit, 160kW electrical, common components for heat+electricity</v>
      </c>
      <c r="H5357" t="s">
        <v>88</v>
      </c>
      <c r="J5357" t="s">
        <v>145</v>
      </c>
      <c r="K5357" t="str">
        <f>B5317</f>
        <v>heat, residential, by combustion of hydrogen using CHP, allocated by exergy, transported by pipeline, produced by Electrolysis, SOEC using water and electricity from Solar PV (IT)</v>
      </c>
      <c r="L5357">
        <f t="shared" ref="L5357:L5364" si="199">IF(OR(B5357&lt;0,B5357=0),1,2)</f>
        <v>2</v>
      </c>
      <c r="M5357">
        <f t="shared" ref="M5357:M5364" si="200">IF(L5357=2,LN(B5357),"")</f>
        <v>-20.48373734782199</v>
      </c>
      <c r="N5357">
        <v>1.05</v>
      </c>
      <c r="O5357" s="15">
        <v>1.2</v>
      </c>
      <c r="P5357">
        <v>1</v>
      </c>
      <c r="Q5357">
        <v>1.01</v>
      </c>
      <c r="R5357">
        <v>1.2</v>
      </c>
      <c r="S5357">
        <v>1.2</v>
      </c>
      <c r="T5357">
        <v>3</v>
      </c>
      <c r="U5357">
        <f t="shared" ref="U5357:U5364" si="201">LN(SQRT(EXP(
SQRT(
+POWER(LN(N5357),2)
+POWER(LN(O5357),2)
+POWER(LN(P5357),2)
+POWER(LN(Q5357),2)
+POWER(LN(R5357),2)
+POWER(LN(S5357),2)
+POWER(LN(T5357),2)
)
)))</f>
        <v>0.57209088006881903</v>
      </c>
    </row>
    <row r="5358" spans="1:22" x14ac:dyDescent="0.2">
      <c r="A5358" t="str">
        <f>VLOOKUP(J5358,'dataset mapping'!$A$4:$E$69,2,0)</f>
        <v>heat and power co-generation unit construction, 160kW electrical, components for electricity only</v>
      </c>
      <c r="B5358" s="52">
        <f>(1/(B5346*B5350*B5349*3.6))*B5351</f>
        <v>1.270649883812899E-9</v>
      </c>
      <c r="C5358" t="str">
        <f>VLOOKUP(J5358,'dataset mapping'!$A$4:$E$69,5,0)</f>
        <v>unit</v>
      </c>
      <c r="E5358" t="str">
        <f>VLOOKUP(J5358,'dataset mapping'!$A$4:$E$69,4,0)</f>
        <v>RER</v>
      </c>
      <c r="F5358" t="s">
        <v>86</v>
      </c>
      <c r="G5358" t="str">
        <f>VLOOKUP(J5358,'dataset mapping'!$A$4:$E$69,3,0)</f>
        <v>heat and power co-generation unit, 160kW electrical, components for electricity only</v>
      </c>
      <c r="H5358" t="s">
        <v>88</v>
      </c>
      <c r="J5358" t="s">
        <v>146</v>
      </c>
      <c r="K5358" t="str">
        <f>B5317</f>
        <v>heat, residential, by combustion of hydrogen using CHP, allocated by exergy, transported by pipeline, produced by Electrolysis, SOEC using water and electricity from Solar PV (IT)</v>
      </c>
      <c r="L5358">
        <f t="shared" si="199"/>
        <v>2</v>
      </c>
      <c r="M5358">
        <f t="shared" si="200"/>
        <v>-20.48373734782199</v>
      </c>
      <c r="N5358">
        <v>1.05</v>
      </c>
      <c r="O5358" s="15">
        <v>1.2</v>
      </c>
      <c r="P5358">
        <v>1</v>
      </c>
      <c r="Q5358">
        <v>1.01</v>
      </c>
      <c r="R5358">
        <v>1.2</v>
      </c>
      <c r="S5358">
        <v>1.2</v>
      </c>
      <c r="T5358">
        <v>3</v>
      </c>
      <c r="U5358">
        <f t="shared" si="201"/>
        <v>0.57209088006881903</v>
      </c>
    </row>
    <row r="5359" spans="1:22" x14ac:dyDescent="0.2">
      <c r="A5359" t="str">
        <f>VLOOKUP(J5359,'dataset mapping'!$A$4:$E$69,2,0)</f>
        <v>heat and power co-generation unit construction, 160kW electrical, components for heat only</v>
      </c>
      <c r="B5359" s="52">
        <f>(1/(B5346*B5350*B5349*3.6))*B5351</f>
        <v>1.270649883812899E-9</v>
      </c>
      <c r="C5359" t="str">
        <f>VLOOKUP(J5359,'dataset mapping'!$A$4:$E$69,5,0)</f>
        <v>unit</v>
      </c>
      <c r="E5359" t="str">
        <f>VLOOKUP(J5359,'dataset mapping'!$A$4:$E$69,4,0)</f>
        <v>RER</v>
      </c>
      <c r="F5359" t="s">
        <v>86</v>
      </c>
      <c r="G5359" t="str">
        <f>VLOOKUP(J5359,'dataset mapping'!$A$4:$E$69,3,0)</f>
        <v>heat and power co-generation unit, 160kW electrical, components for heat only</v>
      </c>
      <c r="H5359" t="s">
        <v>88</v>
      </c>
      <c r="J5359" t="s">
        <v>147</v>
      </c>
      <c r="K5359" t="str">
        <f>B5317</f>
        <v>heat, residential, by combustion of hydrogen using CHP, allocated by exergy, transported by pipeline, produced by Electrolysis, SOEC using water and electricity from Solar PV (IT)</v>
      </c>
      <c r="L5359">
        <f t="shared" si="199"/>
        <v>2</v>
      </c>
      <c r="M5359">
        <f t="shared" si="200"/>
        <v>-20.48373734782199</v>
      </c>
      <c r="N5359">
        <v>1.05</v>
      </c>
      <c r="O5359" s="15">
        <v>1.2</v>
      </c>
      <c r="P5359">
        <v>1</v>
      </c>
      <c r="Q5359">
        <v>1.01</v>
      </c>
      <c r="R5359">
        <v>1.2</v>
      </c>
      <c r="S5359">
        <v>1.2</v>
      </c>
      <c r="T5359">
        <v>3</v>
      </c>
      <c r="U5359">
        <f t="shared" si="201"/>
        <v>0.57209088006881903</v>
      </c>
    </row>
    <row r="5360" spans="1:22" x14ac:dyDescent="0.2">
      <c r="A5360" t="s">
        <v>156</v>
      </c>
      <c r="B5360" s="52">
        <f>0.00000011366*B5351</f>
        <v>1.461672399554354E-8</v>
      </c>
      <c r="C5360" t="s">
        <v>56</v>
      </c>
      <c r="E5360" t="s">
        <v>90</v>
      </c>
      <c r="F5360" t="s">
        <v>86</v>
      </c>
      <c r="G5360" t="s">
        <v>154</v>
      </c>
      <c r="H5360" t="s">
        <v>155</v>
      </c>
      <c r="K5360" t="str">
        <f>B5317</f>
        <v>heat, residential, by combustion of hydrogen using CHP, allocated by exergy, transported by pipeline, produced by Electrolysis, SOEC using water and electricity from Solar PV (IT)</v>
      </c>
      <c r="L5360">
        <f t="shared" si="199"/>
        <v>2</v>
      </c>
      <c r="M5360">
        <f t="shared" si="200"/>
        <v>-18.041099484645969</v>
      </c>
      <c r="N5360">
        <v>1.05</v>
      </c>
      <c r="O5360" s="15">
        <v>1.2</v>
      </c>
      <c r="P5360">
        <v>1</v>
      </c>
      <c r="Q5360">
        <v>1.01</v>
      </c>
      <c r="R5360">
        <v>1.2</v>
      </c>
      <c r="S5360">
        <v>1.2</v>
      </c>
      <c r="T5360">
        <v>1.05</v>
      </c>
      <c r="U5360">
        <f t="shared" si="201"/>
        <v>0.16169679924070957</v>
      </c>
    </row>
    <row r="5361" spans="1:22" x14ac:dyDescent="0.2">
      <c r="A5361" t="s">
        <v>157</v>
      </c>
      <c r="B5361" s="52">
        <f>0.00000011366*B5351*-1</f>
        <v>-1.461672399554354E-8</v>
      </c>
      <c r="C5361" t="s">
        <v>56</v>
      </c>
      <c r="E5361" t="s">
        <v>64</v>
      </c>
      <c r="F5361" t="s">
        <v>86</v>
      </c>
      <c r="G5361" t="s">
        <v>158</v>
      </c>
      <c r="H5361" t="s">
        <v>155</v>
      </c>
      <c r="K5361" t="str">
        <f>B5317</f>
        <v>heat, residential, by combustion of hydrogen using CHP, allocated by exergy, transported by pipeline, produced by Electrolysis, SOEC using water and electricity from Solar PV (IT)</v>
      </c>
      <c r="L5361">
        <v>2</v>
      </c>
      <c r="M5361">
        <f>IF(L5361=2,LN(B5361*-1),"")</f>
        <v>-18.041099484645969</v>
      </c>
      <c r="N5361">
        <v>1.05</v>
      </c>
      <c r="O5361" s="15">
        <v>1.2</v>
      </c>
      <c r="P5361">
        <v>1</v>
      </c>
      <c r="Q5361">
        <v>1.01</v>
      </c>
      <c r="R5361">
        <v>1.2</v>
      </c>
      <c r="S5361">
        <v>1.2</v>
      </c>
      <c r="T5361">
        <v>3</v>
      </c>
      <c r="U5361">
        <f>LN(SQRT(EXP(
SQRT(
+POWER(LN(N5361),2)
+POWER(LN(O5361),2)
+POWER(LN(P5361),2)
+POWER(LN(Q5361),2)
+POWER(LN(R5361),2)
+POWER(LN(S5361),2)
+POWER(LN(T5361),2)
)
)))</f>
        <v>0.57209088006881903</v>
      </c>
      <c r="V5361" t="b">
        <v>1</v>
      </c>
    </row>
    <row r="5362" spans="1:22" x14ac:dyDescent="0.2">
      <c r="A5362" s="45" t="str">
        <f>"hydrogen supply, transported by "&amp;B5331&amp;", produced by "&amp;B5335&amp;" using "&amp;B5336&amp;" from "&amp;B5337</f>
        <v>hydrogen supply, transported by pipeline, produced by Electrolysis, SOEC using water and electricity from Solar PV (IT)</v>
      </c>
      <c r="B5362" s="53">
        <f>(B5356/B5340)/B5339*B5351</f>
        <v>2.56995248347223E-3</v>
      </c>
      <c r="C5362" t="s">
        <v>56</v>
      </c>
      <c r="E5362" t="s">
        <v>64</v>
      </c>
      <c r="F5362" t="s">
        <v>86</v>
      </c>
      <c r="G5362" t="str">
        <f>"hydrogen, gaseous, from "&amp;B5331</f>
        <v>hydrogen, gaseous, from pipeline</v>
      </c>
      <c r="H5362" t="s">
        <v>76</v>
      </c>
      <c r="I5362" t="s">
        <v>1054</v>
      </c>
      <c r="J5362" t="s">
        <v>638</v>
      </c>
      <c r="K5362" t="str">
        <f>B5317</f>
        <v>heat, residential, by combustion of hydrogen using CHP, allocated by exergy, transported by pipeline, produced by Electrolysis, SOEC using water and electricity from Solar PV (IT)</v>
      </c>
      <c r="L5362">
        <f t="shared" si="199"/>
        <v>2</v>
      </c>
      <c r="M5362">
        <f t="shared" si="200"/>
        <v>-5.9638678691672418</v>
      </c>
      <c r="N5362">
        <v>1.05</v>
      </c>
      <c r="O5362" s="15">
        <v>1.2</v>
      </c>
      <c r="P5362">
        <v>1</v>
      </c>
      <c r="Q5362">
        <v>1.01</v>
      </c>
      <c r="R5362">
        <v>1.2</v>
      </c>
      <c r="S5362">
        <v>1.2</v>
      </c>
      <c r="T5362">
        <v>1.05</v>
      </c>
      <c r="U5362">
        <f t="shared" si="201"/>
        <v>0.16169679924070957</v>
      </c>
    </row>
    <row r="5363" spans="1:22" x14ac:dyDescent="0.2">
      <c r="A5363" t="s">
        <v>134</v>
      </c>
      <c r="B5363" s="45">
        <f>B5362*9</f>
        <v>2.3129572351250072E-2</v>
      </c>
      <c r="C5363" t="s">
        <v>56</v>
      </c>
      <c r="D5363" t="s">
        <v>100</v>
      </c>
      <c r="F5363" t="s">
        <v>99</v>
      </c>
      <c r="H5363" t="s">
        <v>131</v>
      </c>
      <c r="I5363" t="s">
        <v>1058</v>
      </c>
      <c r="K5363" t="str">
        <f>B5317</f>
        <v>heat, residential, by combustion of hydrogen using CHP, allocated by exergy, transported by pipeline, produced by Electrolysis, SOEC using water and electricity from Solar PV (IT)</v>
      </c>
      <c r="L5363">
        <f t="shared" si="199"/>
        <v>2</v>
      </c>
      <c r="M5363">
        <f t="shared" si="200"/>
        <v>-3.7666432918310226</v>
      </c>
      <c r="N5363">
        <v>1.05</v>
      </c>
      <c r="O5363" s="15">
        <v>1.2</v>
      </c>
      <c r="P5363">
        <v>1</v>
      </c>
      <c r="Q5363">
        <v>1.01</v>
      </c>
      <c r="R5363">
        <v>1.2</v>
      </c>
      <c r="S5363">
        <v>1.2</v>
      </c>
      <c r="T5363">
        <v>1.05</v>
      </c>
      <c r="U5363">
        <f t="shared" si="201"/>
        <v>0.16169679924070957</v>
      </c>
    </row>
    <row r="5364" spans="1:22" x14ac:dyDescent="0.2">
      <c r="A5364" t="s">
        <v>135</v>
      </c>
      <c r="B5364" s="45">
        <f>912.5/1000000*B5362</f>
        <v>2.3450816411684101E-6</v>
      </c>
      <c r="C5364" t="s">
        <v>56</v>
      </c>
      <c r="D5364" t="s">
        <v>100</v>
      </c>
      <c r="F5364" t="s">
        <v>99</v>
      </c>
      <c r="H5364" t="s">
        <v>131</v>
      </c>
      <c r="I5364" t="s">
        <v>1217</v>
      </c>
      <c r="K5364" t="str">
        <f>B5317</f>
        <v>heat, residential, by combustion of hydrogen using CHP, allocated by exergy, transported by pipeline, produced by Electrolysis, SOEC using water and electricity from Solar PV (IT)</v>
      </c>
      <c r="L5364">
        <f t="shared" si="199"/>
        <v>2</v>
      </c>
      <c r="M5364">
        <f t="shared" si="200"/>
        <v>-12.963190341674869</v>
      </c>
      <c r="N5364">
        <v>1.05</v>
      </c>
      <c r="O5364" s="15">
        <v>1.2</v>
      </c>
      <c r="P5364">
        <v>1</v>
      </c>
      <c r="Q5364">
        <v>1.01</v>
      </c>
      <c r="R5364">
        <v>1.2</v>
      </c>
      <c r="S5364">
        <v>1.2</v>
      </c>
      <c r="T5364">
        <v>1.5</v>
      </c>
      <c r="U5364">
        <f t="shared" si="201"/>
        <v>0.25816898211842121</v>
      </c>
    </row>
    <row r="5366" spans="1:22" x14ac:dyDescent="0.2">
      <c r="A5366" s="2" t="s">
        <v>50</v>
      </c>
      <c r="B5366" s="44" t="str">
        <f>IF(B5372="megajoule","heat","electricity")&amp;", residential, by "&amp;B5377&amp;" of "&amp;B5376&amp;" using "&amp;B5378&amp;IF(B5379&lt;&gt;0,", allocated by "&amp;B5379,"")&amp;", transported by "&amp;B5380&amp;", produced by "&amp;B5384&amp;" using "&amp;B5385&amp;" from "&amp;B5386</f>
        <v>heat, residential, by conversion of hydrogen using fuel cell, PEM, allocated by exergy, transported by pipeline, produced by Electrolysis, SOEC using water and electricity from Solar PV (IT)</v>
      </c>
    </row>
    <row r="5367" spans="1:22" x14ac:dyDescent="0.2">
      <c r="A5367" t="s">
        <v>51</v>
      </c>
      <c r="B5367" s="45" t="str">
        <f>"This dataset represents the supply of 1 "&amp;IF(B5372="megajoule","megajoule of heat","kilowatt hour of electricity")&amp;" in a residence, by "&amp;B5376&amp;" "&amp;B5377&amp;" in a "&amp;B5378&amp;". "&amp;" The hydrogen is transported by "&amp;B5380&amp;" over "&amp;B5381&amp;" km from regional storage. "&amp;" The "&amp;B5376&amp;" is produced by  "&amp;B5384&amp;", with "&amp;B5385&amp;" from "&amp;B5386&amp;" as feedstock. "&amp;A5388&amp;": "&amp;(B5388*100)&amp;"%. "&amp;A5389&amp;": "&amp;B5389&amp;". "&amp;A5390&amp;": "&amp;B5390&amp;". "&amp;A5391&amp;": "&amp;(B5391*100)&amp;"%. "&amp;A5392&amp;": "&amp;(B5392*100)&amp;"%. "&amp;A5393&amp;": "&amp;(B5393*100)&amp;"%. "&amp;A5394&amp;": "&amp;B5394&amp;". "&amp;A5395&amp;": "&amp;B5395&amp;". "&amp;A5396&amp;": "&amp;(B5396*100)&amp;"%. "&amp;A5397&amp;": "&amp;B5397&amp;". "&amp;A5398&amp;": "&amp;B5398&amp;". "&amp;A5399&amp;": "&amp;B5399&amp;". "&amp;A5400&amp;": "&amp;B5400&amp;".  For more information, refer to: "&amp;B5368</f>
        <v>This dataset represents the supply of 1 megajoule of heat in a residence, by hydrogen conversion in a fuel cell, PEM.  The hydrogen is transported by pipeline over 1700 km from regional storage.  The hydrogen is produced by  Electrolysis, SOEC,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5368" spans="1:22" x14ac:dyDescent="0.2">
      <c r="A5368" t="s">
        <v>63</v>
      </c>
      <c r="B5368" s="45" t="s">
        <v>1223</v>
      </c>
    </row>
    <row r="5369" spans="1:22" x14ac:dyDescent="0.2">
      <c r="A5369" t="s">
        <v>52</v>
      </c>
      <c r="B5369" s="45" t="s">
        <v>64</v>
      </c>
    </row>
    <row r="5370" spans="1:22" x14ac:dyDescent="0.2">
      <c r="A5370" t="s">
        <v>48</v>
      </c>
      <c r="B5370" s="45">
        <v>67</v>
      </c>
    </row>
    <row r="5371" spans="1:22" x14ac:dyDescent="0.2">
      <c r="A5371" t="s">
        <v>54</v>
      </c>
      <c r="B5371" s="45" t="str">
        <f>INDEX(overview!$B$4:$R$338,MATCH('hydrogen - electrolysis'!B5370,overview!$A$4:$A$338,0),MATCH('hydrogen - electrolysis'!A5371,overview!$B$3:$R$3,0))</f>
        <v>heat, from residential heating system</v>
      </c>
    </row>
    <row r="5372" spans="1:22" x14ac:dyDescent="0.2">
      <c r="A5372" t="s">
        <v>55</v>
      </c>
      <c r="B5372" s="45" t="str">
        <f>INDEX(overview!$B$4:$R$338,MATCH('hydrogen - electrolysis'!B5370,overview!$A$4:$A$338,0),MATCH('hydrogen - electrolysis'!A5372,overview!$B$3:$R$3,0))</f>
        <v>megajoule</v>
      </c>
    </row>
    <row r="5373" spans="1:22" x14ac:dyDescent="0.2">
      <c r="A5373" t="s">
        <v>0</v>
      </c>
      <c r="B5373" s="45" t="str">
        <f>INDEX(overview!$B$4:$R$338,MATCH('hydrogen - electrolysis'!B5370,overview!$A$4:$A$338,0),MATCH('hydrogen - electrolysis'!A5373,overview!$B$3:$R$3,0))</f>
        <v>Switzerland</v>
      </c>
    </row>
    <row r="5374" spans="1:22" x14ac:dyDescent="0.2">
      <c r="A5374" t="s">
        <v>1</v>
      </c>
      <c r="B5374" s="45">
        <f>INDEX(overview!$B$4:$R$338,MATCH('hydrogen - electrolysis'!B5370,overview!$A$4:$A$338,0),MATCH('hydrogen - electrolysis'!A5374,overview!$B$3:$R$3,0))</f>
        <v>2020</v>
      </c>
    </row>
    <row r="5375" spans="1:22" x14ac:dyDescent="0.2">
      <c r="A5375" t="s">
        <v>2</v>
      </c>
      <c r="B5375" s="45" t="str">
        <f>INDEX(overview!$B$4:$R$338,MATCH('hydrogen - electrolysis'!B5370,overview!$A$4:$A$338,0),MATCH('hydrogen - electrolysis'!A5375,overview!$B$3:$R$3,0))</f>
        <v>1 MJ heat</v>
      </c>
    </row>
    <row r="5376" spans="1:22" x14ac:dyDescent="0.2">
      <c r="A5376" t="s">
        <v>5</v>
      </c>
      <c r="B5376" s="45" t="str">
        <f>INDEX(overview!$B$4:$R$338,MATCH('hydrogen - electrolysis'!B5370,overview!$A$4:$A$338,0),MATCH('hydrogen - electrolysis'!A5376,overview!$B$3:$R$3,0))</f>
        <v>hydrogen</v>
      </c>
    </row>
    <row r="5377" spans="1:2" x14ac:dyDescent="0.2">
      <c r="A5377" t="s">
        <v>3</v>
      </c>
      <c r="B5377" s="45" t="str">
        <f>INDEX(overview!$B$4:$R$338,MATCH('hydrogen - electrolysis'!B5370,overview!$A$4:$A$338,0),MATCH('hydrogen - electrolysis'!A5377,overview!$B$3:$R$3,0))</f>
        <v>conversion</v>
      </c>
    </row>
    <row r="5378" spans="1:2" x14ac:dyDescent="0.2">
      <c r="A5378" t="s">
        <v>6</v>
      </c>
      <c r="B5378" s="45" t="str">
        <f>INDEX(overview!$B$4:$R$338,MATCH('hydrogen - electrolysis'!B5370,overview!$A$4:$A$338,0),MATCH('hydrogen - electrolysis'!A5378,overview!$B$3:$R$3,0))</f>
        <v>fuel cell, PEM</v>
      </c>
    </row>
    <row r="5379" spans="1:2" x14ac:dyDescent="0.2">
      <c r="A5379" t="s">
        <v>39</v>
      </c>
      <c r="B5379" s="45" t="str">
        <f>INDEX(overview!$B$4:$R$338,MATCH('hydrogen - electrolysis'!B5370,overview!$A$4:$A$338,0),MATCH('hydrogen - electrolysis'!A5379,overview!$B$3:$R$3,0))</f>
        <v>exergy</v>
      </c>
    </row>
    <row r="5380" spans="1:2" x14ac:dyDescent="0.2">
      <c r="A5380" t="s">
        <v>4</v>
      </c>
      <c r="B5380" s="45" t="str">
        <f>INDEX(overview!$B$4:$R$338,MATCH('hydrogen - electrolysis'!B5370,overview!$A$4:$A$338,0),MATCH('hydrogen - electrolysis'!A5380,overview!$B$3:$R$3,0))</f>
        <v>pipeline</v>
      </c>
    </row>
    <row r="5381" spans="1:2" x14ac:dyDescent="0.2">
      <c r="A5381" t="s">
        <v>38</v>
      </c>
      <c r="B5381" s="45">
        <f>INDEX(overview!$B$4:$R$338,MATCH('hydrogen - electrolysis'!B5370,overview!$A$4:$A$338,0),MATCH('hydrogen - electrolysis'!A5381,overview!$B$3:$R$3,0))</f>
        <v>1700</v>
      </c>
    </row>
    <row r="5382" spans="1:2" x14ac:dyDescent="0.2">
      <c r="A5382" t="s">
        <v>12</v>
      </c>
      <c r="B5382" s="45" t="str">
        <f>INDEX(overview!$B$4:$R$338,MATCH('hydrogen - electrolysis'!B5370,overview!$A$4:$A$338,0),MATCH('hydrogen - electrolysis'!A5382,overview!$B$3:$R$3,0))</f>
        <v>Pressure vessel for stationary storage</v>
      </c>
    </row>
    <row r="5383" spans="1:2" x14ac:dyDescent="0.2">
      <c r="A5383" t="s">
        <v>34</v>
      </c>
      <c r="B5383" s="45">
        <f>INDEX(overview!$B$4:$R$338,MATCH('hydrogen - electrolysis'!B5370,overview!$A$4:$A$338,0),MATCH('hydrogen - electrolysis'!A5383,overview!$B$3:$R$3,0))</f>
        <v>0</v>
      </c>
    </row>
    <row r="5384" spans="1:2" x14ac:dyDescent="0.2">
      <c r="A5384" t="s">
        <v>15</v>
      </c>
      <c r="B5384" s="45" t="str">
        <f>INDEX(overview!$B$4:$R$338,MATCH('hydrogen - electrolysis'!B5370,overview!$A$4:$A$338,0),MATCH('hydrogen - electrolysis'!A5384,overview!$B$3:$R$3,0))</f>
        <v>Electrolysis, SOEC</v>
      </c>
    </row>
    <row r="5385" spans="1:2" x14ac:dyDescent="0.2">
      <c r="A5385" t="s">
        <v>14</v>
      </c>
      <c r="B5385" s="45" t="str">
        <f>INDEX(overview!$B$4:$R$338,MATCH('hydrogen - electrolysis'!B5370,overview!$A$4:$A$338,0),MATCH('hydrogen - electrolysis'!A5385,overview!$B$3:$R$3,0))</f>
        <v>water and electricity</v>
      </c>
    </row>
    <row r="5386" spans="1:2" x14ac:dyDescent="0.2">
      <c r="A5386" t="s">
        <v>26</v>
      </c>
      <c r="B5386" s="45" t="str">
        <f>INDEX(overview!$B$4:$R$338,MATCH('hydrogen - electrolysis'!B5370,overview!$A$4:$A$338,0),MATCH('hydrogen - electrolysis'!A5386,overview!$B$3:$R$3,0))</f>
        <v>Solar PV (IT)</v>
      </c>
    </row>
    <row r="5387" spans="1:2" x14ac:dyDescent="0.2">
      <c r="A5387" t="s">
        <v>29</v>
      </c>
      <c r="B5387" s="45">
        <f>INDEX(overview!$B$4:$R$338,MATCH('hydrogen - electrolysis'!B5370,overview!$A$4:$A$338,0),MATCH('hydrogen - electrolysis'!A5387,overview!$B$3:$R$3,0))</f>
        <v>0</v>
      </c>
    </row>
    <row r="5388" spans="1:2" x14ac:dyDescent="0.2">
      <c r="A5388" t="str">
        <f>IF(B5372="megajoule","Heat","Electricity")&amp;" conversion efficiency [% LHV input]"</f>
        <v>Heat conversion efficiency [% LHV input]</v>
      </c>
      <c r="B5388" s="46">
        <f>INDEX(parameters!$D$4:$N$20,MATCH('hydrogen - electrolysis'!B5376&amp;'hydrogen - electrolysis'!B5378,parameters!$A$4:$A$20,0),MATCH('hydrogen - electrolysis'!A5388,parameters!$D$3:$N$3,0))</f>
        <v>0.5</v>
      </c>
    </row>
    <row r="5389" spans="1:2" x14ac:dyDescent="0.2">
      <c r="A5389" t="str">
        <f>IF(B5372="megajoule","LHV [MJ/kg]","LHV [kWh/kg]")</f>
        <v>LHV [MJ/kg]</v>
      </c>
      <c r="B5389" s="47">
        <f>INDEX(parameters!$D$4:$N$20,MATCH('hydrogen - electrolysis'!B5376&amp;'hydrogen - electrolysis'!B5378,parameters!$A$4:$A$20,0),MATCH('hydrogen - electrolysis'!A5389,parameters!$D$3:$N$3,0))</f>
        <v>120</v>
      </c>
    </row>
    <row r="5390" spans="1:2" x14ac:dyDescent="0.2">
      <c r="A5390" t="s">
        <v>41</v>
      </c>
      <c r="B5390" s="48">
        <f>INDEX(parameters!$D$4:$N$20,MATCH('hydrogen - electrolysis'!B5376&amp;'hydrogen - electrolysis'!B5378,parameters!$A$4:$A$20,0),MATCH('hydrogen - electrolysis'!A5390,parameters!$D$3:$N$3,0))</f>
        <v>2.6666666666666665E-2</v>
      </c>
    </row>
    <row r="5391" spans="1:2" x14ac:dyDescent="0.2">
      <c r="A5391" t="s">
        <v>45</v>
      </c>
      <c r="B5391" s="46">
        <f>INDEX(parameters!$D$4:$N$20,MATCH('hydrogen - electrolysis'!B5376&amp;'hydrogen - electrolysis'!B5378,parameters!$A$4:$A$20,0),MATCH('hydrogen - electrolysis'!A5391,parameters!$D$3:$N$3,0))</f>
        <v>0</v>
      </c>
    </row>
    <row r="5392" spans="1:2" x14ac:dyDescent="0.2">
      <c r="A5392" t="s">
        <v>46</v>
      </c>
      <c r="B5392" s="46">
        <f>INDEX(parameters!$D$4:$N$20,MATCH('hydrogen - electrolysis'!B5376&amp;'hydrogen - electrolysis'!B5378,parameters!$A$4:$A$20,0),MATCH('hydrogen - electrolysis'!A5392,parameters!$D$3:$N$3,0))</f>
        <v>1.4999999999999999E-2</v>
      </c>
    </row>
    <row r="5393" spans="1:22" x14ac:dyDescent="0.2">
      <c r="A5393" t="s">
        <v>43</v>
      </c>
      <c r="B5393" s="46">
        <f>INDEX(parameters!$D$4:$N$20,MATCH('hydrogen - electrolysis'!B5376&amp;'hydrogen - electrolysis'!B5378,parameters!$A$4:$A$20,0),MATCH('hydrogen - electrolysis'!A5393,parameters!$D$3:$N$3,0))</f>
        <v>0</v>
      </c>
    </row>
    <row r="5394" spans="1:22" x14ac:dyDescent="0.2">
      <c r="A5394" t="s">
        <v>44</v>
      </c>
      <c r="B5394" s="46">
        <f>INDEX(parameters!$D$4:$N$20,MATCH('hydrogen - electrolysis'!B5376&amp;'hydrogen - electrolysis'!B5378,parameters!$A$4:$A$20,0),MATCH('hydrogen - electrolysis'!A5394,parameters!$D$3:$N$3,0))</f>
        <v>0</v>
      </c>
    </row>
    <row r="5395" spans="1:22" x14ac:dyDescent="0.2">
      <c r="A5395" t="s">
        <v>634</v>
      </c>
      <c r="B5395" s="51">
        <f>INDEX(parameters!$D$4:$Y$20,MATCH('hydrogen - electrolysis'!B5376&amp;'hydrogen - electrolysis'!B5378,parameters!$A$4:$A$20,0),MATCH('hydrogen - electrolysis'!A5395,parameters!$D$3:$Y$3,0))</f>
        <v>1.8947368421052633</v>
      </c>
    </row>
    <row r="5396" spans="1:22" x14ac:dyDescent="0.2">
      <c r="A5396" t="s">
        <v>82</v>
      </c>
      <c r="B5396" s="46">
        <f>IF(B5387&lt;&gt;0,VLOOKUP(B5387,parameters!A3436:B3438,2,0),0)</f>
        <v>0</v>
      </c>
    </row>
    <row r="5397" spans="1:22" x14ac:dyDescent="0.2">
      <c r="A5397" t="s">
        <v>548</v>
      </c>
      <c r="B5397" s="50">
        <f>INDEX(parameters!$D$4:$P$20,MATCH(B5376&amp;B5378,parameters!$A$4:$A$20,0),MATCH(A5397,parameters!$D$3:$P$3,0))</f>
        <v>0.8</v>
      </c>
    </row>
    <row r="5398" spans="1:22" x14ac:dyDescent="0.2">
      <c r="A5398" t="s">
        <v>547</v>
      </c>
      <c r="B5398" s="51">
        <f>INDEX(parameters!$D$4:$P$20,MATCH(B5376&amp;B5378,parameters!$A$4:$A$20,0),MATCH(A5398,parameters!$D$3:$P$3,0))</f>
        <v>4.8780487804878048</v>
      </c>
    </row>
    <row r="5399" spans="1:22" x14ac:dyDescent="0.2">
      <c r="A5399" t="s">
        <v>630</v>
      </c>
      <c r="B5399" s="51">
        <f>INDEX(parameters!$D$4:$T$20,MATCH(B5376&amp;B5378,parameters!$A$4:$A$20,0),MATCH(A5399,parameters!$D$3:$T$3,0))</f>
        <v>4100</v>
      </c>
    </row>
    <row r="5400" spans="1:22" x14ac:dyDescent="0.2">
      <c r="A5400" t="s">
        <v>1005</v>
      </c>
      <c r="B5400" s="50">
        <f>IF(B5372="megajoule",SUMIFS(allocation!$I$4:$I$30,allocation!$B$4:$B$30,B5378,allocation!$C$4:$C$30,B5379),SUMIFS(allocation!$J$4:$J$30,allocation!$B$4:$B$30,B5378,allocation!$C$4:$C$30,B5379))</f>
        <v>0.13933980798974457</v>
      </c>
    </row>
    <row r="5401" spans="1:22" x14ac:dyDescent="0.2">
      <c r="A5401" t="s">
        <v>1050</v>
      </c>
      <c r="B5401" s="51">
        <f>INDEX(parameters!$D$4:$AB$20,MATCH(B5376&amp;B5378,parameters!$A$4:$A$20,0),MATCH(A5401,parameters!$D$3:$AB$3,0))</f>
        <v>10.221606648199446</v>
      </c>
    </row>
    <row r="5403" spans="1:22" x14ac:dyDescent="0.2">
      <c r="A5403" s="3" t="s">
        <v>57</v>
      </c>
    </row>
    <row r="5404" spans="1:22" x14ac:dyDescent="0.2">
      <c r="A5404" s="2" t="s">
        <v>58</v>
      </c>
      <c r="B5404" s="44" t="s">
        <v>59</v>
      </c>
      <c r="C5404" s="2" t="s">
        <v>55</v>
      </c>
      <c r="D5404" s="2" t="s">
        <v>60</v>
      </c>
      <c r="E5404" s="2" t="s">
        <v>52</v>
      </c>
      <c r="F5404" s="2" t="s">
        <v>61</v>
      </c>
      <c r="G5404" s="2" t="s">
        <v>54</v>
      </c>
      <c r="H5404" s="2" t="s">
        <v>87</v>
      </c>
      <c r="I5404" s="2" t="s">
        <v>51</v>
      </c>
      <c r="J5404" s="2" t="s">
        <v>138</v>
      </c>
      <c r="K5404" s="2" t="s">
        <v>136</v>
      </c>
      <c r="L5404" s="2" t="s">
        <v>221</v>
      </c>
      <c r="M5404" s="2" t="s">
        <v>379</v>
      </c>
      <c r="N5404" s="2" t="s">
        <v>1059</v>
      </c>
      <c r="O5404" s="2" t="s">
        <v>1060</v>
      </c>
      <c r="P5404" s="2" t="s">
        <v>1061</v>
      </c>
      <c r="Q5404" s="2" t="s">
        <v>1062</v>
      </c>
      <c r="R5404" s="2" t="s">
        <v>1063</v>
      </c>
      <c r="S5404" s="2" t="s">
        <v>1064</v>
      </c>
      <c r="T5404" s="2" t="s">
        <v>1065</v>
      </c>
      <c r="U5404" s="2" t="s">
        <v>380</v>
      </c>
      <c r="V5404" s="2" t="s">
        <v>1128</v>
      </c>
    </row>
    <row r="5405" spans="1:22" x14ac:dyDescent="0.2">
      <c r="A5405" t="str">
        <f>B5366</f>
        <v>heat, residential, by conversion of hydrogen using fuel cell, PEM, allocated by exergy, transported by pipeline, produced by Electrolysis, SOEC using water and electricity from Solar PV (IT)</v>
      </c>
      <c r="B5405" s="45">
        <v>1</v>
      </c>
      <c r="C5405" t="str">
        <f>B5372</f>
        <v>megajoule</v>
      </c>
      <c r="E5405" t="str">
        <f>B5369</f>
        <v>CH</v>
      </c>
      <c r="F5405" t="s">
        <v>62</v>
      </c>
      <c r="G5405" t="str">
        <f>B5371</f>
        <v>heat, from residential heating system</v>
      </c>
      <c r="K5405" t="str">
        <f>B5366</f>
        <v>heat, residential, by conversion of hydrogen using fuel cell, PEM, allocated by exergy, transported by pipeline, produced by Electrolysis, SOEC using water and electricity from Solar PV (IT)</v>
      </c>
    </row>
    <row r="5406" spans="1:22" x14ac:dyDescent="0.2">
      <c r="A5406" t="str">
        <f>VLOOKUP(J5406,'dataset mapping'!$A$4:$E$69,2,0)</f>
        <v>fuel cell system assembly, 1 kWe, proton exchange membrane (PEM)</v>
      </c>
      <c r="B5406" s="52">
        <f>(1/(B5395*B5399*B5398*3.6))*B5400</f>
        <v>1.0213951974556892E-6</v>
      </c>
      <c r="C5406" t="str">
        <f>VLOOKUP(J5406,'dataset mapping'!$A$4:$E$69,5,0)</f>
        <v>unit</v>
      </c>
      <c r="E5406" t="str">
        <f>VLOOKUP(J5406,'dataset mapping'!$A$4:$E$69,4,0)</f>
        <v>GLO</v>
      </c>
      <c r="F5406" t="s">
        <v>86</v>
      </c>
      <c r="G5406" t="str">
        <f>VLOOKUP(J5406,'dataset mapping'!$A$4:$E$69,3,0)</f>
        <v>fuel cell system, 1 kWe, proton exchange membrane (PEM)</v>
      </c>
      <c r="H5406" t="s">
        <v>88</v>
      </c>
      <c r="I5406" t="s">
        <v>272</v>
      </c>
      <c r="J5406" t="s">
        <v>273</v>
      </c>
      <c r="K5406" t="str">
        <f>B5366</f>
        <v>heat, residential, by conversion of hydrogen using fuel cell, PEM, allocated by exergy, transported by pipeline, produced by Electrolysis, SOEC using water and electricity from Solar PV (IT)</v>
      </c>
      <c r="L5406">
        <f>IF(OR(B5406&lt;0,B5406=0),1,2)</f>
        <v>2</v>
      </c>
      <c r="M5406">
        <f>IF(L5406=2,LN(B5406),"")</f>
        <v>-13.794341024667077</v>
      </c>
      <c r="N5406">
        <v>1</v>
      </c>
      <c r="O5406" s="15">
        <v>1.2</v>
      </c>
      <c r="P5406">
        <v>1</v>
      </c>
      <c r="Q5406">
        <v>1.01</v>
      </c>
      <c r="R5406">
        <v>1.2</v>
      </c>
      <c r="S5406">
        <v>1.2</v>
      </c>
      <c r="T5406">
        <v>3</v>
      </c>
      <c r="U5406">
        <f>LN(SQRT(EXP(
SQRT(
+POWER(LN(N5406),2)
+POWER(LN(O5406),2)
+POWER(LN(P5406),2)
+POWER(LN(Q5406),2)
+POWER(LN(R5406),2)
+POWER(LN(S5406),2)
+POWER(LN(T5406),2)
)
)))</f>
        <v>0.57157051623399524</v>
      </c>
    </row>
    <row r="5407" spans="1:22" x14ac:dyDescent="0.2">
      <c r="A5407" s="45" t="str">
        <f>"hydrogen supply, transported by "&amp;B5380&amp;", produced by "&amp;B5384&amp;" using "&amp;B5385&amp;" from "&amp;B5386</f>
        <v>hydrogen supply, transported by pipeline, produced by Electrolysis, SOEC using water and electricity from Solar PV (IT)</v>
      </c>
      <c r="B5407" s="53">
        <f>(B5405/B5389)/B5388*B5400</f>
        <v>2.3223301331624095E-3</v>
      </c>
      <c r="C5407" t="s">
        <v>56</v>
      </c>
      <c r="E5407" t="s">
        <v>64</v>
      </c>
      <c r="F5407" t="s">
        <v>86</v>
      </c>
      <c r="G5407" t="str">
        <f>"hydrogen, gaseous, from "&amp;B5380</f>
        <v>hydrogen, gaseous, from pipeline</v>
      </c>
      <c r="H5407" t="s">
        <v>76</v>
      </c>
      <c r="I5407" t="s">
        <v>1054</v>
      </c>
      <c r="J5407" t="s">
        <v>638</v>
      </c>
      <c r="K5407" t="str">
        <f>B5366</f>
        <v>heat, residential, by conversion of hydrogen using fuel cell, PEM, allocated by exergy, transported by pipeline, produced by Electrolysis, SOEC using water and electricity from Solar PV (IT)</v>
      </c>
      <c r="L5407">
        <f>IF(OR(B5407&lt;0,B5407=0),1,2)</f>
        <v>2</v>
      </c>
      <c r="M5407">
        <f>IF(L5407=2,LN(B5407),"")</f>
        <v>-6.0651842296013152</v>
      </c>
      <c r="N5407">
        <v>1</v>
      </c>
      <c r="O5407" s="15">
        <v>1.2</v>
      </c>
      <c r="P5407">
        <v>1</v>
      </c>
      <c r="Q5407">
        <v>1.01</v>
      </c>
      <c r="R5407">
        <v>1.2</v>
      </c>
      <c r="S5407">
        <v>1.2</v>
      </c>
      <c r="T5407">
        <v>1.05</v>
      </c>
      <c r="U5407">
        <f>LN(SQRT(EXP(
SQRT(
+POWER(LN(N5407),2)
+POWER(LN(O5407),2)
+POWER(LN(P5407),2)
+POWER(LN(Q5407),2)
+POWER(LN(R5407),2)
+POWER(LN(S5407),2)
+POWER(LN(T5407),2)
)
)))</f>
        <v>0.15984597228197622</v>
      </c>
    </row>
    <row r="5408" spans="1:22" x14ac:dyDescent="0.2">
      <c r="A5408" t="s">
        <v>134</v>
      </c>
      <c r="B5408" s="53">
        <f>B5407*9</f>
        <v>2.0900971198461685E-2</v>
      </c>
      <c r="C5408" t="s">
        <v>56</v>
      </c>
      <c r="D5408" t="s">
        <v>100</v>
      </c>
      <c r="F5408" t="s">
        <v>99</v>
      </c>
      <c r="H5408" t="s">
        <v>131</v>
      </c>
      <c r="I5408" t="s">
        <v>1057</v>
      </c>
      <c r="K5408" t="str">
        <f>B5366</f>
        <v>heat, residential, by conversion of hydrogen using fuel cell, PEM, allocated by exergy, transported by pipeline, produced by Electrolysis, SOEC using water and electricity from Solar PV (IT)</v>
      </c>
      <c r="L5408">
        <f>IF(OR(B5408&lt;0,B5408=0),1,2)</f>
        <v>2</v>
      </c>
      <c r="M5408">
        <f>IF(L5408=2,LN(B5408),"")</f>
        <v>-3.8679596522650961</v>
      </c>
      <c r="N5408">
        <v>1</v>
      </c>
      <c r="O5408" s="15">
        <v>1.2</v>
      </c>
      <c r="P5408">
        <v>1</v>
      </c>
      <c r="Q5408">
        <v>1.01</v>
      </c>
      <c r="R5408">
        <v>1.2</v>
      </c>
      <c r="S5408">
        <v>1.2</v>
      </c>
      <c r="T5408">
        <v>1.05</v>
      </c>
      <c r="U5408">
        <f>LN(SQRT(EXP(
SQRT(
+POWER(LN(N5408),2)
+POWER(LN(O5408),2)
+POWER(LN(P5408),2)
+POWER(LN(Q5408),2)
+POWER(LN(R5408),2)
+POWER(LN(S5408),2)
+POWER(LN(T5408),2)
)
)))</f>
        <v>0.15984597228197622</v>
      </c>
    </row>
    <row r="5410" spans="1:2" x14ac:dyDescent="0.2">
      <c r="A5410" s="2" t="s">
        <v>50</v>
      </c>
      <c r="B5410" s="44" t="str">
        <f>IF(B5416="megajoule","heat","electricity")&amp;", residential, by "&amp;B5421&amp;" of "&amp;B5420&amp;" using "&amp;B5422&amp;IF(B5423&lt;&gt;0,", allocated by "&amp;B5423,"")&amp;", transported by "&amp;B5424&amp;", produced by "&amp;B5428&amp;" using "&amp;B5429&amp;" from "&amp;B5430</f>
        <v>heat, residential, by conversion of hydrogen using fuel cell, SOFC, allocated by exergy, transported by pipeline, produced by Electrolysis, SOEC using water and electricity from Solar PV (IT)</v>
      </c>
    </row>
    <row r="5411" spans="1:2" x14ac:dyDescent="0.2">
      <c r="A5411" t="s">
        <v>51</v>
      </c>
      <c r="B5411" s="45" t="str">
        <f>"This dataset represents the supply of 1 "&amp;IF(B5416="megajoule","megajoule of heat","kilowatt hour of electricity")&amp;" in a residence, by "&amp;B5420&amp;" "&amp;B5421&amp;" in a "&amp;B5422&amp;". "&amp;" The hydrogen is transported by "&amp;B5424&amp;" over "&amp;B5425&amp;" km from regional storage. "&amp;" The "&amp;B5420&amp;" is produced by  "&amp;B5428&amp;", with "&amp;B5429&amp;" from "&amp;B5430&amp;" as feedstock. "&amp;A5432&amp;": "&amp;(B5432*100)&amp;"%. "&amp;A5433&amp;": "&amp;B5433&amp;". "&amp;A5434&amp;": "&amp;B5434&amp;". "&amp;A5435&amp;": "&amp;(B5435*100)&amp;"%. "&amp;A5436&amp;": "&amp;(B5436*100)&amp;"%. "&amp;A5437&amp;": "&amp;(B5437*100)&amp;"%. "&amp;A5438&amp;": "&amp;B5438&amp;". "&amp;A5439&amp;": "&amp;B5439&amp;". "&amp;A5440&amp;": "&amp;(B5440*100)&amp;"%. "&amp;A5441&amp;": "&amp;B5441&amp;". "&amp;A5442&amp;": "&amp;B5442&amp;". "&amp;A5443&amp;": "&amp;B5443&amp;". "&amp;A5444&amp;": "&amp;B5444&amp;".  For more information, refer to: "&amp;B5412</f>
        <v>This dataset represents the supply of 1 megajoule of heat in a residence, by hydrogen conversion in a fuel cell, SOFC.  The hydrogen is transported by pipeline over 1700 km from regional storage.  The hydrogen is produced by  Electrolysis, SOEC,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5412" spans="1:2" x14ac:dyDescent="0.2">
      <c r="A5412" t="s">
        <v>63</v>
      </c>
      <c r="B5412" s="45" t="s">
        <v>1223</v>
      </c>
    </row>
    <row r="5413" spans="1:2" x14ac:dyDescent="0.2">
      <c r="A5413" t="s">
        <v>52</v>
      </c>
      <c r="B5413" s="45" t="s">
        <v>64</v>
      </c>
    </row>
    <row r="5414" spans="1:2" x14ac:dyDescent="0.2">
      <c r="A5414" t="s">
        <v>48</v>
      </c>
      <c r="B5414" s="45">
        <v>68</v>
      </c>
    </row>
    <row r="5415" spans="1:2" x14ac:dyDescent="0.2">
      <c r="A5415" t="s">
        <v>54</v>
      </c>
      <c r="B5415" s="45" t="str">
        <f>INDEX(overview!$B$4:$R$338,MATCH('hydrogen - electrolysis'!B5414,overview!$A$4:$A$338,0),MATCH('hydrogen - electrolysis'!A5415,overview!$B$3:$R$3,0))</f>
        <v>heat, from residential heating system</v>
      </c>
    </row>
    <row r="5416" spans="1:2" x14ac:dyDescent="0.2">
      <c r="A5416" t="s">
        <v>55</v>
      </c>
      <c r="B5416" s="45" t="str">
        <f>INDEX(overview!$B$4:$R$338,MATCH('hydrogen - electrolysis'!B5414,overview!$A$4:$A$338,0),MATCH('hydrogen - electrolysis'!A5416,overview!$B$3:$R$3,0))</f>
        <v>megajoule</v>
      </c>
    </row>
    <row r="5417" spans="1:2" x14ac:dyDescent="0.2">
      <c r="A5417" t="s">
        <v>0</v>
      </c>
      <c r="B5417" s="45" t="str">
        <f>INDEX(overview!$B$4:$R$338,MATCH('hydrogen - electrolysis'!B5414,overview!$A$4:$A$338,0),MATCH('hydrogen - electrolysis'!A5417,overview!$B$3:$R$3,0))</f>
        <v>Switzerland</v>
      </c>
    </row>
    <row r="5418" spans="1:2" x14ac:dyDescent="0.2">
      <c r="A5418" t="s">
        <v>1</v>
      </c>
      <c r="B5418" s="45">
        <f>INDEX(overview!$B$4:$R$338,MATCH('hydrogen - electrolysis'!B5414,overview!$A$4:$A$338,0),MATCH('hydrogen - electrolysis'!A5418,overview!$B$3:$R$3,0))</f>
        <v>2020</v>
      </c>
    </row>
    <row r="5419" spans="1:2" x14ac:dyDescent="0.2">
      <c r="A5419" t="s">
        <v>2</v>
      </c>
      <c r="B5419" s="45" t="str">
        <f>INDEX(overview!$B$4:$R$338,MATCH('hydrogen - electrolysis'!B5414,overview!$A$4:$A$338,0),MATCH('hydrogen - electrolysis'!A5419,overview!$B$3:$R$3,0))</f>
        <v>1 MJ heat</v>
      </c>
    </row>
    <row r="5420" spans="1:2" x14ac:dyDescent="0.2">
      <c r="A5420" t="s">
        <v>5</v>
      </c>
      <c r="B5420" s="45" t="str">
        <f>INDEX(overview!$B$4:$R$338,MATCH('hydrogen - electrolysis'!B5414,overview!$A$4:$A$338,0),MATCH('hydrogen - electrolysis'!A5420,overview!$B$3:$R$3,0))</f>
        <v>hydrogen</v>
      </c>
    </row>
    <row r="5421" spans="1:2" x14ac:dyDescent="0.2">
      <c r="A5421" t="s">
        <v>3</v>
      </c>
      <c r="B5421" s="45" t="str">
        <f>INDEX(overview!$B$4:$R$338,MATCH('hydrogen - electrolysis'!B5414,overview!$A$4:$A$338,0),MATCH('hydrogen - electrolysis'!A5421,overview!$B$3:$R$3,0))</f>
        <v>conversion</v>
      </c>
    </row>
    <row r="5422" spans="1:2" x14ac:dyDescent="0.2">
      <c r="A5422" t="s">
        <v>6</v>
      </c>
      <c r="B5422" s="45" t="str">
        <f>INDEX(overview!$B$4:$R$338,MATCH('hydrogen - electrolysis'!B5414,overview!$A$4:$A$338,0),MATCH('hydrogen - electrolysis'!A5422,overview!$B$3:$R$3,0))</f>
        <v>fuel cell, SOFC</v>
      </c>
    </row>
    <row r="5423" spans="1:2" x14ac:dyDescent="0.2">
      <c r="A5423" t="s">
        <v>39</v>
      </c>
      <c r="B5423" s="45" t="str">
        <f>INDEX(overview!$B$4:$R$338,MATCH('hydrogen - electrolysis'!B5414,overview!$A$4:$A$338,0),MATCH('hydrogen - electrolysis'!A5423,overview!$B$3:$R$3,0))</f>
        <v>exergy</v>
      </c>
    </row>
    <row r="5424" spans="1:2" x14ac:dyDescent="0.2">
      <c r="A5424" t="s">
        <v>4</v>
      </c>
      <c r="B5424" s="45" t="str">
        <f>INDEX(overview!$B$4:$R$338,MATCH('hydrogen - electrolysis'!B5414,overview!$A$4:$A$338,0),MATCH('hydrogen - electrolysis'!A5424,overview!$B$3:$R$3,0))</f>
        <v>pipeline</v>
      </c>
    </row>
    <row r="5425" spans="1:4" x14ac:dyDescent="0.2">
      <c r="A5425" t="s">
        <v>38</v>
      </c>
      <c r="B5425" s="45">
        <f>INDEX(overview!$B$4:$R$338,MATCH('hydrogen - electrolysis'!B5414,overview!$A$4:$A$338,0),MATCH('hydrogen - electrolysis'!A5425,overview!$B$3:$R$3,0))</f>
        <v>1700</v>
      </c>
    </row>
    <row r="5426" spans="1:4" x14ac:dyDescent="0.2">
      <c r="A5426" t="s">
        <v>12</v>
      </c>
      <c r="B5426" s="45" t="str">
        <f>INDEX(overview!$B$4:$R$338,MATCH('hydrogen - electrolysis'!B5414,overview!$A$4:$A$338,0),MATCH('hydrogen - electrolysis'!A5426,overview!$B$3:$R$3,0))</f>
        <v>Pressure vessel for stationary storage</v>
      </c>
    </row>
    <row r="5427" spans="1:4" x14ac:dyDescent="0.2">
      <c r="A5427" t="s">
        <v>34</v>
      </c>
      <c r="B5427" s="45">
        <f>INDEX(overview!$B$4:$R$338,MATCH('hydrogen - electrolysis'!B5414,overview!$A$4:$A$338,0),MATCH('hydrogen - electrolysis'!A5427,overview!$B$3:$R$3,0))</f>
        <v>0</v>
      </c>
    </row>
    <row r="5428" spans="1:4" x14ac:dyDescent="0.2">
      <c r="A5428" t="s">
        <v>15</v>
      </c>
      <c r="B5428" s="45" t="str">
        <f>INDEX(overview!$B$4:$R$338,MATCH('hydrogen - electrolysis'!B5414,overview!$A$4:$A$338,0),MATCH('hydrogen - electrolysis'!A5428,overview!$B$3:$R$3,0))</f>
        <v>Electrolysis, SOEC</v>
      </c>
    </row>
    <row r="5429" spans="1:4" x14ac:dyDescent="0.2">
      <c r="A5429" t="s">
        <v>14</v>
      </c>
      <c r="B5429" s="45" t="str">
        <f>INDEX(overview!$B$4:$R$338,MATCH('hydrogen - electrolysis'!B5414,overview!$A$4:$A$338,0),MATCH('hydrogen - electrolysis'!A5429,overview!$B$3:$R$3,0))</f>
        <v>water and electricity</v>
      </c>
    </row>
    <row r="5430" spans="1:4" x14ac:dyDescent="0.2">
      <c r="A5430" t="s">
        <v>26</v>
      </c>
      <c r="B5430" s="45" t="str">
        <f>INDEX(overview!$B$4:$R$338,MATCH('hydrogen - electrolysis'!B5414,overview!$A$4:$A$338,0),MATCH('hydrogen - electrolysis'!A5430,overview!$B$3:$R$3,0))</f>
        <v>Solar PV (IT)</v>
      </c>
    </row>
    <row r="5431" spans="1:4" x14ac:dyDescent="0.2">
      <c r="A5431" t="s">
        <v>29</v>
      </c>
      <c r="B5431" s="45">
        <f>INDEX(overview!$B$4:$R$338,MATCH('hydrogen - electrolysis'!B5414,overview!$A$4:$A$338,0),MATCH('hydrogen - electrolysis'!A5431,overview!$B$3:$R$3,0))</f>
        <v>0</v>
      </c>
    </row>
    <row r="5432" spans="1:4" x14ac:dyDescent="0.2">
      <c r="A5432" t="str">
        <f>IF(B5416="megajoule","Heat","Electricity")&amp;" conversion efficiency [% LHV input]"</f>
        <v>Heat conversion efficiency [% LHV input]</v>
      </c>
      <c r="B5432" s="46">
        <f>INDEX(parameters!$D$4:$N$20,MATCH('hydrogen - electrolysis'!B5420&amp;'hydrogen - electrolysis'!B5422,parameters!$A$4:$A$20,0),MATCH('hydrogen - electrolysis'!A5432,parameters!$D$3:$N$3,0))</f>
        <v>0.53</v>
      </c>
    </row>
    <row r="5433" spans="1:4" x14ac:dyDescent="0.2">
      <c r="A5433" t="str">
        <f>IF(B5416="megajoule","LHV [MJ/kg]","LHV [kWh/kg]")</f>
        <v>LHV [MJ/kg]</v>
      </c>
      <c r="B5433" s="47">
        <f>INDEX(parameters!$D$4:$N$20,MATCH('hydrogen - electrolysis'!B5420&amp;'hydrogen - electrolysis'!B5422,parameters!$A$4:$A$20,0),MATCH('hydrogen - electrolysis'!A5433,parameters!$D$3:$N$3,0))</f>
        <v>120</v>
      </c>
    </row>
    <row r="5434" spans="1:4" x14ac:dyDescent="0.2">
      <c r="A5434" t="s">
        <v>41</v>
      </c>
      <c r="B5434" s="48">
        <f>INDEX(parameters!$D$4:$N$20,MATCH('hydrogen - electrolysis'!B5420&amp;'hydrogen - electrolysis'!B5422,parameters!$A$4:$A$20,0),MATCH('hydrogen - electrolysis'!A5434,parameters!$D$3:$N$3,0))</f>
        <v>2.6666666666666665E-2</v>
      </c>
    </row>
    <row r="5435" spans="1:4" x14ac:dyDescent="0.2">
      <c r="A5435" t="s">
        <v>45</v>
      </c>
      <c r="B5435" s="46">
        <f>INDEX(parameters!$D$4:$N$20,MATCH('hydrogen - electrolysis'!B5420&amp;'hydrogen - electrolysis'!B5422,parameters!$A$4:$A$20,0),MATCH('hydrogen - electrolysis'!A5435,parameters!$D$3:$N$3,0))</f>
        <v>0</v>
      </c>
    </row>
    <row r="5436" spans="1:4" x14ac:dyDescent="0.2">
      <c r="A5436" t="s">
        <v>46</v>
      </c>
      <c r="B5436" s="46">
        <f>INDEX(parameters!$D$4:$N$20,MATCH('hydrogen - electrolysis'!B5420&amp;'hydrogen - electrolysis'!B5422,parameters!$A$4:$A$20,0),MATCH('hydrogen - electrolysis'!A5436,parameters!$D$3:$N$3,0))</f>
        <v>1.4999999999999999E-2</v>
      </c>
    </row>
    <row r="5437" spans="1:4" x14ac:dyDescent="0.2">
      <c r="A5437" t="s">
        <v>43</v>
      </c>
      <c r="B5437" s="46">
        <f>INDEX(parameters!$D$4:$N$20,MATCH('hydrogen - electrolysis'!B5420&amp;'hydrogen - electrolysis'!B5422,parameters!$A$4:$A$20,0),MATCH('hydrogen - electrolysis'!A5437,parameters!$D$3:$N$3,0))</f>
        <v>0</v>
      </c>
    </row>
    <row r="5438" spans="1:4" x14ac:dyDescent="0.2">
      <c r="A5438" t="s">
        <v>44</v>
      </c>
      <c r="B5438" s="46">
        <f>INDEX(parameters!$D$4:$N$20,MATCH('hydrogen - electrolysis'!B5420&amp;'hydrogen - electrolysis'!B5422,parameters!$A$4:$A$20,0),MATCH('hydrogen - electrolysis'!A5438,parameters!$D$3:$N$3,0))</f>
        <v>0</v>
      </c>
    </row>
    <row r="5439" spans="1:4" x14ac:dyDescent="0.2">
      <c r="A5439" t="s">
        <v>634</v>
      </c>
      <c r="B5439" s="51">
        <f>INDEX(parameters!$D$4:$Y$20,MATCH('hydrogen - electrolysis'!B5420&amp;'hydrogen - electrolysis'!B5422,parameters!$A$4:$A$20,0),MATCH('hydrogen - electrolysis'!A5439,parameters!$D$3:$Y$3,0))</f>
        <v>225</v>
      </c>
      <c r="D5439" s="8"/>
    </row>
    <row r="5440" spans="1:4" x14ac:dyDescent="0.2">
      <c r="A5440" t="s">
        <v>82</v>
      </c>
      <c r="B5440" s="46">
        <f>IF(B5431&lt;&gt;0,VLOOKUP(B5431,parameters!A3485:B3487,2,0),0)</f>
        <v>0</v>
      </c>
    </row>
    <row r="5441" spans="1:22" x14ac:dyDescent="0.2">
      <c r="A5441" t="s">
        <v>548</v>
      </c>
      <c r="B5441" s="50">
        <f>INDEX(parameters!$D$4:$P$20,MATCH(B5420&amp;B5422,parameters!$A$4:$A$20,0),MATCH(A5441,parameters!$D$3:$P$3,0))</f>
        <v>100</v>
      </c>
    </row>
    <row r="5442" spans="1:22" x14ac:dyDescent="0.2">
      <c r="A5442" t="s">
        <v>547</v>
      </c>
      <c r="B5442" s="51">
        <f>INDEX(parameters!$D$4:$P$20,MATCH(B5420&amp;B5422,parameters!$A$4:$A$20,0),MATCH(A5442,parameters!$D$3:$P$3,0))</f>
        <v>6</v>
      </c>
    </row>
    <row r="5443" spans="1:22" x14ac:dyDescent="0.2">
      <c r="A5443" t="s">
        <v>630</v>
      </c>
      <c r="B5443" s="51">
        <f>INDEX(parameters!$D$4:$T$20,MATCH(B5420&amp;B5422,parameters!$A$4:$A$20,0),MATCH(A5443,parameters!$D$3:$T$3,0))</f>
        <v>4100</v>
      </c>
    </row>
    <row r="5444" spans="1:22" x14ac:dyDescent="0.2">
      <c r="A5444" t="s">
        <v>1005</v>
      </c>
      <c r="B5444" s="50">
        <f>IF(B5416="megajoule",SUMIFS(allocation!$I$4:$I$30,allocation!$B$4:$B$30,B5422,allocation!$C$4:$C$30,B5423),SUMIFS(allocation!$J$4:$J$30,allocation!$B$4:$B$30,B5422,allocation!$C$4:$C$30,B5423))</f>
        <v>0.13587506510399097</v>
      </c>
    </row>
    <row r="5445" spans="1:22" x14ac:dyDescent="0.2">
      <c r="A5445" t="s">
        <v>1050</v>
      </c>
      <c r="B5445" s="51">
        <f>INDEX(parameters!$D$4:$AB$20,MATCH(B5420&amp;B5422,parameters!$A$4:$A$20,0),MATCH(A5445,parameters!$D$3:$AB$3,0))</f>
        <v>1153.1249999999998</v>
      </c>
    </row>
    <row r="5447" spans="1:22" x14ac:dyDescent="0.2">
      <c r="A5447" s="3" t="s">
        <v>57</v>
      </c>
    </row>
    <row r="5448" spans="1:22" x14ac:dyDescent="0.2">
      <c r="A5448" s="2" t="s">
        <v>58</v>
      </c>
      <c r="B5448" s="44" t="s">
        <v>59</v>
      </c>
      <c r="C5448" s="2" t="s">
        <v>55</v>
      </c>
      <c r="D5448" s="2" t="s">
        <v>60</v>
      </c>
      <c r="E5448" s="2" t="s">
        <v>52</v>
      </c>
      <c r="F5448" s="2" t="s">
        <v>61</v>
      </c>
      <c r="G5448" s="2" t="s">
        <v>54</v>
      </c>
      <c r="H5448" s="2" t="s">
        <v>87</v>
      </c>
      <c r="I5448" s="2" t="s">
        <v>51</v>
      </c>
      <c r="J5448" s="2" t="s">
        <v>138</v>
      </c>
      <c r="K5448" s="2" t="s">
        <v>136</v>
      </c>
      <c r="L5448" s="2" t="s">
        <v>221</v>
      </c>
      <c r="M5448" s="2" t="s">
        <v>379</v>
      </c>
      <c r="N5448" s="2" t="s">
        <v>1059</v>
      </c>
      <c r="O5448" s="2" t="s">
        <v>1060</v>
      </c>
      <c r="P5448" s="2" t="s">
        <v>1061</v>
      </c>
      <c r="Q5448" s="2" t="s">
        <v>1062</v>
      </c>
      <c r="R5448" s="2" t="s">
        <v>1063</v>
      </c>
      <c r="S5448" s="2" t="s">
        <v>1064</v>
      </c>
      <c r="T5448" s="2" t="s">
        <v>1065</v>
      </c>
      <c r="U5448" s="2" t="s">
        <v>380</v>
      </c>
      <c r="V5448" s="2" t="s">
        <v>1128</v>
      </c>
    </row>
    <row r="5449" spans="1:22" x14ac:dyDescent="0.2">
      <c r="A5449" t="str">
        <f>B5410</f>
        <v>heat, residential, by conversion of hydrogen using fuel cell, SOFC, allocated by exergy, transported by pipeline, produced by Electrolysis, SOEC using water and electricity from Solar PV (IT)</v>
      </c>
      <c r="B5449" s="45">
        <v>1</v>
      </c>
      <c r="C5449" t="str">
        <f>B5416</f>
        <v>megajoule</v>
      </c>
      <c r="E5449" t="str">
        <f>B5413</f>
        <v>CH</v>
      </c>
      <c r="F5449" t="s">
        <v>62</v>
      </c>
      <c r="G5449" t="str">
        <f>B5415</f>
        <v>heat, from residential heating system</v>
      </c>
      <c r="K5449" t="str">
        <f>B5410</f>
        <v>heat, residential, by conversion of hydrogen using fuel cell, SOFC, allocated by exergy, transported by pipeline, produced by Electrolysis, SOEC using water and electricity from Solar PV (IT)</v>
      </c>
    </row>
    <row r="5450" spans="1:22" x14ac:dyDescent="0.2">
      <c r="A5450" t="str">
        <f>VLOOKUP(J5450,'dataset mapping'!$A$4:$E$69,2,0)</f>
        <v>fuel cell production, stack solid oxide, 125kW electrical, future</v>
      </c>
      <c r="B5450" s="52">
        <f>(1/(B5439*B5443*B5442*3.6))*B5444</f>
        <v>6.8189834941278219E-9</v>
      </c>
      <c r="C5450" t="str">
        <f>VLOOKUP(J5450,'dataset mapping'!$A$4:$E$69,5,0)</f>
        <v>unit</v>
      </c>
      <c r="E5450" t="str">
        <f>VLOOKUP(J5450,'dataset mapping'!$A$4:$E$69,4,0)</f>
        <v>CH</v>
      </c>
      <c r="F5450" t="s">
        <v>86</v>
      </c>
      <c r="G5450" t="str">
        <f>VLOOKUP(J5450,'dataset mapping'!$A$4:$E$69,3,0)</f>
        <v>fuel cell, stack solid oxide, 125kW electrical, future</v>
      </c>
      <c r="H5450" t="s">
        <v>88</v>
      </c>
      <c r="I5450" t="s">
        <v>277</v>
      </c>
      <c r="J5450" t="s">
        <v>274</v>
      </c>
      <c r="K5450" t="str">
        <f>B5410</f>
        <v>heat, residential, by conversion of hydrogen using fuel cell, SOFC, allocated by exergy, transported by pipeline, produced by Electrolysis, SOEC using water and electricity from Solar PV (IT)</v>
      </c>
      <c r="L5450">
        <f>IF(OR(B5450&lt;0,B5450=0),1,2)</f>
        <v>2</v>
      </c>
      <c r="M5450">
        <f>IF(L5450=2,LN(B5450),"")</f>
        <v>-18.80355542398161</v>
      </c>
      <c r="N5450">
        <v>1</v>
      </c>
      <c r="O5450" s="15">
        <v>1.2</v>
      </c>
      <c r="P5450">
        <v>1</v>
      </c>
      <c r="Q5450">
        <v>1.01</v>
      </c>
      <c r="R5450">
        <v>1.2</v>
      </c>
      <c r="S5450">
        <v>1.2</v>
      </c>
      <c r="T5450">
        <v>3</v>
      </c>
      <c r="U5450">
        <f>LN(SQRT(EXP(
SQRT(
+POWER(LN(N5450),2)
+POWER(LN(O5450),2)
+POWER(LN(P5450),2)
+POWER(LN(Q5450),2)
+POWER(LN(R5450),2)
+POWER(LN(S5450),2)
+POWER(LN(T5450),2)
)
)))</f>
        <v>0.57157051623399524</v>
      </c>
    </row>
    <row r="5451" spans="1:22" x14ac:dyDescent="0.2">
      <c r="A5451" t="s">
        <v>283</v>
      </c>
      <c r="B5451" s="52">
        <f>(1/(B5439*B5443*B5442*3.6))*B5444</f>
        <v>6.8189834941278219E-9</v>
      </c>
      <c r="C5451" t="s">
        <v>55</v>
      </c>
      <c r="E5451" t="s">
        <v>64</v>
      </c>
      <c r="F5451" t="s">
        <v>86</v>
      </c>
      <c r="G5451" t="s">
        <v>284</v>
      </c>
      <c r="H5451" t="s">
        <v>88</v>
      </c>
      <c r="I5451" t="s">
        <v>277</v>
      </c>
      <c r="K5451" t="str">
        <f>B5410</f>
        <v>heat, residential, by conversion of hydrogen using fuel cell, SOFC, allocated by exergy, transported by pipeline, produced by Electrolysis, SOEC using water and electricity from Solar PV (IT)</v>
      </c>
      <c r="L5451">
        <f>IF(OR(B5451&lt;0,B5451=0),1,2)</f>
        <v>2</v>
      </c>
      <c r="M5451">
        <f>IF(L5451=2,LN(B5451),"")</f>
        <v>-18.80355542398161</v>
      </c>
      <c r="N5451">
        <v>1</v>
      </c>
      <c r="O5451" s="15">
        <v>1.2</v>
      </c>
      <c r="P5451">
        <v>1</v>
      </c>
      <c r="Q5451">
        <v>1.01</v>
      </c>
      <c r="R5451">
        <v>1.2</v>
      </c>
      <c r="S5451">
        <v>1.2</v>
      </c>
      <c r="T5451">
        <v>3</v>
      </c>
      <c r="U5451">
        <f>LN(SQRT(EXP(
SQRT(
+POWER(LN(N5451),2)
+POWER(LN(O5451),2)
+POWER(LN(P5451),2)
+POWER(LN(Q5451),2)
+POWER(LN(R5451),2)
+POWER(LN(S5451),2)
+POWER(LN(T5451),2)
)
)))</f>
        <v>0.57157051623399524</v>
      </c>
    </row>
    <row r="5452" spans="1:22" x14ac:dyDescent="0.2">
      <c r="A5452" t="s">
        <v>288</v>
      </c>
      <c r="B5452" s="52">
        <f>0.000024*B5444</f>
        <v>3.2610015624957834E-6</v>
      </c>
      <c r="C5452" t="s">
        <v>56</v>
      </c>
      <c r="E5452" t="s">
        <v>64</v>
      </c>
      <c r="F5452" t="s">
        <v>86</v>
      </c>
      <c r="G5452" t="s">
        <v>287</v>
      </c>
      <c r="H5452" t="s">
        <v>88</v>
      </c>
      <c r="K5452" t="str">
        <f>B5410</f>
        <v>heat, residential, by conversion of hydrogen using fuel cell, SOFC, allocated by exergy, transported by pipeline, produced by Electrolysis, SOEC using water and electricity from Solar PV (IT)</v>
      </c>
      <c r="L5452">
        <f>IF(OR(B5452&lt;0,B5452=0),1,2)</f>
        <v>2</v>
      </c>
      <c r="M5452">
        <f>IF(L5452=2,LN(B5452),"")</f>
        <v>-12.633476182011</v>
      </c>
      <c r="N5452">
        <v>1</v>
      </c>
      <c r="O5452" s="15">
        <v>1.2</v>
      </c>
      <c r="P5452">
        <v>1</v>
      </c>
      <c r="Q5452">
        <v>1.01</v>
      </c>
      <c r="R5452">
        <v>1.2</v>
      </c>
      <c r="S5452">
        <v>1.2</v>
      </c>
      <c r="T5452">
        <v>1.05</v>
      </c>
      <c r="U5452">
        <f>LN(SQRT(EXP(
SQRT(
+POWER(LN(N5452),2)
+POWER(LN(O5452),2)
+POWER(LN(P5452),2)
+POWER(LN(Q5452),2)
+POWER(LN(R5452),2)
+POWER(LN(S5452),2)
+POWER(LN(T5452),2)
)
)))</f>
        <v>0.15984597228197622</v>
      </c>
    </row>
    <row r="5453" spans="1:22" x14ac:dyDescent="0.2">
      <c r="A5453" s="45" t="str">
        <f>"hydrogen supply, transported by "&amp;B5424&amp;", produced by "&amp;B5428&amp;" using "&amp;B5429&amp;" from "&amp;B5430</f>
        <v>hydrogen supply, transported by pipeline, produced by Electrolysis, SOEC using water and electricity from Solar PV (IT)</v>
      </c>
      <c r="B5453" s="53">
        <f>(B5449/B5433)/B5432*B5444</f>
        <v>2.1364003947168392E-3</v>
      </c>
      <c r="C5453" t="s">
        <v>56</v>
      </c>
      <c r="E5453" t="s">
        <v>64</v>
      </c>
      <c r="F5453" t="s">
        <v>86</v>
      </c>
      <c r="G5453" t="str">
        <f>"hydrogen, gaseous, from "&amp;B5424</f>
        <v>hydrogen, gaseous, from pipeline</v>
      </c>
      <c r="H5453" t="s">
        <v>76</v>
      </c>
      <c r="I5453" t="s">
        <v>1054</v>
      </c>
      <c r="J5453" t="s">
        <v>638</v>
      </c>
      <c r="K5453" t="str">
        <f>B5410</f>
        <v>heat, residential, by conversion of hydrogen using fuel cell, SOFC, allocated by exergy, transported by pipeline, produced by Electrolysis, SOEC using water and electricity from Solar PV (IT)</v>
      </c>
      <c r="L5453">
        <f>IF(OR(B5453&lt;0,B5453=0),1,2)</f>
        <v>2</v>
      </c>
      <c r="M5453">
        <f>IF(L5453=2,LN(B5453),"")</f>
        <v>-6.1486329247407472</v>
      </c>
      <c r="N5453">
        <v>1</v>
      </c>
      <c r="O5453" s="15">
        <v>1.2</v>
      </c>
      <c r="P5453">
        <v>1</v>
      </c>
      <c r="Q5453">
        <v>1.01</v>
      </c>
      <c r="R5453">
        <v>1.2</v>
      </c>
      <c r="S5453">
        <v>1.2</v>
      </c>
      <c r="T5453">
        <v>1.05</v>
      </c>
      <c r="U5453">
        <f>LN(SQRT(EXP(
SQRT(
+POWER(LN(N5453),2)
+POWER(LN(O5453),2)
+POWER(LN(P5453),2)
+POWER(LN(Q5453),2)
+POWER(LN(R5453),2)
+POWER(LN(S5453),2)
+POWER(LN(T5453),2)
)
)))</f>
        <v>0.15984597228197622</v>
      </c>
    </row>
    <row r="5454" spans="1:22" x14ac:dyDescent="0.2">
      <c r="A5454" t="s">
        <v>134</v>
      </c>
      <c r="B5454" s="45">
        <f>B5453*9</f>
        <v>1.9227603552451553E-2</v>
      </c>
      <c r="C5454" t="s">
        <v>56</v>
      </c>
      <c r="D5454" t="s">
        <v>100</v>
      </c>
      <c r="F5454" t="s">
        <v>99</v>
      </c>
      <c r="H5454" t="s">
        <v>131</v>
      </c>
      <c r="I5454" t="s">
        <v>1057</v>
      </c>
      <c r="K5454" t="str">
        <f>B5410</f>
        <v>heat, residential, by conversion of hydrogen using fuel cell, SOFC, allocated by exergy, transported by pipeline, produced by Electrolysis, SOEC using water and electricity from Solar PV (IT)</v>
      </c>
      <c r="L5454">
        <f>IF(OR(B5454&lt;0,B5454=0),1,2)</f>
        <v>2</v>
      </c>
      <c r="M5454">
        <f>IF(L5454=2,LN(B5454),"")</f>
        <v>-3.9514083474045276</v>
      </c>
      <c r="N5454">
        <v>1</v>
      </c>
      <c r="O5454" s="15">
        <v>1.2</v>
      </c>
      <c r="P5454">
        <v>1</v>
      </c>
      <c r="Q5454">
        <v>1.01</v>
      </c>
      <c r="R5454">
        <v>1.2</v>
      </c>
      <c r="S5454">
        <v>1.2</v>
      </c>
      <c r="T5454">
        <v>1.05</v>
      </c>
      <c r="U5454">
        <f>LN(SQRT(EXP(
SQRT(
+POWER(LN(N5454),2)
+POWER(LN(O5454),2)
+POWER(LN(P5454),2)
+POWER(LN(Q5454),2)
+POWER(LN(R5454),2)
+POWER(LN(S5454),2)
+POWER(LN(T5454),2)
)
)))</f>
        <v>0.15984597228197622</v>
      </c>
    </row>
    <row r="5456" spans="1:22" x14ac:dyDescent="0.2">
      <c r="A5456" s="2" t="s">
        <v>50</v>
      </c>
      <c r="B5456" s="44" t="str">
        <f>IF(B5462="megajoule","heat","electricity")&amp;", residential, by "&amp;B5467&amp;" of "&amp;B5466&amp;" using "&amp;B5468&amp;IF(B5469&lt;&gt;0,", allocated by "&amp;B5469,"")&amp;", transported by "&amp;B5470&amp;", produced by "&amp;B5474&amp;" using "&amp;B5475&amp;" from "&amp;B5476</f>
        <v>electricity, residential, by combustion of hydrogen using CHP, allocated by exergy, transported by pipeline, produced by Electrolysis, SOEC using water and electricity from Solar PV (IT)</v>
      </c>
    </row>
    <row r="5457" spans="1:2" x14ac:dyDescent="0.2">
      <c r="A5457" t="s">
        <v>51</v>
      </c>
      <c r="B5457" s="45" t="str">
        <f>"This dataset represents the supply of 1 "&amp;IF(B5462="megajoule","megajoule of heat","kilowatt hour of electricity")&amp;" in a residence, by "&amp;B5466&amp;" "&amp;B5467&amp;" in a "&amp;B5468&amp;". "&amp;" The hydrogen is transported by "&amp;B5470&amp;" over "&amp;B5471&amp;" km from regional storage. "&amp;" The "&amp;B5466&amp;" is produced by  "&amp;B5474&amp;", with "&amp;B5475&amp;" from "&amp;B5476&amp;" as feedstock. "&amp;A5478&amp;": "&amp;(B5478*100)&amp;"%. "&amp;A5479&amp;": "&amp;B5479&amp;". "&amp;A5480&amp;": "&amp;B5480&amp;". "&amp;A5481&amp;": "&amp;(B5481*100)&amp;"%. "&amp;A5482&amp;": "&amp;(B5482*100)&amp;"%. "&amp;A5483&amp;": "&amp;(B5483*100)&amp;"%. "&amp;A5484&amp;": "&amp;B5484&amp;". "&amp;A5485&amp;": "&amp;B5485&amp;". "&amp;A5486&amp;": "&amp;(B5486*100)&amp;"%. "&amp;A5487&amp;": "&amp;B5487&amp;". "&amp;A5488&amp;": "&amp;B5488&amp;". "&amp;A5489&amp;": "&amp;B5489&amp;". "&amp;A5490&amp;": "&amp;B5490&amp;".  For more information, refer to: "&amp;B5458</f>
        <v>This dataset represents the supply of 1 kilowatt hour of electricity in a residence, by hydrogen combustion in a CHP.  The hydrogen is transported by pipeline over 1700 km from regional storage.  The hydrogen is produced by  Electrolysis, SOEC,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5458" spans="1:2" x14ac:dyDescent="0.2">
      <c r="A5458" t="s">
        <v>63</v>
      </c>
      <c r="B5458" s="45" t="s">
        <v>1223</v>
      </c>
    </row>
    <row r="5459" spans="1:2" x14ac:dyDescent="0.2">
      <c r="A5459" t="s">
        <v>52</v>
      </c>
      <c r="B5459" s="45" t="s">
        <v>64</v>
      </c>
    </row>
    <row r="5460" spans="1:2" x14ac:dyDescent="0.2">
      <c r="A5460" t="s">
        <v>48</v>
      </c>
      <c r="B5460" s="45" t="s">
        <v>913</v>
      </c>
    </row>
    <row r="5461" spans="1:2" x14ac:dyDescent="0.2">
      <c r="A5461" t="s">
        <v>54</v>
      </c>
      <c r="B5461" s="45" t="str">
        <f>INDEX(overview!$B$4:$R$338,MATCH('hydrogen - electrolysis'!B5460,overview!$A$4:$A$338,0),MATCH('hydrogen - electrolysis'!A5461,overview!$B$3:$R$3,0))</f>
        <v>electricity, from residential heating system</v>
      </c>
    </row>
    <row r="5462" spans="1:2" x14ac:dyDescent="0.2">
      <c r="A5462" t="s">
        <v>55</v>
      </c>
      <c r="B5462" s="45" t="str">
        <f>INDEX(overview!$B$4:$R$338,MATCH('hydrogen - electrolysis'!B5460,overview!$A$4:$A$338,0),MATCH('hydrogen - electrolysis'!A5462,overview!$B$3:$R$3,0))</f>
        <v>kilowatt hour</v>
      </c>
    </row>
    <row r="5463" spans="1:2" x14ac:dyDescent="0.2">
      <c r="A5463" t="s">
        <v>0</v>
      </c>
      <c r="B5463" s="45" t="str">
        <f>INDEX(overview!$B$4:$R$338,MATCH('hydrogen - electrolysis'!B5460,overview!$A$4:$A$338,0),MATCH('hydrogen - electrolysis'!A5463,overview!$B$3:$R$3,0))</f>
        <v>Switzerland</v>
      </c>
    </row>
    <row r="5464" spans="1:2" x14ac:dyDescent="0.2">
      <c r="A5464" t="s">
        <v>1</v>
      </c>
      <c r="B5464" s="45">
        <f>INDEX(overview!$B$4:$R$338,MATCH('hydrogen - electrolysis'!B5460,overview!$A$4:$A$338,0),MATCH('hydrogen - electrolysis'!A5464,overview!$B$3:$R$3,0))</f>
        <v>2020</v>
      </c>
    </row>
    <row r="5465" spans="1:2" x14ac:dyDescent="0.2">
      <c r="A5465" t="s">
        <v>2</v>
      </c>
      <c r="B5465" s="45" t="str">
        <f>INDEX(overview!$B$4:$R$338,MATCH('hydrogen - electrolysis'!B5460,overview!$A$4:$A$338,0),MATCH('hydrogen - electrolysis'!A5465,overview!$B$3:$R$3,0))</f>
        <v>1 kWh electricity</v>
      </c>
    </row>
    <row r="5466" spans="1:2" x14ac:dyDescent="0.2">
      <c r="A5466" t="s">
        <v>5</v>
      </c>
      <c r="B5466" s="45" t="str">
        <f>INDEX(overview!$B$4:$R$338,MATCH('hydrogen - electrolysis'!B5460,overview!$A$4:$A$338,0),MATCH('hydrogen - electrolysis'!A5466,overview!$B$3:$R$3,0))</f>
        <v>hydrogen</v>
      </c>
    </row>
    <row r="5467" spans="1:2" x14ac:dyDescent="0.2">
      <c r="A5467" t="s">
        <v>3</v>
      </c>
      <c r="B5467" s="45" t="str">
        <f>INDEX(overview!$B$4:$R$338,MATCH('hydrogen - electrolysis'!B5460,overview!$A$4:$A$338,0),MATCH('hydrogen - electrolysis'!A5467,overview!$B$3:$R$3,0))</f>
        <v>combustion</v>
      </c>
    </row>
    <row r="5468" spans="1:2" x14ac:dyDescent="0.2">
      <c r="A5468" t="s">
        <v>6</v>
      </c>
      <c r="B5468" s="45" t="str">
        <f>INDEX(overview!$B$4:$R$338,MATCH('hydrogen - electrolysis'!B5460,overview!$A$4:$A$338,0),MATCH('hydrogen - electrolysis'!A5468,overview!$B$3:$R$3,0))</f>
        <v>CHP</v>
      </c>
    </row>
    <row r="5469" spans="1:2" x14ac:dyDescent="0.2">
      <c r="A5469" t="s">
        <v>39</v>
      </c>
      <c r="B5469" s="45" t="str">
        <f>INDEX(overview!$B$4:$R$338,MATCH('hydrogen - electrolysis'!B5460,overview!$A$4:$A$338,0),MATCH('hydrogen - electrolysis'!A5469,overview!$B$3:$R$3,0))</f>
        <v>exergy</v>
      </c>
    </row>
    <row r="5470" spans="1:2" x14ac:dyDescent="0.2">
      <c r="A5470" t="s">
        <v>4</v>
      </c>
      <c r="B5470" s="45" t="str">
        <f>INDEX(overview!$B$4:$R$338,MATCH('hydrogen - electrolysis'!B5460,overview!$A$4:$A$338,0),MATCH('hydrogen - electrolysis'!A5470,overview!$B$3:$R$3,0))</f>
        <v>pipeline</v>
      </c>
    </row>
    <row r="5471" spans="1:2" x14ac:dyDescent="0.2">
      <c r="A5471" t="s">
        <v>38</v>
      </c>
      <c r="B5471" s="45">
        <f>INDEX(overview!$B$4:$R$338,MATCH('hydrogen - electrolysis'!B5460,overview!$A$4:$A$338,0),MATCH('hydrogen - electrolysis'!A5471,overview!$B$3:$R$3,0))</f>
        <v>1700</v>
      </c>
    </row>
    <row r="5472" spans="1:2" x14ac:dyDescent="0.2">
      <c r="A5472" t="s">
        <v>12</v>
      </c>
      <c r="B5472" s="45" t="str">
        <f>INDEX(overview!$B$4:$R$338,MATCH('hydrogen - electrolysis'!B5460,overview!$A$4:$A$338,0),MATCH('hydrogen - electrolysis'!A5472,overview!$B$3:$R$3,0))</f>
        <v>Pressure vessel for stationary storage</v>
      </c>
    </row>
    <row r="5473" spans="1:2" x14ac:dyDescent="0.2">
      <c r="A5473" t="s">
        <v>34</v>
      </c>
      <c r="B5473" s="45">
        <f>INDEX(overview!$B$4:$R$338,MATCH('hydrogen - electrolysis'!B5460,overview!$A$4:$A$338,0),MATCH('hydrogen - electrolysis'!A5473,overview!$B$3:$R$3,0))</f>
        <v>0</v>
      </c>
    </row>
    <row r="5474" spans="1:2" x14ac:dyDescent="0.2">
      <c r="A5474" t="s">
        <v>15</v>
      </c>
      <c r="B5474" s="45" t="str">
        <f>INDEX(overview!$B$4:$R$338,MATCH('hydrogen - electrolysis'!B5460,overview!$A$4:$A$338,0),MATCH('hydrogen - electrolysis'!A5474,overview!$B$3:$R$3,0))</f>
        <v>Electrolysis, SOEC</v>
      </c>
    </row>
    <row r="5475" spans="1:2" x14ac:dyDescent="0.2">
      <c r="A5475" t="s">
        <v>14</v>
      </c>
      <c r="B5475" s="45" t="str">
        <f>INDEX(overview!$B$4:$R$338,MATCH('hydrogen - electrolysis'!B5460,overview!$A$4:$A$338,0),MATCH('hydrogen - electrolysis'!A5475,overview!$B$3:$R$3,0))</f>
        <v>water and electricity</v>
      </c>
    </row>
    <row r="5476" spans="1:2" x14ac:dyDescent="0.2">
      <c r="A5476" t="s">
        <v>26</v>
      </c>
      <c r="B5476" s="45" t="str">
        <f>INDEX(overview!$B$4:$R$338,MATCH('hydrogen - electrolysis'!B5460,overview!$A$4:$A$338,0),MATCH('hydrogen - electrolysis'!A5476,overview!$B$3:$R$3,0))</f>
        <v>Solar PV (IT)</v>
      </c>
    </row>
    <row r="5477" spans="1:2" x14ac:dyDescent="0.2">
      <c r="A5477" t="s">
        <v>29</v>
      </c>
      <c r="B5477" s="45">
        <f>INDEX(overview!$B$4:$R$338,MATCH('hydrogen - electrolysis'!B5460,overview!$A$4:$A$338,0),MATCH('hydrogen - electrolysis'!A5477,overview!$B$3:$R$3,0))</f>
        <v>0</v>
      </c>
    </row>
    <row r="5478" spans="1:2" x14ac:dyDescent="0.2">
      <c r="A5478" t="str">
        <f>IF(B5462="megajoule","Heat","Electricity")&amp;" conversion efficiency [% LHV input]"</f>
        <v>Electricity conversion efficiency [% LHV input]</v>
      </c>
      <c r="B5478" s="46">
        <f>INDEX(parameters!$D$4:$N$20,MATCH('hydrogen - electrolysis'!B5466&amp;'hydrogen - electrolysis'!B5468,parameters!$A$4:$A$20,0),MATCH('hydrogen - electrolysis'!A5478,parameters!$D$3:$N$3,0))</f>
        <v>0.39400000000000002</v>
      </c>
    </row>
    <row r="5479" spans="1:2" x14ac:dyDescent="0.2">
      <c r="A5479" t="str">
        <f>IF(B5462="megajoule","LHV [MJ/kg]","LHV [kWh/kg]")</f>
        <v>LHV [kWh/kg]</v>
      </c>
      <c r="B5479" s="47">
        <f>INDEX(parameters!$D$4:$N$20,MATCH('hydrogen - electrolysis'!B5466&amp;'hydrogen - electrolysis'!B5468,parameters!$A$4:$A$20,0),MATCH('hydrogen - electrolysis'!A5479,parameters!$D$3:$N$3,0))</f>
        <v>33.333333333333336</v>
      </c>
    </row>
    <row r="5480" spans="1:2" x14ac:dyDescent="0.2">
      <c r="A5480" t="s">
        <v>41</v>
      </c>
      <c r="B5480" s="48">
        <f>INDEX(parameters!$D$4:$N$20,MATCH('hydrogen - electrolysis'!B5466&amp;'hydrogen - electrolysis'!B5468,parameters!$A$4:$A$20,0),MATCH('hydrogen - electrolysis'!A5480,parameters!$D$3:$N$3,0))</f>
        <v>2.6666666666666665E-2</v>
      </c>
    </row>
    <row r="5481" spans="1:2" x14ac:dyDescent="0.2">
      <c r="A5481" t="s">
        <v>45</v>
      </c>
      <c r="B5481" s="46">
        <f>INDEX(parameters!$D$4:$N$20,MATCH('hydrogen - electrolysis'!B5466&amp;'hydrogen - electrolysis'!B5468,parameters!$A$4:$A$20,0),MATCH('hydrogen - electrolysis'!A5481,parameters!$D$3:$N$3,0))</f>
        <v>0</v>
      </c>
    </row>
    <row r="5482" spans="1:2" x14ac:dyDescent="0.2">
      <c r="A5482" t="s">
        <v>46</v>
      </c>
      <c r="B5482" s="46">
        <f>INDEX(parameters!$D$4:$N$20,MATCH('hydrogen - electrolysis'!B5466&amp;'hydrogen - electrolysis'!B5468,parameters!$A$4:$A$20,0),MATCH('hydrogen - electrolysis'!A5482,parameters!$D$3:$N$3,0))</f>
        <v>1.4999999999999999E-2</v>
      </c>
    </row>
    <row r="5483" spans="1:2" x14ac:dyDescent="0.2">
      <c r="A5483" t="s">
        <v>43</v>
      </c>
      <c r="B5483" s="46">
        <f>INDEX(parameters!$D$4:$N$20,MATCH('hydrogen - electrolysis'!B5466&amp;'hydrogen - electrolysis'!B5468,parameters!$A$4:$A$20,0),MATCH('hydrogen - electrolysis'!A5483,parameters!$D$3:$N$3,0))</f>
        <v>0</v>
      </c>
    </row>
    <row r="5484" spans="1:2" x14ac:dyDescent="0.2">
      <c r="A5484" t="s">
        <v>44</v>
      </c>
      <c r="B5484" s="46">
        <f>INDEX(parameters!$D$4:$N$20,MATCH('hydrogen - electrolysis'!B5466&amp;'hydrogen - electrolysis'!B5468,parameters!$A$4:$A$20,0),MATCH('hydrogen - electrolysis'!A5484,parameters!$D$3:$N$3,0))</f>
        <v>0</v>
      </c>
    </row>
    <row r="5485" spans="1:2" x14ac:dyDescent="0.2">
      <c r="A5485" t="s">
        <v>634</v>
      </c>
      <c r="B5485" s="51">
        <f>INDEX(parameters!$D$4:$Y$20,MATCH('hydrogen - electrolysis'!B5466&amp;'hydrogen - electrolysis'!B5468,parameters!$A$4:$A$20,0),MATCH('hydrogen - electrolysis'!A5485,parameters!$D$3:$Y$3,0))</f>
        <v>351.41800246609125</v>
      </c>
    </row>
    <row r="5486" spans="1:2" x14ac:dyDescent="0.2">
      <c r="A5486" t="s">
        <v>82</v>
      </c>
      <c r="B5486" s="46">
        <f>IF(B5477&lt;&gt;0,VLOOKUP(B5477,parameters!A3537:B3539,2,0),0)</f>
        <v>0</v>
      </c>
    </row>
    <row r="5487" spans="1:2" x14ac:dyDescent="0.2">
      <c r="A5487" t="s">
        <v>548</v>
      </c>
      <c r="B5487" s="50">
        <f>INDEX(parameters!$D$4:$P$20,MATCH(B5466&amp;B5468,parameters!$A$4:$A$20,0),MATCH(A5487,parameters!$D$3:$P$3,0))</f>
        <v>125</v>
      </c>
    </row>
    <row r="5488" spans="1:2" x14ac:dyDescent="0.2">
      <c r="A5488" t="s">
        <v>547</v>
      </c>
      <c r="B5488" s="51">
        <f>INDEX(parameters!$D$4:$P$20,MATCH(B5466&amp;B5468,parameters!$A$4:$A$20,0),MATCH(A5488,parameters!$D$3:$P$3,0))</f>
        <v>19.512195121951219</v>
      </c>
    </row>
    <row r="5489" spans="1:22" x14ac:dyDescent="0.2">
      <c r="A5489" t="s">
        <v>630</v>
      </c>
      <c r="B5489" s="51">
        <f>INDEX(parameters!$D$4:$T$20,MATCH(B5466&amp;B5468,parameters!$A$4:$A$20,0),MATCH(A5489,parameters!$D$3:$T$3,0))</f>
        <v>4100</v>
      </c>
    </row>
    <row r="5490" spans="1:22" x14ac:dyDescent="0.2">
      <c r="A5490" t="s">
        <v>1005</v>
      </c>
      <c r="B5490" s="50">
        <f>IF(B5462="megajoule",SUMIFS(allocation!$I$4:$I$30,allocation!$B$4:$B$30,B5468,allocation!$C$4:$C$30,B5469),SUMIFS(allocation!$J$4:$J$30,allocation!$B$4:$B$30,B5468,allocation!$C$4:$C$30,B5469))</f>
        <v>0.87139957772704957</v>
      </c>
    </row>
    <row r="5491" spans="1:22" x14ac:dyDescent="0.2">
      <c r="A5491" t="s">
        <v>1050</v>
      </c>
      <c r="B5491" s="51">
        <f>INDEX(parameters!$D$4:$AB$20,MATCH(B5466&amp;B5468,parameters!$A$4:$A$20,0),MATCH(A5491,parameters!$D$3:$AB$3,0))</f>
        <v>2220.7364520822662</v>
      </c>
    </row>
    <row r="5493" spans="1:22" x14ac:dyDescent="0.2">
      <c r="A5493" s="3" t="s">
        <v>57</v>
      </c>
    </row>
    <row r="5494" spans="1:22" x14ac:dyDescent="0.2">
      <c r="A5494" s="2" t="s">
        <v>58</v>
      </c>
      <c r="B5494" s="44" t="s">
        <v>59</v>
      </c>
      <c r="C5494" s="2" t="s">
        <v>55</v>
      </c>
      <c r="D5494" s="2" t="s">
        <v>60</v>
      </c>
      <c r="E5494" s="2" t="s">
        <v>52</v>
      </c>
      <c r="F5494" s="2" t="s">
        <v>61</v>
      </c>
      <c r="G5494" s="2" t="s">
        <v>54</v>
      </c>
      <c r="H5494" s="2" t="s">
        <v>87</v>
      </c>
      <c r="I5494" s="2" t="s">
        <v>51</v>
      </c>
      <c r="J5494" s="2" t="s">
        <v>138</v>
      </c>
      <c r="K5494" s="2" t="s">
        <v>136</v>
      </c>
      <c r="L5494" s="2" t="s">
        <v>221</v>
      </c>
      <c r="M5494" s="2" t="s">
        <v>379</v>
      </c>
      <c r="N5494" s="2" t="s">
        <v>1059</v>
      </c>
      <c r="O5494" s="2" t="s">
        <v>1060</v>
      </c>
      <c r="P5494" s="2" t="s">
        <v>1061</v>
      </c>
      <c r="Q5494" s="2" t="s">
        <v>1062</v>
      </c>
      <c r="R5494" s="2" t="s">
        <v>1063</v>
      </c>
      <c r="S5494" s="2" t="s">
        <v>1064</v>
      </c>
      <c r="T5494" s="2" t="s">
        <v>1065</v>
      </c>
      <c r="U5494" s="2" t="s">
        <v>380</v>
      </c>
      <c r="V5494" s="2" t="s">
        <v>1128</v>
      </c>
    </row>
    <row r="5495" spans="1:22" x14ac:dyDescent="0.2">
      <c r="A5495" t="str">
        <f>B5456</f>
        <v>electricity, residential, by combustion of hydrogen using CHP, allocated by exergy, transported by pipeline, produced by Electrolysis, SOEC using water and electricity from Solar PV (IT)</v>
      </c>
      <c r="B5495" s="45">
        <v>1</v>
      </c>
      <c r="C5495" t="str">
        <f>B5462</f>
        <v>kilowatt hour</v>
      </c>
      <c r="E5495" t="str">
        <f>B5459</f>
        <v>CH</v>
      </c>
      <c r="F5495" t="s">
        <v>62</v>
      </c>
      <c r="G5495" t="str">
        <f>B5461</f>
        <v>electricity, from residential heating system</v>
      </c>
      <c r="K5495" t="str">
        <f>B5456</f>
        <v>electricity, residential, by combustion of hydrogen using CHP, allocated by exergy, transported by pipeline, produced by Electrolysis, SOEC using water and electricity from Solar PV (IT)</v>
      </c>
    </row>
    <row r="5496" spans="1:22" x14ac:dyDescent="0.2">
      <c r="A5496" t="str">
        <f>VLOOKUP(J5496,'dataset mapping'!$A$4:$E$69,2,0)</f>
        <v>heat and power co-generation unit construction, 160kW electrical, common components for heat+electricity</v>
      </c>
      <c r="B5496" s="52">
        <f>(1/(B5485*B5489*B5488))*B5490</f>
        <v>3.0995835856870056E-8</v>
      </c>
      <c r="C5496" t="str">
        <f>VLOOKUP(J5496,'dataset mapping'!$A$4:$E$69,5,0)</f>
        <v>unit</v>
      </c>
      <c r="E5496" t="str">
        <f>VLOOKUP(J5496,'dataset mapping'!$A$4:$E$69,4,0)</f>
        <v>RER</v>
      </c>
      <c r="F5496" t="s">
        <v>86</v>
      </c>
      <c r="G5496" t="str">
        <f>VLOOKUP(J5496,'dataset mapping'!$A$4:$E$69,3,0)</f>
        <v>heat and power co-generation unit, 160kW electrical, common components for heat+electricity</v>
      </c>
      <c r="H5496" t="s">
        <v>88</v>
      </c>
      <c r="J5496" t="s">
        <v>145</v>
      </c>
      <c r="K5496" t="str">
        <f>B5456</f>
        <v>electricity, residential, by combustion of hydrogen using CHP, allocated by exergy, transported by pipeline, produced by Electrolysis, SOEC using water and electricity from Solar PV (IT)</v>
      </c>
      <c r="L5496">
        <f t="shared" ref="L5496:L5503" si="202">IF(OR(B5496&lt;0,B5496=0),1,2)</f>
        <v>2</v>
      </c>
      <c r="M5496">
        <f t="shared" ref="M5496:M5503" si="203">IF(L5496=2,LN(B5496),"")</f>
        <v>-17.28941296868171</v>
      </c>
      <c r="N5496">
        <v>1.05</v>
      </c>
      <c r="O5496" s="15">
        <v>1.2</v>
      </c>
      <c r="P5496">
        <v>1</v>
      </c>
      <c r="Q5496">
        <v>1.01</v>
      </c>
      <c r="R5496">
        <v>1.2</v>
      </c>
      <c r="S5496">
        <v>1.2</v>
      </c>
      <c r="T5496">
        <v>3</v>
      </c>
      <c r="U5496">
        <f t="shared" ref="U5496:U5503" si="204">LN(SQRT(EXP(
SQRT(
+POWER(LN(N5496),2)
+POWER(LN(O5496),2)
+POWER(LN(P5496),2)
+POWER(LN(Q5496),2)
+POWER(LN(R5496),2)
+POWER(LN(S5496),2)
+POWER(LN(T5496),2)
)
)))</f>
        <v>0.57209088006881903</v>
      </c>
    </row>
    <row r="5497" spans="1:22" x14ac:dyDescent="0.2">
      <c r="A5497" t="str">
        <f>VLOOKUP(J5497,'dataset mapping'!$A$4:$E$69,2,0)</f>
        <v>heat and power co-generation unit construction, 160kW electrical, components for electricity only</v>
      </c>
      <c r="B5497" s="52">
        <f>(1/(B5485*B5489*B5488))*B5490</f>
        <v>3.0995835856870056E-8</v>
      </c>
      <c r="C5497" t="str">
        <f>VLOOKUP(J5497,'dataset mapping'!$A$4:$E$69,5,0)</f>
        <v>unit</v>
      </c>
      <c r="E5497" t="str">
        <f>VLOOKUP(J5497,'dataset mapping'!$A$4:$E$69,4,0)</f>
        <v>RER</v>
      </c>
      <c r="F5497" t="s">
        <v>86</v>
      </c>
      <c r="G5497" t="str">
        <f>VLOOKUP(J5497,'dataset mapping'!$A$4:$E$69,3,0)</f>
        <v>heat and power co-generation unit, 160kW electrical, components for electricity only</v>
      </c>
      <c r="H5497" t="s">
        <v>88</v>
      </c>
      <c r="J5497" t="s">
        <v>146</v>
      </c>
      <c r="K5497" t="str">
        <f>B5456</f>
        <v>electricity, residential, by combustion of hydrogen using CHP, allocated by exergy, transported by pipeline, produced by Electrolysis, SOEC using water and electricity from Solar PV (IT)</v>
      </c>
      <c r="L5497">
        <f t="shared" si="202"/>
        <v>2</v>
      </c>
      <c r="M5497">
        <f t="shared" si="203"/>
        <v>-17.28941296868171</v>
      </c>
      <c r="N5497">
        <v>1.05</v>
      </c>
      <c r="O5497" s="15">
        <v>1.2</v>
      </c>
      <c r="P5497">
        <v>1</v>
      </c>
      <c r="Q5497">
        <v>1.01</v>
      </c>
      <c r="R5497">
        <v>1.2</v>
      </c>
      <c r="S5497">
        <v>1.2</v>
      </c>
      <c r="T5497">
        <v>3</v>
      </c>
      <c r="U5497">
        <f t="shared" si="204"/>
        <v>0.57209088006881903</v>
      </c>
    </row>
    <row r="5498" spans="1:22" x14ac:dyDescent="0.2">
      <c r="A5498" t="str">
        <f>VLOOKUP(J5498,'dataset mapping'!$A$4:$E$69,2,0)</f>
        <v>heat and power co-generation unit construction, 160kW electrical, components for heat only</v>
      </c>
      <c r="B5498" s="52">
        <f>(1/(B5485*B5489*B5488))*B5490</f>
        <v>3.0995835856870056E-8</v>
      </c>
      <c r="C5498" t="str">
        <f>VLOOKUP(J5498,'dataset mapping'!$A$4:$E$69,5,0)</f>
        <v>unit</v>
      </c>
      <c r="E5498" t="str">
        <f>VLOOKUP(J5498,'dataset mapping'!$A$4:$E$69,4,0)</f>
        <v>RER</v>
      </c>
      <c r="F5498" t="s">
        <v>86</v>
      </c>
      <c r="G5498" t="str">
        <f>VLOOKUP(J5498,'dataset mapping'!$A$4:$E$69,3,0)</f>
        <v>heat and power co-generation unit, 160kW electrical, components for heat only</v>
      </c>
      <c r="H5498" t="s">
        <v>88</v>
      </c>
      <c r="J5498" t="s">
        <v>147</v>
      </c>
      <c r="K5498" t="str">
        <f>B5456</f>
        <v>electricity, residential, by combustion of hydrogen using CHP, allocated by exergy, transported by pipeline, produced by Electrolysis, SOEC using water and electricity from Solar PV (IT)</v>
      </c>
      <c r="L5498">
        <f t="shared" si="202"/>
        <v>2</v>
      </c>
      <c r="M5498">
        <f t="shared" si="203"/>
        <v>-17.28941296868171</v>
      </c>
      <c r="N5498">
        <v>1.05</v>
      </c>
      <c r="O5498" s="15">
        <v>1.2</v>
      </c>
      <c r="P5498">
        <v>1</v>
      </c>
      <c r="Q5498">
        <v>1.01</v>
      </c>
      <c r="R5498">
        <v>1.2</v>
      </c>
      <c r="S5498">
        <v>1.2</v>
      </c>
      <c r="T5498">
        <v>3</v>
      </c>
      <c r="U5498">
        <f t="shared" si="204"/>
        <v>0.57209088006881903</v>
      </c>
    </row>
    <row r="5499" spans="1:22" x14ac:dyDescent="0.2">
      <c r="A5499" t="s">
        <v>156</v>
      </c>
      <c r="B5499" s="52">
        <f>0.00000011366*B5490</f>
        <v>9.9043276004456456E-8</v>
      </c>
      <c r="C5499" t="s">
        <v>56</v>
      </c>
      <c r="E5499" t="s">
        <v>90</v>
      </c>
      <c r="F5499" t="s">
        <v>86</v>
      </c>
      <c r="G5499" t="s">
        <v>154</v>
      </c>
      <c r="H5499" t="s">
        <v>155</v>
      </c>
      <c r="K5499" t="str">
        <f>B5456</f>
        <v>electricity, residential, by combustion of hydrogen using CHP, allocated by exergy, transported by pipeline, produced by Electrolysis, SOEC using water and electricity from Solar PV (IT)</v>
      </c>
      <c r="L5499">
        <f t="shared" si="202"/>
        <v>2</v>
      </c>
      <c r="M5499">
        <f t="shared" si="203"/>
        <v>-16.127708950967754</v>
      </c>
      <c r="N5499">
        <v>1.05</v>
      </c>
      <c r="O5499" s="15">
        <v>1.2</v>
      </c>
      <c r="P5499">
        <v>1</v>
      </c>
      <c r="Q5499">
        <v>1.01</v>
      </c>
      <c r="R5499">
        <v>1.2</v>
      </c>
      <c r="S5499">
        <v>1.2</v>
      </c>
      <c r="T5499">
        <v>1.05</v>
      </c>
      <c r="U5499">
        <f t="shared" si="204"/>
        <v>0.16169679924070957</v>
      </c>
    </row>
    <row r="5500" spans="1:22" x14ac:dyDescent="0.2">
      <c r="A5500" t="s">
        <v>157</v>
      </c>
      <c r="B5500" s="52">
        <f>0.00000011366*B5490*-1</f>
        <v>-9.9043276004456456E-8</v>
      </c>
      <c r="C5500" t="s">
        <v>56</v>
      </c>
      <c r="E5500" t="s">
        <v>64</v>
      </c>
      <c r="F5500" t="s">
        <v>86</v>
      </c>
      <c r="G5500" t="s">
        <v>158</v>
      </c>
      <c r="H5500" t="s">
        <v>155</v>
      </c>
      <c r="K5500" t="str">
        <f>B5456</f>
        <v>electricity, residential, by combustion of hydrogen using CHP, allocated by exergy, transported by pipeline, produced by Electrolysis, SOEC using water and electricity from Solar PV (IT)</v>
      </c>
      <c r="L5500">
        <v>2</v>
      </c>
      <c r="M5500">
        <f>IF(L5500=2,LN(B5500*-1),"")</f>
        <v>-16.127708950967754</v>
      </c>
      <c r="N5500">
        <v>1.05</v>
      </c>
      <c r="O5500" s="15">
        <v>1.2</v>
      </c>
      <c r="P5500">
        <v>1</v>
      </c>
      <c r="Q5500">
        <v>1.01</v>
      </c>
      <c r="R5500">
        <v>1.2</v>
      </c>
      <c r="S5500">
        <v>1.2</v>
      </c>
      <c r="T5500">
        <v>3</v>
      </c>
      <c r="U5500">
        <f>LN(SQRT(EXP(
SQRT(
+POWER(LN(N5500),2)
+POWER(LN(O5500),2)
+POWER(LN(P5500),2)
+POWER(LN(Q5500),2)
+POWER(LN(R5500),2)
+POWER(LN(S5500),2)
+POWER(LN(T5500),2)
)
)))</f>
        <v>0.57209088006881903</v>
      </c>
      <c r="V5500" t="b">
        <v>1</v>
      </c>
    </row>
    <row r="5501" spans="1:22" x14ac:dyDescent="0.2">
      <c r="A5501" s="45" t="str">
        <f>"hydrogen supply, transported by "&amp;B5470&amp;", produced by "&amp;B5474&amp;" using "&amp;B5475&amp;" from "&amp;B5476</f>
        <v>hydrogen supply, transported by pipeline, produced by Electrolysis, SOEC using water and electricity from Solar PV (IT)</v>
      </c>
      <c r="B5501" s="53">
        <f>(B5495/B5479)/B5478*B5490</f>
        <v>6.6350221654343872E-2</v>
      </c>
      <c r="C5501" t="s">
        <v>56</v>
      </c>
      <c r="E5501" t="s">
        <v>64</v>
      </c>
      <c r="F5501" t="s">
        <v>86</v>
      </c>
      <c r="G5501" t="str">
        <f>"hydrogen, gaseous, from "&amp;B5470</f>
        <v>hydrogen, gaseous, from pipeline</v>
      </c>
      <c r="H5501" t="s">
        <v>76</v>
      </c>
      <c r="I5501" t="s">
        <v>1054</v>
      </c>
      <c r="J5501" t="s">
        <v>638</v>
      </c>
      <c r="K5501" t="str">
        <f>B5456</f>
        <v>electricity, residential, by combustion of hydrogen using CHP, allocated by exergy, transported by pipeline, produced by Electrolysis, SOEC using water and electricity from Solar PV (IT)</v>
      </c>
      <c r="L5501">
        <f t="shared" si="202"/>
        <v>2</v>
      </c>
      <c r="M5501">
        <f t="shared" si="203"/>
        <v>-2.7128081775260964</v>
      </c>
      <c r="N5501">
        <v>1.05</v>
      </c>
      <c r="O5501" s="15">
        <v>1.2</v>
      </c>
      <c r="P5501">
        <v>1</v>
      </c>
      <c r="Q5501">
        <v>1.01</v>
      </c>
      <c r="R5501">
        <v>1.2</v>
      </c>
      <c r="S5501">
        <v>1.2</v>
      </c>
      <c r="T5501">
        <v>1.05</v>
      </c>
      <c r="U5501">
        <f t="shared" si="204"/>
        <v>0.16169679924070957</v>
      </c>
    </row>
    <row r="5502" spans="1:22" x14ac:dyDescent="0.2">
      <c r="A5502" t="s">
        <v>134</v>
      </c>
      <c r="B5502" s="45">
        <f>B5501*9</f>
        <v>0.59715199488909487</v>
      </c>
      <c r="C5502" t="s">
        <v>56</v>
      </c>
      <c r="D5502" t="s">
        <v>100</v>
      </c>
      <c r="F5502" t="s">
        <v>99</v>
      </c>
      <c r="H5502" t="s">
        <v>131</v>
      </c>
      <c r="I5502" t="s">
        <v>1058</v>
      </c>
      <c r="K5502" t="str">
        <f>B5456</f>
        <v>electricity, residential, by combustion of hydrogen using CHP, allocated by exergy, transported by pipeline, produced by Electrolysis, SOEC using water and electricity from Solar PV (IT)</v>
      </c>
      <c r="L5502">
        <f t="shared" si="202"/>
        <v>2</v>
      </c>
      <c r="M5502">
        <f t="shared" si="203"/>
        <v>-0.51558360018987692</v>
      </c>
      <c r="N5502">
        <v>1.05</v>
      </c>
      <c r="O5502" s="15">
        <v>1.2</v>
      </c>
      <c r="P5502">
        <v>1</v>
      </c>
      <c r="Q5502">
        <v>1.01</v>
      </c>
      <c r="R5502">
        <v>1.2</v>
      </c>
      <c r="S5502">
        <v>1.2</v>
      </c>
      <c r="T5502">
        <v>1.05</v>
      </c>
      <c r="U5502">
        <f t="shared" si="204"/>
        <v>0.16169679924070957</v>
      </c>
    </row>
    <row r="5503" spans="1:22" x14ac:dyDescent="0.2">
      <c r="A5503" t="s">
        <v>135</v>
      </c>
      <c r="B5503" s="45">
        <f>912.5/1000000*B5501</f>
        <v>6.0544577259588785E-5</v>
      </c>
      <c r="C5503" t="s">
        <v>56</v>
      </c>
      <c r="D5503" t="s">
        <v>100</v>
      </c>
      <c r="F5503" t="s">
        <v>99</v>
      </c>
      <c r="H5503" t="s">
        <v>131</v>
      </c>
      <c r="I5503" t="s">
        <v>1217</v>
      </c>
      <c r="K5503" t="str">
        <f>B5456</f>
        <v>electricity, residential, by combustion of hydrogen using CHP, allocated by exergy, transported by pipeline, produced by Electrolysis, SOEC using water and electricity from Solar PV (IT)</v>
      </c>
      <c r="L5503">
        <f t="shared" si="202"/>
        <v>2</v>
      </c>
      <c r="M5503">
        <f t="shared" si="203"/>
        <v>-9.712130650033723</v>
      </c>
      <c r="N5503">
        <v>1.05</v>
      </c>
      <c r="O5503" s="15">
        <v>1.2</v>
      </c>
      <c r="P5503">
        <v>1</v>
      </c>
      <c r="Q5503">
        <v>1.01</v>
      </c>
      <c r="R5503">
        <v>1.2</v>
      </c>
      <c r="S5503">
        <v>1.2</v>
      </c>
      <c r="T5503">
        <v>1.5</v>
      </c>
      <c r="U5503">
        <f t="shared" si="204"/>
        <v>0.25816898211842121</v>
      </c>
    </row>
    <row r="5505" spans="1:2" x14ac:dyDescent="0.2">
      <c r="A5505" s="2" t="s">
        <v>50</v>
      </c>
      <c r="B5505" s="44" t="str">
        <f>IF(B5511="megajoule","heat","electricity")&amp;", residential, by "&amp;B5516&amp;" of "&amp;B5515&amp;" using "&amp;B5517&amp;IF(B5518&lt;&gt;0,", allocated by "&amp;B5518,"")&amp;", transported by "&amp;B5519&amp;", produced by "&amp;B5523&amp;" using "&amp;B5524&amp;" from "&amp;B5525</f>
        <v>electricity, residential, by conversion of hydrogen using fuel cell, PEM, allocated by exergy, transported by pipeline, produced by Electrolysis, SOEC using water and electricity from Solar PV (IT)</v>
      </c>
    </row>
    <row r="5506" spans="1:2" x14ac:dyDescent="0.2">
      <c r="A5506" t="s">
        <v>51</v>
      </c>
      <c r="B5506" s="45" t="str">
        <f>"This dataset represents the supply of 1 "&amp;IF(B5511="megajoule","megajoule of heat","kilowatt hour of electricity")&amp;" in a residence, by "&amp;B5515&amp;" "&amp;B5516&amp;" in a "&amp;B5517&amp;". "&amp;" The hydrogen is transported by "&amp;B5519&amp;" over "&amp;B5520&amp;" km from regional storage. "&amp;" The "&amp;B5515&amp;" is produced by  "&amp;B5523&amp;", with "&amp;B5524&amp;" from "&amp;B5525&amp;" as feedstock. "&amp;A5527&amp;": "&amp;(B5527*100)&amp;"%. "&amp;A5528&amp;": "&amp;B5528&amp;". "&amp;A5529&amp;": "&amp;B5529&amp;". "&amp;A5530&amp;": "&amp;(B5530*100)&amp;"%. "&amp;A5531&amp;": "&amp;(B5531*100)&amp;"%. "&amp;A5532&amp;": "&amp;(B5532*100)&amp;"%. "&amp;A5533&amp;": "&amp;B5533&amp;". "&amp;A5534&amp;": "&amp;B5534&amp;". "&amp;A5535&amp;": "&amp;(B5535*100)&amp;"%. "&amp;A5536&amp;": "&amp;B5536&amp;". "&amp;A5537&amp;": "&amp;B5537&amp;". "&amp;A5538&amp;": "&amp;B5538&amp;". "&amp;A5539&amp;": "&amp;B5539&amp;".  For more information, refer to: "&amp;B5507</f>
        <v>This dataset represents the supply of 1 kilowatt hour of electricity in a residence, by hydrogen conversion in a fuel cell, PEM.  The hydrogen is transported by pipeline over 1700 km from regional storage.  The hydrogen is produced by  Electrolysis, SOEC,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5507" spans="1:2" x14ac:dyDescent="0.2">
      <c r="A5507" t="s">
        <v>63</v>
      </c>
      <c r="B5507" s="45" t="s">
        <v>1223</v>
      </c>
    </row>
    <row r="5508" spans="1:2" x14ac:dyDescent="0.2">
      <c r="A5508" t="s">
        <v>52</v>
      </c>
      <c r="B5508" s="45" t="s">
        <v>64</v>
      </c>
    </row>
    <row r="5509" spans="1:2" x14ac:dyDescent="0.2">
      <c r="A5509" t="s">
        <v>48</v>
      </c>
      <c r="B5509" s="45" t="s">
        <v>914</v>
      </c>
    </row>
    <row r="5510" spans="1:2" x14ac:dyDescent="0.2">
      <c r="A5510" t="s">
        <v>54</v>
      </c>
      <c r="B5510" s="45" t="str">
        <f>INDEX(overview!$B$4:$R$338,MATCH('hydrogen - electrolysis'!B5509,overview!$A$4:$A$338,0),MATCH('hydrogen - electrolysis'!A5510,overview!$B$3:$R$3,0))</f>
        <v>electricity, from residential heating system</v>
      </c>
    </row>
    <row r="5511" spans="1:2" x14ac:dyDescent="0.2">
      <c r="A5511" t="s">
        <v>55</v>
      </c>
      <c r="B5511" s="45" t="str">
        <f>INDEX(overview!$B$4:$R$338,MATCH('hydrogen - electrolysis'!B5509,overview!$A$4:$A$338,0),MATCH('hydrogen - electrolysis'!A5511,overview!$B$3:$R$3,0))</f>
        <v>kilowatt hour</v>
      </c>
    </row>
    <row r="5512" spans="1:2" x14ac:dyDescent="0.2">
      <c r="A5512" t="s">
        <v>0</v>
      </c>
      <c r="B5512" s="45" t="str">
        <f>INDEX(overview!$B$4:$R$338,MATCH('hydrogen - electrolysis'!B5509,overview!$A$4:$A$338,0),MATCH('hydrogen - electrolysis'!A5512,overview!$B$3:$R$3,0))</f>
        <v>Switzerland</v>
      </c>
    </row>
    <row r="5513" spans="1:2" x14ac:dyDescent="0.2">
      <c r="A5513" t="s">
        <v>1</v>
      </c>
      <c r="B5513" s="45">
        <f>INDEX(overview!$B$4:$R$338,MATCH('hydrogen - electrolysis'!B5509,overview!$A$4:$A$338,0),MATCH('hydrogen - electrolysis'!A5513,overview!$B$3:$R$3,0))</f>
        <v>2020</v>
      </c>
    </row>
    <row r="5514" spans="1:2" x14ac:dyDescent="0.2">
      <c r="A5514" t="s">
        <v>2</v>
      </c>
      <c r="B5514" s="45" t="str">
        <f>INDEX(overview!$B$4:$R$338,MATCH('hydrogen - electrolysis'!B5509,overview!$A$4:$A$338,0),MATCH('hydrogen - electrolysis'!A5514,overview!$B$3:$R$3,0))</f>
        <v>1 kWh electricity</v>
      </c>
    </row>
    <row r="5515" spans="1:2" x14ac:dyDescent="0.2">
      <c r="A5515" t="s">
        <v>5</v>
      </c>
      <c r="B5515" s="45" t="str">
        <f>INDEX(overview!$B$4:$R$338,MATCH('hydrogen - electrolysis'!B5509,overview!$A$4:$A$338,0),MATCH('hydrogen - electrolysis'!A5515,overview!$B$3:$R$3,0))</f>
        <v>hydrogen</v>
      </c>
    </row>
    <row r="5516" spans="1:2" x14ac:dyDescent="0.2">
      <c r="A5516" t="s">
        <v>3</v>
      </c>
      <c r="B5516" s="45" t="str">
        <f>INDEX(overview!$B$4:$R$338,MATCH('hydrogen - electrolysis'!B5509,overview!$A$4:$A$338,0),MATCH('hydrogen - electrolysis'!A5516,overview!$B$3:$R$3,0))</f>
        <v>conversion</v>
      </c>
    </row>
    <row r="5517" spans="1:2" x14ac:dyDescent="0.2">
      <c r="A5517" t="s">
        <v>6</v>
      </c>
      <c r="B5517" s="45" t="str">
        <f>INDEX(overview!$B$4:$R$338,MATCH('hydrogen - electrolysis'!B5509,overview!$A$4:$A$338,0),MATCH('hydrogen - electrolysis'!A5517,overview!$B$3:$R$3,0))</f>
        <v>fuel cell, PEM</v>
      </c>
    </row>
    <row r="5518" spans="1:2" x14ac:dyDescent="0.2">
      <c r="A5518" t="s">
        <v>39</v>
      </c>
      <c r="B5518" s="45" t="str">
        <f>INDEX(overview!$B$4:$R$338,MATCH('hydrogen - electrolysis'!B5509,overview!$A$4:$A$338,0),MATCH('hydrogen - electrolysis'!A5518,overview!$B$3:$R$3,0))</f>
        <v>exergy</v>
      </c>
    </row>
    <row r="5519" spans="1:2" x14ac:dyDescent="0.2">
      <c r="A5519" t="s">
        <v>4</v>
      </c>
      <c r="B5519" s="45" t="str">
        <f>INDEX(overview!$B$4:$R$338,MATCH('hydrogen - electrolysis'!B5509,overview!$A$4:$A$338,0),MATCH('hydrogen - electrolysis'!A5519,overview!$B$3:$R$3,0))</f>
        <v>pipeline</v>
      </c>
    </row>
    <row r="5520" spans="1:2" x14ac:dyDescent="0.2">
      <c r="A5520" t="s">
        <v>38</v>
      </c>
      <c r="B5520" s="45">
        <f>INDEX(overview!$B$4:$R$338,MATCH('hydrogen - electrolysis'!B5509,overview!$A$4:$A$338,0),MATCH('hydrogen - electrolysis'!A5520,overview!$B$3:$R$3,0))</f>
        <v>1700</v>
      </c>
    </row>
    <row r="5521" spans="1:2" x14ac:dyDescent="0.2">
      <c r="A5521" t="s">
        <v>12</v>
      </c>
      <c r="B5521" s="45" t="str">
        <f>INDEX(overview!$B$4:$R$338,MATCH('hydrogen - electrolysis'!B5509,overview!$A$4:$A$338,0),MATCH('hydrogen - electrolysis'!A5521,overview!$B$3:$R$3,0))</f>
        <v>Pressure vessel for stationary storage</v>
      </c>
    </row>
    <row r="5522" spans="1:2" x14ac:dyDescent="0.2">
      <c r="A5522" t="s">
        <v>34</v>
      </c>
      <c r="B5522" s="45">
        <f>INDEX(overview!$B$4:$R$338,MATCH('hydrogen - electrolysis'!B5509,overview!$A$4:$A$338,0),MATCH('hydrogen - electrolysis'!A5522,overview!$B$3:$R$3,0))</f>
        <v>0</v>
      </c>
    </row>
    <row r="5523" spans="1:2" x14ac:dyDescent="0.2">
      <c r="A5523" t="s">
        <v>15</v>
      </c>
      <c r="B5523" s="45" t="str">
        <f>INDEX(overview!$B$4:$R$338,MATCH('hydrogen - electrolysis'!B5509,overview!$A$4:$A$338,0),MATCH('hydrogen - electrolysis'!A5523,overview!$B$3:$R$3,0))</f>
        <v>Electrolysis, SOEC</v>
      </c>
    </row>
    <row r="5524" spans="1:2" x14ac:dyDescent="0.2">
      <c r="A5524" t="s">
        <v>14</v>
      </c>
      <c r="B5524" s="45" t="str">
        <f>INDEX(overview!$B$4:$R$338,MATCH('hydrogen - electrolysis'!B5509,overview!$A$4:$A$338,0),MATCH('hydrogen - electrolysis'!A5524,overview!$B$3:$R$3,0))</f>
        <v>water and electricity</v>
      </c>
    </row>
    <row r="5525" spans="1:2" x14ac:dyDescent="0.2">
      <c r="A5525" t="s">
        <v>26</v>
      </c>
      <c r="B5525" s="45" t="str">
        <f>INDEX(overview!$B$4:$R$338,MATCH('hydrogen - electrolysis'!B5509,overview!$A$4:$A$338,0),MATCH('hydrogen - electrolysis'!A5525,overview!$B$3:$R$3,0))</f>
        <v>Solar PV (IT)</v>
      </c>
    </row>
    <row r="5526" spans="1:2" x14ac:dyDescent="0.2">
      <c r="A5526" t="s">
        <v>29</v>
      </c>
      <c r="B5526" s="45">
        <f>INDEX(overview!$B$4:$R$338,MATCH('hydrogen - electrolysis'!B5509,overview!$A$4:$A$338,0),MATCH('hydrogen - electrolysis'!A5526,overview!$B$3:$R$3,0))</f>
        <v>0</v>
      </c>
    </row>
    <row r="5527" spans="1:2" x14ac:dyDescent="0.2">
      <c r="A5527" t="str">
        <f>IF(B5511="megajoule","Heat","Electricity")&amp;" conversion efficiency [% LHV input]"</f>
        <v>Electricity conversion efficiency [% LHV input]</v>
      </c>
      <c r="B5527" s="46">
        <f>INDEX(parameters!$D$4:$N$20,MATCH('hydrogen - electrolysis'!B5515&amp;'hydrogen - electrolysis'!B5517,parameters!$A$4:$A$20,0),MATCH('hydrogen - electrolysis'!A5527,parameters!$D$3:$N$3,0))</f>
        <v>0.45</v>
      </c>
    </row>
    <row r="5528" spans="1:2" x14ac:dyDescent="0.2">
      <c r="A5528" t="str">
        <f>IF(B5511="megajoule","LHV [MJ/kg]","LHV [kWh/kg]")</f>
        <v>LHV [kWh/kg]</v>
      </c>
      <c r="B5528" s="47">
        <f>INDEX(parameters!$D$4:$N$20,MATCH('hydrogen - electrolysis'!B5515&amp;'hydrogen - electrolysis'!B5517,parameters!$A$4:$A$20,0),MATCH('hydrogen - electrolysis'!A5528,parameters!$D$3:$N$3,0))</f>
        <v>33.333333333333336</v>
      </c>
    </row>
    <row r="5529" spans="1:2" x14ac:dyDescent="0.2">
      <c r="A5529" t="s">
        <v>41</v>
      </c>
      <c r="B5529" s="48">
        <f>INDEX(parameters!$D$4:$N$20,MATCH('hydrogen - electrolysis'!B5515&amp;'hydrogen - electrolysis'!B5517,parameters!$A$4:$A$20,0),MATCH('hydrogen - electrolysis'!A5529,parameters!$D$3:$N$3,0))</f>
        <v>2.6666666666666665E-2</v>
      </c>
    </row>
    <row r="5530" spans="1:2" x14ac:dyDescent="0.2">
      <c r="A5530" t="s">
        <v>45</v>
      </c>
      <c r="B5530" s="46">
        <f>INDEX(parameters!$D$4:$N$20,MATCH('hydrogen - electrolysis'!B5515&amp;'hydrogen - electrolysis'!B5517,parameters!$A$4:$A$20,0),MATCH('hydrogen - electrolysis'!A5530,parameters!$D$3:$N$3,0))</f>
        <v>0</v>
      </c>
    </row>
    <row r="5531" spans="1:2" x14ac:dyDescent="0.2">
      <c r="A5531" t="s">
        <v>46</v>
      </c>
      <c r="B5531" s="46">
        <f>INDEX(parameters!$D$4:$N$20,MATCH('hydrogen - electrolysis'!B5515&amp;'hydrogen - electrolysis'!B5517,parameters!$A$4:$A$20,0),MATCH('hydrogen - electrolysis'!A5531,parameters!$D$3:$N$3,0))</f>
        <v>1.4999999999999999E-2</v>
      </c>
    </row>
    <row r="5532" spans="1:2" x14ac:dyDescent="0.2">
      <c r="A5532" t="s">
        <v>43</v>
      </c>
      <c r="B5532" s="46">
        <f>INDEX(parameters!$D$4:$N$20,MATCH('hydrogen - electrolysis'!B5515&amp;'hydrogen - electrolysis'!B5517,parameters!$A$4:$A$20,0),MATCH('hydrogen - electrolysis'!A5532,parameters!$D$3:$N$3,0))</f>
        <v>0</v>
      </c>
    </row>
    <row r="5533" spans="1:2" x14ac:dyDescent="0.2">
      <c r="A5533" t="s">
        <v>44</v>
      </c>
      <c r="B5533" s="46">
        <f>INDEX(parameters!$D$4:$N$20,MATCH('hydrogen - electrolysis'!B5515&amp;'hydrogen - electrolysis'!B5517,parameters!$A$4:$A$20,0),MATCH('hydrogen - electrolysis'!A5533,parameters!$D$3:$N$3,0))</f>
        <v>0</v>
      </c>
    </row>
    <row r="5534" spans="1:2" x14ac:dyDescent="0.2">
      <c r="A5534" t="s">
        <v>634</v>
      </c>
      <c r="B5534" s="51">
        <f>INDEX(parameters!$D$4:$Y$20,MATCH('hydrogen - electrolysis'!B5515&amp;'hydrogen - electrolysis'!B5517,parameters!$A$4:$A$20,0),MATCH('hydrogen - electrolysis'!A5534,parameters!$D$3:$Y$3,0))</f>
        <v>1.8947368421052633</v>
      </c>
    </row>
    <row r="5535" spans="1:2" x14ac:dyDescent="0.2">
      <c r="A5535" t="s">
        <v>82</v>
      </c>
      <c r="B5535" s="46">
        <f>IF(B5526&lt;&gt;0,VLOOKUP(B5526,parameters!A3591:B3593,2,0),0)</f>
        <v>0</v>
      </c>
    </row>
    <row r="5536" spans="1:2" x14ac:dyDescent="0.2">
      <c r="A5536" t="s">
        <v>548</v>
      </c>
      <c r="B5536" s="50">
        <f>INDEX(parameters!$D$4:$P$20,MATCH(B5515&amp;B5517,parameters!$A$4:$A$20,0),MATCH(A5536,parameters!$D$3:$P$3,0))</f>
        <v>0.8</v>
      </c>
    </row>
    <row r="5537" spans="1:22" x14ac:dyDescent="0.2">
      <c r="A5537" t="s">
        <v>547</v>
      </c>
      <c r="B5537" s="51">
        <f>INDEX(parameters!$D$4:$P$20,MATCH(B5515&amp;B5517,parameters!$A$4:$A$20,0),MATCH(A5537,parameters!$D$3:$P$3,0))</f>
        <v>4.8780487804878048</v>
      </c>
    </row>
    <row r="5538" spans="1:22" x14ac:dyDescent="0.2">
      <c r="A5538" t="s">
        <v>630</v>
      </c>
      <c r="B5538" s="51">
        <f>INDEX(parameters!$D$4:$T$20,MATCH(B5515&amp;B5517,parameters!$A$4:$A$20,0),MATCH(A5538,parameters!$D$3:$T$3,0))</f>
        <v>4100</v>
      </c>
    </row>
    <row r="5539" spans="1:22" x14ac:dyDescent="0.2">
      <c r="A5539" t="s">
        <v>1005</v>
      </c>
      <c r="B5539" s="50">
        <f>IF(B5511="megajoule",SUMIFS(allocation!$I$4:$I$30,allocation!$B$4:$B$30,B5517,allocation!$C$4:$C$30,B5518),SUMIFS(allocation!$J$4:$J$30,allocation!$B$4:$B$30,B5517,allocation!$C$4:$C$30,B5518))</f>
        <v>0.86066019201025545</v>
      </c>
    </row>
    <row r="5540" spans="1:22" x14ac:dyDescent="0.2">
      <c r="A5540" t="s">
        <v>1050</v>
      </c>
      <c r="B5540" s="51">
        <f>INDEX(parameters!$D$4:$AB$20,MATCH(B5515&amp;B5517,parameters!$A$4:$A$20,0),MATCH(A5540,parameters!$D$3:$AB$3,0))</f>
        <v>10.221606648199446</v>
      </c>
    </row>
    <row r="5542" spans="1:22" x14ac:dyDescent="0.2">
      <c r="A5542" s="3" t="s">
        <v>57</v>
      </c>
    </row>
    <row r="5543" spans="1:22" x14ac:dyDescent="0.2">
      <c r="A5543" s="2" t="s">
        <v>58</v>
      </c>
      <c r="B5543" s="44" t="s">
        <v>59</v>
      </c>
      <c r="C5543" s="2" t="s">
        <v>55</v>
      </c>
      <c r="D5543" s="2" t="s">
        <v>60</v>
      </c>
      <c r="E5543" s="2" t="s">
        <v>52</v>
      </c>
      <c r="F5543" s="2" t="s">
        <v>61</v>
      </c>
      <c r="G5543" s="2" t="s">
        <v>54</v>
      </c>
      <c r="H5543" s="2" t="s">
        <v>87</v>
      </c>
      <c r="I5543" s="2" t="s">
        <v>51</v>
      </c>
      <c r="J5543" s="2" t="s">
        <v>138</v>
      </c>
      <c r="K5543" s="2" t="s">
        <v>136</v>
      </c>
      <c r="L5543" s="2" t="s">
        <v>221</v>
      </c>
      <c r="M5543" s="2" t="s">
        <v>379</v>
      </c>
      <c r="N5543" s="2" t="s">
        <v>1059</v>
      </c>
      <c r="O5543" s="2" t="s">
        <v>1060</v>
      </c>
      <c r="P5543" s="2" t="s">
        <v>1061</v>
      </c>
      <c r="Q5543" s="2" t="s">
        <v>1062</v>
      </c>
      <c r="R5543" s="2" t="s">
        <v>1063</v>
      </c>
      <c r="S5543" s="2" t="s">
        <v>1064</v>
      </c>
      <c r="T5543" s="2" t="s">
        <v>1065</v>
      </c>
      <c r="U5543" s="2" t="s">
        <v>380</v>
      </c>
      <c r="V5543" s="2" t="s">
        <v>1128</v>
      </c>
    </row>
    <row r="5544" spans="1:22" x14ac:dyDescent="0.2">
      <c r="A5544" t="str">
        <f>B5505</f>
        <v>electricity, residential, by conversion of hydrogen using fuel cell, PEM, allocated by exergy, transported by pipeline, produced by Electrolysis, SOEC using water and electricity from Solar PV (IT)</v>
      </c>
      <c r="B5544" s="45">
        <v>1</v>
      </c>
      <c r="C5544" t="str">
        <f>B5511</f>
        <v>kilowatt hour</v>
      </c>
      <c r="E5544" t="str">
        <f>B5508</f>
        <v>CH</v>
      </c>
      <c r="F5544" t="s">
        <v>62</v>
      </c>
      <c r="G5544" t="str">
        <f>B5510</f>
        <v>electricity, from residential heating system</v>
      </c>
      <c r="K5544" t="str">
        <f>B5505</f>
        <v>electricity, residential, by conversion of hydrogen using fuel cell, PEM, allocated by exergy, transported by pipeline, produced by Electrolysis, SOEC using water and electricity from Solar PV (IT)</v>
      </c>
    </row>
    <row r="5545" spans="1:22" x14ac:dyDescent="0.2">
      <c r="A5545" t="str">
        <f>VLOOKUP(J5545,'dataset mapping'!$A$4:$E$69,2,0)</f>
        <v>fuel cell system assembly, 1 kWe, proton exchange membrane (PEM)</v>
      </c>
      <c r="B5545" s="52">
        <f>(1/(B5534*B5538*B5537))*B5539</f>
        <v>2.2711866178048405E-5</v>
      </c>
      <c r="C5545" t="str">
        <f>VLOOKUP(J5545,'dataset mapping'!$A$4:$E$69,5,0)</f>
        <v>unit</v>
      </c>
      <c r="E5545" t="str">
        <f>VLOOKUP(J5545,'dataset mapping'!$A$4:$E$69,4,0)</f>
        <v>GLO</v>
      </c>
      <c r="F5545" t="s">
        <v>86</v>
      </c>
      <c r="G5545" t="str">
        <f>VLOOKUP(J5545,'dataset mapping'!$A$4:$E$69,3,0)</f>
        <v>fuel cell system, 1 kWe, proton exchange membrane (PEM)</v>
      </c>
      <c r="H5545" t="s">
        <v>88</v>
      </c>
      <c r="I5545" t="s">
        <v>272</v>
      </c>
      <c r="J5545" t="s">
        <v>273</v>
      </c>
      <c r="K5545" t="str">
        <f>B5505</f>
        <v>electricity, residential, by conversion of hydrogen using fuel cell, PEM, allocated by exergy, transported by pipeline, produced by Electrolysis, SOEC using water and electricity from Solar PV (IT)</v>
      </c>
      <c r="L5545">
        <f>IF(OR(B5545&lt;0,B5545=0),1,2)</f>
        <v>2</v>
      </c>
      <c r="M5545">
        <f>IF(L5545=2,LN(B5545),"")</f>
        <v>-10.692623030936341</v>
      </c>
      <c r="N5545">
        <v>1</v>
      </c>
      <c r="O5545" s="15">
        <v>1.2</v>
      </c>
      <c r="P5545">
        <v>1</v>
      </c>
      <c r="Q5545">
        <v>1.01</v>
      </c>
      <c r="R5545">
        <v>1.2</v>
      </c>
      <c r="S5545">
        <v>1.2</v>
      </c>
      <c r="T5545">
        <v>3</v>
      </c>
      <c r="U5545">
        <f>LN(SQRT(EXP(
SQRT(
+POWER(LN(N5545),2)
+POWER(LN(O5545),2)
+POWER(LN(P5545),2)
+POWER(LN(Q5545),2)
+POWER(LN(R5545),2)
+POWER(LN(S5545),2)
+POWER(LN(T5545),2)
)
)))</f>
        <v>0.57157051623399524</v>
      </c>
    </row>
    <row r="5546" spans="1:22" x14ac:dyDescent="0.2">
      <c r="A5546" s="45" t="str">
        <f>"hydrogen supply, transported by "&amp;B5519&amp;", produced by "&amp;B5523&amp;" using "&amp;B5524&amp;" from "&amp;B5525</f>
        <v>hydrogen supply, transported by pipeline, produced by Electrolysis, SOEC using water and electricity from Solar PV (IT)</v>
      </c>
      <c r="B5546" s="53">
        <f>(B5544/B5528)/B5527*B5539</f>
        <v>5.7377346134017029E-2</v>
      </c>
      <c r="C5546" t="s">
        <v>56</v>
      </c>
      <c r="E5546" t="s">
        <v>64</v>
      </c>
      <c r="F5546" t="s">
        <v>86</v>
      </c>
      <c r="G5546" t="str">
        <f>"hydrogen, gaseous, from "&amp;B5519</f>
        <v>hydrogen, gaseous, from pipeline</v>
      </c>
      <c r="H5546" t="s">
        <v>76</v>
      </c>
      <c r="I5546" t="s">
        <v>1054</v>
      </c>
      <c r="J5546" t="s">
        <v>638</v>
      </c>
      <c r="K5546" t="str">
        <f>B5505</f>
        <v>electricity, residential, by conversion of hydrogen using fuel cell, PEM, allocated by exergy, transported by pipeline, produced by Electrolysis, SOEC using water and electricity from Solar PV (IT)</v>
      </c>
      <c r="L5546">
        <f>IF(OR(B5546&lt;0,B5546=0),1,2)</f>
        <v>2</v>
      </c>
      <c r="M5546">
        <f>IF(L5546=2,LN(B5546),"")</f>
        <v>-2.8581057202127536</v>
      </c>
      <c r="N5546">
        <v>1</v>
      </c>
      <c r="O5546" s="15">
        <v>1.2</v>
      </c>
      <c r="P5546">
        <v>1</v>
      </c>
      <c r="Q5546">
        <v>1.01</v>
      </c>
      <c r="R5546">
        <v>1.2</v>
      </c>
      <c r="S5546">
        <v>1.2</v>
      </c>
      <c r="T5546">
        <v>1.05</v>
      </c>
      <c r="U5546">
        <f>LN(SQRT(EXP(
SQRT(
+POWER(LN(N5546),2)
+POWER(LN(O5546),2)
+POWER(LN(P5546),2)
+POWER(LN(Q5546),2)
+POWER(LN(R5546),2)
+POWER(LN(S5546),2)
+POWER(LN(T5546),2)
)
)))</f>
        <v>0.15984597228197622</v>
      </c>
    </row>
    <row r="5547" spans="1:22" x14ac:dyDescent="0.2">
      <c r="A5547" t="s">
        <v>134</v>
      </c>
      <c r="B5547" s="53">
        <f>B5546*9</f>
        <v>0.51639611520615325</v>
      </c>
      <c r="C5547" t="s">
        <v>56</v>
      </c>
      <c r="D5547" t="s">
        <v>100</v>
      </c>
      <c r="F5547" t="s">
        <v>99</v>
      </c>
      <c r="H5547" t="s">
        <v>131</v>
      </c>
      <c r="I5547" t="s">
        <v>1057</v>
      </c>
      <c r="K5547" t="str">
        <f>B5505</f>
        <v>electricity, residential, by conversion of hydrogen using fuel cell, PEM, allocated by exergy, transported by pipeline, produced by Electrolysis, SOEC using water and electricity from Solar PV (IT)</v>
      </c>
      <c r="L5547">
        <f>IF(OR(B5547&lt;0,B5547=0),1,2)</f>
        <v>2</v>
      </c>
      <c r="M5547">
        <f>IF(L5547=2,LN(B5547),"")</f>
        <v>-0.6608811428765341</v>
      </c>
      <c r="N5547">
        <v>1</v>
      </c>
      <c r="O5547" s="15">
        <v>1.2</v>
      </c>
      <c r="P5547">
        <v>1</v>
      </c>
      <c r="Q5547">
        <v>1.01</v>
      </c>
      <c r="R5547">
        <v>1.2</v>
      </c>
      <c r="S5547">
        <v>1.2</v>
      </c>
      <c r="T5547">
        <v>1.05</v>
      </c>
      <c r="U5547">
        <f>LN(SQRT(EXP(
SQRT(
+POWER(LN(N5547),2)
+POWER(LN(O5547),2)
+POWER(LN(P5547),2)
+POWER(LN(Q5547),2)
+POWER(LN(R5547),2)
+POWER(LN(S5547),2)
+POWER(LN(T5547),2)
)
)))</f>
        <v>0.15984597228197622</v>
      </c>
    </row>
    <row r="5549" spans="1:22" x14ac:dyDescent="0.2">
      <c r="A5549" s="2" t="s">
        <v>50</v>
      </c>
      <c r="B5549" s="44" t="str">
        <f>IF(B5555="megajoule","heat","electricity")&amp;", residential, by "&amp;B5560&amp;" of "&amp;B5559&amp;" using "&amp;B5561&amp;IF(B5562&lt;&gt;0,", allocated by "&amp;B5562,"")&amp;", transported by "&amp;B5563&amp;", produced by "&amp;B5567&amp;" using "&amp;B5568&amp;" from "&amp;B5569</f>
        <v>electricity, residential, by conversion of hydrogen using fuel cell, SOFC, allocated by exergy, transported by pipeline, produced by Electrolysis, SOEC using water and electricity from Solar PV (IT)</v>
      </c>
    </row>
    <row r="5550" spans="1:22" x14ac:dyDescent="0.2">
      <c r="A5550" t="s">
        <v>51</v>
      </c>
      <c r="B5550" s="45" t="str">
        <f>"This dataset represents the supply of 1 "&amp;IF(B5555="megajoule","megajoule of heat","kilowatt hour of electricity")&amp;" in a residence, by "&amp;B5559&amp;" "&amp;B5560&amp;" in a "&amp;B5561&amp;". "&amp;" The hydrogen is transported by "&amp;B5563&amp;" over "&amp;B5564&amp;" km from regional storage. "&amp;" The "&amp;B5559&amp;" is produced by  "&amp;B5567&amp;", with "&amp;B5568&amp;" from "&amp;B5569&amp;" as feedstock. "&amp;A5571&amp;": "&amp;(B5571*100)&amp;"%. "&amp;A5572&amp;": "&amp;B5572&amp;". "&amp;A5573&amp;": "&amp;B5573&amp;". "&amp;A5574&amp;": "&amp;(B5574*100)&amp;"%. "&amp;A5575&amp;": "&amp;(B5575*100)&amp;"%. "&amp;A5576&amp;": "&amp;(B5576*100)&amp;"%. "&amp;A5577&amp;": "&amp;B5577&amp;". "&amp;A5578&amp;": "&amp;B5578&amp;". "&amp;A5579&amp;": "&amp;(B5579*100)&amp;"%. "&amp;A5580&amp;": "&amp;B5580&amp;". "&amp;A5581&amp;": "&amp;B5581&amp;". "&amp;A5582&amp;": "&amp;B5582&amp;". "&amp;A5583&amp;": "&amp;B5583&amp;".  For more information, refer to: "&amp;B5551</f>
        <v>This dataset represents the supply of 1 kilowatt hour of electricity in a residence, by hydrogen conversion in a fuel cell, SOFC.  The hydrogen is transported by pipeline over 1700 km from regional storage.  The hydrogen is produced by  Electrolysis, SOEC,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5551" spans="1:22" x14ac:dyDescent="0.2">
      <c r="A5551" t="s">
        <v>63</v>
      </c>
      <c r="B5551" s="45" t="s">
        <v>1223</v>
      </c>
    </row>
    <row r="5552" spans="1:22" x14ac:dyDescent="0.2">
      <c r="A5552" t="s">
        <v>52</v>
      </c>
      <c r="B5552" s="45" t="s">
        <v>64</v>
      </c>
    </row>
    <row r="5553" spans="1:2" x14ac:dyDescent="0.2">
      <c r="A5553" t="s">
        <v>48</v>
      </c>
      <c r="B5553" s="45" t="s">
        <v>915</v>
      </c>
    </row>
    <row r="5554" spans="1:2" x14ac:dyDescent="0.2">
      <c r="A5554" t="s">
        <v>54</v>
      </c>
      <c r="B5554" s="45" t="str">
        <f>INDEX(overview!$B$4:$R$338,MATCH('hydrogen - electrolysis'!B5553,overview!$A$4:$A$338,0),MATCH('hydrogen - electrolysis'!A5554,overview!$B$3:$R$3,0))</f>
        <v>electricity, from residential heating system</v>
      </c>
    </row>
    <row r="5555" spans="1:2" x14ac:dyDescent="0.2">
      <c r="A5555" t="s">
        <v>55</v>
      </c>
      <c r="B5555" s="45" t="str">
        <f>INDEX(overview!$B$4:$R$338,MATCH('hydrogen - electrolysis'!B5553,overview!$A$4:$A$338,0),MATCH('hydrogen - electrolysis'!A5555,overview!$B$3:$R$3,0))</f>
        <v>kilowatt hour</v>
      </c>
    </row>
    <row r="5556" spans="1:2" x14ac:dyDescent="0.2">
      <c r="A5556" t="s">
        <v>0</v>
      </c>
      <c r="B5556" s="45" t="str">
        <f>INDEX(overview!$B$4:$R$338,MATCH('hydrogen - electrolysis'!B5553,overview!$A$4:$A$338,0),MATCH('hydrogen - electrolysis'!A5556,overview!$B$3:$R$3,0))</f>
        <v>Switzerland</v>
      </c>
    </row>
    <row r="5557" spans="1:2" x14ac:dyDescent="0.2">
      <c r="A5557" t="s">
        <v>1</v>
      </c>
      <c r="B5557" s="45">
        <f>INDEX(overview!$B$4:$R$338,MATCH('hydrogen - electrolysis'!B5553,overview!$A$4:$A$338,0),MATCH('hydrogen - electrolysis'!A5557,overview!$B$3:$R$3,0))</f>
        <v>2020</v>
      </c>
    </row>
    <row r="5558" spans="1:2" x14ac:dyDescent="0.2">
      <c r="A5558" t="s">
        <v>2</v>
      </c>
      <c r="B5558" s="45" t="str">
        <f>INDEX(overview!$B$4:$R$338,MATCH('hydrogen - electrolysis'!B5553,overview!$A$4:$A$338,0),MATCH('hydrogen - electrolysis'!A5558,overview!$B$3:$R$3,0))</f>
        <v>1 kWh electricity</v>
      </c>
    </row>
    <row r="5559" spans="1:2" x14ac:dyDescent="0.2">
      <c r="A5559" t="s">
        <v>5</v>
      </c>
      <c r="B5559" s="45" t="str">
        <f>INDEX(overview!$B$4:$R$338,MATCH('hydrogen - electrolysis'!B5553,overview!$A$4:$A$338,0),MATCH('hydrogen - electrolysis'!A5559,overview!$B$3:$R$3,0))</f>
        <v>hydrogen</v>
      </c>
    </row>
    <row r="5560" spans="1:2" x14ac:dyDescent="0.2">
      <c r="A5560" t="s">
        <v>3</v>
      </c>
      <c r="B5560" s="45" t="str">
        <f>INDEX(overview!$B$4:$R$338,MATCH('hydrogen - electrolysis'!B5553,overview!$A$4:$A$338,0),MATCH('hydrogen - electrolysis'!A5560,overview!$B$3:$R$3,0))</f>
        <v>conversion</v>
      </c>
    </row>
    <row r="5561" spans="1:2" x14ac:dyDescent="0.2">
      <c r="A5561" t="s">
        <v>6</v>
      </c>
      <c r="B5561" s="45" t="str">
        <f>INDEX(overview!$B$4:$R$338,MATCH('hydrogen - electrolysis'!B5553,overview!$A$4:$A$338,0),MATCH('hydrogen - electrolysis'!A5561,overview!$B$3:$R$3,0))</f>
        <v>fuel cell, SOFC</v>
      </c>
    </row>
    <row r="5562" spans="1:2" x14ac:dyDescent="0.2">
      <c r="A5562" t="s">
        <v>39</v>
      </c>
      <c r="B5562" s="45" t="str">
        <f>INDEX(overview!$B$4:$R$338,MATCH('hydrogen - electrolysis'!B5553,overview!$A$4:$A$338,0),MATCH('hydrogen - electrolysis'!A5562,overview!$B$3:$R$3,0))</f>
        <v>exergy</v>
      </c>
    </row>
    <row r="5563" spans="1:2" x14ac:dyDescent="0.2">
      <c r="A5563" t="s">
        <v>4</v>
      </c>
      <c r="B5563" s="45" t="str">
        <f>INDEX(overview!$B$4:$R$338,MATCH('hydrogen - electrolysis'!B5553,overview!$A$4:$A$338,0),MATCH('hydrogen - electrolysis'!A5563,overview!$B$3:$R$3,0))</f>
        <v>pipeline</v>
      </c>
    </row>
    <row r="5564" spans="1:2" x14ac:dyDescent="0.2">
      <c r="A5564" t="s">
        <v>38</v>
      </c>
      <c r="B5564" s="45">
        <f>INDEX(overview!$B$4:$R$338,MATCH('hydrogen - electrolysis'!B5553,overview!$A$4:$A$338,0),MATCH('hydrogen - electrolysis'!A5564,overview!$B$3:$R$3,0))</f>
        <v>1700</v>
      </c>
    </row>
    <row r="5565" spans="1:2" x14ac:dyDescent="0.2">
      <c r="A5565" t="s">
        <v>12</v>
      </c>
      <c r="B5565" s="45" t="str">
        <f>INDEX(overview!$B$4:$R$338,MATCH('hydrogen - electrolysis'!B5553,overview!$A$4:$A$338,0),MATCH('hydrogen - electrolysis'!A5565,overview!$B$3:$R$3,0))</f>
        <v>Pressure vessel for stationary storage</v>
      </c>
    </row>
    <row r="5566" spans="1:2" x14ac:dyDescent="0.2">
      <c r="A5566" t="s">
        <v>34</v>
      </c>
      <c r="B5566" s="45">
        <f>INDEX(overview!$B$4:$R$338,MATCH('hydrogen - electrolysis'!B5553,overview!$A$4:$A$338,0),MATCH('hydrogen - electrolysis'!A5566,overview!$B$3:$R$3,0))</f>
        <v>0</v>
      </c>
    </row>
    <row r="5567" spans="1:2" x14ac:dyDescent="0.2">
      <c r="A5567" t="s">
        <v>15</v>
      </c>
      <c r="B5567" s="45" t="str">
        <f>INDEX(overview!$B$4:$R$338,MATCH('hydrogen - electrolysis'!B5553,overview!$A$4:$A$338,0),MATCH('hydrogen - electrolysis'!A5567,overview!$B$3:$R$3,0))</f>
        <v>Electrolysis, SOEC</v>
      </c>
    </row>
    <row r="5568" spans="1:2" x14ac:dyDescent="0.2">
      <c r="A5568" t="s">
        <v>14</v>
      </c>
      <c r="B5568" s="45" t="str">
        <f>INDEX(overview!$B$4:$R$338,MATCH('hydrogen - electrolysis'!B5553,overview!$A$4:$A$338,0),MATCH('hydrogen - electrolysis'!A5568,overview!$B$3:$R$3,0))</f>
        <v>water and electricity</v>
      </c>
    </row>
    <row r="5569" spans="1:4" x14ac:dyDescent="0.2">
      <c r="A5569" t="s">
        <v>26</v>
      </c>
      <c r="B5569" s="45" t="str">
        <f>INDEX(overview!$B$4:$R$338,MATCH('hydrogen - electrolysis'!B5553,overview!$A$4:$A$338,0),MATCH('hydrogen - electrolysis'!A5569,overview!$B$3:$R$3,0))</f>
        <v>Solar PV (IT)</v>
      </c>
    </row>
    <row r="5570" spans="1:4" x14ac:dyDescent="0.2">
      <c r="A5570" t="s">
        <v>29</v>
      </c>
      <c r="B5570" s="45">
        <f>INDEX(overview!$B$4:$R$338,MATCH('hydrogen - electrolysis'!B5553,overview!$A$4:$A$338,0),MATCH('hydrogen - electrolysis'!A5570,overview!$B$3:$R$3,0))</f>
        <v>0</v>
      </c>
    </row>
    <row r="5571" spans="1:4" x14ac:dyDescent="0.2">
      <c r="A5571" t="str">
        <f>IF(B5555="megajoule","Heat","Electricity")&amp;" conversion efficiency [% LHV input]"</f>
        <v>Electricity conversion efficiency [% LHV input]</v>
      </c>
      <c r="B5571" s="46">
        <f>INDEX(parameters!$D$4:$N$20,MATCH('hydrogen - electrolysis'!B5559&amp;'hydrogen - electrolysis'!B5561,parameters!$A$4:$A$20,0),MATCH('hydrogen - electrolysis'!A5571,parameters!$D$3:$N$3,0))</f>
        <v>0.47</v>
      </c>
    </row>
    <row r="5572" spans="1:4" x14ac:dyDescent="0.2">
      <c r="A5572" t="str">
        <f>IF(B5555="megajoule","LHV [MJ/kg]","LHV [kWh/kg]")</f>
        <v>LHV [kWh/kg]</v>
      </c>
      <c r="B5572" s="47">
        <f>INDEX(parameters!$D$4:$N$20,MATCH('hydrogen - electrolysis'!B5559&amp;'hydrogen - electrolysis'!B5561,parameters!$A$4:$A$20,0),MATCH('hydrogen - electrolysis'!A5572,parameters!$D$3:$N$3,0))</f>
        <v>33.333333333333336</v>
      </c>
    </row>
    <row r="5573" spans="1:4" x14ac:dyDescent="0.2">
      <c r="A5573" t="s">
        <v>41</v>
      </c>
      <c r="B5573" s="48">
        <f>INDEX(parameters!$D$4:$N$20,MATCH('hydrogen - electrolysis'!B5559&amp;'hydrogen - electrolysis'!B5561,parameters!$A$4:$A$20,0),MATCH('hydrogen - electrolysis'!A5573,parameters!$D$3:$N$3,0))</f>
        <v>2.6666666666666665E-2</v>
      </c>
    </row>
    <row r="5574" spans="1:4" x14ac:dyDescent="0.2">
      <c r="A5574" t="s">
        <v>45</v>
      </c>
      <c r="B5574" s="46">
        <f>INDEX(parameters!$D$4:$N$20,MATCH('hydrogen - electrolysis'!B5559&amp;'hydrogen - electrolysis'!B5561,parameters!$A$4:$A$20,0),MATCH('hydrogen - electrolysis'!A5574,parameters!$D$3:$N$3,0))</f>
        <v>0</v>
      </c>
    </row>
    <row r="5575" spans="1:4" x14ac:dyDescent="0.2">
      <c r="A5575" t="s">
        <v>46</v>
      </c>
      <c r="B5575" s="46">
        <f>INDEX(parameters!$D$4:$N$20,MATCH('hydrogen - electrolysis'!B5559&amp;'hydrogen - electrolysis'!B5561,parameters!$A$4:$A$20,0),MATCH('hydrogen - electrolysis'!A5575,parameters!$D$3:$N$3,0))</f>
        <v>1.4999999999999999E-2</v>
      </c>
    </row>
    <row r="5576" spans="1:4" x14ac:dyDescent="0.2">
      <c r="A5576" t="s">
        <v>43</v>
      </c>
      <c r="B5576" s="46">
        <f>INDEX(parameters!$D$4:$N$20,MATCH('hydrogen - electrolysis'!B5559&amp;'hydrogen - electrolysis'!B5561,parameters!$A$4:$A$20,0),MATCH('hydrogen - electrolysis'!A5576,parameters!$D$3:$N$3,0))</f>
        <v>0</v>
      </c>
    </row>
    <row r="5577" spans="1:4" x14ac:dyDescent="0.2">
      <c r="A5577" t="s">
        <v>44</v>
      </c>
      <c r="B5577" s="46">
        <f>INDEX(parameters!$D$4:$N$20,MATCH('hydrogen - electrolysis'!B5559&amp;'hydrogen - electrolysis'!B5561,parameters!$A$4:$A$20,0),MATCH('hydrogen - electrolysis'!A5577,parameters!$D$3:$N$3,0))</f>
        <v>0</v>
      </c>
    </row>
    <row r="5578" spans="1:4" x14ac:dyDescent="0.2">
      <c r="A5578" t="s">
        <v>634</v>
      </c>
      <c r="B5578" s="51">
        <f>INDEX(parameters!$D$4:$Y$20,MATCH('hydrogen - electrolysis'!B5559&amp;'hydrogen - electrolysis'!B5561,parameters!$A$4:$A$20,0),MATCH('hydrogen - electrolysis'!A5578,parameters!$D$3:$Y$3,0))</f>
        <v>225</v>
      </c>
      <c r="D5578" s="8"/>
    </row>
    <row r="5579" spans="1:4" x14ac:dyDescent="0.2">
      <c r="A5579" t="s">
        <v>82</v>
      </c>
      <c r="B5579" s="46">
        <f>IF(B5570&lt;&gt;0,VLOOKUP(B5570,parameters!A3640:B3642,2,0),0)</f>
        <v>0</v>
      </c>
    </row>
    <row r="5580" spans="1:4" x14ac:dyDescent="0.2">
      <c r="A5580" t="s">
        <v>548</v>
      </c>
      <c r="B5580" s="50">
        <f>INDEX(parameters!$D$4:$P$20,MATCH(B5559&amp;B5561,parameters!$A$4:$A$20,0),MATCH(A5580,parameters!$D$3:$P$3,0))</f>
        <v>100</v>
      </c>
    </row>
    <row r="5581" spans="1:4" x14ac:dyDescent="0.2">
      <c r="A5581" t="s">
        <v>547</v>
      </c>
      <c r="B5581" s="51">
        <f>INDEX(parameters!$D$4:$P$20,MATCH(B5559&amp;B5561,parameters!$A$4:$A$20,0),MATCH(A5581,parameters!$D$3:$P$3,0))</f>
        <v>6</v>
      </c>
    </row>
    <row r="5582" spans="1:4" x14ac:dyDescent="0.2">
      <c r="A5582" t="s">
        <v>630</v>
      </c>
      <c r="B5582" s="51">
        <f>INDEX(parameters!$D$4:$T$20,MATCH(B5559&amp;B5561,parameters!$A$4:$A$20,0),MATCH(A5582,parameters!$D$3:$T$3,0))</f>
        <v>4100</v>
      </c>
    </row>
    <row r="5583" spans="1:4" x14ac:dyDescent="0.2">
      <c r="A5583" t="s">
        <v>1005</v>
      </c>
      <c r="B5583" s="50">
        <f>IF(B5555="megajoule",SUMIFS(allocation!$I$4:$I$30,allocation!$B$4:$B$30,B5561,allocation!$C$4:$C$30,B5562),SUMIFS(allocation!$J$4:$J$30,allocation!$B$4:$B$30,B5561,allocation!$C$4:$C$30,B5562))</f>
        <v>0.86412493489600906</v>
      </c>
    </row>
    <row r="5584" spans="1:4" x14ac:dyDescent="0.2">
      <c r="A5584" t="s">
        <v>1050</v>
      </c>
      <c r="B5584" s="51">
        <f>INDEX(parameters!$D$4:$AB$20,MATCH(B5559&amp;B5561,parameters!$A$4:$A$20,0),MATCH(A5584,parameters!$D$3:$AB$3,0))</f>
        <v>1153.1249999999998</v>
      </c>
    </row>
    <row r="5586" spans="1:22" x14ac:dyDescent="0.2">
      <c r="A5586" s="3" t="s">
        <v>57</v>
      </c>
    </row>
    <row r="5587" spans="1:22" x14ac:dyDescent="0.2">
      <c r="A5587" s="2" t="s">
        <v>58</v>
      </c>
      <c r="B5587" s="44" t="s">
        <v>59</v>
      </c>
      <c r="C5587" s="2" t="s">
        <v>55</v>
      </c>
      <c r="D5587" s="2" t="s">
        <v>60</v>
      </c>
      <c r="E5587" s="2" t="s">
        <v>52</v>
      </c>
      <c r="F5587" s="2" t="s">
        <v>61</v>
      </c>
      <c r="G5587" s="2" t="s">
        <v>54</v>
      </c>
      <c r="H5587" s="2" t="s">
        <v>87</v>
      </c>
      <c r="I5587" s="2" t="s">
        <v>51</v>
      </c>
      <c r="J5587" s="2" t="s">
        <v>138</v>
      </c>
      <c r="K5587" s="2" t="s">
        <v>136</v>
      </c>
      <c r="L5587" s="2" t="s">
        <v>221</v>
      </c>
      <c r="M5587" s="2" t="s">
        <v>379</v>
      </c>
      <c r="N5587" s="2" t="s">
        <v>1059</v>
      </c>
      <c r="O5587" s="2" t="s">
        <v>1060</v>
      </c>
      <c r="P5587" s="2" t="s">
        <v>1061</v>
      </c>
      <c r="Q5587" s="2" t="s">
        <v>1062</v>
      </c>
      <c r="R5587" s="2" t="s">
        <v>1063</v>
      </c>
      <c r="S5587" s="2" t="s">
        <v>1064</v>
      </c>
      <c r="T5587" s="2" t="s">
        <v>1065</v>
      </c>
      <c r="U5587" s="2" t="s">
        <v>380</v>
      </c>
      <c r="V5587" s="2" t="s">
        <v>1128</v>
      </c>
    </row>
    <row r="5588" spans="1:22" x14ac:dyDescent="0.2">
      <c r="A5588" t="str">
        <f>B5549</f>
        <v>electricity, residential, by conversion of hydrogen using fuel cell, SOFC, allocated by exergy, transported by pipeline, produced by Electrolysis, SOEC using water and electricity from Solar PV (IT)</v>
      </c>
      <c r="B5588" s="45">
        <v>1</v>
      </c>
      <c r="C5588" t="str">
        <f>B5555</f>
        <v>kilowatt hour</v>
      </c>
      <c r="E5588" t="str">
        <f>B5552</f>
        <v>CH</v>
      </c>
      <c r="F5588" t="s">
        <v>62</v>
      </c>
      <c r="G5588" t="str">
        <f>B5554</f>
        <v>electricity, from residential heating system</v>
      </c>
      <c r="K5588" t="str">
        <f>B5549</f>
        <v>electricity, residential, by conversion of hydrogen using fuel cell, SOFC, allocated by exergy, transported by pipeline, produced by Electrolysis, SOEC using water and electricity from Solar PV (IT)</v>
      </c>
    </row>
    <row r="5589" spans="1:22" x14ac:dyDescent="0.2">
      <c r="A5589" t="str">
        <f>VLOOKUP(J5589,'dataset mapping'!$A$4:$E$69,2,0)</f>
        <v>fuel cell production, stack solid oxide, 125kW electrical, future</v>
      </c>
      <c r="B5589" s="52">
        <f>(1/(B5578*B5582*B5581))*B5583</f>
        <v>1.5612013277254003E-7</v>
      </c>
      <c r="C5589" t="str">
        <f>VLOOKUP(J5589,'dataset mapping'!$A$4:$E$69,5,0)</f>
        <v>unit</v>
      </c>
      <c r="E5589" t="str">
        <f>VLOOKUP(J5589,'dataset mapping'!$A$4:$E$69,4,0)</f>
        <v>CH</v>
      </c>
      <c r="F5589" t="s">
        <v>86</v>
      </c>
      <c r="G5589" t="str">
        <f>VLOOKUP(J5589,'dataset mapping'!$A$4:$E$69,3,0)</f>
        <v>fuel cell, stack solid oxide, 125kW electrical, future</v>
      </c>
      <c r="H5589" t="s">
        <v>88</v>
      </c>
      <c r="I5589" t="s">
        <v>277</v>
      </c>
      <c r="J5589" t="s">
        <v>274</v>
      </c>
      <c r="K5589" t="str">
        <f>B5549</f>
        <v>electricity, residential, by conversion of hydrogen using fuel cell, SOFC, allocated by exergy, transported by pipeline, produced by Electrolysis, SOEC using water and electricity from Solar PV (IT)</v>
      </c>
      <c r="L5589">
        <f>IF(OR(B5589&lt;0,B5589=0),1,2)</f>
        <v>2</v>
      </c>
      <c r="M5589">
        <f>IF(L5589=2,LN(B5589),"")</f>
        <v>-15.672640044182527</v>
      </c>
      <c r="N5589">
        <v>1</v>
      </c>
      <c r="O5589" s="15">
        <v>1.2</v>
      </c>
      <c r="P5589">
        <v>1</v>
      </c>
      <c r="Q5589">
        <v>1.01</v>
      </c>
      <c r="R5589">
        <v>1.2</v>
      </c>
      <c r="S5589">
        <v>1.2</v>
      </c>
      <c r="T5589">
        <v>3</v>
      </c>
      <c r="U5589">
        <f>LN(SQRT(EXP(
SQRT(
+POWER(LN(N5589),2)
+POWER(LN(O5589),2)
+POWER(LN(P5589),2)
+POWER(LN(Q5589),2)
+POWER(LN(R5589),2)
+POWER(LN(S5589),2)
+POWER(LN(T5589),2)
)
)))</f>
        <v>0.57157051623399524</v>
      </c>
    </row>
    <row r="5590" spans="1:22" x14ac:dyDescent="0.2">
      <c r="A5590" t="s">
        <v>283</v>
      </c>
      <c r="B5590" s="52">
        <f>(1/(B5578*B5582*B5581))*B5583</f>
        <v>1.5612013277254003E-7</v>
      </c>
      <c r="C5590" t="s">
        <v>55</v>
      </c>
      <c r="E5590" t="s">
        <v>64</v>
      </c>
      <c r="F5590" t="s">
        <v>86</v>
      </c>
      <c r="G5590" t="s">
        <v>284</v>
      </c>
      <c r="H5590" t="s">
        <v>88</v>
      </c>
      <c r="I5590" t="s">
        <v>277</v>
      </c>
      <c r="K5590" t="str">
        <f>B5549</f>
        <v>electricity, residential, by conversion of hydrogen using fuel cell, SOFC, allocated by exergy, transported by pipeline, produced by Electrolysis, SOEC using water and electricity from Solar PV (IT)</v>
      </c>
      <c r="L5590">
        <f>IF(OR(B5590&lt;0,B5590=0),1,2)</f>
        <v>2</v>
      </c>
      <c r="M5590">
        <f>IF(L5590=2,LN(B5590),"")</f>
        <v>-15.672640044182527</v>
      </c>
      <c r="N5590">
        <v>1</v>
      </c>
      <c r="O5590" s="15">
        <v>1.2</v>
      </c>
      <c r="P5590">
        <v>1</v>
      </c>
      <c r="Q5590">
        <v>1.01</v>
      </c>
      <c r="R5590">
        <v>1.2</v>
      </c>
      <c r="S5590">
        <v>1.2</v>
      </c>
      <c r="T5590">
        <v>3</v>
      </c>
      <c r="U5590">
        <f>LN(SQRT(EXP(
SQRT(
+POWER(LN(N5590),2)
+POWER(LN(O5590),2)
+POWER(LN(P5590),2)
+POWER(LN(Q5590),2)
+POWER(LN(R5590),2)
+POWER(LN(S5590),2)
+POWER(LN(T5590),2)
)
)))</f>
        <v>0.57157051623399524</v>
      </c>
    </row>
    <row r="5591" spans="1:22" x14ac:dyDescent="0.2">
      <c r="A5591" t="s">
        <v>288</v>
      </c>
      <c r="B5591" s="52">
        <f>0.000024*B5583</f>
        <v>2.0738998437504217E-5</v>
      </c>
      <c r="C5591" t="s">
        <v>56</v>
      </c>
      <c r="E5591" t="s">
        <v>64</v>
      </c>
      <c r="F5591" t="s">
        <v>86</v>
      </c>
      <c r="G5591" t="s">
        <v>287</v>
      </c>
      <c r="H5591" t="s">
        <v>88</v>
      </c>
      <c r="K5591" t="str">
        <f>B5549</f>
        <v>electricity, residential, by conversion of hydrogen using fuel cell, SOFC, allocated by exergy, transported by pipeline, produced by Electrolysis, SOEC using water and electricity from Solar PV (IT)</v>
      </c>
      <c r="L5591">
        <f>IF(OR(B5591&lt;0,B5591=0),1,2)</f>
        <v>2</v>
      </c>
      <c r="M5591">
        <f>IF(L5591=2,LN(B5591),"")</f>
        <v>-10.783494647673981</v>
      </c>
      <c r="N5591">
        <v>1</v>
      </c>
      <c r="O5591" s="15">
        <v>1.2</v>
      </c>
      <c r="P5591">
        <v>1</v>
      </c>
      <c r="Q5591">
        <v>1.01</v>
      </c>
      <c r="R5591">
        <v>1.2</v>
      </c>
      <c r="S5591">
        <v>1.2</v>
      </c>
      <c r="T5591">
        <v>1.05</v>
      </c>
      <c r="U5591">
        <f>LN(SQRT(EXP(
SQRT(
+POWER(LN(N5591),2)
+POWER(LN(O5591),2)
+POWER(LN(P5591),2)
+POWER(LN(Q5591),2)
+POWER(LN(R5591),2)
+POWER(LN(S5591),2)
+POWER(LN(T5591),2)
)
)))</f>
        <v>0.15984597228197622</v>
      </c>
    </row>
    <row r="5592" spans="1:22" x14ac:dyDescent="0.2">
      <c r="A5592" s="45" t="str">
        <f>"hydrogen supply, transported by "&amp;B5563&amp;", produced by "&amp;B5567&amp;" using "&amp;B5568&amp;" from "&amp;B5569</f>
        <v>hydrogen supply, transported by pipeline, produced by Electrolysis, SOEC using water and electricity from Solar PV (IT)</v>
      </c>
      <c r="B5592" s="53">
        <f>(B5588/B5572)/B5571*B5583</f>
        <v>5.515691073804313E-2</v>
      </c>
      <c r="C5592" t="s">
        <v>56</v>
      </c>
      <c r="E5592" t="s">
        <v>64</v>
      </c>
      <c r="F5592" t="s">
        <v>86</v>
      </c>
      <c r="G5592" t="str">
        <f>"hydrogen, gaseous, from "&amp;B5563</f>
        <v>hydrogen, gaseous, from pipeline</v>
      </c>
      <c r="H5592" t="s">
        <v>76</v>
      </c>
      <c r="I5592" t="s">
        <v>1054</v>
      </c>
      <c r="J5592" t="s">
        <v>638</v>
      </c>
      <c r="K5592" t="str">
        <f>B5549</f>
        <v>electricity, residential, by conversion of hydrogen using fuel cell, SOFC, allocated by exergy, transported by pipeline, produced by Electrolysis, SOEC using water and electricity from Solar PV (IT)</v>
      </c>
      <c r="L5592">
        <f>IF(OR(B5592&lt;0,B5592=0),1,2)</f>
        <v>2</v>
      </c>
      <c r="M5592">
        <f>IF(L5592=2,LN(B5592),"")</f>
        <v>-2.8975732330996009</v>
      </c>
      <c r="N5592">
        <v>1</v>
      </c>
      <c r="O5592" s="15">
        <v>1.2</v>
      </c>
      <c r="P5592">
        <v>1</v>
      </c>
      <c r="Q5592">
        <v>1.01</v>
      </c>
      <c r="R5592">
        <v>1.2</v>
      </c>
      <c r="S5592">
        <v>1.2</v>
      </c>
      <c r="T5592">
        <v>1.05</v>
      </c>
      <c r="U5592">
        <f>LN(SQRT(EXP(
SQRT(
+POWER(LN(N5592),2)
+POWER(LN(O5592),2)
+POWER(LN(P5592),2)
+POWER(LN(Q5592),2)
+POWER(LN(R5592),2)
+POWER(LN(S5592),2)
+POWER(LN(T5592),2)
)
)))</f>
        <v>0.15984597228197622</v>
      </c>
    </row>
    <row r="5593" spans="1:22" x14ac:dyDescent="0.2">
      <c r="A5593" t="s">
        <v>134</v>
      </c>
      <c r="B5593" s="45">
        <f>B5592*9</f>
        <v>0.49641219664238817</v>
      </c>
      <c r="C5593" t="s">
        <v>56</v>
      </c>
      <c r="D5593" t="s">
        <v>100</v>
      </c>
      <c r="F5593" t="s">
        <v>99</v>
      </c>
      <c r="H5593" t="s">
        <v>131</v>
      </c>
      <c r="I5593" t="s">
        <v>1057</v>
      </c>
      <c r="K5593" t="str">
        <f>B5549</f>
        <v>electricity, residential, by conversion of hydrogen using fuel cell, SOFC, allocated by exergy, transported by pipeline, produced by Electrolysis, SOEC using water and electricity from Solar PV (IT)</v>
      </c>
      <c r="L5593">
        <f>IF(OR(B5593&lt;0,B5593=0),1,2)</f>
        <v>2</v>
      </c>
      <c r="M5593">
        <f>IF(L5593=2,LN(B5593),"")</f>
        <v>-0.70034865576338168</v>
      </c>
      <c r="N5593">
        <v>1</v>
      </c>
      <c r="O5593" s="15">
        <v>1.2</v>
      </c>
      <c r="P5593">
        <v>1</v>
      </c>
      <c r="Q5593">
        <v>1.01</v>
      </c>
      <c r="R5593">
        <v>1.2</v>
      </c>
      <c r="S5593">
        <v>1.2</v>
      </c>
      <c r="T5593">
        <v>1.05</v>
      </c>
      <c r="U5593">
        <f>LN(SQRT(EXP(
SQRT(
+POWER(LN(N5593),2)
+POWER(LN(O5593),2)
+POWER(LN(P5593),2)
+POWER(LN(Q5593),2)
+POWER(LN(R5593),2)
+POWER(LN(S5593),2)
+POWER(LN(T5593),2)
)
)))</f>
        <v>0.15984597228197622</v>
      </c>
    </row>
    <row r="5595" spans="1:22" x14ac:dyDescent="0.2">
      <c r="A5595" s="2" t="s">
        <v>50</v>
      </c>
      <c r="B5595" s="44" t="str">
        <f>IF(B5601="megajoule","heat","electricity")&amp;", residential, by "&amp;B5606&amp;" of "&amp;B5605&amp;" using "&amp;B5607&amp;IF(B5608&lt;&gt;0,", allocated by "&amp;B5608,"")&amp;", transported by "&amp;B5609&amp;", produced by "&amp;B5613&amp;" using "&amp;B5614&amp;" from "&amp;B5615</f>
        <v>heat, residential, by combustion of hydrogen using boiler, transported by train, produced by Electrolysis, SOEC using water and electricity from Solar PV (IT)</v>
      </c>
    </row>
    <row r="5596" spans="1:22" x14ac:dyDescent="0.2">
      <c r="A5596" t="s">
        <v>51</v>
      </c>
      <c r="B5596" s="45" t="str">
        <f>"This dataset represents the supply of 1 "&amp;IF(B5601="megajoule","megajoule of heat","kilowatt hour of electricity")&amp;" in a residence, by "&amp;B5605&amp;" "&amp;B5606&amp;" in a "&amp;B5607&amp;". "&amp;" The hydrogen is transported by "&amp;B5609&amp;" over "&amp;B5610&amp;" km from regional storage. "&amp;" The "&amp;B5605&amp;" is produced by  "&amp;B5613&amp;", with "&amp;B5614&amp;" from "&amp;B5615&amp;" as feedstock. "&amp;A5617&amp;": "&amp;(B5617*100)&amp;"%. "&amp;A5618&amp;": "&amp;B5618&amp;". "&amp;A5619&amp;": "&amp;B5619&amp;". "&amp;A5620&amp;": "&amp;(B5620*100)&amp;"%. "&amp;A5621&amp;": "&amp;(B5621*100)&amp;"%. "&amp;A5622&amp;": "&amp;(B5622*100)&amp;"%. "&amp;A5623&amp;": "&amp;B5623&amp;". "&amp;A5624&amp;": "&amp;B5624&amp;". "&amp;A5625&amp;": "&amp;(B5625*100)&amp;"%. "&amp;A5626&amp;": "&amp;B5626&amp;". "&amp;A5627&amp;": "&amp;B5627&amp;". "&amp;A5628&amp;": "&amp;B5628&amp;". "&amp;A5629&amp;": "&amp;B5629&amp;".  For more information, refer to: "&amp;B5597</f>
        <v>This dataset represents the supply of 1 megajoule of heat in a residence, by hydrogen combustion in a boiler.  The hydrogen is transported by train over 1700 km from regional storage.  The hydrogen is produced by  Electrolysis, SOEC, with water and electricity from Solar PV (IT)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5597" spans="1:22" x14ac:dyDescent="0.2">
      <c r="A5597" t="s">
        <v>63</v>
      </c>
      <c r="B5597" s="45" t="s">
        <v>1223</v>
      </c>
    </row>
    <row r="5598" spans="1:22" x14ac:dyDescent="0.2">
      <c r="A5598" t="s">
        <v>52</v>
      </c>
      <c r="B5598" s="45" t="s">
        <v>64</v>
      </c>
    </row>
    <row r="5599" spans="1:22" x14ac:dyDescent="0.2">
      <c r="A5599" t="s">
        <v>48</v>
      </c>
      <c r="B5599" s="45">
        <v>69</v>
      </c>
    </row>
    <row r="5600" spans="1:22" x14ac:dyDescent="0.2">
      <c r="A5600" t="s">
        <v>54</v>
      </c>
      <c r="B5600" s="45" t="str">
        <f>INDEX(overview!$B$4:$R$338,MATCH('hydrogen - electrolysis'!B5599,overview!$A$4:$A$338,0),MATCH('hydrogen - electrolysis'!A5600,overview!$B$3:$R$3,0))</f>
        <v>heat, from residential heating system</v>
      </c>
    </row>
    <row r="5601" spans="1:2" x14ac:dyDescent="0.2">
      <c r="A5601" t="s">
        <v>55</v>
      </c>
      <c r="B5601" s="45" t="str">
        <f>INDEX(overview!$B$4:$R$338,MATCH('hydrogen - electrolysis'!B5599,overview!$A$4:$A$338,0),MATCH('hydrogen - electrolysis'!A5601,overview!$B$3:$R$3,0))</f>
        <v>megajoule</v>
      </c>
    </row>
    <row r="5602" spans="1:2" x14ac:dyDescent="0.2">
      <c r="A5602" t="s">
        <v>0</v>
      </c>
      <c r="B5602" s="45" t="str">
        <f>INDEX(overview!$B$4:$R$338,MATCH('hydrogen - electrolysis'!B5599,overview!$A$4:$A$338,0),MATCH('hydrogen - electrolysis'!A5602,overview!$B$3:$R$3,0))</f>
        <v>Switzerland</v>
      </c>
    </row>
    <row r="5603" spans="1:2" x14ac:dyDescent="0.2">
      <c r="A5603" t="s">
        <v>1</v>
      </c>
      <c r="B5603" s="45">
        <f>INDEX(overview!$B$4:$R$338,MATCH('hydrogen - electrolysis'!B5599,overview!$A$4:$A$338,0),MATCH('hydrogen - electrolysis'!A5603,overview!$B$3:$R$3,0))</f>
        <v>2020</v>
      </c>
    </row>
    <row r="5604" spans="1:2" x14ac:dyDescent="0.2">
      <c r="A5604" t="s">
        <v>2</v>
      </c>
      <c r="B5604" s="45" t="str">
        <f>INDEX(overview!$B$4:$R$338,MATCH('hydrogen - electrolysis'!B5599,overview!$A$4:$A$338,0),MATCH('hydrogen - electrolysis'!A5604,overview!$B$3:$R$3,0))</f>
        <v>1 MJ heat</v>
      </c>
    </row>
    <row r="5605" spans="1:2" x14ac:dyDescent="0.2">
      <c r="A5605" t="s">
        <v>5</v>
      </c>
      <c r="B5605" s="45" t="str">
        <f>INDEX(overview!$B$4:$R$338,MATCH('hydrogen - electrolysis'!B5599,overview!$A$4:$A$338,0),MATCH('hydrogen - electrolysis'!A5605,overview!$B$3:$R$3,0))</f>
        <v>hydrogen</v>
      </c>
    </row>
    <row r="5606" spans="1:2" x14ac:dyDescent="0.2">
      <c r="A5606" t="s">
        <v>3</v>
      </c>
      <c r="B5606" s="45" t="str">
        <f>INDEX(overview!$B$4:$R$338,MATCH('hydrogen - electrolysis'!B5599,overview!$A$4:$A$338,0),MATCH('hydrogen - electrolysis'!A5606,overview!$B$3:$R$3,0))</f>
        <v>combustion</v>
      </c>
    </row>
    <row r="5607" spans="1:2" x14ac:dyDescent="0.2">
      <c r="A5607" t="s">
        <v>6</v>
      </c>
      <c r="B5607" s="45" t="str">
        <f>INDEX(overview!$B$4:$R$338,MATCH('hydrogen - electrolysis'!B5599,overview!$A$4:$A$338,0),MATCH('hydrogen - electrolysis'!A5607,overview!$B$3:$R$3,0))</f>
        <v>boiler</v>
      </c>
    </row>
    <row r="5608" spans="1:2" x14ac:dyDescent="0.2">
      <c r="A5608" t="s">
        <v>39</v>
      </c>
      <c r="B5608" s="45">
        <f>INDEX(overview!$B$4:$R$338,MATCH('hydrogen - electrolysis'!B5599,overview!$A$4:$A$338,0),MATCH('hydrogen - electrolysis'!A5608,overview!$B$3:$R$3,0))</f>
        <v>0</v>
      </c>
    </row>
    <row r="5609" spans="1:2" x14ac:dyDescent="0.2">
      <c r="A5609" t="s">
        <v>4</v>
      </c>
      <c r="B5609" s="45" t="str">
        <f>INDEX(overview!$B$4:$R$338,MATCH('hydrogen - electrolysis'!B5599,overview!$A$4:$A$338,0),MATCH('hydrogen - electrolysis'!A5609,overview!$B$3:$R$3,0))</f>
        <v>train</v>
      </c>
    </row>
    <row r="5610" spans="1:2" x14ac:dyDescent="0.2">
      <c r="A5610" t="s">
        <v>38</v>
      </c>
      <c r="B5610" s="45">
        <f>INDEX(overview!$B$4:$R$338,MATCH('hydrogen - electrolysis'!B5599,overview!$A$4:$A$338,0),MATCH('hydrogen - electrolysis'!A5610,overview!$B$3:$R$3,0))</f>
        <v>1700</v>
      </c>
    </row>
    <row r="5611" spans="1:2" x14ac:dyDescent="0.2">
      <c r="A5611" t="s">
        <v>12</v>
      </c>
      <c r="B5611" s="45" t="str">
        <f>INDEX(overview!$B$4:$R$338,MATCH('hydrogen - electrolysis'!B5599,overview!$A$4:$A$338,0),MATCH('hydrogen - electrolysis'!A5611,overview!$B$3:$R$3,0))</f>
        <v>Pressure vessel for stationary storage</v>
      </c>
    </row>
    <row r="5612" spans="1:2" x14ac:dyDescent="0.2">
      <c r="A5612" t="s">
        <v>34</v>
      </c>
      <c r="B5612" s="45">
        <f>INDEX(overview!$B$4:$R$338,MATCH('hydrogen - electrolysis'!B5599,overview!$A$4:$A$338,0),MATCH('hydrogen - electrolysis'!A5612,overview!$B$3:$R$3,0))</f>
        <v>0</v>
      </c>
    </row>
    <row r="5613" spans="1:2" x14ac:dyDescent="0.2">
      <c r="A5613" t="s">
        <v>15</v>
      </c>
      <c r="B5613" s="45" t="str">
        <f>INDEX(overview!$B$4:$R$338,MATCH('hydrogen - electrolysis'!B5599,overview!$A$4:$A$338,0),MATCH('hydrogen - electrolysis'!A5613,overview!$B$3:$R$3,0))</f>
        <v>Electrolysis, SOEC</v>
      </c>
    </row>
    <row r="5614" spans="1:2" x14ac:dyDescent="0.2">
      <c r="A5614" t="s">
        <v>14</v>
      </c>
      <c r="B5614" s="45" t="str">
        <f>INDEX(overview!$B$4:$R$338,MATCH('hydrogen - electrolysis'!B5599,overview!$A$4:$A$338,0),MATCH('hydrogen - electrolysis'!A5614,overview!$B$3:$R$3,0))</f>
        <v>water and electricity</v>
      </c>
    </row>
    <row r="5615" spans="1:2" x14ac:dyDescent="0.2">
      <c r="A5615" t="s">
        <v>26</v>
      </c>
      <c r="B5615" s="45" t="str">
        <f>INDEX(overview!$B$4:$R$338,MATCH('hydrogen - electrolysis'!B5599,overview!$A$4:$A$338,0),MATCH('hydrogen - electrolysis'!A5615,overview!$B$3:$R$3,0))</f>
        <v>Solar PV (IT)</v>
      </c>
    </row>
    <row r="5616" spans="1:2" x14ac:dyDescent="0.2">
      <c r="A5616" t="s">
        <v>29</v>
      </c>
      <c r="B5616" s="45">
        <f>INDEX(overview!$B$4:$R$338,MATCH('hydrogen - electrolysis'!B5599,overview!$A$4:$A$338,0),MATCH('hydrogen - electrolysis'!A5616,overview!$B$3:$R$3,0))</f>
        <v>0</v>
      </c>
    </row>
    <row r="5617" spans="1:2" x14ac:dyDescent="0.2">
      <c r="A5617" t="str">
        <f>IF(B5601="megajoule","Heat","Electricity")&amp;" conversion efficiency [% LHV input]"</f>
        <v>Heat conversion efficiency [% LHV input]</v>
      </c>
      <c r="B5617" s="46">
        <f>INDEX(parameters!$D$4:$N$20,MATCH('hydrogen - electrolysis'!B5605&amp;'hydrogen - electrolysis'!B5607,parameters!$A$4:$A$20,0),MATCH('hydrogen - electrolysis'!A5617,parameters!$D$3:$N$3,0))</f>
        <v>0.94</v>
      </c>
    </row>
    <row r="5618" spans="1:2" x14ac:dyDescent="0.2">
      <c r="A5618" t="str">
        <f>IF(B5601="megajoule","LHV [MJ/kg]","LHV [kWh/kg]")</f>
        <v>LHV [MJ/kg]</v>
      </c>
      <c r="B5618" s="47">
        <f>INDEX(parameters!$D$4:$N$20,MATCH('hydrogen - electrolysis'!B5605&amp;'hydrogen - electrolysis'!B5607,parameters!$A$4:$A$20,0),MATCH('hydrogen - electrolysis'!A5618,parameters!$D$3:$N$3,0))</f>
        <v>120</v>
      </c>
    </row>
    <row r="5619" spans="1:2" x14ac:dyDescent="0.2">
      <c r="A5619" t="s">
        <v>41</v>
      </c>
      <c r="B5619" s="48">
        <f>INDEX(parameters!$D$4:$N$20,MATCH('hydrogen - electrolysis'!B5605&amp;'hydrogen - electrolysis'!B5607,parameters!$A$4:$A$20,0),MATCH('hydrogen - electrolysis'!A5619,parameters!$D$3:$N$3,0))</f>
        <v>2.6666666666666665E-2</v>
      </c>
    </row>
    <row r="5620" spans="1:2" x14ac:dyDescent="0.2">
      <c r="A5620" t="s">
        <v>45</v>
      </c>
      <c r="B5620" s="49">
        <f>INDEX(parameters!$D$4:$N$20,MATCH('hydrogen - electrolysis'!B5605&amp;'hydrogen - electrolysis'!B5607,parameters!$A$4:$A$20,0),MATCH('hydrogen - electrolysis'!A5620,parameters!$D$3:$N$3,0))</f>
        <v>0</v>
      </c>
    </row>
    <row r="5621" spans="1:2" x14ac:dyDescent="0.2">
      <c r="A5621" t="s">
        <v>46</v>
      </c>
      <c r="B5621" s="49">
        <f>INDEX(parameters!$D$4:$N$20,MATCH('hydrogen - electrolysis'!B5605&amp;'hydrogen - electrolysis'!B5607,parameters!$A$4:$A$20,0),MATCH('hydrogen - electrolysis'!A5621,parameters!$D$3:$N$3,0))</f>
        <v>1.4999999999999999E-2</v>
      </c>
    </row>
    <row r="5622" spans="1:2" x14ac:dyDescent="0.2">
      <c r="A5622" t="s">
        <v>43</v>
      </c>
      <c r="B5622" s="49">
        <f>INDEX(parameters!$D$4:$N$20,MATCH('hydrogen - electrolysis'!B5605&amp;'hydrogen - electrolysis'!B5607,parameters!$A$4:$A$20,0),MATCH('hydrogen - electrolysis'!A5622,parameters!$D$3:$N$3,0))</f>
        <v>0</v>
      </c>
    </row>
    <row r="5623" spans="1:2" x14ac:dyDescent="0.2">
      <c r="A5623" t="s">
        <v>44</v>
      </c>
      <c r="B5623" s="49">
        <f>INDEX(parameters!$D$4:$N$20,MATCH('hydrogen - electrolysis'!B5605&amp;'hydrogen - electrolysis'!B5607,parameters!$A$4:$A$20,0),MATCH('hydrogen - electrolysis'!A5623,parameters!$D$3:$N$3,0))</f>
        <v>0</v>
      </c>
    </row>
    <row r="5624" spans="1:2" x14ac:dyDescent="0.2">
      <c r="A5624" t="s">
        <v>634</v>
      </c>
      <c r="B5624" s="51">
        <f>INDEX(parameters!$D$4:$Y$20,MATCH('hydrogen - electrolysis'!B5605&amp;'hydrogen - electrolysis'!B5607,parameters!$A$4:$A$20,0),MATCH('hydrogen - electrolysis'!A5624,parameters!$D$3:$Y$3,0))</f>
        <v>15.957446808510639</v>
      </c>
    </row>
    <row r="5625" spans="1:2" x14ac:dyDescent="0.2">
      <c r="A5625" t="s">
        <v>82</v>
      </c>
      <c r="B5625" s="46">
        <f>IF(B5616&lt;&gt;0,VLOOKUP(B5616,parameters!A3537:B3539,2,0),0)</f>
        <v>0</v>
      </c>
    </row>
    <row r="5626" spans="1:2" x14ac:dyDescent="0.2">
      <c r="A5626" t="s">
        <v>548</v>
      </c>
      <c r="B5626" s="50">
        <f>INDEX(parameters!$D$4:$P$20,MATCH(B5605&amp;B5607,parameters!$A$4:$A$20,0),MATCH(A5626,parameters!$D$3:$P$3,0))</f>
        <v>15</v>
      </c>
    </row>
    <row r="5627" spans="1:2" x14ac:dyDescent="0.2">
      <c r="A5627" t="s">
        <v>547</v>
      </c>
      <c r="B5627" s="51">
        <f>INDEX(parameters!$D$4:$P$20,MATCH(B5605&amp;B5607,parameters!$A$4:$A$20,0),MATCH(A5627,parameters!$D$3:$P$3,0))</f>
        <v>20</v>
      </c>
    </row>
    <row r="5628" spans="1:2" x14ac:dyDescent="0.2">
      <c r="A5628" t="s">
        <v>630</v>
      </c>
      <c r="B5628" s="51">
        <f>INDEX(parameters!$D$4:$T$20,MATCH(B5605&amp;B5607,parameters!$A$4:$A$20,0),MATCH(A5628,parameters!$D$3:$T$3,0))</f>
        <v>2100</v>
      </c>
    </row>
    <row r="5629" spans="1:2" x14ac:dyDescent="0.2">
      <c r="A5629" t="s">
        <v>1005</v>
      </c>
      <c r="B5629" s="50">
        <f>IF(B5601="megajoule",SUMIFS(allocation!$I$4:$I$30,allocation!$B$4:$B$30,B5607,allocation!$C$4:$C$30,B5608),SUMIFS(allocation!$J$4:$J$30,allocation!$B$4:$B$30,B5607,allocation!$C$4:$C$30,B5608))</f>
        <v>0</v>
      </c>
    </row>
    <row r="5630" spans="1:2" x14ac:dyDescent="0.2">
      <c r="A5630" t="s">
        <v>1050</v>
      </c>
      <c r="B5630" s="51">
        <f>INDEX(parameters!$D$4:$AB$20,MATCH(B5605&amp;B5607,parameters!$A$4:$A$20,0),MATCH(A5630,parameters!$D$3:$AB$3,0))</f>
        <v>44.562019013128115</v>
      </c>
    </row>
    <row r="5632" spans="1:2" x14ac:dyDescent="0.2">
      <c r="A5632" s="3" t="s">
        <v>57</v>
      </c>
    </row>
    <row r="5633" spans="1:22" x14ac:dyDescent="0.2">
      <c r="A5633" s="2" t="s">
        <v>58</v>
      </c>
      <c r="B5633" s="44" t="s">
        <v>59</v>
      </c>
      <c r="C5633" s="2" t="s">
        <v>55</v>
      </c>
      <c r="D5633" s="2" t="s">
        <v>60</v>
      </c>
      <c r="E5633" s="2" t="s">
        <v>52</v>
      </c>
      <c r="F5633" s="2" t="s">
        <v>61</v>
      </c>
      <c r="G5633" s="2" t="s">
        <v>54</v>
      </c>
      <c r="H5633" s="2" t="s">
        <v>87</v>
      </c>
      <c r="I5633" s="2" t="s">
        <v>51</v>
      </c>
      <c r="J5633" s="2" t="s">
        <v>138</v>
      </c>
      <c r="K5633" s="2" t="s">
        <v>136</v>
      </c>
      <c r="L5633" s="2" t="s">
        <v>221</v>
      </c>
      <c r="M5633" s="2" t="s">
        <v>379</v>
      </c>
      <c r="N5633" s="2" t="s">
        <v>1059</v>
      </c>
      <c r="O5633" s="2" t="s">
        <v>1060</v>
      </c>
      <c r="P5633" s="2" t="s">
        <v>1061</v>
      </c>
      <c r="Q5633" s="2" t="s">
        <v>1062</v>
      </c>
      <c r="R5633" s="2" t="s">
        <v>1063</v>
      </c>
      <c r="S5633" s="2" t="s">
        <v>1064</v>
      </c>
      <c r="T5633" s="2" t="s">
        <v>1065</v>
      </c>
      <c r="U5633" s="2" t="s">
        <v>380</v>
      </c>
      <c r="V5633" s="2" t="s">
        <v>1128</v>
      </c>
    </row>
    <row r="5634" spans="1:22" x14ac:dyDescent="0.2">
      <c r="A5634" t="str">
        <f>B5595</f>
        <v>heat, residential, by combustion of hydrogen using boiler, transported by train, produced by Electrolysis, SOEC using water and electricity from Solar PV (IT)</v>
      </c>
      <c r="B5634" s="45">
        <v>1</v>
      </c>
      <c r="C5634" t="str">
        <f>B5601</f>
        <v>megajoule</v>
      </c>
      <c r="E5634" t="str">
        <f>B5598</f>
        <v>CH</v>
      </c>
      <c r="F5634" t="s">
        <v>62</v>
      </c>
      <c r="G5634" t="str">
        <f>B5600</f>
        <v>heat, from residential heating system</v>
      </c>
      <c r="K5634" t="str">
        <f>B5595</f>
        <v>heat, residential, by combustion of hydrogen using boiler, transported by train, produced by Electrolysis, SOEC using water and electricity from Solar PV (IT)</v>
      </c>
    </row>
    <row r="5635" spans="1:22" x14ac:dyDescent="0.2">
      <c r="A5635" t="s">
        <v>83</v>
      </c>
      <c r="B5635" s="52">
        <f>1/(B5626*B5628*B5627*3.6)</f>
        <v>4.4091710758377425E-7</v>
      </c>
      <c r="C5635" t="s">
        <v>55</v>
      </c>
      <c r="E5635" t="s">
        <v>85</v>
      </c>
      <c r="F5635" t="s">
        <v>86</v>
      </c>
      <c r="G5635" t="s">
        <v>84</v>
      </c>
      <c r="H5635" t="s">
        <v>88</v>
      </c>
      <c r="K5635" t="str">
        <f>B5595</f>
        <v>heat, residential, by combustion of hydrogen using boiler, transported by train, produced by Electrolysis, SOEC using water and electricity from Solar PV (IT)</v>
      </c>
      <c r="L5635">
        <f t="shared" ref="L5635:L5642" si="205">IF(OR(B5635&lt;0,B5635=0),1,2)</f>
        <v>2</v>
      </c>
      <c r="M5635">
        <f t="shared" ref="M5635:M5642" si="206">IF(L5635=2,LN(B5635),"")</f>
        <v>-14.634408943829779</v>
      </c>
      <c r="N5635">
        <v>1.05</v>
      </c>
      <c r="O5635" s="15">
        <v>1.2</v>
      </c>
      <c r="P5635">
        <v>1</v>
      </c>
      <c r="Q5635">
        <v>1.01</v>
      </c>
      <c r="R5635">
        <v>1.2</v>
      </c>
      <c r="S5635">
        <v>1.2</v>
      </c>
      <c r="T5635">
        <v>3</v>
      </c>
      <c r="U5635">
        <f t="shared" ref="U5635:U5642" si="207">LN(SQRT(EXP(
SQRT(
+POWER(LN(N5635),2)
+POWER(LN(O5635),2)
+POWER(LN(P5635),2)
+POWER(LN(Q5635),2)
+POWER(LN(R5635),2)
+POWER(LN(S5635),2)
+POWER(LN(T5635),2)
)
)))</f>
        <v>0.57209088006881903</v>
      </c>
    </row>
    <row r="5636" spans="1:22" x14ac:dyDescent="0.2">
      <c r="A5636" t="s">
        <v>500</v>
      </c>
      <c r="B5636" s="52">
        <f>B5635*2</f>
        <v>8.8183421516754851E-7</v>
      </c>
      <c r="C5636" t="s">
        <v>267</v>
      </c>
      <c r="E5636" t="s">
        <v>85</v>
      </c>
      <c r="F5636" t="s">
        <v>86</v>
      </c>
      <c r="G5636" t="s">
        <v>501</v>
      </c>
      <c r="H5636" t="s">
        <v>88</v>
      </c>
      <c r="I5636" t="s">
        <v>621</v>
      </c>
      <c r="K5636" t="str">
        <f>B5595</f>
        <v>heat, residential, by combustion of hydrogen using boiler, transported by train, produced by Electrolysis, SOEC using water and electricity from Solar PV (IT)</v>
      </c>
      <c r="L5636">
        <f t="shared" si="205"/>
        <v>2</v>
      </c>
      <c r="M5636">
        <f t="shared" si="206"/>
        <v>-13.941261763269834</v>
      </c>
      <c r="N5636">
        <v>1.05</v>
      </c>
      <c r="O5636" s="15">
        <v>1.2</v>
      </c>
      <c r="P5636">
        <v>1</v>
      </c>
      <c r="Q5636">
        <v>1.01</v>
      </c>
      <c r="R5636">
        <v>1.2</v>
      </c>
      <c r="S5636">
        <v>1.2</v>
      </c>
      <c r="T5636">
        <v>3</v>
      </c>
      <c r="U5636">
        <f t="shared" si="207"/>
        <v>0.57209088006881903</v>
      </c>
    </row>
    <row r="5637" spans="1:22" x14ac:dyDescent="0.2">
      <c r="A5637" t="s">
        <v>130</v>
      </c>
      <c r="B5637" s="52">
        <v>2.64E-3</v>
      </c>
      <c r="C5637" t="s">
        <v>92</v>
      </c>
      <c r="E5637" t="s">
        <v>64</v>
      </c>
      <c r="F5637" t="s">
        <v>86</v>
      </c>
      <c r="G5637" t="s">
        <v>93</v>
      </c>
      <c r="H5637" t="s">
        <v>78</v>
      </c>
      <c r="I5637" t="s">
        <v>270</v>
      </c>
      <c r="J5637" t="s">
        <v>67</v>
      </c>
      <c r="K5637" t="str">
        <f>B5595</f>
        <v>heat, residential, by combustion of hydrogen using boiler, transported by train, produced by Electrolysis, SOEC using water and electricity from Solar PV (IT)</v>
      </c>
      <c r="L5637">
        <f t="shared" si="205"/>
        <v>2</v>
      </c>
      <c r="M5637">
        <f t="shared" si="206"/>
        <v>-5.9369763618239126</v>
      </c>
      <c r="N5637">
        <v>1.05</v>
      </c>
      <c r="O5637" s="15">
        <v>1.2</v>
      </c>
      <c r="P5637">
        <v>1</v>
      </c>
      <c r="Q5637">
        <v>1.01</v>
      </c>
      <c r="R5637">
        <v>1.2</v>
      </c>
      <c r="S5637">
        <v>1.2</v>
      </c>
      <c r="T5637">
        <v>1.05</v>
      </c>
      <c r="U5637">
        <f t="shared" si="207"/>
        <v>0.16169679924070957</v>
      </c>
    </row>
    <row r="5638" spans="1:22" x14ac:dyDescent="0.2">
      <c r="A5638" s="45" t="str">
        <f>"hydrogen supply, transported by "&amp;B5609&amp;", produced by "&amp;B5613&amp;" using "&amp;B5614&amp;" from "&amp;B5615</f>
        <v>hydrogen supply, transported by train, produced by Electrolysis, SOEC using water and electricity from Solar PV (IT)</v>
      </c>
      <c r="B5638" s="53">
        <f>(B5634/B5618)/B5617</f>
        <v>8.8652482269503553E-3</v>
      </c>
      <c r="C5638" t="s">
        <v>56</v>
      </c>
      <c r="E5638" t="s">
        <v>64</v>
      </c>
      <c r="F5638" t="s">
        <v>86</v>
      </c>
      <c r="G5638" t="str">
        <f>"hydrogen, gaseous, from "&amp;B5609</f>
        <v>hydrogen, gaseous, from train</v>
      </c>
      <c r="H5638" t="s">
        <v>76</v>
      </c>
      <c r="I5638" t="s">
        <v>1054</v>
      </c>
      <c r="J5638" t="s">
        <v>638</v>
      </c>
      <c r="K5638" t="str">
        <f>B5595</f>
        <v>heat, residential, by combustion of hydrogen using boiler, transported by train, produced by Electrolysis, SOEC using water and electricity from Solar PV (IT)</v>
      </c>
      <c r="L5638">
        <f t="shared" si="205"/>
        <v>2</v>
      </c>
      <c r="M5638">
        <f t="shared" si="206"/>
        <v>-4.7256163390639587</v>
      </c>
      <c r="N5638">
        <v>1.05</v>
      </c>
      <c r="O5638" s="15">
        <v>1.2</v>
      </c>
      <c r="P5638">
        <v>1</v>
      </c>
      <c r="Q5638">
        <v>1.01</v>
      </c>
      <c r="R5638">
        <v>1.2</v>
      </c>
      <c r="S5638">
        <v>1.2</v>
      </c>
      <c r="T5638">
        <v>1.05</v>
      </c>
      <c r="U5638">
        <f t="shared" si="207"/>
        <v>0.16169679924070957</v>
      </c>
    </row>
    <row r="5639" spans="1:22" x14ac:dyDescent="0.2">
      <c r="A5639" t="str">
        <f>VLOOKUP(J5639,'dataset mapping'!$A$4:$E$69,2,0)</f>
        <v>market for transport, freight train</v>
      </c>
      <c r="B5639" s="45">
        <f>SUM(B5638:B5638)/1000*B5610</f>
        <v>1.5070921985815602E-2</v>
      </c>
      <c r="C5639" t="str">
        <f>VLOOKUP(J5639,'dataset mapping'!$A$4:$E$69,5,0)</f>
        <v>ton kilometer</v>
      </c>
      <c r="E5639" t="str">
        <f>VLOOKUP(J5639,'dataset mapping'!$A$4:$E$69,4,0)</f>
        <v>CH</v>
      </c>
      <c r="F5639" t="s">
        <v>86</v>
      </c>
      <c r="G5639" t="str">
        <f>VLOOKUP(J5639,'dataset mapping'!$A$4:$E$69,3,0)</f>
        <v>transport, freight train</v>
      </c>
      <c r="H5639" t="s">
        <v>88</v>
      </c>
      <c r="I5639" t="s">
        <v>1052</v>
      </c>
      <c r="J5639" t="s">
        <v>295</v>
      </c>
      <c r="K5639" t="str">
        <f>B5595</f>
        <v>heat, residential, by combustion of hydrogen using boiler, transported by train, produced by Electrolysis, SOEC using water and electricity from Solar PV (IT)</v>
      </c>
      <c r="L5639">
        <f t="shared" si="205"/>
        <v>2</v>
      </c>
      <c r="M5639">
        <f t="shared" si="206"/>
        <v>-4.1949880880017885</v>
      </c>
      <c r="N5639">
        <v>1.05</v>
      </c>
      <c r="O5639" s="15">
        <v>1.2</v>
      </c>
      <c r="P5639">
        <v>1</v>
      </c>
      <c r="Q5639">
        <v>1.01</v>
      </c>
      <c r="R5639">
        <v>1.2</v>
      </c>
      <c r="S5639">
        <v>1.2</v>
      </c>
      <c r="T5639">
        <v>2</v>
      </c>
      <c r="U5639">
        <f t="shared" si="207"/>
        <v>0.38165951885721477</v>
      </c>
    </row>
    <row r="5640" spans="1:22" x14ac:dyDescent="0.2">
      <c r="A5640" t="str">
        <f>VLOOKUP(J5640,'dataset mapping'!$A$4:$E$69,2,0)</f>
        <v>high pressure hydrogen storage tank</v>
      </c>
      <c r="B5640" s="52">
        <f>((B5630/10)/(B5628*B5624*20*3.6))*IF(B5629&lt;&gt;0,B5629,1)</f>
        <v>1.8469267139479905E-6</v>
      </c>
      <c r="C5640" t="str">
        <f>VLOOKUP(J5640,'dataset mapping'!$A$4:$E$69,5,0)</f>
        <v>kilogram</v>
      </c>
      <c r="E5640" t="str">
        <f>VLOOKUP(J5640,'dataset mapping'!$A$4:$E$69,4,0)</f>
        <v>GLO</v>
      </c>
      <c r="F5640" t="s">
        <v>86</v>
      </c>
      <c r="G5640" t="str">
        <f>VLOOKUP(J5640,'dataset mapping'!$A$4:$E$69,3,0)</f>
        <v>high pressure hydrogen storage tank</v>
      </c>
      <c r="H5640" t="s">
        <v>88</v>
      </c>
      <c r="I5640" t="s">
        <v>230</v>
      </c>
      <c r="J5640" t="s">
        <v>229</v>
      </c>
      <c r="K5640" t="str">
        <f>B5595</f>
        <v>heat, residential, by combustion of hydrogen using boiler, transported by train, produced by Electrolysis, SOEC using water and electricity from Solar PV (IT)</v>
      </c>
      <c r="L5640">
        <f t="shared" si="205"/>
        <v>2</v>
      </c>
      <c r="M5640">
        <f t="shared" si="206"/>
        <v>-13.20198753595994</v>
      </c>
      <c r="N5640">
        <v>1.05</v>
      </c>
      <c r="O5640" s="15">
        <v>1.2</v>
      </c>
      <c r="P5640">
        <v>1</v>
      </c>
      <c r="Q5640">
        <v>1.01</v>
      </c>
      <c r="R5640">
        <v>1.2</v>
      </c>
      <c r="S5640">
        <v>1.2</v>
      </c>
      <c r="T5640">
        <v>3</v>
      </c>
      <c r="U5640">
        <f t="shared" si="207"/>
        <v>0.57209088006881903</v>
      </c>
    </row>
    <row r="5641" spans="1:22" x14ac:dyDescent="0.2">
      <c r="A5641" t="s">
        <v>134</v>
      </c>
      <c r="B5641" s="45">
        <f>B5638*9</f>
        <v>7.9787234042553196E-2</v>
      </c>
      <c r="C5641" t="s">
        <v>56</v>
      </c>
      <c r="D5641" t="s">
        <v>100</v>
      </c>
      <c r="F5641" t="s">
        <v>99</v>
      </c>
      <c r="H5641" t="s">
        <v>131</v>
      </c>
      <c r="I5641" t="s">
        <v>1058</v>
      </c>
      <c r="K5641" t="str">
        <f>B5595</f>
        <v>heat, residential, by combustion of hydrogen using boiler, transported by train, produced by Electrolysis, SOEC using water and electricity from Solar PV (IT)</v>
      </c>
      <c r="L5641">
        <f t="shared" si="205"/>
        <v>2</v>
      </c>
      <c r="M5641">
        <f t="shared" si="206"/>
        <v>-2.5283917617277392</v>
      </c>
      <c r="N5641">
        <v>1.05</v>
      </c>
      <c r="O5641" s="15">
        <v>1.2</v>
      </c>
      <c r="P5641">
        <v>1</v>
      </c>
      <c r="Q5641">
        <v>1.01</v>
      </c>
      <c r="R5641">
        <v>1.2</v>
      </c>
      <c r="S5641">
        <v>1.2</v>
      </c>
      <c r="T5641">
        <v>1.05</v>
      </c>
      <c r="U5641">
        <f t="shared" si="207"/>
        <v>0.16169679924070957</v>
      </c>
    </row>
    <row r="5642" spans="1:22" x14ac:dyDescent="0.2">
      <c r="A5642" t="s">
        <v>135</v>
      </c>
      <c r="B5642" s="45">
        <f>912.5/1000000*B5638</f>
        <v>8.0895390070921995E-6</v>
      </c>
      <c r="C5642" t="s">
        <v>56</v>
      </c>
      <c r="D5642" t="s">
        <v>100</v>
      </c>
      <c r="F5642" t="s">
        <v>99</v>
      </c>
      <c r="H5642" t="s">
        <v>131</v>
      </c>
      <c r="I5642" t="s">
        <v>1217</v>
      </c>
      <c r="K5642" t="str">
        <f>B5595</f>
        <v>heat, residential, by combustion of hydrogen using boiler, transported by train, produced by Electrolysis, SOEC using water and electricity from Solar PV (IT)</v>
      </c>
      <c r="L5642">
        <f t="shared" si="205"/>
        <v>2</v>
      </c>
      <c r="M5642">
        <f t="shared" si="206"/>
        <v>-11.724938811571587</v>
      </c>
      <c r="N5642">
        <v>1.05</v>
      </c>
      <c r="O5642" s="15">
        <v>1.2</v>
      </c>
      <c r="P5642">
        <v>1</v>
      </c>
      <c r="Q5642">
        <v>1.01</v>
      </c>
      <c r="R5642">
        <v>1.2</v>
      </c>
      <c r="S5642">
        <v>1.2</v>
      </c>
      <c r="T5642">
        <v>1.5</v>
      </c>
      <c r="U5642">
        <f t="shared" si="207"/>
        <v>0.25816898211842121</v>
      </c>
    </row>
    <row r="5644" spans="1:22" x14ac:dyDescent="0.2">
      <c r="A5644" s="2" t="s">
        <v>50</v>
      </c>
      <c r="B5644" s="44" t="str">
        <f>IF(B5650="megajoule","heat","electricity")&amp;", residential, by "&amp;B5655&amp;" of "&amp;B5654&amp;" using "&amp;B5656&amp;IF(B5657&lt;&gt;0,", allocated by "&amp;B5657,"")&amp;", transported by "&amp;B5658&amp;", produced by "&amp;B5662&amp;" using "&amp;B5663&amp;" from "&amp;B5664</f>
        <v>heat, residential, by combustion of hydrogen using CHP, allocated by exergy, transported by train, produced by Electrolysis, SOEC using water and electricity from Solar PV (IT)</v>
      </c>
    </row>
    <row r="5645" spans="1:22" x14ac:dyDescent="0.2">
      <c r="A5645" t="s">
        <v>51</v>
      </c>
      <c r="B5645" s="45" t="str">
        <f>"This dataset represents the supply of 1 "&amp;IF(B5650="megajoule","megajoule of heat","kilowatt hour of electricity")&amp;" in a residence, by "&amp;B5654&amp;" "&amp;B5655&amp;" in a "&amp;B5656&amp;". "&amp;" The hydrogen is transported by "&amp;B5658&amp;" over "&amp;B5659&amp;" km from regional storage. "&amp;" The "&amp;B5654&amp;" is produced by  "&amp;B5662&amp;", with "&amp;B5663&amp;" from "&amp;B5664&amp;" as feedstock. "&amp;A5666&amp;": "&amp;(B5666*100)&amp;"%. "&amp;A5667&amp;": "&amp;B5667&amp;". "&amp;A5668&amp;": "&amp;B5668&amp;". "&amp;A5669&amp;": "&amp;(B5669*100)&amp;"%. "&amp;A5670&amp;": "&amp;(B5670*100)&amp;"%. "&amp;A5671&amp;": "&amp;(B5671*100)&amp;"%. "&amp;A5672&amp;": "&amp;B5672&amp;". "&amp;A5673&amp;": "&amp;B5673&amp;". "&amp;A5674&amp;": "&amp;(B5674*100)&amp;"%. "&amp;A5675&amp;": "&amp;B5675&amp;". "&amp;A5676&amp;": "&amp;B5676&amp;". "&amp;A5677&amp;": "&amp;B5677&amp;". "&amp;A5678&amp;": "&amp;B5678&amp;".  For more information, refer to: "&amp;B5646</f>
        <v>This dataset represents the supply of 1 megajoule of heat in a residence, by hydrogen combustion in a CHP.  The hydrogen is transported by train over 1700 km from regional storage.  The hydrogen is produced by  Electrolysis, SOEC, with water and electricity from Solar PV (IT)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5646" spans="1:22" x14ac:dyDescent="0.2">
      <c r="A5646" t="s">
        <v>63</v>
      </c>
      <c r="B5646" s="45" t="s">
        <v>1223</v>
      </c>
    </row>
    <row r="5647" spans="1:22" x14ac:dyDescent="0.2">
      <c r="A5647" t="s">
        <v>52</v>
      </c>
      <c r="B5647" s="45" t="s">
        <v>64</v>
      </c>
    </row>
    <row r="5648" spans="1:22" x14ac:dyDescent="0.2">
      <c r="A5648" t="s">
        <v>48</v>
      </c>
      <c r="B5648" s="45">
        <v>70</v>
      </c>
    </row>
    <row r="5649" spans="1:2" x14ac:dyDescent="0.2">
      <c r="A5649" t="s">
        <v>54</v>
      </c>
      <c r="B5649" s="45" t="str">
        <f>INDEX(overview!$B$4:$R$338,MATCH('hydrogen - electrolysis'!B5648,overview!$A$4:$A$338,0),MATCH('hydrogen - electrolysis'!A5649,overview!$B$3:$R$3,0))</f>
        <v>heat, from residential heating system</v>
      </c>
    </row>
    <row r="5650" spans="1:2" x14ac:dyDescent="0.2">
      <c r="A5650" t="s">
        <v>55</v>
      </c>
      <c r="B5650" s="45" t="str">
        <f>INDEX(overview!$B$4:$R$338,MATCH('hydrogen - electrolysis'!B5648,overview!$A$4:$A$338,0),MATCH('hydrogen - electrolysis'!A5650,overview!$B$3:$R$3,0))</f>
        <v>megajoule</v>
      </c>
    </row>
    <row r="5651" spans="1:2" x14ac:dyDescent="0.2">
      <c r="A5651" t="s">
        <v>0</v>
      </c>
      <c r="B5651" s="45" t="str">
        <f>INDEX(overview!$B$4:$R$338,MATCH('hydrogen - electrolysis'!B5648,overview!$A$4:$A$338,0),MATCH('hydrogen - electrolysis'!A5651,overview!$B$3:$R$3,0))</f>
        <v>Switzerland</v>
      </c>
    </row>
    <row r="5652" spans="1:2" x14ac:dyDescent="0.2">
      <c r="A5652" t="s">
        <v>1</v>
      </c>
      <c r="B5652" s="45">
        <f>INDEX(overview!$B$4:$R$338,MATCH('hydrogen - electrolysis'!B5648,overview!$A$4:$A$338,0),MATCH('hydrogen - electrolysis'!A5652,overview!$B$3:$R$3,0))</f>
        <v>2020</v>
      </c>
    </row>
    <row r="5653" spans="1:2" x14ac:dyDescent="0.2">
      <c r="A5653" t="s">
        <v>2</v>
      </c>
      <c r="B5653" s="45" t="str">
        <f>INDEX(overview!$B$4:$R$338,MATCH('hydrogen - electrolysis'!B5648,overview!$A$4:$A$338,0),MATCH('hydrogen - electrolysis'!A5653,overview!$B$3:$R$3,0))</f>
        <v>1 MJ heat</v>
      </c>
    </row>
    <row r="5654" spans="1:2" x14ac:dyDescent="0.2">
      <c r="A5654" t="s">
        <v>5</v>
      </c>
      <c r="B5654" s="45" t="str">
        <f>INDEX(overview!$B$4:$R$338,MATCH('hydrogen - electrolysis'!B5648,overview!$A$4:$A$338,0),MATCH('hydrogen - electrolysis'!A5654,overview!$B$3:$R$3,0))</f>
        <v>hydrogen</v>
      </c>
    </row>
    <row r="5655" spans="1:2" x14ac:dyDescent="0.2">
      <c r="A5655" t="s">
        <v>3</v>
      </c>
      <c r="B5655" s="45" t="str">
        <f>INDEX(overview!$B$4:$R$338,MATCH('hydrogen - electrolysis'!B5648,overview!$A$4:$A$338,0),MATCH('hydrogen - electrolysis'!A5655,overview!$B$3:$R$3,0))</f>
        <v>combustion</v>
      </c>
    </row>
    <row r="5656" spans="1:2" x14ac:dyDescent="0.2">
      <c r="A5656" t="s">
        <v>6</v>
      </c>
      <c r="B5656" s="45" t="str">
        <f>INDEX(overview!$B$4:$R$338,MATCH('hydrogen - electrolysis'!B5648,overview!$A$4:$A$338,0),MATCH('hydrogen - electrolysis'!A5656,overview!$B$3:$R$3,0))</f>
        <v>CHP</v>
      </c>
    </row>
    <row r="5657" spans="1:2" x14ac:dyDescent="0.2">
      <c r="A5657" t="s">
        <v>39</v>
      </c>
      <c r="B5657" s="45" t="str">
        <f>INDEX(overview!$B$4:$R$338,MATCH('hydrogen - electrolysis'!B5648,overview!$A$4:$A$338,0),MATCH('hydrogen - electrolysis'!A5657,overview!$B$3:$R$3,0))</f>
        <v>exergy</v>
      </c>
    </row>
    <row r="5658" spans="1:2" x14ac:dyDescent="0.2">
      <c r="A5658" t="s">
        <v>4</v>
      </c>
      <c r="B5658" s="45" t="str">
        <f>INDEX(overview!$B$4:$R$338,MATCH('hydrogen - electrolysis'!B5648,overview!$A$4:$A$338,0),MATCH('hydrogen - electrolysis'!A5658,overview!$B$3:$R$3,0))</f>
        <v>train</v>
      </c>
    </row>
    <row r="5659" spans="1:2" x14ac:dyDescent="0.2">
      <c r="A5659" t="s">
        <v>38</v>
      </c>
      <c r="B5659" s="45">
        <f>INDEX(overview!$B$4:$R$338,MATCH('hydrogen - electrolysis'!B5648,overview!$A$4:$A$338,0),MATCH('hydrogen - electrolysis'!A5659,overview!$B$3:$R$3,0))</f>
        <v>1700</v>
      </c>
    </row>
    <row r="5660" spans="1:2" x14ac:dyDescent="0.2">
      <c r="A5660" t="s">
        <v>12</v>
      </c>
      <c r="B5660" s="45" t="str">
        <f>INDEX(overview!$B$4:$R$338,MATCH('hydrogen - electrolysis'!B5648,overview!$A$4:$A$338,0),MATCH('hydrogen - electrolysis'!A5660,overview!$B$3:$R$3,0))</f>
        <v>Pressure vessel for stationary storage</v>
      </c>
    </row>
    <row r="5661" spans="1:2" x14ac:dyDescent="0.2">
      <c r="A5661" t="s">
        <v>34</v>
      </c>
      <c r="B5661" s="45">
        <f>INDEX(overview!$B$4:$R$338,MATCH('hydrogen - electrolysis'!B5648,overview!$A$4:$A$338,0),MATCH('hydrogen - electrolysis'!A5661,overview!$B$3:$R$3,0))</f>
        <v>0</v>
      </c>
    </row>
    <row r="5662" spans="1:2" x14ac:dyDescent="0.2">
      <c r="A5662" t="s">
        <v>15</v>
      </c>
      <c r="B5662" s="45" t="str">
        <f>INDEX(overview!$B$4:$R$338,MATCH('hydrogen - electrolysis'!B5648,overview!$A$4:$A$338,0),MATCH('hydrogen - electrolysis'!A5662,overview!$B$3:$R$3,0))</f>
        <v>Electrolysis, SOEC</v>
      </c>
    </row>
    <row r="5663" spans="1:2" x14ac:dyDescent="0.2">
      <c r="A5663" t="s">
        <v>14</v>
      </c>
      <c r="B5663" s="45" t="str">
        <f>INDEX(overview!$B$4:$R$338,MATCH('hydrogen - electrolysis'!B5648,overview!$A$4:$A$338,0),MATCH('hydrogen - electrolysis'!A5663,overview!$B$3:$R$3,0))</f>
        <v>water and electricity</v>
      </c>
    </row>
    <row r="5664" spans="1:2" x14ac:dyDescent="0.2">
      <c r="A5664" t="s">
        <v>26</v>
      </c>
      <c r="B5664" s="45" t="str">
        <f>INDEX(overview!$B$4:$R$338,MATCH('hydrogen - electrolysis'!B5648,overview!$A$4:$A$338,0),MATCH('hydrogen - electrolysis'!A5664,overview!$B$3:$R$3,0))</f>
        <v>Solar PV (IT)</v>
      </c>
    </row>
    <row r="5665" spans="1:2" x14ac:dyDescent="0.2">
      <c r="A5665" t="s">
        <v>29</v>
      </c>
      <c r="B5665" s="45">
        <f>INDEX(overview!$B$4:$R$338,MATCH('hydrogen - electrolysis'!B5648,overview!$A$4:$A$338,0),MATCH('hydrogen - electrolysis'!A5665,overview!$B$3:$R$3,0))</f>
        <v>0</v>
      </c>
    </row>
    <row r="5666" spans="1:2" x14ac:dyDescent="0.2">
      <c r="A5666" t="str">
        <f>IF(B5650="megajoule","Heat","Electricity")&amp;" conversion efficiency [% LHV input]"</f>
        <v>Heat conversion efficiency [% LHV input]</v>
      </c>
      <c r="B5666" s="46">
        <f>INDEX(parameters!$D$4:$N$20,MATCH('hydrogen - electrolysis'!B5654&amp;'hydrogen - electrolysis'!B5656,parameters!$A$4:$A$20,0),MATCH('hydrogen - electrolysis'!A5666,parameters!$D$3:$N$3,0))</f>
        <v>0.41699999999999998</v>
      </c>
    </row>
    <row r="5667" spans="1:2" x14ac:dyDescent="0.2">
      <c r="A5667" t="str">
        <f>IF(B5650="megajoule","LHV [MJ/kg]","LHV [kWh/kg]")</f>
        <v>LHV [MJ/kg]</v>
      </c>
      <c r="B5667" s="47">
        <f>INDEX(parameters!$D$4:$N$20,MATCH('hydrogen - electrolysis'!B5654&amp;'hydrogen - electrolysis'!B5656,parameters!$A$4:$A$20,0),MATCH('hydrogen - electrolysis'!A5667,parameters!$D$3:$N$3,0))</f>
        <v>120</v>
      </c>
    </row>
    <row r="5668" spans="1:2" x14ac:dyDescent="0.2">
      <c r="A5668" t="s">
        <v>41</v>
      </c>
      <c r="B5668" s="48">
        <f>INDEX(parameters!$D$4:$N$20,MATCH('hydrogen - electrolysis'!B5654&amp;'hydrogen - electrolysis'!B5656,parameters!$A$4:$A$20,0),MATCH('hydrogen - electrolysis'!A5668,parameters!$D$3:$N$3,0))</f>
        <v>2.6666666666666665E-2</v>
      </c>
    </row>
    <row r="5669" spans="1:2" x14ac:dyDescent="0.2">
      <c r="A5669" t="s">
        <v>45</v>
      </c>
      <c r="B5669" s="46">
        <f>INDEX(parameters!$D$4:$N$20,MATCH('hydrogen - electrolysis'!B5654&amp;'hydrogen - electrolysis'!B5656,parameters!$A$4:$A$20,0),MATCH('hydrogen - electrolysis'!A5669,parameters!$D$3:$N$3,0))</f>
        <v>0</v>
      </c>
    </row>
    <row r="5670" spans="1:2" x14ac:dyDescent="0.2">
      <c r="A5670" t="s">
        <v>46</v>
      </c>
      <c r="B5670" s="46">
        <f>INDEX(parameters!$D$4:$N$20,MATCH('hydrogen - electrolysis'!B5654&amp;'hydrogen - electrolysis'!B5656,parameters!$A$4:$A$20,0),MATCH('hydrogen - electrolysis'!A5670,parameters!$D$3:$N$3,0))</f>
        <v>1.4999999999999999E-2</v>
      </c>
    </row>
    <row r="5671" spans="1:2" x14ac:dyDescent="0.2">
      <c r="A5671" t="s">
        <v>43</v>
      </c>
      <c r="B5671" s="46">
        <f>INDEX(parameters!$D$4:$N$20,MATCH('hydrogen - electrolysis'!B5654&amp;'hydrogen - electrolysis'!B5656,parameters!$A$4:$A$20,0),MATCH('hydrogen - electrolysis'!A5671,parameters!$D$3:$N$3,0))</f>
        <v>0</v>
      </c>
    </row>
    <row r="5672" spans="1:2" x14ac:dyDescent="0.2">
      <c r="A5672" t="s">
        <v>44</v>
      </c>
      <c r="B5672" s="46">
        <f>INDEX(parameters!$D$4:$N$20,MATCH('hydrogen - electrolysis'!B5654&amp;'hydrogen - electrolysis'!B5656,parameters!$A$4:$A$20,0),MATCH('hydrogen - electrolysis'!A5672,parameters!$D$3:$N$3,0))</f>
        <v>0</v>
      </c>
    </row>
    <row r="5673" spans="1:2" x14ac:dyDescent="0.2">
      <c r="A5673" t="s">
        <v>634</v>
      </c>
      <c r="B5673" s="51">
        <f>INDEX(parameters!$D$4:$Y$20,MATCH('hydrogen - electrolysis'!B5654&amp;'hydrogen - electrolysis'!B5656,parameters!$A$4:$A$20,0),MATCH('hydrogen - electrolysis'!A5673,parameters!$D$3:$Y$3,0))</f>
        <v>351.41800246609125</v>
      </c>
    </row>
    <row r="5674" spans="1:2" x14ac:dyDescent="0.2">
      <c r="A5674" t="s">
        <v>82</v>
      </c>
      <c r="B5674" s="46">
        <f>IF(B5665&lt;&gt;0,VLOOKUP(B5665,parameters!A3588:B3590,2,0),0)</f>
        <v>0</v>
      </c>
    </row>
    <row r="5675" spans="1:2" x14ac:dyDescent="0.2">
      <c r="A5675" t="s">
        <v>548</v>
      </c>
      <c r="B5675" s="50">
        <f>INDEX(parameters!$D$4:$P$20,MATCH(B5654&amp;B5656,parameters!$A$4:$A$20,0),MATCH(A5675,parameters!$D$3:$P$3,0))</f>
        <v>125</v>
      </c>
    </row>
    <row r="5676" spans="1:2" x14ac:dyDescent="0.2">
      <c r="A5676" t="s">
        <v>547</v>
      </c>
      <c r="B5676" s="51">
        <f>INDEX(parameters!$D$4:$P$20,MATCH(B5654&amp;B5656,parameters!$A$4:$A$20,0),MATCH(A5676,parameters!$D$3:$P$3,0))</f>
        <v>19.512195121951219</v>
      </c>
    </row>
    <row r="5677" spans="1:2" x14ac:dyDescent="0.2">
      <c r="A5677" t="s">
        <v>630</v>
      </c>
      <c r="B5677" s="51">
        <f>INDEX(parameters!$D$4:$T$20,MATCH(B5654&amp;B5656,parameters!$A$4:$A$20,0),MATCH(A5677,parameters!$D$3:$T$3,0))</f>
        <v>4100</v>
      </c>
    </row>
    <row r="5678" spans="1:2" x14ac:dyDescent="0.2">
      <c r="A5678" t="s">
        <v>1005</v>
      </c>
      <c r="B5678" s="50">
        <f>IF(B5650="megajoule",SUMIFS(allocation!$I$4:$I$30,allocation!$B$4:$B$30,B5656,allocation!$C$4:$C$30,B5657),SUMIFS(allocation!$J$4:$J$30,allocation!$B$4:$B$30,B5656,allocation!$C$4:$C$30,B5657))</f>
        <v>0.12860042227295038</v>
      </c>
    </row>
    <row r="5679" spans="1:2" x14ac:dyDescent="0.2">
      <c r="A5679" t="s">
        <v>1050</v>
      </c>
      <c r="B5679" s="51">
        <f>INDEX(parameters!$D$4:$AB$20,MATCH(B5654&amp;B5656,parameters!$A$4:$A$20,0),MATCH(A5679,parameters!$D$3:$AB$3,0))</f>
        <v>2220.7364520822662</v>
      </c>
    </row>
    <row r="5681" spans="1:22" x14ac:dyDescent="0.2">
      <c r="A5681" s="3" t="s">
        <v>57</v>
      </c>
    </row>
    <row r="5682" spans="1:22" x14ac:dyDescent="0.2">
      <c r="A5682" s="2" t="s">
        <v>58</v>
      </c>
      <c r="B5682" s="44" t="s">
        <v>59</v>
      </c>
      <c r="C5682" s="2" t="s">
        <v>55</v>
      </c>
      <c r="D5682" s="2" t="s">
        <v>60</v>
      </c>
      <c r="E5682" s="2" t="s">
        <v>52</v>
      </c>
      <c r="F5682" s="2" t="s">
        <v>61</v>
      </c>
      <c r="G5682" s="2" t="s">
        <v>54</v>
      </c>
      <c r="H5682" s="2" t="s">
        <v>87</v>
      </c>
      <c r="I5682" s="2" t="s">
        <v>51</v>
      </c>
      <c r="J5682" s="2" t="s">
        <v>138</v>
      </c>
      <c r="K5682" s="2" t="s">
        <v>136</v>
      </c>
      <c r="L5682" s="2" t="s">
        <v>221</v>
      </c>
      <c r="M5682" s="2" t="s">
        <v>379</v>
      </c>
      <c r="N5682" s="2" t="s">
        <v>1059</v>
      </c>
      <c r="O5682" s="2" t="s">
        <v>1060</v>
      </c>
      <c r="P5682" s="2" t="s">
        <v>1061</v>
      </c>
      <c r="Q5682" s="2" t="s">
        <v>1062</v>
      </c>
      <c r="R5682" s="2" t="s">
        <v>1063</v>
      </c>
      <c r="S5682" s="2" t="s">
        <v>1064</v>
      </c>
      <c r="T5682" s="2" t="s">
        <v>1065</v>
      </c>
      <c r="U5682" s="2" t="s">
        <v>380</v>
      </c>
      <c r="V5682" s="2" t="s">
        <v>1128</v>
      </c>
    </row>
    <row r="5683" spans="1:22" x14ac:dyDescent="0.2">
      <c r="A5683" t="str">
        <f>B5644</f>
        <v>heat, residential, by combustion of hydrogen using CHP, allocated by exergy, transported by train, produced by Electrolysis, SOEC using water and electricity from Solar PV (IT)</v>
      </c>
      <c r="B5683" s="45">
        <v>1</v>
      </c>
      <c r="C5683" t="str">
        <f>B5650</f>
        <v>megajoule</v>
      </c>
      <c r="E5683" t="str">
        <f>B5647</f>
        <v>CH</v>
      </c>
      <c r="F5683" t="s">
        <v>62</v>
      </c>
      <c r="G5683" t="str">
        <f>B5649</f>
        <v>heat, from residential heating system</v>
      </c>
      <c r="K5683" t="str">
        <f>B5644</f>
        <v>heat, residential, by combustion of hydrogen using CHP, allocated by exergy, transported by train, produced by Electrolysis, SOEC using water and electricity from Solar PV (IT)</v>
      </c>
    </row>
    <row r="5684" spans="1:22" x14ac:dyDescent="0.2">
      <c r="A5684" t="str">
        <f>VLOOKUP(J5684,'dataset mapping'!$A$4:$E$69,2,0)</f>
        <v>heat and power co-generation unit construction, 160kW electrical, common components for heat+electricity</v>
      </c>
      <c r="B5684" s="52">
        <f>(1/(B5673*B5677*B5676*3.6))*B5678</f>
        <v>1.270649883812899E-9</v>
      </c>
      <c r="C5684" t="str">
        <f>VLOOKUP(J5684,'dataset mapping'!$A$4:$E$69,5,0)</f>
        <v>unit</v>
      </c>
      <c r="E5684" t="str">
        <f>VLOOKUP(J5684,'dataset mapping'!$A$4:$E$69,4,0)</f>
        <v>RER</v>
      </c>
      <c r="F5684" t="s">
        <v>86</v>
      </c>
      <c r="G5684" t="str">
        <f>VLOOKUP(J5684,'dataset mapping'!$A$4:$E$69,3,0)</f>
        <v>heat and power co-generation unit, 160kW electrical, common components for heat+electricity</v>
      </c>
      <c r="H5684" t="s">
        <v>88</v>
      </c>
      <c r="J5684" t="s">
        <v>145</v>
      </c>
      <c r="K5684" t="str">
        <f>B5644</f>
        <v>heat, residential, by combustion of hydrogen using CHP, allocated by exergy, transported by train, produced by Electrolysis, SOEC using water and electricity from Solar PV (IT)</v>
      </c>
      <c r="L5684">
        <f t="shared" ref="L5684:L5693" si="208">IF(OR(B5684&lt;0,B5684=0),1,2)</f>
        <v>2</v>
      </c>
      <c r="M5684">
        <f t="shared" ref="M5684:M5693" si="209">IF(L5684=2,LN(B5684),"")</f>
        <v>-20.48373734782199</v>
      </c>
      <c r="N5684">
        <v>1.05</v>
      </c>
      <c r="O5684" s="15">
        <v>1.2</v>
      </c>
      <c r="P5684">
        <v>1</v>
      </c>
      <c r="Q5684">
        <v>1.01</v>
      </c>
      <c r="R5684">
        <v>1.2</v>
      </c>
      <c r="S5684">
        <v>1.2</v>
      </c>
      <c r="T5684">
        <v>3</v>
      </c>
      <c r="U5684">
        <f t="shared" ref="U5684:U5693" si="210">LN(SQRT(EXP(
SQRT(
+POWER(LN(N5684),2)
+POWER(LN(O5684),2)
+POWER(LN(P5684),2)
+POWER(LN(Q5684),2)
+POWER(LN(R5684),2)
+POWER(LN(S5684),2)
+POWER(LN(T5684),2)
)
)))</f>
        <v>0.57209088006881903</v>
      </c>
    </row>
    <row r="5685" spans="1:22" x14ac:dyDescent="0.2">
      <c r="A5685" t="str">
        <f>VLOOKUP(J5685,'dataset mapping'!$A$4:$E$69,2,0)</f>
        <v>heat and power co-generation unit construction, 160kW electrical, components for electricity only</v>
      </c>
      <c r="B5685" s="52">
        <f>(1/(B5673*B5677*B5676*3.6))*B5678</f>
        <v>1.270649883812899E-9</v>
      </c>
      <c r="C5685" t="str">
        <f>VLOOKUP(J5685,'dataset mapping'!$A$4:$E$69,5,0)</f>
        <v>unit</v>
      </c>
      <c r="E5685" t="str">
        <f>VLOOKUP(J5685,'dataset mapping'!$A$4:$E$69,4,0)</f>
        <v>RER</v>
      </c>
      <c r="F5685" t="s">
        <v>86</v>
      </c>
      <c r="G5685" t="str">
        <f>VLOOKUP(J5685,'dataset mapping'!$A$4:$E$69,3,0)</f>
        <v>heat and power co-generation unit, 160kW electrical, components for electricity only</v>
      </c>
      <c r="H5685" t="s">
        <v>88</v>
      </c>
      <c r="J5685" t="s">
        <v>146</v>
      </c>
      <c r="K5685" t="str">
        <f>B5644</f>
        <v>heat, residential, by combustion of hydrogen using CHP, allocated by exergy, transported by train, produced by Electrolysis, SOEC using water and electricity from Solar PV (IT)</v>
      </c>
      <c r="L5685">
        <f t="shared" si="208"/>
        <v>2</v>
      </c>
      <c r="M5685">
        <f t="shared" si="209"/>
        <v>-20.48373734782199</v>
      </c>
      <c r="N5685">
        <v>1.05</v>
      </c>
      <c r="O5685" s="15">
        <v>1.2</v>
      </c>
      <c r="P5685">
        <v>1</v>
      </c>
      <c r="Q5685">
        <v>1.01</v>
      </c>
      <c r="R5685">
        <v>1.2</v>
      </c>
      <c r="S5685">
        <v>1.2</v>
      </c>
      <c r="T5685">
        <v>3</v>
      </c>
      <c r="U5685">
        <f t="shared" si="210"/>
        <v>0.57209088006881903</v>
      </c>
    </row>
    <row r="5686" spans="1:22" x14ac:dyDescent="0.2">
      <c r="A5686" t="str">
        <f>VLOOKUP(J5686,'dataset mapping'!$A$4:$E$69,2,0)</f>
        <v>heat and power co-generation unit construction, 160kW electrical, components for heat only</v>
      </c>
      <c r="B5686" s="52">
        <f>(1/(B5673*B5677*B5676*3.6))*B5678</f>
        <v>1.270649883812899E-9</v>
      </c>
      <c r="C5686" t="str">
        <f>VLOOKUP(J5686,'dataset mapping'!$A$4:$E$69,5,0)</f>
        <v>unit</v>
      </c>
      <c r="E5686" t="str">
        <f>VLOOKUP(J5686,'dataset mapping'!$A$4:$E$69,4,0)</f>
        <v>RER</v>
      </c>
      <c r="F5686" t="s">
        <v>86</v>
      </c>
      <c r="G5686" t="str">
        <f>VLOOKUP(J5686,'dataset mapping'!$A$4:$E$69,3,0)</f>
        <v>heat and power co-generation unit, 160kW electrical, components for heat only</v>
      </c>
      <c r="H5686" t="s">
        <v>88</v>
      </c>
      <c r="J5686" t="s">
        <v>147</v>
      </c>
      <c r="K5686" t="str">
        <f>B5644</f>
        <v>heat, residential, by combustion of hydrogen using CHP, allocated by exergy, transported by train, produced by Electrolysis, SOEC using water and electricity from Solar PV (IT)</v>
      </c>
      <c r="L5686">
        <f t="shared" si="208"/>
        <v>2</v>
      </c>
      <c r="M5686">
        <f t="shared" si="209"/>
        <v>-20.48373734782199</v>
      </c>
      <c r="N5686">
        <v>1.05</v>
      </c>
      <c r="O5686" s="15">
        <v>1.2</v>
      </c>
      <c r="P5686">
        <v>1</v>
      </c>
      <c r="Q5686">
        <v>1.01</v>
      </c>
      <c r="R5686">
        <v>1.2</v>
      </c>
      <c r="S5686">
        <v>1.2</v>
      </c>
      <c r="T5686">
        <v>3</v>
      </c>
      <c r="U5686">
        <f t="shared" si="210"/>
        <v>0.57209088006881903</v>
      </c>
    </row>
    <row r="5687" spans="1:22" x14ac:dyDescent="0.2">
      <c r="A5687" t="s">
        <v>156</v>
      </c>
      <c r="B5687" s="52">
        <f>0.00000011366*B5678</f>
        <v>1.461672399554354E-8</v>
      </c>
      <c r="C5687" t="s">
        <v>56</v>
      </c>
      <c r="E5687" t="s">
        <v>90</v>
      </c>
      <c r="F5687" t="s">
        <v>86</v>
      </c>
      <c r="G5687" t="s">
        <v>154</v>
      </c>
      <c r="H5687" t="s">
        <v>155</v>
      </c>
      <c r="K5687" t="str">
        <f>B5644</f>
        <v>heat, residential, by combustion of hydrogen using CHP, allocated by exergy, transported by train, produced by Electrolysis, SOEC using water and electricity from Solar PV (IT)</v>
      </c>
      <c r="L5687">
        <f t="shared" si="208"/>
        <v>2</v>
      </c>
      <c r="M5687">
        <f t="shared" si="209"/>
        <v>-18.041099484645969</v>
      </c>
      <c r="N5687">
        <v>1.05</v>
      </c>
      <c r="O5687" s="15">
        <v>1.2</v>
      </c>
      <c r="P5687">
        <v>1</v>
      </c>
      <c r="Q5687">
        <v>1.01</v>
      </c>
      <c r="R5687">
        <v>1.2</v>
      </c>
      <c r="S5687">
        <v>1.2</v>
      </c>
      <c r="T5687">
        <v>1.05</v>
      </c>
      <c r="U5687">
        <f t="shared" si="210"/>
        <v>0.16169679924070957</v>
      </c>
    </row>
    <row r="5688" spans="1:22" x14ac:dyDescent="0.2">
      <c r="A5688" t="s">
        <v>157</v>
      </c>
      <c r="B5688" s="52">
        <f>0.00000011366*B5678*-1</f>
        <v>-1.461672399554354E-8</v>
      </c>
      <c r="C5688" t="s">
        <v>56</v>
      </c>
      <c r="E5688" t="s">
        <v>64</v>
      </c>
      <c r="F5688" t="s">
        <v>86</v>
      </c>
      <c r="G5688" t="s">
        <v>158</v>
      </c>
      <c r="H5688" t="s">
        <v>155</v>
      </c>
      <c r="K5688" t="str">
        <f>B5644</f>
        <v>heat, residential, by combustion of hydrogen using CHP, allocated by exergy, transported by train, produced by Electrolysis, SOEC using water and electricity from Solar PV (IT)</v>
      </c>
      <c r="L5688">
        <v>2</v>
      </c>
      <c r="M5688">
        <f>IF(L5688=2,LN(B5688*-1),"")</f>
        <v>-18.041099484645969</v>
      </c>
      <c r="N5688">
        <v>1.05</v>
      </c>
      <c r="O5688" s="15">
        <v>1.2</v>
      </c>
      <c r="P5688">
        <v>1</v>
      </c>
      <c r="Q5688">
        <v>1.01</v>
      </c>
      <c r="R5688">
        <v>1.2</v>
      </c>
      <c r="S5688">
        <v>1.2</v>
      </c>
      <c r="T5688">
        <v>3</v>
      </c>
      <c r="U5688">
        <f>LN(SQRT(EXP(
SQRT(
+POWER(LN(N5688),2)
+POWER(LN(O5688),2)
+POWER(LN(P5688),2)
+POWER(LN(Q5688),2)
+POWER(LN(R5688),2)
+POWER(LN(S5688),2)
+POWER(LN(T5688),2)
)
)))</f>
        <v>0.57209088006881903</v>
      </c>
      <c r="V5688" t="b">
        <v>1</v>
      </c>
    </row>
    <row r="5689" spans="1:22" x14ac:dyDescent="0.2">
      <c r="A5689" s="45" t="str">
        <f>"hydrogen supply, transported by "&amp;B5658&amp;", produced by "&amp;B5662&amp;" using "&amp;B5663&amp;" from "&amp;B5664</f>
        <v>hydrogen supply, transported by train, produced by Electrolysis, SOEC using water and electricity from Solar PV (IT)</v>
      </c>
      <c r="B5689" s="53">
        <f>(B5683/B5667)/B5666*B5678</f>
        <v>2.56995248347223E-3</v>
      </c>
      <c r="C5689" t="s">
        <v>56</v>
      </c>
      <c r="E5689" t="s">
        <v>64</v>
      </c>
      <c r="F5689" t="s">
        <v>86</v>
      </c>
      <c r="G5689" t="str">
        <f>"hydrogen, gaseous, from "&amp;B5658</f>
        <v>hydrogen, gaseous, from train</v>
      </c>
      <c r="H5689" t="s">
        <v>76</v>
      </c>
      <c r="I5689" t="s">
        <v>1054</v>
      </c>
      <c r="J5689" t="s">
        <v>638</v>
      </c>
      <c r="K5689" t="str">
        <f>B5644</f>
        <v>heat, residential, by combustion of hydrogen using CHP, allocated by exergy, transported by train, produced by Electrolysis, SOEC using water and electricity from Solar PV (IT)</v>
      </c>
      <c r="L5689">
        <f t="shared" si="208"/>
        <v>2</v>
      </c>
      <c r="M5689">
        <f t="shared" si="209"/>
        <v>-5.9638678691672418</v>
      </c>
      <c r="N5689">
        <v>1.05</v>
      </c>
      <c r="O5689" s="15">
        <v>1.2</v>
      </c>
      <c r="P5689">
        <v>1</v>
      </c>
      <c r="Q5689">
        <v>1.01</v>
      </c>
      <c r="R5689">
        <v>1.2</v>
      </c>
      <c r="S5689">
        <v>1.2</v>
      </c>
      <c r="T5689">
        <v>1.05</v>
      </c>
      <c r="U5689">
        <f t="shared" si="210"/>
        <v>0.16169679924070957</v>
      </c>
    </row>
    <row r="5690" spans="1:22" x14ac:dyDescent="0.2">
      <c r="A5690" t="str">
        <f>VLOOKUP(J5690,'dataset mapping'!$A$4:$E$69,2,0)</f>
        <v>market for transport, freight train</v>
      </c>
      <c r="B5690" s="45">
        <f>SUM(B5689:B5689)/1000*B5659</f>
        <v>4.368919221902791E-3</v>
      </c>
      <c r="C5690" t="str">
        <f>VLOOKUP(J5690,'dataset mapping'!$A$4:$E$69,5,0)</f>
        <v>ton kilometer</v>
      </c>
      <c r="E5690" t="str">
        <f>VLOOKUP(J5690,'dataset mapping'!$A$4:$E$69,4,0)</f>
        <v>CH</v>
      </c>
      <c r="F5690" t="s">
        <v>86</v>
      </c>
      <c r="G5690" t="str">
        <f>VLOOKUP(J5690,'dataset mapping'!$A$4:$E$69,3,0)</f>
        <v>transport, freight train</v>
      </c>
      <c r="H5690" t="s">
        <v>88</v>
      </c>
      <c r="I5690" t="s">
        <v>1052</v>
      </c>
      <c r="J5690" t="s">
        <v>295</v>
      </c>
      <c r="K5690" t="str">
        <f>B5644</f>
        <v>heat, residential, by combustion of hydrogen using CHP, allocated by exergy, transported by train, produced by Electrolysis, SOEC using water and electricity from Solar PV (IT)</v>
      </c>
      <c r="L5690">
        <f t="shared" si="208"/>
        <v>2</v>
      </c>
      <c r="M5690">
        <f t="shared" si="209"/>
        <v>-5.4332396181050715</v>
      </c>
      <c r="N5690">
        <v>1.05</v>
      </c>
      <c r="O5690" s="15">
        <v>1.2</v>
      </c>
      <c r="P5690">
        <v>1</v>
      </c>
      <c r="Q5690">
        <v>1.01</v>
      </c>
      <c r="R5690">
        <v>1.2</v>
      </c>
      <c r="S5690">
        <v>1.2</v>
      </c>
      <c r="T5690">
        <v>2</v>
      </c>
      <c r="U5690">
        <f t="shared" si="210"/>
        <v>0.38165951885721477</v>
      </c>
    </row>
    <row r="5691" spans="1:22" x14ac:dyDescent="0.2">
      <c r="A5691" t="str">
        <f>VLOOKUP(J5691,'dataset mapping'!$A$4:$E$69,2,0)</f>
        <v>high pressure hydrogen storage tank</v>
      </c>
      <c r="B5691" s="52">
        <f>((B5679/10)/(B5677*B5673*20*3.6))*IF(B5678&lt;&gt;0,B5678,1)</f>
        <v>2.7529546486023421E-7</v>
      </c>
      <c r="C5691" t="str">
        <f>VLOOKUP(J5691,'dataset mapping'!$A$4:$E$69,5,0)</f>
        <v>kilogram</v>
      </c>
      <c r="E5691" t="str">
        <f>VLOOKUP(J5691,'dataset mapping'!$A$4:$E$69,4,0)</f>
        <v>GLO</v>
      </c>
      <c r="F5691" t="s">
        <v>86</v>
      </c>
      <c r="G5691" t="str">
        <f>VLOOKUP(J5691,'dataset mapping'!$A$4:$E$69,3,0)</f>
        <v>high pressure hydrogen storage tank</v>
      </c>
      <c r="H5691" t="s">
        <v>88</v>
      </c>
      <c r="I5691" t="s">
        <v>279</v>
      </c>
      <c r="J5691" t="s">
        <v>229</v>
      </c>
      <c r="K5691" t="str">
        <f>B5644</f>
        <v>heat, residential, by combustion of hydrogen using CHP, allocated by exergy, transported by train, produced by Electrolysis, SOEC using water and electricity from Solar PV (IT)</v>
      </c>
      <c r="L5691">
        <f t="shared" si="208"/>
        <v>2</v>
      </c>
      <c r="M5691">
        <f t="shared" si="209"/>
        <v>-15.105420898379837</v>
      </c>
      <c r="N5691">
        <v>1.05</v>
      </c>
      <c r="O5691" s="15">
        <v>1.2</v>
      </c>
      <c r="P5691">
        <v>1</v>
      </c>
      <c r="Q5691">
        <v>1.01</v>
      </c>
      <c r="R5691">
        <v>1.2</v>
      </c>
      <c r="S5691">
        <v>1.2</v>
      </c>
      <c r="T5691">
        <v>3</v>
      </c>
      <c r="U5691">
        <f t="shared" si="210"/>
        <v>0.57209088006881903</v>
      </c>
    </row>
    <row r="5692" spans="1:22" x14ac:dyDescent="0.2">
      <c r="A5692" t="s">
        <v>134</v>
      </c>
      <c r="B5692" s="45">
        <f>B5689*9</f>
        <v>2.3129572351250072E-2</v>
      </c>
      <c r="C5692" t="s">
        <v>56</v>
      </c>
      <c r="D5692" t="s">
        <v>100</v>
      </c>
      <c r="F5692" t="s">
        <v>99</v>
      </c>
      <c r="H5692" t="s">
        <v>131</v>
      </c>
      <c r="I5692" t="s">
        <v>1058</v>
      </c>
      <c r="K5692" t="str">
        <f>B5644</f>
        <v>heat, residential, by combustion of hydrogen using CHP, allocated by exergy, transported by train, produced by Electrolysis, SOEC using water and electricity from Solar PV (IT)</v>
      </c>
      <c r="L5692">
        <f t="shared" si="208"/>
        <v>2</v>
      </c>
      <c r="M5692">
        <f t="shared" si="209"/>
        <v>-3.7666432918310226</v>
      </c>
      <c r="N5692">
        <v>1.05</v>
      </c>
      <c r="O5692" s="15">
        <v>1.2</v>
      </c>
      <c r="P5692">
        <v>1</v>
      </c>
      <c r="Q5692">
        <v>1.01</v>
      </c>
      <c r="R5692">
        <v>1.2</v>
      </c>
      <c r="S5692">
        <v>1.2</v>
      </c>
      <c r="T5692">
        <v>1.05</v>
      </c>
      <c r="U5692">
        <f t="shared" si="210"/>
        <v>0.16169679924070957</v>
      </c>
    </row>
    <row r="5693" spans="1:22" x14ac:dyDescent="0.2">
      <c r="A5693" t="s">
        <v>135</v>
      </c>
      <c r="B5693" s="45">
        <f>912.5/1000000*B5690</f>
        <v>3.9866387899862971E-6</v>
      </c>
      <c r="C5693" t="s">
        <v>56</v>
      </c>
      <c r="D5693" t="s">
        <v>100</v>
      </c>
      <c r="F5693" t="s">
        <v>99</v>
      </c>
      <c r="H5693" t="s">
        <v>131</v>
      </c>
      <c r="I5693" t="s">
        <v>1217</v>
      </c>
      <c r="K5693" t="str">
        <f>B5644</f>
        <v>heat, residential, by combustion of hydrogen using CHP, allocated by exergy, transported by train, produced by Electrolysis, SOEC using water and electricity from Solar PV (IT)</v>
      </c>
      <c r="L5693">
        <f t="shared" si="208"/>
        <v>2</v>
      </c>
      <c r="M5693">
        <f t="shared" si="209"/>
        <v>-12.432562090612699</v>
      </c>
      <c r="N5693">
        <v>1.05</v>
      </c>
      <c r="O5693" s="15">
        <v>1.2</v>
      </c>
      <c r="P5693">
        <v>1</v>
      </c>
      <c r="Q5693">
        <v>1.01</v>
      </c>
      <c r="R5693">
        <v>1.2</v>
      </c>
      <c r="S5693">
        <v>1.2</v>
      </c>
      <c r="T5693">
        <v>1.5</v>
      </c>
      <c r="U5693">
        <f t="shared" si="210"/>
        <v>0.25816898211842121</v>
      </c>
    </row>
    <row r="5695" spans="1:22" x14ac:dyDescent="0.2">
      <c r="A5695" s="2" t="s">
        <v>50</v>
      </c>
      <c r="B5695" s="44" t="str">
        <f>IF(B5701="megajoule","heat","electricity")&amp;", residential, by "&amp;B5706&amp;" of "&amp;B5705&amp;" using "&amp;B5707&amp;IF(B5708&lt;&gt;0,", allocated by "&amp;B5708,"")&amp;", transported by "&amp;B5709&amp;", produced by "&amp;B5713&amp;" using "&amp;B5714&amp;" from "&amp;B5715</f>
        <v>heat, residential, by conversion of hydrogen using fuel cell, PEM, allocated by exergy, transported by train, produced by Electrolysis, SOEC using water and electricity from Solar PV (IT)</v>
      </c>
    </row>
    <row r="5696" spans="1:22" x14ac:dyDescent="0.2">
      <c r="A5696" t="s">
        <v>51</v>
      </c>
      <c r="B5696" s="45" t="str">
        <f>"This dataset represents the supply of 1 "&amp;IF(B5701="megajoule","megajoule of heat","kilowatt hour of electricity")&amp;" in a residence, by "&amp;B5705&amp;" "&amp;B5706&amp;" in a "&amp;B5707&amp;". "&amp;" The hydrogen is transported by "&amp;B5709&amp;" over "&amp;B5710&amp;" km from regional storage. "&amp;" The "&amp;B5705&amp;" is produced by  "&amp;B5713&amp;", with "&amp;B5714&amp;" from "&amp;B5715&amp;" as feedstock. "&amp;A5717&amp;": "&amp;(B5717*100)&amp;"%. "&amp;A5718&amp;": "&amp;B5718&amp;". "&amp;A5719&amp;": "&amp;B5719&amp;". "&amp;A5720&amp;": "&amp;(B5720*100)&amp;"%. "&amp;A5721&amp;": "&amp;(B5721*100)&amp;"%. "&amp;A5722&amp;": "&amp;(B5722*100)&amp;"%. "&amp;A5723&amp;": "&amp;B5723&amp;". "&amp;A5724&amp;": "&amp;B5724&amp;". "&amp;A5725&amp;": "&amp;(B5725*100)&amp;"%. "&amp;A5726&amp;": "&amp;B5726&amp;". "&amp;A5727&amp;": "&amp;B5727&amp;". "&amp;A5728&amp;": "&amp;B5728&amp;". "&amp;A5729&amp;": "&amp;B5729&amp;".  For more information, refer to: "&amp;B5697</f>
        <v>This dataset represents the supply of 1 megajoule of heat in a residence, by hydrogen conversion in a fuel cell, PEM.  The hydrogen is transported by train over 1700 km from regional storage.  The hydrogen is produced by  Electrolysis, SOEC, with water and electricity from Solar PV (IT)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5697" spans="1:2" x14ac:dyDescent="0.2">
      <c r="A5697" t="s">
        <v>63</v>
      </c>
      <c r="B5697" s="45" t="s">
        <v>1223</v>
      </c>
    </row>
    <row r="5698" spans="1:2" x14ac:dyDescent="0.2">
      <c r="A5698" t="s">
        <v>52</v>
      </c>
      <c r="B5698" s="45" t="s">
        <v>64</v>
      </c>
    </row>
    <row r="5699" spans="1:2" x14ac:dyDescent="0.2">
      <c r="A5699" t="s">
        <v>48</v>
      </c>
      <c r="B5699" s="45">
        <v>71</v>
      </c>
    </row>
    <row r="5700" spans="1:2" x14ac:dyDescent="0.2">
      <c r="A5700" t="s">
        <v>54</v>
      </c>
      <c r="B5700" s="45" t="str">
        <f>INDEX(overview!$B$4:$R$338,MATCH('hydrogen - electrolysis'!B5699,overview!$A$4:$A$338,0),MATCH('hydrogen - electrolysis'!A5700,overview!$B$3:$R$3,0))</f>
        <v>heat, from residential heating system</v>
      </c>
    </row>
    <row r="5701" spans="1:2" x14ac:dyDescent="0.2">
      <c r="A5701" t="s">
        <v>55</v>
      </c>
      <c r="B5701" s="45" t="str">
        <f>INDEX(overview!$B$4:$R$338,MATCH('hydrogen - electrolysis'!B5699,overview!$A$4:$A$338,0),MATCH('hydrogen - electrolysis'!A5701,overview!$B$3:$R$3,0))</f>
        <v>megajoule</v>
      </c>
    </row>
    <row r="5702" spans="1:2" x14ac:dyDescent="0.2">
      <c r="A5702" t="s">
        <v>0</v>
      </c>
      <c r="B5702" s="45" t="str">
        <f>INDEX(overview!$B$4:$R$338,MATCH('hydrogen - electrolysis'!B5699,overview!$A$4:$A$338,0),MATCH('hydrogen - electrolysis'!A5702,overview!$B$3:$R$3,0))</f>
        <v>Switzerland</v>
      </c>
    </row>
    <row r="5703" spans="1:2" x14ac:dyDescent="0.2">
      <c r="A5703" t="s">
        <v>1</v>
      </c>
      <c r="B5703" s="45">
        <f>INDEX(overview!$B$4:$R$338,MATCH('hydrogen - electrolysis'!B5699,overview!$A$4:$A$338,0),MATCH('hydrogen - electrolysis'!A5703,overview!$B$3:$R$3,0))</f>
        <v>2020</v>
      </c>
    </row>
    <row r="5704" spans="1:2" x14ac:dyDescent="0.2">
      <c r="A5704" t="s">
        <v>2</v>
      </c>
      <c r="B5704" s="45" t="str">
        <f>INDEX(overview!$B$4:$R$338,MATCH('hydrogen - electrolysis'!B5699,overview!$A$4:$A$338,0),MATCH('hydrogen - electrolysis'!A5704,overview!$B$3:$R$3,0))</f>
        <v>1 MJ heat</v>
      </c>
    </row>
    <row r="5705" spans="1:2" x14ac:dyDescent="0.2">
      <c r="A5705" t="s">
        <v>5</v>
      </c>
      <c r="B5705" s="45" t="str">
        <f>INDEX(overview!$B$4:$R$338,MATCH('hydrogen - electrolysis'!B5699,overview!$A$4:$A$338,0),MATCH('hydrogen - electrolysis'!A5705,overview!$B$3:$R$3,0))</f>
        <v>hydrogen</v>
      </c>
    </row>
    <row r="5706" spans="1:2" x14ac:dyDescent="0.2">
      <c r="A5706" t="s">
        <v>3</v>
      </c>
      <c r="B5706" s="45" t="str">
        <f>INDEX(overview!$B$4:$R$338,MATCH('hydrogen - electrolysis'!B5699,overview!$A$4:$A$338,0),MATCH('hydrogen - electrolysis'!A5706,overview!$B$3:$R$3,0))</f>
        <v>conversion</v>
      </c>
    </row>
    <row r="5707" spans="1:2" x14ac:dyDescent="0.2">
      <c r="A5707" t="s">
        <v>6</v>
      </c>
      <c r="B5707" s="45" t="str">
        <f>INDEX(overview!$B$4:$R$338,MATCH('hydrogen - electrolysis'!B5699,overview!$A$4:$A$338,0),MATCH('hydrogen - electrolysis'!A5707,overview!$B$3:$R$3,0))</f>
        <v>fuel cell, PEM</v>
      </c>
    </row>
    <row r="5708" spans="1:2" x14ac:dyDescent="0.2">
      <c r="A5708" t="s">
        <v>39</v>
      </c>
      <c r="B5708" s="45" t="str">
        <f>INDEX(overview!$B$4:$R$338,MATCH('hydrogen - electrolysis'!B5699,overview!$A$4:$A$338,0),MATCH('hydrogen - electrolysis'!A5708,overview!$B$3:$R$3,0))</f>
        <v>exergy</v>
      </c>
    </row>
    <row r="5709" spans="1:2" x14ac:dyDescent="0.2">
      <c r="A5709" t="s">
        <v>4</v>
      </c>
      <c r="B5709" s="45" t="str">
        <f>INDEX(overview!$B$4:$R$338,MATCH('hydrogen - electrolysis'!B5699,overview!$A$4:$A$338,0),MATCH('hydrogen - electrolysis'!A5709,overview!$B$3:$R$3,0))</f>
        <v>train</v>
      </c>
    </row>
    <row r="5710" spans="1:2" x14ac:dyDescent="0.2">
      <c r="A5710" t="s">
        <v>38</v>
      </c>
      <c r="B5710" s="45">
        <f>INDEX(overview!$B$4:$R$338,MATCH('hydrogen - electrolysis'!B5699,overview!$A$4:$A$338,0),MATCH('hydrogen - electrolysis'!A5710,overview!$B$3:$R$3,0))</f>
        <v>1700</v>
      </c>
    </row>
    <row r="5711" spans="1:2" x14ac:dyDescent="0.2">
      <c r="A5711" t="s">
        <v>12</v>
      </c>
      <c r="B5711" s="45" t="str">
        <f>INDEX(overview!$B$4:$R$338,MATCH('hydrogen - electrolysis'!B5699,overview!$A$4:$A$338,0),MATCH('hydrogen - electrolysis'!A5711,overview!$B$3:$R$3,0))</f>
        <v>Pressure vessel for stationary storage</v>
      </c>
    </row>
    <row r="5712" spans="1:2" x14ac:dyDescent="0.2">
      <c r="A5712" t="s">
        <v>34</v>
      </c>
      <c r="B5712" s="45">
        <f>INDEX(overview!$B$4:$R$338,MATCH('hydrogen - electrolysis'!B5699,overview!$A$4:$A$338,0),MATCH('hydrogen - electrolysis'!A5712,overview!$B$3:$R$3,0))</f>
        <v>0</v>
      </c>
    </row>
    <row r="5713" spans="1:2" x14ac:dyDescent="0.2">
      <c r="A5713" t="s">
        <v>15</v>
      </c>
      <c r="B5713" s="45" t="str">
        <f>INDEX(overview!$B$4:$R$338,MATCH('hydrogen - electrolysis'!B5699,overview!$A$4:$A$338,0),MATCH('hydrogen - electrolysis'!A5713,overview!$B$3:$R$3,0))</f>
        <v>Electrolysis, SOEC</v>
      </c>
    </row>
    <row r="5714" spans="1:2" x14ac:dyDescent="0.2">
      <c r="A5714" t="s">
        <v>14</v>
      </c>
      <c r="B5714" s="45" t="str">
        <f>INDEX(overview!$B$4:$R$338,MATCH('hydrogen - electrolysis'!B5699,overview!$A$4:$A$338,0),MATCH('hydrogen - electrolysis'!A5714,overview!$B$3:$R$3,0))</f>
        <v>water and electricity</v>
      </c>
    </row>
    <row r="5715" spans="1:2" x14ac:dyDescent="0.2">
      <c r="A5715" t="s">
        <v>26</v>
      </c>
      <c r="B5715" s="45" t="str">
        <f>INDEX(overview!$B$4:$R$338,MATCH('hydrogen - electrolysis'!B5699,overview!$A$4:$A$338,0),MATCH('hydrogen - electrolysis'!A5715,overview!$B$3:$R$3,0))</f>
        <v>Solar PV (IT)</v>
      </c>
    </row>
    <row r="5716" spans="1:2" x14ac:dyDescent="0.2">
      <c r="A5716" t="s">
        <v>29</v>
      </c>
      <c r="B5716" s="45">
        <f>INDEX(overview!$B$4:$R$338,MATCH('hydrogen - electrolysis'!B5699,overview!$A$4:$A$338,0),MATCH('hydrogen - electrolysis'!A5716,overview!$B$3:$R$3,0))</f>
        <v>0</v>
      </c>
    </row>
    <row r="5717" spans="1:2" x14ac:dyDescent="0.2">
      <c r="A5717" t="str">
        <f>IF(B5701="megajoule","Heat","Electricity")&amp;" conversion efficiency [% LHV input]"</f>
        <v>Heat conversion efficiency [% LHV input]</v>
      </c>
      <c r="B5717" s="46">
        <f>INDEX(parameters!$D$4:$N$20,MATCH('hydrogen - electrolysis'!B5705&amp;'hydrogen - electrolysis'!B5707,parameters!$A$4:$A$20,0),MATCH('hydrogen - electrolysis'!A5717,parameters!$D$3:$N$3,0))</f>
        <v>0.5</v>
      </c>
    </row>
    <row r="5718" spans="1:2" x14ac:dyDescent="0.2">
      <c r="A5718" t="str">
        <f>IF(B5701="megajoule","LHV [MJ/kg]","LHV [kWh/kg]")</f>
        <v>LHV [MJ/kg]</v>
      </c>
      <c r="B5718" s="47">
        <f>INDEX(parameters!$D$4:$N$20,MATCH('hydrogen - electrolysis'!B5705&amp;'hydrogen - electrolysis'!B5707,parameters!$A$4:$A$20,0),MATCH('hydrogen - electrolysis'!A5718,parameters!$D$3:$N$3,0))</f>
        <v>120</v>
      </c>
    </row>
    <row r="5719" spans="1:2" x14ac:dyDescent="0.2">
      <c r="A5719" t="s">
        <v>41</v>
      </c>
      <c r="B5719" s="48">
        <f>INDEX(parameters!$D$4:$N$20,MATCH('hydrogen - electrolysis'!B5705&amp;'hydrogen - electrolysis'!B5707,parameters!$A$4:$A$20,0),MATCH('hydrogen - electrolysis'!A5719,parameters!$D$3:$N$3,0))</f>
        <v>2.6666666666666665E-2</v>
      </c>
    </row>
    <row r="5720" spans="1:2" x14ac:dyDescent="0.2">
      <c r="A5720" t="s">
        <v>45</v>
      </c>
      <c r="B5720" s="46">
        <f>INDEX(parameters!$D$4:$N$20,MATCH('hydrogen - electrolysis'!B5705&amp;'hydrogen - electrolysis'!B5707,parameters!$A$4:$A$20,0),MATCH('hydrogen - electrolysis'!A5720,parameters!$D$3:$N$3,0))</f>
        <v>0</v>
      </c>
    </row>
    <row r="5721" spans="1:2" x14ac:dyDescent="0.2">
      <c r="A5721" t="s">
        <v>46</v>
      </c>
      <c r="B5721" s="46">
        <f>INDEX(parameters!$D$4:$N$20,MATCH('hydrogen - electrolysis'!B5705&amp;'hydrogen - electrolysis'!B5707,parameters!$A$4:$A$20,0),MATCH('hydrogen - electrolysis'!A5721,parameters!$D$3:$N$3,0))</f>
        <v>1.4999999999999999E-2</v>
      </c>
    </row>
    <row r="5722" spans="1:2" x14ac:dyDescent="0.2">
      <c r="A5722" t="s">
        <v>43</v>
      </c>
      <c r="B5722" s="46">
        <f>INDEX(parameters!$D$4:$N$20,MATCH('hydrogen - electrolysis'!B5705&amp;'hydrogen - electrolysis'!B5707,parameters!$A$4:$A$20,0),MATCH('hydrogen - electrolysis'!A5722,parameters!$D$3:$N$3,0))</f>
        <v>0</v>
      </c>
    </row>
    <row r="5723" spans="1:2" x14ac:dyDescent="0.2">
      <c r="A5723" t="s">
        <v>44</v>
      </c>
      <c r="B5723" s="46">
        <f>INDEX(parameters!$D$4:$N$20,MATCH('hydrogen - electrolysis'!B5705&amp;'hydrogen - electrolysis'!B5707,parameters!$A$4:$A$20,0),MATCH('hydrogen - electrolysis'!A5723,parameters!$D$3:$N$3,0))</f>
        <v>0</v>
      </c>
    </row>
    <row r="5724" spans="1:2" x14ac:dyDescent="0.2">
      <c r="A5724" t="s">
        <v>634</v>
      </c>
      <c r="B5724" s="51">
        <f>INDEX(parameters!$D$4:$Y$20,MATCH('hydrogen - electrolysis'!B5705&amp;'hydrogen - electrolysis'!B5707,parameters!$A$4:$A$20,0),MATCH('hydrogen - electrolysis'!A5724,parameters!$D$3:$Y$3,0))</f>
        <v>1.8947368421052633</v>
      </c>
    </row>
    <row r="5725" spans="1:2" x14ac:dyDescent="0.2">
      <c r="A5725" t="s">
        <v>82</v>
      </c>
      <c r="B5725" s="46">
        <f>IF(B5716&lt;&gt;0,VLOOKUP(B5716,parameters!A3641:B3643,2,0),0)</f>
        <v>0</v>
      </c>
    </row>
    <row r="5726" spans="1:2" x14ac:dyDescent="0.2">
      <c r="A5726" t="s">
        <v>548</v>
      </c>
      <c r="B5726" s="50">
        <f>INDEX(parameters!$D$4:$P$20,MATCH(B5705&amp;B5707,parameters!$A$4:$A$20,0),MATCH(A5726,parameters!$D$3:$P$3,0))</f>
        <v>0.8</v>
      </c>
    </row>
    <row r="5727" spans="1:2" x14ac:dyDescent="0.2">
      <c r="A5727" t="s">
        <v>547</v>
      </c>
      <c r="B5727" s="51">
        <f>INDEX(parameters!$D$4:$P$20,MATCH(B5705&amp;B5707,parameters!$A$4:$A$20,0),MATCH(A5727,parameters!$D$3:$P$3,0))</f>
        <v>4.8780487804878048</v>
      </c>
    </row>
    <row r="5728" spans="1:2" x14ac:dyDescent="0.2">
      <c r="A5728" t="s">
        <v>630</v>
      </c>
      <c r="B5728" s="51">
        <f>INDEX(parameters!$D$4:$T$20,MATCH(B5705&amp;B5707,parameters!$A$4:$A$20,0),MATCH(A5728,parameters!$D$3:$T$3,0))</f>
        <v>4100</v>
      </c>
    </row>
    <row r="5729" spans="1:22" x14ac:dyDescent="0.2">
      <c r="A5729" t="s">
        <v>1005</v>
      </c>
      <c r="B5729" s="50">
        <f>IF(B5701="megajoule",SUMIFS(allocation!$I$4:$I$30,allocation!$B$4:$B$30,B5707,allocation!$C$4:$C$30,B5708),SUMIFS(allocation!$J$4:$J$30,allocation!$B$4:$B$30,B5707,allocation!$C$4:$C$30,B5708))</f>
        <v>0.13933980798974457</v>
      </c>
    </row>
    <row r="5730" spans="1:22" x14ac:dyDescent="0.2">
      <c r="A5730" t="s">
        <v>1050</v>
      </c>
      <c r="B5730" s="51">
        <f>INDEX(parameters!$D$4:$AB$20,MATCH(B5705&amp;B5707,parameters!$A$4:$A$20,0),MATCH(A5730,parameters!$D$3:$AB$3,0))</f>
        <v>10.221606648199446</v>
      </c>
    </row>
    <row r="5732" spans="1:22" x14ac:dyDescent="0.2">
      <c r="A5732" s="3" t="s">
        <v>57</v>
      </c>
    </row>
    <row r="5733" spans="1:22" x14ac:dyDescent="0.2">
      <c r="A5733" s="2" t="s">
        <v>58</v>
      </c>
      <c r="B5733" s="44" t="s">
        <v>59</v>
      </c>
      <c r="C5733" s="2" t="s">
        <v>55</v>
      </c>
      <c r="D5733" s="2" t="s">
        <v>60</v>
      </c>
      <c r="E5733" s="2" t="s">
        <v>52</v>
      </c>
      <c r="F5733" s="2" t="s">
        <v>61</v>
      </c>
      <c r="G5733" s="2" t="s">
        <v>54</v>
      </c>
      <c r="H5733" s="2" t="s">
        <v>87</v>
      </c>
      <c r="I5733" s="2" t="s">
        <v>51</v>
      </c>
      <c r="J5733" s="2" t="s">
        <v>138</v>
      </c>
      <c r="K5733" s="2" t="s">
        <v>136</v>
      </c>
      <c r="L5733" s="2" t="s">
        <v>221</v>
      </c>
      <c r="M5733" s="2" t="s">
        <v>379</v>
      </c>
      <c r="N5733" s="2" t="s">
        <v>1059</v>
      </c>
      <c r="O5733" s="2" t="s">
        <v>1060</v>
      </c>
      <c r="P5733" s="2" t="s">
        <v>1061</v>
      </c>
      <c r="Q5733" s="2" t="s">
        <v>1062</v>
      </c>
      <c r="R5733" s="2" t="s">
        <v>1063</v>
      </c>
      <c r="S5733" s="2" t="s">
        <v>1064</v>
      </c>
      <c r="T5733" s="2" t="s">
        <v>1065</v>
      </c>
      <c r="U5733" s="2" t="s">
        <v>380</v>
      </c>
      <c r="V5733" s="2" t="s">
        <v>1128</v>
      </c>
    </row>
    <row r="5734" spans="1:22" x14ac:dyDescent="0.2">
      <c r="A5734" t="str">
        <f>B5695</f>
        <v>heat, residential, by conversion of hydrogen using fuel cell, PEM, allocated by exergy, transported by train, produced by Electrolysis, SOEC using water and electricity from Solar PV (IT)</v>
      </c>
      <c r="B5734" s="45">
        <v>1</v>
      </c>
      <c r="C5734" t="str">
        <f>B5701</f>
        <v>megajoule</v>
      </c>
      <c r="E5734" t="str">
        <f>B5698</f>
        <v>CH</v>
      </c>
      <c r="F5734" t="s">
        <v>62</v>
      </c>
      <c r="G5734" t="str">
        <f>B5700</f>
        <v>heat, from residential heating system</v>
      </c>
      <c r="K5734" t="str">
        <f>B5695</f>
        <v>heat, residential, by conversion of hydrogen using fuel cell, PEM, allocated by exergy, transported by train, produced by Electrolysis, SOEC using water and electricity from Solar PV (IT)</v>
      </c>
    </row>
    <row r="5735" spans="1:22" x14ac:dyDescent="0.2">
      <c r="A5735" t="str">
        <f>VLOOKUP(J5735,'dataset mapping'!$A$4:$E$69,2,0)</f>
        <v>fuel cell system assembly, 1 kWe, proton exchange membrane (PEM)</v>
      </c>
      <c r="B5735" s="52">
        <f>1/(80000*3.6)/0.5*SUMIFS(allocation!$I$4:$I$30,allocation!$B$4:$B$30,'hydrogen - electrolysis'!B5707,allocation!$C$4:$C$30,'hydrogen - electrolysis'!B5708)</f>
        <v>9.6763755548433728E-7</v>
      </c>
      <c r="C5735" t="str">
        <f>VLOOKUP(J5735,'dataset mapping'!$A$4:$E$69,5,0)</f>
        <v>unit</v>
      </c>
      <c r="E5735" t="str">
        <f>VLOOKUP(J5735,'dataset mapping'!$A$4:$E$69,4,0)</f>
        <v>GLO</v>
      </c>
      <c r="F5735" t="s">
        <v>86</v>
      </c>
      <c r="G5735" t="str">
        <f>VLOOKUP(J5735,'dataset mapping'!$A$4:$E$69,3,0)</f>
        <v>fuel cell system, 1 kWe, proton exchange membrane (PEM)</v>
      </c>
      <c r="H5735" t="s">
        <v>88</v>
      </c>
      <c r="I5735" t="s">
        <v>272</v>
      </c>
      <c r="J5735" t="s">
        <v>273</v>
      </c>
      <c r="K5735" t="str">
        <f>B5695</f>
        <v>heat, residential, by conversion of hydrogen using fuel cell, PEM, allocated by exergy, transported by train, produced by Electrolysis, SOEC using water and electricity from Solar PV (IT)</v>
      </c>
      <c r="L5735">
        <f t="shared" ref="L5735:L5739" si="211">IF(OR(B5735&lt;0,B5735=0),1,2)</f>
        <v>2</v>
      </c>
      <c r="M5735">
        <f t="shared" ref="M5735:M5739" si="212">IF(L5735=2,LN(B5735),"")</f>
        <v>-13.848408245937353</v>
      </c>
      <c r="N5735">
        <v>1</v>
      </c>
      <c r="O5735" s="15">
        <v>1.2</v>
      </c>
      <c r="P5735">
        <v>1</v>
      </c>
      <c r="Q5735">
        <v>1.01</v>
      </c>
      <c r="R5735">
        <v>1.2</v>
      </c>
      <c r="S5735">
        <v>1.2</v>
      </c>
      <c r="T5735">
        <v>3</v>
      </c>
      <c r="U5735">
        <f t="shared" ref="U5735:U5739" si="213">LN(SQRT(EXP(
SQRT(
+POWER(LN(N5735),2)
+POWER(LN(O5735),2)
+POWER(LN(P5735),2)
+POWER(LN(Q5735),2)
+POWER(LN(R5735),2)
+POWER(LN(S5735),2)
+POWER(LN(T5735),2)
)
)))</f>
        <v>0.57157051623399524</v>
      </c>
    </row>
    <row r="5736" spans="1:22" x14ac:dyDescent="0.2">
      <c r="A5736" s="45" t="str">
        <f>"hydrogen supply, transported by "&amp;B5709&amp;", produced by "&amp;B5713&amp;" using "&amp;B5714&amp;" from "&amp;B5715</f>
        <v>hydrogen supply, transported by train, produced by Electrolysis, SOEC using water and electricity from Solar PV (IT)</v>
      </c>
      <c r="B5736" s="53">
        <f>(B5734/B5718)/B5717*B5729</f>
        <v>2.3223301331624095E-3</v>
      </c>
      <c r="C5736" t="s">
        <v>56</v>
      </c>
      <c r="E5736" t="s">
        <v>64</v>
      </c>
      <c r="F5736" t="s">
        <v>86</v>
      </c>
      <c r="G5736" t="str">
        <f>"hydrogen, gaseous, from "&amp;B5709</f>
        <v>hydrogen, gaseous, from train</v>
      </c>
      <c r="H5736" t="s">
        <v>76</v>
      </c>
      <c r="I5736" t="s">
        <v>1054</v>
      </c>
      <c r="J5736" t="s">
        <v>638</v>
      </c>
      <c r="K5736" t="str">
        <f>B5695</f>
        <v>heat, residential, by conversion of hydrogen using fuel cell, PEM, allocated by exergy, transported by train, produced by Electrolysis, SOEC using water and electricity from Solar PV (IT)</v>
      </c>
      <c r="L5736">
        <f t="shared" si="211"/>
        <v>2</v>
      </c>
      <c r="M5736">
        <f t="shared" si="212"/>
        <v>-6.0651842296013152</v>
      </c>
      <c r="N5736">
        <v>1</v>
      </c>
      <c r="O5736" s="15">
        <v>1.2</v>
      </c>
      <c r="P5736">
        <v>1</v>
      </c>
      <c r="Q5736">
        <v>1.01</v>
      </c>
      <c r="R5736">
        <v>1.2</v>
      </c>
      <c r="S5736">
        <v>1.2</v>
      </c>
      <c r="T5736">
        <v>1.05</v>
      </c>
      <c r="U5736">
        <f t="shared" si="213"/>
        <v>0.15984597228197622</v>
      </c>
    </row>
    <row r="5737" spans="1:22" x14ac:dyDescent="0.2">
      <c r="A5737" t="str">
        <f>VLOOKUP(J5737,'dataset mapping'!$A$4:$E$69,2,0)</f>
        <v>market for transport, freight train</v>
      </c>
      <c r="B5737" s="45">
        <f>SUM(B5736:B5736)/1000*B5710*SUMIFS(allocation!$I$4:$I$30,allocation!$B$4:$B$30,'hydrogen - electrolysis'!B5707,allocation!$C$4:$C$30,'hydrogen - electrolysis'!B5708)</f>
        <v>5.5010815923420167E-4</v>
      </c>
      <c r="C5737" t="str">
        <f>VLOOKUP(J5737,'dataset mapping'!$A$4:$E$69,5,0)</f>
        <v>ton kilometer</v>
      </c>
      <c r="E5737" t="str">
        <f>VLOOKUP(J5737,'dataset mapping'!$A$4:$E$69,4,0)</f>
        <v>CH</v>
      </c>
      <c r="F5737" t="s">
        <v>86</v>
      </c>
      <c r="G5737" t="str">
        <f>VLOOKUP(J5737,'dataset mapping'!$A$4:$E$69,3,0)</f>
        <v>transport, freight train</v>
      </c>
      <c r="H5737" t="s">
        <v>88</v>
      </c>
      <c r="I5737" t="s">
        <v>1052</v>
      </c>
      <c r="J5737" t="s">
        <v>295</v>
      </c>
      <c r="K5737" t="str">
        <f>B5695</f>
        <v>heat, residential, by conversion of hydrogen using fuel cell, PEM, allocated by exergy, transported by train, produced by Electrolysis, SOEC using water and electricity from Solar PV (IT)</v>
      </c>
      <c r="L5737">
        <f t="shared" si="211"/>
        <v>2</v>
      </c>
      <c r="M5737">
        <f t="shared" si="212"/>
        <v>-7.5053956459183606</v>
      </c>
      <c r="N5737">
        <v>1</v>
      </c>
      <c r="O5737" s="15">
        <v>1.2</v>
      </c>
      <c r="P5737">
        <v>1</v>
      </c>
      <c r="Q5737">
        <v>1.01</v>
      </c>
      <c r="R5737">
        <v>1.2</v>
      </c>
      <c r="S5737">
        <v>1.2</v>
      </c>
      <c r="T5737">
        <v>2</v>
      </c>
      <c r="U5737">
        <f t="shared" si="213"/>
        <v>0.38087907307228186</v>
      </c>
    </row>
    <row r="5738" spans="1:22" x14ac:dyDescent="0.2">
      <c r="A5738" t="str">
        <f>VLOOKUP(J5738,'dataset mapping'!$A$4:$E$69,2,0)</f>
        <v>high pressure hydrogen storage tank</v>
      </c>
      <c r="B5738" s="52">
        <f>((B5730/10)/(B5728*B5724*20*3.6))*IF(B5729&lt;&gt;0,B5729,1)</f>
        <v>2.5464146196956242E-7</v>
      </c>
      <c r="C5738" t="str">
        <f>VLOOKUP(J5738,'dataset mapping'!$A$4:$E$69,5,0)</f>
        <v>kilogram</v>
      </c>
      <c r="E5738" t="str">
        <f>VLOOKUP(J5738,'dataset mapping'!$A$4:$E$69,4,0)</f>
        <v>GLO</v>
      </c>
      <c r="F5738" t="s">
        <v>86</v>
      </c>
      <c r="G5738" t="str">
        <f>VLOOKUP(J5738,'dataset mapping'!$A$4:$E$69,3,0)</f>
        <v>high pressure hydrogen storage tank</v>
      </c>
      <c r="H5738" t="s">
        <v>88</v>
      </c>
      <c r="I5738" t="s">
        <v>280</v>
      </c>
      <c r="J5738" t="s">
        <v>229</v>
      </c>
      <c r="K5738" t="str">
        <f>B5695</f>
        <v>heat, residential, by conversion of hydrogen using fuel cell, PEM, allocated by exergy, transported by train, produced by Electrolysis, SOEC using water and electricity from Solar PV (IT)</v>
      </c>
      <c r="L5738">
        <f t="shared" si="211"/>
        <v>2</v>
      </c>
      <c r="M5738">
        <f t="shared" si="212"/>
        <v>-15.183409312669692</v>
      </c>
      <c r="N5738">
        <v>1</v>
      </c>
      <c r="O5738" s="15">
        <v>1.2</v>
      </c>
      <c r="P5738">
        <v>1</v>
      </c>
      <c r="Q5738">
        <v>1.01</v>
      </c>
      <c r="R5738">
        <v>1.2</v>
      </c>
      <c r="S5738">
        <v>1.2</v>
      </c>
      <c r="T5738">
        <v>3</v>
      </c>
      <c r="U5738">
        <f t="shared" si="213"/>
        <v>0.57157051623399524</v>
      </c>
    </row>
    <row r="5739" spans="1:22" x14ac:dyDescent="0.2">
      <c r="A5739" t="s">
        <v>134</v>
      </c>
      <c r="B5739" s="45">
        <f>B5736*9</f>
        <v>2.0900971198461685E-2</v>
      </c>
      <c r="C5739" t="s">
        <v>56</v>
      </c>
      <c r="D5739" t="s">
        <v>100</v>
      </c>
      <c r="F5739" t="s">
        <v>99</v>
      </c>
      <c r="H5739" t="s">
        <v>131</v>
      </c>
      <c r="I5739" t="s">
        <v>1057</v>
      </c>
      <c r="K5739" t="str">
        <f>B5695</f>
        <v>heat, residential, by conversion of hydrogen using fuel cell, PEM, allocated by exergy, transported by train, produced by Electrolysis, SOEC using water and electricity from Solar PV (IT)</v>
      </c>
      <c r="L5739">
        <f t="shared" si="211"/>
        <v>2</v>
      </c>
      <c r="M5739">
        <f t="shared" si="212"/>
        <v>-3.8679596522650961</v>
      </c>
      <c r="N5739">
        <v>1</v>
      </c>
      <c r="O5739" s="15">
        <v>1.2</v>
      </c>
      <c r="P5739">
        <v>1</v>
      </c>
      <c r="Q5739">
        <v>1.01</v>
      </c>
      <c r="R5739">
        <v>1.2</v>
      </c>
      <c r="S5739">
        <v>1.2</v>
      </c>
      <c r="T5739">
        <v>1.05</v>
      </c>
      <c r="U5739">
        <f t="shared" si="213"/>
        <v>0.15984597228197622</v>
      </c>
    </row>
    <row r="5741" spans="1:22" x14ac:dyDescent="0.2">
      <c r="A5741" s="2" t="s">
        <v>50</v>
      </c>
      <c r="B5741" s="44" t="str">
        <f>IF(B5747="megajoule","heat","electricity")&amp;", residential, by "&amp;B5752&amp;" of "&amp;B5751&amp;" using "&amp;B5753&amp;IF(B5754&lt;&gt;0,", allocated by "&amp;B5754,"")&amp;", transported by "&amp;B5755&amp;", produced by "&amp;B5759&amp;" using "&amp;B5760&amp;" from "&amp;B5761</f>
        <v>heat, residential, by conversion of hydrogen using fuel cell, SOFC, allocated by exergy, transported by train, produced by Electrolysis, SOEC using water and electricity from Solar PV (IT)</v>
      </c>
    </row>
    <row r="5742" spans="1:22" x14ac:dyDescent="0.2">
      <c r="A5742" t="s">
        <v>51</v>
      </c>
      <c r="B5742" s="45" t="str">
        <f>"This dataset represents the supply of 1 "&amp;IF(B5747="megajoule","megajoule of heat","kilowatt hour of electricity")&amp;" in a residence, by "&amp;B5751&amp;" "&amp;B5752&amp;" in a "&amp;B5753&amp;". "&amp;" The hydrogen is transported by "&amp;B5755&amp;" over "&amp;B5756&amp;" km from regional storage. "&amp;" The "&amp;B5751&amp;" is produced by  "&amp;B5759&amp;", with "&amp;B5760&amp;" from "&amp;B5761&amp;" as feedstock. "&amp;A5763&amp;": "&amp;(B5763*100)&amp;"%. "&amp;A5764&amp;": "&amp;B5764&amp;". "&amp;A5765&amp;": "&amp;B5765&amp;". "&amp;A5766&amp;": "&amp;(B5766*100)&amp;"%. "&amp;A5767&amp;": "&amp;(B5767*100)&amp;"%. "&amp;A5768&amp;": "&amp;(B5768*100)&amp;"%. "&amp;A5769&amp;": "&amp;B5769&amp;". "&amp;A5770&amp;": "&amp;B5770&amp;". "&amp;A5771&amp;": "&amp;(B5771*100)&amp;"%. "&amp;A5772&amp;": "&amp;B5772&amp;". "&amp;A5773&amp;": "&amp;B5773&amp;". "&amp;A5774&amp;": "&amp;B5774&amp;". "&amp;A5775&amp;": "&amp;B5775&amp;".  For more information, refer to: "&amp;B5743</f>
        <v>This dataset represents the supply of 1 megajoule of heat in a residence, by hydrogen conversion in a fuel cell, SOFC.  The hydrogen is transported by train over 1700 km from regional storage.  The hydrogen is produced by  Electrolysis, SOEC, with water and electricity from Solar PV (IT)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5743" spans="1:22" x14ac:dyDescent="0.2">
      <c r="A5743" t="s">
        <v>63</v>
      </c>
      <c r="B5743" s="45" t="s">
        <v>1223</v>
      </c>
    </row>
    <row r="5744" spans="1:22" x14ac:dyDescent="0.2">
      <c r="A5744" t="s">
        <v>52</v>
      </c>
      <c r="B5744" s="45" t="s">
        <v>64</v>
      </c>
    </row>
    <row r="5745" spans="1:2" x14ac:dyDescent="0.2">
      <c r="A5745" t="s">
        <v>48</v>
      </c>
      <c r="B5745" s="45">
        <v>72</v>
      </c>
    </row>
    <row r="5746" spans="1:2" x14ac:dyDescent="0.2">
      <c r="A5746" t="s">
        <v>54</v>
      </c>
      <c r="B5746" s="45" t="str">
        <f>INDEX(overview!$B$4:$R$338,MATCH('hydrogen - electrolysis'!B5745,overview!$A$4:$A$338,0),MATCH('hydrogen - electrolysis'!A5746,overview!$B$3:$R$3,0))</f>
        <v>heat, from residential heating system</v>
      </c>
    </row>
    <row r="5747" spans="1:2" x14ac:dyDescent="0.2">
      <c r="A5747" t="s">
        <v>55</v>
      </c>
      <c r="B5747" s="45" t="str">
        <f>INDEX(overview!$B$4:$R$338,MATCH('hydrogen - electrolysis'!B5745,overview!$A$4:$A$338,0),MATCH('hydrogen - electrolysis'!A5747,overview!$B$3:$R$3,0))</f>
        <v>megajoule</v>
      </c>
    </row>
    <row r="5748" spans="1:2" x14ac:dyDescent="0.2">
      <c r="A5748" t="s">
        <v>0</v>
      </c>
      <c r="B5748" s="45" t="str">
        <f>INDEX(overview!$B$4:$R$338,MATCH('hydrogen - electrolysis'!B5745,overview!$A$4:$A$338,0),MATCH('hydrogen - electrolysis'!A5748,overview!$B$3:$R$3,0))</f>
        <v>Switzerland</v>
      </c>
    </row>
    <row r="5749" spans="1:2" x14ac:dyDescent="0.2">
      <c r="A5749" t="s">
        <v>1</v>
      </c>
      <c r="B5749" s="45">
        <f>INDEX(overview!$B$4:$R$338,MATCH('hydrogen - electrolysis'!B5745,overview!$A$4:$A$338,0),MATCH('hydrogen - electrolysis'!A5749,overview!$B$3:$R$3,0))</f>
        <v>2020</v>
      </c>
    </row>
    <row r="5750" spans="1:2" x14ac:dyDescent="0.2">
      <c r="A5750" t="s">
        <v>2</v>
      </c>
      <c r="B5750" s="45" t="str">
        <f>INDEX(overview!$B$4:$R$338,MATCH('hydrogen - electrolysis'!B5745,overview!$A$4:$A$338,0),MATCH('hydrogen - electrolysis'!A5750,overview!$B$3:$R$3,0))</f>
        <v>1 MJ heat</v>
      </c>
    </row>
    <row r="5751" spans="1:2" x14ac:dyDescent="0.2">
      <c r="A5751" t="s">
        <v>5</v>
      </c>
      <c r="B5751" s="45" t="str">
        <f>INDEX(overview!$B$4:$R$338,MATCH('hydrogen - electrolysis'!B5745,overview!$A$4:$A$338,0),MATCH('hydrogen - electrolysis'!A5751,overview!$B$3:$R$3,0))</f>
        <v>hydrogen</v>
      </c>
    </row>
    <row r="5752" spans="1:2" x14ac:dyDescent="0.2">
      <c r="A5752" t="s">
        <v>3</v>
      </c>
      <c r="B5752" s="45" t="str">
        <f>INDEX(overview!$B$4:$R$338,MATCH('hydrogen - electrolysis'!B5745,overview!$A$4:$A$338,0),MATCH('hydrogen - electrolysis'!A5752,overview!$B$3:$R$3,0))</f>
        <v>conversion</v>
      </c>
    </row>
    <row r="5753" spans="1:2" x14ac:dyDescent="0.2">
      <c r="A5753" t="s">
        <v>6</v>
      </c>
      <c r="B5753" s="45" t="str">
        <f>INDEX(overview!$B$4:$R$338,MATCH('hydrogen - electrolysis'!B5745,overview!$A$4:$A$338,0),MATCH('hydrogen - electrolysis'!A5753,overview!$B$3:$R$3,0))</f>
        <v>fuel cell, SOFC</v>
      </c>
    </row>
    <row r="5754" spans="1:2" x14ac:dyDescent="0.2">
      <c r="A5754" t="s">
        <v>39</v>
      </c>
      <c r="B5754" s="45" t="str">
        <f>INDEX(overview!$B$4:$R$338,MATCH('hydrogen - electrolysis'!B5745,overview!$A$4:$A$338,0),MATCH('hydrogen - electrolysis'!A5754,overview!$B$3:$R$3,0))</f>
        <v>exergy</v>
      </c>
    </row>
    <row r="5755" spans="1:2" x14ac:dyDescent="0.2">
      <c r="A5755" t="s">
        <v>4</v>
      </c>
      <c r="B5755" s="45" t="str">
        <f>INDEX(overview!$B$4:$R$338,MATCH('hydrogen - electrolysis'!B5745,overview!$A$4:$A$338,0),MATCH('hydrogen - electrolysis'!A5755,overview!$B$3:$R$3,0))</f>
        <v>train</v>
      </c>
    </row>
    <row r="5756" spans="1:2" x14ac:dyDescent="0.2">
      <c r="A5756" t="s">
        <v>38</v>
      </c>
      <c r="B5756" s="45">
        <f>INDEX(overview!$B$4:$R$338,MATCH('hydrogen - electrolysis'!B5745,overview!$A$4:$A$338,0),MATCH('hydrogen - electrolysis'!A5756,overview!$B$3:$R$3,0))</f>
        <v>1700</v>
      </c>
    </row>
    <row r="5757" spans="1:2" x14ac:dyDescent="0.2">
      <c r="A5757" t="s">
        <v>12</v>
      </c>
      <c r="B5757" s="45" t="str">
        <f>INDEX(overview!$B$4:$R$338,MATCH('hydrogen - electrolysis'!B5745,overview!$A$4:$A$338,0),MATCH('hydrogen - electrolysis'!A5757,overview!$B$3:$R$3,0))</f>
        <v>Pressure vessel for stationary storage</v>
      </c>
    </row>
    <row r="5758" spans="1:2" x14ac:dyDescent="0.2">
      <c r="A5758" t="s">
        <v>34</v>
      </c>
      <c r="B5758" s="45">
        <f>INDEX(overview!$B$4:$R$338,MATCH('hydrogen - electrolysis'!B5745,overview!$A$4:$A$338,0),MATCH('hydrogen - electrolysis'!A5758,overview!$B$3:$R$3,0))</f>
        <v>0</v>
      </c>
    </row>
    <row r="5759" spans="1:2" x14ac:dyDescent="0.2">
      <c r="A5759" t="s">
        <v>15</v>
      </c>
      <c r="B5759" s="45" t="str">
        <f>INDEX(overview!$B$4:$R$338,MATCH('hydrogen - electrolysis'!B5745,overview!$A$4:$A$338,0),MATCH('hydrogen - electrolysis'!A5759,overview!$B$3:$R$3,0))</f>
        <v>Electrolysis, SOEC</v>
      </c>
    </row>
    <row r="5760" spans="1:2" x14ac:dyDescent="0.2">
      <c r="A5760" t="s">
        <v>14</v>
      </c>
      <c r="B5760" s="45" t="str">
        <f>INDEX(overview!$B$4:$R$338,MATCH('hydrogen - electrolysis'!B5745,overview!$A$4:$A$338,0),MATCH('hydrogen - electrolysis'!A5760,overview!$B$3:$R$3,0))</f>
        <v>water and electricity</v>
      </c>
    </row>
    <row r="5761" spans="1:4" x14ac:dyDescent="0.2">
      <c r="A5761" t="s">
        <v>26</v>
      </c>
      <c r="B5761" s="45" t="str">
        <f>INDEX(overview!$B$4:$R$338,MATCH('hydrogen - electrolysis'!B5745,overview!$A$4:$A$338,0),MATCH('hydrogen - electrolysis'!A5761,overview!$B$3:$R$3,0))</f>
        <v>Solar PV (IT)</v>
      </c>
    </row>
    <row r="5762" spans="1:4" x14ac:dyDescent="0.2">
      <c r="A5762" t="s">
        <v>29</v>
      </c>
      <c r="B5762" s="45">
        <f>INDEX(overview!$B$4:$R$338,MATCH('hydrogen - electrolysis'!B5745,overview!$A$4:$A$338,0),MATCH('hydrogen - electrolysis'!A5762,overview!$B$3:$R$3,0))</f>
        <v>0</v>
      </c>
    </row>
    <row r="5763" spans="1:4" x14ac:dyDescent="0.2">
      <c r="A5763" t="str">
        <f>IF(B5747="megajoule","Heat","Electricity")&amp;" conversion efficiency [% LHV input]"</f>
        <v>Heat conversion efficiency [% LHV input]</v>
      </c>
      <c r="B5763" s="46">
        <f>INDEX(parameters!$D$4:$N$20,MATCH('hydrogen - electrolysis'!B5751&amp;'hydrogen - electrolysis'!B5753,parameters!$A$4:$A$20,0),MATCH('hydrogen - electrolysis'!A5763,parameters!$D$3:$N$3,0))</f>
        <v>0.53</v>
      </c>
    </row>
    <row r="5764" spans="1:4" x14ac:dyDescent="0.2">
      <c r="A5764" t="str">
        <f>IF(B5747="megajoule","LHV [MJ/kg]","LHV [kWh/kg]")</f>
        <v>LHV [MJ/kg]</v>
      </c>
      <c r="B5764" s="47">
        <f>INDEX(parameters!$D$4:$N$20,MATCH('hydrogen - electrolysis'!B5751&amp;'hydrogen - electrolysis'!B5753,parameters!$A$4:$A$20,0),MATCH('hydrogen - electrolysis'!A5764,parameters!$D$3:$N$3,0))</f>
        <v>120</v>
      </c>
    </row>
    <row r="5765" spans="1:4" x14ac:dyDescent="0.2">
      <c r="A5765" t="s">
        <v>41</v>
      </c>
      <c r="B5765" s="48">
        <f>INDEX(parameters!$D$4:$N$20,MATCH('hydrogen - electrolysis'!B5751&amp;'hydrogen - electrolysis'!B5753,parameters!$A$4:$A$20,0),MATCH('hydrogen - electrolysis'!A5765,parameters!$D$3:$N$3,0))</f>
        <v>2.6666666666666665E-2</v>
      </c>
    </row>
    <row r="5766" spans="1:4" x14ac:dyDescent="0.2">
      <c r="A5766" t="s">
        <v>45</v>
      </c>
      <c r="B5766" s="46">
        <f>INDEX(parameters!$D$4:$N$20,MATCH('hydrogen - electrolysis'!B5751&amp;'hydrogen - electrolysis'!B5753,parameters!$A$4:$A$20,0),MATCH('hydrogen - electrolysis'!A5766,parameters!$D$3:$N$3,0))</f>
        <v>0</v>
      </c>
    </row>
    <row r="5767" spans="1:4" x14ac:dyDescent="0.2">
      <c r="A5767" t="s">
        <v>46</v>
      </c>
      <c r="B5767" s="46">
        <f>INDEX(parameters!$D$4:$N$20,MATCH('hydrogen - electrolysis'!B5751&amp;'hydrogen - electrolysis'!B5753,parameters!$A$4:$A$20,0),MATCH('hydrogen - electrolysis'!A5767,parameters!$D$3:$N$3,0))</f>
        <v>1.4999999999999999E-2</v>
      </c>
    </row>
    <row r="5768" spans="1:4" x14ac:dyDescent="0.2">
      <c r="A5768" t="s">
        <v>43</v>
      </c>
      <c r="B5768" s="46">
        <f>INDEX(parameters!$D$4:$N$20,MATCH('hydrogen - electrolysis'!B5751&amp;'hydrogen - electrolysis'!B5753,parameters!$A$4:$A$20,0),MATCH('hydrogen - electrolysis'!A5768,parameters!$D$3:$N$3,0))</f>
        <v>0</v>
      </c>
    </row>
    <row r="5769" spans="1:4" x14ac:dyDescent="0.2">
      <c r="A5769" t="s">
        <v>44</v>
      </c>
      <c r="B5769" s="46">
        <f>INDEX(parameters!$D$4:$N$20,MATCH('hydrogen - electrolysis'!B5751&amp;'hydrogen - electrolysis'!B5753,parameters!$A$4:$A$20,0),MATCH('hydrogen - electrolysis'!A5769,parameters!$D$3:$N$3,0))</f>
        <v>0</v>
      </c>
    </row>
    <row r="5770" spans="1:4" x14ac:dyDescent="0.2">
      <c r="A5770" t="s">
        <v>634</v>
      </c>
      <c r="B5770" s="51">
        <f>INDEX(parameters!$D$4:$Y$20,MATCH('hydrogen - electrolysis'!B5751&amp;'hydrogen - electrolysis'!B5753,parameters!$A$4:$A$20,0),MATCH('hydrogen - electrolysis'!A5770,parameters!$D$3:$Y$3,0))</f>
        <v>225</v>
      </c>
      <c r="D5770" s="8"/>
    </row>
    <row r="5771" spans="1:4" x14ac:dyDescent="0.2">
      <c r="A5771" t="s">
        <v>82</v>
      </c>
      <c r="B5771" s="46">
        <f>IF(B5762&lt;&gt;0,VLOOKUP(B5762,parameters!A3689:B3691,2,0),0)</f>
        <v>0</v>
      </c>
    </row>
    <row r="5772" spans="1:4" x14ac:dyDescent="0.2">
      <c r="A5772" t="s">
        <v>548</v>
      </c>
      <c r="B5772" s="50">
        <f>INDEX(parameters!$D$4:$P$20,MATCH(B5751&amp;B5753,parameters!$A$4:$A$20,0),MATCH(A5772,parameters!$D$3:$P$3,0))</f>
        <v>100</v>
      </c>
    </row>
    <row r="5773" spans="1:4" x14ac:dyDescent="0.2">
      <c r="A5773" t="s">
        <v>547</v>
      </c>
      <c r="B5773" s="51">
        <f>INDEX(parameters!$D$4:$P$20,MATCH(B5751&amp;B5753,parameters!$A$4:$A$20,0),MATCH(A5773,parameters!$D$3:$P$3,0))</f>
        <v>6</v>
      </c>
    </row>
    <row r="5774" spans="1:4" x14ac:dyDescent="0.2">
      <c r="A5774" t="s">
        <v>630</v>
      </c>
      <c r="B5774" s="51">
        <f>INDEX(parameters!$D$4:$T$20,MATCH(B5751&amp;B5753,parameters!$A$4:$A$20,0),MATCH(A5774,parameters!$D$3:$T$3,0))</f>
        <v>4100</v>
      </c>
    </row>
    <row r="5775" spans="1:4" x14ac:dyDescent="0.2">
      <c r="A5775" t="s">
        <v>1005</v>
      </c>
      <c r="B5775" s="50">
        <f>IF(B5747="megajoule",SUMIFS(allocation!$I$4:$I$30,allocation!$B$4:$B$30,B5753,allocation!$C$4:$C$30,B5754),SUMIFS(allocation!$J$4:$J$30,allocation!$B$4:$B$30,B5753,allocation!$C$4:$C$30,B5754))</f>
        <v>0.13587506510399097</v>
      </c>
    </row>
    <row r="5776" spans="1:4" x14ac:dyDescent="0.2">
      <c r="A5776" t="s">
        <v>1050</v>
      </c>
      <c r="B5776" s="51">
        <f>INDEX(parameters!$D$4:$AB$20,MATCH(B5751&amp;B5753,parameters!$A$4:$A$20,0),MATCH(A5776,parameters!$D$3:$AB$3,0))</f>
        <v>1153.1249999999998</v>
      </c>
    </row>
    <row r="5778" spans="1:22" x14ac:dyDescent="0.2">
      <c r="A5778" s="3" t="s">
        <v>57</v>
      </c>
    </row>
    <row r="5779" spans="1:22" x14ac:dyDescent="0.2">
      <c r="A5779" s="2" t="s">
        <v>58</v>
      </c>
      <c r="B5779" s="44" t="s">
        <v>59</v>
      </c>
      <c r="C5779" s="2" t="s">
        <v>55</v>
      </c>
      <c r="D5779" s="2" t="s">
        <v>60</v>
      </c>
      <c r="E5779" s="2" t="s">
        <v>52</v>
      </c>
      <c r="F5779" s="2" t="s">
        <v>61</v>
      </c>
      <c r="G5779" s="2" t="s">
        <v>54</v>
      </c>
      <c r="H5779" s="2" t="s">
        <v>87</v>
      </c>
      <c r="I5779" s="2" t="s">
        <v>51</v>
      </c>
      <c r="J5779" s="2" t="s">
        <v>138</v>
      </c>
      <c r="K5779" s="2" t="s">
        <v>136</v>
      </c>
      <c r="L5779" s="2" t="s">
        <v>221</v>
      </c>
      <c r="M5779" s="2" t="s">
        <v>379</v>
      </c>
      <c r="N5779" s="2" t="s">
        <v>1059</v>
      </c>
      <c r="O5779" s="2" t="s">
        <v>1060</v>
      </c>
      <c r="P5779" s="2" t="s">
        <v>1061</v>
      </c>
      <c r="Q5779" s="2" t="s">
        <v>1062</v>
      </c>
      <c r="R5779" s="2" t="s">
        <v>1063</v>
      </c>
      <c r="S5779" s="2" t="s">
        <v>1064</v>
      </c>
      <c r="T5779" s="2" t="s">
        <v>1065</v>
      </c>
      <c r="U5779" s="2" t="s">
        <v>380</v>
      </c>
      <c r="V5779" s="2" t="s">
        <v>1128</v>
      </c>
    </row>
    <row r="5780" spans="1:22" x14ac:dyDescent="0.2">
      <c r="A5780" t="str">
        <f>B5741</f>
        <v>heat, residential, by conversion of hydrogen using fuel cell, SOFC, allocated by exergy, transported by train, produced by Electrolysis, SOEC using water and electricity from Solar PV (IT)</v>
      </c>
      <c r="B5780" s="45">
        <v>1</v>
      </c>
      <c r="C5780" t="str">
        <f>B5747</f>
        <v>megajoule</v>
      </c>
      <c r="E5780" t="str">
        <f>B5744</f>
        <v>CH</v>
      </c>
      <c r="F5780" t="s">
        <v>62</v>
      </c>
      <c r="G5780" t="str">
        <f>B5746</f>
        <v>heat, from residential heating system</v>
      </c>
      <c r="K5780" t="str">
        <f>B5741</f>
        <v>heat, residential, by conversion of hydrogen using fuel cell, SOFC, allocated by exergy, transported by train, produced by Electrolysis, SOEC using water and electricity from Solar PV (IT)</v>
      </c>
    </row>
    <row r="5781" spans="1:22" x14ac:dyDescent="0.2">
      <c r="A5781" t="str">
        <f>VLOOKUP(J5781,'dataset mapping'!$A$4:$E$69,2,0)</f>
        <v>fuel cell production, stack solid oxide, 125kW electrical, future</v>
      </c>
      <c r="B5781" s="52">
        <f>(1/(B5770*B5774*B5773*3.6))*B5775</f>
        <v>6.8189834941278219E-9</v>
      </c>
      <c r="C5781" t="str">
        <f>VLOOKUP(J5781,'dataset mapping'!$A$4:$E$69,5,0)</f>
        <v>unit</v>
      </c>
      <c r="E5781" t="str">
        <f>VLOOKUP(J5781,'dataset mapping'!$A$4:$E$69,4,0)</f>
        <v>CH</v>
      </c>
      <c r="F5781" t="s">
        <v>86</v>
      </c>
      <c r="G5781" t="str">
        <f>VLOOKUP(J5781,'dataset mapping'!$A$4:$E$69,3,0)</f>
        <v>fuel cell, stack solid oxide, 125kW electrical, future</v>
      </c>
      <c r="H5781" t="s">
        <v>88</v>
      </c>
      <c r="I5781" t="s">
        <v>277</v>
      </c>
      <c r="J5781" t="s">
        <v>274</v>
      </c>
      <c r="K5781" t="str">
        <f>B5741</f>
        <v>heat, residential, by conversion of hydrogen using fuel cell, SOFC, allocated by exergy, transported by train, produced by Electrolysis, SOEC using water and electricity from Solar PV (IT)</v>
      </c>
      <c r="L5781">
        <f t="shared" ref="L5781:L5787" si="214">IF(OR(B5781&lt;0,B5781=0),1,2)</f>
        <v>2</v>
      </c>
      <c r="M5781">
        <f t="shared" ref="M5781:M5787" si="215">IF(L5781=2,LN(B5781),"")</f>
        <v>-18.80355542398161</v>
      </c>
      <c r="N5781">
        <v>1</v>
      </c>
      <c r="O5781" s="15">
        <v>1.2</v>
      </c>
      <c r="P5781">
        <v>1</v>
      </c>
      <c r="Q5781">
        <v>1.01</v>
      </c>
      <c r="R5781">
        <v>1.2</v>
      </c>
      <c r="S5781">
        <v>1.2</v>
      </c>
      <c r="T5781">
        <v>3</v>
      </c>
      <c r="U5781">
        <f t="shared" ref="U5781:U5787" si="216">LN(SQRT(EXP(
SQRT(
+POWER(LN(N5781),2)
+POWER(LN(O5781),2)
+POWER(LN(P5781),2)
+POWER(LN(Q5781),2)
+POWER(LN(R5781),2)
+POWER(LN(S5781),2)
+POWER(LN(T5781),2)
)
)))</f>
        <v>0.57157051623399524</v>
      </c>
    </row>
    <row r="5782" spans="1:22" x14ac:dyDescent="0.2">
      <c r="A5782" t="s">
        <v>283</v>
      </c>
      <c r="B5782" s="52">
        <f>(1/(B5770*B5774*B5773*3.6))*B5775</f>
        <v>6.8189834941278219E-9</v>
      </c>
      <c r="C5782" t="s">
        <v>55</v>
      </c>
      <c r="E5782" t="s">
        <v>64</v>
      </c>
      <c r="F5782" t="s">
        <v>86</v>
      </c>
      <c r="G5782" t="s">
        <v>284</v>
      </c>
      <c r="H5782" t="s">
        <v>88</v>
      </c>
      <c r="I5782" t="s">
        <v>277</v>
      </c>
      <c r="K5782" t="str">
        <f>B5741</f>
        <v>heat, residential, by conversion of hydrogen using fuel cell, SOFC, allocated by exergy, transported by train, produced by Electrolysis, SOEC using water and electricity from Solar PV (IT)</v>
      </c>
      <c r="L5782">
        <f t="shared" si="214"/>
        <v>2</v>
      </c>
      <c r="M5782">
        <f t="shared" si="215"/>
        <v>-18.80355542398161</v>
      </c>
      <c r="N5782">
        <v>1</v>
      </c>
      <c r="O5782" s="15">
        <v>1.2</v>
      </c>
      <c r="P5782">
        <v>1</v>
      </c>
      <c r="Q5782">
        <v>1.01</v>
      </c>
      <c r="R5782">
        <v>1.2</v>
      </c>
      <c r="S5782">
        <v>1.2</v>
      </c>
      <c r="T5782">
        <v>3</v>
      </c>
      <c r="U5782">
        <f t="shared" si="216"/>
        <v>0.57157051623399524</v>
      </c>
    </row>
    <row r="5783" spans="1:22" x14ac:dyDescent="0.2">
      <c r="A5783" t="s">
        <v>288</v>
      </c>
      <c r="B5783" s="52">
        <f>0.000024*B5775</f>
        <v>3.2610015624957834E-6</v>
      </c>
      <c r="C5783" t="s">
        <v>56</v>
      </c>
      <c r="E5783" t="s">
        <v>64</v>
      </c>
      <c r="F5783" t="s">
        <v>86</v>
      </c>
      <c r="G5783" t="s">
        <v>287</v>
      </c>
      <c r="H5783" t="s">
        <v>88</v>
      </c>
      <c r="K5783" t="str">
        <f>B5741</f>
        <v>heat, residential, by conversion of hydrogen using fuel cell, SOFC, allocated by exergy, transported by train, produced by Electrolysis, SOEC using water and electricity from Solar PV (IT)</v>
      </c>
      <c r="L5783">
        <f t="shared" si="214"/>
        <v>2</v>
      </c>
      <c r="M5783">
        <f t="shared" si="215"/>
        <v>-12.633476182011</v>
      </c>
      <c r="N5783">
        <v>1</v>
      </c>
      <c r="O5783" s="15">
        <v>1.2</v>
      </c>
      <c r="P5783">
        <v>1</v>
      </c>
      <c r="Q5783">
        <v>1.01</v>
      </c>
      <c r="R5783">
        <v>1.2</v>
      </c>
      <c r="S5783">
        <v>1.2</v>
      </c>
      <c r="T5783">
        <v>1.05</v>
      </c>
      <c r="U5783">
        <f t="shared" si="216"/>
        <v>0.15984597228197622</v>
      </c>
    </row>
    <row r="5784" spans="1:22" x14ac:dyDescent="0.2">
      <c r="A5784" s="45" t="str">
        <f>"hydrogen supply, transported by "&amp;B5755&amp;", produced by "&amp;B5759&amp;" using "&amp;B5760&amp;" from "&amp;B5761</f>
        <v>hydrogen supply, transported by train, produced by Electrolysis, SOEC using water and electricity from Solar PV (IT)</v>
      </c>
      <c r="B5784" s="53">
        <f>(B5780/B5764)/B5763*B5775</f>
        <v>2.1364003947168392E-3</v>
      </c>
      <c r="C5784" t="s">
        <v>56</v>
      </c>
      <c r="E5784" t="s">
        <v>64</v>
      </c>
      <c r="F5784" t="s">
        <v>86</v>
      </c>
      <c r="G5784" t="str">
        <f>"hydrogen, gaseous, from "&amp;B5755</f>
        <v>hydrogen, gaseous, from train</v>
      </c>
      <c r="H5784" t="s">
        <v>76</v>
      </c>
      <c r="I5784" t="s">
        <v>1054</v>
      </c>
      <c r="J5784" t="s">
        <v>638</v>
      </c>
      <c r="K5784" t="str">
        <f>B5741</f>
        <v>heat, residential, by conversion of hydrogen using fuel cell, SOFC, allocated by exergy, transported by train, produced by Electrolysis, SOEC using water and electricity from Solar PV (IT)</v>
      </c>
      <c r="L5784">
        <f t="shared" si="214"/>
        <v>2</v>
      </c>
      <c r="M5784">
        <f t="shared" si="215"/>
        <v>-6.1486329247407472</v>
      </c>
      <c r="N5784">
        <v>1</v>
      </c>
      <c r="O5784" s="15">
        <v>1.2</v>
      </c>
      <c r="P5784">
        <v>1</v>
      </c>
      <c r="Q5784">
        <v>1.01</v>
      </c>
      <c r="R5784">
        <v>1.2</v>
      </c>
      <c r="S5784">
        <v>1.2</v>
      </c>
      <c r="T5784">
        <v>1.05</v>
      </c>
      <c r="U5784">
        <f t="shared" si="216"/>
        <v>0.15984597228197622</v>
      </c>
    </row>
    <row r="5785" spans="1:22" x14ac:dyDescent="0.2">
      <c r="A5785" t="str">
        <f>VLOOKUP(J5785,'dataset mapping'!$A$4:$E$69,2,0)</f>
        <v>market for transport, freight train</v>
      </c>
      <c r="B5785" s="45">
        <f>SUM(B5784:B5784)/1000*B5756</f>
        <v>3.6318806710186266E-3</v>
      </c>
      <c r="C5785" t="str">
        <f>VLOOKUP(J5785,'dataset mapping'!$A$4:$E$69,5,0)</f>
        <v>ton kilometer</v>
      </c>
      <c r="E5785" t="str">
        <f>VLOOKUP(J5785,'dataset mapping'!$A$4:$E$69,4,0)</f>
        <v>CH</v>
      </c>
      <c r="F5785" t="s">
        <v>86</v>
      </c>
      <c r="G5785" t="str">
        <f>VLOOKUP(J5785,'dataset mapping'!$A$4:$E$69,3,0)</f>
        <v>transport, freight train</v>
      </c>
      <c r="H5785" t="s">
        <v>88</v>
      </c>
      <c r="I5785" t="s">
        <v>1052</v>
      </c>
      <c r="J5785" t="s">
        <v>295</v>
      </c>
      <c r="K5785" t="str">
        <f>B5741</f>
        <v>heat, residential, by conversion of hydrogen using fuel cell, SOFC, allocated by exergy, transported by train, produced by Electrolysis, SOEC using water and electricity from Solar PV (IT)</v>
      </c>
      <c r="L5785">
        <f t="shared" si="214"/>
        <v>2</v>
      </c>
      <c r="M5785">
        <f t="shared" si="215"/>
        <v>-5.6180046736785769</v>
      </c>
      <c r="N5785">
        <v>1</v>
      </c>
      <c r="O5785" s="15">
        <v>1.2</v>
      </c>
      <c r="P5785">
        <v>1</v>
      </c>
      <c r="Q5785">
        <v>1.01</v>
      </c>
      <c r="R5785">
        <v>1.2</v>
      </c>
      <c r="S5785">
        <v>1.2</v>
      </c>
      <c r="T5785">
        <v>2</v>
      </c>
      <c r="U5785">
        <f t="shared" si="216"/>
        <v>0.38087907307228186</v>
      </c>
    </row>
    <row r="5786" spans="1:22" x14ac:dyDescent="0.2">
      <c r="A5786" t="str">
        <f>VLOOKUP(J5786,'dataset mapping'!$A$4:$E$69,2,0)</f>
        <v>high pressure hydrogen storage tank</v>
      </c>
      <c r="B5786" s="52">
        <f>((B5776/10)/(B5774*B5770*20*3.6))*IF(B5775&lt;&gt;0,B5775,1)</f>
        <v>2.3589421024998428E-7</v>
      </c>
      <c r="C5786" t="str">
        <f>VLOOKUP(J5786,'dataset mapping'!$A$4:$E$69,5,0)</f>
        <v>kilogram</v>
      </c>
      <c r="E5786" t="str">
        <f>VLOOKUP(J5786,'dataset mapping'!$A$4:$E$69,4,0)</f>
        <v>GLO</v>
      </c>
      <c r="F5786" t="s">
        <v>86</v>
      </c>
      <c r="G5786" t="str">
        <f>VLOOKUP(J5786,'dataset mapping'!$A$4:$E$69,3,0)</f>
        <v>high pressure hydrogen storage tank</v>
      </c>
      <c r="H5786" t="s">
        <v>88</v>
      </c>
      <c r="I5786" t="s">
        <v>230</v>
      </c>
      <c r="J5786" t="s">
        <v>229</v>
      </c>
      <c r="K5786" t="str">
        <f>B5741</f>
        <v>heat, residential, by conversion of hydrogen using fuel cell, SOFC, allocated by exergy, transported by train, produced by Electrolysis, SOEC using water and electricity from Solar PV (IT)</v>
      </c>
      <c r="L5786">
        <f t="shared" si="214"/>
        <v>2</v>
      </c>
      <c r="M5786">
        <f t="shared" si="215"/>
        <v>-15.259882394072699</v>
      </c>
      <c r="N5786">
        <v>1</v>
      </c>
      <c r="O5786" s="15">
        <v>1.2</v>
      </c>
      <c r="P5786">
        <v>1</v>
      </c>
      <c r="Q5786">
        <v>1.01</v>
      </c>
      <c r="R5786">
        <v>1.2</v>
      </c>
      <c r="S5786">
        <v>1.2</v>
      </c>
      <c r="T5786">
        <v>3</v>
      </c>
      <c r="U5786">
        <f t="shared" si="216"/>
        <v>0.57157051623399524</v>
      </c>
    </row>
    <row r="5787" spans="1:22" x14ac:dyDescent="0.2">
      <c r="A5787" t="s">
        <v>134</v>
      </c>
      <c r="B5787" s="45">
        <f>B5784*9</f>
        <v>1.9227603552451553E-2</v>
      </c>
      <c r="C5787" t="s">
        <v>56</v>
      </c>
      <c r="D5787" t="s">
        <v>100</v>
      </c>
      <c r="F5787" t="s">
        <v>99</v>
      </c>
      <c r="H5787" t="s">
        <v>131</v>
      </c>
      <c r="I5787" t="s">
        <v>1057</v>
      </c>
      <c r="K5787" t="str">
        <f>B5741</f>
        <v>heat, residential, by conversion of hydrogen using fuel cell, SOFC, allocated by exergy, transported by train, produced by Electrolysis, SOEC using water and electricity from Solar PV (IT)</v>
      </c>
      <c r="L5787">
        <f t="shared" si="214"/>
        <v>2</v>
      </c>
      <c r="M5787">
        <f t="shared" si="215"/>
        <v>-3.9514083474045276</v>
      </c>
      <c r="N5787">
        <v>1</v>
      </c>
      <c r="O5787" s="15">
        <v>1.2</v>
      </c>
      <c r="P5787">
        <v>1</v>
      </c>
      <c r="Q5787">
        <v>1.01</v>
      </c>
      <c r="R5787">
        <v>1.2</v>
      </c>
      <c r="S5787">
        <v>1.2</v>
      </c>
      <c r="T5787">
        <v>1.05</v>
      </c>
      <c r="U5787">
        <f t="shared" si="216"/>
        <v>0.15984597228197622</v>
      </c>
    </row>
    <row r="5789" spans="1:22" x14ac:dyDescent="0.2">
      <c r="A5789" s="2" t="s">
        <v>50</v>
      </c>
      <c r="B5789" s="44" t="str">
        <f>IF(B5795="megajoule","heat","electricity")&amp;", residential, by "&amp;B5800&amp;" of "&amp;B5799&amp;" using "&amp;B5801&amp;IF(B5802&lt;&gt;0,", allocated by "&amp;B5802,"")&amp;", transported by "&amp;B5803&amp;", produced by "&amp;B5807&amp;" using "&amp;B5808&amp;" from "&amp;B5809</f>
        <v>electricity, residential, by combustion of hydrogen using CHP, allocated by exergy, transported by train, produced by Electrolysis, SOEC using water and electricity from Solar PV (IT)</v>
      </c>
    </row>
    <row r="5790" spans="1:22" x14ac:dyDescent="0.2">
      <c r="A5790" t="s">
        <v>51</v>
      </c>
      <c r="B5790" s="45" t="str">
        <f>"This dataset represents the supply of 1 "&amp;IF(B5795="megajoule","megajoule of heat","kilowatt hour of electricity")&amp;" in a residence, by "&amp;B5799&amp;" "&amp;B5800&amp;" in a "&amp;B5801&amp;". "&amp;" The hydrogen is transported by "&amp;B5803&amp;" over "&amp;B5804&amp;" km from regional storage. "&amp;" The "&amp;B5799&amp;" is produced by  "&amp;B5807&amp;", with "&amp;B5808&amp;" from "&amp;B5809&amp;" as feedstock. "&amp;A5811&amp;": "&amp;(B5811*100)&amp;"%. "&amp;A5812&amp;": "&amp;B5812&amp;". "&amp;A5813&amp;": "&amp;B5813&amp;". "&amp;A5814&amp;": "&amp;(B5814*100)&amp;"%. "&amp;A5815&amp;": "&amp;(B5815*100)&amp;"%. "&amp;A5816&amp;": "&amp;(B5816*100)&amp;"%. "&amp;A5817&amp;": "&amp;B5817&amp;". "&amp;A5818&amp;": "&amp;B5818&amp;". "&amp;A5819&amp;": "&amp;(B5819*100)&amp;"%. "&amp;A5820&amp;": "&amp;B5820&amp;". "&amp;A5821&amp;": "&amp;B5821&amp;". "&amp;A5822&amp;": "&amp;B5822&amp;". "&amp;A5823&amp;": "&amp;B5823&amp;".  For more information, refer to: "&amp;B5791</f>
        <v>This dataset represents the supply of 1 kilowatt hour of electricity in a residence, by hydrogen combustion in a CHP.  The hydrogen is transported by train over 1700 km from regional storage.  The hydrogen is produced by  Electrolysis, SOEC, with water and electricity from Solar PV (IT)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5791" spans="1:22" x14ac:dyDescent="0.2">
      <c r="A5791" t="s">
        <v>63</v>
      </c>
      <c r="B5791" s="45" t="s">
        <v>1223</v>
      </c>
    </row>
    <row r="5792" spans="1:22" x14ac:dyDescent="0.2">
      <c r="A5792" t="s">
        <v>52</v>
      </c>
      <c r="B5792" s="45" t="s">
        <v>64</v>
      </c>
    </row>
    <row r="5793" spans="1:2" x14ac:dyDescent="0.2">
      <c r="A5793" t="s">
        <v>48</v>
      </c>
      <c r="B5793" s="45" t="s">
        <v>916</v>
      </c>
    </row>
    <row r="5794" spans="1:2" x14ac:dyDescent="0.2">
      <c r="A5794" t="s">
        <v>54</v>
      </c>
      <c r="B5794" s="45" t="str">
        <f>INDEX(overview!$B$4:$R$338,MATCH('hydrogen - electrolysis'!B5793,overview!$A$4:$A$338,0),MATCH('hydrogen - electrolysis'!A5794,overview!$B$3:$R$3,0))</f>
        <v>electricity, from residential heating system</v>
      </c>
    </row>
    <row r="5795" spans="1:2" x14ac:dyDescent="0.2">
      <c r="A5795" t="s">
        <v>55</v>
      </c>
      <c r="B5795" s="45" t="str">
        <f>INDEX(overview!$B$4:$R$338,MATCH('hydrogen - electrolysis'!B5793,overview!$A$4:$A$338,0),MATCH('hydrogen - electrolysis'!A5795,overview!$B$3:$R$3,0))</f>
        <v>kilowatt hour</v>
      </c>
    </row>
    <row r="5796" spans="1:2" x14ac:dyDescent="0.2">
      <c r="A5796" t="s">
        <v>0</v>
      </c>
      <c r="B5796" s="45" t="str">
        <f>INDEX(overview!$B$4:$R$338,MATCH('hydrogen - electrolysis'!B5793,overview!$A$4:$A$338,0),MATCH('hydrogen - electrolysis'!A5796,overview!$B$3:$R$3,0))</f>
        <v>Switzerland</v>
      </c>
    </row>
    <row r="5797" spans="1:2" x14ac:dyDescent="0.2">
      <c r="A5797" t="s">
        <v>1</v>
      </c>
      <c r="B5797" s="45">
        <f>INDEX(overview!$B$4:$R$338,MATCH('hydrogen - electrolysis'!B5793,overview!$A$4:$A$338,0),MATCH('hydrogen - electrolysis'!A5797,overview!$B$3:$R$3,0))</f>
        <v>2020</v>
      </c>
    </row>
    <row r="5798" spans="1:2" x14ac:dyDescent="0.2">
      <c r="A5798" t="s">
        <v>2</v>
      </c>
      <c r="B5798" s="45" t="str">
        <f>INDEX(overview!$B$4:$R$338,MATCH('hydrogen - electrolysis'!B5793,overview!$A$4:$A$338,0),MATCH('hydrogen - electrolysis'!A5798,overview!$B$3:$R$3,0))</f>
        <v>1 kWh electricity</v>
      </c>
    </row>
    <row r="5799" spans="1:2" x14ac:dyDescent="0.2">
      <c r="A5799" t="s">
        <v>5</v>
      </c>
      <c r="B5799" s="45" t="str">
        <f>INDEX(overview!$B$4:$R$338,MATCH('hydrogen - electrolysis'!B5793,overview!$A$4:$A$338,0),MATCH('hydrogen - electrolysis'!A5799,overview!$B$3:$R$3,0))</f>
        <v>hydrogen</v>
      </c>
    </row>
    <row r="5800" spans="1:2" x14ac:dyDescent="0.2">
      <c r="A5800" t="s">
        <v>3</v>
      </c>
      <c r="B5800" s="45" t="str">
        <f>INDEX(overview!$B$4:$R$338,MATCH('hydrogen - electrolysis'!B5793,overview!$A$4:$A$338,0),MATCH('hydrogen - electrolysis'!A5800,overview!$B$3:$R$3,0))</f>
        <v>combustion</v>
      </c>
    </row>
    <row r="5801" spans="1:2" x14ac:dyDescent="0.2">
      <c r="A5801" t="s">
        <v>6</v>
      </c>
      <c r="B5801" s="45" t="str">
        <f>INDEX(overview!$B$4:$R$338,MATCH('hydrogen - electrolysis'!B5793,overview!$A$4:$A$338,0),MATCH('hydrogen - electrolysis'!A5801,overview!$B$3:$R$3,0))</f>
        <v>CHP</v>
      </c>
    </row>
    <row r="5802" spans="1:2" x14ac:dyDescent="0.2">
      <c r="A5802" t="s">
        <v>39</v>
      </c>
      <c r="B5802" s="45" t="str">
        <f>INDEX(overview!$B$4:$R$338,MATCH('hydrogen - electrolysis'!B5793,overview!$A$4:$A$338,0),MATCH('hydrogen - electrolysis'!A5802,overview!$B$3:$R$3,0))</f>
        <v>exergy</v>
      </c>
    </row>
    <row r="5803" spans="1:2" x14ac:dyDescent="0.2">
      <c r="A5803" t="s">
        <v>4</v>
      </c>
      <c r="B5803" s="45" t="str">
        <f>INDEX(overview!$B$4:$R$338,MATCH('hydrogen - electrolysis'!B5793,overview!$A$4:$A$338,0),MATCH('hydrogen - electrolysis'!A5803,overview!$B$3:$R$3,0))</f>
        <v>train</v>
      </c>
    </row>
    <row r="5804" spans="1:2" x14ac:dyDescent="0.2">
      <c r="A5804" t="s">
        <v>38</v>
      </c>
      <c r="B5804" s="45">
        <f>INDEX(overview!$B$4:$R$338,MATCH('hydrogen - electrolysis'!B5793,overview!$A$4:$A$338,0),MATCH('hydrogen - electrolysis'!A5804,overview!$B$3:$R$3,0))</f>
        <v>1700</v>
      </c>
    </row>
    <row r="5805" spans="1:2" x14ac:dyDescent="0.2">
      <c r="A5805" t="s">
        <v>12</v>
      </c>
      <c r="B5805" s="45" t="str">
        <f>INDEX(overview!$B$4:$R$338,MATCH('hydrogen - electrolysis'!B5793,overview!$A$4:$A$338,0),MATCH('hydrogen - electrolysis'!A5805,overview!$B$3:$R$3,0))</f>
        <v>Pressure vessel for stationary storage</v>
      </c>
    </row>
    <row r="5806" spans="1:2" x14ac:dyDescent="0.2">
      <c r="A5806" t="s">
        <v>34</v>
      </c>
      <c r="B5806" s="45">
        <f>INDEX(overview!$B$4:$R$338,MATCH('hydrogen - electrolysis'!B5793,overview!$A$4:$A$338,0),MATCH('hydrogen - electrolysis'!A5806,overview!$B$3:$R$3,0))</f>
        <v>0</v>
      </c>
    </row>
    <row r="5807" spans="1:2" x14ac:dyDescent="0.2">
      <c r="A5807" t="s">
        <v>15</v>
      </c>
      <c r="B5807" s="45" t="str">
        <f>INDEX(overview!$B$4:$R$338,MATCH('hydrogen - electrolysis'!B5793,overview!$A$4:$A$338,0),MATCH('hydrogen - electrolysis'!A5807,overview!$B$3:$R$3,0))</f>
        <v>Electrolysis, SOEC</v>
      </c>
    </row>
    <row r="5808" spans="1:2" x14ac:dyDescent="0.2">
      <c r="A5808" t="s">
        <v>14</v>
      </c>
      <c r="B5808" s="45" t="str">
        <f>INDEX(overview!$B$4:$R$338,MATCH('hydrogen - electrolysis'!B5793,overview!$A$4:$A$338,0),MATCH('hydrogen - electrolysis'!A5808,overview!$B$3:$R$3,0))</f>
        <v>water and electricity</v>
      </c>
    </row>
    <row r="5809" spans="1:2" x14ac:dyDescent="0.2">
      <c r="A5809" t="s">
        <v>26</v>
      </c>
      <c r="B5809" s="45" t="str">
        <f>INDEX(overview!$B$4:$R$338,MATCH('hydrogen - electrolysis'!B5793,overview!$A$4:$A$338,0),MATCH('hydrogen - electrolysis'!A5809,overview!$B$3:$R$3,0))</f>
        <v>Solar PV (IT)</v>
      </c>
    </row>
    <row r="5810" spans="1:2" x14ac:dyDescent="0.2">
      <c r="A5810" t="s">
        <v>29</v>
      </c>
      <c r="B5810" s="45">
        <f>INDEX(overview!$B$4:$R$338,MATCH('hydrogen - electrolysis'!B5793,overview!$A$4:$A$338,0),MATCH('hydrogen - electrolysis'!A5810,overview!$B$3:$R$3,0))</f>
        <v>0</v>
      </c>
    </row>
    <row r="5811" spans="1:2" x14ac:dyDescent="0.2">
      <c r="A5811" t="str">
        <f>IF(B5795="megajoule","Heat","Electricity")&amp;" conversion efficiency [% LHV input]"</f>
        <v>Electricity conversion efficiency [% LHV input]</v>
      </c>
      <c r="B5811" s="46">
        <f>INDEX(parameters!$D$4:$N$20,MATCH('hydrogen - electrolysis'!B5799&amp;'hydrogen - electrolysis'!B5801,parameters!$A$4:$A$20,0),MATCH('hydrogen - electrolysis'!A5811,parameters!$D$3:$N$3,0))</f>
        <v>0.39400000000000002</v>
      </c>
    </row>
    <row r="5812" spans="1:2" x14ac:dyDescent="0.2">
      <c r="A5812" t="str">
        <f>IF(B5795="megajoule","LHV [MJ/kg]","LHV [kWh/kg]")</f>
        <v>LHV [kWh/kg]</v>
      </c>
      <c r="B5812" s="47">
        <f>INDEX(parameters!$D$4:$N$20,MATCH('hydrogen - electrolysis'!B5799&amp;'hydrogen - electrolysis'!B5801,parameters!$A$4:$A$20,0),MATCH('hydrogen - electrolysis'!A5812,parameters!$D$3:$N$3,0))</f>
        <v>33.333333333333336</v>
      </c>
    </row>
    <row r="5813" spans="1:2" x14ac:dyDescent="0.2">
      <c r="A5813" t="s">
        <v>41</v>
      </c>
      <c r="B5813" s="48">
        <f>INDEX(parameters!$D$4:$N$20,MATCH('hydrogen - electrolysis'!B5799&amp;'hydrogen - electrolysis'!B5801,parameters!$A$4:$A$20,0),MATCH('hydrogen - electrolysis'!A5813,parameters!$D$3:$N$3,0))</f>
        <v>2.6666666666666665E-2</v>
      </c>
    </row>
    <row r="5814" spans="1:2" x14ac:dyDescent="0.2">
      <c r="A5814" t="s">
        <v>45</v>
      </c>
      <c r="B5814" s="46">
        <f>INDEX(parameters!$D$4:$N$20,MATCH('hydrogen - electrolysis'!B5799&amp;'hydrogen - electrolysis'!B5801,parameters!$A$4:$A$20,0),MATCH('hydrogen - electrolysis'!A5814,parameters!$D$3:$N$3,0))</f>
        <v>0</v>
      </c>
    </row>
    <row r="5815" spans="1:2" x14ac:dyDescent="0.2">
      <c r="A5815" t="s">
        <v>46</v>
      </c>
      <c r="B5815" s="46">
        <f>INDEX(parameters!$D$4:$N$20,MATCH('hydrogen - electrolysis'!B5799&amp;'hydrogen - electrolysis'!B5801,parameters!$A$4:$A$20,0),MATCH('hydrogen - electrolysis'!A5815,parameters!$D$3:$N$3,0))</f>
        <v>1.4999999999999999E-2</v>
      </c>
    </row>
    <row r="5816" spans="1:2" x14ac:dyDescent="0.2">
      <c r="A5816" t="s">
        <v>43</v>
      </c>
      <c r="B5816" s="46">
        <f>INDEX(parameters!$D$4:$N$20,MATCH('hydrogen - electrolysis'!B5799&amp;'hydrogen - electrolysis'!B5801,parameters!$A$4:$A$20,0),MATCH('hydrogen - electrolysis'!A5816,parameters!$D$3:$N$3,0))</f>
        <v>0</v>
      </c>
    </row>
    <row r="5817" spans="1:2" x14ac:dyDescent="0.2">
      <c r="A5817" t="s">
        <v>44</v>
      </c>
      <c r="B5817" s="46">
        <f>INDEX(parameters!$D$4:$N$20,MATCH('hydrogen - electrolysis'!B5799&amp;'hydrogen - electrolysis'!B5801,parameters!$A$4:$A$20,0),MATCH('hydrogen - electrolysis'!A5817,parameters!$D$3:$N$3,0))</f>
        <v>0</v>
      </c>
    </row>
    <row r="5818" spans="1:2" x14ac:dyDescent="0.2">
      <c r="A5818" t="s">
        <v>634</v>
      </c>
      <c r="B5818" s="51">
        <f>INDEX(parameters!$D$4:$Y$20,MATCH('hydrogen - electrolysis'!B5799&amp;'hydrogen - electrolysis'!B5801,parameters!$A$4:$A$20,0),MATCH('hydrogen - electrolysis'!A5818,parameters!$D$3:$Y$3,0))</f>
        <v>351.41800246609125</v>
      </c>
    </row>
    <row r="5819" spans="1:2" x14ac:dyDescent="0.2">
      <c r="A5819" t="s">
        <v>82</v>
      </c>
      <c r="B5819" s="46">
        <f>IF(B5810&lt;&gt;0,VLOOKUP(B5810,parameters!A3740:B3742,2,0),0)</f>
        <v>0</v>
      </c>
    </row>
    <row r="5820" spans="1:2" x14ac:dyDescent="0.2">
      <c r="A5820" t="s">
        <v>548</v>
      </c>
      <c r="B5820" s="50">
        <f>INDEX(parameters!$D$4:$P$20,MATCH(B5799&amp;B5801,parameters!$A$4:$A$20,0),MATCH(A5820,parameters!$D$3:$P$3,0))</f>
        <v>125</v>
      </c>
    </row>
    <row r="5821" spans="1:2" x14ac:dyDescent="0.2">
      <c r="A5821" t="s">
        <v>547</v>
      </c>
      <c r="B5821" s="51">
        <f>INDEX(parameters!$D$4:$P$20,MATCH(B5799&amp;B5801,parameters!$A$4:$A$20,0),MATCH(A5821,parameters!$D$3:$P$3,0))</f>
        <v>19.512195121951219</v>
      </c>
    </row>
    <row r="5822" spans="1:2" x14ac:dyDescent="0.2">
      <c r="A5822" t="s">
        <v>630</v>
      </c>
      <c r="B5822" s="51">
        <f>INDEX(parameters!$D$4:$T$20,MATCH(B5799&amp;B5801,parameters!$A$4:$A$20,0),MATCH(A5822,parameters!$D$3:$T$3,0))</f>
        <v>4100</v>
      </c>
    </row>
    <row r="5823" spans="1:2" x14ac:dyDescent="0.2">
      <c r="A5823" t="s">
        <v>1005</v>
      </c>
      <c r="B5823" s="50">
        <f>IF(B5795="megajoule",SUMIFS(allocation!$I$4:$I$30,allocation!$B$4:$B$30,B5801,allocation!$C$4:$C$30,B5802),SUMIFS(allocation!$J$4:$J$30,allocation!$B$4:$B$30,B5801,allocation!$C$4:$C$30,B5802))</f>
        <v>0.87139957772704957</v>
      </c>
    </row>
    <row r="5824" spans="1:2" x14ac:dyDescent="0.2">
      <c r="A5824" t="s">
        <v>1050</v>
      </c>
      <c r="B5824" s="51">
        <f>INDEX(parameters!$D$4:$AB$20,MATCH(B5799&amp;B5801,parameters!$A$4:$A$20,0),MATCH(A5824,parameters!$D$3:$AB$3,0))</f>
        <v>2220.7364520822662</v>
      </c>
    </row>
    <row r="5826" spans="1:22" x14ac:dyDescent="0.2">
      <c r="A5826" s="3" t="s">
        <v>57</v>
      </c>
    </row>
    <row r="5827" spans="1:22" x14ac:dyDescent="0.2">
      <c r="A5827" s="2" t="s">
        <v>58</v>
      </c>
      <c r="B5827" s="44" t="s">
        <v>59</v>
      </c>
      <c r="C5827" s="2" t="s">
        <v>55</v>
      </c>
      <c r="D5827" s="2" t="s">
        <v>60</v>
      </c>
      <c r="E5827" s="2" t="s">
        <v>52</v>
      </c>
      <c r="F5827" s="2" t="s">
        <v>61</v>
      </c>
      <c r="G5827" s="2" t="s">
        <v>54</v>
      </c>
      <c r="H5827" s="2" t="s">
        <v>87</v>
      </c>
      <c r="I5827" s="2" t="s">
        <v>51</v>
      </c>
      <c r="J5827" s="2" t="s">
        <v>138</v>
      </c>
      <c r="K5827" s="2" t="s">
        <v>136</v>
      </c>
      <c r="L5827" s="2" t="s">
        <v>221</v>
      </c>
      <c r="M5827" s="2" t="s">
        <v>379</v>
      </c>
      <c r="N5827" s="2" t="s">
        <v>1059</v>
      </c>
      <c r="O5827" s="2" t="s">
        <v>1060</v>
      </c>
      <c r="P5827" s="2" t="s">
        <v>1061</v>
      </c>
      <c r="Q5827" s="2" t="s">
        <v>1062</v>
      </c>
      <c r="R5827" s="2" t="s">
        <v>1063</v>
      </c>
      <c r="S5827" s="2" t="s">
        <v>1064</v>
      </c>
      <c r="T5827" s="2" t="s">
        <v>1065</v>
      </c>
      <c r="U5827" s="2" t="s">
        <v>380</v>
      </c>
      <c r="V5827" s="2" t="s">
        <v>1128</v>
      </c>
    </row>
    <row r="5828" spans="1:22" x14ac:dyDescent="0.2">
      <c r="A5828" t="str">
        <f>B5789</f>
        <v>electricity, residential, by combustion of hydrogen using CHP, allocated by exergy, transported by train, produced by Electrolysis, SOEC using water and electricity from Solar PV (IT)</v>
      </c>
      <c r="B5828" s="45">
        <v>1</v>
      </c>
      <c r="C5828" t="str">
        <f>B5795</f>
        <v>kilowatt hour</v>
      </c>
      <c r="E5828" t="str">
        <f>B5792</f>
        <v>CH</v>
      </c>
      <c r="F5828" t="s">
        <v>62</v>
      </c>
      <c r="G5828" t="str">
        <f>B5794</f>
        <v>electricity, from residential heating system</v>
      </c>
      <c r="K5828" t="str">
        <f>B5789</f>
        <v>electricity, residential, by combustion of hydrogen using CHP, allocated by exergy, transported by train, produced by Electrolysis, SOEC using water and electricity from Solar PV (IT)</v>
      </c>
    </row>
    <row r="5829" spans="1:22" x14ac:dyDescent="0.2">
      <c r="A5829" t="str">
        <f>VLOOKUP(J5829,'dataset mapping'!$A$4:$E$69,2,0)</f>
        <v>heat and power co-generation unit construction, 160kW electrical, common components for heat+electricity</v>
      </c>
      <c r="B5829" s="52">
        <f>(1/(B5818*B5822*B5821))*B5823</f>
        <v>3.0995835856870056E-8</v>
      </c>
      <c r="C5829" t="str">
        <f>VLOOKUP(J5829,'dataset mapping'!$A$4:$E$69,5,0)</f>
        <v>unit</v>
      </c>
      <c r="E5829" t="str">
        <f>VLOOKUP(J5829,'dataset mapping'!$A$4:$E$69,4,0)</f>
        <v>RER</v>
      </c>
      <c r="F5829" t="s">
        <v>86</v>
      </c>
      <c r="G5829" t="str">
        <f>VLOOKUP(J5829,'dataset mapping'!$A$4:$E$69,3,0)</f>
        <v>heat and power co-generation unit, 160kW electrical, common components for heat+electricity</v>
      </c>
      <c r="H5829" t="s">
        <v>88</v>
      </c>
      <c r="J5829" t="s">
        <v>145</v>
      </c>
      <c r="K5829" t="str">
        <f>B5789</f>
        <v>electricity, residential, by combustion of hydrogen using CHP, allocated by exergy, transported by train, produced by Electrolysis, SOEC using water and electricity from Solar PV (IT)</v>
      </c>
      <c r="L5829">
        <f t="shared" ref="L5829:L5838" si="217">IF(OR(B5829&lt;0,B5829=0),1,2)</f>
        <v>2</v>
      </c>
      <c r="M5829">
        <f t="shared" ref="M5829:M5838" si="218">IF(L5829=2,LN(B5829),"")</f>
        <v>-17.28941296868171</v>
      </c>
      <c r="N5829">
        <v>1.05</v>
      </c>
      <c r="O5829" s="15">
        <v>1.2</v>
      </c>
      <c r="P5829">
        <v>1</v>
      </c>
      <c r="Q5829">
        <v>1.01</v>
      </c>
      <c r="R5829">
        <v>1.2</v>
      </c>
      <c r="S5829">
        <v>1.2</v>
      </c>
      <c r="T5829">
        <v>3</v>
      </c>
      <c r="U5829">
        <f t="shared" ref="U5829:U5838" si="219">LN(SQRT(EXP(
SQRT(
+POWER(LN(N5829),2)
+POWER(LN(O5829),2)
+POWER(LN(P5829),2)
+POWER(LN(Q5829),2)
+POWER(LN(R5829),2)
+POWER(LN(S5829),2)
+POWER(LN(T5829),2)
)
)))</f>
        <v>0.57209088006881903</v>
      </c>
    </row>
    <row r="5830" spans="1:22" x14ac:dyDescent="0.2">
      <c r="A5830" t="str">
        <f>VLOOKUP(J5830,'dataset mapping'!$A$4:$E$69,2,0)</f>
        <v>heat and power co-generation unit construction, 160kW electrical, components for electricity only</v>
      </c>
      <c r="B5830" s="52">
        <f>(1/(B5818*B5822*B5821))*B5823</f>
        <v>3.0995835856870056E-8</v>
      </c>
      <c r="C5830" t="str">
        <f>VLOOKUP(J5830,'dataset mapping'!$A$4:$E$69,5,0)</f>
        <v>unit</v>
      </c>
      <c r="E5830" t="str">
        <f>VLOOKUP(J5830,'dataset mapping'!$A$4:$E$69,4,0)</f>
        <v>RER</v>
      </c>
      <c r="F5830" t="s">
        <v>86</v>
      </c>
      <c r="G5830" t="str">
        <f>VLOOKUP(J5830,'dataset mapping'!$A$4:$E$69,3,0)</f>
        <v>heat and power co-generation unit, 160kW electrical, components for electricity only</v>
      </c>
      <c r="H5830" t="s">
        <v>88</v>
      </c>
      <c r="J5830" t="s">
        <v>146</v>
      </c>
      <c r="K5830" t="str">
        <f>B5789</f>
        <v>electricity, residential, by combustion of hydrogen using CHP, allocated by exergy, transported by train, produced by Electrolysis, SOEC using water and electricity from Solar PV (IT)</v>
      </c>
      <c r="L5830">
        <f t="shared" si="217"/>
        <v>2</v>
      </c>
      <c r="M5830">
        <f t="shared" si="218"/>
        <v>-17.28941296868171</v>
      </c>
      <c r="N5830">
        <v>1.05</v>
      </c>
      <c r="O5830" s="15">
        <v>1.2</v>
      </c>
      <c r="P5830">
        <v>1</v>
      </c>
      <c r="Q5830">
        <v>1.01</v>
      </c>
      <c r="R5830">
        <v>1.2</v>
      </c>
      <c r="S5830">
        <v>1.2</v>
      </c>
      <c r="T5830">
        <v>3</v>
      </c>
      <c r="U5830">
        <f t="shared" si="219"/>
        <v>0.57209088006881903</v>
      </c>
    </row>
    <row r="5831" spans="1:22" x14ac:dyDescent="0.2">
      <c r="A5831" t="str">
        <f>VLOOKUP(J5831,'dataset mapping'!$A$4:$E$69,2,0)</f>
        <v>heat and power co-generation unit construction, 160kW electrical, components for heat only</v>
      </c>
      <c r="B5831" s="52">
        <f>(1/(B5818*B5822*B5821))*B5823</f>
        <v>3.0995835856870056E-8</v>
      </c>
      <c r="C5831" t="str">
        <f>VLOOKUP(J5831,'dataset mapping'!$A$4:$E$69,5,0)</f>
        <v>unit</v>
      </c>
      <c r="E5831" t="str">
        <f>VLOOKUP(J5831,'dataset mapping'!$A$4:$E$69,4,0)</f>
        <v>RER</v>
      </c>
      <c r="F5831" t="s">
        <v>86</v>
      </c>
      <c r="G5831" t="str">
        <f>VLOOKUP(J5831,'dataset mapping'!$A$4:$E$69,3,0)</f>
        <v>heat and power co-generation unit, 160kW electrical, components for heat only</v>
      </c>
      <c r="H5831" t="s">
        <v>88</v>
      </c>
      <c r="J5831" t="s">
        <v>147</v>
      </c>
      <c r="K5831" t="str">
        <f>B5789</f>
        <v>electricity, residential, by combustion of hydrogen using CHP, allocated by exergy, transported by train, produced by Electrolysis, SOEC using water and electricity from Solar PV (IT)</v>
      </c>
      <c r="L5831">
        <f t="shared" si="217"/>
        <v>2</v>
      </c>
      <c r="M5831">
        <f t="shared" si="218"/>
        <v>-17.28941296868171</v>
      </c>
      <c r="N5831">
        <v>1.05</v>
      </c>
      <c r="O5831" s="15">
        <v>1.2</v>
      </c>
      <c r="P5831">
        <v>1</v>
      </c>
      <c r="Q5831">
        <v>1.01</v>
      </c>
      <c r="R5831">
        <v>1.2</v>
      </c>
      <c r="S5831">
        <v>1.2</v>
      </c>
      <c r="T5831">
        <v>3</v>
      </c>
      <c r="U5831">
        <f t="shared" si="219"/>
        <v>0.57209088006881903</v>
      </c>
    </row>
    <row r="5832" spans="1:22" x14ac:dyDescent="0.2">
      <c r="A5832" t="s">
        <v>156</v>
      </c>
      <c r="B5832" s="52">
        <f>0.00000011366*B5823</f>
        <v>9.9043276004456456E-8</v>
      </c>
      <c r="C5832" t="s">
        <v>56</v>
      </c>
      <c r="E5832" t="s">
        <v>90</v>
      </c>
      <c r="F5832" t="s">
        <v>86</v>
      </c>
      <c r="G5832" t="s">
        <v>154</v>
      </c>
      <c r="H5832" t="s">
        <v>155</v>
      </c>
      <c r="K5832" t="str">
        <f>B5789</f>
        <v>electricity, residential, by combustion of hydrogen using CHP, allocated by exergy, transported by train, produced by Electrolysis, SOEC using water and electricity from Solar PV (IT)</v>
      </c>
      <c r="L5832">
        <f t="shared" si="217"/>
        <v>2</v>
      </c>
      <c r="M5832">
        <f t="shared" si="218"/>
        <v>-16.127708950967754</v>
      </c>
      <c r="N5832">
        <v>1.05</v>
      </c>
      <c r="O5832" s="15">
        <v>1.2</v>
      </c>
      <c r="P5832">
        <v>1</v>
      </c>
      <c r="Q5832">
        <v>1.01</v>
      </c>
      <c r="R5832">
        <v>1.2</v>
      </c>
      <c r="S5832">
        <v>1.2</v>
      </c>
      <c r="T5832">
        <v>1.05</v>
      </c>
      <c r="U5832">
        <f t="shared" si="219"/>
        <v>0.16169679924070957</v>
      </c>
    </row>
    <row r="5833" spans="1:22" x14ac:dyDescent="0.2">
      <c r="A5833" t="s">
        <v>157</v>
      </c>
      <c r="B5833" s="52">
        <f>0.00000011366*B5823*-1</f>
        <v>-9.9043276004456456E-8</v>
      </c>
      <c r="C5833" t="s">
        <v>56</v>
      </c>
      <c r="E5833" t="s">
        <v>64</v>
      </c>
      <c r="F5833" t="s">
        <v>86</v>
      </c>
      <c r="G5833" t="s">
        <v>158</v>
      </c>
      <c r="H5833" t="s">
        <v>155</v>
      </c>
      <c r="K5833" t="str">
        <f>B5789</f>
        <v>electricity, residential, by combustion of hydrogen using CHP, allocated by exergy, transported by train, produced by Electrolysis, SOEC using water and electricity from Solar PV (IT)</v>
      </c>
      <c r="L5833">
        <v>2</v>
      </c>
      <c r="M5833">
        <f>IF(L5833=2,LN(B5833*-1),"")</f>
        <v>-16.127708950967754</v>
      </c>
      <c r="N5833">
        <v>1.05</v>
      </c>
      <c r="O5833" s="15">
        <v>1.2</v>
      </c>
      <c r="P5833">
        <v>1</v>
      </c>
      <c r="Q5833">
        <v>1.01</v>
      </c>
      <c r="R5833">
        <v>1.2</v>
      </c>
      <c r="S5833">
        <v>1.2</v>
      </c>
      <c r="T5833">
        <v>3</v>
      </c>
      <c r="U5833">
        <f>LN(SQRT(EXP(
SQRT(
+POWER(LN(N5833),2)
+POWER(LN(O5833),2)
+POWER(LN(P5833),2)
+POWER(LN(Q5833),2)
+POWER(LN(R5833),2)
+POWER(LN(S5833),2)
+POWER(LN(T5833),2)
)
)))</f>
        <v>0.57209088006881903</v>
      </c>
      <c r="V5833" t="b">
        <v>1</v>
      </c>
    </row>
    <row r="5834" spans="1:22" x14ac:dyDescent="0.2">
      <c r="A5834" s="45" t="str">
        <f>"hydrogen supply, transported by "&amp;B5803&amp;", produced by "&amp;B5807&amp;" using "&amp;B5808&amp;" from "&amp;B5809</f>
        <v>hydrogen supply, transported by train, produced by Electrolysis, SOEC using water and electricity from Solar PV (IT)</v>
      </c>
      <c r="B5834" s="53">
        <f>(B5828/B5812)/B5811*B5823</f>
        <v>6.6350221654343872E-2</v>
      </c>
      <c r="C5834" t="s">
        <v>56</v>
      </c>
      <c r="E5834" t="s">
        <v>64</v>
      </c>
      <c r="F5834" t="s">
        <v>86</v>
      </c>
      <c r="G5834" t="str">
        <f>"hydrogen, gaseous, from "&amp;B5803</f>
        <v>hydrogen, gaseous, from train</v>
      </c>
      <c r="H5834" t="s">
        <v>76</v>
      </c>
      <c r="I5834" t="s">
        <v>1054</v>
      </c>
      <c r="J5834" t="s">
        <v>638</v>
      </c>
      <c r="K5834" t="str">
        <f>B5789</f>
        <v>electricity, residential, by combustion of hydrogen using CHP, allocated by exergy, transported by train, produced by Electrolysis, SOEC using water and electricity from Solar PV (IT)</v>
      </c>
      <c r="L5834">
        <f t="shared" si="217"/>
        <v>2</v>
      </c>
      <c r="M5834">
        <f t="shared" si="218"/>
        <v>-2.7128081775260964</v>
      </c>
      <c r="N5834">
        <v>1.05</v>
      </c>
      <c r="O5834" s="15">
        <v>1.2</v>
      </c>
      <c r="P5834">
        <v>1</v>
      </c>
      <c r="Q5834">
        <v>1.01</v>
      </c>
      <c r="R5834">
        <v>1.2</v>
      </c>
      <c r="S5834">
        <v>1.2</v>
      </c>
      <c r="T5834">
        <v>1.05</v>
      </c>
      <c r="U5834">
        <f t="shared" si="219"/>
        <v>0.16169679924070957</v>
      </c>
    </row>
    <row r="5835" spans="1:22" x14ac:dyDescent="0.2">
      <c r="A5835" t="str">
        <f>VLOOKUP(J5835,'dataset mapping'!$A$4:$E$69,2,0)</f>
        <v>market for transport, freight train</v>
      </c>
      <c r="B5835" s="45">
        <f>SUM(B5834:B5834)/1000*B5804</f>
        <v>0.11279537681238458</v>
      </c>
      <c r="C5835" t="str">
        <f>VLOOKUP(J5835,'dataset mapping'!$A$4:$E$69,5,0)</f>
        <v>ton kilometer</v>
      </c>
      <c r="E5835" t="str">
        <f>VLOOKUP(J5835,'dataset mapping'!$A$4:$E$69,4,0)</f>
        <v>CH</v>
      </c>
      <c r="F5835" t="s">
        <v>86</v>
      </c>
      <c r="G5835" t="str">
        <f>VLOOKUP(J5835,'dataset mapping'!$A$4:$E$69,3,0)</f>
        <v>transport, freight train</v>
      </c>
      <c r="H5835" t="s">
        <v>88</v>
      </c>
      <c r="I5835" t="s">
        <v>1052</v>
      </c>
      <c r="J5835" t="s">
        <v>295</v>
      </c>
      <c r="K5835" t="str">
        <f>B5789</f>
        <v>electricity, residential, by combustion of hydrogen using CHP, allocated by exergy, transported by train, produced by Electrolysis, SOEC using water and electricity from Solar PV (IT)</v>
      </c>
      <c r="L5835">
        <f t="shared" si="217"/>
        <v>2</v>
      </c>
      <c r="M5835">
        <f t="shared" si="218"/>
        <v>-2.1821799264639261</v>
      </c>
      <c r="N5835">
        <v>1.05</v>
      </c>
      <c r="O5835" s="15">
        <v>1.2</v>
      </c>
      <c r="P5835">
        <v>1</v>
      </c>
      <c r="Q5835">
        <v>1.01</v>
      </c>
      <c r="R5835">
        <v>1.2</v>
      </c>
      <c r="S5835">
        <v>1.2</v>
      </c>
      <c r="T5835">
        <v>2</v>
      </c>
      <c r="U5835">
        <f t="shared" si="219"/>
        <v>0.38165951885721477</v>
      </c>
    </row>
    <row r="5836" spans="1:22" x14ac:dyDescent="0.2">
      <c r="A5836" t="str">
        <f>VLOOKUP(J5836,'dataset mapping'!$A$4:$E$69,2,0)</f>
        <v>high pressure hydrogen storage tank</v>
      </c>
      <c r="B5836" s="52">
        <f>((B5824/10)/(B5822*B5818*20))*IF(B5823&lt;&gt;0,B5823,1)</f>
        <v>6.7154714683034044E-6</v>
      </c>
      <c r="C5836" t="str">
        <f>VLOOKUP(J5836,'dataset mapping'!$A$4:$E$69,5,0)</f>
        <v>kilogram</v>
      </c>
      <c r="E5836" t="str">
        <f>VLOOKUP(J5836,'dataset mapping'!$A$4:$E$69,4,0)</f>
        <v>GLO</v>
      </c>
      <c r="F5836" t="s">
        <v>86</v>
      </c>
      <c r="G5836" t="str">
        <f>VLOOKUP(J5836,'dataset mapping'!$A$4:$E$69,3,0)</f>
        <v>high pressure hydrogen storage tank</v>
      </c>
      <c r="H5836" t="s">
        <v>88</v>
      </c>
      <c r="I5836" t="s">
        <v>279</v>
      </c>
      <c r="J5836" t="s">
        <v>229</v>
      </c>
      <c r="K5836" t="str">
        <f>B5789</f>
        <v>electricity, residential, by combustion of hydrogen using CHP, allocated by exergy, transported by train, produced by Electrolysis, SOEC using water and electricity from Solar PV (IT)</v>
      </c>
      <c r="L5836">
        <f t="shared" si="217"/>
        <v>2</v>
      </c>
      <c r="M5836">
        <f t="shared" si="218"/>
        <v>-11.911096519239557</v>
      </c>
      <c r="N5836">
        <v>1.05</v>
      </c>
      <c r="O5836" s="15">
        <v>1.2</v>
      </c>
      <c r="P5836">
        <v>1</v>
      </c>
      <c r="Q5836">
        <v>1.01</v>
      </c>
      <c r="R5836">
        <v>1.2</v>
      </c>
      <c r="S5836">
        <v>1.2</v>
      </c>
      <c r="T5836">
        <v>3</v>
      </c>
      <c r="U5836">
        <f t="shared" si="219"/>
        <v>0.57209088006881903</v>
      </c>
    </row>
    <row r="5837" spans="1:22" x14ac:dyDescent="0.2">
      <c r="A5837" t="s">
        <v>134</v>
      </c>
      <c r="B5837" s="45">
        <f>B5834*9</f>
        <v>0.59715199488909487</v>
      </c>
      <c r="C5837" t="s">
        <v>56</v>
      </c>
      <c r="D5837" t="s">
        <v>100</v>
      </c>
      <c r="F5837" t="s">
        <v>99</v>
      </c>
      <c r="H5837" t="s">
        <v>131</v>
      </c>
      <c r="I5837" t="s">
        <v>1058</v>
      </c>
      <c r="K5837" t="str">
        <f>B5789</f>
        <v>electricity, residential, by combustion of hydrogen using CHP, allocated by exergy, transported by train, produced by Electrolysis, SOEC using water and electricity from Solar PV (IT)</v>
      </c>
      <c r="L5837">
        <f t="shared" si="217"/>
        <v>2</v>
      </c>
      <c r="M5837">
        <f t="shared" si="218"/>
        <v>-0.51558360018987692</v>
      </c>
      <c r="N5837">
        <v>1.05</v>
      </c>
      <c r="O5837" s="15">
        <v>1.2</v>
      </c>
      <c r="P5837">
        <v>1</v>
      </c>
      <c r="Q5837">
        <v>1.01</v>
      </c>
      <c r="R5837">
        <v>1.2</v>
      </c>
      <c r="S5837">
        <v>1.2</v>
      </c>
      <c r="T5837">
        <v>1.05</v>
      </c>
      <c r="U5837">
        <f t="shared" si="219"/>
        <v>0.16169679924070957</v>
      </c>
    </row>
    <row r="5838" spans="1:22" x14ac:dyDescent="0.2">
      <c r="A5838" t="s">
        <v>135</v>
      </c>
      <c r="B5838" s="45">
        <f>912.5/1000000*B5836</f>
        <v>6.1278677148268563E-9</v>
      </c>
      <c r="C5838" t="s">
        <v>56</v>
      </c>
      <c r="D5838" t="s">
        <v>100</v>
      </c>
      <c r="F5838" t="s">
        <v>99</v>
      </c>
      <c r="H5838" t="s">
        <v>131</v>
      </c>
      <c r="I5838" t="s">
        <v>1217</v>
      </c>
      <c r="K5838" t="str">
        <f>B5789</f>
        <v>electricity, residential, by combustion of hydrogen using CHP, allocated by exergy, transported by train, produced by Electrolysis, SOEC using water and electricity from Solar PV (IT)</v>
      </c>
      <c r="L5838">
        <f t="shared" si="217"/>
        <v>2</v>
      </c>
      <c r="M5838">
        <f t="shared" si="218"/>
        <v>-18.910418991747186</v>
      </c>
      <c r="N5838">
        <v>1.05</v>
      </c>
      <c r="O5838" s="15">
        <v>1.2</v>
      </c>
      <c r="P5838">
        <v>1</v>
      </c>
      <c r="Q5838">
        <v>1.01</v>
      </c>
      <c r="R5838">
        <v>1.2</v>
      </c>
      <c r="S5838">
        <v>1.2</v>
      </c>
      <c r="T5838">
        <v>1.5</v>
      </c>
      <c r="U5838">
        <f t="shared" si="219"/>
        <v>0.25816898211842121</v>
      </c>
    </row>
    <row r="5840" spans="1:22" x14ac:dyDescent="0.2">
      <c r="A5840" s="2" t="s">
        <v>50</v>
      </c>
      <c r="B5840" s="44" t="str">
        <f>IF(B5846="megajoule","heat","electricity")&amp;", residential, by "&amp;B5851&amp;" of "&amp;B5850&amp;" using "&amp;B5852&amp;IF(B5853&lt;&gt;0,", allocated by "&amp;B5853,"")&amp;", transported by "&amp;B5854&amp;", produced by "&amp;B5858&amp;" using "&amp;B5859&amp;" from "&amp;B5860</f>
        <v>electricity, residential, by conversion of hydrogen using fuel cell, PEM, allocated by exergy, transported by train, produced by Electrolysis, SOEC using water and electricity from Solar PV (IT)</v>
      </c>
    </row>
    <row r="5841" spans="1:2" x14ac:dyDescent="0.2">
      <c r="A5841" t="s">
        <v>51</v>
      </c>
      <c r="B5841" s="45" t="str">
        <f>"This dataset represents the supply of 1 "&amp;IF(B5846="megajoule","megajoule of heat","kilowatt hour of electricity")&amp;" in a residence, by "&amp;B5850&amp;" "&amp;B5851&amp;" in a "&amp;B5852&amp;". "&amp;" The hydrogen is transported by "&amp;B5854&amp;" over "&amp;B5855&amp;" km from regional storage. "&amp;" The "&amp;B5850&amp;" is produced by  "&amp;B5858&amp;", with "&amp;B5859&amp;" from "&amp;B5860&amp;" as feedstock. "&amp;A5862&amp;": "&amp;(B5862*100)&amp;"%. "&amp;A5863&amp;": "&amp;B5863&amp;". "&amp;A5864&amp;": "&amp;B5864&amp;". "&amp;A5865&amp;": "&amp;(B5865*100)&amp;"%. "&amp;A5866&amp;": "&amp;(B5866*100)&amp;"%. "&amp;A5867&amp;": "&amp;(B5867*100)&amp;"%. "&amp;A5868&amp;": "&amp;B5868&amp;". "&amp;A5869&amp;": "&amp;B5869&amp;". "&amp;A5870&amp;": "&amp;(B5870*100)&amp;"%. "&amp;A5871&amp;": "&amp;B5871&amp;". "&amp;A5872&amp;": "&amp;B5872&amp;". "&amp;A5873&amp;": "&amp;B5873&amp;". "&amp;A5874&amp;": "&amp;B5874&amp;".  For more information, refer to: "&amp;B5842</f>
        <v>This dataset represents the supply of 1 kilowatt hour of electricity in a residence, by hydrogen conversion in a fuel cell, PEM.  The hydrogen is transported by train over 1700 km from regional storage.  The hydrogen is produced by  Electrolysis, SOEC, with water and electricity from Solar PV (IT)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5842" spans="1:2" x14ac:dyDescent="0.2">
      <c r="A5842" t="s">
        <v>63</v>
      </c>
      <c r="B5842" s="45" t="s">
        <v>1223</v>
      </c>
    </row>
    <row r="5843" spans="1:2" x14ac:dyDescent="0.2">
      <c r="A5843" t="s">
        <v>52</v>
      </c>
      <c r="B5843" s="45" t="s">
        <v>64</v>
      </c>
    </row>
    <row r="5844" spans="1:2" x14ac:dyDescent="0.2">
      <c r="A5844" t="s">
        <v>48</v>
      </c>
      <c r="B5844" s="45" t="s">
        <v>917</v>
      </c>
    </row>
    <row r="5845" spans="1:2" x14ac:dyDescent="0.2">
      <c r="A5845" t="s">
        <v>54</v>
      </c>
      <c r="B5845" s="45" t="str">
        <f>INDEX(overview!$B$4:$R$338,MATCH('hydrogen - electrolysis'!B5844,overview!$A$4:$A$338,0),MATCH('hydrogen - electrolysis'!A5845,overview!$B$3:$R$3,0))</f>
        <v>electricity, from residential heating system</v>
      </c>
    </row>
    <row r="5846" spans="1:2" x14ac:dyDescent="0.2">
      <c r="A5846" t="s">
        <v>55</v>
      </c>
      <c r="B5846" s="45" t="str">
        <f>INDEX(overview!$B$4:$R$338,MATCH('hydrogen - electrolysis'!B5844,overview!$A$4:$A$338,0),MATCH('hydrogen - electrolysis'!A5846,overview!$B$3:$R$3,0))</f>
        <v>kilowatt hour</v>
      </c>
    </row>
    <row r="5847" spans="1:2" x14ac:dyDescent="0.2">
      <c r="A5847" t="s">
        <v>0</v>
      </c>
      <c r="B5847" s="45" t="str">
        <f>INDEX(overview!$B$4:$R$338,MATCH('hydrogen - electrolysis'!B5844,overview!$A$4:$A$338,0),MATCH('hydrogen - electrolysis'!A5847,overview!$B$3:$R$3,0))</f>
        <v>Switzerland</v>
      </c>
    </row>
    <row r="5848" spans="1:2" x14ac:dyDescent="0.2">
      <c r="A5848" t="s">
        <v>1</v>
      </c>
      <c r="B5848" s="45">
        <f>INDEX(overview!$B$4:$R$338,MATCH('hydrogen - electrolysis'!B5844,overview!$A$4:$A$338,0),MATCH('hydrogen - electrolysis'!A5848,overview!$B$3:$R$3,0))</f>
        <v>2020</v>
      </c>
    </row>
    <row r="5849" spans="1:2" x14ac:dyDescent="0.2">
      <c r="A5849" t="s">
        <v>2</v>
      </c>
      <c r="B5849" s="45" t="str">
        <f>INDEX(overview!$B$4:$R$338,MATCH('hydrogen - electrolysis'!B5844,overview!$A$4:$A$338,0),MATCH('hydrogen - electrolysis'!A5849,overview!$B$3:$R$3,0))</f>
        <v>1 kWh electricity</v>
      </c>
    </row>
    <row r="5850" spans="1:2" x14ac:dyDescent="0.2">
      <c r="A5850" t="s">
        <v>5</v>
      </c>
      <c r="B5850" s="45" t="str">
        <f>INDEX(overview!$B$4:$R$338,MATCH('hydrogen - electrolysis'!B5844,overview!$A$4:$A$338,0),MATCH('hydrogen - electrolysis'!A5850,overview!$B$3:$R$3,0))</f>
        <v>hydrogen</v>
      </c>
    </row>
    <row r="5851" spans="1:2" x14ac:dyDescent="0.2">
      <c r="A5851" t="s">
        <v>3</v>
      </c>
      <c r="B5851" s="45" t="str">
        <f>INDEX(overview!$B$4:$R$338,MATCH('hydrogen - electrolysis'!B5844,overview!$A$4:$A$338,0),MATCH('hydrogen - electrolysis'!A5851,overview!$B$3:$R$3,0))</f>
        <v>conversion</v>
      </c>
    </row>
    <row r="5852" spans="1:2" x14ac:dyDescent="0.2">
      <c r="A5852" t="s">
        <v>6</v>
      </c>
      <c r="B5852" s="45" t="str">
        <f>INDEX(overview!$B$4:$R$338,MATCH('hydrogen - electrolysis'!B5844,overview!$A$4:$A$338,0),MATCH('hydrogen - electrolysis'!A5852,overview!$B$3:$R$3,0))</f>
        <v>fuel cell, PEM</v>
      </c>
    </row>
    <row r="5853" spans="1:2" x14ac:dyDescent="0.2">
      <c r="A5853" t="s">
        <v>39</v>
      </c>
      <c r="B5853" s="45" t="str">
        <f>INDEX(overview!$B$4:$R$338,MATCH('hydrogen - electrolysis'!B5844,overview!$A$4:$A$338,0),MATCH('hydrogen - electrolysis'!A5853,overview!$B$3:$R$3,0))</f>
        <v>exergy</v>
      </c>
    </row>
    <row r="5854" spans="1:2" x14ac:dyDescent="0.2">
      <c r="A5854" t="s">
        <v>4</v>
      </c>
      <c r="B5854" s="45" t="str">
        <f>INDEX(overview!$B$4:$R$338,MATCH('hydrogen - electrolysis'!B5844,overview!$A$4:$A$338,0),MATCH('hydrogen - electrolysis'!A5854,overview!$B$3:$R$3,0))</f>
        <v>train</v>
      </c>
    </row>
    <row r="5855" spans="1:2" x14ac:dyDescent="0.2">
      <c r="A5855" t="s">
        <v>38</v>
      </c>
      <c r="B5855" s="45">
        <f>INDEX(overview!$B$4:$R$338,MATCH('hydrogen - electrolysis'!B5844,overview!$A$4:$A$338,0),MATCH('hydrogen - electrolysis'!A5855,overview!$B$3:$R$3,0))</f>
        <v>1700</v>
      </c>
    </row>
    <row r="5856" spans="1:2" x14ac:dyDescent="0.2">
      <c r="A5856" t="s">
        <v>12</v>
      </c>
      <c r="B5856" s="45" t="str">
        <f>INDEX(overview!$B$4:$R$338,MATCH('hydrogen - electrolysis'!B5844,overview!$A$4:$A$338,0),MATCH('hydrogen - electrolysis'!A5856,overview!$B$3:$R$3,0))</f>
        <v>Pressure vessel for stationary storage</v>
      </c>
    </row>
    <row r="5857" spans="1:2" x14ac:dyDescent="0.2">
      <c r="A5857" t="s">
        <v>34</v>
      </c>
      <c r="B5857" s="45">
        <f>INDEX(overview!$B$4:$R$338,MATCH('hydrogen - electrolysis'!B5844,overview!$A$4:$A$338,0),MATCH('hydrogen - electrolysis'!A5857,overview!$B$3:$R$3,0))</f>
        <v>0</v>
      </c>
    </row>
    <row r="5858" spans="1:2" x14ac:dyDescent="0.2">
      <c r="A5858" t="s">
        <v>15</v>
      </c>
      <c r="B5858" s="45" t="str">
        <f>INDEX(overview!$B$4:$R$338,MATCH('hydrogen - electrolysis'!B5844,overview!$A$4:$A$338,0),MATCH('hydrogen - electrolysis'!A5858,overview!$B$3:$R$3,0))</f>
        <v>Electrolysis, SOEC</v>
      </c>
    </row>
    <row r="5859" spans="1:2" x14ac:dyDescent="0.2">
      <c r="A5859" t="s">
        <v>14</v>
      </c>
      <c r="B5859" s="45" t="str">
        <f>INDEX(overview!$B$4:$R$338,MATCH('hydrogen - electrolysis'!B5844,overview!$A$4:$A$338,0),MATCH('hydrogen - electrolysis'!A5859,overview!$B$3:$R$3,0))</f>
        <v>water and electricity</v>
      </c>
    </row>
    <row r="5860" spans="1:2" x14ac:dyDescent="0.2">
      <c r="A5860" t="s">
        <v>26</v>
      </c>
      <c r="B5860" s="45" t="str">
        <f>INDEX(overview!$B$4:$R$338,MATCH('hydrogen - electrolysis'!B5844,overview!$A$4:$A$338,0),MATCH('hydrogen - electrolysis'!A5860,overview!$B$3:$R$3,0))</f>
        <v>Solar PV (IT)</v>
      </c>
    </row>
    <row r="5861" spans="1:2" x14ac:dyDescent="0.2">
      <c r="A5861" t="s">
        <v>29</v>
      </c>
      <c r="B5861" s="45">
        <f>INDEX(overview!$B$4:$R$338,MATCH('hydrogen - electrolysis'!B5844,overview!$A$4:$A$338,0),MATCH('hydrogen - electrolysis'!A5861,overview!$B$3:$R$3,0))</f>
        <v>0</v>
      </c>
    </row>
    <row r="5862" spans="1:2" x14ac:dyDescent="0.2">
      <c r="A5862" t="str">
        <f>IF(B5846="megajoule","Heat","Electricity")&amp;" conversion efficiency [% LHV input]"</f>
        <v>Electricity conversion efficiency [% LHV input]</v>
      </c>
      <c r="B5862" s="46">
        <f>INDEX(parameters!$D$4:$N$20,MATCH('hydrogen - electrolysis'!B5850&amp;'hydrogen - electrolysis'!B5852,parameters!$A$4:$A$20,0),MATCH('hydrogen - electrolysis'!A5862,parameters!$D$3:$N$3,0))</f>
        <v>0.45</v>
      </c>
    </row>
    <row r="5863" spans="1:2" x14ac:dyDescent="0.2">
      <c r="A5863" t="str">
        <f>IF(B5846="megajoule","LHV [MJ/kg]","LHV [kWh/kg]")</f>
        <v>LHV [kWh/kg]</v>
      </c>
      <c r="B5863" s="47">
        <f>INDEX(parameters!$D$4:$N$20,MATCH('hydrogen - electrolysis'!B5850&amp;'hydrogen - electrolysis'!B5852,parameters!$A$4:$A$20,0),MATCH('hydrogen - electrolysis'!A5863,parameters!$D$3:$N$3,0))</f>
        <v>33.333333333333336</v>
      </c>
    </row>
    <row r="5864" spans="1:2" x14ac:dyDescent="0.2">
      <c r="A5864" t="s">
        <v>41</v>
      </c>
      <c r="B5864" s="48">
        <f>INDEX(parameters!$D$4:$N$20,MATCH('hydrogen - electrolysis'!B5850&amp;'hydrogen - electrolysis'!B5852,parameters!$A$4:$A$20,0),MATCH('hydrogen - electrolysis'!A5864,parameters!$D$3:$N$3,0))</f>
        <v>2.6666666666666665E-2</v>
      </c>
    </row>
    <row r="5865" spans="1:2" x14ac:dyDescent="0.2">
      <c r="A5865" t="s">
        <v>45</v>
      </c>
      <c r="B5865" s="46">
        <f>INDEX(parameters!$D$4:$N$20,MATCH('hydrogen - electrolysis'!B5850&amp;'hydrogen - electrolysis'!B5852,parameters!$A$4:$A$20,0),MATCH('hydrogen - electrolysis'!A5865,parameters!$D$3:$N$3,0))</f>
        <v>0</v>
      </c>
    </row>
    <row r="5866" spans="1:2" x14ac:dyDescent="0.2">
      <c r="A5866" t="s">
        <v>46</v>
      </c>
      <c r="B5866" s="46">
        <f>INDEX(parameters!$D$4:$N$20,MATCH('hydrogen - electrolysis'!B5850&amp;'hydrogen - electrolysis'!B5852,parameters!$A$4:$A$20,0),MATCH('hydrogen - electrolysis'!A5866,parameters!$D$3:$N$3,0))</f>
        <v>1.4999999999999999E-2</v>
      </c>
    </row>
    <row r="5867" spans="1:2" x14ac:dyDescent="0.2">
      <c r="A5867" t="s">
        <v>43</v>
      </c>
      <c r="B5867" s="46">
        <f>INDEX(parameters!$D$4:$N$20,MATCH('hydrogen - electrolysis'!B5850&amp;'hydrogen - electrolysis'!B5852,parameters!$A$4:$A$20,0),MATCH('hydrogen - electrolysis'!A5867,parameters!$D$3:$N$3,0))</f>
        <v>0</v>
      </c>
    </row>
    <row r="5868" spans="1:2" x14ac:dyDescent="0.2">
      <c r="A5868" t="s">
        <v>44</v>
      </c>
      <c r="B5868" s="46">
        <f>INDEX(parameters!$D$4:$N$20,MATCH('hydrogen - electrolysis'!B5850&amp;'hydrogen - electrolysis'!B5852,parameters!$A$4:$A$20,0),MATCH('hydrogen - electrolysis'!A5868,parameters!$D$3:$N$3,0))</f>
        <v>0</v>
      </c>
    </row>
    <row r="5869" spans="1:2" x14ac:dyDescent="0.2">
      <c r="A5869" t="s">
        <v>634</v>
      </c>
      <c r="B5869" s="51">
        <f>INDEX(parameters!$D$4:$Y$20,MATCH('hydrogen - electrolysis'!B5850&amp;'hydrogen - electrolysis'!B5852,parameters!$A$4:$A$20,0),MATCH('hydrogen - electrolysis'!A5869,parameters!$D$3:$Y$3,0))</f>
        <v>1.8947368421052633</v>
      </c>
    </row>
    <row r="5870" spans="1:2" x14ac:dyDescent="0.2">
      <c r="A5870" t="s">
        <v>82</v>
      </c>
      <c r="B5870" s="46">
        <f>IF(B5861&lt;&gt;0,VLOOKUP(B5861,parameters!A3793:B3795,2,0),0)</f>
        <v>0</v>
      </c>
    </row>
    <row r="5871" spans="1:2" x14ac:dyDescent="0.2">
      <c r="A5871" t="s">
        <v>548</v>
      </c>
      <c r="B5871" s="50">
        <f>INDEX(parameters!$D$4:$P$20,MATCH(B5850&amp;B5852,parameters!$A$4:$A$20,0),MATCH(A5871,parameters!$D$3:$P$3,0))</f>
        <v>0.8</v>
      </c>
    </row>
    <row r="5872" spans="1:2" x14ac:dyDescent="0.2">
      <c r="A5872" t="s">
        <v>547</v>
      </c>
      <c r="B5872" s="51">
        <f>INDEX(parameters!$D$4:$P$20,MATCH(B5850&amp;B5852,parameters!$A$4:$A$20,0),MATCH(A5872,parameters!$D$3:$P$3,0))</f>
        <v>4.8780487804878048</v>
      </c>
    </row>
    <row r="5873" spans="1:22" x14ac:dyDescent="0.2">
      <c r="A5873" t="s">
        <v>630</v>
      </c>
      <c r="B5873" s="51">
        <f>INDEX(parameters!$D$4:$T$20,MATCH(B5850&amp;B5852,parameters!$A$4:$A$20,0),MATCH(A5873,parameters!$D$3:$T$3,0))</f>
        <v>4100</v>
      </c>
    </row>
    <row r="5874" spans="1:22" x14ac:dyDescent="0.2">
      <c r="A5874" t="s">
        <v>1005</v>
      </c>
      <c r="B5874" s="50">
        <f>IF(B5846="megajoule",SUMIFS(allocation!$I$4:$I$30,allocation!$B$4:$B$30,B5852,allocation!$C$4:$C$30,B5853),SUMIFS(allocation!$J$4:$J$30,allocation!$B$4:$B$30,B5852,allocation!$C$4:$C$30,B5853))</f>
        <v>0.86066019201025545</v>
      </c>
    </row>
    <row r="5875" spans="1:22" x14ac:dyDescent="0.2">
      <c r="A5875" t="s">
        <v>1050</v>
      </c>
      <c r="B5875" s="51">
        <f>INDEX(parameters!$D$4:$AB$20,MATCH(B5850&amp;B5852,parameters!$A$4:$A$20,0),MATCH(A5875,parameters!$D$3:$AB$3,0))</f>
        <v>10.221606648199446</v>
      </c>
    </row>
    <row r="5877" spans="1:22" x14ac:dyDescent="0.2">
      <c r="A5877" s="3" t="s">
        <v>57</v>
      </c>
    </row>
    <row r="5878" spans="1:22" x14ac:dyDescent="0.2">
      <c r="A5878" s="2" t="s">
        <v>58</v>
      </c>
      <c r="B5878" s="44" t="s">
        <v>59</v>
      </c>
      <c r="C5878" s="2" t="s">
        <v>55</v>
      </c>
      <c r="D5878" s="2" t="s">
        <v>60</v>
      </c>
      <c r="E5878" s="2" t="s">
        <v>52</v>
      </c>
      <c r="F5878" s="2" t="s">
        <v>61</v>
      </c>
      <c r="G5878" s="2" t="s">
        <v>54</v>
      </c>
      <c r="H5878" s="2" t="s">
        <v>87</v>
      </c>
      <c r="I5878" s="2" t="s">
        <v>51</v>
      </c>
      <c r="J5878" s="2" t="s">
        <v>138</v>
      </c>
      <c r="K5878" s="2" t="s">
        <v>136</v>
      </c>
      <c r="L5878" s="2" t="s">
        <v>221</v>
      </c>
      <c r="M5878" s="2" t="s">
        <v>379</v>
      </c>
      <c r="N5878" s="2" t="s">
        <v>1059</v>
      </c>
      <c r="O5878" s="2" t="s">
        <v>1060</v>
      </c>
      <c r="P5878" s="2" t="s">
        <v>1061</v>
      </c>
      <c r="Q5878" s="2" t="s">
        <v>1062</v>
      </c>
      <c r="R5878" s="2" t="s">
        <v>1063</v>
      </c>
      <c r="S5878" s="2" t="s">
        <v>1064</v>
      </c>
      <c r="T5878" s="2" t="s">
        <v>1065</v>
      </c>
      <c r="U5878" s="2" t="s">
        <v>380</v>
      </c>
      <c r="V5878" s="2" t="s">
        <v>1128</v>
      </c>
    </row>
    <row r="5879" spans="1:22" x14ac:dyDescent="0.2">
      <c r="A5879" t="str">
        <f>B5840</f>
        <v>electricity, residential, by conversion of hydrogen using fuel cell, PEM, allocated by exergy, transported by train, produced by Electrolysis, SOEC using water and electricity from Solar PV (IT)</v>
      </c>
      <c r="B5879" s="45">
        <v>1</v>
      </c>
      <c r="C5879" t="str">
        <f>B5846</f>
        <v>kilowatt hour</v>
      </c>
      <c r="E5879" t="str">
        <f>B5843</f>
        <v>CH</v>
      </c>
      <c r="F5879" t="s">
        <v>62</v>
      </c>
      <c r="G5879" t="str">
        <f>B5845</f>
        <v>electricity, from residential heating system</v>
      </c>
      <c r="K5879" t="str">
        <f>B5840</f>
        <v>electricity, residential, by conversion of hydrogen using fuel cell, PEM, allocated by exergy, transported by train, produced by Electrolysis, SOEC using water and electricity from Solar PV (IT)</v>
      </c>
    </row>
    <row r="5880" spans="1:22" x14ac:dyDescent="0.2">
      <c r="A5880" t="str">
        <f>VLOOKUP(J5880,'dataset mapping'!$A$4:$E$69,2,0)</f>
        <v>fuel cell system assembly, 1 kWe, proton exchange membrane (PEM)</v>
      </c>
      <c r="B5880" s="52">
        <f>1/(80000)/0.5*SUMIFS(allocation!$I$4:$I$30,allocation!$B$4:$B$30,'hydrogen - electrolysis'!B5852,allocation!$C$4:$C$30,'hydrogen - electrolysis'!B5853)</f>
        <v>3.4834951997436147E-6</v>
      </c>
      <c r="C5880" t="str">
        <f>VLOOKUP(J5880,'dataset mapping'!$A$4:$E$69,5,0)</f>
        <v>unit</v>
      </c>
      <c r="E5880" t="str">
        <f>VLOOKUP(J5880,'dataset mapping'!$A$4:$E$69,4,0)</f>
        <v>GLO</v>
      </c>
      <c r="F5880" t="s">
        <v>86</v>
      </c>
      <c r="G5880" t="str">
        <f>VLOOKUP(J5880,'dataset mapping'!$A$4:$E$69,3,0)</f>
        <v>fuel cell system, 1 kWe, proton exchange membrane (PEM)</v>
      </c>
      <c r="H5880" t="s">
        <v>88</v>
      </c>
      <c r="I5880" t="s">
        <v>272</v>
      </c>
      <c r="J5880" t="s">
        <v>273</v>
      </c>
      <c r="K5880" t="str">
        <f>B5840</f>
        <v>electricity, residential, by conversion of hydrogen using fuel cell, PEM, allocated by exergy, transported by train, produced by Electrolysis, SOEC using water and electricity from Solar PV (IT)</v>
      </c>
      <c r="L5880">
        <f t="shared" ref="L5880:L5884" si="220">IF(OR(B5880&lt;0,B5880=0),1,2)</f>
        <v>2</v>
      </c>
      <c r="M5880">
        <f t="shared" ref="M5880:M5884" si="221">IF(L5880=2,LN(B5880),"")</f>
        <v>-12.567474400475287</v>
      </c>
      <c r="N5880">
        <v>1</v>
      </c>
      <c r="O5880" s="15">
        <v>1.2</v>
      </c>
      <c r="P5880">
        <v>1</v>
      </c>
      <c r="Q5880">
        <v>1.01</v>
      </c>
      <c r="R5880">
        <v>1.2</v>
      </c>
      <c r="S5880">
        <v>1.2</v>
      </c>
      <c r="T5880">
        <v>3</v>
      </c>
      <c r="U5880">
        <f t="shared" ref="U5880:U5884" si="222">LN(SQRT(EXP(
SQRT(
+POWER(LN(N5880),2)
+POWER(LN(O5880),2)
+POWER(LN(P5880),2)
+POWER(LN(Q5880),2)
+POWER(LN(R5880),2)
+POWER(LN(S5880),2)
+POWER(LN(T5880),2)
)
)))</f>
        <v>0.57157051623399524</v>
      </c>
    </row>
    <row r="5881" spans="1:22" x14ac:dyDescent="0.2">
      <c r="A5881" s="45" t="str">
        <f>"hydrogen supply, transported by "&amp;B5854&amp;", produced by "&amp;B5858&amp;" using "&amp;B5859&amp;" from "&amp;B5860</f>
        <v>hydrogen supply, transported by train, produced by Electrolysis, SOEC using water and electricity from Solar PV (IT)</v>
      </c>
      <c r="B5881" s="53">
        <f>(B5879/B5863)/B5862*B5874</f>
        <v>5.7377346134017029E-2</v>
      </c>
      <c r="C5881" t="s">
        <v>56</v>
      </c>
      <c r="E5881" t="s">
        <v>64</v>
      </c>
      <c r="F5881" t="s">
        <v>86</v>
      </c>
      <c r="G5881" t="str">
        <f>"hydrogen, gaseous, from "&amp;B5854</f>
        <v>hydrogen, gaseous, from train</v>
      </c>
      <c r="H5881" t="s">
        <v>76</v>
      </c>
      <c r="I5881" t="s">
        <v>1054</v>
      </c>
      <c r="J5881" t="s">
        <v>638</v>
      </c>
      <c r="K5881" t="str">
        <f>B5840</f>
        <v>electricity, residential, by conversion of hydrogen using fuel cell, PEM, allocated by exergy, transported by train, produced by Electrolysis, SOEC using water and electricity from Solar PV (IT)</v>
      </c>
      <c r="L5881">
        <f t="shared" si="220"/>
        <v>2</v>
      </c>
      <c r="M5881">
        <f t="shared" si="221"/>
        <v>-2.8581057202127536</v>
      </c>
      <c r="N5881">
        <v>1</v>
      </c>
      <c r="O5881" s="15">
        <v>1.2</v>
      </c>
      <c r="P5881">
        <v>1</v>
      </c>
      <c r="Q5881">
        <v>1.01</v>
      </c>
      <c r="R5881">
        <v>1.2</v>
      </c>
      <c r="S5881">
        <v>1.2</v>
      </c>
      <c r="T5881">
        <v>1.05</v>
      </c>
      <c r="U5881">
        <f t="shared" si="222"/>
        <v>0.15984597228197622</v>
      </c>
    </row>
    <row r="5882" spans="1:22" x14ac:dyDescent="0.2">
      <c r="A5882" t="str">
        <f>VLOOKUP(J5882,'dataset mapping'!$A$4:$E$69,2,0)</f>
        <v>market for transport, freight train</v>
      </c>
      <c r="B5882" s="45">
        <f>SUM(B5881:B5881)/1000*B5855*SUMIFS(allocation!$I$4:$I$30,allocation!$B$4:$B$30,'hydrogen - electrolysis'!B5852,allocation!$C$4:$C$30,'hydrogen - electrolysis'!B5853)</f>
        <v>1.3591412268567579E-2</v>
      </c>
      <c r="C5882" t="str">
        <f>VLOOKUP(J5882,'dataset mapping'!$A$4:$E$69,5,0)</f>
        <v>ton kilometer</v>
      </c>
      <c r="E5882" t="str">
        <f>VLOOKUP(J5882,'dataset mapping'!$A$4:$E$69,4,0)</f>
        <v>CH</v>
      </c>
      <c r="F5882" t="s">
        <v>86</v>
      </c>
      <c r="G5882" t="str">
        <f>VLOOKUP(J5882,'dataset mapping'!$A$4:$E$69,3,0)</f>
        <v>transport, freight train</v>
      </c>
      <c r="H5882" t="s">
        <v>88</v>
      </c>
      <c r="I5882" t="s">
        <v>1052</v>
      </c>
      <c r="J5882" t="s">
        <v>295</v>
      </c>
      <c r="K5882" t="str">
        <f>B5840</f>
        <v>electricity, residential, by conversion of hydrogen using fuel cell, PEM, allocated by exergy, transported by train, produced by Electrolysis, SOEC using water and electricity from Solar PV (IT)</v>
      </c>
      <c r="L5882">
        <f t="shared" si="220"/>
        <v>2</v>
      </c>
      <c r="M5882">
        <f t="shared" si="221"/>
        <v>-4.2983171365297981</v>
      </c>
      <c r="N5882">
        <v>1</v>
      </c>
      <c r="O5882" s="15">
        <v>1.2</v>
      </c>
      <c r="P5882">
        <v>1</v>
      </c>
      <c r="Q5882">
        <v>1.01</v>
      </c>
      <c r="R5882">
        <v>1.2</v>
      </c>
      <c r="S5882">
        <v>1.2</v>
      </c>
      <c r="T5882">
        <v>2</v>
      </c>
      <c r="U5882">
        <f t="shared" si="222"/>
        <v>0.38087907307228186</v>
      </c>
    </row>
    <row r="5883" spans="1:22" x14ac:dyDescent="0.2">
      <c r="A5883" t="str">
        <f>VLOOKUP(J5883,'dataset mapping'!$A$4:$E$69,2,0)</f>
        <v>high pressure hydrogen storage tank</v>
      </c>
      <c r="B5883" s="52">
        <f>((B5875/10)/(B5873*B5869*20))*IF(B5874&lt;&gt;0,B5874,1)</f>
        <v>5.6622381053306285E-6</v>
      </c>
      <c r="C5883" t="str">
        <f>VLOOKUP(J5883,'dataset mapping'!$A$4:$E$69,5,0)</f>
        <v>kilogram</v>
      </c>
      <c r="E5883" t="str">
        <f>VLOOKUP(J5883,'dataset mapping'!$A$4:$E$69,4,0)</f>
        <v>GLO</v>
      </c>
      <c r="F5883" t="s">
        <v>86</v>
      </c>
      <c r="G5883" t="str">
        <f>VLOOKUP(J5883,'dataset mapping'!$A$4:$E$69,3,0)</f>
        <v>high pressure hydrogen storage tank</v>
      </c>
      <c r="H5883" t="s">
        <v>88</v>
      </c>
      <c r="I5883" t="s">
        <v>280</v>
      </c>
      <c r="J5883" t="s">
        <v>229</v>
      </c>
      <c r="K5883" t="str">
        <f>B5840</f>
        <v>electricity, residential, by conversion of hydrogen using fuel cell, PEM, allocated by exergy, transported by train, produced by Electrolysis, SOEC using water and electricity from Solar PV (IT)</v>
      </c>
      <c r="L5883">
        <f t="shared" si="220"/>
        <v>2</v>
      </c>
      <c r="M5883">
        <f t="shared" si="221"/>
        <v>-12.081691318938956</v>
      </c>
      <c r="N5883">
        <v>1</v>
      </c>
      <c r="O5883" s="15">
        <v>1.2</v>
      </c>
      <c r="P5883">
        <v>1</v>
      </c>
      <c r="Q5883">
        <v>1.01</v>
      </c>
      <c r="R5883">
        <v>1.2</v>
      </c>
      <c r="S5883">
        <v>1.2</v>
      </c>
      <c r="T5883">
        <v>3</v>
      </c>
      <c r="U5883">
        <f t="shared" si="222"/>
        <v>0.57157051623399524</v>
      </c>
    </row>
    <row r="5884" spans="1:22" x14ac:dyDescent="0.2">
      <c r="A5884" t="s">
        <v>134</v>
      </c>
      <c r="B5884" s="45">
        <f>B5881*9</f>
        <v>0.51639611520615325</v>
      </c>
      <c r="C5884" t="s">
        <v>56</v>
      </c>
      <c r="D5884" t="s">
        <v>100</v>
      </c>
      <c r="F5884" t="s">
        <v>99</v>
      </c>
      <c r="H5884" t="s">
        <v>131</v>
      </c>
      <c r="I5884" t="s">
        <v>1057</v>
      </c>
      <c r="K5884" t="str">
        <f>B5840</f>
        <v>electricity, residential, by conversion of hydrogen using fuel cell, PEM, allocated by exergy, transported by train, produced by Electrolysis, SOEC using water and electricity from Solar PV (IT)</v>
      </c>
      <c r="L5884">
        <f t="shared" si="220"/>
        <v>2</v>
      </c>
      <c r="M5884">
        <f t="shared" si="221"/>
        <v>-0.6608811428765341</v>
      </c>
      <c r="N5884">
        <v>1</v>
      </c>
      <c r="O5884" s="15">
        <v>1.2</v>
      </c>
      <c r="P5884">
        <v>1</v>
      </c>
      <c r="Q5884">
        <v>1.01</v>
      </c>
      <c r="R5884">
        <v>1.2</v>
      </c>
      <c r="S5884">
        <v>1.2</v>
      </c>
      <c r="T5884">
        <v>1.05</v>
      </c>
      <c r="U5884">
        <f t="shared" si="222"/>
        <v>0.15984597228197622</v>
      </c>
    </row>
    <row r="5886" spans="1:22" x14ac:dyDescent="0.2">
      <c r="A5886" s="2" t="s">
        <v>50</v>
      </c>
      <c r="B5886" s="44" t="str">
        <f>IF(B5892="megajoule","heat","electricity")&amp;", residential, by "&amp;B5897&amp;" of "&amp;B5896&amp;" using "&amp;B5898&amp;IF(B5899&lt;&gt;0,", allocated by "&amp;B5899,"")&amp;", transported by "&amp;B5900&amp;", produced by "&amp;B5904&amp;" using "&amp;B5905&amp;" from "&amp;B5906</f>
        <v>electricity, residential, by conversion of hydrogen using fuel cell, SOFC, allocated by exergy, transported by train, produced by Electrolysis, SOEC using water and electricity from Solar PV (IT)</v>
      </c>
    </row>
    <row r="5887" spans="1:22" x14ac:dyDescent="0.2">
      <c r="A5887" t="s">
        <v>51</v>
      </c>
      <c r="B5887" s="45" t="str">
        <f>"This dataset represents the supply of 1 "&amp;IF(B5892="megajoule","megajoule of heat","kilowatt hour of electricity")&amp;" in a residence, by "&amp;B5896&amp;" "&amp;B5897&amp;" in a "&amp;B5898&amp;". "&amp;" The hydrogen is transported by "&amp;B5900&amp;" over "&amp;B5901&amp;" km from regional storage. "&amp;" The "&amp;B5896&amp;" is produced by  "&amp;B5904&amp;", with "&amp;B5905&amp;" from "&amp;B5906&amp;" as feedstock. "&amp;A5908&amp;": "&amp;(B5908*100)&amp;"%. "&amp;A5909&amp;": "&amp;B5909&amp;". "&amp;A5910&amp;": "&amp;B5910&amp;". "&amp;A5911&amp;": "&amp;(B5911*100)&amp;"%. "&amp;A5912&amp;": "&amp;(B5912*100)&amp;"%. "&amp;A5913&amp;": "&amp;(B5913*100)&amp;"%. "&amp;A5914&amp;": "&amp;B5914&amp;". "&amp;A5915&amp;": "&amp;B5915&amp;". "&amp;A5916&amp;": "&amp;(B5916*100)&amp;"%. "&amp;A5917&amp;": "&amp;B5917&amp;". "&amp;A5918&amp;": "&amp;B5918&amp;". "&amp;A5919&amp;": "&amp;B5919&amp;". "&amp;A5920&amp;": "&amp;B5920&amp;".  For more information, refer to: "&amp;B5888</f>
        <v>This dataset represents the supply of 1 kilowatt hour of electricity in a residence, by hydrogen conversion in a fuel cell, SOFC.  The hydrogen is transported by train over 1700 km from regional storage.  The hydrogen is produced by  Electrolysis, SOEC, with water and electricity from Solar PV (IT)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5888" spans="1:22" x14ac:dyDescent="0.2">
      <c r="A5888" t="s">
        <v>63</v>
      </c>
      <c r="B5888" s="45" t="s">
        <v>1223</v>
      </c>
    </row>
    <row r="5889" spans="1:2" x14ac:dyDescent="0.2">
      <c r="A5889" t="s">
        <v>52</v>
      </c>
      <c r="B5889" s="45" t="s">
        <v>64</v>
      </c>
    </row>
    <row r="5890" spans="1:2" x14ac:dyDescent="0.2">
      <c r="A5890" t="s">
        <v>48</v>
      </c>
      <c r="B5890" s="45" t="s">
        <v>918</v>
      </c>
    </row>
    <row r="5891" spans="1:2" x14ac:dyDescent="0.2">
      <c r="A5891" t="s">
        <v>54</v>
      </c>
      <c r="B5891" s="45" t="str">
        <f>INDEX(overview!$B$4:$R$338,MATCH('hydrogen - electrolysis'!B5890,overview!$A$4:$A$338,0),MATCH('hydrogen - electrolysis'!A5891,overview!$B$3:$R$3,0))</f>
        <v>electricity, from residential heating system</v>
      </c>
    </row>
    <row r="5892" spans="1:2" x14ac:dyDescent="0.2">
      <c r="A5892" t="s">
        <v>55</v>
      </c>
      <c r="B5892" s="45" t="str">
        <f>INDEX(overview!$B$4:$R$338,MATCH('hydrogen - electrolysis'!B5890,overview!$A$4:$A$338,0),MATCH('hydrogen - electrolysis'!A5892,overview!$B$3:$R$3,0))</f>
        <v>kilowatt hour</v>
      </c>
    </row>
    <row r="5893" spans="1:2" x14ac:dyDescent="0.2">
      <c r="A5893" t="s">
        <v>0</v>
      </c>
      <c r="B5893" s="45" t="str">
        <f>INDEX(overview!$B$4:$R$338,MATCH('hydrogen - electrolysis'!B5890,overview!$A$4:$A$338,0),MATCH('hydrogen - electrolysis'!A5893,overview!$B$3:$R$3,0))</f>
        <v>Switzerland</v>
      </c>
    </row>
    <row r="5894" spans="1:2" x14ac:dyDescent="0.2">
      <c r="A5894" t="s">
        <v>1</v>
      </c>
      <c r="B5894" s="45">
        <f>INDEX(overview!$B$4:$R$338,MATCH('hydrogen - electrolysis'!B5890,overview!$A$4:$A$338,0),MATCH('hydrogen - electrolysis'!A5894,overview!$B$3:$R$3,0))</f>
        <v>2020</v>
      </c>
    </row>
    <row r="5895" spans="1:2" x14ac:dyDescent="0.2">
      <c r="A5895" t="s">
        <v>2</v>
      </c>
      <c r="B5895" s="45" t="str">
        <f>INDEX(overview!$B$4:$R$338,MATCH('hydrogen - electrolysis'!B5890,overview!$A$4:$A$338,0),MATCH('hydrogen - electrolysis'!A5895,overview!$B$3:$R$3,0))</f>
        <v>1 kWh electricity</v>
      </c>
    </row>
    <row r="5896" spans="1:2" x14ac:dyDescent="0.2">
      <c r="A5896" t="s">
        <v>5</v>
      </c>
      <c r="B5896" s="45" t="str">
        <f>INDEX(overview!$B$4:$R$338,MATCH('hydrogen - electrolysis'!B5890,overview!$A$4:$A$338,0),MATCH('hydrogen - electrolysis'!A5896,overview!$B$3:$R$3,0))</f>
        <v>hydrogen</v>
      </c>
    </row>
    <row r="5897" spans="1:2" x14ac:dyDescent="0.2">
      <c r="A5897" t="s">
        <v>3</v>
      </c>
      <c r="B5897" s="45" t="str">
        <f>INDEX(overview!$B$4:$R$338,MATCH('hydrogen - electrolysis'!B5890,overview!$A$4:$A$338,0),MATCH('hydrogen - electrolysis'!A5897,overview!$B$3:$R$3,0))</f>
        <v>conversion</v>
      </c>
    </row>
    <row r="5898" spans="1:2" x14ac:dyDescent="0.2">
      <c r="A5898" t="s">
        <v>6</v>
      </c>
      <c r="B5898" s="45" t="str">
        <f>INDEX(overview!$B$4:$R$338,MATCH('hydrogen - electrolysis'!B5890,overview!$A$4:$A$338,0),MATCH('hydrogen - electrolysis'!A5898,overview!$B$3:$R$3,0))</f>
        <v>fuel cell, SOFC</v>
      </c>
    </row>
    <row r="5899" spans="1:2" x14ac:dyDescent="0.2">
      <c r="A5899" t="s">
        <v>39</v>
      </c>
      <c r="B5899" s="45" t="str">
        <f>INDEX(overview!$B$4:$R$338,MATCH('hydrogen - electrolysis'!B5890,overview!$A$4:$A$338,0),MATCH('hydrogen - electrolysis'!A5899,overview!$B$3:$R$3,0))</f>
        <v>exergy</v>
      </c>
    </row>
    <row r="5900" spans="1:2" x14ac:dyDescent="0.2">
      <c r="A5900" t="s">
        <v>4</v>
      </c>
      <c r="B5900" s="45" t="str">
        <f>INDEX(overview!$B$4:$R$338,MATCH('hydrogen - electrolysis'!B5890,overview!$A$4:$A$338,0),MATCH('hydrogen - electrolysis'!A5900,overview!$B$3:$R$3,0))</f>
        <v>train</v>
      </c>
    </row>
    <row r="5901" spans="1:2" x14ac:dyDescent="0.2">
      <c r="A5901" t="s">
        <v>38</v>
      </c>
      <c r="B5901" s="45">
        <f>INDEX(overview!$B$4:$R$338,MATCH('hydrogen - electrolysis'!B5890,overview!$A$4:$A$338,0),MATCH('hydrogen - electrolysis'!A5901,overview!$B$3:$R$3,0))</f>
        <v>1700</v>
      </c>
    </row>
    <row r="5902" spans="1:2" x14ac:dyDescent="0.2">
      <c r="A5902" t="s">
        <v>12</v>
      </c>
      <c r="B5902" s="45" t="str">
        <f>INDEX(overview!$B$4:$R$338,MATCH('hydrogen - electrolysis'!B5890,overview!$A$4:$A$338,0),MATCH('hydrogen - electrolysis'!A5902,overview!$B$3:$R$3,0))</f>
        <v>Pressure vessel for stationary storage</v>
      </c>
    </row>
    <row r="5903" spans="1:2" x14ac:dyDescent="0.2">
      <c r="A5903" t="s">
        <v>34</v>
      </c>
      <c r="B5903" s="45">
        <f>INDEX(overview!$B$4:$R$338,MATCH('hydrogen - electrolysis'!B5890,overview!$A$4:$A$338,0),MATCH('hydrogen - electrolysis'!A5903,overview!$B$3:$R$3,0))</f>
        <v>0</v>
      </c>
    </row>
    <row r="5904" spans="1:2" x14ac:dyDescent="0.2">
      <c r="A5904" t="s">
        <v>15</v>
      </c>
      <c r="B5904" s="45" t="str">
        <f>INDEX(overview!$B$4:$R$338,MATCH('hydrogen - electrolysis'!B5890,overview!$A$4:$A$338,0),MATCH('hydrogen - electrolysis'!A5904,overview!$B$3:$R$3,0))</f>
        <v>Electrolysis, SOEC</v>
      </c>
    </row>
    <row r="5905" spans="1:4" x14ac:dyDescent="0.2">
      <c r="A5905" t="s">
        <v>14</v>
      </c>
      <c r="B5905" s="45" t="str">
        <f>INDEX(overview!$B$4:$R$338,MATCH('hydrogen - electrolysis'!B5890,overview!$A$4:$A$338,0),MATCH('hydrogen - electrolysis'!A5905,overview!$B$3:$R$3,0))</f>
        <v>water and electricity</v>
      </c>
    </row>
    <row r="5906" spans="1:4" x14ac:dyDescent="0.2">
      <c r="A5906" t="s">
        <v>26</v>
      </c>
      <c r="B5906" s="45" t="str">
        <f>INDEX(overview!$B$4:$R$338,MATCH('hydrogen - electrolysis'!B5890,overview!$A$4:$A$338,0),MATCH('hydrogen - electrolysis'!A5906,overview!$B$3:$R$3,0))</f>
        <v>Solar PV (IT)</v>
      </c>
    </row>
    <row r="5907" spans="1:4" x14ac:dyDescent="0.2">
      <c r="A5907" t="s">
        <v>29</v>
      </c>
      <c r="B5907" s="45">
        <f>INDEX(overview!$B$4:$R$338,MATCH('hydrogen - electrolysis'!B5890,overview!$A$4:$A$338,0),MATCH('hydrogen - electrolysis'!A5907,overview!$B$3:$R$3,0))</f>
        <v>0</v>
      </c>
    </row>
    <row r="5908" spans="1:4" x14ac:dyDescent="0.2">
      <c r="A5908" t="str">
        <f>IF(B5892="megajoule","Heat","Electricity")&amp;" conversion efficiency [% LHV input]"</f>
        <v>Electricity conversion efficiency [% LHV input]</v>
      </c>
      <c r="B5908" s="46">
        <f>INDEX(parameters!$D$4:$N$20,MATCH('hydrogen - electrolysis'!B5896&amp;'hydrogen - electrolysis'!B5898,parameters!$A$4:$A$20,0),MATCH('hydrogen - electrolysis'!A5908,parameters!$D$3:$N$3,0))</f>
        <v>0.47</v>
      </c>
    </row>
    <row r="5909" spans="1:4" x14ac:dyDescent="0.2">
      <c r="A5909" t="str">
        <f>IF(B5892="megajoule","LHV [MJ/kg]","LHV [kWh/kg]")</f>
        <v>LHV [kWh/kg]</v>
      </c>
      <c r="B5909" s="47">
        <f>INDEX(parameters!$D$4:$N$20,MATCH('hydrogen - electrolysis'!B5896&amp;'hydrogen - electrolysis'!B5898,parameters!$A$4:$A$20,0),MATCH('hydrogen - electrolysis'!A5909,parameters!$D$3:$N$3,0))</f>
        <v>33.333333333333336</v>
      </c>
    </row>
    <row r="5910" spans="1:4" x14ac:dyDescent="0.2">
      <c r="A5910" t="s">
        <v>41</v>
      </c>
      <c r="B5910" s="48">
        <f>INDEX(parameters!$D$4:$N$20,MATCH('hydrogen - electrolysis'!B5896&amp;'hydrogen - electrolysis'!B5898,parameters!$A$4:$A$20,0),MATCH('hydrogen - electrolysis'!A5910,parameters!$D$3:$N$3,0))</f>
        <v>2.6666666666666665E-2</v>
      </c>
    </row>
    <row r="5911" spans="1:4" x14ac:dyDescent="0.2">
      <c r="A5911" t="s">
        <v>45</v>
      </c>
      <c r="B5911" s="46">
        <f>INDEX(parameters!$D$4:$N$20,MATCH('hydrogen - electrolysis'!B5896&amp;'hydrogen - electrolysis'!B5898,parameters!$A$4:$A$20,0),MATCH('hydrogen - electrolysis'!A5911,parameters!$D$3:$N$3,0))</f>
        <v>0</v>
      </c>
    </row>
    <row r="5912" spans="1:4" x14ac:dyDescent="0.2">
      <c r="A5912" t="s">
        <v>46</v>
      </c>
      <c r="B5912" s="46">
        <f>INDEX(parameters!$D$4:$N$20,MATCH('hydrogen - electrolysis'!B5896&amp;'hydrogen - electrolysis'!B5898,parameters!$A$4:$A$20,0),MATCH('hydrogen - electrolysis'!A5912,parameters!$D$3:$N$3,0))</f>
        <v>1.4999999999999999E-2</v>
      </c>
    </row>
    <row r="5913" spans="1:4" x14ac:dyDescent="0.2">
      <c r="A5913" t="s">
        <v>43</v>
      </c>
      <c r="B5913" s="46">
        <f>INDEX(parameters!$D$4:$N$20,MATCH('hydrogen - electrolysis'!B5896&amp;'hydrogen - electrolysis'!B5898,parameters!$A$4:$A$20,0),MATCH('hydrogen - electrolysis'!A5913,parameters!$D$3:$N$3,0))</f>
        <v>0</v>
      </c>
    </row>
    <row r="5914" spans="1:4" x14ac:dyDescent="0.2">
      <c r="A5914" t="s">
        <v>44</v>
      </c>
      <c r="B5914" s="46">
        <f>INDEX(parameters!$D$4:$N$20,MATCH('hydrogen - electrolysis'!B5896&amp;'hydrogen - electrolysis'!B5898,parameters!$A$4:$A$20,0),MATCH('hydrogen - electrolysis'!A5914,parameters!$D$3:$N$3,0))</f>
        <v>0</v>
      </c>
    </row>
    <row r="5915" spans="1:4" x14ac:dyDescent="0.2">
      <c r="A5915" t="s">
        <v>634</v>
      </c>
      <c r="B5915" s="51">
        <f>INDEX(parameters!$D$4:$Y$20,MATCH('hydrogen - electrolysis'!B5896&amp;'hydrogen - electrolysis'!B5898,parameters!$A$4:$A$20,0),MATCH('hydrogen - electrolysis'!A5915,parameters!$D$3:$Y$3,0))</f>
        <v>225</v>
      </c>
      <c r="D5915" s="8"/>
    </row>
    <row r="5916" spans="1:4" x14ac:dyDescent="0.2">
      <c r="A5916" t="s">
        <v>82</v>
      </c>
      <c r="B5916" s="46">
        <f>IF(B5907&lt;&gt;0,VLOOKUP(B5907,parameters!A3841:B3843,2,0),0)</f>
        <v>0</v>
      </c>
    </row>
    <row r="5917" spans="1:4" x14ac:dyDescent="0.2">
      <c r="A5917" t="s">
        <v>548</v>
      </c>
      <c r="B5917" s="50">
        <f>INDEX(parameters!$D$4:$P$20,MATCH(B5896&amp;B5898,parameters!$A$4:$A$20,0),MATCH(A5917,parameters!$D$3:$P$3,0))</f>
        <v>100</v>
      </c>
    </row>
    <row r="5918" spans="1:4" x14ac:dyDescent="0.2">
      <c r="A5918" t="s">
        <v>547</v>
      </c>
      <c r="B5918" s="51">
        <f>INDEX(parameters!$D$4:$P$20,MATCH(B5896&amp;B5898,parameters!$A$4:$A$20,0),MATCH(A5918,parameters!$D$3:$P$3,0))</f>
        <v>6</v>
      </c>
    </row>
    <row r="5919" spans="1:4" x14ac:dyDescent="0.2">
      <c r="A5919" t="s">
        <v>630</v>
      </c>
      <c r="B5919" s="51">
        <f>INDEX(parameters!$D$4:$T$20,MATCH(B5896&amp;B5898,parameters!$A$4:$A$20,0),MATCH(A5919,parameters!$D$3:$T$3,0))</f>
        <v>4100</v>
      </c>
    </row>
    <row r="5920" spans="1:4" x14ac:dyDescent="0.2">
      <c r="A5920" t="s">
        <v>1005</v>
      </c>
      <c r="B5920" s="50">
        <f>IF(B5892="megajoule",SUMIFS(allocation!$I$4:$I$30,allocation!$B$4:$B$30,B5898,allocation!$C$4:$C$30,B5899),SUMIFS(allocation!$J$4:$J$30,allocation!$B$4:$B$30,B5898,allocation!$C$4:$C$30,B5899))</f>
        <v>0.86412493489600906</v>
      </c>
    </row>
    <row r="5921" spans="1:22" x14ac:dyDescent="0.2">
      <c r="A5921" t="s">
        <v>1050</v>
      </c>
      <c r="B5921" s="51">
        <f>INDEX(parameters!$D$4:$AB$20,MATCH(B5896&amp;B5898,parameters!$A$4:$A$20,0),MATCH(A5921,parameters!$D$3:$AB$3,0))</f>
        <v>1153.1249999999998</v>
      </c>
    </row>
    <row r="5923" spans="1:22" x14ac:dyDescent="0.2">
      <c r="A5923" s="3" t="s">
        <v>57</v>
      </c>
    </row>
    <row r="5924" spans="1:22" x14ac:dyDescent="0.2">
      <c r="A5924" s="2" t="s">
        <v>58</v>
      </c>
      <c r="B5924" s="44" t="s">
        <v>59</v>
      </c>
      <c r="C5924" s="2" t="s">
        <v>55</v>
      </c>
      <c r="D5924" s="2" t="s">
        <v>60</v>
      </c>
      <c r="E5924" s="2" t="s">
        <v>52</v>
      </c>
      <c r="F5924" s="2" t="s">
        <v>61</v>
      </c>
      <c r="G5924" s="2" t="s">
        <v>54</v>
      </c>
      <c r="H5924" s="2" t="s">
        <v>87</v>
      </c>
      <c r="I5924" s="2" t="s">
        <v>51</v>
      </c>
      <c r="J5924" s="2" t="s">
        <v>138</v>
      </c>
      <c r="K5924" s="2" t="s">
        <v>136</v>
      </c>
      <c r="L5924" s="2" t="s">
        <v>221</v>
      </c>
      <c r="M5924" s="2" t="s">
        <v>379</v>
      </c>
      <c r="N5924" s="2" t="s">
        <v>1059</v>
      </c>
      <c r="O5924" s="2" t="s">
        <v>1060</v>
      </c>
      <c r="P5924" s="2" t="s">
        <v>1061</v>
      </c>
      <c r="Q5924" s="2" t="s">
        <v>1062</v>
      </c>
      <c r="R5924" s="2" t="s">
        <v>1063</v>
      </c>
      <c r="S5924" s="2" t="s">
        <v>1064</v>
      </c>
      <c r="T5924" s="2" t="s">
        <v>1065</v>
      </c>
      <c r="U5924" s="2" t="s">
        <v>380</v>
      </c>
      <c r="V5924" s="2" t="s">
        <v>1128</v>
      </c>
    </row>
    <row r="5925" spans="1:22" x14ac:dyDescent="0.2">
      <c r="A5925" t="str">
        <f>B5886</f>
        <v>electricity, residential, by conversion of hydrogen using fuel cell, SOFC, allocated by exergy, transported by train, produced by Electrolysis, SOEC using water and electricity from Solar PV (IT)</v>
      </c>
      <c r="B5925" s="45">
        <v>1</v>
      </c>
      <c r="C5925" t="str">
        <f>B5892</f>
        <v>kilowatt hour</v>
      </c>
      <c r="E5925" t="str">
        <f>B5889</f>
        <v>CH</v>
      </c>
      <c r="F5925" t="s">
        <v>62</v>
      </c>
      <c r="G5925" t="str">
        <f>B5891</f>
        <v>electricity, from residential heating system</v>
      </c>
      <c r="K5925" t="str">
        <f>B5886</f>
        <v>electricity, residential, by conversion of hydrogen using fuel cell, SOFC, allocated by exergy, transported by train, produced by Electrolysis, SOEC using water and electricity from Solar PV (IT)</v>
      </c>
    </row>
    <row r="5926" spans="1:22" x14ac:dyDescent="0.2">
      <c r="A5926" t="str">
        <f>VLOOKUP(J5926,'dataset mapping'!$A$4:$E$69,2,0)</f>
        <v>fuel cell production, stack solid oxide, 125kW electrical, future</v>
      </c>
      <c r="B5926" s="52">
        <f>(1/(B5915*B5919*B5918))*B5920</f>
        <v>1.5612013277254003E-7</v>
      </c>
      <c r="C5926" t="str">
        <f>VLOOKUP(J5926,'dataset mapping'!$A$4:$E$69,5,0)</f>
        <v>unit</v>
      </c>
      <c r="E5926" t="str">
        <f>VLOOKUP(J5926,'dataset mapping'!$A$4:$E$69,4,0)</f>
        <v>CH</v>
      </c>
      <c r="F5926" t="s">
        <v>86</v>
      </c>
      <c r="G5926" t="str">
        <f>VLOOKUP(J5926,'dataset mapping'!$A$4:$E$69,3,0)</f>
        <v>fuel cell, stack solid oxide, 125kW electrical, future</v>
      </c>
      <c r="H5926" t="s">
        <v>88</v>
      </c>
      <c r="I5926" t="s">
        <v>277</v>
      </c>
      <c r="J5926" t="s">
        <v>274</v>
      </c>
      <c r="K5926" t="str">
        <f>B5886</f>
        <v>electricity, residential, by conversion of hydrogen using fuel cell, SOFC, allocated by exergy, transported by train, produced by Electrolysis, SOEC using water and electricity from Solar PV (IT)</v>
      </c>
      <c r="L5926">
        <f t="shared" ref="L5926:L5932" si="223">IF(OR(B5926&lt;0,B5926=0),1,2)</f>
        <v>2</v>
      </c>
      <c r="M5926">
        <f t="shared" ref="M5926:M5932" si="224">IF(L5926=2,LN(B5926),"")</f>
        <v>-15.672640044182527</v>
      </c>
      <c r="N5926">
        <v>1</v>
      </c>
      <c r="O5926" s="15">
        <v>1.2</v>
      </c>
      <c r="P5926">
        <v>1</v>
      </c>
      <c r="Q5926">
        <v>1.01</v>
      </c>
      <c r="R5926">
        <v>1.2</v>
      </c>
      <c r="S5926">
        <v>1.2</v>
      </c>
      <c r="T5926">
        <v>3</v>
      </c>
      <c r="U5926">
        <f t="shared" ref="U5926:U5932" si="225">LN(SQRT(EXP(
SQRT(
+POWER(LN(N5926),2)
+POWER(LN(O5926),2)
+POWER(LN(P5926),2)
+POWER(LN(Q5926),2)
+POWER(LN(R5926),2)
+POWER(LN(S5926),2)
+POWER(LN(T5926),2)
)
)))</f>
        <v>0.57157051623399524</v>
      </c>
    </row>
    <row r="5927" spans="1:22" x14ac:dyDescent="0.2">
      <c r="A5927" t="s">
        <v>283</v>
      </c>
      <c r="B5927" s="52">
        <f>(1/(B5915*B5919*B5918))*B5920</f>
        <v>1.5612013277254003E-7</v>
      </c>
      <c r="C5927" t="s">
        <v>55</v>
      </c>
      <c r="E5927" t="s">
        <v>64</v>
      </c>
      <c r="F5927" t="s">
        <v>86</v>
      </c>
      <c r="G5927" t="s">
        <v>284</v>
      </c>
      <c r="H5927" t="s">
        <v>88</v>
      </c>
      <c r="I5927" t="s">
        <v>277</v>
      </c>
      <c r="K5927" t="str">
        <f>B5886</f>
        <v>electricity, residential, by conversion of hydrogen using fuel cell, SOFC, allocated by exergy, transported by train, produced by Electrolysis, SOEC using water and electricity from Solar PV (IT)</v>
      </c>
      <c r="L5927">
        <f t="shared" si="223"/>
        <v>2</v>
      </c>
      <c r="M5927">
        <f t="shared" si="224"/>
        <v>-15.672640044182527</v>
      </c>
      <c r="N5927">
        <v>1</v>
      </c>
      <c r="O5927" s="15">
        <v>1.2</v>
      </c>
      <c r="P5927">
        <v>1</v>
      </c>
      <c r="Q5927">
        <v>1.01</v>
      </c>
      <c r="R5927">
        <v>1.2</v>
      </c>
      <c r="S5927">
        <v>1.2</v>
      </c>
      <c r="T5927">
        <v>3</v>
      </c>
      <c r="U5927">
        <f t="shared" si="225"/>
        <v>0.57157051623399524</v>
      </c>
    </row>
    <row r="5928" spans="1:22" x14ac:dyDescent="0.2">
      <c r="A5928" t="s">
        <v>288</v>
      </c>
      <c r="B5928" s="52">
        <f>0.000024*B5920</f>
        <v>2.0738998437504217E-5</v>
      </c>
      <c r="C5928" t="s">
        <v>56</v>
      </c>
      <c r="E5928" t="s">
        <v>64</v>
      </c>
      <c r="F5928" t="s">
        <v>86</v>
      </c>
      <c r="G5928" t="s">
        <v>287</v>
      </c>
      <c r="H5928" t="s">
        <v>88</v>
      </c>
      <c r="K5928" t="str">
        <f>B5886</f>
        <v>electricity, residential, by conversion of hydrogen using fuel cell, SOFC, allocated by exergy, transported by train, produced by Electrolysis, SOEC using water and electricity from Solar PV (IT)</v>
      </c>
      <c r="L5928">
        <f t="shared" si="223"/>
        <v>2</v>
      </c>
      <c r="M5928">
        <f t="shared" si="224"/>
        <v>-10.783494647673981</v>
      </c>
      <c r="N5928">
        <v>1</v>
      </c>
      <c r="O5928" s="15">
        <v>1.2</v>
      </c>
      <c r="P5928">
        <v>1</v>
      </c>
      <c r="Q5928">
        <v>1.01</v>
      </c>
      <c r="R5928">
        <v>1.2</v>
      </c>
      <c r="S5928">
        <v>1.2</v>
      </c>
      <c r="T5928">
        <v>1.05</v>
      </c>
      <c r="U5928">
        <f t="shared" si="225"/>
        <v>0.15984597228197622</v>
      </c>
    </row>
    <row r="5929" spans="1:22" x14ac:dyDescent="0.2">
      <c r="A5929" s="45" t="str">
        <f>"hydrogen supply, transported by "&amp;B5900&amp;", produced by "&amp;B5904&amp;" using "&amp;B5905&amp;" from "&amp;B5906</f>
        <v>hydrogen supply, transported by train, produced by Electrolysis, SOEC using water and electricity from Solar PV (IT)</v>
      </c>
      <c r="B5929" s="53">
        <f>(B5925/B5909)/B5908*B5920</f>
        <v>5.515691073804313E-2</v>
      </c>
      <c r="C5929" t="s">
        <v>56</v>
      </c>
      <c r="E5929" t="s">
        <v>64</v>
      </c>
      <c r="F5929" t="s">
        <v>86</v>
      </c>
      <c r="G5929" t="str">
        <f>"hydrogen, gaseous, from "&amp;B5900</f>
        <v>hydrogen, gaseous, from train</v>
      </c>
      <c r="H5929" t="s">
        <v>76</v>
      </c>
      <c r="I5929" t="s">
        <v>1054</v>
      </c>
      <c r="J5929" t="s">
        <v>638</v>
      </c>
      <c r="K5929" t="str">
        <f>B5886</f>
        <v>electricity, residential, by conversion of hydrogen using fuel cell, SOFC, allocated by exergy, transported by train, produced by Electrolysis, SOEC using water and electricity from Solar PV (IT)</v>
      </c>
      <c r="L5929">
        <f t="shared" si="223"/>
        <v>2</v>
      </c>
      <c r="M5929">
        <f t="shared" si="224"/>
        <v>-2.8975732330996009</v>
      </c>
      <c r="N5929">
        <v>1</v>
      </c>
      <c r="O5929" s="15">
        <v>1.2</v>
      </c>
      <c r="P5929">
        <v>1</v>
      </c>
      <c r="Q5929">
        <v>1.01</v>
      </c>
      <c r="R5929">
        <v>1.2</v>
      </c>
      <c r="S5929">
        <v>1.2</v>
      </c>
      <c r="T5929">
        <v>1.05</v>
      </c>
      <c r="U5929">
        <f t="shared" si="225"/>
        <v>0.15984597228197622</v>
      </c>
    </row>
    <row r="5930" spans="1:22" x14ac:dyDescent="0.2">
      <c r="A5930" t="str">
        <f>VLOOKUP(J5930,'dataset mapping'!$A$4:$E$69,2,0)</f>
        <v>market for transport, freight train</v>
      </c>
      <c r="B5930" s="45">
        <f>SUM(B5929:B5929)/1000*B5901</f>
        <v>9.3766748254673321E-2</v>
      </c>
      <c r="C5930" t="str">
        <f>VLOOKUP(J5930,'dataset mapping'!$A$4:$E$69,5,0)</f>
        <v>ton kilometer</v>
      </c>
      <c r="E5930" t="str">
        <f>VLOOKUP(J5930,'dataset mapping'!$A$4:$E$69,4,0)</f>
        <v>CH</v>
      </c>
      <c r="F5930" t="s">
        <v>86</v>
      </c>
      <c r="G5930" t="str">
        <f>VLOOKUP(J5930,'dataset mapping'!$A$4:$E$69,3,0)</f>
        <v>transport, freight train</v>
      </c>
      <c r="H5930" t="s">
        <v>88</v>
      </c>
      <c r="I5930" t="s">
        <v>1052</v>
      </c>
      <c r="J5930" t="s">
        <v>295</v>
      </c>
      <c r="K5930" t="str">
        <f>B5886</f>
        <v>electricity, residential, by conversion of hydrogen using fuel cell, SOFC, allocated by exergy, transported by train, produced by Electrolysis, SOEC using water and electricity from Solar PV (IT)</v>
      </c>
      <c r="L5930">
        <f t="shared" si="223"/>
        <v>2</v>
      </c>
      <c r="M5930">
        <f t="shared" si="224"/>
        <v>-2.3669449820374306</v>
      </c>
      <c r="N5930">
        <v>1</v>
      </c>
      <c r="O5930" s="15">
        <v>1.2</v>
      </c>
      <c r="P5930">
        <v>1</v>
      </c>
      <c r="Q5930">
        <v>1.01</v>
      </c>
      <c r="R5930">
        <v>1.2</v>
      </c>
      <c r="S5930">
        <v>1.2</v>
      </c>
      <c r="T5930">
        <v>2</v>
      </c>
      <c r="U5930">
        <f t="shared" si="225"/>
        <v>0.38087907307228186</v>
      </c>
    </row>
    <row r="5931" spans="1:22" x14ac:dyDescent="0.2">
      <c r="A5931" t="str">
        <f>VLOOKUP(J5931,'dataset mapping'!$A$4:$E$69,2,0)</f>
        <v>high pressure hydrogen storage tank</v>
      </c>
      <c r="B5931" s="52">
        <f>((B5921/10)/(B5919*B5915*20))*IF(B5920&lt;&gt;0,B5920,1)</f>
        <v>5.400780843100055E-6</v>
      </c>
      <c r="C5931" t="str">
        <f>VLOOKUP(J5931,'dataset mapping'!$A$4:$E$69,5,0)</f>
        <v>kilogram</v>
      </c>
      <c r="E5931" t="str">
        <f>VLOOKUP(J5931,'dataset mapping'!$A$4:$E$69,4,0)</f>
        <v>GLO</v>
      </c>
      <c r="F5931" t="s">
        <v>86</v>
      </c>
      <c r="G5931" t="str">
        <f>VLOOKUP(J5931,'dataset mapping'!$A$4:$E$69,3,0)</f>
        <v>high pressure hydrogen storage tank</v>
      </c>
      <c r="H5931" t="s">
        <v>88</v>
      </c>
      <c r="I5931" t="s">
        <v>230</v>
      </c>
      <c r="J5931" t="s">
        <v>229</v>
      </c>
      <c r="K5931" t="str">
        <f>B5886</f>
        <v>electricity, residential, by conversion of hydrogen using fuel cell, SOFC, allocated by exergy, transported by train, produced by Electrolysis, SOEC using water and electricity from Solar PV (IT)</v>
      </c>
      <c r="L5931">
        <f t="shared" si="223"/>
        <v>2</v>
      </c>
      <c r="M5931">
        <f t="shared" si="224"/>
        <v>-12.128967014273616</v>
      </c>
      <c r="N5931">
        <v>1</v>
      </c>
      <c r="O5931" s="15">
        <v>1.2</v>
      </c>
      <c r="P5931">
        <v>1</v>
      </c>
      <c r="Q5931">
        <v>1.01</v>
      </c>
      <c r="R5931">
        <v>1.2</v>
      </c>
      <c r="S5931">
        <v>1.2</v>
      </c>
      <c r="T5931">
        <v>3</v>
      </c>
      <c r="U5931">
        <f t="shared" si="225"/>
        <v>0.57157051623399524</v>
      </c>
    </row>
    <row r="5932" spans="1:22" x14ac:dyDescent="0.2">
      <c r="A5932" t="s">
        <v>134</v>
      </c>
      <c r="B5932" s="45">
        <f>B5929*9</f>
        <v>0.49641219664238817</v>
      </c>
      <c r="C5932" t="s">
        <v>56</v>
      </c>
      <c r="D5932" t="s">
        <v>100</v>
      </c>
      <c r="F5932" t="s">
        <v>99</v>
      </c>
      <c r="H5932" t="s">
        <v>131</v>
      </c>
      <c r="I5932" t="s">
        <v>1057</v>
      </c>
      <c r="K5932" t="str">
        <f>B5886</f>
        <v>electricity, residential, by conversion of hydrogen using fuel cell, SOFC, allocated by exergy, transported by train, produced by Electrolysis, SOEC using water and electricity from Solar PV (IT)</v>
      </c>
      <c r="L5932">
        <f t="shared" si="223"/>
        <v>2</v>
      </c>
      <c r="M5932">
        <f t="shared" si="224"/>
        <v>-0.70034865576338168</v>
      </c>
      <c r="N5932">
        <v>1</v>
      </c>
      <c r="O5932" s="15">
        <v>1.2</v>
      </c>
      <c r="P5932">
        <v>1</v>
      </c>
      <c r="Q5932">
        <v>1.01</v>
      </c>
      <c r="R5932">
        <v>1.2</v>
      </c>
      <c r="S5932">
        <v>1.2</v>
      </c>
      <c r="T5932">
        <v>1.05</v>
      </c>
      <c r="U5932">
        <f t="shared" si="225"/>
        <v>0.15984597228197622</v>
      </c>
    </row>
    <row r="5934" spans="1:22" x14ac:dyDescent="0.2">
      <c r="A5934" s="2" t="s">
        <v>50</v>
      </c>
      <c r="B5934" s="44" t="str">
        <f>IF(B5940="megajoule","heat","electricity")&amp;", residential, by "&amp;B5945&amp;" of "&amp;B5944&amp;" using "&amp;B5946&amp;IF(B5947&lt;&gt;0,", allocated by "&amp;B5947,"")&amp;", transported by "&amp;B5948&amp;", produced by "&amp;B5952&amp;" using "&amp;B5953&amp;" from "&amp;B5954</f>
        <v>heat, residential, by combustion of hydrogen using boiler, transported by pipeline, produced by Electrolysis, Alkaline using water and electricity from Solar PV (DE)</v>
      </c>
    </row>
    <row r="5935" spans="1:22" x14ac:dyDescent="0.2">
      <c r="A5935" t="s">
        <v>51</v>
      </c>
      <c r="B5935" s="45" t="str">
        <f>"This dataset represents the supply of 1 "&amp;IF(B5940="megajoule","megajoule of heat","kilowatt hour of electricity")&amp;" in a residence, by "&amp;B5944&amp;" "&amp;B5945&amp;" in a "&amp;B5946&amp;". "&amp;" The hydrogen is transported by "&amp;B5948&amp;" over "&amp;B5949&amp;" km from regional storage. "&amp;" The "&amp;B5944&amp;" is produced by  "&amp;B5952&amp;", with "&amp;B5953&amp;" from "&amp;B5954&amp;" as feedstock. "&amp;A5956&amp;": "&amp;(B5956*100)&amp;"%. "&amp;A5957&amp;": "&amp;B5957&amp;". "&amp;A5958&amp;": "&amp;B5958&amp;". "&amp;A5959&amp;": "&amp;(B5959*100)&amp;"%. "&amp;A5960&amp;": "&amp;(B5960*100)&amp;"%. "&amp;A5961&amp;": "&amp;(B5961*100)&amp;"%. "&amp;A5962&amp;": "&amp;B5962&amp;". "&amp;A5963&amp;": "&amp;B5963&amp;". "&amp;A5964&amp;": "&amp;(B5964*100)&amp;"%. "&amp;A5965&amp;": "&amp;B5965&amp;". "&amp;A5966&amp;": "&amp;B5966&amp;". "&amp;A5967&amp;": "&amp;B5967&amp;". "&amp;A5968&amp;": "&amp;B5968&amp;".  For more information, refer to: "&amp;B5936</f>
        <v>This dataset represents the supply of 1 megajoule of heat in a residence, by hydrogen combustion in a boiler.  The hydrogen is transported by pipeline over 1000 km from regional storage.  The hydrogen is produced by  Electrolysis, Alkaline,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5936" spans="1:22" x14ac:dyDescent="0.2">
      <c r="A5936" t="s">
        <v>63</v>
      </c>
      <c r="B5936" s="45" t="s">
        <v>1223</v>
      </c>
    </row>
    <row r="5937" spans="1:2" x14ac:dyDescent="0.2">
      <c r="A5937" t="s">
        <v>52</v>
      </c>
      <c r="B5937" s="45" t="s">
        <v>64</v>
      </c>
    </row>
    <row r="5938" spans="1:2" x14ac:dyDescent="0.2">
      <c r="A5938" t="s">
        <v>48</v>
      </c>
      <c r="B5938" s="45">
        <v>73</v>
      </c>
    </row>
    <row r="5939" spans="1:2" x14ac:dyDescent="0.2">
      <c r="A5939" t="s">
        <v>54</v>
      </c>
      <c r="B5939" s="45" t="str">
        <f>INDEX(overview!$B$4:$R$338,MATCH('hydrogen - electrolysis'!B5938,overview!$A$4:$A$338,0),MATCH('hydrogen - electrolysis'!A5939,overview!$B$3:$R$3,0))</f>
        <v>heat, from residential heating system</v>
      </c>
    </row>
    <row r="5940" spans="1:2" x14ac:dyDescent="0.2">
      <c r="A5940" t="s">
        <v>55</v>
      </c>
      <c r="B5940" s="45" t="str">
        <f>INDEX(overview!$B$4:$R$338,MATCH('hydrogen - electrolysis'!B5938,overview!$A$4:$A$338,0),MATCH('hydrogen - electrolysis'!A5940,overview!$B$3:$R$3,0))</f>
        <v>megajoule</v>
      </c>
    </row>
    <row r="5941" spans="1:2" x14ac:dyDescent="0.2">
      <c r="A5941" t="s">
        <v>0</v>
      </c>
      <c r="B5941" s="45" t="str">
        <f>INDEX(overview!$B$4:$R$338,MATCH('hydrogen - electrolysis'!B5938,overview!$A$4:$A$338,0),MATCH('hydrogen - electrolysis'!A5941,overview!$B$3:$R$3,0))</f>
        <v>Switzerland</v>
      </c>
    </row>
    <row r="5942" spans="1:2" x14ac:dyDescent="0.2">
      <c r="A5942" t="s">
        <v>1</v>
      </c>
      <c r="B5942" s="45">
        <f>INDEX(overview!$B$4:$R$338,MATCH('hydrogen - electrolysis'!B5938,overview!$A$4:$A$338,0),MATCH('hydrogen - electrolysis'!A5942,overview!$B$3:$R$3,0))</f>
        <v>2020</v>
      </c>
    </row>
    <row r="5943" spans="1:2" x14ac:dyDescent="0.2">
      <c r="A5943" t="s">
        <v>2</v>
      </c>
      <c r="B5943" s="45" t="str">
        <f>INDEX(overview!$B$4:$R$338,MATCH('hydrogen - electrolysis'!B5938,overview!$A$4:$A$338,0),MATCH('hydrogen - electrolysis'!A5943,overview!$B$3:$R$3,0))</f>
        <v>1 MJ heat</v>
      </c>
    </row>
    <row r="5944" spans="1:2" x14ac:dyDescent="0.2">
      <c r="A5944" t="s">
        <v>5</v>
      </c>
      <c r="B5944" s="45" t="str">
        <f>INDEX(overview!$B$4:$R$338,MATCH('hydrogen - electrolysis'!B5938,overview!$A$4:$A$338,0),MATCH('hydrogen - electrolysis'!A5944,overview!$B$3:$R$3,0))</f>
        <v>hydrogen</v>
      </c>
    </row>
    <row r="5945" spans="1:2" x14ac:dyDescent="0.2">
      <c r="A5945" t="s">
        <v>3</v>
      </c>
      <c r="B5945" s="45" t="str">
        <f>INDEX(overview!$B$4:$R$338,MATCH('hydrogen - electrolysis'!B5938,overview!$A$4:$A$338,0),MATCH('hydrogen - electrolysis'!A5945,overview!$B$3:$R$3,0))</f>
        <v>combustion</v>
      </c>
    </row>
    <row r="5946" spans="1:2" x14ac:dyDescent="0.2">
      <c r="A5946" t="s">
        <v>6</v>
      </c>
      <c r="B5946" s="45" t="str">
        <f>INDEX(overview!$B$4:$R$338,MATCH('hydrogen - electrolysis'!B5938,overview!$A$4:$A$338,0),MATCH('hydrogen - electrolysis'!A5946,overview!$B$3:$R$3,0))</f>
        <v>boiler</v>
      </c>
    </row>
    <row r="5947" spans="1:2" x14ac:dyDescent="0.2">
      <c r="A5947" t="s">
        <v>39</v>
      </c>
      <c r="B5947" s="45">
        <f>INDEX(overview!$B$4:$R$338,MATCH('hydrogen - electrolysis'!B5938,overview!$A$4:$A$338,0),MATCH('hydrogen - electrolysis'!A5947,overview!$B$3:$R$3,0))</f>
        <v>0</v>
      </c>
    </row>
    <row r="5948" spans="1:2" x14ac:dyDescent="0.2">
      <c r="A5948" t="s">
        <v>4</v>
      </c>
      <c r="B5948" s="45" t="str">
        <f>INDEX(overview!$B$4:$R$338,MATCH('hydrogen - electrolysis'!B5938,overview!$A$4:$A$338,0),MATCH('hydrogen - electrolysis'!A5948,overview!$B$3:$R$3,0))</f>
        <v>pipeline</v>
      </c>
    </row>
    <row r="5949" spans="1:2" x14ac:dyDescent="0.2">
      <c r="A5949" t="s">
        <v>38</v>
      </c>
      <c r="B5949" s="45">
        <f>INDEX(overview!$B$4:$R$338,MATCH('hydrogen - electrolysis'!B5938,overview!$A$4:$A$338,0),MATCH('hydrogen - electrolysis'!A5949,overview!$B$3:$R$3,0))</f>
        <v>1000</v>
      </c>
    </row>
    <row r="5950" spans="1:2" x14ac:dyDescent="0.2">
      <c r="A5950" t="s">
        <v>12</v>
      </c>
      <c r="B5950" s="45" t="str">
        <f>INDEX(overview!$B$4:$R$338,MATCH('hydrogen - electrolysis'!B5938,overview!$A$4:$A$338,0),MATCH('hydrogen - electrolysis'!A5950,overview!$B$3:$R$3,0))</f>
        <v>Pressure vessel for stationary storage</v>
      </c>
    </row>
    <row r="5951" spans="1:2" x14ac:dyDescent="0.2">
      <c r="A5951" t="s">
        <v>34</v>
      </c>
      <c r="B5951" s="45">
        <f>INDEX(overview!$B$4:$R$338,MATCH('hydrogen - electrolysis'!B5938,overview!$A$4:$A$338,0),MATCH('hydrogen - electrolysis'!A5951,overview!$B$3:$R$3,0))</f>
        <v>0</v>
      </c>
    </row>
    <row r="5952" spans="1:2" x14ac:dyDescent="0.2">
      <c r="A5952" t="s">
        <v>15</v>
      </c>
      <c r="B5952" s="45" t="str">
        <f>INDEX(overview!$B$4:$R$338,MATCH('hydrogen - electrolysis'!B5938,overview!$A$4:$A$338,0),MATCH('hydrogen - electrolysis'!A5952,overview!$B$3:$R$3,0))</f>
        <v>Electrolysis, Alkaline</v>
      </c>
    </row>
    <row r="5953" spans="1:2" x14ac:dyDescent="0.2">
      <c r="A5953" t="s">
        <v>14</v>
      </c>
      <c r="B5953" s="45" t="str">
        <f>INDEX(overview!$B$4:$R$338,MATCH('hydrogen - electrolysis'!B5938,overview!$A$4:$A$338,0),MATCH('hydrogen - electrolysis'!A5953,overview!$B$3:$R$3,0))</f>
        <v>water and electricity</v>
      </c>
    </row>
    <row r="5954" spans="1:2" x14ac:dyDescent="0.2">
      <c r="A5954" t="s">
        <v>26</v>
      </c>
      <c r="B5954" s="45" t="str">
        <f>INDEX(overview!$B$4:$R$338,MATCH('hydrogen - electrolysis'!B5938,overview!$A$4:$A$338,0),MATCH('hydrogen - electrolysis'!A5954,overview!$B$3:$R$3,0))</f>
        <v>Solar PV (DE)</v>
      </c>
    </row>
    <row r="5955" spans="1:2" x14ac:dyDescent="0.2">
      <c r="A5955" t="s">
        <v>29</v>
      </c>
      <c r="B5955" s="45">
        <f>INDEX(overview!$B$4:$R$338,MATCH('hydrogen - electrolysis'!B5938,overview!$A$4:$A$338,0),MATCH('hydrogen - electrolysis'!A5955,overview!$B$3:$R$3,0))</f>
        <v>0</v>
      </c>
    </row>
    <row r="5956" spans="1:2" x14ac:dyDescent="0.2">
      <c r="A5956" t="str">
        <f>IF(B5940="megajoule","Heat","Electricity")&amp;" conversion efficiency [% LHV input]"</f>
        <v>Heat conversion efficiency [% LHV input]</v>
      </c>
      <c r="B5956" s="46">
        <f>INDEX(parameters!$D$4:$N$20,MATCH('hydrogen - electrolysis'!B5944&amp;'hydrogen - electrolysis'!B5946,parameters!$A$4:$A$20,0),MATCH('hydrogen - electrolysis'!A5956,parameters!$D$3:$N$3,0))</f>
        <v>0.94</v>
      </c>
    </row>
    <row r="5957" spans="1:2" x14ac:dyDescent="0.2">
      <c r="A5957" t="str">
        <f>IF(B5940="megajoule","LHV [MJ/kg]","LHV [kWh/kg]")</f>
        <v>LHV [MJ/kg]</v>
      </c>
      <c r="B5957" s="47">
        <f>INDEX(parameters!$D$4:$N$20,MATCH('hydrogen - electrolysis'!B5944&amp;'hydrogen - electrolysis'!B5946,parameters!$A$4:$A$20,0),MATCH('hydrogen - electrolysis'!A5957,parameters!$D$3:$N$3,0))</f>
        <v>120</v>
      </c>
    </row>
    <row r="5958" spans="1:2" x14ac:dyDescent="0.2">
      <c r="A5958" t="s">
        <v>41</v>
      </c>
      <c r="B5958" s="48">
        <f>INDEX(parameters!$D$4:$N$20,MATCH('hydrogen - electrolysis'!B5944&amp;'hydrogen - electrolysis'!B5946,parameters!$A$4:$A$20,0),MATCH('hydrogen - electrolysis'!A5958,parameters!$D$3:$N$3,0))</f>
        <v>2.6666666666666665E-2</v>
      </c>
    </row>
    <row r="5959" spans="1:2" x14ac:dyDescent="0.2">
      <c r="A5959" t="s">
        <v>45</v>
      </c>
      <c r="B5959" s="49">
        <f>INDEX(parameters!$D$4:$N$20,MATCH('hydrogen - electrolysis'!B5944&amp;'hydrogen - electrolysis'!B5946,parameters!$A$4:$A$20,0),MATCH('hydrogen - electrolysis'!A5959,parameters!$D$3:$N$3,0))</f>
        <v>0</v>
      </c>
    </row>
    <row r="5960" spans="1:2" x14ac:dyDescent="0.2">
      <c r="A5960" t="s">
        <v>46</v>
      </c>
      <c r="B5960" s="49">
        <f>INDEX(parameters!$D$4:$N$20,MATCH('hydrogen - electrolysis'!B5944&amp;'hydrogen - electrolysis'!B5946,parameters!$A$4:$A$20,0),MATCH('hydrogen - electrolysis'!A5960,parameters!$D$3:$N$3,0))</f>
        <v>1.4999999999999999E-2</v>
      </c>
    </row>
    <row r="5961" spans="1:2" x14ac:dyDescent="0.2">
      <c r="A5961" t="s">
        <v>43</v>
      </c>
      <c r="B5961" s="49">
        <f>INDEX(parameters!$D$4:$N$20,MATCH('hydrogen - electrolysis'!B5944&amp;'hydrogen - electrolysis'!B5946,parameters!$A$4:$A$20,0),MATCH('hydrogen - electrolysis'!A5961,parameters!$D$3:$N$3,0))</f>
        <v>0</v>
      </c>
    </row>
    <row r="5962" spans="1:2" x14ac:dyDescent="0.2">
      <c r="A5962" t="s">
        <v>44</v>
      </c>
      <c r="B5962" s="49">
        <f>INDEX(parameters!$D$4:$N$20,MATCH('hydrogen - electrolysis'!B5944&amp;'hydrogen - electrolysis'!B5946,parameters!$A$4:$A$20,0),MATCH('hydrogen - electrolysis'!A5962,parameters!$D$3:$N$3,0))</f>
        <v>0</v>
      </c>
    </row>
    <row r="5963" spans="1:2" x14ac:dyDescent="0.2">
      <c r="A5963" t="s">
        <v>634</v>
      </c>
      <c r="B5963" s="51">
        <f>INDEX(parameters!$D$4:$Y$20,MATCH('hydrogen - electrolysis'!B5944&amp;'hydrogen - electrolysis'!B5946,parameters!$A$4:$A$20,0),MATCH('hydrogen - electrolysis'!A5963,parameters!$D$3:$Y$3,0))</f>
        <v>15.957446808510639</v>
      </c>
    </row>
    <row r="5964" spans="1:2" x14ac:dyDescent="0.2">
      <c r="A5964" t="s">
        <v>82</v>
      </c>
      <c r="B5964" s="46">
        <f>IF(B5955&lt;&gt;0,VLOOKUP(B5955,parameters!A3740:B3742,2,0),0)</f>
        <v>0</v>
      </c>
    </row>
    <row r="5965" spans="1:2" x14ac:dyDescent="0.2">
      <c r="A5965" t="s">
        <v>548</v>
      </c>
      <c r="B5965" s="50">
        <f>INDEX(parameters!$D$4:$P$20,MATCH(B5944&amp;B5946,parameters!$A$4:$A$20,0),MATCH(A5965,parameters!$D$3:$P$3,0))</f>
        <v>15</v>
      </c>
    </row>
    <row r="5966" spans="1:2" x14ac:dyDescent="0.2">
      <c r="A5966" t="s">
        <v>547</v>
      </c>
      <c r="B5966" s="51">
        <f>INDEX(parameters!$D$4:$P$20,MATCH(B5944&amp;B5946,parameters!$A$4:$A$20,0),MATCH(A5966,parameters!$D$3:$P$3,0))</f>
        <v>20</v>
      </c>
    </row>
    <row r="5967" spans="1:2" x14ac:dyDescent="0.2">
      <c r="A5967" t="s">
        <v>630</v>
      </c>
      <c r="B5967" s="51">
        <f>INDEX(parameters!$D$4:$T$20,MATCH(B5944&amp;B5946,parameters!$A$4:$A$20,0),MATCH(A5967,parameters!$D$3:$T$3,0))</f>
        <v>2100</v>
      </c>
    </row>
    <row r="5968" spans="1:2" x14ac:dyDescent="0.2">
      <c r="A5968" t="s">
        <v>1005</v>
      </c>
      <c r="B5968" s="50">
        <f>IF(B5940="megajoule",SUMIFS(allocation!$I$4:$I$30,allocation!$B$4:$B$30,B5946,allocation!$C$4:$C$30,B5947),SUMIFS(allocation!$J$4:$J$30,allocation!$B$4:$B$30,B5946,allocation!$C$4:$C$30,B5947))</f>
        <v>0</v>
      </c>
    </row>
    <row r="5969" spans="1:22" x14ac:dyDescent="0.2">
      <c r="A5969" t="s">
        <v>1050</v>
      </c>
      <c r="B5969" s="51">
        <f>INDEX(parameters!$D$4:$AB$20,MATCH(B5944&amp;B5946,parameters!$A$4:$A$20,0),MATCH(A5969,parameters!$D$3:$AB$3,0))</f>
        <v>44.562019013128115</v>
      </c>
    </row>
    <row r="5971" spans="1:22" x14ac:dyDescent="0.2">
      <c r="A5971" s="3" t="s">
        <v>57</v>
      </c>
    </row>
    <row r="5972" spans="1:22" x14ac:dyDescent="0.2">
      <c r="A5972" s="2" t="s">
        <v>58</v>
      </c>
      <c r="B5972" s="44" t="s">
        <v>59</v>
      </c>
      <c r="C5972" s="2" t="s">
        <v>55</v>
      </c>
      <c r="D5972" s="2" t="s">
        <v>60</v>
      </c>
      <c r="E5972" s="2" t="s">
        <v>52</v>
      </c>
      <c r="F5972" s="2" t="s">
        <v>61</v>
      </c>
      <c r="G5972" s="2" t="s">
        <v>54</v>
      </c>
      <c r="H5972" s="2" t="s">
        <v>87</v>
      </c>
      <c r="I5972" s="2" t="s">
        <v>51</v>
      </c>
      <c r="J5972" s="2" t="s">
        <v>138</v>
      </c>
      <c r="K5972" s="2" t="s">
        <v>136</v>
      </c>
      <c r="L5972" s="2" t="s">
        <v>221</v>
      </c>
      <c r="M5972" s="2" t="s">
        <v>379</v>
      </c>
      <c r="N5972" s="2" t="s">
        <v>1059</v>
      </c>
      <c r="O5972" s="2" t="s">
        <v>1060</v>
      </c>
      <c r="P5972" s="2" t="s">
        <v>1061</v>
      </c>
      <c r="Q5972" s="2" t="s">
        <v>1062</v>
      </c>
      <c r="R5972" s="2" t="s">
        <v>1063</v>
      </c>
      <c r="S5972" s="2" t="s">
        <v>1064</v>
      </c>
      <c r="T5972" s="2" t="s">
        <v>1065</v>
      </c>
      <c r="U5972" s="2" t="s">
        <v>380</v>
      </c>
      <c r="V5972" s="2" t="s">
        <v>1128</v>
      </c>
    </row>
    <row r="5973" spans="1:22" x14ac:dyDescent="0.2">
      <c r="A5973" t="str">
        <f>B5934</f>
        <v>heat, residential, by combustion of hydrogen using boiler, transported by pipeline, produced by Electrolysis, Alkaline using water and electricity from Solar PV (DE)</v>
      </c>
      <c r="B5973" s="45">
        <v>1</v>
      </c>
      <c r="C5973" t="str">
        <f>B5940</f>
        <v>megajoule</v>
      </c>
      <c r="E5973" t="str">
        <f>B5937</f>
        <v>CH</v>
      </c>
      <c r="F5973" t="s">
        <v>62</v>
      </c>
      <c r="G5973" t="str">
        <f>B5939</f>
        <v>heat, from residential heating system</v>
      </c>
      <c r="K5973" t="str">
        <f>B5934</f>
        <v>heat, residential, by combustion of hydrogen using boiler, transported by pipeline, produced by Electrolysis, Alkaline using water and electricity from Solar PV (DE)</v>
      </c>
    </row>
    <row r="5974" spans="1:22" x14ac:dyDescent="0.2">
      <c r="A5974" t="s">
        <v>83</v>
      </c>
      <c r="B5974" s="52">
        <f>1/(B5965*B5967*B5966*3.6)</f>
        <v>4.4091710758377425E-7</v>
      </c>
      <c r="C5974" t="s">
        <v>55</v>
      </c>
      <c r="E5974" t="s">
        <v>85</v>
      </c>
      <c r="F5974" t="s">
        <v>86</v>
      </c>
      <c r="G5974" t="s">
        <v>84</v>
      </c>
      <c r="H5974" t="s">
        <v>88</v>
      </c>
      <c r="K5974" t="str">
        <f>B5934</f>
        <v>heat, residential, by combustion of hydrogen using boiler, transported by pipeline, produced by Electrolysis, Alkaline using water and electricity from Solar PV (DE)</v>
      </c>
      <c r="L5974">
        <f t="shared" ref="L5974:L5979" si="226">IF(OR(B5974&lt;0,B5974=0),1,2)</f>
        <v>2</v>
      </c>
      <c r="M5974">
        <f t="shared" ref="M5974:M5979" si="227">IF(L5974=2,LN(B5974),"")</f>
        <v>-14.634408943829779</v>
      </c>
      <c r="N5974">
        <v>1.05</v>
      </c>
      <c r="O5974" s="15">
        <v>1.2</v>
      </c>
      <c r="P5974">
        <v>1</v>
      </c>
      <c r="Q5974">
        <v>1.01</v>
      </c>
      <c r="R5974">
        <v>1.2</v>
      </c>
      <c r="S5974">
        <v>1.2</v>
      </c>
      <c r="T5974">
        <v>3</v>
      </c>
      <c r="U5974">
        <f t="shared" ref="U5974:U5979" si="228">LN(SQRT(EXP(
SQRT(
+POWER(LN(N5974),2)
+POWER(LN(O5974),2)
+POWER(LN(P5974),2)
+POWER(LN(Q5974),2)
+POWER(LN(R5974),2)
+POWER(LN(S5974),2)
+POWER(LN(T5974),2)
)
)))</f>
        <v>0.57209088006881903</v>
      </c>
    </row>
    <row r="5975" spans="1:22" x14ac:dyDescent="0.2">
      <c r="A5975" t="s">
        <v>500</v>
      </c>
      <c r="B5975" s="52">
        <f>B5974*2</f>
        <v>8.8183421516754851E-7</v>
      </c>
      <c r="C5975" t="s">
        <v>267</v>
      </c>
      <c r="E5975" t="s">
        <v>85</v>
      </c>
      <c r="F5975" t="s">
        <v>86</v>
      </c>
      <c r="G5975" t="s">
        <v>501</v>
      </c>
      <c r="H5975" t="s">
        <v>88</v>
      </c>
      <c r="I5975" t="s">
        <v>621</v>
      </c>
      <c r="K5975" t="str">
        <f>B5934</f>
        <v>heat, residential, by combustion of hydrogen using boiler, transported by pipeline, produced by Electrolysis, Alkaline using water and electricity from Solar PV (DE)</v>
      </c>
      <c r="L5975">
        <f t="shared" si="226"/>
        <v>2</v>
      </c>
      <c r="M5975">
        <f t="shared" si="227"/>
        <v>-13.941261763269834</v>
      </c>
      <c r="N5975">
        <v>1.05</v>
      </c>
      <c r="O5975" s="15">
        <v>1.2</v>
      </c>
      <c r="P5975">
        <v>1</v>
      </c>
      <c r="Q5975">
        <v>1.01</v>
      </c>
      <c r="R5975">
        <v>1.2</v>
      </c>
      <c r="S5975">
        <v>1.2</v>
      </c>
      <c r="T5975">
        <v>3</v>
      </c>
      <c r="U5975">
        <f t="shared" si="228"/>
        <v>0.57209088006881903</v>
      </c>
    </row>
    <row r="5976" spans="1:22" x14ac:dyDescent="0.2">
      <c r="A5976" t="s">
        <v>130</v>
      </c>
      <c r="B5976" s="52">
        <v>2.64E-3</v>
      </c>
      <c r="C5976" t="s">
        <v>92</v>
      </c>
      <c r="E5976" t="s">
        <v>64</v>
      </c>
      <c r="F5976" t="s">
        <v>86</v>
      </c>
      <c r="G5976" t="s">
        <v>93</v>
      </c>
      <c r="H5976" t="s">
        <v>78</v>
      </c>
      <c r="I5976" t="s">
        <v>270</v>
      </c>
      <c r="J5976" t="s">
        <v>67</v>
      </c>
      <c r="K5976" t="str">
        <f>B5934</f>
        <v>heat, residential, by combustion of hydrogen using boiler, transported by pipeline, produced by Electrolysis, Alkaline using water and electricity from Solar PV (DE)</v>
      </c>
      <c r="L5976">
        <f t="shared" si="226"/>
        <v>2</v>
      </c>
      <c r="M5976">
        <f t="shared" si="227"/>
        <v>-5.9369763618239126</v>
      </c>
      <c r="N5976">
        <v>1.05</v>
      </c>
      <c r="O5976" s="15">
        <v>1.2</v>
      </c>
      <c r="P5976">
        <v>1</v>
      </c>
      <c r="Q5976">
        <v>1.01</v>
      </c>
      <c r="R5976">
        <v>1.2</v>
      </c>
      <c r="S5976">
        <v>1.2</v>
      </c>
      <c r="T5976">
        <v>1.05</v>
      </c>
      <c r="U5976">
        <f t="shared" si="228"/>
        <v>0.16169679924070957</v>
      </c>
    </row>
    <row r="5977" spans="1:22" x14ac:dyDescent="0.2">
      <c r="A5977" s="45" t="str">
        <f>"hydrogen supply, transported by "&amp;B5948&amp;", produced by "&amp;B5952&amp;" using "&amp;B5953&amp;" from "&amp;B5954</f>
        <v>hydrogen supply, transported by pipeline, produced by Electrolysis, Alkaline using water and electricity from Solar PV (DE)</v>
      </c>
      <c r="B5977" s="53">
        <f>(B5973/B5957)/B5956</f>
        <v>8.8652482269503553E-3</v>
      </c>
      <c r="C5977" t="s">
        <v>56</v>
      </c>
      <c r="E5977" t="s">
        <v>64</v>
      </c>
      <c r="F5977" t="s">
        <v>86</v>
      </c>
      <c r="G5977" t="str">
        <f>"hydrogen, gaseous, from "&amp;B5948</f>
        <v>hydrogen, gaseous, from pipeline</v>
      </c>
      <c r="H5977" t="s">
        <v>76</v>
      </c>
      <c r="I5977" t="s">
        <v>1054</v>
      </c>
      <c r="J5977" t="s">
        <v>297</v>
      </c>
      <c r="K5977" t="str">
        <f>B5934</f>
        <v>heat, residential, by combustion of hydrogen using boiler, transported by pipeline, produced by Electrolysis, Alkaline using water and electricity from Solar PV (DE)</v>
      </c>
      <c r="L5977">
        <f t="shared" si="226"/>
        <v>2</v>
      </c>
      <c r="M5977">
        <f t="shared" si="227"/>
        <v>-4.7256163390639587</v>
      </c>
      <c r="N5977">
        <v>1.05</v>
      </c>
      <c r="O5977" s="15">
        <v>1.2</v>
      </c>
      <c r="P5977">
        <v>1</v>
      </c>
      <c r="Q5977">
        <v>1.01</v>
      </c>
      <c r="R5977">
        <v>1.2</v>
      </c>
      <c r="S5977">
        <v>1.2</v>
      </c>
      <c r="T5977">
        <v>1.05</v>
      </c>
      <c r="U5977">
        <f t="shared" si="228"/>
        <v>0.16169679924070957</v>
      </c>
    </row>
    <row r="5978" spans="1:22" x14ac:dyDescent="0.2">
      <c r="A5978" t="s">
        <v>134</v>
      </c>
      <c r="B5978" s="45">
        <f>B5977*9</f>
        <v>7.9787234042553196E-2</v>
      </c>
      <c r="C5978" t="s">
        <v>56</v>
      </c>
      <c r="D5978" t="s">
        <v>100</v>
      </c>
      <c r="F5978" t="s">
        <v>99</v>
      </c>
      <c r="H5978" t="s">
        <v>131</v>
      </c>
      <c r="I5978" t="s">
        <v>1058</v>
      </c>
      <c r="K5978" t="str">
        <f>B5934</f>
        <v>heat, residential, by combustion of hydrogen using boiler, transported by pipeline, produced by Electrolysis, Alkaline using water and electricity from Solar PV (DE)</v>
      </c>
      <c r="L5978">
        <f t="shared" si="226"/>
        <v>2</v>
      </c>
      <c r="M5978">
        <f t="shared" si="227"/>
        <v>-2.5283917617277392</v>
      </c>
      <c r="N5978">
        <v>1.05</v>
      </c>
      <c r="O5978" s="15">
        <v>1.2</v>
      </c>
      <c r="P5978">
        <v>1</v>
      </c>
      <c r="Q5978">
        <v>1.01</v>
      </c>
      <c r="R5978">
        <v>1.2</v>
      </c>
      <c r="S5978">
        <v>1.2</v>
      </c>
      <c r="T5978">
        <v>1.05</v>
      </c>
      <c r="U5978">
        <f t="shared" si="228"/>
        <v>0.16169679924070957</v>
      </c>
    </row>
    <row r="5979" spans="1:22" x14ac:dyDescent="0.2">
      <c r="A5979" t="s">
        <v>135</v>
      </c>
      <c r="B5979" s="45">
        <f>912.5/1000000*B5977</f>
        <v>8.0895390070921995E-6</v>
      </c>
      <c r="C5979" t="s">
        <v>56</v>
      </c>
      <c r="D5979" t="s">
        <v>100</v>
      </c>
      <c r="F5979" t="s">
        <v>99</v>
      </c>
      <c r="H5979" t="s">
        <v>131</v>
      </c>
      <c r="I5979" t="s">
        <v>1217</v>
      </c>
      <c r="K5979" t="str">
        <f>B5934</f>
        <v>heat, residential, by combustion of hydrogen using boiler, transported by pipeline, produced by Electrolysis, Alkaline using water and electricity from Solar PV (DE)</v>
      </c>
      <c r="L5979">
        <f t="shared" si="226"/>
        <v>2</v>
      </c>
      <c r="M5979">
        <f t="shared" si="227"/>
        <v>-11.724938811571587</v>
      </c>
      <c r="N5979">
        <v>1.05</v>
      </c>
      <c r="O5979" s="15">
        <v>1.2</v>
      </c>
      <c r="P5979">
        <v>1</v>
      </c>
      <c r="Q5979">
        <v>1.01</v>
      </c>
      <c r="R5979">
        <v>1.2</v>
      </c>
      <c r="S5979">
        <v>1.2</v>
      </c>
      <c r="T5979">
        <v>1.5</v>
      </c>
      <c r="U5979">
        <f t="shared" si="228"/>
        <v>0.25816898211842121</v>
      </c>
    </row>
    <row r="5981" spans="1:22" x14ac:dyDescent="0.2">
      <c r="A5981" s="2" t="s">
        <v>50</v>
      </c>
      <c r="B5981" s="44" t="str">
        <f>IF(B5987="megajoule","heat","electricity")&amp;", residential, by "&amp;B5992&amp;" of "&amp;B5991&amp;" using "&amp;B5993&amp;IF(B5994&lt;&gt;0,", allocated by "&amp;B5994,"")&amp;", transported by "&amp;B5995&amp;", produced by "&amp;B5999&amp;" using "&amp;B6000&amp;" from "&amp;B6001</f>
        <v>heat, residential, by combustion of hydrogen using CHP, allocated by exergy, transported by pipeline, produced by Electrolysis, Alkaline using water and electricity from Solar PV (DE)</v>
      </c>
    </row>
    <row r="5982" spans="1:22" x14ac:dyDescent="0.2">
      <c r="A5982" t="s">
        <v>51</v>
      </c>
      <c r="B5982" s="45" t="str">
        <f>"This dataset represents the supply of 1 "&amp;IF(B5987="megajoule","megajoule of heat","kilowatt hour of electricity")&amp;" in a residence, by "&amp;B5991&amp;" "&amp;B5992&amp;" in a "&amp;B5993&amp;". "&amp;" The hydrogen is transported by "&amp;B5995&amp;" over "&amp;B5996&amp;" km from regional storage. "&amp;" The "&amp;B5991&amp;" is produced by  "&amp;B5999&amp;", with "&amp;B6000&amp;" from "&amp;B6001&amp;" as feedstock. "&amp;A6003&amp;": "&amp;(B6003*100)&amp;"%. "&amp;A6004&amp;": "&amp;B6004&amp;". "&amp;A6005&amp;": "&amp;B6005&amp;". "&amp;A6006&amp;": "&amp;(B6006*100)&amp;"%. "&amp;A6007&amp;": "&amp;(B6007*100)&amp;"%. "&amp;A6008&amp;": "&amp;(B6008*100)&amp;"%. "&amp;A6009&amp;": "&amp;B6009&amp;". "&amp;A6010&amp;": "&amp;B6010&amp;". "&amp;A6011&amp;": "&amp;(B6011*100)&amp;"%. "&amp;A6012&amp;": "&amp;B6012&amp;". "&amp;A6013&amp;": "&amp;B6013&amp;". "&amp;A6014&amp;": "&amp;B6014&amp;". "&amp;A6015&amp;": "&amp;B6015&amp;".  For more information, refer to: "&amp;B5983</f>
        <v>This dataset represents the supply of 1 megajoule of heat in a residence, by hydrogen combustion in a CHP.  The hydrogen is transported by pipeline over 1000 km from regional storage.  The hydrogen is produced by  Electrolysis, Alkaline,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5983" spans="1:22" x14ac:dyDescent="0.2">
      <c r="A5983" t="s">
        <v>63</v>
      </c>
      <c r="B5983" s="45" t="s">
        <v>1223</v>
      </c>
    </row>
    <row r="5984" spans="1:22" x14ac:dyDescent="0.2">
      <c r="A5984" t="s">
        <v>52</v>
      </c>
      <c r="B5984" s="45" t="s">
        <v>64</v>
      </c>
    </row>
    <row r="5985" spans="1:2" x14ac:dyDescent="0.2">
      <c r="A5985" t="s">
        <v>48</v>
      </c>
      <c r="B5985" s="45">
        <v>74</v>
      </c>
    </row>
    <row r="5986" spans="1:2" x14ac:dyDescent="0.2">
      <c r="A5986" t="s">
        <v>54</v>
      </c>
      <c r="B5986" s="45" t="str">
        <f>INDEX(overview!$B$4:$R$338,MATCH('hydrogen - electrolysis'!B5985,overview!$A$4:$A$338,0),MATCH('hydrogen - electrolysis'!A5986,overview!$B$3:$R$3,0))</f>
        <v>heat, from residential heating system</v>
      </c>
    </row>
    <row r="5987" spans="1:2" x14ac:dyDescent="0.2">
      <c r="A5987" t="s">
        <v>55</v>
      </c>
      <c r="B5987" s="45" t="str">
        <f>INDEX(overview!$B$4:$R$338,MATCH('hydrogen - electrolysis'!B5985,overview!$A$4:$A$338,0),MATCH('hydrogen - electrolysis'!A5987,overview!$B$3:$R$3,0))</f>
        <v>megajoule</v>
      </c>
    </row>
    <row r="5988" spans="1:2" x14ac:dyDescent="0.2">
      <c r="A5988" t="s">
        <v>0</v>
      </c>
      <c r="B5988" s="45" t="str">
        <f>INDEX(overview!$B$4:$R$338,MATCH('hydrogen - electrolysis'!B5985,overview!$A$4:$A$338,0),MATCH('hydrogen - electrolysis'!A5988,overview!$B$3:$R$3,0))</f>
        <v>Switzerland</v>
      </c>
    </row>
    <row r="5989" spans="1:2" x14ac:dyDescent="0.2">
      <c r="A5989" t="s">
        <v>1</v>
      </c>
      <c r="B5989" s="45">
        <f>INDEX(overview!$B$4:$R$338,MATCH('hydrogen - electrolysis'!B5985,overview!$A$4:$A$338,0),MATCH('hydrogen - electrolysis'!A5989,overview!$B$3:$R$3,0))</f>
        <v>2020</v>
      </c>
    </row>
    <row r="5990" spans="1:2" x14ac:dyDescent="0.2">
      <c r="A5990" t="s">
        <v>2</v>
      </c>
      <c r="B5990" s="45" t="str">
        <f>INDEX(overview!$B$4:$R$338,MATCH('hydrogen - electrolysis'!B5985,overview!$A$4:$A$338,0),MATCH('hydrogen - electrolysis'!A5990,overview!$B$3:$R$3,0))</f>
        <v>1 MJ heat</v>
      </c>
    </row>
    <row r="5991" spans="1:2" x14ac:dyDescent="0.2">
      <c r="A5991" t="s">
        <v>5</v>
      </c>
      <c r="B5991" s="45" t="str">
        <f>INDEX(overview!$B$4:$R$338,MATCH('hydrogen - electrolysis'!B5985,overview!$A$4:$A$338,0),MATCH('hydrogen - electrolysis'!A5991,overview!$B$3:$R$3,0))</f>
        <v>hydrogen</v>
      </c>
    </row>
    <row r="5992" spans="1:2" x14ac:dyDescent="0.2">
      <c r="A5992" t="s">
        <v>3</v>
      </c>
      <c r="B5992" s="45" t="str">
        <f>INDEX(overview!$B$4:$R$338,MATCH('hydrogen - electrolysis'!B5985,overview!$A$4:$A$338,0),MATCH('hydrogen - electrolysis'!A5992,overview!$B$3:$R$3,0))</f>
        <v>combustion</v>
      </c>
    </row>
    <row r="5993" spans="1:2" x14ac:dyDescent="0.2">
      <c r="A5993" t="s">
        <v>6</v>
      </c>
      <c r="B5993" s="45" t="str">
        <f>INDEX(overview!$B$4:$R$338,MATCH('hydrogen - electrolysis'!B5985,overview!$A$4:$A$338,0),MATCH('hydrogen - electrolysis'!A5993,overview!$B$3:$R$3,0))</f>
        <v>CHP</v>
      </c>
    </row>
    <row r="5994" spans="1:2" x14ac:dyDescent="0.2">
      <c r="A5994" t="s">
        <v>39</v>
      </c>
      <c r="B5994" s="45" t="str">
        <f>INDEX(overview!$B$4:$R$338,MATCH('hydrogen - electrolysis'!B5985,overview!$A$4:$A$338,0),MATCH('hydrogen - electrolysis'!A5994,overview!$B$3:$R$3,0))</f>
        <v>exergy</v>
      </c>
    </row>
    <row r="5995" spans="1:2" x14ac:dyDescent="0.2">
      <c r="A5995" t="s">
        <v>4</v>
      </c>
      <c r="B5995" s="45" t="str">
        <f>INDEX(overview!$B$4:$R$338,MATCH('hydrogen - electrolysis'!B5985,overview!$A$4:$A$338,0),MATCH('hydrogen - electrolysis'!A5995,overview!$B$3:$R$3,0))</f>
        <v>pipeline</v>
      </c>
    </row>
    <row r="5996" spans="1:2" x14ac:dyDescent="0.2">
      <c r="A5996" t="s">
        <v>38</v>
      </c>
      <c r="B5996" s="45">
        <f>INDEX(overview!$B$4:$R$338,MATCH('hydrogen - electrolysis'!B5985,overview!$A$4:$A$338,0),MATCH('hydrogen - electrolysis'!A5996,overview!$B$3:$R$3,0))</f>
        <v>1000</v>
      </c>
    </row>
    <row r="5997" spans="1:2" x14ac:dyDescent="0.2">
      <c r="A5997" t="s">
        <v>12</v>
      </c>
      <c r="B5997" s="45" t="str">
        <f>INDEX(overview!$B$4:$R$338,MATCH('hydrogen - electrolysis'!B5985,overview!$A$4:$A$338,0),MATCH('hydrogen - electrolysis'!A5997,overview!$B$3:$R$3,0))</f>
        <v>Pressure vessel for stationary storage</v>
      </c>
    </row>
    <row r="5998" spans="1:2" x14ac:dyDescent="0.2">
      <c r="A5998" t="s">
        <v>34</v>
      </c>
      <c r="B5998" s="45">
        <f>INDEX(overview!$B$4:$R$338,MATCH('hydrogen - electrolysis'!B5985,overview!$A$4:$A$338,0),MATCH('hydrogen - electrolysis'!A5998,overview!$B$3:$R$3,0))</f>
        <v>0</v>
      </c>
    </row>
    <row r="5999" spans="1:2" x14ac:dyDescent="0.2">
      <c r="A5999" t="s">
        <v>15</v>
      </c>
      <c r="B5999" s="45" t="str">
        <f>INDEX(overview!$B$4:$R$338,MATCH('hydrogen - electrolysis'!B5985,overview!$A$4:$A$338,0),MATCH('hydrogen - electrolysis'!A5999,overview!$B$3:$R$3,0))</f>
        <v>Electrolysis, Alkaline</v>
      </c>
    </row>
    <row r="6000" spans="1:2" x14ac:dyDescent="0.2">
      <c r="A6000" t="s">
        <v>14</v>
      </c>
      <c r="B6000" s="45" t="str">
        <f>INDEX(overview!$B$4:$R$338,MATCH('hydrogen - electrolysis'!B5985,overview!$A$4:$A$338,0),MATCH('hydrogen - electrolysis'!A6000,overview!$B$3:$R$3,0))</f>
        <v>water and electricity</v>
      </c>
    </row>
    <row r="6001" spans="1:2" x14ac:dyDescent="0.2">
      <c r="A6001" t="s">
        <v>26</v>
      </c>
      <c r="B6001" s="45" t="str">
        <f>INDEX(overview!$B$4:$R$338,MATCH('hydrogen - electrolysis'!B5985,overview!$A$4:$A$338,0),MATCH('hydrogen - electrolysis'!A6001,overview!$B$3:$R$3,0))</f>
        <v>Solar PV (DE)</v>
      </c>
    </row>
    <row r="6002" spans="1:2" x14ac:dyDescent="0.2">
      <c r="A6002" t="s">
        <v>29</v>
      </c>
      <c r="B6002" s="45">
        <f>INDEX(overview!$B$4:$R$338,MATCH('hydrogen - electrolysis'!B5985,overview!$A$4:$A$338,0),MATCH('hydrogen - electrolysis'!A6002,overview!$B$3:$R$3,0))</f>
        <v>0</v>
      </c>
    </row>
    <row r="6003" spans="1:2" x14ac:dyDescent="0.2">
      <c r="A6003" t="str">
        <f>IF(B5987="megajoule","Heat","Electricity")&amp;" conversion efficiency [% LHV input]"</f>
        <v>Heat conversion efficiency [% LHV input]</v>
      </c>
      <c r="B6003" s="46">
        <f>INDEX(parameters!$D$4:$N$20,MATCH('hydrogen - electrolysis'!B5991&amp;'hydrogen - electrolysis'!B5993,parameters!$A$4:$A$20,0),MATCH('hydrogen - electrolysis'!A6003,parameters!$D$3:$N$3,0))</f>
        <v>0.41699999999999998</v>
      </c>
    </row>
    <row r="6004" spans="1:2" x14ac:dyDescent="0.2">
      <c r="A6004" t="str">
        <f>IF(B5987="megajoule","LHV [MJ/kg]","LHV [kWh/kg]")</f>
        <v>LHV [MJ/kg]</v>
      </c>
      <c r="B6004" s="47">
        <f>INDEX(parameters!$D$4:$N$20,MATCH('hydrogen - electrolysis'!B5991&amp;'hydrogen - electrolysis'!B5993,parameters!$A$4:$A$20,0),MATCH('hydrogen - electrolysis'!A6004,parameters!$D$3:$N$3,0))</f>
        <v>120</v>
      </c>
    </row>
    <row r="6005" spans="1:2" x14ac:dyDescent="0.2">
      <c r="A6005" t="s">
        <v>41</v>
      </c>
      <c r="B6005" s="48">
        <f>INDEX(parameters!$D$4:$N$20,MATCH('hydrogen - electrolysis'!B5991&amp;'hydrogen - electrolysis'!B5993,parameters!$A$4:$A$20,0),MATCH('hydrogen - electrolysis'!A6005,parameters!$D$3:$N$3,0))</f>
        <v>2.6666666666666665E-2</v>
      </c>
    </row>
    <row r="6006" spans="1:2" x14ac:dyDescent="0.2">
      <c r="A6006" t="s">
        <v>45</v>
      </c>
      <c r="B6006" s="46">
        <f>INDEX(parameters!$D$4:$N$20,MATCH('hydrogen - electrolysis'!B5991&amp;'hydrogen - electrolysis'!B5993,parameters!$A$4:$A$20,0),MATCH('hydrogen - electrolysis'!A6006,parameters!$D$3:$N$3,0))</f>
        <v>0</v>
      </c>
    </row>
    <row r="6007" spans="1:2" x14ac:dyDescent="0.2">
      <c r="A6007" t="s">
        <v>46</v>
      </c>
      <c r="B6007" s="46">
        <f>INDEX(parameters!$D$4:$N$20,MATCH('hydrogen - electrolysis'!B5991&amp;'hydrogen - electrolysis'!B5993,parameters!$A$4:$A$20,0),MATCH('hydrogen - electrolysis'!A6007,parameters!$D$3:$N$3,0))</f>
        <v>1.4999999999999999E-2</v>
      </c>
    </row>
    <row r="6008" spans="1:2" x14ac:dyDescent="0.2">
      <c r="A6008" t="s">
        <v>43</v>
      </c>
      <c r="B6008" s="46">
        <f>INDEX(parameters!$D$4:$N$20,MATCH('hydrogen - electrolysis'!B5991&amp;'hydrogen - electrolysis'!B5993,parameters!$A$4:$A$20,0),MATCH('hydrogen - electrolysis'!A6008,parameters!$D$3:$N$3,0))</f>
        <v>0</v>
      </c>
    </row>
    <row r="6009" spans="1:2" x14ac:dyDescent="0.2">
      <c r="A6009" t="s">
        <v>44</v>
      </c>
      <c r="B6009" s="46">
        <f>INDEX(parameters!$D$4:$N$20,MATCH('hydrogen - electrolysis'!B5991&amp;'hydrogen - electrolysis'!B5993,parameters!$A$4:$A$20,0),MATCH('hydrogen - electrolysis'!A6009,parameters!$D$3:$N$3,0))</f>
        <v>0</v>
      </c>
    </row>
    <row r="6010" spans="1:2" x14ac:dyDescent="0.2">
      <c r="A6010" t="s">
        <v>634</v>
      </c>
      <c r="B6010" s="51">
        <f>INDEX(parameters!$D$4:$Y$20,MATCH('hydrogen - electrolysis'!B5991&amp;'hydrogen - electrolysis'!B5993,parameters!$A$4:$A$20,0),MATCH('hydrogen - electrolysis'!A6010,parameters!$D$3:$Y$3,0))</f>
        <v>351.41800246609125</v>
      </c>
    </row>
    <row r="6011" spans="1:2" x14ac:dyDescent="0.2">
      <c r="A6011" t="s">
        <v>82</v>
      </c>
      <c r="B6011" s="46">
        <f>IF(B6002&lt;&gt;0,VLOOKUP(B6002,parameters!A3792:B3794,2,0),0)</f>
        <v>0</v>
      </c>
    </row>
    <row r="6012" spans="1:2" x14ac:dyDescent="0.2">
      <c r="A6012" t="s">
        <v>548</v>
      </c>
      <c r="B6012" s="50">
        <f>INDEX(parameters!$D$4:$P$20,MATCH(B5991&amp;B5993,parameters!$A$4:$A$20,0),MATCH(A6012,parameters!$D$3:$P$3,0))</f>
        <v>125</v>
      </c>
    </row>
    <row r="6013" spans="1:2" x14ac:dyDescent="0.2">
      <c r="A6013" t="s">
        <v>547</v>
      </c>
      <c r="B6013" s="51">
        <f>INDEX(parameters!$D$4:$P$20,MATCH(B5991&amp;B5993,parameters!$A$4:$A$20,0),MATCH(A6013,parameters!$D$3:$P$3,0))</f>
        <v>19.512195121951219</v>
      </c>
    </row>
    <row r="6014" spans="1:2" x14ac:dyDescent="0.2">
      <c r="A6014" t="s">
        <v>630</v>
      </c>
      <c r="B6014" s="51">
        <f>INDEX(parameters!$D$4:$T$20,MATCH(B5991&amp;B5993,parameters!$A$4:$A$20,0),MATCH(A6014,parameters!$D$3:$T$3,0))</f>
        <v>4100</v>
      </c>
    </row>
    <row r="6015" spans="1:2" x14ac:dyDescent="0.2">
      <c r="A6015" t="s">
        <v>1005</v>
      </c>
      <c r="B6015" s="50">
        <f>IF(B5987="megajoule",SUMIFS(allocation!$I$4:$I$30,allocation!$B$4:$B$30,B5993,allocation!$C$4:$C$30,B5994),SUMIFS(allocation!$J$4:$J$30,allocation!$B$4:$B$30,B5993,allocation!$C$4:$C$30,B5994))</f>
        <v>0.12860042227295038</v>
      </c>
    </row>
    <row r="6016" spans="1:2" x14ac:dyDescent="0.2">
      <c r="A6016" t="s">
        <v>1050</v>
      </c>
      <c r="B6016" s="51">
        <f>INDEX(parameters!$D$4:$AB$20,MATCH(B5991&amp;B5993,parameters!$A$4:$A$20,0),MATCH(A6016,parameters!$D$3:$AB$3,0))</f>
        <v>2220.7364520822662</v>
      </c>
    </row>
    <row r="6018" spans="1:22" x14ac:dyDescent="0.2">
      <c r="A6018" s="3" t="s">
        <v>57</v>
      </c>
    </row>
    <row r="6019" spans="1:22" x14ac:dyDescent="0.2">
      <c r="A6019" s="2" t="s">
        <v>58</v>
      </c>
      <c r="B6019" s="44" t="s">
        <v>59</v>
      </c>
      <c r="C6019" s="2" t="s">
        <v>55</v>
      </c>
      <c r="D6019" s="2" t="s">
        <v>60</v>
      </c>
      <c r="E6019" s="2" t="s">
        <v>52</v>
      </c>
      <c r="F6019" s="2" t="s">
        <v>61</v>
      </c>
      <c r="G6019" s="2" t="s">
        <v>54</v>
      </c>
      <c r="H6019" s="2" t="s">
        <v>87</v>
      </c>
      <c r="I6019" s="2" t="s">
        <v>51</v>
      </c>
      <c r="J6019" s="2" t="s">
        <v>138</v>
      </c>
      <c r="K6019" s="2" t="s">
        <v>136</v>
      </c>
      <c r="L6019" s="2" t="s">
        <v>221</v>
      </c>
      <c r="M6019" s="2" t="s">
        <v>379</v>
      </c>
      <c r="N6019" s="2" t="s">
        <v>1059</v>
      </c>
      <c r="O6019" s="2" t="s">
        <v>1060</v>
      </c>
      <c r="P6019" s="2" t="s">
        <v>1061</v>
      </c>
      <c r="Q6019" s="2" t="s">
        <v>1062</v>
      </c>
      <c r="R6019" s="2" t="s">
        <v>1063</v>
      </c>
      <c r="S6019" s="2" t="s">
        <v>1064</v>
      </c>
      <c r="T6019" s="2" t="s">
        <v>1065</v>
      </c>
      <c r="U6019" s="2" t="s">
        <v>380</v>
      </c>
      <c r="V6019" s="2" t="s">
        <v>1128</v>
      </c>
    </row>
    <row r="6020" spans="1:22" x14ac:dyDescent="0.2">
      <c r="A6020" t="str">
        <f>B5981</f>
        <v>heat, residential, by combustion of hydrogen using CHP, allocated by exergy, transported by pipeline, produced by Electrolysis, Alkaline using water and electricity from Solar PV (DE)</v>
      </c>
      <c r="B6020" s="45">
        <v>1</v>
      </c>
      <c r="C6020" t="str">
        <f>B5987</f>
        <v>megajoule</v>
      </c>
      <c r="E6020" t="str">
        <f>B5984</f>
        <v>CH</v>
      </c>
      <c r="F6020" t="s">
        <v>62</v>
      </c>
      <c r="G6020" t="str">
        <f>B5986</f>
        <v>heat, from residential heating system</v>
      </c>
      <c r="K6020" t="str">
        <f>B5981</f>
        <v>heat, residential, by combustion of hydrogen using CHP, allocated by exergy, transported by pipeline, produced by Electrolysis, Alkaline using water and electricity from Solar PV (DE)</v>
      </c>
    </row>
    <row r="6021" spans="1:22" x14ac:dyDescent="0.2">
      <c r="A6021" t="str">
        <f>VLOOKUP(J6021,'dataset mapping'!$A$4:$E$69,2,0)</f>
        <v>heat and power co-generation unit construction, 160kW electrical, common components for heat+electricity</v>
      </c>
      <c r="B6021" s="52">
        <f>(1/(B6010*B6014*B6013*3.6))*B6015</f>
        <v>1.270649883812899E-9</v>
      </c>
      <c r="C6021" t="str">
        <f>VLOOKUP(J6021,'dataset mapping'!$A$4:$E$69,5,0)</f>
        <v>unit</v>
      </c>
      <c r="E6021" t="str">
        <f>VLOOKUP(J6021,'dataset mapping'!$A$4:$E$69,4,0)</f>
        <v>RER</v>
      </c>
      <c r="F6021" t="s">
        <v>86</v>
      </c>
      <c r="G6021" t="str">
        <f>VLOOKUP(J6021,'dataset mapping'!$A$4:$E$69,3,0)</f>
        <v>heat and power co-generation unit, 160kW electrical, common components for heat+electricity</v>
      </c>
      <c r="H6021" t="s">
        <v>88</v>
      </c>
      <c r="J6021" t="s">
        <v>145</v>
      </c>
      <c r="K6021" t="str">
        <f>B5981</f>
        <v>heat, residential, by combustion of hydrogen using CHP, allocated by exergy, transported by pipeline, produced by Electrolysis, Alkaline using water and electricity from Solar PV (DE)</v>
      </c>
      <c r="L6021">
        <f t="shared" ref="L6021:L6028" si="229">IF(OR(B6021&lt;0,B6021=0),1,2)</f>
        <v>2</v>
      </c>
      <c r="M6021">
        <f t="shared" ref="M6021:M6028" si="230">IF(L6021=2,LN(B6021),"")</f>
        <v>-20.48373734782199</v>
      </c>
      <c r="N6021">
        <v>1.05</v>
      </c>
      <c r="O6021" s="15">
        <v>1.2</v>
      </c>
      <c r="P6021">
        <v>1</v>
      </c>
      <c r="Q6021">
        <v>1.01</v>
      </c>
      <c r="R6021">
        <v>1.2</v>
      </c>
      <c r="S6021">
        <v>1.2</v>
      </c>
      <c r="T6021">
        <v>3</v>
      </c>
      <c r="U6021">
        <f t="shared" ref="U6021:U6028" si="231">LN(SQRT(EXP(
SQRT(
+POWER(LN(N6021),2)
+POWER(LN(O6021),2)
+POWER(LN(P6021),2)
+POWER(LN(Q6021),2)
+POWER(LN(R6021),2)
+POWER(LN(S6021),2)
+POWER(LN(T6021),2)
)
)))</f>
        <v>0.57209088006881903</v>
      </c>
    </row>
    <row r="6022" spans="1:22" x14ac:dyDescent="0.2">
      <c r="A6022" t="str">
        <f>VLOOKUP(J6022,'dataset mapping'!$A$4:$E$69,2,0)</f>
        <v>heat and power co-generation unit construction, 160kW electrical, components for electricity only</v>
      </c>
      <c r="B6022" s="52">
        <f>(1/(B6010*B6014*B6013*3.6))*B6015</f>
        <v>1.270649883812899E-9</v>
      </c>
      <c r="C6022" t="str">
        <f>VLOOKUP(J6022,'dataset mapping'!$A$4:$E$69,5,0)</f>
        <v>unit</v>
      </c>
      <c r="E6022" t="str">
        <f>VLOOKUP(J6022,'dataset mapping'!$A$4:$E$69,4,0)</f>
        <v>RER</v>
      </c>
      <c r="F6022" t="s">
        <v>86</v>
      </c>
      <c r="G6022" t="str">
        <f>VLOOKUP(J6022,'dataset mapping'!$A$4:$E$69,3,0)</f>
        <v>heat and power co-generation unit, 160kW electrical, components for electricity only</v>
      </c>
      <c r="H6022" t="s">
        <v>88</v>
      </c>
      <c r="J6022" t="s">
        <v>146</v>
      </c>
      <c r="K6022" t="str">
        <f>B5981</f>
        <v>heat, residential, by combustion of hydrogen using CHP, allocated by exergy, transported by pipeline, produced by Electrolysis, Alkaline using water and electricity from Solar PV (DE)</v>
      </c>
      <c r="L6022">
        <f t="shared" si="229"/>
        <v>2</v>
      </c>
      <c r="M6022">
        <f t="shared" si="230"/>
        <v>-20.48373734782199</v>
      </c>
      <c r="N6022">
        <v>1.05</v>
      </c>
      <c r="O6022" s="15">
        <v>1.2</v>
      </c>
      <c r="P6022">
        <v>1</v>
      </c>
      <c r="Q6022">
        <v>1.01</v>
      </c>
      <c r="R6022">
        <v>1.2</v>
      </c>
      <c r="S6022">
        <v>1.2</v>
      </c>
      <c r="T6022">
        <v>3</v>
      </c>
      <c r="U6022">
        <f t="shared" si="231"/>
        <v>0.57209088006881903</v>
      </c>
    </row>
    <row r="6023" spans="1:22" x14ac:dyDescent="0.2">
      <c r="A6023" t="str">
        <f>VLOOKUP(J6023,'dataset mapping'!$A$4:$E$69,2,0)</f>
        <v>heat and power co-generation unit construction, 160kW electrical, components for heat only</v>
      </c>
      <c r="B6023" s="52">
        <f>(1/(B6010*B6014*B6013*3.6))*B6015</f>
        <v>1.270649883812899E-9</v>
      </c>
      <c r="C6023" t="str">
        <f>VLOOKUP(J6023,'dataset mapping'!$A$4:$E$69,5,0)</f>
        <v>unit</v>
      </c>
      <c r="E6023" t="str">
        <f>VLOOKUP(J6023,'dataset mapping'!$A$4:$E$69,4,0)</f>
        <v>RER</v>
      </c>
      <c r="F6023" t="s">
        <v>86</v>
      </c>
      <c r="G6023" t="str">
        <f>VLOOKUP(J6023,'dataset mapping'!$A$4:$E$69,3,0)</f>
        <v>heat and power co-generation unit, 160kW electrical, components for heat only</v>
      </c>
      <c r="H6023" t="s">
        <v>88</v>
      </c>
      <c r="J6023" t="s">
        <v>147</v>
      </c>
      <c r="K6023" t="str">
        <f>B5981</f>
        <v>heat, residential, by combustion of hydrogen using CHP, allocated by exergy, transported by pipeline, produced by Electrolysis, Alkaline using water and electricity from Solar PV (DE)</v>
      </c>
      <c r="L6023">
        <f t="shared" si="229"/>
        <v>2</v>
      </c>
      <c r="M6023">
        <f t="shared" si="230"/>
        <v>-20.48373734782199</v>
      </c>
      <c r="N6023">
        <v>1.05</v>
      </c>
      <c r="O6023" s="15">
        <v>1.2</v>
      </c>
      <c r="P6023">
        <v>1</v>
      </c>
      <c r="Q6023">
        <v>1.01</v>
      </c>
      <c r="R6023">
        <v>1.2</v>
      </c>
      <c r="S6023">
        <v>1.2</v>
      </c>
      <c r="T6023">
        <v>3</v>
      </c>
      <c r="U6023">
        <f t="shared" si="231"/>
        <v>0.57209088006881903</v>
      </c>
    </row>
    <row r="6024" spans="1:22" x14ac:dyDescent="0.2">
      <c r="A6024" t="s">
        <v>156</v>
      </c>
      <c r="B6024" s="52">
        <f>0.00000011366*B6015</f>
        <v>1.461672399554354E-8</v>
      </c>
      <c r="C6024" t="s">
        <v>56</v>
      </c>
      <c r="E6024" t="s">
        <v>90</v>
      </c>
      <c r="F6024" t="s">
        <v>86</v>
      </c>
      <c r="G6024" t="s">
        <v>154</v>
      </c>
      <c r="H6024" t="s">
        <v>155</v>
      </c>
      <c r="K6024" t="str">
        <f>B5981</f>
        <v>heat, residential, by combustion of hydrogen using CHP, allocated by exergy, transported by pipeline, produced by Electrolysis, Alkaline using water and electricity from Solar PV (DE)</v>
      </c>
      <c r="L6024">
        <f t="shared" si="229"/>
        <v>2</v>
      </c>
      <c r="M6024">
        <f t="shared" si="230"/>
        <v>-18.041099484645969</v>
      </c>
      <c r="N6024">
        <v>1.05</v>
      </c>
      <c r="O6024" s="15">
        <v>1.2</v>
      </c>
      <c r="P6024">
        <v>1</v>
      </c>
      <c r="Q6024">
        <v>1.01</v>
      </c>
      <c r="R6024">
        <v>1.2</v>
      </c>
      <c r="S6024">
        <v>1.2</v>
      </c>
      <c r="T6024">
        <v>1.05</v>
      </c>
      <c r="U6024">
        <f t="shared" si="231"/>
        <v>0.16169679924070957</v>
      </c>
    </row>
    <row r="6025" spans="1:22" x14ac:dyDescent="0.2">
      <c r="A6025" t="s">
        <v>157</v>
      </c>
      <c r="B6025" s="52">
        <f>0.00000011366*B6015*-1</f>
        <v>-1.461672399554354E-8</v>
      </c>
      <c r="C6025" t="s">
        <v>56</v>
      </c>
      <c r="E6025" t="s">
        <v>64</v>
      </c>
      <c r="F6025" t="s">
        <v>86</v>
      </c>
      <c r="G6025" t="s">
        <v>158</v>
      </c>
      <c r="H6025" t="s">
        <v>155</v>
      </c>
      <c r="K6025" t="str">
        <f>B5981</f>
        <v>heat, residential, by combustion of hydrogen using CHP, allocated by exergy, transported by pipeline, produced by Electrolysis, Alkaline using water and electricity from Solar PV (DE)</v>
      </c>
      <c r="L6025">
        <v>2</v>
      </c>
      <c r="M6025">
        <f>IF(L6025=2,LN(B6025*-1),"")</f>
        <v>-18.041099484645969</v>
      </c>
      <c r="N6025">
        <v>1.05</v>
      </c>
      <c r="O6025" s="15">
        <v>1.2</v>
      </c>
      <c r="P6025">
        <v>1</v>
      </c>
      <c r="Q6025">
        <v>1.01</v>
      </c>
      <c r="R6025">
        <v>1.2</v>
      </c>
      <c r="S6025">
        <v>1.2</v>
      </c>
      <c r="T6025">
        <v>3</v>
      </c>
      <c r="U6025">
        <f>LN(SQRT(EXP(
SQRT(
+POWER(LN(N6025),2)
+POWER(LN(O6025),2)
+POWER(LN(P6025),2)
+POWER(LN(Q6025),2)
+POWER(LN(R6025),2)
+POWER(LN(S6025),2)
+POWER(LN(T6025),2)
)
)))</f>
        <v>0.57209088006881903</v>
      </c>
      <c r="V6025" t="b">
        <v>1</v>
      </c>
    </row>
    <row r="6026" spans="1:22" x14ac:dyDescent="0.2">
      <c r="A6026" s="45" t="str">
        <f>"hydrogen supply, transported by "&amp;B5995&amp;", produced by "&amp;B5999&amp;" using "&amp;B6000&amp;" from "&amp;B6001</f>
        <v>hydrogen supply, transported by pipeline, produced by Electrolysis, Alkaline using water and electricity from Solar PV (DE)</v>
      </c>
      <c r="B6026" s="53">
        <f>(B6020/B6004)/B6003*B6015</f>
        <v>2.56995248347223E-3</v>
      </c>
      <c r="C6026" t="s">
        <v>56</v>
      </c>
      <c r="E6026" t="s">
        <v>64</v>
      </c>
      <c r="F6026" t="s">
        <v>86</v>
      </c>
      <c r="G6026" t="str">
        <f>"hydrogen, gaseous, from "&amp;B5995</f>
        <v>hydrogen, gaseous, from pipeline</v>
      </c>
      <c r="H6026" t="s">
        <v>76</v>
      </c>
      <c r="I6026" t="s">
        <v>1054</v>
      </c>
      <c r="J6026" t="s">
        <v>297</v>
      </c>
      <c r="K6026" t="str">
        <f>B5981</f>
        <v>heat, residential, by combustion of hydrogen using CHP, allocated by exergy, transported by pipeline, produced by Electrolysis, Alkaline using water and electricity from Solar PV (DE)</v>
      </c>
      <c r="L6026">
        <f t="shared" si="229"/>
        <v>2</v>
      </c>
      <c r="M6026">
        <f t="shared" si="230"/>
        <v>-5.9638678691672418</v>
      </c>
      <c r="N6026">
        <v>1.05</v>
      </c>
      <c r="O6026" s="15">
        <v>1.2</v>
      </c>
      <c r="P6026">
        <v>1</v>
      </c>
      <c r="Q6026">
        <v>1.01</v>
      </c>
      <c r="R6026">
        <v>1.2</v>
      </c>
      <c r="S6026">
        <v>1.2</v>
      </c>
      <c r="T6026">
        <v>1.05</v>
      </c>
      <c r="U6026">
        <f t="shared" si="231"/>
        <v>0.16169679924070957</v>
      </c>
    </row>
    <row r="6027" spans="1:22" x14ac:dyDescent="0.2">
      <c r="A6027" t="s">
        <v>134</v>
      </c>
      <c r="B6027" s="45">
        <f>B6026*9</f>
        <v>2.3129572351250072E-2</v>
      </c>
      <c r="C6027" t="s">
        <v>56</v>
      </c>
      <c r="D6027" t="s">
        <v>100</v>
      </c>
      <c r="F6027" t="s">
        <v>99</v>
      </c>
      <c r="H6027" t="s">
        <v>131</v>
      </c>
      <c r="I6027" t="s">
        <v>1058</v>
      </c>
      <c r="K6027" t="str">
        <f>B5981</f>
        <v>heat, residential, by combustion of hydrogen using CHP, allocated by exergy, transported by pipeline, produced by Electrolysis, Alkaline using water and electricity from Solar PV (DE)</v>
      </c>
      <c r="L6027">
        <f t="shared" si="229"/>
        <v>2</v>
      </c>
      <c r="M6027">
        <f t="shared" si="230"/>
        <v>-3.7666432918310226</v>
      </c>
      <c r="N6027">
        <v>1.05</v>
      </c>
      <c r="O6027" s="15">
        <v>1.2</v>
      </c>
      <c r="P6027">
        <v>1</v>
      </c>
      <c r="Q6027">
        <v>1.01</v>
      </c>
      <c r="R6027">
        <v>1.2</v>
      </c>
      <c r="S6027">
        <v>1.2</v>
      </c>
      <c r="T6027">
        <v>1.05</v>
      </c>
      <c r="U6027">
        <f t="shared" si="231"/>
        <v>0.16169679924070957</v>
      </c>
    </row>
    <row r="6028" spans="1:22" x14ac:dyDescent="0.2">
      <c r="A6028" t="s">
        <v>135</v>
      </c>
      <c r="B6028" s="45">
        <f>912.5/1000000*B6026</f>
        <v>2.3450816411684101E-6</v>
      </c>
      <c r="C6028" t="s">
        <v>56</v>
      </c>
      <c r="D6028" t="s">
        <v>100</v>
      </c>
      <c r="F6028" t="s">
        <v>99</v>
      </c>
      <c r="H6028" t="s">
        <v>131</v>
      </c>
      <c r="I6028" t="s">
        <v>1217</v>
      </c>
      <c r="K6028" t="str">
        <f>B5981</f>
        <v>heat, residential, by combustion of hydrogen using CHP, allocated by exergy, transported by pipeline, produced by Electrolysis, Alkaline using water and electricity from Solar PV (DE)</v>
      </c>
      <c r="L6028">
        <f t="shared" si="229"/>
        <v>2</v>
      </c>
      <c r="M6028">
        <f t="shared" si="230"/>
        <v>-12.963190341674869</v>
      </c>
      <c r="N6028">
        <v>1.05</v>
      </c>
      <c r="O6028" s="15">
        <v>1.2</v>
      </c>
      <c r="P6028">
        <v>1</v>
      </c>
      <c r="Q6028">
        <v>1.01</v>
      </c>
      <c r="R6028">
        <v>1.2</v>
      </c>
      <c r="S6028">
        <v>1.2</v>
      </c>
      <c r="T6028">
        <v>1.5</v>
      </c>
      <c r="U6028">
        <f t="shared" si="231"/>
        <v>0.25816898211842121</v>
      </c>
    </row>
    <row r="6030" spans="1:22" x14ac:dyDescent="0.2">
      <c r="A6030" s="2" t="s">
        <v>50</v>
      </c>
      <c r="B6030" s="44" t="str">
        <f>IF(B6036="megajoule","heat","electricity")&amp;", residential, by "&amp;B6041&amp;" of "&amp;B6040&amp;" using "&amp;B6042&amp;IF(B6043&lt;&gt;0,", allocated by "&amp;B6043,"")&amp;", transported by "&amp;B6044&amp;", produced by "&amp;B6048&amp;" using "&amp;B6049&amp;" from "&amp;B6050</f>
        <v>heat, residential, by conversion of hydrogen using fuel cell, PEM, allocated by exergy, transported by pipeline, produced by Electrolysis, Alkaline using water and electricity from Solar PV (DE)</v>
      </c>
    </row>
    <row r="6031" spans="1:22" x14ac:dyDescent="0.2">
      <c r="A6031" t="s">
        <v>51</v>
      </c>
      <c r="B6031" s="45" t="str">
        <f>"This dataset represents the supply of 1 "&amp;IF(B6036="megajoule","megajoule of heat","kilowatt hour of electricity")&amp;" in a residence, by "&amp;B6040&amp;" "&amp;B6041&amp;" in a "&amp;B6042&amp;". "&amp;" The hydrogen is transported by "&amp;B6044&amp;" over "&amp;B6045&amp;" km from regional storage. "&amp;" The "&amp;B6040&amp;" is produced by  "&amp;B6048&amp;", with "&amp;B6049&amp;" from "&amp;B6050&amp;" as feedstock. "&amp;A6052&amp;": "&amp;(B6052*100)&amp;"%. "&amp;A6053&amp;": "&amp;B6053&amp;". "&amp;A6054&amp;": "&amp;B6054&amp;". "&amp;A6055&amp;": "&amp;(B6055*100)&amp;"%. "&amp;A6056&amp;": "&amp;(B6056*100)&amp;"%. "&amp;A6057&amp;": "&amp;(B6057*100)&amp;"%. "&amp;A6058&amp;": "&amp;B6058&amp;". "&amp;A6059&amp;": "&amp;B6059&amp;". "&amp;A6060&amp;": "&amp;(B6060*100)&amp;"%. "&amp;A6061&amp;": "&amp;B6061&amp;". "&amp;A6062&amp;": "&amp;B6062&amp;". "&amp;A6063&amp;": "&amp;B6063&amp;". "&amp;A6064&amp;": "&amp;B6064&amp;".  For more information, refer to: "&amp;B6032</f>
        <v>This dataset represents the supply of 1 megajoule of heat in a residence, by hydrogen conversion in a fuel cell, PEM.  The hydrogen is transported by pipeline over 1000 km from regional storage.  The hydrogen is produced by  Electrolysis, Alkaline,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6032" spans="1:22" x14ac:dyDescent="0.2">
      <c r="A6032" t="s">
        <v>63</v>
      </c>
      <c r="B6032" s="45" t="s">
        <v>1223</v>
      </c>
    </row>
    <row r="6033" spans="1:2" x14ac:dyDescent="0.2">
      <c r="A6033" t="s">
        <v>52</v>
      </c>
      <c r="B6033" s="45" t="s">
        <v>64</v>
      </c>
    </row>
    <row r="6034" spans="1:2" x14ac:dyDescent="0.2">
      <c r="A6034" t="s">
        <v>48</v>
      </c>
      <c r="B6034" s="45">
        <v>75</v>
      </c>
    </row>
    <row r="6035" spans="1:2" x14ac:dyDescent="0.2">
      <c r="A6035" t="s">
        <v>54</v>
      </c>
      <c r="B6035" s="45" t="str">
        <f>INDEX(overview!$B$4:$R$338,MATCH('hydrogen - electrolysis'!B6034,overview!$A$4:$A$338,0),MATCH('hydrogen - electrolysis'!A6035,overview!$B$3:$R$3,0))</f>
        <v>heat, from residential heating system</v>
      </c>
    </row>
    <row r="6036" spans="1:2" x14ac:dyDescent="0.2">
      <c r="A6036" t="s">
        <v>55</v>
      </c>
      <c r="B6036" s="45" t="str">
        <f>INDEX(overview!$B$4:$R$338,MATCH('hydrogen - electrolysis'!B6034,overview!$A$4:$A$338,0),MATCH('hydrogen - electrolysis'!A6036,overview!$B$3:$R$3,0))</f>
        <v>megajoule</v>
      </c>
    </row>
    <row r="6037" spans="1:2" x14ac:dyDescent="0.2">
      <c r="A6037" t="s">
        <v>0</v>
      </c>
      <c r="B6037" s="45" t="str">
        <f>INDEX(overview!$B$4:$R$338,MATCH('hydrogen - electrolysis'!B6034,overview!$A$4:$A$338,0),MATCH('hydrogen - electrolysis'!A6037,overview!$B$3:$R$3,0))</f>
        <v>Switzerland</v>
      </c>
    </row>
    <row r="6038" spans="1:2" x14ac:dyDescent="0.2">
      <c r="A6038" t="s">
        <v>1</v>
      </c>
      <c r="B6038" s="45">
        <f>INDEX(overview!$B$4:$R$338,MATCH('hydrogen - electrolysis'!B6034,overview!$A$4:$A$338,0),MATCH('hydrogen - electrolysis'!A6038,overview!$B$3:$R$3,0))</f>
        <v>2020</v>
      </c>
    </row>
    <row r="6039" spans="1:2" x14ac:dyDescent="0.2">
      <c r="A6039" t="s">
        <v>2</v>
      </c>
      <c r="B6039" s="45" t="str">
        <f>INDEX(overview!$B$4:$R$338,MATCH('hydrogen - electrolysis'!B6034,overview!$A$4:$A$338,0),MATCH('hydrogen - electrolysis'!A6039,overview!$B$3:$R$3,0))</f>
        <v>1 MJ heat</v>
      </c>
    </row>
    <row r="6040" spans="1:2" x14ac:dyDescent="0.2">
      <c r="A6040" t="s">
        <v>5</v>
      </c>
      <c r="B6040" s="45" t="str">
        <f>INDEX(overview!$B$4:$R$338,MATCH('hydrogen - electrolysis'!B6034,overview!$A$4:$A$338,0),MATCH('hydrogen - electrolysis'!A6040,overview!$B$3:$R$3,0))</f>
        <v>hydrogen</v>
      </c>
    </row>
    <row r="6041" spans="1:2" x14ac:dyDescent="0.2">
      <c r="A6041" t="s">
        <v>3</v>
      </c>
      <c r="B6041" s="45" t="str">
        <f>INDEX(overview!$B$4:$R$338,MATCH('hydrogen - electrolysis'!B6034,overview!$A$4:$A$338,0),MATCH('hydrogen - electrolysis'!A6041,overview!$B$3:$R$3,0))</f>
        <v>conversion</v>
      </c>
    </row>
    <row r="6042" spans="1:2" x14ac:dyDescent="0.2">
      <c r="A6042" t="s">
        <v>6</v>
      </c>
      <c r="B6042" s="45" t="str">
        <f>INDEX(overview!$B$4:$R$338,MATCH('hydrogen - electrolysis'!B6034,overview!$A$4:$A$338,0),MATCH('hydrogen - electrolysis'!A6042,overview!$B$3:$R$3,0))</f>
        <v>fuel cell, PEM</v>
      </c>
    </row>
    <row r="6043" spans="1:2" x14ac:dyDescent="0.2">
      <c r="A6043" t="s">
        <v>39</v>
      </c>
      <c r="B6043" s="45" t="str">
        <f>INDEX(overview!$B$4:$R$338,MATCH('hydrogen - electrolysis'!B6034,overview!$A$4:$A$338,0),MATCH('hydrogen - electrolysis'!A6043,overview!$B$3:$R$3,0))</f>
        <v>exergy</v>
      </c>
    </row>
    <row r="6044" spans="1:2" x14ac:dyDescent="0.2">
      <c r="A6044" t="s">
        <v>4</v>
      </c>
      <c r="B6044" s="45" t="str">
        <f>INDEX(overview!$B$4:$R$338,MATCH('hydrogen - electrolysis'!B6034,overview!$A$4:$A$338,0),MATCH('hydrogen - electrolysis'!A6044,overview!$B$3:$R$3,0))</f>
        <v>pipeline</v>
      </c>
    </row>
    <row r="6045" spans="1:2" x14ac:dyDescent="0.2">
      <c r="A6045" t="s">
        <v>38</v>
      </c>
      <c r="B6045" s="45">
        <f>INDEX(overview!$B$4:$R$338,MATCH('hydrogen - electrolysis'!B6034,overview!$A$4:$A$338,0),MATCH('hydrogen - electrolysis'!A6045,overview!$B$3:$R$3,0))</f>
        <v>1000</v>
      </c>
    </row>
    <row r="6046" spans="1:2" x14ac:dyDescent="0.2">
      <c r="A6046" t="s">
        <v>12</v>
      </c>
      <c r="B6046" s="45" t="str">
        <f>INDEX(overview!$B$4:$R$338,MATCH('hydrogen - electrolysis'!B6034,overview!$A$4:$A$338,0),MATCH('hydrogen - electrolysis'!A6046,overview!$B$3:$R$3,0))</f>
        <v>Pressure vessel for stationary storage</v>
      </c>
    </row>
    <row r="6047" spans="1:2" x14ac:dyDescent="0.2">
      <c r="A6047" t="s">
        <v>34</v>
      </c>
      <c r="B6047" s="45">
        <f>INDEX(overview!$B$4:$R$338,MATCH('hydrogen - electrolysis'!B6034,overview!$A$4:$A$338,0),MATCH('hydrogen - electrolysis'!A6047,overview!$B$3:$R$3,0))</f>
        <v>0</v>
      </c>
    </row>
    <row r="6048" spans="1:2" x14ac:dyDescent="0.2">
      <c r="A6048" t="s">
        <v>15</v>
      </c>
      <c r="B6048" s="45" t="str">
        <f>INDEX(overview!$B$4:$R$338,MATCH('hydrogen - electrolysis'!B6034,overview!$A$4:$A$338,0),MATCH('hydrogen - electrolysis'!A6048,overview!$B$3:$R$3,0))</f>
        <v>Electrolysis, Alkaline</v>
      </c>
    </row>
    <row r="6049" spans="1:2" x14ac:dyDescent="0.2">
      <c r="A6049" t="s">
        <v>14</v>
      </c>
      <c r="B6049" s="45" t="str">
        <f>INDEX(overview!$B$4:$R$338,MATCH('hydrogen - electrolysis'!B6034,overview!$A$4:$A$338,0),MATCH('hydrogen - electrolysis'!A6049,overview!$B$3:$R$3,0))</f>
        <v>water and electricity</v>
      </c>
    </row>
    <row r="6050" spans="1:2" x14ac:dyDescent="0.2">
      <c r="A6050" t="s">
        <v>26</v>
      </c>
      <c r="B6050" s="45" t="str">
        <f>INDEX(overview!$B$4:$R$338,MATCH('hydrogen - electrolysis'!B6034,overview!$A$4:$A$338,0),MATCH('hydrogen - electrolysis'!A6050,overview!$B$3:$R$3,0))</f>
        <v>Solar PV (DE)</v>
      </c>
    </row>
    <row r="6051" spans="1:2" x14ac:dyDescent="0.2">
      <c r="A6051" t="s">
        <v>29</v>
      </c>
      <c r="B6051" s="45">
        <f>INDEX(overview!$B$4:$R$338,MATCH('hydrogen - electrolysis'!B6034,overview!$A$4:$A$338,0),MATCH('hydrogen - electrolysis'!A6051,overview!$B$3:$R$3,0))</f>
        <v>0</v>
      </c>
    </row>
    <row r="6052" spans="1:2" x14ac:dyDescent="0.2">
      <c r="A6052" t="str">
        <f>IF(B6036="megajoule","Heat","Electricity")&amp;" conversion efficiency [% LHV input]"</f>
        <v>Heat conversion efficiency [% LHV input]</v>
      </c>
      <c r="B6052" s="46">
        <f>INDEX(parameters!$D$4:$N$20,MATCH('hydrogen - electrolysis'!B6040&amp;'hydrogen - electrolysis'!B6042,parameters!$A$4:$A$20,0),MATCH('hydrogen - electrolysis'!A6052,parameters!$D$3:$N$3,0))</f>
        <v>0.5</v>
      </c>
    </row>
    <row r="6053" spans="1:2" x14ac:dyDescent="0.2">
      <c r="A6053" t="str">
        <f>IF(B6036="megajoule","LHV [MJ/kg]","LHV [kWh/kg]")</f>
        <v>LHV [MJ/kg]</v>
      </c>
      <c r="B6053" s="47">
        <f>INDEX(parameters!$D$4:$N$20,MATCH('hydrogen - electrolysis'!B6040&amp;'hydrogen - electrolysis'!B6042,parameters!$A$4:$A$20,0),MATCH('hydrogen - electrolysis'!A6053,parameters!$D$3:$N$3,0))</f>
        <v>120</v>
      </c>
    </row>
    <row r="6054" spans="1:2" x14ac:dyDescent="0.2">
      <c r="A6054" t="s">
        <v>41</v>
      </c>
      <c r="B6054" s="48">
        <f>INDEX(parameters!$D$4:$N$20,MATCH('hydrogen - electrolysis'!B6040&amp;'hydrogen - electrolysis'!B6042,parameters!$A$4:$A$20,0),MATCH('hydrogen - electrolysis'!A6054,parameters!$D$3:$N$3,0))</f>
        <v>2.6666666666666665E-2</v>
      </c>
    </row>
    <row r="6055" spans="1:2" x14ac:dyDescent="0.2">
      <c r="A6055" t="s">
        <v>45</v>
      </c>
      <c r="B6055" s="46">
        <f>INDEX(parameters!$D$4:$N$20,MATCH('hydrogen - electrolysis'!B6040&amp;'hydrogen - electrolysis'!B6042,parameters!$A$4:$A$20,0),MATCH('hydrogen - electrolysis'!A6055,parameters!$D$3:$N$3,0))</f>
        <v>0</v>
      </c>
    </row>
    <row r="6056" spans="1:2" x14ac:dyDescent="0.2">
      <c r="A6056" t="s">
        <v>46</v>
      </c>
      <c r="B6056" s="46">
        <f>INDEX(parameters!$D$4:$N$20,MATCH('hydrogen - electrolysis'!B6040&amp;'hydrogen - electrolysis'!B6042,parameters!$A$4:$A$20,0),MATCH('hydrogen - electrolysis'!A6056,parameters!$D$3:$N$3,0))</f>
        <v>1.4999999999999999E-2</v>
      </c>
    </row>
    <row r="6057" spans="1:2" x14ac:dyDescent="0.2">
      <c r="A6057" t="s">
        <v>43</v>
      </c>
      <c r="B6057" s="46">
        <f>INDEX(parameters!$D$4:$N$20,MATCH('hydrogen - electrolysis'!B6040&amp;'hydrogen - electrolysis'!B6042,parameters!$A$4:$A$20,0),MATCH('hydrogen - electrolysis'!A6057,parameters!$D$3:$N$3,0))</f>
        <v>0</v>
      </c>
    </row>
    <row r="6058" spans="1:2" x14ac:dyDescent="0.2">
      <c r="A6058" t="s">
        <v>44</v>
      </c>
      <c r="B6058" s="46">
        <f>INDEX(parameters!$D$4:$N$20,MATCH('hydrogen - electrolysis'!B6040&amp;'hydrogen - electrolysis'!B6042,parameters!$A$4:$A$20,0),MATCH('hydrogen - electrolysis'!A6058,parameters!$D$3:$N$3,0))</f>
        <v>0</v>
      </c>
    </row>
    <row r="6059" spans="1:2" x14ac:dyDescent="0.2">
      <c r="A6059" t="s">
        <v>634</v>
      </c>
      <c r="B6059" s="51">
        <f>INDEX(parameters!$D$4:$Y$20,MATCH('hydrogen - electrolysis'!B6040&amp;'hydrogen - electrolysis'!B6042,parameters!$A$4:$A$20,0),MATCH('hydrogen - electrolysis'!A6059,parameters!$D$3:$Y$3,0))</f>
        <v>1.8947368421052633</v>
      </c>
    </row>
    <row r="6060" spans="1:2" x14ac:dyDescent="0.2">
      <c r="A6060" t="s">
        <v>82</v>
      </c>
      <c r="B6060" s="46">
        <f>IF(B6051&lt;&gt;0,VLOOKUP(B6051,parameters!A3846:B3848,2,0),0)</f>
        <v>0</v>
      </c>
    </row>
    <row r="6061" spans="1:2" x14ac:dyDescent="0.2">
      <c r="A6061" t="s">
        <v>548</v>
      </c>
      <c r="B6061" s="50">
        <f>INDEX(parameters!$D$4:$P$20,MATCH(B6040&amp;B6042,parameters!$A$4:$A$20,0),MATCH(A6061,parameters!$D$3:$P$3,0))</f>
        <v>0.8</v>
      </c>
    </row>
    <row r="6062" spans="1:2" x14ac:dyDescent="0.2">
      <c r="A6062" t="s">
        <v>547</v>
      </c>
      <c r="B6062" s="51">
        <f>INDEX(parameters!$D$4:$P$20,MATCH(B6040&amp;B6042,parameters!$A$4:$A$20,0),MATCH(A6062,parameters!$D$3:$P$3,0))</f>
        <v>4.8780487804878048</v>
      </c>
    </row>
    <row r="6063" spans="1:2" x14ac:dyDescent="0.2">
      <c r="A6063" t="s">
        <v>630</v>
      </c>
      <c r="B6063" s="51">
        <f>INDEX(parameters!$D$4:$T$20,MATCH(B6040&amp;B6042,parameters!$A$4:$A$20,0),MATCH(A6063,parameters!$D$3:$T$3,0))</f>
        <v>4100</v>
      </c>
    </row>
    <row r="6064" spans="1:2" x14ac:dyDescent="0.2">
      <c r="A6064" t="s">
        <v>1005</v>
      </c>
      <c r="B6064" s="50">
        <f>IF(B6036="megajoule",SUMIFS(allocation!$I$4:$I$30,allocation!$B$4:$B$30,B6042,allocation!$C$4:$C$30,B6043),SUMIFS(allocation!$J$4:$J$30,allocation!$B$4:$B$30,B6042,allocation!$C$4:$C$30,B6043))</f>
        <v>0.13933980798974457</v>
      </c>
    </row>
    <row r="6065" spans="1:22" x14ac:dyDescent="0.2">
      <c r="A6065" t="s">
        <v>1050</v>
      </c>
      <c r="B6065" s="51">
        <f>INDEX(parameters!$D$4:$AB$20,MATCH(B6040&amp;B6042,parameters!$A$4:$A$20,0),MATCH(A6065,parameters!$D$3:$AB$3,0))</f>
        <v>10.221606648199446</v>
      </c>
    </row>
    <row r="6067" spans="1:22" x14ac:dyDescent="0.2">
      <c r="A6067" s="3" t="s">
        <v>57</v>
      </c>
    </row>
    <row r="6068" spans="1:22" x14ac:dyDescent="0.2">
      <c r="A6068" s="2" t="s">
        <v>58</v>
      </c>
      <c r="B6068" s="44" t="s">
        <v>59</v>
      </c>
      <c r="C6068" s="2" t="s">
        <v>55</v>
      </c>
      <c r="D6068" s="2" t="s">
        <v>60</v>
      </c>
      <c r="E6068" s="2" t="s">
        <v>52</v>
      </c>
      <c r="F6068" s="2" t="s">
        <v>61</v>
      </c>
      <c r="G6068" s="2" t="s">
        <v>54</v>
      </c>
      <c r="H6068" s="2" t="s">
        <v>87</v>
      </c>
      <c r="I6068" s="2" t="s">
        <v>51</v>
      </c>
      <c r="J6068" s="2" t="s">
        <v>138</v>
      </c>
      <c r="K6068" s="2" t="s">
        <v>136</v>
      </c>
      <c r="L6068" s="2" t="s">
        <v>221</v>
      </c>
      <c r="M6068" s="2" t="s">
        <v>379</v>
      </c>
      <c r="N6068" s="2" t="s">
        <v>1059</v>
      </c>
      <c r="O6068" s="2" t="s">
        <v>1060</v>
      </c>
      <c r="P6068" s="2" t="s">
        <v>1061</v>
      </c>
      <c r="Q6068" s="2" t="s">
        <v>1062</v>
      </c>
      <c r="R6068" s="2" t="s">
        <v>1063</v>
      </c>
      <c r="S6068" s="2" t="s">
        <v>1064</v>
      </c>
      <c r="T6068" s="2" t="s">
        <v>1065</v>
      </c>
      <c r="U6068" s="2" t="s">
        <v>380</v>
      </c>
      <c r="V6068" s="2" t="s">
        <v>1128</v>
      </c>
    </row>
    <row r="6069" spans="1:22" x14ac:dyDescent="0.2">
      <c r="A6069" t="str">
        <f>B6030</f>
        <v>heat, residential, by conversion of hydrogen using fuel cell, PEM, allocated by exergy, transported by pipeline, produced by Electrolysis, Alkaline using water and electricity from Solar PV (DE)</v>
      </c>
      <c r="B6069" s="45">
        <v>1</v>
      </c>
      <c r="C6069" t="str">
        <f>B6036</f>
        <v>megajoule</v>
      </c>
      <c r="E6069" t="str">
        <f>B6033</f>
        <v>CH</v>
      </c>
      <c r="F6069" t="s">
        <v>62</v>
      </c>
      <c r="G6069" t="str">
        <f>B6035</f>
        <v>heat, from residential heating system</v>
      </c>
      <c r="K6069" t="str">
        <f>B6030</f>
        <v>heat, residential, by conversion of hydrogen using fuel cell, PEM, allocated by exergy, transported by pipeline, produced by Electrolysis, Alkaline using water and electricity from Solar PV (DE)</v>
      </c>
    </row>
    <row r="6070" spans="1:22" x14ac:dyDescent="0.2">
      <c r="A6070" t="str">
        <f>VLOOKUP(J6070,'dataset mapping'!$A$4:$E$69,2,0)</f>
        <v>fuel cell system assembly, 1 kWe, proton exchange membrane (PEM)</v>
      </c>
      <c r="B6070" s="52">
        <f>(1/(B6059*B6063*B6062*3.6))*B6064</f>
        <v>1.0213951974556892E-6</v>
      </c>
      <c r="C6070" t="str">
        <f>VLOOKUP(J6070,'dataset mapping'!$A$4:$E$69,5,0)</f>
        <v>unit</v>
      </c>
      <c r="E6070" t="str">
        <f>VLOOKUP(J6070,'dataset mapping'!$A$4:$E$69,4,0)</f>
        <v>GLO</v>
      </c>
      <c r="F6070" t="s">
        <v>86</v>
      </c>
      <c r="G6070" t="str">
        <f>VLOOKUP(J6070,'dataset mapping'!$A$4:$E$69,3,0)</f>
        <v>fuel cell system, 1 kWe, proton exchange membrane (PEM)</v>
      </c>
      <c r="H6070" t="s">
        <v>88</v>
      </c>
      <c r="I6070" t="s">
        <v>272</v>
      </c>
      <c r="J6070" t="s">
        <v>273</v>
      </c>
      <c r="K6070" t="str">
        <f>B6030</f>
        <v>heat, residential, by conversion of hydrogen using fuel cell, PEM, allocated by exergy, transported by pipeline, produced by Electrolysis, Alkaline using water and electricity from Solar PV (DE)</v>
      </c>
      <c r="L6070">
        <f>IF(OR(B6070&lt;0,B6070=0),1,2)</f>
        <v>2</v>
      </c>
      <c r="M6070">
        <f>IF(L6070=2,LN(B6070),"")</f>
        <v>-13.794341024667077</v>
      </c>
      <c r="N6070">
        <v>1</v>
      </c>
      <c r="O6070" s="15">
        <v>1.2</v>
      </c>
      <c r="P6070">
        <v>1</v>
      </c>
      <c r="Q6070">
        <v>1.01</v>
      </c>
      <c r="R6070">
        <v>1.2</v>
      </c>
      <c r="S6070">
        <v>1.2</v>
      </c>
      <c r="T6070">
        <v>3</v>
      </c>
      <c r="U6070">
        <f>LN(SQRT(EXP(
SQRT(
+POWER(LN(N6070),2)
+POWER(LN(O6070),2)
+POWER(LN(P6070),2)
+POWER(LN(Q6070),2)
+POWER(LN(R6070),2)
+POWER(LN(S6070),2)
+POWER(LN(T6070),2)
)
)))</f>
        <v>0.57157051623399524</v>
      </c>
    </row>
    <row r="6071" spans="1:22" x14ac:dyDescent="0.2">
      <c r="A6071" s="45" t="str">
        <f>"hydrogen supply, transported by "&amp;B6044&amp;", produced by "&amp;B6048&amp;" using "&amp;B6049&amp;" from "&amp;B6050</f>
        <v>hydrogen supply, transported by pipeline, produced by Electrolysis, Alkaline using water and electricity from Solar PV (DE)</v>
      </c>
      <c r="B6071" s="53">
        <f>(B6069/B6053)/B6052*B6064</f>
        <v>2.3223301331624095E-3</v>
      </c>
      <c r="C6071" t="s">
        <v>56</v>
      </c>
      <c r="E6071" t="s">
        <v>64</v>
      </c>
      <c r="F6071" t="s">
        <v>86</v>
      </c>
      <c r="G6071" t="str">
        <f>"hydrogen, gaseous, from "&amp;B6044</f>
        <v>hydrogen, gaseous, from pipeline</v>
      </c>
      <c r="H6071" t="s">
        <v>76</v>
      </c>
      <c r="I6071" t="s">
        <v>1054</v>
      </c>
      <c r="J6071" t="s">
        <v>297</v>
      </c>
      <c r="K6071" t="str">
        <f>B6030</f>
        <v>heat, residential, by conversion of hydrogen using fuel cell, PEM, allocated by exergy, transported by pipeline, produced by Electrolysis, Alkaline using water and electricity from Solar PV (DE)</v>
      </c>
      <c r="L6071">
        <f>IF(OR(B6071&lt;0,B6071=0),1,2)</f>
        <v>2</v>
      </c>
      <c r="M6071">
        <f>IF(L6071=2,LN(B6071),"")</f>
        <v>-6.0651842296013152</v>
      </c>
      <c r="N6071">
        <v>1</v>
      </c>
      <c r="O6071" s="15">
        <v>1.2</v>
      </c>
      <c r="P6071">
        <v>1</v>
      </c>
      <c r="Q6071">
        <v>1.01</v>
      </c>
      <c r="R6071">
        <v>1.2</v>
      </c>
      <c r="S6071">
        <v>1.2</v>
      </c>
      <c r="T6071">
        <v>1.05</v>
      </c>
      <c r="U6071">
        <f>LN(SQRT(EXP(
SQRT(
+POWER(LN(N6071),2)
+POWER(LN(O6071),2)
+POWER(LN(P6071),2)
+POWER(LN(Q6071),2)
+POWER(LN(R6071),2)
+POWER(LN(S6071),2)
+POWER(LN(T6071),2)
)
)))</f>
        <v>0.15984597228197622</v>
      </c>
    </row>
    <row r="6072" spans="1:22" x14ac:dyDescent="0.2">
      <c r="A6072" t="s">
        <v>134</v>
      </c>
      <c r="B6072" s="53">
        <f>B6071*9</f>
        <v>2.0900971198461685E-2</v>
      </c>
      <c r="C6072" t="s">
        <v>56</v>
      </c>
      <c r="D6072" t="s">
        <v>100</v>
      </c>
      <c r="F6072" t="s">
        <v>99</v>
      </c>
      <c r="H6072" t="s">
        <v>131</v>
      </c>
      <c r="I6072" t="s">
        <v>1057</v>
      </c>
      <c r="K6072" t="str">
        <f>B6030</f>
        <v>heat, residential, by conversion of hydrogen using fuel cell, PEM, allocated by exergy, transported by pipeline, produced by Electrolysis, Alkaline using water and electricity from Solar PV (DE)</v>
      </c>
      <c r="L6072">
        <f>IF(OR(B6072&lt;0,B6072=0),1,2)</f>
        <v>2</v>
      </c>
      <c r="M6072">
        <f>IF(L6072=2,LN(B6072),"")</f>
        <v>-3.8679596522650961</v>
      </c>
      <c r="N6072">
        <v>1</v>
      </c>
      <c r="O6072" s="15">
        <v>1.2</v>
      </c>
      <c r="P6072">
        <v>1</v>
      </c>
      <c r="Q6072">
        <v>1.01</v>
      </c>
      <c r="R6072">
        <v>1.2</v>
      </c>
      <c r="S6072">
        <v>1.2</v>
      </c>
      <c r="T6072">
        <v>1.05</v>
      </c>
      <c r="U6072">
        <f>LN(SQRT(EXP(
SQRT(
+POWER(LN(N6072),2)
+POWER(LN(O6072),2)
+POWER(LN(P6072),2)
+POWER(LN(Q6072),2)
+POWER(LN(R6072),2)
+POWER(LN(S6072),2)
+POWER(LN(T6072),2)
)
)))</f>
        <v>0.15984597228197622</v>
      </c>
    </row>
    <row r="6074" spans="1:22" x14ac:dyDescent="0.2">
      <c r="A6074" s="2" t="s">
        <v>50</v>
      </c>
      <c r="B6074" s="44" t="str">
        <f>IF(B6080="megajoule","heat","electricity")&amp;", residential, by "&amp;B6085&amp;" of "&amp;B6084&amp;" using "&amp;B6086&amp;IF(B6087&lt;&gt;0,", allocated by "&amp;B6087,"")&amp;", transported by "&amp;B6088&amp;", produced by "&amp;B6092&amp;" using "&amp;B6093&amp;" from "&amp;B6094</f>
        <v>heat, residential, by conversion of hydrogen using fuel cell, SOFC, allocated by exergy, transported by pipeline, produced by Electrolysis, Alkaline using water and electricity from Solar PV (DE)</v>
      </c>
    </row>
    <row r="6075" spans="1:22" x14ac:dyDescent="0.2">
      <c r="A6075" t="s">
        <v>51</v>
      </c>
      <c r="B6075" s="45" t="str">
        <f>"This dataset represents the supply of 1 "&amp;IF(B6080="megajoule","megajoule of heat","kilowatt hour of electricity")&amp;" in a residence, by "&amp;B6084&amp;" "&amp;B6085&amp;" in a "&amp;B6086&amp;". "&amp;" The hydrogen is transported by "&amp;B6088&amp;" over "&amp;B6089&amp;" km from regional storage. "&amp;" The "&amp;B6084&amp;" is produced by  "&amp;B6092&amp;", with "&amp;B6093&amp;" from "&amp;B6094&amp;" as feedstock. "&amp;A6096&amp;": "&amp;(B6096*100)&amp;"%. "&amp;A6097&amp;": "&amp;B6097&amp;". "&amp;A6098&amp;": "&amp;B6098&amp;". "&amp;A6099&amp;": "&amp;(B6099*100)&amp;"%. "&amp;A6100&amp;": "&amp;(B6100*100)&amp;"%. "&amp;A6101&amp;": "&amp;(B6101*100)&amp;"%. "&amp;A6102&amp;": "&amp;B6102&amp;". "&amp;A6103&amp;": "&amp;B6103&amp;". "&amp;A6104&amp;": "&amp;(B6104*100)&amp;"%. "&amp;A6105&amp;": "&amp;B6105&amp;". "&amp;A6106&amp;": "&amp;B6106&amp;". "&amp;A6107&amp;": "&amp;B6107&amp;". "&amp;A6108&amp;": "&amp;B6108&amp;".  For more information, refer to: "&amp;B6076</f>
        <v>This dataset represents the supply of 1 megajoule of heat in a residence, by hydrogen conversion in a fuel cell, SOFC.  The hydrogen is transported by pipeline over 1000 km from regional storage.  The hydrogen is produced by  Electrolysis, Alkaline,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6076" spans="1:22" x14ac:dyDescent="0.2">
      <c r="A6076" t="s">
        <v>63</v>
      </c>
      <c r="B6076" s="45" t="s">
        <v>1223</v>
      </c>
    </row>
    <row r="6077" spans="1:22" x14ac:dyDescent="0.2">
      <c r="A6077" t="s">
        <v>52</v>
      </c>
      <c r="B6077" s="45" t="s">
        <v>64</v>
      </c>
    </row>
    <row r="6078" spans="1:22" x14ac:dyDescent="0.2">
      <c r="A6078" t="s">
        <v>48</v>
      </c>
      <c r="B6078" s="45">
        <v>76</v>
      </c>
    </row>
    <row r="6079" spans="1:22" x14ac:dyDescent="0.2">
      <c r="A6079" t="s">
        <v>54</v>
      </c>
      <c r="B6079" s="45" t="str">
        <f>INDEX(overview!$B$4:$R$338,MATCH('hydrogen - electrolysis'!B6078,overview!$A$4:$A$338,0),MATCH('hydrogen - electrolysis'!A6079,overview!$B$3:$R$3,0))</f>
        <v>heat, from residential heating system</v>
      </c>
    </row>
    <row r="6080" spans="1:22" x14ac:dyDescent="0.2">
      <c r="A6080" t="s">
        <v>55</v>
      </c>
      <c r="B6080" s="45" t="str">
        <f>INDEX(overview!$B$4:$R$338,MATCH('hydrogen - electrolysis'!B6078,overview!$A$4:$A$338,0),MATCH('hydrogen - electrolysis'!A6080,overview!$B$3:$R$3,0))</f>
        <v>megajoule</v>
      </c>
    </row>
    <row r="6081" spans="1:2" x14ac:dyDescent="0.2">
      <c r="A6081" t="s">
        <v>0</v>
      </c>
      <c r="B6081" s="45" t="str">
        <f>INDEX(overview!$B$4:$R$338,MATCH('hydrogen - electrolysis'!B6078,overview!$A$4:$A$338,0),MATCH('hydrogen - electrolysis'!A6081,overview!$B$3:$R$3,0))</f>
        <v>Switzerland</v>
      </c>
    </row>
    <row r="6082" spans="1:2" x14ac:dyDescent="0.2">
      <c r="A6082" t="s">
        <v>1</v>
      </c>
      <c r="B6082" s="45">
        <f>INDEX(overview!$B$4:$R$338,MATCH('hydrogen - electrolysis'!B6078,overview!$A$4:$A$338,0),MATCH('hydrogen - electrolysis'!A6082,overview!$B$3:$R$3,0))</f>
        <v>2020</v>
      </c>
    </row>
    <row r="6083" spans="1:2" x14ac:dyDescent="0.2">
      <c r="A6083" t="s">
        <v>2</v>
      </c>
      <c r="B6083" s="45" t="str">
        <f>INDEX(overview!$B$4:$R$338,MATCH('hydrogen - electrolysis'!B6078,overview!$A$4:$A$338,0),MATCH('hydrogen - electrolysis'!A6083,overview!$B$3:$R$3,0))</f>
        <v>1 MJ heat</v>
      </c>
    </row>
    <row r="6084" spans="1:2" x14ac:dyDescent="0.2">
      <c r="A6084" t="s">
        <v>5</v>
      </c>
      <c r="B6084" s="45" t="str">
        <f>INDEX(overview!$B$4:$R$338,MATCH('hydrogen - electrolysis'!B6078,overview!$A$4:$A$338,0),MATCH('hydrogen - electrolysis'!A6084,overview!$B$3:$R$3,0))</f>
        <v>hydrogen</v>
      </c>
    </row>
    <row r="6085" spans="1:2" x14ac:dyDescent="0.2">
      <c r="A6085" t="s">
        <v>3</v>
      </c>
      <c r="B6085" s="45" t="str">
        <f>INDEX(overview!$B$4:$R$338,MATCH('hydrogen - electrolysis'!B6078,overview!$A$4:$A$338,0),MATCH('hydrogen - electrolysis'!A6085,overview!$B$3:$R$3,0))</f>
        <v>conversion</v>
      </c>
    </row>
    <row r="6086" spans="1:2" x14ac:dyDescent="0.2">
      <c r="A6086" t="s">
        <v>6</v>
      </c>
      <c r="B6086" s="45" t="str">
        <f>INDEX(overview!$B$4:$R$338,MATCH('hydrogen - electrolysis'!B6078,overview!$A$4:$A$338,0),MATCH('hydrogen - electrolysis'!A6086,overview!$B$3:$R$3,0))</f>
        <v>fuel cell, SOFC</v>
      </c>
    </row>
    <row r="6087" spans="1:2" x14ac:dyDescent="0.2">
      <c r="A6087" t="s">
        <v>39</v>
      </c>
      <c r="B6087" s="45" t="str">
        <f>INDEX(overview!$B$4:$R$338,MATCH('hydrogen - electrolysis'!B6078,overview!$A$4:$A$338,0),MATCH('hydrogen - electrolysis'!A6087,overview!$B$3:$R$3,0))</f>
        <v>exergy</v>
      </c>
    </row>
    <row r="6088" spans="1:2" x14ac:dyDescent="0.2">
      <c r="A6088" t="s">
        <v>4</v>
      </c>
      <c r="B6088" s="45" t="str">
        <f>INDEX(overview!$B$4:$R$338,MATCH('hydrogen - electrolysis'!B6078,overview!$A$4:$A$338,0),MATCH('hydrogen - electrolysis'!A6088,overview!$B$3:$R$3,0))</f>
        <v>pipeline</v>
      </c>
    </row>
    <row r="6089" spans="1:2" x14ac:dyDescent="0.2">
      <c r="A6089" t="s">
        <v>38</v>
      </c>
      <c r="B6089" s="45">
        <f>INDEX(overview!$B$4:$R$338,MATCH('hydrogen - electrolysis'!B6078,overview!$A$4:$A$338,0),MATCH('hydrogen - electrolysis'!A6089,overview!$B$3:$R$3,0))</f>
        <v>1000</v>
      </c>
    </row>
    <row r="6090" spans="1:2" x14ac:dyDescent="0.2">
      <c r="A6090" t="s">
        <v>12</v>
      </c>
      <c r="B6090" s="45" t="str">
        <f>INDEX(overview!$B$4:$R$338,MATCH('hydrogen - electrolysis'!B6078,overview!$A$4:$A$338,0),MATCH('hydrogen - electrolysis'!A6090,overview!$B$3:$R$3,0))</f>
        <v>Pressure vessel for stationary storage</v>
      </c>
    </row>
    <row r="6091" spans="1:2" x14ac:dyDescent="0.2">
      <c r="A6091" t="s">
        <v>34</v>
      </c>
      <c r="B6091" s="45">
        <f>INDEX(overview!$B$4:$R$338,MATCH('hydrogen - electrolysis'!B6078,overview!$A$4:$A$338,0),MATCH('hydrogen - electrolysis'!A6091,overview!$B$3:$R$3,0))</f>
        <v>0</v>
      </c>
    </row>
    <row r="6092" spans="1:2" x14ac:dyDescent="0.2">
      <c r="A6092" t="s">
        <v>15</v>
      </c>
      <c r="B6092" s="45" t="str">
        <f>INDEX(overview!$B$4:$R$338,MATCH('hydrogen - electrolysis'!B6078,overview!$A$4:$A$338,0),MATCH('hydrogen - electrolysis'!A6092,overview!$B$3:$R$3,0))</f>
        <v>Electrolysis, Alkaline</v>
      </c>
    </row>
    <row r="6093" spans="1:2" x14ac:dyDescent="0.2">
      <c r="A6093" t="s">
        <v>14</v>
      </c>
      <c r="B6093" s="45" t="str">
        <f>INDEX(overview!$B$4:$R$338,MATCH('hydrogen - electrolysis'!B6078,overview!$A$4:$A$338,0),MATCH('hydrogen - electrolysis'!A6093,overview!$B$3:$R$3,0))</f>
        <v>water and electricity</v>
      </c>
    </row>
    <row r="6094" spans="1:2" x14ac:dyDescent="0.2">
      <c r="A6094" t="s">
        <v>26</v>
      </c>
      <c r="B6094" s="45" t="str">
        <f>INDEX(overview!$B$4:$R$338,MATCH('hydrogen - electrolysis'!B6078,overview!$A$4:$A$338,0),MATCH('hydrogen - electrolysis'!A6094,overview!$B$3:$R$3,0))</f>
        <v>Solar PV (DE)</v>
      </c>
    </row>
    <row r="6095" spans="1:2" x14ac:dyDescent="0.2">
      <c r="A6095" t="s">
        <v>29</v>
      </c>
      <c r="B6095" s="45">
        <f>INDEX(overview!$B$4:$R$338,MATCH('hydrogen - electrolysis'!B6078,overview!$A$4:$A$338,0),MATCH('hydrogen - electrolysis'!A6095,overview!$B$3:$R$3,0))</f>
        <v>0</v>
      </c>
    </row>
    <row r="6096" spans="1:2" x14ac:dyDescent="0.2">
      <c r="A6096" t="str">
        <f>IF(B6080="megajoule","Heat","Electricity")&amp;" conversion efficiency [% LHV input]"</f>
        <v>Heat conversion efficiency [% LHV input]</v>
      </c>
      <c r="B6096" s="46">
        <f>INDEX(parameters!$D$4:$N$20,MATCH('hydrogen - electrolysis'!B6084&amp;'hydrogen - electrolysis'!B6086,parameters!$A$4:$A$20,0),MATCH('hydrogen - electrolysis'!A6096,parameters!$D$3:$N$3,0))</f>
        <v>0.53</v>
      </c>
    </row>
    <row r="6097" spans="1:22" x14ac:dyDescent="0.2">
      <c r="A6097" t="str">
        <f>IF(B6080="megajoule","LHV [MJ/kg]","LHV [kWh/kg]")</f>
        <v>LHV [MJ/kg]</v>
      </c>
      <c r="B6097" s="47">
        <f>INDEX(parameters!$D$4:$N$20,MATCH('hydrogen - electrolysis'!B6084&amp;'hydrogen - electrolysis'!B6086,parameters!$A$4:$A$20,0),MATCH('hydrogen - electrolysis'!A6097,parameters!$D$3:$N$3,0))</f>
        <v>120</v>
      </c>
    </row>
    <row r="6098" spans="1:22" x14ac:dyDescent="0.2">
      <c r="A6098" t="s">
        <v>41</v>
      </c>
      <c r="B6098" s="48">
        <f>INDEX(parameters!$D$4:$N$20,MATCH('hydrogen - electrolysis'!B6084&amp;'hydrogen - electrolysis'!B6086,parameters!$A$4:$A$20,0),MATCH('hydrogen - electrolysis'!A6098,parameters!$D$3:$N$3,0))</f>
        <v>2.6666666666666665E-2</v>
      </c>
    </row>
    <row r="6099" spans="1:22" x14ac:dyDescent="0.2">
      <c r="A6099" t="s">
        <v>45</v>
      </c>
      <c r="B6099" s="46">
        <f>INDEX(parameters!$D$4:$N$20,MATCH('hydrogen - electrolysis'!B6084&amp;'hydrogen - electrolysis'!B6086,parameters!$A$4:$A$20,0),MATCH('hydrogen - electrolysis'!A6099,parameters!$D$3:$N$3,0))</f>
        <v>0</v>
      </c>
    </row>
    <row r="6100" spans="1:22" x14ac:dyDescent="0.2">
      <c r="A6100" t="s">
        <v>46</v>
      </c>
      <c r="B6100" s="46">
        <f>INDEX(parameters!$D$4:$N$20,MATCH('hydrogen - electrolysis'!B6084&amp;'hydrogen - electrolysis'!B6086,parameters!$A$4:$A$20,0),MATCH('hydrogen - electrolysis'!A6100,parameters!$D$3:$N$3,0))</f>
        <v>1.4999999999999999E-2</v>
      </c>
    </row>
    <row r="6101" spans="1:22" x14ac:dyDescent="0.2">
      <c r="A6101" t="s">
        <v>43</v>
      </c>
      <c r="B6101" s="46">
        <f>INDEX(parameters!$D$4:$N$20,MATCH('hydrogen - electrolysis'!B6084&amp;'hydrogen - electrolysis'!B6086,parameters!$A$4:$A$20,0),MATCH('hydrogen - electrolysis'!A6101,parameters!$D$3:$N$3,0))</f>
        <v>0</v>
      </c>
    </row>
    <row r="6102" spans="1:22" x14ac:dyDescent="0.2">
      <c r="A6102" t="s">
        <v>44</v>
      </c>
      <c r="B6102" s="46">
        <f>INDEX(parameters!$D$4:$N$20,MATCH('hydrogen - electrolysis'!B6084&amp;'hydrogen - electrolysis'!B6086,parameters!$A$4:$A$20,0),MATCH('hydrogen - electrolysis'!A6102,parameters!$D$3:$N$3,0))</f>
        <v>0</v>
      </c>
    </row>
    <row r="6103" spans="1:22" x14ac:dyDescent="0.2">
      <c r="A6103" t="s">
        <v>634</v>
      </c>
      <c r="B6103" s="51">
        <f>INDEX(parameters!$D$4:$Y$20,MATCH('hydrogen - electrolysis'!B6084&amp;'hydrogen - electrolysis'!B6086,parameters!$A$4:$A$20,0),MATCH('hydrogen - electrolysis'!A6103,parameters!$D$3:$Y$3,0))</f>
        <v>225</v>
      </c>
      <c r="D6103" s="8"/>
    </row>
    <row r="6104" spans="1:22" x14ac:dyDescent="0.2">
      <c r="A6104" t="s">
        <v>82</v>
      </c>
      <c r="B6104" s="46">
        <f>IF(B6095&lt;&gt;0,VLOOKUP(B6095,parameters!A3895:B3897,2,0),0)</f>
        <v>0</v>
      </c>
    </row>
    <row r="6105" spans="1:22" x14ac:dyDescent="0.2">
      <c r="A6105" t="s">
        <v>548</v>
      </c>
      <c r="B6105" s="50">
        <f>INDEX(parameters!$D$4:$P$20,MATCH(B6084&amp;B6086,parameters!$A$4:$A$20,0),MATCH(A6105,parameters!$D$3:$P$3,0))</f>
        <v>100</v>
      </c>
    </row>
    <row r="6106" spans="1:22" x14ac:dyDescent="0.2">
      <c r="A6106" t="s">
        <v>547</v>
      </c>
      <c r="B6106" s="51">
        <f>INDEX(parameters!$D$4:$P$20,MATCH(B6084&amp;B6086,parameters!$A$4:$A$20,0),MATCH(A6106,parameters!$D$3:$P$3,0))</f>
        <v>6</v>
      </c>
    </row>
    <row r="6107" spans="1:22" x14ac:dyDescent="0.2">
      <c r="A6107" t="s">
        <v>630</v>
      </c>
      <c r="B6107" s="51">
        <f>INDEX(parameters!$D$4:$T$20,MATCH(B6084&amp;B6086,parameters!$A$4:$A$20,0),MATCH(A6107,parameters!$D$3:$T$3,0))</f>
        <v>4100</v>
      </c>
    </row>
    <row r="6108" spans="1:22" x14ac:dyDescent="0.2">
      <c r="A6108" t="s">
        <v>1005</v>
      </c>
      <c r="B6108" s="50">
        <f>IF(B6080="megajoule",SUMIFS(allocation!$I$4:$I$30,allocation!$B$4:$B$30,B6086,allocation!$C$4:$C$30,B6087),SUMIFS(allocation!$J$4:$J$30,allocation!$B$4:$B$30,B6086,allocation!$C$4:$C$30,B6087))</f>
        <v>0.13587506510399097</v>
      </c>
    </row>
    <row r="6109" spans="1:22" x14ac:dyDescent="0.2">
      <c r="A6109" t="s">
        <v>1050</v>
      </c>
      <c r="B6109" s="51">
        <f>INDEX(parameters!$D$4:$AB$20,MATCH(B6084&amp;B6086,parameters!$A$4:$A$20,0),MATCH(A6109,parameters!$D$3:$AB$3,0))</f>
        <v>1153.1249999999998</v>
      </c>
    </row>
    <row r="6111" spans="1:22" x14ac:dyDescent="0.2">
      <c r="A6111" s="3" t="s">
        <v>57</v>
      </c>
    </row>
    <row r="6112" spans="1:22" x14ac:dyDescent="0.2">
      <c r="A6112" s="2" t="s">
        <v>58</v>
      </c>
      <c r="B6112" s="44" t="s">
        <v>59</v>
      </c>
      <c r="C6112" s="2" t="s">
        <v>55</v>
      </c>
      <c r="D6112" s="2" t="s">
        <v>60</v>
      </c>
      <c r="E6112" s="2" t="s">
        <v>52</v>
      </c>
      <c r="F6112" s="2" t="s">
        <v>61</v>
      </c>
      <c r="G6112" s="2" t="s">
        <v>54</v>
      </c>
      <c r="H6112" s="2" t="s">
        <v>87</v>
      </c>
      <c r="I6112" s="2" t="s">
        <v>51</v>
      </c>
      <c r="J6112" s="2" t="s">
        <v>138</v>
      </c>
      <c r="K6112" s="2" t="s">
        <v>136</v>
      </c>
      <c r="L6112" s="2" t="s">
        <v>221</v>
      </c>
      <c r="M6112" s="2" t="s">
        <v>379</v>
      </c>
      <c r="N6112" s="2" t="s">
        <v>1059</v>
      </c>
      <c r="O6112" s="2" t="s">
        <v>1060</v>
      </c>
      <c r="P6112" s="2" t="s">
        <v>1061</v>
      </c>
      <c r="Q6112" s="2" t="s">
        <v>1062</v>
      </c>
      <c r="R6112" s="2" t="s">
        <v>1063</v>
      </c>
      <c r="S6112" s="2" t="s">
        <v>1064</v>
      </c>
      <c r="T6112" s="2" t="s">
        <v>1065</v>
      </c>
      <c r="U6112" s="2" t="s">
        <v>380</v>
      </c>
      <c r="V6112" s="2" t="s">
        <v>1128</v>
      </c>
    </row>
    <row r="6113" spans="1:21" x14ac:dyDescent="0.2">
      <c r="A6113" t="str">
        <f>B6074</f>
        <v>heat, residential, by conversion of hydrogen using fuel cell, SOFC, allocated by exergy, transported by pipeline, produced by Electrolysis, Alkaline using water and electricity from Solar PV (DE)</v>
      </c>
      <c r="B6113" s="45">
        <v>1</v>
      </c>
      <c r="C6113" t="str">
        <f>B6080</f>
        <v>megajoule</v>
      </c>
      <c r="E6113" t="str">
        <f>B6077</f>
        <v>CH</v>
      </c>
      <c r="F6113" t="s">
        <v>62</v>
      </c>
      <c r="G6113" t="str">
        <f>B6079</f>
        <v>heat, from residential heating system</v>
      </c>
      <c r="K6113" t="str">
        <f>B6074</f>
        <v>heat, residential, by conversion of hydrogen using fuel cell, SOFC, allocated by exergy, transported by pipeline, produced by Electrolysis, Alkaline using water and electricity from Solar PV (DE)</v>
      </c>
    </row>
    <row r="6114" spans="1:21" x14ac:dyDescent="0.2">
      <c r="A6114" t="str">
        <f>VLOOKUP(J6114,'dataset mapping'!$A$4:$E$69,2,0)</f>
        <v>fuel cell production, stack solid oxide, 125kW electrical, future</v>
      </c>
      <c r="B6114" s="52">
        <f>(1/(B6103*B6107*B6106*3.6))*B6108</f>
        <v>6.8189834941278219E-9</v>
      </c>
      <c r="C6114" t="str">
        <f>VLOOKUP(J6114,'dataset mapping'!$A$4:$E$69,5,0)</f>
        <v>unit</v>
      </c>
      <c r="E6114" t="str">
        <f>VLOOKUP(J6114,'dataset mapping'!$A$4:$E$69,4,0)</f>
        <v>CH</v>
      </c>
      <c r="F6114" t="s">
        <v>86</v>
      </c>
      <c r="G6114" t="str">
        <f>VLOOKUP(J6114,'dataset mapping'!$A$4:$E$69,3,0)</f>
        <v>fuel cell, stack solid oxide, 125kW electrical, future</v>
      </c>
      <c r="H6114" t="s">
        <v>88</v>
      </c>
      <c r="I6114" t="s">
        <v>277</v>
      </c>
      <c r="J6114" t="s">
        <v>274</v>
      </c>
      <c r="K6114" t="str">
        <f>B6074</f>
        <v>heat, residential, by conversion of hydrogen using fuel cell, SOFC, allocated by exergy, transported by pipeline, produced by Electrolysis, Alkaline using water and electricity from Solar PV (DE)</v>
      </c>
      <c r="L6114">
        <f>IF(OR(B6114&lt;0,B6114=0),1,2)</f>
        <v>2</v>
      </c>
      <c r="M6114">
        <f>IF(L6114=2,LN(B6114),"")</f>
        <v>-18.80355542398161</v>
      </c>
      <c r="N6114">
        <v>1</v>
      </c>
      <c r="O6114" s="15">
        <v>1.2</v>
      </c>
      <c r="P6114">
        <v>1</v>
      </c>
      <c r="Q6114">
        <v>1.01</v>
      </c>
      <c r="R6114">
        <v>1.2</v>
      </c>
      <c r="S6114">
        <v>1.2</v>
      </c>
      <c r="T6114">
        <v>3</v>
      </c>
      <c r="U6114">
        <f>LN(SQRT(EXP(
SQRT(
+POWER(LN(N6114),2)
+POWER(LN(O6114),2)
+POWER(LN(P6114),2)
+POWER(LN(Q6114),2)
+POWER(LN(R6114),2)
+POWER(LN(S6114),2)
+POWER(LN(T6114),2)
)
)))</f>
        <v>0.57157051623399524</v>
      </c>
    </row>
    <row r="6115" spans="1:21" x14ac:dyDescent="0.2">
      <c r="A6115" t="s">
        <v>283</v>
      </c>
      <c r="B6115" s="52">
        <f>(1/(B6103*B6107*B6106*3.6))*B6108</f>
        <v>6.8189834941278219E-9</v>
      </c>
      <c r="C6115" t="s">
        <v>55</v>
      </c>
      <c r="E6115" t="s">
        <v>64</v>
      </c>
      <c r="F6115" t="s">
        <v>86</v>
      </c>
      <c r="G6115" t="s">
        <v>284</v>
      </c>
      <c r="H6115" t="s">
        <v>88</v>
      </c>
      <c r="I6115" t="s">
        <v>277</v>
      </c>
      <c r="K6115" t="str">
        <f>B6074</f>
        <v>heat, residential, by conversion of hydrogen using fuel cell, SOFC, allocated by exergy, transported by pipeline, produced by Electrolysis, Alkaline using water and electricity from Solar PV (DE)</v>
      </c>
      <c r="L6115">
        <f>IF(OR(B6115&lt;0,B6115=0),1,2)</f>
        <v>2</v>
      </c>
      <c r="M6115">
        <f>IF(L6115=2,LN(B6115),"")</f>
        <v>-18.80355542398161</v>
      </c>
      <c r="N6115">
        <v>1</v>
      </c>
      <c r="O6115" s="15">
        <v>1.2</v>
      </c>
      <c r="P6115">
        <v>1</v>
      </c>
      <c r="Q6115">
        <v>1.01</v>
      </c>
      <c r="R6115">
        <v>1.2</v>
      </c>
      <c r="S6115">
        <v>1.2</v>
      </c>
      <c r="T6115">
        <v>3</v>
      </c>
      <c r="U6115">
        <f>LN(SQRT(EXP(
SQRT(
+POWER(LN(N6115),2)
+POWER(LN(O6115),2)
+POWER(LN(P6115),2)
+POWER(LN(Q6115),2)
+POWER(LN(R6115),2)
+POWER(LN(S6115),2)
+POWER(LN(T6115),2)
)
)))</f>
        <v>0.57157051623399524</v>
      </c>
    </row>
    <row r="6116" spans="1:21" x14ac:dyDescent="0.2">
      <c r="A6116" t="s">
        <v>288</v>
      </c>
      <c r="B6116" s="52">
        <f>0.000024*B6108</f>
        <v>3.2610015624957834E-6</v>
      </c>
      <c r="C6116" t="s">
        <v>56</v>
      </c>
      <c r="E6116" t="s">
        <v>64</v>
      </c>
      <c r="F6116" t="s">
        <v>86</v>
      </c>
      <c r="G6116" t="s">
        <v>287</v>
      </c>
      <c r="H6116" t="s">
        <v>88</v>
      </c>
      <c r="K6116" t="str">
        <f>B6074</f>
        <v>heat, residential, by conversion of hydrogen using fuel cell, SOFC, allocated by exergy, transported by pipeline, produced by Electrolysis, Alkaline using water and electricity from Solar PV (DE)</v>
      </c>
      <c r="L6116">
        <f>IF(OR(B6116&lt;0,B6116=0),1,2)</f>
        <v>2</v>
      </c>
      <c r="M6116">
        <f>IF(L6116=2,LN(B6116),"")</f>
        <v>-12.633476182011</v>
      </c>
      <c r="N6116">
        <v>1</v>
      </c>
      <c r="O6116" s="15">
        <v>1.2</v>
      </c>
      <c r="P6116">
        <v>1</v>
      </c>
      <c r="Q6116">
        <v>1.01</v>
      </c>
      <c r="R6116">
        <v>1.2</v>
      </c>
      <c r="S6116">
        <v>1.2</v>
      </c>
      <c r="T6116">
        <v>1.05</v>
      </c>
      <c r="U6116">
        <f>LN(SQRT(EXP(
SQRT(
+POWER(LN(N6116),2)
+POWER(LN(O6116),2)
+POWER(LN(P6116),2)
+POWER(LN(Q6116),2)
+POWER(LN(R6116),2)
+POWER(LN(S6116),2)
+POWER(LN(T6116),2)
)
)))</f>
        <v>0.15984597228197622</v>
      </c>
    </row>
    <row r="6117" spans="1:21" x14ac:dyDescent="0.2">
      <c r="A6117" s="45" t="str">
        <f>"hydrogen supply, transported by "&amp;B6088&amp;", produced by "&amp;B6092&amp;" using "&amp;B6093&amp;" from "&amp;B6094</f>
        <v>hydrogen supply, transported by pipeline, produced by Electrolysis, Alkaline using water and electricity from Solar PV (DE)</v>
      </c>
      <c r="B6117" s="53">
        <f>(B6113/B6097)/B6096*B6108</f>
        <v>2.1364003947168392E-3</v>
      </c>
      <c r="C6117" t="s">
        <v>56</v>
      </c>
      <c r="E6117" t="s">
        <v>64</v>
      </c>
      <c r="F6117" t="s">
        <v>86</v>
      </c>
      <c r="G6117" t="str">
        <f>"hydrogen, gaseous, from "&amp;B6088</f>
        <v>hydrogen, gaseous, from pipeline</v>
      </c>
      <c r="H6117" t="s">
        <v>76</v>
      </c>
      <c r="I6117" t="s">
        <v>1054</v>
      </c>
      <c r="J6117" t="s">
        <v>297</v>
      </c>
      <c r="K6117" t="str">
        <f>B6074</f>
        <v>heat, residential, by conversion of hydrogen using fuel cell, SOFC, allocated by exergy, transported by pipeline, produced by Electrolysis, Alkaline using water and electricity from Solar PV (DE)</v>
      </c>
      <c r="L6117">
        <f>IF(OR(B6117&lt;0,B6117=0),1,2)</f>
        <v>2</v>
      </c>
      <c r="M6117">
        <f>IF(L6117=2,LN(B6117),"")</f>
        <v>-6.1486329247407472</v>
      </c>
      <c r="N6117">
        <v>1</v>
      </c>
      <c r="O6117" s="15">
        <v>1.2</v>
      </c>
      <c r="P6117">
        <v>1</v>
      </c>
      <c r="Q6117">
        <v>1.01</v>
      </c>
      <c r="R6117">
        <v>1.2</v>
      </c>
      <c r="S6117">
        <v>1.2</v>
      </c>
      <c r="T6117">
        <v>1.05</v>
      </c>
      <c r="U6117">
        <f>LN(SQRT(EXP(
SQRT(
+POWER(LN(N6117),2)
+POWER(LN(O6117),2)
+POWER(LN(P6117),2)
+POWER(LN(Q6117),2)
+POWER(LN(R6117),2)
+POWER(LN(S6117),2)
+POWER(LN(T6117),2)
)
)))</f>
        <v>0.15984597228197622</v>
      </c>
    </row>
    <row r="6118" spans="1:21" x14ac:dyDescent="0.2">
      <c r="A6118" t="s">
        <v>134</v>
      </c>
      <c r="B6118" s="45">
        <f>B6117*9</f>
        <v>1.9227603552451553E-2</v>
      </c>
      <c r="C6118" t="s">
        <v>56</v>
      </c>
      <c r="D6118" t="s">
        <v>100</v>
      </c>
      <c r="F6118" t="s">
        <v>99</v>
      </c>
      <c r="H6118" t="s">
        <v>131</v>
      </c>
      <c r="I6118" t="s">
        <v>1057</v>
      </c>
      <c r="K6118" t="str">
        <f>B6074</f>
        <v>heat, residential, by conversion of hydrogen using fuel cell, SOFC, allocated by exergy, transported by pipeline, produced by Electrolysis, Alkaline using water and electricity from Solar PV (DE)</v>
      </c>
      <c r="L6118">
        <f>IF(OR(B6118&lt;0,B6118=0),1,2)</f>
        <v>2</v>
      </c>
      <c r="M6118">
        <f>IF(L6118=2,LN(B6118),"")</f>
        <v>-3.9514083474045276</v>
      </c>
      <c r="N6118">
        <v>1</v>
      </c>
      <c r="O6118" s="15">
        <v>1.2</v>
      </c>
      <c r="P6118">
        <v>1</v>
      </c>
      <c r="Q6118">
        <v>1.01</v>
      </c>
      <c r="R6118">
        <v>1.2</v>
      </c>
      <c r="S6118">
        <v>1.2</v>
      </c>
      <c r="T6118">
        <v>1.05</v>
      </c>
      <c r="U6118">
        <f>LN(SQRT(EXP(
SQRT(
+POWER(LN(N6118),2)
+POWER(LN(O6118),2)
+POWER(LN(P6118),2)
+POWER(LN(Q6118),2)
+POWER(LN(R6118),2)
+POWER(LN(S6118),2)
+POWER(LN(T6118),2)
)
)))</f>
        <v>0.15984597228197622</v>
      </c>
    </row>
    <row r="6120" spans="1:21" x14ac:dyDescent="0.2">
      <c r="A6120" s="2" t="s">
        <v>50</v>
      </c>
      <c r="B6120" s="44" t="str">
        <f>IF(B6126="megajoule","heat","electricity")&amp;", residential, by "&amp;B6131&amp;" of "&amp;B6130&amp;" using "&amp;B6132&amp;IF(B6133&lt;&gt;0,", allocated by "&amp;B6133,"")&amp;", transported by "&amp;B6134&amp;", produced by "&amp;B6138&amp;" using "&amp;B6139&amp;" from "&amp;B6140</f>
        <v>electricity, residential, by combustion of hydrogen using CHP, allocated by exergy, transported by pipeline, produced by Electrolysis, Alkaline using water and electricity from Solar PV (DE)</v>
      </c>
    </row>
    <row r="6121" spans="1:21" x14ac:dyDescent="0.2">
      <c r="A6121" t="s">
        <v>51</v>
      </c>
      <c r="B6121" s="45" t="str">
        <f>"This dataset represents the supply of 1 "&amp;IF(B6126="megajoule","megajoule of heat","kilowatt hour of electricity")&amp;" in a residence, by "&amp;B6130&amp;" "&amp;B6131&amp;" in a "&amp;B6132&amp;". "&amp;" The hydrogen is transported by "&amp;B6134&amp;" over "&amp;B6135&amp;" km from regional storage. "&amp;" The "&amp;B6130&amp;" is produced by  "&amp;B6138&amp;", with "&amp;B6139&amp;" from "&amp;B6140&amp;" as feedstock. "&amp;A6142&amp;": "&amp;(B6142*100)&amp;"%. "&amp;A6143&amp;": "&amp;B6143&amp;". "&amp;A6144&amp;": "&amp;B6144&amp;". "&amp;A6145&amp;": "&amp;(B6145*100)&amp;"%. "&amp;A6146&amp;": "&amp;(B6146*100)&amp;"%. "&amp;A6147&amp;": "&amp;(B6147*100)&amp;"%. "&amp;A6148&amp;": "&amp;B6148&amp;". "&amp;A6149&amp;": "&amp;B6149&amp;". "&amp;A6150&amp;": "&amp;(B6150*100)&amp;"%. "&amp;A6151&amp;": "&amp;B6151&amp;". "&amp;A6152&amp;": "&amp;B6152&amp;". "&amp;A6153&amp;": "&amp;B6153&amp;". "&amp;A6154&amp;": "&amp;B6154&amp;".  For more information, refer to: "&amp;B6122</f>
        <v>This dataset represents the supply of 1 kilowatt hour of electricity in a residence, by hydrogen combustion in a CHP.  The hydrogen is transported by pipeline over 1000 km from regional storage.  The hydrogen is produced by  Electrolysis, Alkaline,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6122" spans="1:21" x14ac:dyDescent="0.2">
      <c r="A6122" t="s">
        <v>63</v>
      </c>
      <c r="B6122" s="45" t="s">
        <v>1223</v>
      </c>
    </row>
    <row r="6123" spans="1:21" x14ac:dyDescent="0.2">
      <c r="A6123" t="s">
        <v>52</v>
      </c>
      <c r="B6123" s="45" t="s">
        <v>64</v>
      </c>
    </row>
    <row r="6124" spans="1:21" x14ac:dyDescent="0.2">
      <c r="A6124" t="s">
        <v>48</v>
      </c>
      <c r="B6124" s="45" t="s">
        <v>919</v>
      </c>
    </row>
    <row r="6125" spans="1:21" x14ac:dyDescent="0.2">
      <c r="A6125" t="s">
        <v>54</v>
      </c>
      <c r="B6125" s="45" t="str">
        <f>INDEX(overview!$B$4:$R$338,MATCH('hydrogen - electrolysis'!B6124,overview!$A$4:$A$338,0),MATCH('hydrogen - electrolysis'!A6125,overview!$B$3:$R$3,0))</f>
        <v>electricity, from residential heating system</v>
      </c>
    </row>
    <row r="6126" spans="1:21" x14ac:dyDescent="0.2">
      <c r="A6126" t="s">
        <v>55</v>
      </c>
      <c r="B6126" s="45" t="str">
        <f>INDEX(overview!$B$4:$R$338,MATCH('hydrogen - electrolysis'!B6124,overview!$A$4:$A$338,0),MATCH('hydrogen - electrolysis'!A6126,overview!$B$3:$R$3,0))</f>
        <v>kilowatt hour</v>
      </c>
    </row>
    <row r="6127" spans="1:21" x14ac:dyDescent="0.2">
      <c r="A6127" t="s">
        <v>0</v>
      </c>
      <c r="B6127" s="45" t="str">
        <f>INDEX(overview!$B$4:$R$338,MATCH('hydrogen - electrolysis'!B6124,overview!$A$4:$A$338,0),MATCH('hydrogen - electrolysis'!A6127,overview!$B$3:$R$3,0))</f>
        <v>Switzerland</v>
      </c>
    </row>
    <row r="6128" spans="1:21" x14ac:dyDescent="0.2">
      <c r="A6128" t="s">
        <v>1</v>
      </c>
      <c r="B6128" s="45">
        <f>INDEX(overview!$B$4:$R$338,MATCH('hydrogen - electrolysis'!B6124,overview!$A$4:$A$338,0),MATCH('hydrogen - electrolysis'!A6128,overview!$B$3:$R$3,0))</f>
        <v>2020</v>
      </c>
    </row>
    <row r="6129" spans="1:2" x14ac:dyDescent="0.2">
      <c r="A6129" t="s">
        <v>2</v>
      </c>
      <c r="B6129" s="45" t="str">
        <f>INDEX(overview!$B$4:$R$338,MATCH('hydrogen - electrolysis'!B6124,overview!$A$4:$A$338,0),MATCH('hydrogen - electrolysis'!A6129,overview!$B$3:$R$3,0))</f>
        <v>1 kWh electricity</v>
      </c>
    </row>
    <row r="6130" spans="1:2" x14ac:dyDescent="0.2">
      <c r="A6130" t="s">
        <v>5</v>
      </c>
      <c r="B6130" s="45" t="str">
        <f>INDEX(overview!$B$4:$R$338,MATCH('hydrogen - electrolysis'!B6124,overview!$A$4:$A$338,0),MATCH('hydrogen - electrolysis'!A6130,overview!$B$3:$R$3,0))</f>
        <v>hydrogen</v>
      </c>
    </row>
    <row r="6131" spans="1:2" x14ac:dyDescent="0.2">
      <c r="A6131" t="s">
        <v>3</v>
      </c>
      <c r="B6131" s="45" t="str">
        <f>INDEX(overview!$B$4:$R$338,MATCH('hydrogen - electrolysis'!B6124,overview!$A$4:$A$338,0),MATCH('hydrogen - electrolysis'!A6131,overview!$B$3:$R$3,0))</f>
        <v>combustion</v>
      </c>
    </row>
    <row r="6132" spans="1:2" x14ac:dyDescent="0.2">
      <c r="A6132" t="s">
        <v>6</v>
      </c>
      <c r="B6132" s="45" t="str">
        <f>INDEX(overview!$B$4:$R$338,MATCH('hydrogen - electrolysis'!B6124,overview!$A$4:$A$338,0),MATCH('hydrogen - electrolysis'!A6132,overview!$B$3:$R$3,0))</f>
        <v>CHP</v>
      </c>
    </row>
    <row r="6133" spans="1:2" x14ac:dyDescent="0.2">
      <c r="A6133" t="s">
        <v>39</v>
      </c>
      <c r="B6133" s="45" t="str">
        <f>INDEX(overview!$B$4:$R$338,MATCH('hydrogen - electrolysis'!B6124,overview!$A$4:$A$338,0),MATCH('hydrogen - electrolysis'!A6133,overview!$B$3:$R$3,0))</f>
        <v>exergy</v>
      </c>
    </row>
    <row r="6134" spans="1:2" x14ac:dyDescent="0.2">
      <c r="A6134" t="s">
        <v>4</v>
      </c>
      <c r="B6134" s="45" t="str">
        <f>INDEX(overview!$B$4:$R$338,MATCH('hydrogen - electrolysis'!B6124,overview!$A$4:$A$338,0),MATCH('hydrogen - electrolysis'!A6134,overview!$B$3:$R$3,0))</f>
        <v>pipeline</v>
      </c>
    </row>
    <row r="6135" spans="1:2" x14ac:dyDescent="0.2">
      <c r="A6135" t="s">
        <v>38</v>
      </c>
      <c r="B6135" s="45">
        <f>INDEX(overview!$B$4:$R$338,MATCH('hydrogen - electrolysis'!B6124,overview!$A$4:$A$338,0),MATCH('hydrogen - electrolysis'!A6135,overview!$B$3:$R$3,0))</f>
        <v>1000</v>
      </c>
    </row>
    <row r="6136" spans="1:2" x14ac:dyDescent="0.2">
      <c r="A6136" t="s">
        <v>12</v>
      </c>
      <c r="B6136" s="45" t="str">
        <f>INDEX(overview!$B$4:$R$338,MATCH('hydrogen - electrolysis'!B6124,overview!$A$4:$A$338,0),MATCH('hydrogen - electrolysis'!A6136,overview!$B$3:$R$3,0))</f>
        <v>Pressure vessel for stationary storage</v>
      </c>
    </row>
    <row r="6137" spans="1:2" x14ac:dyDescent="0.2">
      <c r="A6137" t="s">
        <v>34</v>
      </c>
      <c r="B6137" s="45">
        <f>INDEX(overview!$B$4:$R$338,MATCH('hydrogen - electrolysis'!B6124,overview!$A$4:$A$338,0),MATCH('hydrogen - electrolysis'!A6137,overview!$B$3:$R$3,0))</f>
        <v>0</v>
      </c>
    </row>
    <row r="6138" spans="1:2" x14ac:dyDescent="0.2">
      <c r="A6138" t="s">
        <v>15</v>
      </c>
      <c r="B6138" s="45" t="str">
        <f>INDEX(overview!$B$4:$R$338,MATCH('hydrogen - electrolysis'!B6124,overview!$A$4:$A$338,0),MATCH('hydrogen - electrolysis'!A6138,overview!$B$3:$R$3,0))</f>
        <v>Electrolysis, Alkaline</v>
      </c>
    </row>
    <row r="6139" spans="1:2" x14ac:dyDescent="0.2">
      <c r="A6139" t="s">
        <v>14</v>
      </c>
      <c r="B6139" s="45" t="str">
        <f>INDEX(overview!$B$4:$R$338,MATCH('hydrogen - electrolysis'!B6124,overview!$A$4:$A$338,0),MATCH('hydrogen - electrolysis'!A6139,overview!$B$3:$R$3,0))</f>
        <v>water and electricity</v>
      </c>
    </row>
    <row r="6140" spans="1:2" x14ac:dyDescent="0.2">
      <c r="A6140" t="s">
        <v>26</v>
      </c>
      <c r="B6140" s="45" t="str">
        <f>INDEX(overview!$B$4:$R$338,MATCH('hydrogen - electrolysis'!B6124,overview!$A$4:$A$338,0),MATCH('hydrogen - electrolysis'!A6140,overview!$B$3:$R$3,0))</f>
        <v>Solar PV (DE)</v>
      </c>
    </row>
    <row r="6141" spans="1:2" x14ac:dyDescent="0.2">
      <c r="A6141" t="s">
        <v>29</v>
      </c>
      <c r="B6141" s="45">
        <f>INDEX(overview!$B$4:$R$338,MATCH('hydrogen - electrolysis'!B6124,overview!$A$4:$A$338,0),MATCH('hydrogen - electrolysis'!A6141,overview!$B$3:$R$3,0))</f>
        <v>0</v>
      </c>
    </row>
    <row r="6142" spans="1:2" x14ac:dyDescent="0.2">
      <c r="A6142" t="str">
        <f>IF(B6126="megajoule","Heat","Electricity")&amp;" conversion efficiency [% LHV input]"</f>
        <v>Electricity conversion efficiency [% LHV input]</v>
      </c>
      <c r="B6142" s="46">
        <f>INDEX(parameters!$D$4:$N$20,MATCH('hydrogen - electrolysis'!B6130&amp;'hydrogen - electrolysis'!B6132,parameters!$A$4:$A$20,0),MATCH('hydrogen - electrolysis'!A6142,parameters!$D$3:$N$3,0))</f>
        <v>0.39400000000000002</v>
      </c>
    </row>
    <row r="6143" spans="1:2" x14ac:dyDescent="0.2">
      <c r="A6143" t="str">
        <f>IF(B6126="megajoule","LHV [MJ/kg]","LHV [kWh/kg]")</f>
        <v>LHV [kWh/kg]</v>
      </c>
      <c r="B6143" s="47">
        <f>INDEX(parameters!$D$4:$N$20,MATCH('hydrogen - electrolysis'!B6130&amp;'hydrogen - electrolysis'!B6132,parameters!$A$4:$A$20,0),MATCH('hydrogen - electrolysis'!A6143,parameters!$D$3:$N$3,0))</f>
        <v>33.333333333333336</v>
      </c>
    </row>
    <row r="6144" spans="1:2" x14ac:dyDescent="0.2">
      <c r="A6144" t="s">
        <v>41</v>
      </c>
      <c r="B6144" s="48">
        <f>INDEX(parameters!$D$4:$N$20,MATCH('hydrogen - electrolysis'!B6130&amp;'hydrogen - electrolysis'!B6132,parameters!$A$4:$A$20,0),MATCH('hydrogen - electrolysis'!A6144,parameters!$D$3:$N$3,0))</f>
        <v>2.6666666666666665E-2</v>
      </c>
    </row>
    <row r="6145" spans="1:22" x14ac:dyDescent="0.2">
      <c r="A6145" t="s">
        <v>45</v>
      </c>
      <c r="B6145" s="46">
        <f>INDEX(parameters!$D$4:$N$20,MATCH('hydrogen - electrolysis'!B6130&amp;'hydrogen - electrolysis'!B6132,parameters!$A$4:$A$20,0),MATCH('hydrogen - electrolysis'!A6145,parameters!$D$3:$N$3,0))</f>
        <v>0</v>
      </c>
    </row>
    <row r="6146" spans="1:22" x14ac:dyDescent="0.2">
      <c r="A6146" t="s">
        <v>46</v>
      </c>
      <c r="B6146" s="46">
        <f>INDEX(parameters!$D$4:$N$20,MATCH('hydrogen - electrolysis'!B6130&amp;'hydrogen - electrolysis'!B6132,parameters!$A$4:$A$20,0),MATCH('hydrogen - electrolysis'!A6146,parameters!$D$3:$N$3,0))</f>
        <v>1.4999999999999999E-2</v>
      </c>
    </row>
    <row r="6147" spans="1:22" x14ac:dyDescent="0.2">
      <c r="A6147" t="s">
        <v>43</v>
      </c>
      <c r="B6147" s="46">
        <f>INDEX(parameters!$D$4:$N$20,MATCH('hydrogen - electrolysis'!B6130&amp;'hydrogen - electrolysis'!B6132,parameters!$A$4:$A$20,0),MATCH('hydrogen - electrolysis'!A6147,parameters!$D$3:$N$3,0))</f>
        <v>0</v>
      </c>
    </row>
    <row r="6148" spans="1:22" x14ac:dyDescent="0.2">
      <c r="A6148" t="s">
        <v>44</v>
      </c>
      <c r="B6148" s="46">
        <f>INDEX(parameters!$D$4:$N$20,MATCH('hydrogen - electrolysis'!B6130&amp;'hydrogen - electrolysis'!B6132,parameters!$A$4:$A$20,0),MATCH('hydrogen - electrolysis'!A6148,parameters!$D$3:$N$3,0))</f>
        <v>0</v>
      </c>
    </row>
    <row r="6149" spans="1:22" x14ac:dyDescent="0.2">
      <c r="A6149" t="s">
        <v>634</v>
      </c>
      <c r="B6149" s="51">
        <f>INDEX(parameters!$D$4:$Y$20,MATCH('hydrogen - electrolysis'!B6130&amp;'hydrogen - electrolysis'!B6132,parameters!$A$4:$A$20,0),MATCH('hydrogen - electrolysis'!A6149,parameters!$D$3:$Y$3,0))</f>
        <v>351.41800246609125</v>
      </c>
    </row>
    <row r="6150" spans="1:22" x14ac:dyDescent="0.2">
      <c r="A6150" t="s">
        <v>82</v>
      </c>
      <c r="B6150" s="46">
        <f>IF(B6141&lt;&gt;0,VLOOKUP(B6141,parameters!A3947:B3949,2,0),0)</f>
        <v>0</v>
      </c>
    </row>
    <row r="6151" spans="1:22" x14ac:dyDescent="0.2">
      <c r="A6151" t="s">
        <v>548</v>
      </c>
      <c r="B6151" s="50">
        <f>INDEX(parameters!$D$4:$P$20,MATCH(B6130&amp;B6132,parameters!$A$4:$A$20,0),MATCH(A6151,parameters!$D$3:$P$3,0))</f>
        <v>125</v>
      </c>
    </row>
    <row r="6152" spans="1:22" x14ac:dyDescent="0.2">
      <c r="A6152" t="s">
        <v>547</v>
      </c>
      <c r="B6152" s="51">
        <f>INDEX(parameters!$D$4:$P$20,MATCH(B6130&amp;B6132,parameters!$A$4:$A$20,0),MATCH(A6152,parameters!$D$3:$P$3,0))</f>
        <v>19.512195121951219</v>
      </c>
    </row>
    <row r="6153" spans="1:22" x14ac:dyDescent="0.2">
      <c r="A6153" t="s">
        <v>630</v>
      </c>
      <c r="B6153" s="51">
        <f>INDEX(parameters!$D$4:$T$20,MATCH(B6130&amp;B6132,parameters!$A$4:$A$20,0),MATCH(A6153,parameters!$D$3:$T$3,0))</f>
        <v>4100</v>
      </c>
    </row>
    <row r="6154" spans="1:22" x14ac:dyDescent="0.2">
      <c r="A6154" t="s">
        <v>1005</v>
      </c>
      <c r="B6154" s="50">
        <f>IF(B6126="megajoule",SUMIFS(allocation!$I$4:$I$30,allocation!$B$4:$B$30,B6132,allocation!$C$4:$C$30,B6133),SUMIFS(allocation!$J$4:$J$30,allocation!$B$4:$B$30,B6132,allocation!$C$4:$C$30,B6133))</f>
        <v>0.87139957772704957</v>
      </c>
    </row>
    <row r="6155" spans="1:22" x14ac:dyDescent="0.2">
      <c r="A6155" t="s">
        <v>1050</v>
      </c>
      <c r="B6155" s="51">
        <f>INDEX(parameters!$D$4:$AB$20,MATCH(B6130&amp;B6132,parameters!$A$4:$A$20,0),MATCH(A6155,parameters!$D$3:$AB$3,0))</f>
        <v>2220.7364520822662</v>
      </c>
    </row>
    <row r="6157" spans="1:22" x14ac:dyDescent="0.2">
      <c r="A6157" s="3" t="s">
        <v>57</v>
      </c>
    </row>
    <row r="6158" spans="1:22" x14ac:dyDescent="0.2">
      <c r="A6158" s="2" t="s">
        <v>58</v>
      </c>
      <c r="B6158" s="44" t="s">
        <v>59</v>
      </c>
      <c r="C6158" s="2" t="s">
        <v>55</v>
      </c>
      <c r="D6158" s="2" t="s">
        <v>60</v>
      </c>
      <c r="E6158" s="2" t="s">
        <v>52</v>
      </c>
      <c r="F6158" s="2" t="s">
        <v>61</v>
      </c>
      <c r="G6158" s="2" t="s">
        <v>54</v>
      </c>
      <c r="H6158" s="2" t="s">
        <v>87</v>
      </c>
      <c r="I6158" s="2" t="s">
        <v>51</v>
      </c>
      <c r="J6158" s="2" t="s">
        <v>138</v>
      </c>
      <c r="K6158" s="2" t="s">
        <v>136</v>
      </c>
      <c r="L6158" s="2" t="s">
        <v>221</v>
      </c>
      <c r="M6158" s="2" t="s">
        <v>379</v>
      </c>
      <c r="N6158" s="2" t="s">
        <v>1059</v>
      </c>
      <c r="O6158" s="2" t="s">
        <v>1060</v>
      </c>
      <c r="P6158" s="2" t="s">
        <v>1061</v>
      </c>
      <c r="Q6158" s="2" t="s">
        <v>1062</v>
      </c>
      <c r="R6158" s="2" t="s">
        <v>1063</v>
      </c>
      <c r="S6158" s="2" t="s">
        <v>1064</v>
      </c>
      <c r="T6158" s="2" t="s">
        <v>1065</v>
      </c>
      <c r="U6158" s="2" t="s">
        <v>380</v>
      </c>
      <c r="V6158" s="2" t="s">
        <v>1128</v>
      </c>
    </row>
    <row r="6159" spans="1:22" x14ac:dyDescent="0.2">
      <c r="A6159" t="str">
        <f>B6120</f>
        <v>electricity, residential, by combustion of hydrogen using CHP, allocated by exergy, transported by pipeline, produced by Electrolysis, Alkaline using water and electricity from Solar PV (DE)</v>
      </c>
      <c r="B6159" s="45">
        <v>1</v>
      </c>
      <c r="C6159" t="str">
        <f>B6126</f>
        <v>kilowatt hour</v>
      </c>
      <c r="E6159" t="str">
        <f>B6123</f>
        <v>CH</v>
      </c>
      <c r="F6159" t="s">
        <v>62</v>
      </c>
      <c r="G6159" t="str">
        <f>B6125</f>
        <v>electricity, from residential heating system</v>
      </c>
      <c r="K6159" t="str">
        <f>B6120</f>
        <v>electricity, residential, by combustion of hydrogen using CHP, allocated by exergy, transported by pipeline, produced by Electrolysis, Alkaline using water and electricity from Solar PV (DE)</v>
      </c>
    </row>
    <row r="6160" spans="1:22" x14ac:dyDescent="0.2">
      <c r="A6160" t="str">
        <f>VLOOKUP(J6160,'dataset mapping'!$A$4:$E$69,2,0)</f>
        <v>heat and power co-generation unit construction, 160kW electrical, common components for heat+electricity</v>
      </c>
      <c r="B6160" s="52">
        <f>(1/(B6149*B6153*B6152))*B6154</f>
        <v>3.0995835856870056E-8</v>
      </c>
      <c r="C6160" t="str">
        <f>VLOOKUP(J6160,'dataset mapping'!$A$4:$E$69,5,0)</f>
        <v>unit</v>
      </c>
      <c r="E6160" t="str">
        <f>VLOOKUP(J6160,'dataset mapping'!$A$4:$E$69,4,0)</f>
        <v>RER</v>
      </c>
      <c r="F6160" t="s">
        <v>86</v>
      </c>
      <c r="G6160" t="str">
        <f>VLOOKUP(J6160,'dataset mapping'!$A$4:$E$69,3,0)</f>
        <v>heat and power co-generation unit, 160kW electrical, common components for heat+electricity</v>
      </c>
      <c r="H6160" t="s">
        <v>88</v>
      </c>
      <c r="J6160" t="s">
        <v>145</v>
      </c>
      <c r="K6160" t="str">
        <f>B6120</f>
        <v>electricity, residential, by combustion of hydrogen using CHP, allocated by exergy, transported by pipeline, produced by Electrolysis, Alkaline using water and electricity from Solar PV (DE)</v>
      </c>
      <c r="L6160">
        <f t="shared" ref="L6160:L6167" si="232">IF(OR(B6160&lt;0,B6160=0),1,2)</f>
        <v>2</v>
      </c>
      <c r="M6160">
        <f t="shared" ref="M6160:M6167" si="233">IF(L6160=2,LN(B6160),"")</f>
        <v>-17.28941296868171</v>
      </c>
      <c r="N6160">
        <v>1.05</v>
      </c>
      <c r="O6160" s="15">
        <v>1.2</v>
      </c>
      <c r="P6160">
        <v>1</v>
      </c>
      <c r="Q6160">
        <v>1.01</v>
      </c>
      <c r="R6160">
        <v>1.2</v>
      </c>
      <c r="S6160">
        <v>1.2</v>
      </c>
      <c r="T6160">
        <v>3</v>
      </c>
      <c r="U6160">
        <f t="shared" ref="U6160:U6167" si="234">LN(SQRT(EXP(
SQRT(
+POWER(LN(N6160),2)
+POWER(LN(O6160),2)
+POWER(LN(P6160),2)
+POWER(LN(Q6160),2)
+POWER(LN(R6160),2)
+POWER(LN(S6160),2)
+POWER(LN(T6160),2)
)
)))</f>
        <v>0.57209088006881903</v>
      </c>
    </row>
    <row r="6161" spans="1:22" x14ac:dyDescent="0.2">
      <c r="A6161" t="str">
        <f>VLOOKUP(J6161,'dataset mapping'!$A$4:$E$69,2,0)</f>
        <v>heat and power co-generation unit construction, 160kW electrical, components for electricity only</v>
      </c>
      <c r="B6161" s="52">
        <f>(1/(B6149*B6153*B6152))*B6154</f>
        <v>3.0995835856870056E-8</v>
      </c>
      <c r="C6161" t="str">
        <f>VLOOKUP(J6161,'dataset mapping'!$A$4:$E$69,5,0)</f>
        <v>unit</v>
      </c>
      <c r="E6161" t="str">
        <f>VLOOKUP(J6161,'dataset mapping'!$A$4:$E$69,4,0)</f>
        <v>RER</v>
      </c>
      <c r="F6161" t="s">
        <v>86</v>
      </c>
      <c r="G6161" t="str">
        <f>VLOOKUP(J6161,'dataset mapping'!$A$4:$E$69,3,0)</f>
        <v>heat and power co-generation unit, 160kW electrical, components for electricity only</v>
      </c>
      <c r="H6161" t="s">
        <v>88</v>
      </c>
      <c r="J6161" t="s">
        <v>146</v>
      </c>
      <c r="K6161" t="str">
        <f>B6120</f>
        <v>electricity, residential, by combustion of hydrogen using CHP, allocated by exergy, transported by pipeline, produced by Electrolysis, Alkaline using water and electricity from Solar PV (DE)</v>
      </c>
      <c r="L6161">
        <f t="shared" si="232"/>
        <v>2</v>
      </c>
      <c r="M6161">
        <f t="shared" si="233"/>
        <v>-17.28941296868171</v>
      </c>
      <c r="N6161">
        <v>1.05</v>
      </c>
      <c r="O6161" s="15">
        <v>1.2</v>
      </c>
      <c r="P6161">
        <v>1</v>
      </c>
      <c r="Q6161">
        <v>1.01</v>
      </c>
      <c r="R6161">
        <v>1.2</v>
      </c>
      <c r="S6161">
        <v>1.2</v>
      </c>
      <c r="T6161">
        <v>3</v>
      </c>
      <c r="U6161">
        <f t="shared" si="234"/>
        <v>0.57209088006881903</v>
      </c>
    </row>
    <row r="6162" spans="1:22" x14ac:dyDescent="0.2">
      <c r="A6162" t="str">
        <f>VLOOKUP(J6162,'dataset mapping'!$A$4:$E$69,2,0)</f>
        <v>heat and power co-generation unit construction, 160kW electrical, components for heat only</v>
      </c>
      <c r="B6162" s="52">
        <f>(1/(B6149*B6153*B6152))*B6154</f>
        <v>3.0995835856870056E-8</v>
      </c>
      <c r="C6162" t="str">
        <f>VLOOKUP(J6162,'dataset mapping'!$A$4:$E$69,5,0)</f>
        <v>unit</v>
      </c>
      <c r="E6162" t="str">
        <f>VLOOKUP(J6162,'dataset mapping'!$A$4:$E$69,4,0)</f>
        <v>RER</v>
      </c>
      <c r="F6162" t="s">
        <v>86</v>
      </c>
      <c r="G6162" t="str">
        <f>VLOOKUP(J6162,'dataset mapping'!$A$4:$E$69,3,0)</f>
        <v>heat and power co-generation unit, 160kW electrical, components for heat only</v>
      </c>
      <c r="H6162" t="s">
        <v>88</v>
      </c>
      <c r="J6162" t="s">
        <v>147</v>
      </c>
      <c r="K6162" t="str">
        <f>B6120</f>
        <v>electricity, residential, by combustion of hydrogen using CHP, allocated by exergy, transported by pipeline, produced by Electrolysis, Alkaline using water and electricity from Solar PV (DE)</v>
      </c>
      <c r="L6162">
        <f t="shared" si="232"/>
        <v>2</v>
      </c>
      <c r="M6162">
        <f t="shared" si="233"/>
        <v>-17.28941296868171</v>
      </c>
      <c r="N6162">
        <v>1.05</v>
      </c>
      <c r="O6162" s="15">
        <v>1.2</v>
      </c>
      <c r="P6162">
        <v>1</v>
      </c>
      <c r="Q6162">
        <v>1.01</v>
      </c>
      <c r="R6162">
        <v>1.2</v>
      </c>
      <c r="S6162">
        <v>1.2</v>
      </c>
      <c r="T6162">
        <v>3</v>
      </c>
      <c r="U6162">
        <f t="shared" si="234"/>
        <v>0.57209088006881903</v>
      </c>
    </row>
    <row r="6163" spans="1:22" x14ac:dyDescent="0.2">
      <c r="A6163" t="s">
        <v>156</v>
      </c>
      <c r="B6163" s="52">
        <f>0.00000011366*B6154</f>
        <v>9.9043276004456456E-8</v>
      </c>
      <c r="C6163" t="s">
        <v>56</v>
      </c>
      <c r="E6163" t="s">
        <v>90</v>
      </c>
      <c r="F6163" t="s">
        <v>86</v>
      </c>
      <c r="G6163" t="s">
        <v>154</v>
      </c>
      <c r="H6163" t="s">
        <v>155</v>
      </c>
      <c r="K6163" t="str">
        <f>B6120</f>
        <v>electricity, residential, by combustion of hydrogen using CHP, allocated by exergy, transported by pipeline, produced by Electrolysis, Alkaline using water and electricity from Solar PV (DE)</v>
      </c>
      <c r="L6163">
        <f t="shared" si="232"/>
        <v>2</v>
      </c>
      <c r="M6163">
        <f t="shared" si="233"/>
        <v>-16.127708950967754</v>
      </c>
      <c r="N6163">
        <v>1.05</v>
      </c>
      <c r="O6163" s="15">
        <v>1.2</v>
      </c>
      <c r="P6163">
        <v>1</v>
      </c>
      <c r="Q6163">
        <v>1.01</v>
      </c>
      <c r="R6163">
        <v>1.2</v>
      </c>
      <c r="S6163">
        <v>1.2</v>
      </c>
      <c r="T6163">
        <v>1.05</v>
      </c>
      <c r="U6163">
        <f t="shared" si="234"/>
        <v>0.16169679924070957</v>
      </c>
    </row>
    <row r="6164" spans="1:22" x14ac:dyDescent="0.2">
      <c r="A6164" t="s">
        <v>157</v>
      </c>
      <c r="B6164" s="52">
        <f>0.00000011366*B6154*-1</f>
        <v>-9.9043276004456456E-8</v>
      </c>
      <c r="C6164" t="s">
        <v>56</v>
      </c>
      <c r="E6164" t="s">
        <v>64</v>
      </c>
      <c r="F6164" t="s">
        <v>86</v>
      </c>
      <c r="G6164" t="s">
        <v>158</v>
      </c>
      <c r="H6164" t="s">
        <v>155</v>
      </c>
      <c r="K6164" t="str">
        <f>B6120</f>
        <v>electricity, residential, by combustion of hydrogen using CHP, allocated by exergy, transported by pipeline, produced by Electrolysis, Alkaline using water and electricity from Solar PV (DE)</v>
      </c>
      <c r="L6164">
        <v>2</v>
      </c>
      <c r="M6164">
        <f>IF(L6164=2,LN(B6164*-1),"")</f>
        <v>-16.127708950967754</v>
      </c>
      <c r="N6164">
        <v>1.05</v>
      </c>
      <c r="O6164" s="15">
        <v>1.2</v>
      </c>
      <c r="P6164">
        <v>1</v>
      </c>
      <c r="Q6164">
        <v>1.01</v>
      </c>
      <c r="R6164">
        <v>1.2</v>
      </c>
      <c r="S6164">
        <v>1.2</v>
      </c>
      <c r="T6164">
        <v>3</v>
      </c>
      <c r="U6164">
        <f>LN(SQRT(EXP(
SQRT(
+POWER(LN(N6164),2)
+POWER(LN(O6164),2)
+POWER(LN(P6164),2)
+POWER(LN(Q6164),2)
+POWER(LN(R6164),2)
+POWER(LN(S6164),2)
+POWER(LN(T6164),2)
)
)))</f>
        <v>0.57209088006881903</v>
      </c>
      <c r="V6164" t="b">
        <v>1</v>
      </c>
    </row>
    <row r="6165" spans="1:22" x14ac:dyDescent="0.2">
      <c r="A6165" s="45" t="str">
        <f>"hydrogen supply, transported by "&amp;B6134&amp;", produced by "&amp;B6138&amp;" using "&amp;B6139&amp;" from "&amp;B6140</f>
        <v>hydrogen supply, transported by pipeline, produced by Electrolysis, Alkaline using water and electricity from Solar PV (DE)</v>
      </c>
      <c r="B6165" s="53">
        <f>(B6159/B6143)/B6142*B6154</f>
        <v>6.6350221654343872E-2</v>
      </c>
      <c r="C6165" t="s">
        <v>56</v>
      </c>
      <c r="E6165" t="s">
        <v>64</v>
      </c>
      <c r="F6165" t="s">
        <v>86</v>
      </c>
      <c r="G6165" t="str">
        <f>"hydrogen, gaseous, from "&amp;B6134</f>
        <v>hydrogen, gaseous, from pipeline</v>
      </c>
      <c r="H6165" t="s">
        <v>76</v>
      </c>
      <c r="I6165" t="s">
        <v>1054</v>
      </c>
      <c r="J6165" t="s">
        <v>297</v>
      </c>
      <c r="K6165" t="str">
        <f>B6120</f>
        <v>electricity, residential, by combustion of hydrogen using CHP, allocated by exergy, transported by pipeline, produced by Electrolysis, Alkaline using water and electricity from Solar PV (DE)</v>
      </c>
      <c r="L6165">
        <f t="shared" si="232"/>
        <v>2</v>
      </c>
      <c r="M6165">
        <f t="shared" si="233"/>
        <v>-2.7128081775260964</v>
      </c>
      <c r="N6165">
        <v>1.05</v>
      </c>
      <c r="O6165" s="15">
        <v>1.2</v>
      </c>
      <c r="P6165">
        <v>1</v>
      </c>
      <c r="Q6165">
        <v>1.01</v>
      </c>
      <c r="R6165">
        <v>1.2</v>
      </c>
      <c r="S6165">
        <v>1.2</v>
      </c>
      <c r="T6165">
        <v>1.05</v>
      </c>
      <c r="U6165">
        <f t="shared" si="234"/>
        <v>0.16169679924070957</v>
      </c>
    </row>
    <row r="6166" spans="1:22" x14ac:dyDescent="0.2">
      <c r="A6166" t="s">
        <v>134</v>
      </c>
      <c r="B6166" s="45">
        <f>B6165*9</f>
        <v>0.59715199488909487</v>
      </c>
      <c r="C6166" t="s">
        <v>56</v>
      </c>
      <c r="D6166" t="s">
        <v>100</v>
      </c>
      <c r="F6166" t="s">
        <v>99</v>
      </c>
      <c r="H6166" t="s">
        <v>131</v>
      </c>
      <c r="I6166" t="s">
        <v>1058</v>
      </c>
      <c r="K6166" t="str">
        <f>B6120</f>
        <v>electricity, residential, by combustion of hydrogen using CHP, allocated by exergy, transported by pipeline, produced by Electrolysis, Alkaline using water and electricity from Solar PV (DE)</v>
      </c>
      <c r="L6166">
        <f t="shared" si="232"/>
        <v>2</v>
      </c>
      <c r="M6166">
        <f t="shared" si="233"/>
        <v>-0.51558360018987692</v>
      </c>
      <c r="N6166">
        <v>1.05</v>
      </c>
      <c r="O6166" s="15">
        <v>1.2</v>
      </c>
      <c r="P6166">
        <v>1</v>
      </c>
      <c r="Q6166">
        <v>1.01</v>
      </c>
      <c r="R6166">
        <v>1.2</v>
      </c>
      <c r="S6166">
        <v>1.2</v>
      </c>
      <c r="T6166">
        <v>1.05</v>
      </c>
      <c r="U6166">
        <f t="shared" si="234"/>
        <v>0.16169679924070957</v>
      </c>
    </row>
    <row r="6167" spans="1:22" x14ac:dyDescent="0.2">
      <c r="A6167" t="s">
        <v>135</v>
      </c>
      <c r="B6167" s="45">
        <f>912.5/1000000*B6165</f>
        <v>6.0544577259588785E-5</v>
      </c>
      <c r="C6167" t="s">
        <v>56</v>
      </c>
      <c r="D6167" t="s">
        <v>100</v>
      </c>
      <c r="F6167" t="s">
        <v>99</v>
      </c>
      <c r="H6167" t="s">
        <v>131</v>
      </c>
      <c r="I6167" t="s">
        <v>1217</v>
      </c>
      <c r="K6167" t="str">
        <f>B6120</f>
        <v>electricity, residential, by combustion of hydrogen using CHP, allocated by exergy, transported by pipeline, produced by Electrolysis, Alkaline using water and electricity from Solar PV (DE)</v>
      </c>
      <c r="L6167">
        <f t="shared" si="232"/>
        <v>2</v>
      </c>
      <c r="M6167">
        <f t="shared" si="233"/>
        <v>-9.712130650033723</v>
      </c>
      <c r="N6167">
        <v>1.05</v>
      </c>
      <c r="O6167" s="15">
        <v>1.2</v>
      </c>
      <c r="P6167">
        <v>1</v>
      </c>
      <c r="Q6167">
        <v>1.01</v>
      </c>
      <c r="R6167">
        <v>1.2</v>
      </c>
      <c r="S6167">
        <v>1.2</v>
      </c>
      <c r="T6167">
        <v>1.5</v>
      </c>
      <c r="U6167">
        <f t="shared" si="234"/>
        <v>0.25816898211842121</v>
      </c>
    </row>
    <row r="6169" spans="1:22" x14ac:dyDescent="0.2">
      <c r="A6169" s="2" t="s">
        <v>50</v>
      </c>
      <c r="B6169" s="44" t="str">
        <f>IF(B6175="megajoule","heat","electricity")&amp;", residential, by "&amp;B6180&amp;" of "&amp;B6179&amp;" using "&amp;B6181&amp;IF(B6182&lt;&gt;0,", allocated by "&amp;B6182,"")&amp;", transported by "&amp;B6183&amp;", produced by "&amp;B6187&amp;" using "&amp;B6188&amp;" from "&amp;B6189</f>
        <v>electricity, residential, by conversion of hydrogen using fuel cell, PEM, allocated by exergy, transported by pipeline, produced by Electrolysis, Alkaline using water and electricity from Solar PV (DE)</v>
      </c>
    </row>
    <row r="6170" spans="1:22" x14ac:dyDescent="0.2">
      <c r="A6170" t="s">
        <v>51</v>
      </c>
      <c r="B6170" s="45" t="str">
        <f>"This dataset represents the supply of 1 "&amp;IF(B6175="megajoule","megajoule of heat","kilowatt hour of electricity")&amp;" in a residence, by "&amp;B6179&amp;" "&amp;B6180&amp;" in a "&amp;B6181&amp;". "&amp;" The hydrogen is transported by "&amp;B6183&amp;" over "&amp;B6184&amp;" km from regional storage. "&amp;" The "&amp;B6179&amp;" is produced by  "&amp;B6187&amp;", with "&amp;B6188&amp;" from "&amp;B6189&amp;" as feedstock. "&amp;A6191&amp;": "&amp;(B6191*100)&amp;"%. "&amp;A6192&amp;": "&amp;B6192&amp;". "&amp;A6193&amp;": "&amp;B6193&amp;". "&amp;A6194&amp;": "&amp;(B6194*100)&amp;"%. "&amp;A6195&amp;": "&amp;(B6195*100)&amp;"%. "&amp;A6196&amp;": "&amp;(B6196*100)&amp;"%. "&amp;A6197&amp;": "&amp;B6197&amp;". "&amp;A6198&amp;": "&amp;B6198&amp;". "&amp;A6199&amp;": "&amp;(B6199*100)&amp;"%. "&amp;A6200&amp;": "&amp;B6200&amp;". "&amp;A6201&amp;": "&amp;B6201&amp;". "&amp;A6202&amp;": "&amp;B6202&amp;". "&amp;A6203&amp;": "&amp;B6203&amp;".  For more information, refer to: "&amp;B6171</f>
        <v>This dataset represents the supply of 1 kilowatt hour of electricity in a residence, by hydrogen conversion in a fuel cell, PEM.  The hydrogen is transported by pipeline over 1000 km from regional storage.  The hydrogen is produced by  Electrolysis, Alkaline,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6171" spans="1:22" x14ac:dyDescent="0.2">
      <c r="A6171" t="s">
        <v>63</v>
      </c>
      <c r="B6171" s="45" t="s">
        <v>1223</v>
      </c>
    </row>
    <row r="6172" spans="1:22" x14ac:dyDescent="0.2">
      <c r="A6172" t="s">
        <v>52</v>
      </c>
      <c r="B6172" s="45" t="s">
        <v>64</v>
      </c>
    </row>
    <row r="6173" spans="1:22" x14ac:dyDescent="0.2">
      <c r="A6173" t="s">
        <v>48</v>
      </c>
      <c r="B6173" s="45" t="s">
        <v>920</v>
      </c>
    </row>
    <row r="6174" spans="1:22" x14ac:dyDescent="0.2">
      <c r="A6174" t="s">
        <v>54</v>
      </c>
      <c r="B6174" s="45" t="str">
        <f>INDEX(overview!$B$4:$R$338,MATCH('hydrogen - electrolysis'!B6173,overview!$A$4:$A$338,0),MATCH('hydrogen - electrolysis'!A6174,overview!$B$3:$R$3,0))</f>
        <v>electricity, from residential heating system</v>
      </c>
    </row>
    <row r="6175" spans="1:22" x14ac:dyDescent="0.2">
      <c r="A6175" t="s">
        <v>55</v>
      </c>
      <c r="B6175" s="45" t="str">
        <f>INDEX(overview!$B$4:$R$338,MATCH('hydrogen - electrolysis'!B6173,overview!$A$4:$A$338,0),MATCH('hydrogen - electrolysis'!A6175,overview!$B$3:$R$3,0))</f>
        <v>kilowatt hour</v>
      </c>
    </row>
    <row r="6176" spans="1:22" x14ac:dyDescent="0.2">
      <c r="A6176" t="s">
        <v>0</v>
      </c>
      <c r="B6176" s="45" t="str">
        <f>INDEX(overview!$B$4:$R$338,MATCH('hydrogen - electrolysis'!B6173,overview!$A$4:$A$338,0),MATCH('hydrogen - electrolysis'!A6176,overview!$B$3:$R$3,0))</f>
        <v>Switzerland</v>
      </c>
    </row>
    <row r="6177" spans="1:2" x14ac:dyDescent="0.2">
      <c r="A6177" t="s">
        <v>1</v>
      </c>
      <c r="B6177" s="45">
        <f>INDEX(overview!$B$4:$R$338,MATCH('hydrogen - electrolysis'!B6173,overview!$A$4:$A$338,0),MATCH('hydrogen - electrolysis'!A6177,overview!$B$3:$R$3,0))</f>
        <v>2020</v>
      </c>
    </row>
    <row r="6178" spans="1:2" x14ac:dyDescent="0.2">
      <c r="A6178" t="s">
        <v>2</v>
      </c>
      <c r="B6178" s="45" t="str">
        <f>INDEX(overview!$B$4:$R$338,MATCH('hydrogen - electrolysis'!B6173,overview!$A$4:$A$338,0),MATCH('hydrogen - electrolysis'!A6178,overview!$B$3:$R$3,0))</f>
        <v>1 kWh electricity</v>
      </c>
    </row>
    <row r="6179" spans="1:2" x14ac:dyDescent="0.2">
      <c r="A6179" t="s">
        <v>5</v>
      </c>
      <c r="B6179" s="45" t="str">
        <f>INDEX(overview!$B$4:$R$338,MATCH('hydrogen - electrolysis'!B6173,overview!$A$4:$A$338,0),MATCH('hydrogen - electrolysis'!A6179,overview!$B$3:$R$3,0))</f>
        <v>hydrogen</v>
      </c>
    </row>
    <row r="6180" spans="1:2" x14ac:dyDescent="0.2">
      <c r="A6180" t="s">
        <v>3</v>
      </c>
      <c r="B6180" s="45" t="str">
        <f>INDEX(overview!$B$4:$R$338,MATCH('hydrogen - electrolysis'!B6173,overview!$A$4:$A$338,0),MATCH('hydrogen - electrolysis'!A6180,overview!$B$3:$R$3,0))</f>
        <v>conversion</v>
      </c>
    </row>
    <row r="6181" spans="1:2" x14ac:dyDescent="0.2">
      <c r="A6181" t="s">
        <v>6</v>
      </c>
      <c r="B6181" s="45" t="str">
        <f>INDEX(overview!$B$4:$R$338,MATCH('hydrogen - electrolysis'!B6173,overview!$A$4:$A$338,0),MATCH('hydrogen - electrolysis'!A6181,overview!$B$3:$R$3,0))</f>
        <v>fuel cell, PEM</v>
      </c>
    </row>
    <row r="6182" spans="1:2" x14ac:dyDescent="0.2">
      <c r="A6182" t="s">
        <v>39</v>
      </c>
      <c r="B6182" s="45" t="str">
        <f>INDEX(overview!$B$4:$R$338,MATCH('hydrogen - electrolysis'!B6173,overview!$A$4:$A$338,0),MATCH('hydrogen - electrolysis'!A6182,overview!$B$3:$R$3,0))</f>
        <v>exergy</v>
      </c>
    </row>
    <row r="6183" spans="1:2" x14ac:dyDescent="0.2">
      <c r="A6183" t="s">
        <v>4</v>
      </c>
      <c r="B6183" s="45" t="str">
        <f>INDEX(overview!$B$4:$R$338,MATCH('hydrogen - electrolysis'!B6173,overview!$A$4:$A$338,0),MATCH('hydrogen - electrolysis'!A6183,overview!$B$3:$R$3,0))</f>
        <v>pipeline</v>
      </c>
    </row>
    <row r="6184" spans="1:2" x14ac:dyDescent="0.2">
      <c r="A6184" t="s">
        <v>38</v>
      </c>
      <c r="B6184" s="45">
        <f>INDEX(overview!$B$4:$R$338,MATCH('hydrogen - electrolysis'!B6173,overview!$A$4:$A$338,0),MATCH('hydrogen - electrolysis'!A6184,overview!$B$3:$R$3,0))</f>
        <v>1000</v>
      </c>
    </row>
    <row r="6185" spans="1:2" x14ac:dyDescent="0.2">
      <c r="A6185" t="s">
        <v>12</v>
      </c>
      <c r="B6185" s="45" t="str">
        <f>INDEX(overview!$B$4:$R$338,MATCH('hydrogen - electrolysis'!B6173,overview!$A$4:$A$338,0),MATCH('hydrogen - electrolysis'!A6185,overview!$B$3:$R$3,0))</f>
        <v>Pressure vessel for stationary storage</v>
      </c>
    </row>
    <row r="6186" spans="1:2" x14ac:dyDescent="0.2">
      <c r="A6186" t="s">
        <v>34</v>
      </c>
      <c r="B6186" s="45">
        <f>INDEX(overview!$B$4:$R$338,MATCH('hydrogen - electrolysis'!B6173,overview!$A$4:$A$338,0),MATCH('hydrogen - electrolysis'!A6186,overview!$B$3:$R$3,0))</f>
        <v>0</v>
      </c>
    </row>
    <row r="6187" spans="1:2" x14ac:dyDescent="0.2">
      <c r="A6187" t="s">
        <v>15</v>
      </c>
      <c r="B6187" s="45" t="str">
        <f>INDEX(overview!$B$4:$R$338,MATCH('hydrogen - electrolysis'!B6173,overview!$A$4:$A$338,0),MATCH('hydrogen - electrolysis'!A6187,overview!$B$3:$R$3,0))</f>
        <v>Electrolysis, Alkaline</v>
      </c>
    </row>
    <row r="6188" spans="1:2" x14ac:dyDescent="0.2">
      <c r="A6188" t="s">
        <v>14</v>
      </c>
      <c r="B6188" s="45" t="str">
        <f>INDEX(overview!$B$4:$R$338,MATCH('hydrogen - electrolysis'!B6173,overview!$A$4:$A$338,0),MATCH('hydrogen - electrolysis'!A6188,overview!$B$3:$R$3,0))</f>
        <v>water and electricity</v>
      </c>
    </row>
    <row r="6189" spans="1:2" x14ac:dyDescent="0.2">
      <c r="A6189" t="s">
        <v>26</v>
      </c>
      <c r="B6189" s="45" t="str">
        <f>INDEX(overview!$B$4:$R$338,MATCH('hydrogen - electrolysis'!B6173,overview!$A$4:$A$338,0),MATCH('hydrogen - electrolysis'!A6189,overview!$B$3:$R$3,0))</f>
        <v>Solar PV (DE)</v>
      </c>
    </row>
    <row r="6190" spans="1:2" x14ac:dyDescent="0.2">
      <c r="A6190" t="s">
        <v>29</v>
      </c>
      <c r="B6190" s="45">
        <f>INDEX(overview!$B$4:$R$338,MATCH('hydrogen - electrolysis'!B6173,overview!$A$4:$A$338,0),MATCH('hydrogen - electrolysis'!A6190,overview!$B$3:$R$3,0))</f>
        <v>0</v>
      </c>
    </row>
    <row r="6191" spans="1:2" x14ac:dyDescent="0.2">
      <c r="A6191" t="str">
        <f>IF(B6175="megajoule","Heat","Electricity")&amp;" conversion efficiency [% LHV input]"</f>
        <v>Electricity conversion efficiency [% LHV input]</v>
      </c>
      <c r="B6191" s="46">
        <f>INDEX(parameters!$D$4:$N$20,MATCH('hydrogen - electrolysis'!B6179&amp;'hydrogen - electrolysis'!B6181,parameters!$A$4:$A$20,0),MATCH('hydrogen - electrolysis'!A6191,parameters!$D$3:$N$3,0))</f>
        <v>0.45</v>
      </c>
    </row>
    <row r="6192" spans="1:2" x14ac:dyDescent="0.2">
      <c r="A6192" t="str">
        <f>IF(B6175="megajoule","LHV [MJ/kg]","LHV [kWh/kg]")</f>
        <v>LHV [kWh/kg]</v>
      </c>
      <c r="B6192" s="47">
        <f>INDEX(parameters!$D$4:$N$20,MATCH('hydrogen - electrolysis'!B6179&amp;'hydrogen - electrolysis'!B6181,parameters!$A$4:$A$20,0),MATCH('hydrogen - electrolysis'!A6192,parameters!$D$3:$N$3,0))</f>
        <v>33.333333333333336</v>
      </c>
    </row>
    <row r="6193" spans="1:22" x14ac:dyDescent="0.2">
      <c r="A6193" t="s">
        <v>41</v>
      </c>
      <c r="B6193" s="48">
        <f>INDEX(parameters!$D$4:$N$20,MATCH('hydrogen - electrolysis'!B6179&amp;'hydrogen - electrolysis'!B6181,parameters!$A$4:$A$20,0),MATCH('hydrogen - electrolysis'!A6193,parameters!$D$3:$N$3,0))</f>
        <v>2.6666666666666665E-2</v>
      </c>
    </row>
    <row r="6194" spans="1:22" x14ac:dyDescent="0.2">
      <c r="A6194" t="s">
        <v>45</v>
      </c>
      <c r="B6194" s="46">
        <f>INDEX(parameters!$D$4:$N$20,MATCH('hydrogen - electrolysis'!B6179&amp;'hydrogen - electrolysis'!B6181,parameters!$A$4:$A$20,0),MATCH('hydrogen - electrolysis'!A6194,parameters!$D$3:$N$3,0))</f>
        <v>0</v>
      </c>
    </row>
    <row r="6195" spans="1:22" x14ac:dyDescent="0.2">
      <c r="A6195" t="s">
        <v>46</v>
      </c>
      <c r="B6195" s="46">
        <f>INDEX(parameters!$D$4:$N$20,MATCH('hydrogen - electrolysis'!B6179&amp;'hydrogen - electrolysis'!B6181,parameters!$A$4:$A$20,0),MATCH('hydrogen - electrolysis'!A6195,parameters!$D$3:$N$3,0))</f>
        <v>1.4999999999999999E-2</v>
      </c>
    </row>
    <row r="6196" spans="1:22" x14ac:dyDescent="0.2">
      <c r="A6196" t="s">
        <v>43</v>
      </c>
      <c r="B6196" s="46">
        <f>INDEX(parameters!$D$4:$N$20,MATCH('hydrogen - electrolysis'!B6179&amp;'hydrogen - electrolysis'!B6181,parameters!$A$4:$A$20,0),MATCH('hydrogen - electrolysis'!A6196,parameters!$D$3:$N$3,0))</f>
        <v>0</v>
      </c>
    </row>
    <row r="6197" spans="1:22" x14ac:dyDescent="0.2">
      <c r="A6197" t="s">
        <v>44</v>
      </c>
      <c r="B6197" s="46">
        <f>INDEX(parameters!$D$4:$N$20,MATCH('hydrogen - electrolysis'!B6179&amp;'hydrogen - electrolysis'!B6181,parameters!$A$4:$A$20,0),MATCH('hydrogen - electrolysis'!A6197,parameters!$D$3:$N$3,0))</f>
        <v>0</v>
      </c>
    </row>
    <row r="6198" spans="1:22" x14ac:dyDescent="0.2">
      <c r="A6198" t="s">
        <v>634</v>
      </c>
      <c r="B6198" s="51">
        <f>INDEX(parameters!$D$4:$Y$20,MATCH('hydrogen - electrolysis'!B6179&amp;'hydrogen - electrolysis'!B6181,parameters!$A$4:$A$20,0),MATCH('hydrogen - electrolysis'!A6198,parameters!$D$3:$Y$3,0))</f>
        <v>1.8947368421052633</v>
      </c>
    </row>
    <row r="6199" spans="1:22" x14ac:dyDescent="0.2">
      <c r="A6199" t="s">
        <v>82</v>
      </c>
      <c r="B6199" s="46">
        <f>IF(B6190&lt;&gt;0,VLOOKUP(B6190,parameters!A4001:B4003,2,0),0)</f>
        <v>0</v>
      </c>
    </row>
    <row r="6200" spans="1:22" x14ac:dyDescent="0.2">
      <c r="A6200" t="s">
        <v>548</v>
      </c>
      <c r="B6200" s="50">
        <f>INDEX(parameters!$D$4:$P$20,MATCH(B6179&amp;B6181,parameters!$A$4:$A$20,0),MATCH(A6200,parameters!$D$3:$P$3,0))</f>
        <v>0.8</v>
      </c>
    </row>
    <row r="6201" spans="1:22" x14ac:dyDescent="0.2">
      <c r="A6201" t="s">
        <v>547</v>
      </c>
      <c r="B6201" s="51">
        <f>INDEX(parameters!$D$4:$P$20,MATCH(B6179&amp;B6181,parameters!$A$4:$A$20,0),MATCH(A6201,parameters!$D$3:$P$3,0))</f>
        <v>4.8780487804878048</v>
      </c>
    </row>
    <row r="6202" spans="1:22" x14ac:dyDescent="0.2">
      <c r="A6202" t="s">
        <v>630</v>
      </c>
      <c r="B6202" s="51">
        <f>INDEX(parameters!$D$4:$T$20,MATCH(B6179&amp;B6181,parameters!$A$4:$A$20,0),MATCH(A6202,parameters!$D$3:$T$3,0))</f>
        <v>4100</v>
      </c>
    </row>
    <row r="6203" spans="1:22" x14ac:dyDescent="0.2">
      <c r="A6203" t="s">
        <v>1005</v>
      </c>
      <c r="B6203" s="50">
        <f>IF(B6175="megajoule",SUMIFS(allocation!$I$4:$I$30,allocation!$B$4:$B$30,B6181,allocation!$C$4:$C$30,B6182),SUMIFS(allocation!$J$4:$J$30,allocation!$B$4:$B$30,B6181,allocation!$C$4:$C$30,B6182))</f>
        <v>0.86066019201025545</v>
      </c>
    </row>
    <row r="6204" spans="1:22" x14ac:dyDescent="0.2">
      <c r="A6204" t="s">
        <v>1050</v>
      </c>
      <c r="B6204" s="51">
        <f>INDEX(parameters!$D$4:$AB$20,MATCH(B6179&amp;B6181,parameters!$A$4:$A$20,0),MATCH(A6204,parameters!$D$3:$AB$3,0))</f>
        <v>10.221606648199446</v>
      </c>
    </row>
    <row r="6206" spans="1:22" x14ac:dyDescent="0.2">
      <c r="A6206" s="3" t="s">
        <v>57</v>
      </c>
    </row>
    <row r="6207" spans="1:22" x14ac:dyDescent="0.2">
      <c r="A6207" s="2" t="s">
        <v>58</v>
      </c>
      <c r="B6207" s="44" t="s">
        <v>59</v>
      </c>
      <c r="C6207" s="2" t="s">
        <v>55</v>
      </c>
      <c r="D6207" s="2" t="s">
        <v>60</v>
      </c>
      <c r="E6207" s="2" t="s">
        <v>52</v>
      </c>
      <c r="F6207" s="2" t="s">
        <v>61</v>
      </c>
      <c r="G6207" s="2" t="s">
        <v>54</v>
      </c>
      <c r="H6207" s="2" t="s">
        <v>87</v>
      </c>
      <c r="I6207" s="2" t="s">
        <v>51</v>
      </c>
      <c r="J6207" s="2" t="s">
        <v>138</v>
      </c>
      <c r="K6207" s="2" t="s">
        <v>136</v>
      </c>
      <c r="L6207" s="2" t="s">
        <v>221</v>
      </c>
      <c r="M6207" s="2" t="s">
        <v>379</v>
      </c>
      <c r="N6207" s="2" t="s">
        <v>1059</v>
      </c>
      <c r="O6207" s="2" t="s">
        <v>1060</v>
      </c>
      <c r="P6207" s="2" t="s">
        <v>1061</v>
      </c>
      <c r="Q6207" s="2" t="s">
        <v>1062</v>
      </c>
      <c r="R6207" s="2" t="s">
        <v>1063</v>
      </c>
      <c r="S6207" s="2" t="s">
        <v>1064</v>
      </c>
      <c r="T6207" s="2" t="s">
        <v>1065</v>
      </c>
      <c r="U6207" s="2" t="s">
        <v>380</v>
      </c>
      <c r="V6207" s="2" t="s">
        <v>1128</v>
      </c>
    </row>
    <row r="6208" spans="1:22" x14ac:dyDescent="0.2">
      <c r="A6208" t="str">
        <f>B6169</f>
        <v>electricity, residential, by conversion of hydrogen using fuel cell, PEM, allocated by exergy, transported by pipeline, produced by Electrolysis, Alkaline using water and electricity from Solar PV (DE)</v>
      </c>
      <c r="B6208" s="45">
        <v>1</v>
      </c>
      <c r="C6208" t="str">
        <f>B6175</f>
        <v>kilowatt hour</v>
      </c>
      <c r="E6208" t="str">
        <f>B6172</f>
        <v>CH</v>
      </c>
      <c r="F6208" t="s">
        <v>62</v>
      </c>
      <c r="G6208" t="str">
        <f>B6174</f>
        <v>electricity, from residential heating system</v>
      </c>
      <c r="K6208" t="str">
        <f>B6169</f>
        <v>electricity, residential, by conversion of hydrogen using fuel cell, PEM, allocated by exergy, transported by pipeline, produced by Electrolysis, Alkaline using water and electricity from Solar PV (DE)</v>
      </c>
    </row>
    <row r="6209" spans="1:21" x14ac:dyDescent="0.2">
      <c r="A6209" t="str">
        <f>VLOOKUP(J6209,'dataset mapping'!$A$4:$E$69,2,0)</f>
        <v>fuel cell system assembly, 1 kWe, proton exchange membrane (PEM)</v>
      </c>
      <c r="B6209" s="52">
        <f>(1/(B6198*B6202*B6201))*B6203</f>
        <v>2.2711866178048405E-5</v>
      </c>
      <c r="C6209" t="str">
        <f>VLOOKUP(J6209,'dataset mapping'!$A$4:$E$69,5,0)</f>
        <v>unit</v>
      </c>
      <c r="E6209" t="str">
        <f>VLOOKUP(J6209,'dataset mapping'!$A$4:$E$69,4,0)</f>
        <v>GLO</v>
      </c>
      <c r="F6209" t="s">
        <v>86</v>
      </c>
      <c r="G6209" t="str">
        <f>VLOOKUP(J6209,'dataset mapping'!$A$4:$E$69,3,0)</f>
        <v>fuel cell system, 1 kWe, proton exchange membrane (PEM)</v>
      </c>
      <c r="H6209" t="s">
        <v>88</v>
      </c>
      <c r="I6209" t="s">
        <v>272</v>
      </c>
      <c r="J6209" t="s">
        <v>273</v>
      </c>
      <c r="K6209" t="str">
        <f>B6169</f>
        <v>electricity, residential, by conversion of hydrogen using fuel cell, PEM, allocated by exergy, transported by pipeline, produced by Electrolysis, Alkaline using water and electricity from Solar PV (DE)</v>
      </c>
      <c r="L6209">
        <f>IF(OR(B6209&lt;0,B6209=0),1,2)</f>
        <v>2</v>
      </c>
      <c r="M6209">
        <f>IF(L6209=2,LN(B6209),"")</f>
        <v>-10.692623030936341</v>
      </c>
      <c r="N6209">
        <v>1</v>
      </c>
      <c r="O6209" s="15">
        <v>1.2</v>
      </c>
      <c r="P6209">
        <v>1</v>
      </c>
      <c r="Q6209">
        <v>1.01</v>
      </c>
      <c r="R6209">
        <v>1.2</v>
      </c>
      <c r="S6209">
        <v>1.2</v>
      </c>
      <c r="T6209">
        <v>3</v>
      </c>
      <c r="U6209">
        <f>LN(SQRT(EXP(
SQRT(
+POWER(LN(N6209),2)
+POWER(LN(O6209),2)
+POWER(LN(P6209),2)
+POWER(LN(Q6209),2)
+POWER(LN(R6209),2)
+POWER(LN(S6209),2)
+POWER(LN(T6209),2)
)
)))</f>
        <v>0.57157051623399524</v>
      </c>
    </row>
    <row r="6210" spans="1:21" x14ac:dyDescent="0.2">
      <c r="A6210" s="45" t="str">
        <f>"hydrogen supply, transported by "&amp;B6183&amp;", produced by "&amp;B6187&amp;" using "&amp;B6188&amp;" from "&amp;B6189</f>
        <v>hydrogen supply, transported by pipeline, produced by Electrolysis, Alkaline using water and electricity from Solar PV (DE)</v>
      </c>
      <c r="B6210" s="53">
        <f>(B6208/B6192)/B6191*B6203</f>
        <v>5.7377346134017029E-2</v>
      </c>
      <c r="C6210" t="s">
        <v>56</v>
      </c>
      <c r="E6210" t="s">
        <v>64</v>
      </c>
      <c r="F6210" t="s">
        <v>86</v>
      </c>
      <c r="G6210" t="str">
        <f>"hydrogen, gaseous, from "&amp;B6183</f>
        <v>hydrogen, gaseous, from pipeline</v>
      </c>
      <c r="H6210" t="s">
        <v>76</v>
      </c>
      <c r="I6210" t="s">
        <v>1054</v>
      </c>
      <c r="J6210" t="s">
        <v>297</v>
      </c>
      <c r="K6210" t="str">
        <f>B6169</f>
        <v>electricity, residential, by conversion of hydrogen using fuel cell, PEM, allocated by exergy, transported by pipeline, produced by Electrolysis, Alkaline using water and electricity from Solar PV (DE)</v>
      </c>
      <c r="L6210">
        <f>IF(OR(B6210&lt;0,B6210=0),1,2)</f>
        <v>2</v>
      </c>
      <c r="M6210">
        <f>IF(L6210=2,LN(B6210),"")</f>
        <v>-2.8581057202127536</v>
      </c>
      <c r="N6210">
        <v>1</v>
      </c>
      <c r="O6210" s="15">
        <v>1.2</v>
      </c>
      <c r="P6210">
        <v>1</v>
      </c>
      <c r="Q6210">
        <v>1.01</v>
      </c>
      <c r="R6210">
        <v>1.2</v>
      </c>
      <c r="S6210">
        <v>1.2</v>
      </c>
      <c r="T6210">
        <v>1.05</v>
      </c>
      <c r="U6210">
        <f>LN(SQRT(EXP(
SQRT(
+POWER(LN(N6210),2)
+POWER(LN(O6210),2)
+POWER(LN(P6210),2)
+POWER(LN(Q6210),2)
+POWER(LN(R6210),2)
+POWER(LN(S6210),2)
+POWER(LN(T6210),2)
)
)))</f>
        <v>0.15984597228197622</v>
      </c>
    </row>
    <row r="6211" spans="1:21" x14ac:dyDescent="0.2">
      <c r="A6211" t="s">
        <v>134</v>
      </c>
      <c r="B6211" s="53">
        <f>B6210*9</f>
        <v>0.51639611520615325</v>
      </c>
      <c r="C6211" t="s">
        <v>56</v>
      </c>
      <c r="D6211" t="s">
        <v>100</v>
      </c>
      <c r="F6211" t="s">
        <v>99</v>
      </c>
      <c r="H6211" t="s">
        <v>131</v>
      </c>
      <c r="I6211" t="s">
        <v>1057</v>
      </c>
      <c r="K6211" t="str">
        <f>B6169</f>
        <v>electricity, residential, by conversion of hydrogen using fuel cell, PEM, allocated by exergy, transported by pipeline, produced by Electrolysis, Alkaline using water and electricity from Solar PV (DE)</v>
      </c>
      <c r="L6211">
        <f>IF(OR(B6211&lt;0,B6211=0),1,2)</f>
        <v>2</v>
      </c>
      <c r="M6211">
        <f>IF(L6211=2,LN(B6211),"")</f>
        <v>-0.6608811428765341</v>
      </c>
      <c r="N6211">
        <v>1</v>
      </c>
      <c r="O6211" s="15">
        <v>1.2</v>
      </c>
      <c r="P6211">
        <v>1</v>
      </c>
      <c r="Q6211">
        <v>1.01</v>
      </c>
      <c r="R6211">
        <v>1.2</v>
      </c>
      <c r="S6211">
        <v>1.2</v>
      </c>
      <c r="T6211">
        <v>1.05</v>
      </c>
      <c r="U6211">
        <f>LN(SQRT(EXP(
SQRT(
+POWER(LN(N6211),2)
+POWER(LN(O6211),2)
+POWER(LN(P6211),2)
+POWER(LN(Q6211),2)
+POWER(LN(R6211),2)
+POWER(LN(S6211),2)
+POWER(LN(T6211),2)
)
)))</f>
        <v>0.15984597228197622</v>
      </c>
    </row>
    <row r="6213" spans="1:21" x14ac:dyDescent="0.2">
      <c r="A6213" s="2" t="s">
        <v>50</v>
      </c>
      <c r="B6213" s="44" t="str">
        <f>IF(B6219="megajoule","heat","electricity")&amp;", residential, by "&amp;B6224&amp;" of "&amp;B6223&amp;" using "&amp;B6225&amp;IF(B6226&lt;&gt;0,", allocated by "&amp;B6226,"")&amp;", transported by "&amp;B6227&amp;", produced by "&amp;B6231&amp;" using "&amp;B6232&amp;" from "&amp;B6233</f>
        <v>electricity, residential, by conversion of hydrogen using fuel cell, SOFC, allocated by exergy, transported by pipeline, produced by Electrolysis, Alkaline using water and electricity from Solar PV (DE)</v>
      </c>
    </row>
    <row r="6214" spans="1:21" x14ac:dyDescent="0.2">
      <c r="A6214" t="s">
        <v>51</v>
      </c>
      <c r="B6214" s="45" t="str">
        <f>"This dataset represents the supply of 1 "&amp;IF(B6219="megajoule","megajoule of heat","kilowatt hour of electricity")&amp;" in a residence, by "&amp;B6223&amp;" "&amp;B6224&amp;" in a "&amp;B6225&amp;". "&amp;" The hydrogen is transported by "&amp;B6227&amp;" over "&amp;B6228&amp;" km from regional storage. "&amp;" The "&amp;B6223&amp;" is produced by  "&amp;B6231&amp;", with "&amp;B6232&amp;" from "&amp;B6233&amp;" as feedstock. "&amp;A6235&amp;": "&amp;(B6235*100)&amp;"%. "&amp;A6236&amp;": "&amp;B6236&amp;". "&amp;A6237&amp;": "&amp;B6237&amp;". "&amp;A6238&amp;": "&amp;(B6238*100)&amp;"%. "&amp;A6239&amp;": "&amp;(B6239*100)&amp;"%. "&amp;A6240&amp;": "&amp;(B6240*100)&amp;"%. "&amp;A6241&amp;": "&amp;B6241&amp;". "&amp;A6242&amp;": "&amp;B6242&amp;". "&amp;A6243&amp;": "&amp;(B6243*100)&amp;"%. "&amp;A6244&amp;": "&amp;B6244&amp;". "&amp;A6245&amp;": "&amp;B6245&amp;". "&amp;A6246&amp;": "&amp;B6246&amp;". "&amp;A6247&amp;": "&amp;B6247&amp;".  For more information, refer to: "&amp;B6215</f>
        <v>This dataset represents the supply of 1 kilowatt hour of electricity in a residence, by hydrogen conversion in a fuel cell, SOFC.  The hydrogen is transported by pipeline over 1000 km from regional storage.  The hydrogen is produced by  Electrolysis, Alkaline,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6215" spans="1:21" x14ac:dyDescent="0.2">
      <c r="A6215" t="s">
        <v>63</v>
      </c>
      <c r="B6215" s="45" t="s">
        <v>1223</v>
      </c>
    </row>
    <row r="6216" spans="1:21" x14ac:dyDescent="0.2">
      <c r="A6216" t="s">
        <v>52</v>
      </c>
      <c r="B6216" s="45" t="s">
        <v>64</v>
      </c>
    </row>
    <row r="6217" spans="1:21" x14ac:dyDescent="0.2">
      <c r="A6217" t="s">
        <v>48</v>
      </c>
      <c r="B6217" s="45" t="s">
        <v>921</v>
      </c>
    </row>
    <row r="6218" spans="1:21" x14ac:dyDescent="0.2">
      <c r="A6218" t="s">
        <v>54</v>
      </c>
      <c r="B6218" s="45" t="str">
        <f>INDEX(overview!$B$4:$R$338,MATCH('hydrogen - electrolysis'!B6217,overview!$A$4:$A$338,0),MATCH('hydrogen - electrolysis'!A6218,overview!$B$3:$R$3,0))</f>
        <v>electricity, from residential heating system</v>
      </c>
    </row>
    <row r="6219" spans="1:21" x14ac:dyDescent="0.2">
      <c r="A6219" t="s">
        <v>55</v>
      </c>
      <c r="B6219" s="45" t="str">
        <f>INDEX(overview!$B$4:$R$338,MATCH('hydrogen - electrolysis'!B6217,overview!$A$4:$A$338,0),MATCH('hydrogen - electrolysis'!A6219,overview!$B$3:$R$3,0))</f>
        <v>kilowatt hour</v>
      </c>
    </row>
    <row r="6220" spans="1:21" x14ac:dyDescent="0.2">
      <c r="A6220" t="s">
        <v>0</v>
      </c>
      <c r="B6220" s="45" t="str">
        <f>INDEX(overview!$B$4:$R$338,MATCH('hydrogen - electrolysis'!B6217,overview!$A$4:$A$338,0),MATCH('hydrogen - electrolysis'!A6220,overview!$B$3:$R$3,0))</f>
        <v>Switzerland</v>
      </c>
    </row>
    <row r="6221" spans="1:21" x14ac:dyDescent="0.2">
      <c r="A6221" t="s">
        <v>1</v>
      </c>
      <c r="B6221" s="45">
        <f>INDEX(overview!$B$4:$R$338,MATCH('hydrogen - electrolysis'!B6217,overview!$A$4:$A$338,0),MATCH('hydrogen - electrolysis'!A6221,overview!$B$3:$R$3,0))</f>
        <v>2020</v>
      </c>
    </row>
    <row r="6222" spans="1:21" x14ac:dyDescent="0.2">
      <c r="A6222" t="s">
        <v>2</v>
      </c>
      <c r="B6222" s="45" t="str">
        <f>INDEX(overview!$B$4:$R$338,MATCH('hydrogen - electrolysis'!B6217,overview!$A$4:$A$338,0),MATCH('hydrogen - electrolysis'!A6222,overview!$B$3:$R$3,0))</f>
        <v>1 kWh electricity</v>
      </c>
    </row>
    <row r="6223" spans="1:21" x14ac:dyDescent="0.2">
      <c r="A6223" t="s">
        <v>5</v>
      </c>
      <c r="B6223" s="45" t="str">
        <f>INDEX(overview!$B$4:$R$338,MATCH('hydrogen - electrolysis'!B6217,overview!$A$4:$A$338,0),MATCH('hydrogen - electrolysis'!A6223,overview!$B$3:$R$3,0))</f>
        <v>hydrogen</v>
      </c>
    </row>
    <row r="6224" spans="1:21" x14ac:dyDescent="0.2">
      <c r="A6224" t="s">
        <v>3</v>
      </c>
      <c r="B6224" s="45" t="str">
        <f>INDEX(overview!$B$4:$R$338,MATCH('hydrogen - electrolysis'!B6217,overview!$A$4:$A$338,0),MATCH('hydrogen - electrolysis'!A6224,overview!$B$3:$R$3,0))</f>
        <v>conversion</v>
      </c>
    </row>
    <row r="6225" spans="1:2" x14ac:dyDescent="0.2">
      <c r="A6225" t="s">
        <v>6</v>
      </c>
      <c r="B6225" s="45" t="str">
        <f>INDEX(overview!$B$4:$R$338,MATCH('hydrogen - electrolysis'!B6217,overview!$A$4:$A$338,0),MATCH('hydrogen - electrolysis'!A6225,overview!$B$3:$R$3,0))</f>
        <v>fuel cell, SOFC</v>
      </c>
    </row>
    <row r="6226" spans="1:2" x14ac:dyDescent="0.2">
      <c r="A6226" t="s">
        <v>39</v>
      </c>
      <c r="B6226" s="45" t="str">
        <f>INDEX(overview!$B$4:$R$338,MATCH('hydrogen - electrolysis'!B6217,overview!$A$4:$A$338,0),MATCH('hydrogen - electrolysis'!A6226,overview!$B$3:$R$3,0))</f>
        <v>exergy</v>
      </c>
    </row>
    <row r="6227" spans="1:2" x14ac:dyDescent="0.2">
      <c r="A6227" t="s">
        <v>4</v>
      </c>
      <c r="B6227" s="45" t="str">
        <f>INDEX(overview!$B$4:$R$338,MATCH('hydrogen - electrolysis'!B6217,overview!$A$4:$A$338,0),MATCH('hydrogen - electrolysis'!A6227,overview!$B$3:$R$3,0))</f>
        <v>pipeline</v>
      </c>
    </row>
    <row r="6228" spans="1:2" x14ac:dyDescent="0.2">
      <c r="A6228" t="s">
        <v>38</v>
      </c>
      <c r="B6228" s="45">
        <f>INDEX(overview!$B$4:$R$338,MATCH('hydrogen - electrolysis'!B6217,overview!$A$4:$A$338,0),MATCH('hydrogen - electrolysis'!A6228,overview!$B$3:$R$3,0))</f>
        <v>1000</v>
      </c>
    </row>
    <row r="6229" spans="1:2" x14ac:dyDescent="0.2">
      <c r="A6229" t="s">
        <v>12</v>
      </c>
      <c r="B6229" s="45" t="str">
        <f>INDEX(overview!$B$4:$R$338,MATCH('hydrogen - electrolysis'!B6217,overview!$A$4:$A$338,0),MATCH('hydrogen - electrolysis'!A6229,overview!$B$3:$R$3,0))</f>
        <v>Pressure vessel for stationary storage</v>
      </c>
    </row>
    <row r="6230" spans="1:2" x14ac:dyDescent="0.2">
      <c r="A6230" t="s">
        <v>34</v>
      </c>
      <c r="B6230" s="45">
        <f>INDEX(overview!$B$4:$R$338,MATCH('hydrogen - electrolysis'!B6217,overview!$A$4:$A$338,0),MATCH('hydrogen - electrolysis'!A6230,overview!$B$3:$R$3,0))</f>
        <v>0</v>
      </c>
    </row>
    <row r="6231" spans="1:2" x14ac:dyDescent="0.2">
      <c r="A6231" t="s">
        <v>15</v>
      </c>
      <c r="B6231" s="45" t="str">
        <f>INDEX(overview!$B$4:$R$338,MATCH('hydrogen - electrolysis'!B6217,overview!$A$4:$A$338,0),MATCH('hydrogen - electrolysis'!A6231,overview!$B$3:$R$3,0))</f>
        <v>Electrolysis, Alkaline</v>
      </c>
    </row>
    <row r="6232" spans="1:2" x14ac:dyDescent="0.2">
      <c r="A6232" t="s">
        <v>14</v>
      </c>
      <c r="B6232" s="45" t="str">
        <f>INDEX(overview!$B$4:$R$338,MATCH('hydrogen - electrolysis'!B6217,overview!$A$4:$A$338,0),MATCH('hydrogen - electrolysis'!A6232,overview!$B$3:$R$3,0))</f>
        <v>water and electricity</v>
      </c>
    </row>
    <row r="6233" spans="1:2" x14ac:dyDescent="0.2">
      <c r="A6233" t="s">
        <v>26</v>
      </c>
      <c r="B6233" s="45" t="str">
        <f>INDEX(overview!$B$4:$R$338,MATCH('hydrogen - electrolysis'!B6217,overview!$A$4:$A$338,0),MATCH('hydrogen - electrolysis'!A6233,overview!$B$3:$R$3,0))</f>
        <v>Solar PV (DE)</v>
      </c>
    </row>
    <row r="6234" spans="1:2" x14ac:dyDescent="0.2">
      <c r="A6234" t="s">
        <v>29</v>
      </c>
      <c r="B6234" s="45">
        <f>INDEX(overview!$B$4:$R$338,MATCH('hydrogen - electrolysis'!B6217,overview!$A$4:$A$338,0),MATCH('hydrogen - electrolysis'!A6234,overview!$B$3:$R$3,0))</f>
        <v>0</v>
      </c>
    </row>
    <row r="6235" spans="1:2" x14ac:dyDescent="0.2">
      <c r="A6235" t="str">
        <f>IF(B6219="megajoule","Heat","Electricity")&amp;" conversion efficiency [% LHV input]"</f>
        <v>Electricity conversion efficiency [% LHV input]</v>
      </c>
      <c r="B6235" s="46">
        <f>INDEX(parameters!$D$4:$N$20,MATCH('hydrogen - electrolysis'!B6223&amp;'hydrogen - electrolysis'!B6225,parameters!$A$4:$A$20,0),MATCH('hydrogen - electrolysis'!A6235,parameters!$D$3:$N$3,0))</f>
        <v>0.47</v>
      </c>
    </row>
    <row r="6236" spans="1:2" x14ac:dyDescent="0.2">
      <c r="A6236" t="str">
        <f>IF(B6219="megajoule","LHV [MJ/kg]","LHV [kWh/kg]")</f>
        <v>LHV [kWh/kg]</v>
      </c>
      <c r="B6236" s="47">
        <f>INDEX(parameters!$D$4:$N$20,MATCH('hydrogen - electrolysis'!B6223&amp;'hydrogen - electrolysis'!B6225,parameters!$A$4:$A$20,0),MATCH('hydrogen - electrolysis'!A6236,parameters!$D$3:$N$3,0))</f>
        <v>33.333333333333336</v>
      </c>
    </row>
    <row r="6237" spans="1:2" x14ac:dyDescent="0.2">
      <c r="A6237" t="s">
        <v>41</v>
      </c>
      <c r="B6237" s="48">
        <f>INDEX(parameters!$D$4:$N$20,MATCH('hydrogen - electrolysis'!B6223&amp;'hydrogen - electrolysis'!B6225,parameters!$A$4:$A$20,0),MATCH('hydrogen - electrolysis'!A6237,parameters!$D$3:$N$3,0))</f>
        <v>2.6666666666666665E-2</v>
      </c>
    </row>
    <row r="6238" spans="1:2" x14ac:dyDescent="0.2">
      <c r="A6238" t="s">
        <v>45</v>
      </c>
      <c r="B6238" s="46">
        <f>INDEX(parameters!$D$4:$N$20,MATCH('hydrogen - electrolysis'!B6223&amp;'hydrogen - electrolysis'!B6225,parameters!$A$4:$A$20,0),MATCH('hydrogen - electrolysis'!A6238,parameters!$D$3:$N$3,0))</f>
        <v>0</v>
      </c>
    </row>
    <row r="6239" spans="1:2" x14ac:dyDescent="0.2">
      <c r="A6239" t="s">
        <v>46</v>
      </c>
      <c r="B6239" s="46">
        <f>INDEX(parameters!$D$4:$N$20,MATCH('hydrogen - electrolysis'!B6223&amp;'hydrogen - electrolysis'!B6225,parameters!$A$4:$A$20,0),MATCH('hydrogen - electrolysis'!A6239,parameters!$D$3:$N$3,0))</f>
        <v>1.4999999999999999E-2</v>
      </c>
    </row>
    <row r="6240" spans="1:2" x14ac:dyDescent="0.2">
      <c r="A6240" t="s">
        <v>43</v>
      </c>
      <c r="B6240" s="46">
        <f>INDEX(parameters!$D$4:$N$20,MATCH('hydrogen - electrolysis'!B6223&amp;'hydrogen - electrolysis'!B6225,parameters!$A$4:$A$20,0),MATCH('hydrogen - electrolysis'!A6240,parameters!$D$3:$N$3,0))</f>
        <v>0</v>
      </c>
    </row>
    <row r="6241" spans="1:22" x14ac:dyDescent="0.2">
      <c r="A6241" t="s">
        <v>44</v>
      </c>
      <c r="B6241" s="46">
        <f>INDEX(parameters!$D$4:$N$20,MATCH('hydrogen - electrolysis'!B6223&amp;'hydrogen - electrolysis'!B6225,parameters!$A$4:$A$20,0),MATCH('hydrogen - electrolysis'!A6241,parameters!$D$3:$N$3,0))</f>
        <v>0</v>
      </c>
    </row>
    <row r="6242" spans="1:22" x14ac:dyDescent="0.2">
      <c r="A6242" t="s">
        <v>634</v>
      </c>
      <c r="B6242" s="51">
        <f>INDEX(parameters!$D$4:$Y$20,MATCH('hydrogen - electrolysis'!B6223&amp;'hydrogen - electrolysis'!B6225,parameters!$A$4:$A$20,0),MATCH('hydrogen - electrolysis'!A6242,parameters!$D$3:$Y$3,0))</f>
        <v>225</v>
      </c>
      <c r="D6242" s="8"/>
    </row>
    <row r="6243" spans="1:22" x14ac:dyDescent="0.2">
      <c r="A6243" t="s">
        <v>82</v>
      </c>
      <c r="B6243" s="46">
        <f>IF(B6234&lt;&gt;0,VLOOKUP(B6234,parameters!A4050:B4052,2,0),0)</f>
        <v>0</v>
      </c>
    </row>
    <row r="6244" spans="1:22" x14ac:dyDescent="0.2">
      <c r="A6244" t="s">
        <v>548</v>
      </c>
      <c r="B6244" s="50">
        <f>INDEX(parameters!$D$4:$P$20,MATCH(B6223&amp;B6225,parameters!$A$4:$A$20,0),MATCH(A6244,parameters!$D$3:$P$3,0))</f>
        <v>100</v>
      </c>
    </row>
    <row r="6245" spans="1:22" x14ac:dyDescent="0.2">
      <c r="A6245" t="s">
        <v>547</v>
      </c>
      <c r="B6245" s="51">
        <f>INDEX(parameters!$D$4:$P$20,MATCH(B6223&amp;B6225,parameters!$A$4:$A$20,0),MATCH(A6245,parameters!$D$3:$P$3,0))</f>
        <v>6</v>
      </c>
    </row>
    <row r="6246" spans="1:22" x14ac:dyDescent="0.2">
      <c r="A6246" t="s">
        <v>630</v>
      </c>
      <c r="B6246" s="51">
        <f>INDEX(parameters!$D$4:$T$20,MATCH(B6223&amp;B6225,parameters!$A$4:$A$20,0),MATCH(A6246,parameters!$D$3:$T$3,0))</f>
        <v>4100</v>
      </c>
    </row>
    <row r="6247" spans="1:22" x14ac:dyDescent="0.2">
      <c r="A6247" t="s">
        <v>1005</v>
      </c>
      <c r="B6247" s="50">
        <f>IF(B6219="megajoule",SUMIFS(allocation!$I$4:$I$30,allocation!$B$4:$B$30,B6225,allocation!$C$4:$C$30,B6226),SUMIFS(allocation!$J$4:$J$30,allocation!$B$4:$B$30,B6225,allocation!$C$4:$C$30,B6226))</f>
        <v>0.86412493489600906</v>
      </c>
    </row>
    <row r="6248" spans="1:22" x14ac:dyDescent="0.2">
      <c r="A6248" t="s">
        <v>1050</v>
      </c>
      <c r="B6248" s="51">
        <f>INDEX(parameters!$D$4:$AB$20,MATCH(B6223&amp;B6225,parameters!$A$4:$A$20,0),MATCH(A6248,parameters!$D$3:$AB$3,0))</f>
        <v>1153.1249999999998</v>
      </c>
    </row>
    <row r="6250" spans="1:22" x14ac:dyDescent="0.2">
      <c r="A6250" s="3" t="s">
        <v>57</v>
      </c>
    </row>
    <row r="6251" spans="1:22" x14ac:dyDescent="0.2">
      <c r="A6251" s="2" t="s">
        <v>58</v>
      </c>
      <c r="B6251" s="44" t="s">
        <v>59</v>
      </c>
      <c r="C6251" s="2" t="s">
        <v>55</v>
      </c>
      <c r="D6251" s="2" t="s">
        <v>60</v>
      </c>
      <c r="E6251" s="2" t="s">
        <v>52</v>
      </c>
      <c r="F6251" s="2" t="s">
        <v>61</v>
      </c>
      <c r="G6251" s="2" t="s">
        <v>54</v>
      </c>
      <c r="H6251" s="2" t="s">
        <v>87</v>
      </c>
      <c r="I6251" s="2" t="s">
        <v>51</v>
      </c>
      <c r="J6251" s="2" t="s">
        <v>138</v>
      </c>
      <c r="K6251" s="2" t="s">
        <v>136</v>
      </c>
      <c r="L6251" s="2" t="s">
        <v>221</v>
      </c>
      <c r="M6251" s="2" t="s">
        <v>379</v>
      </c>
      <c r="N6251" s="2" t="s">
        <v>1059</v>
      </c>
      <c r="O6251" s="2" t="s">
        <v>1060</v>
      </c>
      <c r="P6251" s="2" t="s">
        <v>1061</v>
      </c>
      <c r="Q6251" s="2" t="s">
        <v>1062</v>
      </c>
      <c r="R6251" s="2" t="s">
        <v>1063</v>
      </c>
      <c r="S6251" s="2" t="s">
        <v>1064</v>
      </c>
      <c r="T6251" s="2" t="s">
        <v>1065</v>
      </c>
      <c r="U6251" s="2" t="s">
        <v>380</v>
      </c>
      <c r="V6251" s="2" t="s">
        <v>1128</v>
      </c>
    </row>
    <row r="6252" spans="1:22" x14ac:dyDescent="0.2">
      <c r="A6252" t="str">
        <f>B6213</f>
        <v>electricity, residential, by conversion of hydrogen using fuel cell, SOFC, allocated by exergy, transported by pipeline, produced by Electrolysis, Alkaline using water and electricity from Solar PV (DE)</v>
      </c>
      <c r="B6252" s="45">
        <v>1</v>
      </c>
      <c r="C6252" t="str">
        <f>B6219</f>
        <v>kilowatt hour</v>
      </c>
      <c r="E6252" t="str">
        <f>B6216</f>
        <v>CH</v>
      </c>
      <c r="F6252" t="s">
        <v>62</v>
      </c>
      <c r="G6252" t="str">
        <f>B6218</f>
        <v>electricity, from residential heating system</v>
      </c>
      <c r="K6252" t="str">
        <f>B6213</f>
        <v>electricity, residential, by conversion of hydrogen using fuel cell, SOFC, allocated by exergy, transported by pipeline, produced by Electrolysis, Alkaline using water and electricity from Solar PV (DE)</v>
      </c>
    </row>
    <row r="6253" spans="1:22" x14ac:dyDescent="0.2">
      <c r="A6253" t="str">
        <f>VLOOKUP(J6253,'dataset mapping'!$A$4:$E$69,2,0)</f>
        <v>fuel cell production, stack solid oxide, 125kW electrical, future</v>
      </c>
      <c r="B6253" s="52">
        <f>(1/(B6242*B6246*B6245))*B6247</f>
        <v>1.5612013277254003E-7</v>
      </c>
      <c r="C6253" t="str">
        <f>VLOOKUP(J6253,'dataset mapping'!$A$4:$E$69,5,0)</f>
        <v>unit</v>
      </c>
      <c r="E6253" t="str">
        <f>VLOOKUP(J6253,'dataset mapping'!$A$4:$E$69,4,0)</f>
        <v>CH</v>
      </c>
      <c r="F6253" t="s">
        <v>86</v>
      </c>
      <c r="G6253" t="str">
        <f>VLOOKUP(J6253,'dataset mapping'!$A$4:$E$69,3,0)</f>
        <v>fuel cell, stack solid oxide, 125kW electrical, future</v>
      </c>
      <c r="H6253" t="s">
        <v>88</v>
      </c>
      <c r="I6253" t="s">
        <v>277</v>
      </c>
      <c r="J6253" t="s">
        <v>274</v>
      </c>
      <c r="K6253" t="str">
        <f>B6213</f>
        <v>electricity, residential, by conversion of hydrogen using fuel cell, SOFC, allocated by exergy, transported by pipeline, produced by Electrolysis, Alkaline using water and electricity from Solar PV (DE)</v>
      </c>
      <c r="L6253">
        <f>IF(OR(B6253&lt;0,B6253=0),1,2)</f>
        <v>2</v>
      </c>
      <c r="M6253">
        <f>IF(L6253=2,LN(B6253),"")</f>
        <v>-15.672640044182527</v>
      </c>
      <c r="N6253">
        <v>1</v>
      </c>
      <c r="O6253" s="15">
        <v>1.2</v>
      </c>
      <c r="P6253">
        <v>1</v>
      </c>
      <c r="Q6253">
        <v>1.01</v>
      </c>
      <c r="R6253">
        <v>1.2</v>
      </c>
      <c r="S6253">
        <v>1.2</v>
      </c>
      <c r="T6253">
        <v>3</v>
      </c>
      <c r="U6253">
        <f>LN(SQRT(EXP(
SQRT(
+POWER(LN(N6253),2)
+POWER(LN(O6253),2)
+POWER(LN(P6253),2)
+POWER(LN(Q6253),2)
+POWER(LN(R6253),2)
+POWER(LN(S6253),2)
+POWER(LN(T6253),2)
)
)))</f>
        <v>0.57157051623399524</v>
      </c>
    </row>
    <row r="6254" spans="1:22" x14ac:dyDescent="0.2">
      <c r="A6254" t="s">
        <v>283</v>
      </c>
      <c r="B6254" s="52">
        <f>(1/(B6242*B6246*B6245))*B6247</f>
        <v>1.5612013277254003E-7</v>
      </c>
      <c r="C6254" t="s">
        <v>55</v>
      </c>
      <c r="E6254" t="s">
        <v>64</v>
      </c>
      <c r="F6254" t="s">
        <v>86</v>
      </c>
      <c r="G6254" t="s">
        <v>284</v>
      </c>
      <c r="H6254" t="s">
        <v>88</v>
      </c>
      <c r="I6254" t="s">
        <v>277</v>
      </c>
      <c r="K6254" t="str">
        <f>B6213</f>
        <v>electricity, residential, by conversion of hydrogen using fuel cell, SOFC, allocated by exergy, transported by pipeline, produced by Electrolysis, Alkaline using water and electricity from Solar PV (DE)</v>
      </c>
      <c r="L6254">
        <f>IF(OR(B6254&lt;0,B6254=0),1,2)</f>
        <v>2</v>
      </c>
      <c r="M6254">
        <f>IF(L6254=2,LN(B6254),"")</f>
        <v>-15.672640044182527</v>
      </c>
      <c r="N6254">
        <v>1</v>
      </c>
      <c r="O6254" s="15">
        <v>1.2</v>
      </c>
      <c r="P6254">
        <v>1</v>
      </c>
      <c r="Q6254">
        <v>1.01</v>
      </c>
      <c r="R6254">
        <v>1.2</v>
      </c>
      <c r="S6254">
        <v>1.2</v>
      </c>
      <c r="T6254">
        <v>3</v>
      </c>
      <c r="U6254">
        <f>LN(SQRT(EXP(
SQRT(
+POWER(LN(N6254),2)
+POWER(LN(O6254),2)
+POWER(LN(P6254),2)
+POWER(LN(Q6254),2)
+POWER(LN(R6254),2)
+POWER(LN(S6254),2)
+POWER(LN(T6254),2)
)
)))</f>
        <v>0.57157051623399524</v>
      </c>
    </row>
    <row r="6255" spans="1:22" x14ac:dyDescent="0.2">
      <c r="A6255" t="s">
        <v>288</v>
      </c>
      <c r="B6255" s="52">
        <f>0.000024*B6247</f>
        <v>2.0738998437504217E-5</v>
      </c>
      <c r="C6255" t="s">
        <v>56</v>
      </c>
      <c r="E6255" t="s">
        <v>64</v>
      </c>
      <c r="F6255" t="s">
        <v>86</v>
      </c>
      <c r="G6255" t="s">
        <v>287</v>
      </c>
      <c r="H6255" t="s">
        <v>88</v>
      </c>
      <c r="K6255" t="str">
        <f>B6213</f>
        <v>electricity, residential, by conversion of hydrogen using fuel cell, SOFC, allocated by exergy, transported by pipeline, produced by Electrolysis, Alkaline using water and electricity from Solar PV (DE)</v>
      </c>
      <c r="L6255">
        <f>IF(OR(B6255&lt;0,B6255=0),1,2)</f>
        <v>2</v>
      </c>
      <c r="M6255">
        <f>IF(L6255=2,LN(B6255),"")</f>
        <v>-10.783494647673981</v>
      </c>
      <c r="N6255">
        <v>1</v>
      </c>
      <c r="O6255" s="15">
        <v>1.2</v>
      </c>
      <c r="P6255">
        <v>1</v>
      </c>
      <c r="Q6255">
        <v>1.01</v>
      </c>
      <c r="R6255">
        <v>1.2</v>
      </c>
      <c r="S6255">
        <v>1.2</v>
      </c>
      <c r="T6255">
        <v>1.05</v>
      </c>
      <c r="U6255">
        <f>LN(SQRT(EXP(
SQRT(
+POWER(LN(N6255),2)
+POWER(LN(O6255),2)
+POWER(LN(P6255),2)
+POWER(LN(Q6255),2)
+POWER(LN(R6255),2)
+POWER(LN(S6255),2)
+POWER(LN(T6255),2)
)
)))</f>
        <v>0.15984597228197622</v>
      </c>
    </row>
    <row r="6256" spans="1:22" x14ac:dyDescent="0.2">
      <c r="A6256" s="45" t="str">
        <f>"hydrogen supply, transported by "&amp;B6227&amp;", produced by "&amp;B6231&amp;" using "&amp;B6232&amp;" from "&amp;B6233</f>
        <v>hydrogen supply, transported by pipeline, produced by Electrolysis, Alkaline using water and electricity from Solar PV (DE)</v>
      </c>
      <c r="B6256" s="53">
        <f>(B6252/B6236)/B6235*B6247</f>
        <v>5.515691073804313E-2</v>
      </c>
      <c r="C6256" t="s">
        <v>56</v>
      </c>
      <c r="E6256" t="s">
        <v>64</v>
      </c>
      <c r="F6256" t="s">
        <v>86</v>
      </c>
      <c r="G6256" t="str">
        <f>"hydrogen, gaseous, from "&amp;B6227</f>
        <v>hydrogen, gaseous, from pipeline</v>
      </c>
      <c r="H6256" t="s">
        <v>76</v>
      </c>
      <c r="I6256" t="s">
        <v>1054</v>
      </c>
      <c r="J6256" t="s">
        <v>297</v>
      </c>
      <c r="K6256" t="str">
        <f>B6213</f>
        <v>electricity, residential, by conversion of hydrogen using fuel cell, SOFC, allocated by exergy, transported by pipeline, produced by Electrolysis, Alkaline using water and electricity from Solar PV (DE)</v>
      </c>
      <c r="L6256">
        <f>IF(OR(B6256&lt;0,B6256=0),1,2)</f>
        <v>2</v>
      </c>
      <c r="M6256">
        <f>IF(L6256=2,LN(B6256),"")</f>
        <v>-2.8975732330996009</v>
      </c>
      <c r="N6256">
        <v>1</v>
      </c>
      <c r="O6256" s="15">
        <v>1.2</v>
      </c>
      <c r="P6256">
        <v>1</v>
      </c>
      <c r="Q6256">
        <v>1.01</v>
      </c>
      <c r="R6256">
        <v>1.2</v>
      </c>
      <c r="S6256">
        <v>1.2</v>
      </c>
      <c r="T6256">
        <v>1.05</v>
      </c>
      <c r="U6256">
        <f>LN(SQRT(EXP(
SQRT(
+POWER(LN(N6256),2)
+POWER(LN(O6256),2)
+POWER(LN(P6256),2)
+POWER(LN(Q6256),2)
+POWER(LN(R6256),2)
+POWER(LN(S6256),2)
+POWER(LN(T6256),2)
)
)))</f>
        <v>0.15984597228197622</v>
      </c>
    </row>
    <row r="6257" spans="1:21" x14ac:dyDescent="0.2">
      <c r="A6257" t="s">
        <v>134</v>
      </c>
      <c r="B6257" s="45">
        <f>B6256*9</f>
        <v>0.49641219664238817</v>
      </c>
      <c r="C6257" t="s">
        <v>56</v>
      </c>
      <c r="D6257" t="s">
        <v>100</v>
      </c>
      <c r="F6257" t="s">
        <v>99</v>
      </c>
      <c r="H6257" t="s">
        <v>131</v>
      </c>
      <c r="I6257" t="s">
        <v>1057</v>
      </c>
      <c r="K6257" t="str">
        <f>B6213</f>
        <v>electricity, residential, by conversion of hydrogen using fuel cell, SOFC, allocated by exergy, transported by pipeline, produced by Electrolysis, Alkaline using water and electricity from Solar PV (DE)</v>
      </c>
      <c r="L6257">
        <f>IF(OR(B6257&lt;0,B6257=0),1,2)</f>
        <v>2</v>
      </c>
      <c r="M6257">
        <f>IF(L6257=2,LN(B6257),"")</f>
        <v>-0.70034865576338168</v>
      </c>
      <c r="N6257">
        <v>1</v>
      </c>
      <c r="O6257" s="15">
        <v>1.2</v>
      </c>
      <c r="P6257">
        <v>1</v>
      </c>
      <c r="Q6257">
        <v>1.01</v>
      </c>
      <c r="R6257">
        <v>1.2</v>
      </c>
      <c r="S6257">
        <v>1.2</v>
      </c>
      <c r="T6257">
        <v>1.05</v>
      </c>
      <c r="U6257">
        <f>LN(SQRT(EXP(
SQRT(
+POWER(LN(N6257),2)
+POWER(LN(O6257),2)
+POWER(LN(P6257),2)
+POWER(LN(Q6257),2)
+POWER(LN(R6257),2)
+POWER(LN(S6257),2)
+POWER(LN(T6257),2)
)
)))</f>
        <v>0.15984597228197622</v>
      </c>
    </row>
    <row r="6259" spans="1:21" x14ac:dyDescent="0.2">
      <c r="A6259" s="2" t="s">
        <v>50</v>
      </c>
      <c r="B6259" s="44" t="str">
        <f>IF(B6265="megajoule","heat","electricity")&amp;", residential, by "&amp;B6270&amp;" of "&amp;B6269&amp;" using "&amp;B6271&amp;IF(B6272&lt;&gt;0,", allocated by "&amp;B6272,"")&amp;", transported by "&amp;B6273&amp;", produced by "&amp;B6277&amp;" using "&amp;B6278&amp;" from "&amp;B6279</f>
        <v>heat, residential, by combustion of hydrogen using boiler, transported by train, produced by Electrolysis, Alkaline using water and electricity from Solar PV (DE)</v>
      </c>
    </row>
    <row r="6260" spans="1:21" x14ac:dyDescent="0.2">
      <c r="A6260" t="s">
        <v>51</v>
      </c>
      <c r="B6260" s="45" t="str">
        <f>"This dataset represents the supply of 1 "&amp;IF(B6265="megajoule","megajoule of heat","kilowatt hour of electricity")&amp;" in a residence, by "&amp;B6269&amp;" "&amp;B6270&amp;" in a "&amp;B6271&amp;". "&amp;" The hydrogen is transported by "&amp;B6273&amp;" over "&amp;B6274&amp;" km from regional storage. "&amp;" The "&amp;B6269&amp;" is produced by  "&amp;B6277&amp;", with "&amp;B6278&amp;" from "&amp;B6279&amp;" as feedstock. "&amp;A6281&amp;": "&amp;(B6281*100)&amp;"%. "&amp;A6282&amp;": "&amp;B6282&amp;". "&amp;A6283&amp;": "&amp;B6283&amp;". "&amp;A6284&amp;": "&amp;(B6284*100)&amp;"%. "&amp;A6285&amp;": "&amp;(B6285*100)&amp;"%. "&amp;A6286&amp;": "&amp;(B6286*100)&amp;"%. "&amp;A6287&amp;": "&amp;B6287&amp;". "&amp;A6288&amp;": "&amp;B6288&amp;". "&amp;A6289&amp;": "&amp;(B6289*100)&amp;"%. "&amp;A6290&amp;": "&amp;B6290&amp;". "&amp;A6291&amp;": "&amp;B6291&amp;". "&amp;A6292&amp;": "&amp;B6292&amp;". "&amp;A6293&amp;": "&amp;B6293&amp;".  For more information, refer to: "&amp;B6261</f>
        <v>This dataset represents the supply of 1 megajoule of heat in a residence, by hydrogen combustion in a boiler.  The hydrogen is transported by train over 1000 km from regional storage.  The hydrogen is produced by  Electrolysis, Alkaline,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6261" spans="1:21" x14ac:dyDescent="0.2">
      <c r="A6261" t="s">
        <v>63</v>
      </c>
      <c r="B6261" s="45" t="s">
        <v>1223</v>
      </c>
    </row>
    <row r="6262" spans="1:21" x14ac:dyDescent="0.2">
      <c r="A6262" t="s">
        <v>52</v>
      </c>
      <c r="B6262" s="45" t="s">
        <v>64</v>
      </c>
    </row>
    <row r="6263" spans="1:21" x14ac:dyDescent="0.2">
      <c r="A6263" t="s">
        <v>48</v>
      </c>
      <c r="B6263" s="45">
        <v>77</v>
      </c>
    </row>
    <row r="6264" spans="1:21" x14ac:dyDescent="0.2">
      <c r="A6264" t="s">
        <v>54</v>
      </c>
      <c r="B6264" s="45" t="str">
        <f>INDEX(overview!$B$4:$R$338,MATCH('hydrogen - electrolysis'!B6263,overview!$A$4:$A$338,0),MATCH('hydrogen - electrolysis'!A6264,overview!$B$3:$R$3,0))</f>
        <v>heat, from residential heating system</v>
      </c>
    </row>
    <row r="6265" spans="1:21" x14ac:dyDescent="0.2">
      <c r="A6265" t="s">
        <v>55</v>
      </c>
      <c r="B6265" s="45" t="str">
        <f>INDEX(overview!$B$4:$R$338,MATCH('hydrogen - electrolysis'!B6263,overview!$A$4:$A$338,0),MATCH('hydrogen - electrolysis'!A6265,overview!$B$3:$R$3,0))</f>
        <v>megajoule</v>
      </c>
    </row>
    <row r="6266" spans="1:21" x14ac:dyDescent="0.2">
      <c r="A6266" t="s">
        <v>0</v>
      </c>
      <c r="B6266" s="45" t="str">
        <f>INDEX(overview!$B$4:$R$338,MATCH('hydrogen - electrolysis'!B6263,overview!$A$4:$A$338,0),MATCH('hydrogen - electrolysis'!A6266,overview!$B$3:$R$3,0))</f>
        <v>Switzerland</v>
      </c>
    </row>
    <row r="6267" spans="1:21" x14ac:dyDescent="0.2">
      <c r="A6267" t="s">
        <v>1</v>
      </c>
      <c r="B6267" s="45">
        <f>INDEX(overview!$B$4:$R$338,MATCH('hydrogen - electrolysis'!B6263,overview!$A$4:$A$338,0),MATCH('hydrogen - electrolysis'!A6267,overview!$B$3:$R$3,0))</f>
        <v>2020</v>
      </c>
    </row>
    <row r="6268" spans="1:21" x14ac:dyDescent="0.2">
      <c r="A6268" t="s">
        <v>2</v>
      </c>
      <c r="B6268" s="45" t="str">
        <f>INDEX(overview!$B$4:$R$338,MATCH('hydrogen - electrolysis'!B6263,overview!$A$4:$A$338,0),MATCH('hydrogen - electrolysis'!A6268,overview!$B$3:$R$3,0))</f>
        <v>1 MJ heat</v>
      </c>
    </row>
    <row r="6269" spans="1:21" x14ac:dyDescent="0.2">
      <c r="A6269" t="s">
        <v>5</v>
      </c>
      <c r="B6269" s="45" t="str">
        <f>INDEX(overview!$B$4:$R$338,MATCH('hydrogen - electrolysis'!B6263,overview!$A$4:$A$338,0),MATCH('hydrogen - electrolysis'!A6269,overview!$B$3:$R$3,0))</f>
        <v>hydrogen</v>
      </c>
    </row>
    <row r="6270" spans="1:21" x14ac:dyDescent="0.2">
      <c r="A6270" t="s">
        <v>3</v>
      </c>
      <c r="B6270" s="45" t="str">
        <f>INDEX(overview!$B$4:$R$338,MATCH('hydrogen - electrolysis'!B6263,overview!$A$4:$A$338,0),MATCH('hydrogen - electrolysis'!A6270,overview!$B$3:$R$3,0))</f>
        <v>combustion</v>
      </c>
    </row>
    <row r="6271" spans="1:21" x14ac:dyDescent="0.2">
      <c r="A6271" t="s">
        <v>6</v>
      </c>
      <c r="B6271" s="45" t="str">
        <f>INDEX(overview!$B$4:$R$338,MATCH('hydrogen - electrolysis'!B6263,overview!$A$4:$A$338,0),MATCH('hydrogen - electrolysis'!A6271,overview!$B$3:$R$3,0))</f>
        <v>boiler</v>
      </c>
    </row>
    <row r="6272" spans="1:21" x14ac:dyDescent="0.2">
      <c r="A6272" t="s">
        <v>39</v>
      </c>
      <c r="B6272" s="45">
        <f>INDEX(overview!$B$4:$R$338,MATCH('hydrogen - electrolysis'!B6263,overview!$A$4:$A$338,0),MATCH('hydrogen - electrolysis'!A6272,overview!$B$3:$R$3,0))</f>
        <v>0</v>
      </c>
    </row>
    <row r="6273" spans="1:2" x14ac:dyDescent="0.2">
      <c r="A6273" t="s">
        <v>4</v>
      </c>
      <c r="B6273" s="45" t="str">
        <f>INDEX(overview!$B$4:$R$338,MATCH('hydrogen - electrolysis'!B6263,overview!$A$4:$A$338,0),MATCH('hydrogen - electrolysis'!A6273,overview!$B$3:$R$3,0))</f>
        <v>train</v>
      </c>
    </row>
    <row r="6274" spans="1:2" x14ac:dyDescent="0.2">
      <c r="A6274" t="s">
        <v>38</v>
      </c>
      <c r="B6274" s="45">
        <f>INDEX(overview!$B$4:$R$338,MATCH('hydrogen - electrolysis'!B6263,overview!$A$4:$A$338,0),MATCH('hydrogen - electrolysis'!A6274,overview!$B$3:$R$3,0))</f>
        <v>1000</v>
      </c>
    </row>
    <row r="6275" spans="1:2" x14ac:dyDescent="0.2">
      <c r="A6275" t="s">
        <v>12</v>
      </c>
      <c r="B6275" s="45" t="str">
        <f>INDEX(overview!$B$4:$R$338,MATCH('hydrogen - electrolysis'!B6263,overview!$A$4:$A$338,0),MATCH('hydrogen - electrolysis'!A6275,overview!$B$3:$R$3,0))</f>
        <v>Pressure vessel for stationary storage</v>
      </c>
    </row>
    <row r="6276" spans="1:2" x14ac:dyDescent="0.2">
      <c r="A6276" t="s">
        <v>34</v>
      </c>
      <c r="B6276" s="45">
        <f>INDEX(overview!$B$4:$R$338,MATCH('hydrogen - electrolysis'!B6263,overview!$A$4:$A$338,0),MATCH('hydrogen - electrolysis'!A6276,overview!$B$3:$R$3,0))</f>
        <v>0</v>
      </c>
    </row>
    <row r="6277" spans="1:2" x14ac:dyDescent="0.2">
      <c r="A6277" t="s">
        <v>15</v>
      </c>
      <c r="B6277" s="45" t="str">
        <f>INDEX(overview!$B$4:$R$338,MATCH('hydrogen - electrolysis'!B6263,overview!$A$4:$A$338,0),MATCH('hydrogen - electrolysis'!A6277,overview!$B$3:$R$3,0))</f>
        <v>Electrolysis, Alkaline</v>
      </c>
    </row>
    <row r="6278" spans="1:2" x14ac:dyDescent="0.2">
      <c r="A6278" t="s">
        <v>14</v>
      </c>
      <c r="B6278" s="45" t="str">
        <f>INDEX(overview!$B$4:$R$338,MATCH('hydrogen - electrolysis'!B6263,overview!$A$4:$A$338,0),MATCH('hydrogen - electrolysis'!A6278,overview!$B$3:$R$3,0))</f>
        <v>water and electricity</v>
      </c>
    </row>
    <row r="6279" spans="1:2" x14ac:dyDescent="0.2">
      <c r="A6279" t="s">
        <v>26</v>
      </c>
      <c r="B6279" s="45" t="str">
        <f>INDEX(overview!$B$4:$R$338,MATCH('hydrogen - electrolysis'!B6263,overview!$A$4:$A$338,0),MATCH('hydrogen - electrolysis'!A6279,overview!$B$3:$R$3,0))</f>
        <v>Solar PV (DE)</v>
      </c>
    </row>
    <row r="6280" spans="1:2" x14ac:dyDescent="0.2">
      <c r="A6280" t="s">
        <v>29</v>
      </c>
      <c r="B6280" s="45">
        <f>INDEX(overview!$B$4:$R$338,MATCH('hydrogen - electrolysis'!B6263,overview!$A$4:$A$338,0),MATCH('hydrogen - electrolysis'!A6280,overview!$B$3:$R$3,0))</f>
        <v>0</v>
      </c>
    </row>
    <row r="6281" spans="1:2" x14ac:dyDescent="0.2">
      <c r="A6281" t="str">
        <f>IF(B6265="megajoule","Heat","Electricity")&amp;" conversion efficiency [% LHV input]"</f>
        <v>Heat conversion efficiency [% LHV input]</v>
      </c>
      <c r="B6281" s="46">
        <f>INDEX(parameters!$D$4:$N$20,MATCH('hydrogen - electrolysis'!B6269&amp;'hydrogen - electrolysis'!B6271,parameters!$A$4:$A$20,0),MATCH('hydrogen - electrolysis'!A6281,parameters!$D$3:$N$3,0))</f>
        <v>0.94</v>
      </c>
    </row>
    <row r="6282" spans="1:2" x14ac:dyDescent="0.2">
      <c r="A6282" t="str">
        <f>IF(B6265="megajoule","LHV [MJ/kg]","LHV [kWh/kg]")</f>
        <v>LHV [MJ/kg]</v>
      </c>
      <c r="B6282" s="47">
        <f>INDEX(parameters!$D$4:$N$20,MATCH('hydrogen - electrolysis'!B6269&amp;'hydrogen - electrolysis'!B6271,parameters!$A$4:$A$20,0),MATCH('hydrogen - electrolysis'!A6282,parameters!$D$3:$N$3,0))</f>
        <v>120</v>
      </c>
    </row>
    <row r="6283" spans="1:2" x14ac:dyDescent="0.2">
      <c r="A6283" t="s">
        <v>41</v>
      </c>
      <c r="B6283" s="48">
        <f>INDEX(parameters!$D$4:$N$20,MATCH('hydrogen - electrolysis'!B6269&amp;'hydrogen - electrolysis'!B6271,parameters!$A$4:$A$20,0),MATCH('hydrogen - electrolysis'!A6283,parameters!$D$3:$N$3,0))</f>
        <v>2.6666666666666665E-2</v>
      </c>
    </row>
    <row r="6284" spans="1:2" x14ac:dyDescent="0.2">
      <c r="A6284" t="s">
        <v>45</v>
      </c>
      <c r="B6284" s="49">
        <f>INDEX(parameters!$D$4:$N$20,MATCH('hydrogen - electrolysis'!B6269&amp;'hydrogen - electrolysis'!B6271,parameters!$A$4:$A$20,0),MATCH('hydrogen - electrolysis'!A6284,parameters!$D$3:$N$3,0))</f>
        <v>0</v>
      </c>
    </row>
    <row r="6285" spans="1:2" x14ac:dyDescent="0.2">
      <c r="A6285" t="s">
        <v>46</v>
      </c>
      <c r="B6285" s="49">
        <f>INDEX(parameters!$D$4:$N$20,MATCH('hydrogen - electrolysis'!B6269&amp;'hydrogen - electrolysis'!B6271,parameters!$A$4:$A$20,0),MATCH('hydrogen - electrolysis'!A6285,parameters!$D$3:$N$3,0))</f>
        <v>1.4999999999999999E-2</v>
      </c>
    </row>
    <row r="6286" spans="1:2" x14ac:dyDescent="0.2">
      <c r="A6286" t="s">
        <v>43</v>
      </c>
      <c r="B6286" s="49">
        <f>INDEX(parameters!$D$4:$N$20,MATCH('hydrogen - electrolysis'!B6269&amp;'hydrogen - electrolysis'!B6271,parameters!$A$4:$A$20,0),MATCH('hydrogen - electrolysis'!A6286,parameters!$D$3:$N$3,0))</f>
        <v>0</v>
      </c>
    </row>
    <row r="6287" spans="1:2" x14ac:dyDescent="0.2">
      <c r="A6287" t="s">
        <v>44</v>
      </c>
      <c r="B6287" s="49">
        <f>INDEX(parameters!$D$4:$N$20,MATCH('hydrogen - electrolysis'!B6269&amp;'hydrogen - electrolysis'!B6271,parameters!$A$4:$A$20,0),MATCH('hydrogen - electrolysis'!A6287,parameters!$D$3:$N$3,0))</f>
        <v>0</v>
      </c>
    </row>
    <row r="6288" spans="1:2" x14ac:dyDescent="0.2">
      <c r="A6288" t="s">
        <v>634</v>
      </c>
      <c r="B6288" s="51">
        <f>INDEX(parameters!$D$4:$Y$20,MATCH('hydrogen - electrolysis'!B6269&amp;'hydrogen - electrolysis'!B6271,parameters!$A$4:$A$20,0),MATCH('hydrogen - electrolysis'!A6288,parameters!$D$3:$Y$3,0))</f>
        <v>15.957446808510639</v>
      </c>
    </row>
    <row r="6289" spans="1:22" x14ac:dyDescent="0.2">
      <c r="A6289" t="s">
        <v>82</v>
      </c>
      <c r="B6289" s="46">
        <f>IF(B6280&lt;&gt;0,VLOOKUP(B6280,parameters!A3947:B3949,2,0),0)</f>
        <v>0</v>
      </c>
    </row>
    <row r="6290" spans="1:22" x14ac:dyDescent="0.2">
      <c r="A6290" t="s">
        <v>548</v>
      </c>
      <c r="B6290" s="50">
        <f>INDEX(parameters!$D$4:$P$20,MATCH(B6269&amp;B6271,parameters!$A$4:$A$20,0),MATCH(A6290,parameters!$D$3:$P$3,0))</f>
        <v>15</v>
      </c>
    </row>
    <row r="6291" spans="1:22" x14ac:dyDescent="0.2">
      <c r="A6291" t="s">
        <v>547</v>
      </c>
      <c r="B6291" s="51">
        <f>INDEX(parameters!$D$4:$P$20,MATCH(B6269&amp;B6271,parameters!$A$4:$A$20,0),MATCH(A6291,parameters!$D$3:$P$3,0))</f>
        <v>20</v>
      </c>
    </row>
    <row r="6292" spans="1:22" x14ac:dyDescent="0.2">
      <c r="A6292" t="s">
        <v>630</v>
      </c>
      <c r="B6292" s="51">
        <f>INDEX(parameters!$D$4:$T$20,MATCH(B6269&amp;B6271,parameters!$A$4:$A$20,0),MATCH(A6292,parameters!$D$3:$T$3,0))</f>
        <v>2100</v>
      </c>
    </row>
    <row r="6293" spans="1:22" x14ac:dyDescent="0.2">
      <c r="A6293" t="s">
        <v>1005</v>
      </c>
      <c r="B6293" s="50">
        <f>IF(B6265="megajoule",SUMIFS(allocation!$I$4:$I$30,allocation!$B$4:$B$30,B6271,allocation!$C$4:$C$30,B6272),SUMIFS(allocation!$J$4:$J$30,allocation!$B$4:$B$30,B6271,allocation!$C$4:$C$30,B6272))</f>
        <v>0</v>
      </c>
    </row>
    <row r="6294" spans="1:22" x14ac:dyDescent="0.2">
      <c r="A6294" t="s">
        <v>1050</v>
      </c>
      <c r="B6294" s="51">
        <f>INDEX(parameters!$D$4:$AB$20,MATCH(B6269&amp;B6271,parameters!$A$4:$A$20,0),MATCH(A6294,parameters!$D$3:$AB$3,0))</f>
        <v>44.562019013128115</v>
      </c>
    </row>
    <row r="6296" spans="1:22" x14ac:dyDescent="0.2">
      <c r="A6296" s="3" t="s">
        <v>57</v>
      </c>
    </row>
    <row r="6297" spans="1:22" x14ac:dyDescent="0.2">
      <c r="A6297" s="2" t="s">
        <v>58</v>
      </c>
      <c r="B6297" s="44" t="s">
        <v>59</v>
      </c>
      <c r="C6297" s="2" t="s">
        <v>55</v>
      </c>
      <c r="D6297" s="2" t="s">
        <v>60</v>
      </c>
      <c r="E6297" s="2" t="s">
        <v>52</v>
      </c>
      <c r="F6297" s="2" t="s">
        <v>61</v>
      </c>
      <c r="G6297" s="2" t="s">
        <v>54</v>
      </c>
      <c r="H6297" s="2" t="s">
        <v>87</v>
      </c>
      <c r="I6297" s="2" t="s">
        <v>51</v>
      </c>
      <c r="J6297" s="2" t="s">
        <v>138</v>
      </c>
      <c r="K6297" s="2" t="s">
        <v>136</v>
      </c>
      <c r="L6297" s="2" t="s">
        <v>221</v>
      </c>
      <c r="M6297" s="2" t="s">
        <v>379</v>
      </c>
      <c r="N6297" s="2" t="s">
        <v>1059</v>
      </c>
      <c r="O6297" s="2" t="s">
        <v>1060</v>
      </c>
      <c r="P6297" s="2" t="s">
        <v>1061</v>
      </c>
      <c r="Q6297" s="2" t="s">
        <v>1062</v>
      </c>
      <c r="R6297" s="2" t="s">
        <v>1063</v>
      </c>
      <c r="S6297" s="2" t="s">
        <v>1064</v>
      </c>
      <c r="T6297" s="2" t="s">
        <v>1065</v>
      </c>
      <c r="U6297" s="2" t="s">
        <v>380</v>
      </c>
      <c r="V6297" s="2" t="s">
        <v>1128</v>
      </c>
    </row>
    <row r="6298" spans="1:22" x14ac:dyDescent="0.2">
      <c r="A6298" t="str">
        <f>B6259</f>
        <v>heat, residential, by combustion of hydrogen using boiler, transported by train, produced by Electrolysis, Alkaline using water and electricity from Solar PV (DE)</v>
      </c>
      <c r="B6298" s="45">
        <v>1</v>
      </c>
      <c r="C6298" t="str">
        <f>B6265</f>
        <v>megajoule</v>
      </c>
      <c r="E6298" t="str">
        <f>B6262</f>
        <v>CH</v>
      </c>
      <c r="F6298" t="s">
        <v>62</v>
      </c>
      <c r="G6298" t="str">
        <f>B6264</f>
        <v>heat, from residential heating system</v>
      </c>
      <c r="K6298" t="str">
        <f>B6259</f>
        <v>heat, residential, by combustion of hydrogen using boiler, transported by train, produced by Electrolysis, Alkaline using water and electricity from Solar PV (DE)</v>
      </c>
    </row>
    <row r="6299" spans="1:22" x14ac:dyDescent="0.2">
      <c r="A6299" t="s">
        <v>83</v>
      </c>
      <c r="B6299" s="52">
        <f>1/(B6290*B6292*B6291*3.6)</f>
        <v>4.4091710758377425E-7</v>
      </c>
      <c r="C6299" t="s">
        <v>55</v>
      </c>
      <c r="E6299" t="s">
        <v>85</v>
      </c>
      <c r="F6299" t="s">
        <v>86</v>
      </c>
      <c r="G6299" t="s">
        <v>84</v>
      </c>
      <c r="H6299" t="s">
        <v>88</v>
      </c>
      <c r="K6299" t="str">
        <f>B6259</f>
        <v>heat, residential, by combustion of hydrogen using boiler, transported by train, produced by Electrolysis, Alkaline using water and electricity from Solar PV (DE)</v>
      </c>
      <c r="L6299">
        <f t="shared" ref="L6299:L6306" si="235">IF(OR(B6299&lt;0,B6299=0),1,2)</f>
        <v>2</v>
      </c>
      <c r="M6299">
        <f t="shared" ref="M6299:M6306" si="236">IF(L6299=2,LN(B6299),"")</f>
        <v>-14.634408943829779</v>
      </c>
      <c r="N6299">
        <v>1.05</v>
      </c>
      <c r="O6299" s="15">
        <v>1.2</v>
      </c>
      <c r="P6299">
        <v>1</v>
      </c>
      <c r="Q6299">
        <v>1.01</v>
      </c>
      <c r="R6299">
        <v>1.2</v>
      </c>
      <c r="S6299">
        <v>1.2</v>
      </c>
      <c r="T6299">
        <v>3</v>
      </c>
      <c r="U6299">
        <f t="shared" ref="U6299:U6306" si="237">LN(SQRT(EXP(
SQRT(
+POWER(LN(N6299),2)
+POWER(LN(O6299),2)
+POWER(LN(P6299),2)
+POWER(LN(Q6299),2)
+POWER(LN(R6299),2)
+POWER(LN(S6299),2)
+POWER(LN(T6299),2)
)
)))</f>
        <v>0.57209088006881903</v>
      </c>
    </row>
    <row r="6300" spans="1:22" x14ac:dyDescent="0.2">
      <c r="A6300" t="s">
        <v>500</v>
      </c>
      <c r="B6300" s="52">
        <f>B6299*2</f>
        <v>8.8183421516754851E-7</v>
      </c>
      <c r="C6300" t="s">
        <v>267</v>
      </c>
      <c r="E6300" t="s">
        <v>85</v>
      </c>
      <c r="F6300" t="s">
        <v>86</v>
      </c>
      <c r="G6300" t="s">
        <v>501</v>
      </c>
      <c r="H6300" t="s">
        <v>88</v>
      </c>
      <c r="I6300" t="s">
        <v>621</v>
      </c>
      <c r="K6300" t="str">
        <f>B6259</f>
        <v>heat, residential, by combustion of hydrogen using boiler, transported by train, produced by Electrolysis, Alkaline using water and electricity from Solar PV (DE)</v>
      </c>
      <c r="L6300">
        <f t="shared" si="235"/>
        <v>2</v>
      </c>
      <c r="M6300">
        <f t="shared" si="236"/>
        <v>-13.941261763269834</v>
      </c>
      <c r="N6300">
        <v>1.05</v>
      </c>
      <c r="O6300" s="15">
        <v>1.2</v>
      </c>
      <c r="P6300">
        <v>1</v>
      </c>
      <c r="Q6300">
        <v>1.01</v>
      </c>
      <c r="R6300">
        <v>1.2</v>
      </c>
      <c r="S6300">
        <v>1.2</v>
      </c>
      <c r="T6300">
        <v>3</v>
      </c>
      <c r="U6300">
        <f t="shared" si="237"/>
        <v>0.57209088006881903</v>
      </c>
    </row>
    <row r="6301" spans="1:22" x14ac:dyDescent="0.2">
      <c r="A6301" t="s">
        <v>130</v>
      </c>
      <c r="B6301" s="52">
        <v>2.64E-3</v>
      </c>
      <c r="C6301" t="s">
        <v>92</v>
      </c>
      <c r="E6301" t="s">
        <v>64</v>
      </c>
      <c r="F6301" t="s">
        <v>86</v>
      </c>
      <c r="G6301" t="s">
        <v>93</v>
      </c>
      <c r="H6301" t="s">
        <v>78</v>
      </c>
      <c r="I6301" t="s">
        <v>270</v>
      </c>
      <c r="J6301" t="s">
        <v>67</v>
      </c>
      <c r="K6301" t="str">
        <f>B6259</f>
        <v>heat, residential, by combustion of hydrogen using boiler, transported by train, produced by Electrolysis, Alkaline using water and electricity from Solar PV (DE)</v>
      </c>
      <c r="L6301">
        <f t="shared" si="235"/>
        <v>2</v>
      </c>
      <c r="M6301">
        <f t="shared" si="236"/>
        <v>-5.9369763618239126</v>
      </c>
      <c r="N6301">
        <v>1.05</v>
      </c>
      <c r="O6301" s="15">
        <v>1.2</v>
      </c>
      <c r="P6301">
        <v>1</v>
      </c>
      <c r="Q6301">
        <v>1.01</v>
      </c>
      <c r="R6301">
        <v>1.2</v>
      </c>
      <c r="S6301">
        <v>1.2</v>
      </c>
      <c r="T6301">
        <v>1.05</v>
      </c>
      <c r="U6301">
        <f t="shared" si="237"/>
        <v>0.16169679924070957</v>
      </c>
    </row>
    <row r="6302" spans="1:22" x14ac:dyDescent="0.2">
      <c r="A6302" s="45" t="str">
        <f>"hydrogen supply, transported by "&amp;B6273&amp;", produced by "&amp;B6277&amp;" using "&amp;B6278&amp;" from "&amp;B6279</f>
        <v>hydrogen supply, transported by train, produced by Electrolysis, Alkaline using water and electricity from Solar PV (DE)</v>
      </c>
      <c r="B6302" s="53">
        <f>(B6298/B6282)/B6281</f>
        <v>8.8652482269503553E-3</v>
      </c>
      <c r="C6302" t="s">
        <v>56</v>
      </c>
      <c r="E6302" t="s">
        <v>64</v>
      </c>
      <c r="F6302" t="s">
        <v>86</v>
      </c>
      <c r="G6302" t="str">
        <f>"hydrogen, gaseous, from "&amp;B6273</f>
        <v>hydrogen, gaseous, from train</v>
      </c>
      <c r="H6302" t="s">
        <v>76</v>
      </c>
      <c r="I6302" t="s">
        <v>1054</v>
      </c>
      <c r="J6302" t="s">
        <v>297</v>
      </c>
      <c r="K6302" t="str">
        <f>B6259</f>
        <v>heat, residential, by combustion of hydrogen using boiler, transported by train, produced by Electrolysis, Alkaline using water and electricity from Solar PV (DE)</v>
      </c>
      <c r="L6302">
        <f t="shared" si="235"/>
        <v>2</v>
      </c>
      <c r="M6302">
        <f t="shared" si="236"/>
        <v>-4.7256163390639587</v>
      </c>
      <c r="N6302">
        <v>1.05</v>
      </c>
      <c r="O6302" s="15">
        <v>1.2</v>
      </c>
      <c r="P6302">
        <v>1</v>
      </c>
      <c r="Q6302">
        <v>1.01</v>
      </c>
      <c r="R6302">
        <v>1.2</v>
      </c>
      <c r="S6302">
        <v>1.2</v>
      </c>
      <c r="T6302">
        <v>1.05</v>
      </c>
      <c r="U6302">
        <f t="shared" si="237"/>
        <v>0.16169679924070957</v>
      </c>
    </row>
    <row r="6303" spans="1:22" x14ac:dyDescent="0.2">
      <c r="A6303" t="str">
        <f>VLOOKUP(J6303,'dataset mapping'!$A$4:$E$69,2,0)</f>
        <v>market for transport, freight train</v>
      </c>
      <c r="B6303" s="45">
        <f>SUM(B6302:B6302)/1000*B6274</f>
        <v>8.8652482269503553E-3</v>
      </c>
      <c r="C6303" t="str">
        <f>VLOOKUP(J6303,'dataset mapping'!$A$4:$E$69,5,0)</f>
        <v>ton kilometer</v>
      </c>
      <c r="E6303" t="str">
        <f>VLOOKUP(J6303,'dataset mapping'!$A$4:$E$69,4,0)</f>
        <v>CH</v>
      </c>
      <c r="F6303" t="s">
        <v>86</v>
      </c>
      <c r="G6303" t="str">
        <f>VLOOKUP(J6303,'dataset mapping'!$A$4:$E$69,3,0)</f>
        <v>transport, freight train</v>
      </c>
      <c r="H6303" t="s">
        <v>88</v>
      </c>
      <c r="I6303" t="s">
        <v>1052</v>
      </c>
      <c r="J6303" t="s">
        <v>295</v>
      </c>
      <c r="K6303" t="str">
        <f>B6259</f>
        <v>heat, residential, by combustion of hydrogen using boiler, transported by train, produced by Electrolysis, Alkaline using water and electricity from Solar PV (DE)</v>
      </c>
      <c r="L6303">
        <f t="shared" si="235"/>
        <v>2</v>
      </c>
      <c r="M6303">
        <f t="shared" si="236"/>
        <v>-4.7256163390639587</v>
      </c>
      <c r="N6303">
        <v>1.05</v>
      </c>
      <c r="O6303" s="15">
        <v>1.2</v>
      </c>
      <c r="P6303">
        <v>1</v>
      </c>
      <c r="Q6303">
        <v>1.01</v>
      </c>
      <c r="R6303">
        <v>1.2</v>
      </c>
      <c r="S6303">
        <v>1.2</v>
      </c>
      <c r="T6303">
        <v>2</v>
      </c>
      <c r="U6303">
        <f t="shared" si="237"/>
        <v>0.38165951885721477</v>
      </c>
    </row>
    <row r="6304" spans="1:22" x14ac:dyDescent="0.2">
      <c r="A6304" t="str">
        <f>VLOOKUP(J6304,'dataset mapping'!$A$4:$E$69,2,0)</f>
        <v>high pressure hydrogen storage tank</v>
      </c>
      <c r="B6304" s="52">
        <f>((B6294/10)/(B6292*B6288*20*3.6))*IF(B6293&lt;&gt;0,B6293,1)</f>
        <v>1.8469267139479905E-6</v>
      </c>
      <c r="C6304" t="str">
        <f>VLOOKUP(J6304,'dataset mapping'!$A$4:$E$69,5,0)</f>
        <v>kilogram</v>
      </c>
      <c r="E6304" t="str">
        <f>VLOOKUP(J6304,'dataset mapping'!$A$4:$E$69,4,0)</f>
        <v>GLO</v>
      </c>
      <c r="F6304" t="s">
        <v>86</v>
      </c>
      <c r="G6304" t="str">
        <f>VLOOKUP(J6304,'dataset mapping'!$A$4:$E$69,3,0)</f>
        <v>high pressure hydrogen storage tank</v>
      </c>
      <c r="H6304" t="s">
        <v>88</v>
      </c>
      <c r="I6304" t="s">
        <v>230</v>
      </c>
      <c r="J6304" t="s">
        <v>229</v>
      </c>
      <c r="K6304" t="str">
        <f>B6259</f>
        <v>heat, residential, by combustion of hydrogen using boiler, transported by train, produced by Electrolysis, Alkaline using water and electricity from Solar PV (DE)</v>
      </c>
      <c r="L6304">
        <f t="shared" si="235"/>
        <v>2</v>
      </c>
      <c r="M6304">
        <f t="shared" si="236"/>
        <v>-13.20198753595994</v>
      </c>
      <c r="N6304">
        <v>1.05</v>
      </c>
      <c r="O6304" s="15">
        <v>1.2</v>
      </c>
      <c r="P6304">
        <v>1</v>
      </c>
      <c r="Q6304">
        <v>1.01</v>
      </c>
      <c r="R6304">
        <v>1.2</v>
      </c>
      <c r="S6304">
        <v>1.2</v>
      </c>
      <c r="T6304">
        <v>3</v>
      </c>
      <c r="U6304">
        <f t="shared" si="237"/>
        <v>0.57209088006881903</v>
      </c>
    </row>
    <row r="6305" spans="1:21" x14ac:dyDescent="0.2">
      <c r="A6305" t="s">
        <v>134</v>
      </c>
      <c r="B6305" s="45">
        <f>B6302*9</f>
        <v>7.9787234042553196E-2</v>
      </c>
      <c r="C6305" t="s">
        <v>56</v>
      </c>
      <c r="D6305" t="s">
        <v>100</v>
      </c>
      <c r="F6305" t="s">
        <v>99</v>
      </c>
      <c r="H6305" t="s">
        <v>131</v>
      </c>
      <c r="I6305" t="s">
        <v>1058</v>
      </c>
      <c r="K6305" t="str">
        <f>B6259</f>
        <v>heat, residential, by combustion of hydrogen using boiler, transported by train, produced by Electrolysis, Alkaline using water and electricity from Solar PV (DE)</v>
      </c>
      <c r="L6305">
        <f t="shared" si="235"/>
        <v>2</v>
      </c>
      <c r="M6305">
        <f t="shared" si="236"/>
        <v>-2.5283917617277392</v>
      </c>
      <c r="N6305">
        <v>1.05</v>
      </c>
      <c r="O6305" s="15">
        <v>1.2</v>
      </c>
      <c r="P6305">
        <v>1</v>
      </c>
      <c r="Q6305">
        <v>1.01</v>
      </c>
      <c r="R6305">
        <v>1.2</v>
      </c>
      <c r="S6305">
        <v>1.2</v>
      </c>
      <c r="T6305">
        <v>1.05</v>
      </c>
      <c r="U6305">
        <f t="shared" si="237"/>
        <v>0.16169679924070957</v>
      </c>
    </row>
    <row r="6306" spans="1:21" x14ac:dyDescent="0.2">
      <c r="A6306" t="s">
        <v>135</v>
      </c>
      <c r="B6306" s="45">
        <f>912.5/1000000*B6303</f>
        <v>8.0895390070921995E-6</v>
      </c>
      <c r="C6306" t="s">
        <v>56</v>
      </c>
      <c r="D6306" t="s">
        <v>100</v>
      </c>
      <c r="F6306" t="s">
        <v>99</v>
      </c>
      <c r="H6306" t="s">
        <v>131</v>
      </c>
      <c r="I6306" t="s">
        <v>1217</v>
      </c>
      <c r="K6306" t="str">
        <f>B6259</f>
        <v>heat, residential, by combustion of hydrogen using boiler, transported by train, produced by Electrolysis, Alkaline using water and electricity from Solar PV (DE)</v>
      </c>
      <c r="L6306">
        <f t="shared" si="235"/>
        <v>2</v>
      </c>
      <c r="M6306">
        <f t="shared" si="236"/>
        <v>-11.724938811571587</v>
      </c>
      <c r="N6306">
        <v>1.05</v>
      </c>
      <c r="O6306" s="15">
        <v>1.2</v>
      </c>
      <c r="P6306">
        <v>1</v>
      </c>
      <c r="Q6306">
        <v>1.01</v>
      </c>
      <c r="R6306">
        <v>1.2</v>
      </c>
      <c r="S6306">
        <v>1.2</v>
      </c>
      <c r="T6306">
        <v>1.5</v>
      </c>
      <c r="U6306">
        <f t="shared" si="237"/>
        <v>0.25816898211842121</v>
      </c>
    </row>
    <row r="6308" spans="1:21" x14ac:dyDescent="0.2">
      <c r="A6308" s="2" t="s">
        <v>50</v>
      </c>
      <c r="B6308" s="44" t="str">
        <f>IF(B6314="megajoule","heat","electricity")&amp;", residential, by "&amp;B6319&amp;" of "&amp;B6318&amp;" using "&amp;B6320&amp;IF(B6321&lt;&gt;0,", allocated by "&amp;B6321,"")&amp;", transported by "&amp;B6322&amp;", produced by "&amp;B6326&amp;" using "&amp;B6327&amp;" from "&amp;B6328</f>
        <v>heat, residential, by combustion of hydrogen using CHP, allocated by exergy, transported by train, produced by Electrolysis, Alkaline using water and electricity from Solar PV (DE)</v>
      </c>
    </row>
    <row r="6309" spans="1:21" x14ac:dyDescent="0.2">
      <c r="A6309" t="s">
        <v>51</v>
      </c>
      <c r="B6309" s="45" t="str">
        <f>"This dataset represents the supply of 1 "&amp;IF(B6314="megajoule","megajoule of heat","kilowatt hour of electricity")&amp;" in a residence, by "&amp;B6318&amp;" "&amp;B6319&amp;" in a "&amp;B6320&amp;". "&amp;" The hydrogen is transported by "&amp;B6322&amp;" over "&amp;B6323&amp;" km from regional storage. "&amp;" The "&amp;B6318&amp;" is produced by  "&amp;B6326&amp;", with "&amp;B6327&amp;" from "&amp;B6328&amp;" as feedstock. "&amp;A6330&amp;": "&amp;(B6330*100)&amp;"%. "&amp;A6331&amp;": "&amp;B6331&amp;". "&amp;A6332&amp;": "&amp;B6332&amp;". "&amp;A6333&amp;": "&amp;(B6333*100)&amp;"%. "&amp;A6334&amp;": "&amp;(B6334*100)&amp;"%. "&amp;A6335&amp;": "&amp;(B6335*100)&amp;"%. "&amp;A6336&amp;": "&amp;B6336&amp;". "&amp;A6337&amp;": "&amp;B6337&amp;". "&amp;A6338&amp;": "&amp;(B6338*100)&amp;"%. "&amp;A6339&amp;": "&amp;B6339&amp;". "&amp;A6340&amp;": "&amp;B6340&amp;". "&amp;A6341&amp;": "&amp;B6341&amp;". "&amp;A6342&amp;": "&amp;B6342&amp;".  For more information, refer to: "&amp;B6310</f>
        <v>This dataset represents the supply of 1 megajoule of heat in a residence, by hydrogen combustion in a CHP.  The hydrogen is transported by train over 1000 km from regional storage.  The hydrogen is produced by  Electrolysis, Alkaline,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6310" spans="1:21" x14ac:dyDescent="0.2">
      <c r="A6310" t="s">
        <v>63</v>
      </c>
      <c r="B6310" s="45" t="s">
        <v>1223</v>
      </c>
    </row>
    <row r="6311" spans="1:21" x14ac:dyDescent="0.2">
      <c r="A6311" t="s">
        <v>52</v>
      </c>
      <c r="B6311" s="45" t="s">
        <v>64</v>
      </c>
    </row>
    <row r="6312" spans="1:21" x14ac:dyDescent="0.2">
      <c r="A6312" t="s">
        <v>48</v>
      </c>
      <c r="B6312" s="45">
        <v>78</v>
      </c>
    </row>
    <row r="6313" spans="1:21" x14ac:dyDescent="0.2">
      <c r="A6313" t="s">
        <v>54</v>
      </c>
      <c r="B6313" s="45" t="str">
        <f>INDEX(overview!$B$4:$R$338,MATCH('hydrogen - electrolysis'!B6312,overview!$A$4:$A$338,0),MATCH('hydrogen - electrolysis'!A6313,overview!$B$3:$R$3,0))</f>
        <v>heat, from residential heating system</v>
      </c>
    </row>
    <row r="6314" spans="1:21" x14ac:dyDescent="0.2">
      <c r="A6314" t="s">
        <v>55</v>
      </c>
      <c r="B6314" s="45" t="str">
        <f>INDEX(overview!$B$4:$R$338,MATCH('hydrogen - electrolysis'!B6312,overview!$A$4:$A$338,0),MATCH('hydrogen - electrolysis'!A6314,overview!$B$3:$R$3,0))</f>
        <v>megajoule</v>
      </c>
    </row>
    <row r="6315" spans="1:21" x14ac:dyDescent="0.2">
      <c r="A6315" t="s">
        <v>0</v>
      </c>
      <c r="B6315" s="45" t="str">
        <f>INDEX(overview!$B$4:$R$338,MATCH('hydrogen - electrolysis'!B6312,overview!$A$4:$A$338,0),MATCH('hydrogen - electrolysis'!A6315,overview!$B$3:$R$3,0))</f>
        <v>Switzerland</v>
      </c>
    </row>
    <row r="6316" spans="1:21" x14ac:dyDescent="0.2">
      <c r="A6316" t="s">
        <v>1</v>
      </c>
      <c r="B6316" s="45">
        <f>INDEX(overview!$B$4:$R$338,MATCH('hydrogen - electrolysis'!B6312,overview!$A$4:$A$338,0),MATCH('hydrogen - electrolysis'!A6316,overview!$B$3:$R$3,0))</f>
        <v>2020</v>
      </c>
    </row>
    <row r="6317" spans="1:21" x14ac:dyDescent="0.2">
      <c r="A6317" t="s">
        <v>2</v>
      </c>
      <c r="B6317" s="45" t="str">
        <f>INDEX(overview!$B$4:$R$338,MATCH('hydrogen - electrolysis'!B6312,overview!$A$4:$A$338,0),MATCH('hydrogen - electrolysis'!A6317,overview!$B$3:$R$3,0))</f>
        <v>1 MJ heat</v>
      </c>
    </row>
    <row r="6318" spans="1:21" x14ac:dyDescent="0.2">
      <c r="A6318" t="s">
        <v>5</v>
      </c>
      <c r="B6318" s="45" t="str">
        <f>INDEX(overview!$B$4:$R$338,MATCH('hydrogen - electrolysis'!B6312,overview!$A$4:$A$338,0),MATCH('hydrogen - electrolysis'!A6318,overview!$B$3:$R$3,0))</f>
        <v>hydrogen</v>
      </c>
    </row>
    <row r="6319" spans="1:21" x14ac:dyDescent="0.2">
      <c r="A6319" t="s">
        <v>3</v>
      </c>
      <c r="B6319" s="45" t="str">
        <f>INDEX(overview!$B$4:$R$338,MATCH('hydrogen - electrolysis'!B6312,overview!$A$4:$A$338,0),MATCH('hydrogen - electrolysis'!A6319,overview!$B$3:$R$3,0))</f>
        <v>combustion</v>
      </c>
    </row>
    <row r="6320" spans="1:21" x14ac:dyDescent="0.2">
      <c r="A6320" t="s">
        <v>6</v>
      </c>
      <c r="B6320" s="45" t="str">
        <f>INDEX(overview!$B$4:$R$338,MATCH('hydrogen - electrolysis'!B6312,overview!$A$4:$A$338,0),MATCH('hydrogen - electrolysis'!A6320,overview!$B$3:$R$3,0))</f>
        <v>CHP</v>
      </c>
    </row>
    <row r="6321" spans="1:2" x14ac:dyDescent="0.2">
      <c r="A6321" t="s">
        <v>39</v>
      </c>
      <c r="B6321" s="45" t="str">
        <f>INDEX(overview!$B$4:$R$338,MATCH('hydrogen - electrolysis'!B6312,overview!$A$4:$A$338,0),MATCH('hydrogen - electrolysis'!A6321,overview!$B$3:$R$3,0))</f>
        <v>exergy</v>
      </c>
    </row>
    <row r="6322" spans="1:2" x14ac:dyDescent="0.2">
      <c r="A6322" t="s">
        <v>4</v>
      </c>
      <c r="B6322" s="45" t="str">
        <f>INDEX(overview!$B$4:$R$338,MATCH('hydrogen - electrolysis'!B6312,overview!$A$4:$A$338,0),MATCH('hydrogen - electrolysis'!A6322,overview!$B$3:$R$3,0))</f>
        <v>train</v>
      </c>
    </row>
    <row r="6323" spans="1:2" x14ac:dyDescent="0.2">
      <c r="A6323" t="s">
        <v>38</v>
      </c>
      <c r="B6323" s="45">
        <f>INDEX(overview!$B$4:$R$338,MATCH('hydrogen - electrolysis'!B6312,overview!$A$4:$A$338,0),MATCH('hydrogen - electrolysis'!A6323,overview!$B$3:$R$3,0))</f>
        <v>1000</v>
      </c>
    </row>
    <row r="6324" spans="1:2" x14ac:dyDescent="0.2">
      <c r="A6324" t="s">
        <v>12</v>
      </c>
      <c r="B6324" s="45" t="str">
        <f>INDEX(overview!$B$4:$R$338,MATCH('hydrogen - electrolysis'!B6312,overview!$A$4:$A$338,0),MATCH('hydrogen - electrolysis'!A6324,overview!$B$3:$R$3,0))</f>
        <v>Pressure vessel for stationary storage</v>
      </c>
    </row>
    <row r="6325" spans="1:2" x14ac:dyDescent="0.2">
      <c r="A6325" t="s">
        <v>34</v>
      </c>
      <c r="B6325" s="45">
        <f>INDEX(overview!$B$4:$R$338,MATCH('hydrogen - electrolysis'!B6312,overview!$A$4:$A$338,0),MATCH('hydrogen - electrolysis'!A6325,overview!$B$3:$R$3,0))</f>
        <v>0</v>
      </c>
    </row>
    <row r="6326" spans="1:2" x14ac:dyDescent="0.2">
      <c r="A6326" t="s">
        <v>15</v>
      </c>
      <c r="B6326" s="45" t="str">
        <f>INDEX(overview!$B$4:$R$338,MATCH('hydrogen - electrolysis'!B6312,overview!$A$4:$A$338,0),MATCH('hydrogen - electrolysis'!A6326,overview!$B$3:$R$3,0))</f>
        <v>Electrolysis, Alkaline</v>
      </c>
    </row>
    <row r="6327" spans="1:2" x14ac:dyDescent="0.2">
      <c r="A6327" t="s">
        <v>14</v>
      </c>
      <c r="B6327" s="45" t="str">
        <f>INDEX(overview!$B$4:$R$338,MATCH('hydrogen - electrolysis'!B6312,overview!$A$4:$A$338,0),MATCH('hydrogen - electrolysis'!A6327,overview!$B$3:$R$3,0))</f>
        <v>water and electricity</v>
      </c>
    </row>
    <row r="6328" spans="1:2" x14ac:dyDescent="0.2">
      <c r="A6328" t="s">
        <v>26</v>
      </c>
      <c r="B6328" s="45" t="str">
        <f>INDEX(overview!$B$4:$R$338,MATCH('hydrogen - electrolysis'!B6312,overview!$A$4:$A$338,0),MATCH('hydrogen - electrolysis'!A6328,overview!$B$3:$R$3,0))</f>
        <v>Solar PV (DE)</v>
      </c>
    </row>
    <row r="6329" spans="1:2" x14ac:dyDescent="0.2">
      <c r="A6329" t="s">
        <v>29</v>
      </c>
      <c r="B6329" s="45">
        <f>INDEX(overview!$B$4:$R$338,MATCH('hydrogen - electrolysis'!B6312,overview!$A$4:$A$338,0),MATCH('hydrogen - electrolysis'!A6329,overview!$B$3:$R$3,0))</f>
        <v>0</v>
      </c>
    </row>
    <row r="6330" spans="1:2" x14ac:dyDescent="0.2">
      <c r="A6330" t="str">
        <f>IF(B6314="megajoule","Heat","Electricity")&amp;" conversion efficiency [% LHV input]"</f>
        <v>Heat conversion efficiency [% LHV input]</v>
      </c>
      <c r="B6330" s="46">
        <f>INDEX(parameters!$D$4:$N$20,MATCH('hydrogen - electrolysis'!B6318&amp;'hydrogen - electrolysis'!B6320,parameters!$A$4:$A$20,0),MATCH('hydrogen - electrolysis'!A6330,parameters!$D$3:$N$3,0))</f>
        <v>0.41699999999999998</v>
      </c>
    </row>
    <row r="6331" spans="1:2" x14ac:dyDescent="0.2">
      <c r="A6331" t="str">
        <f>IF(B6314="megajoule","LHV [MJ/kg]","LHV [kWh/kg]")</f>
        <v>LHV [MJ/kg]</v>
      </c>
      <c r="B6331" s="47">
        <f>INDEX(parameters!$D$4:$N$20,MATCH('hydrogen - electrolysis'!B6318&amp;'hydrogen - electrolysis'!B6320,parameters!$A$4:$A$20,0),MATCH('hydrogen - electrolysis'!A6331,parameters!$D$3:$N$3,0))</f>
        <v>120</v>
      </c>
    </row>
    <row r="6332" spans="1:2" x14ac:dyDescent="0.2">
      <c r="A6332" t="s">
        <v>41</v>
      </c>
      <c r="B6332" s="48">
        <f>INDEX(parameters!$D$4:$N$20,MATCH('hydrogen - electrolysis'!B6318&amp;'hydrogen - electrolysis'!B6320,parameters!$A$4:$A$20,0),MATCH('hydrogen - electrolysis'!A6332,parameters!$D$3:$N$3,0))</f>
        <v>2.6666666666666665E-2</v>
      </c>
    </row>
    <row r="6333" spans="1:2" x14ac:dyDescent="0.2">
      <c r="A6333" t="s">
        <v>45</v>
      </c>
      <c r="B6333" s="46">
        <f>INDEX(parameters!$D$4:$N$20,MATCH('hydrogen - electrolysis'!B6318&amp;'hydrogen - electrolysis'!B6320,parameters!$A$4:$A$20,0),MATCH('hydrogen - electrolysis'!A6333,parameters!$D$3:$N$3,0))</f>
        <v>0</v>
      </c>
    </row>
    <row r="6334" spans="1:2" x14ac:dyDescent="0.2">
      <c r="A6334" t="s">
        <v>46</v>
      </c>
      <c r="B6334" s="46">
        <f>INDEX(parameters!$D$4:$N$20,MATCH('hydrogen - electrolysis'!B6318&amp;'hydrogen - electrolysis'!B6320,parameters!$A$4:$A$20,0),MATCH('hydrogen - electrolysis'!A6334,parameters!$D$3:$N$3,0))</f>
        <v>1.4999999999999999E-2</v>
      </c>
    </row>
    <row r="6335" spans="1:2" x14ac:dyDescent="0.2">
      <c r="A6335" t="s">
        <v>43</v>
      </c>
      <c r="B6335" s="46">
        <f>INDEX(parameters!$D$4:$N$20,MATCH('hydrogen - electrolysis'!B6318&amp;'hydrogen - electrolysis'!B6320,parameters!$A$4:$A$20,0),MATCH('hydrogen - electrolysis'!A6335,parameters!$D$3:$N$3,0))</f>
        <v>0</v>
      </c>
    </row>
    <row r="6336" spans="1:2" x14ac:dyDescent="0.2">
      <c r="A6336" t="s">
        <v>44</v>
      </c>
      <c r="B6336" s="46">
        <f>INDEX(parameters!$D$4:$N$20,MATCH('hydrogen - electrolysis'!B6318&amp;'hydrogen - electrolysis'!B6320,parameters!$A$4:$A$20,0),MATCH('hydrogen - electrolysis'!A6336,parameters!$D$3:$N$3,0))</f>
        <v>0</v>
      </c>
    </row>
    <row r="6337" spans="1:22" x14ac:dyDescent="0.2">
      <c r="A6337" t="s">
        <v>634</v>
      </c>
      <c r="B6337" s="51">
        <f>INDEX(parameters!$D$4:$Y$20,MATCH('hydrogen - electrolysis'!B6318&amp;'hydrogen - electrolysis'!B6320,parameters!$A$4:$A$20,0),MATCH('hydrogen - electrolysis'!A6337,parameters!$D$3:$Y$3,0))</f>
        <v>351.41800246609125</v>
      </c>
    </row>
    <row r="6338" spans="1:22" x14ac:dyDescent="0.2">
      <c r="A6338" t="s">
        <v>82</v>
      </c>
      <c r="B6338" s="46">
        <f>IF(B6329&lt;&gt;0,VLOOKUP(B6329,parameters!A3998:B4000,2,0),0)</f>
        <v>0</v>
      </c>
    </row>
    <row r="6339" spans="1:22" x14ac:dyDescent="0.2">
      <c r="A6339" t="s">
        <v>548</v>
      </c>
      <c r="B6339" s="50">
        <f>INDEX(parameters!$D$4:$P$20,MATCH(B6318&amp;B6320,parameters!$A$4:$A$20,0),MATCH(A6339,parameters!$D$3:$P$3,0))</f>
        <v>125</v>
      </c>
    </row>
    <row r="6340" spans="1:22" x14ac:dyDescent="0.2">
      <c r="A6340" t="s">
        <v>547</v>
      </c>
      <c r="B6340" s="51">
        <f>INDEX(parameters!$D$4:$P$20,MATCH(B6318&amp;B6320,parameters!$A$4:$A$20,0),MATCH(A6340,parameters!$D$3:$P$3,0))</f>
        <v>19.512195121951219</v>
      </c>
    </row>
    <row r="6341" spans="1:22" x14ac:dyDescent="0.2">
      <c r="A6341" t="s">
        <v>630</v>
      </c>
      <c r="B6341" s="51">
        <f>INDEX(parameters!$D$4:$T$20,MATCH(B6318&amp;B6320,parameters!$A$4:$A$20,0),MATCH(A6341,parameters!$D$3:$T$3,0))</f>
        <v>4100</v>
      </c>
    </row>
    <row r="6342" spans="1:22" x14ac:dyDescent="0.2">
      <c r="A6342" t="s">
        <v>1005</v>
      </c>
      <c r="B6342" s="50">
        <f>IF(B6314="megajoule",SUMIFS(allocation!$I$4:$I$30,allocation!$B$4:$B$30,B6320,allocation!$C$4:$C$30,B6321),SUMIFS(allocation!$J$4:$J$30,allocation!$B$4:$B$30,B6320,allocation!$C$4:$C$30,B6321))</f>
        <v>0.12860042227295038</v>
      </c>
    </row>
    <row r="6343" spans="1:22" x14ac:dyDescent="0.2">
      <c r="A6343" t="s">
        <v>1050</v>
      </c>
      <c r="B6343" s="51">
        <f>INDEX(parameters!$D$4:$AB$20,MATCH(B6318&amp;B6320,parameters!$A$4:$A$20,0),MATCH(A6343,parameters!$D$3:$AB$3,0))</f>
        <v>2220.7364520822662</v>
      </c>
    </row>
    <row r="6345" spans="1:22" x14ac:dyDescent="0.2">
      <c r="A6345" s="3" t="s">
        <v>57</v>
      </c>
    </row>
    <row r="6346" spans="1:22" x14ac:dyDescent="0.2">
      <c r="A6346" s="2" t="s">
        <v>58</v>
      </c>
      <c r="B6346" s="44" t="s">
        <v>59</v>
      </c>
      <c r="C6346" s="2" t="s">
        <v>55</v>
      </c>
      <c r="D6346" s="2" t="s">
        <v>60</v>
      </c>
      <c r="E6346" s="2" t="s">
        <v>52</v>
      </c>
      <c r="F6346" s="2" t="s">
        <v>61</v>
      </c>
      <c r="G6346" s="2" t="s">
        <v>54</v>
      </c>
      <c r="H6346" s="2" t="s">
        <v>87</v>
      </c>
      <c r="I6346" s="2" t="s">
        <v>51</v>
      </c>
      <c r="J6346" s="2" t="s">
        <v>138</v>
      </c>
      <c r="K6346" s="2" t="s">
        <v>136</v>
      </c>
      <c r="L6346" s="2" t="s">
        <v>221</v>
      </c>
      <c r="M6346" s="2" t="s">
        <v>379</v>
      </c>
      <c r="N6346" s="2" t="s">
        <v>1059</v>
      </c>
      <c r="O6346" s="2" t="s">
        <v>1060</v>
      </c>
      <c r="P6346" s="2" t="s">
        <v>1061</v>
      </c>
      <c r="Q6346" s="2" t="s">
        <v>1062</v>
      </c>
      <c r="R6346" s="2" t="s">
        <v>1063</v>
      </c>
      <c r="S6346" s="2" t="s">
        <v>1064</v>
      </c>
      <c r="T6346" s="2" t="s">
        <v>1065</v>
      </c>
      <c r="U6346" s="2" t="s">
        <v>380</v>
      </c>
      <c r="V6346" s="2" t="s">
        <v>1128</v>
      </c>
    </row>
    <row r="6347" spans="1:22" x14ac:dyDescent="0.2">
      <c r="A6347" t="str">
        <f>B6308</f>
        <v>heat, residential, by combustion of hydrogen using CHP, allocated by exergy, transported by train, produced by Electrolysis, Alkaline using water and electricity from Solar PV (DE)</v>
      </c>
      <c r="B6347" s="45">
        <v>1</v>
      </c>
      <c r="C6347" t="str">
        <f>B6314</f>
        <v>megajoule</v>
      </c>
      <c r="E6347" t="str">
        <f>B6311</f>
        <v>CH</v>
      </c>
      <c r="F6347" t="s">
        <v>62</v>
      </c>
      <c r="G6347" t="str">
        <f>B6313</f>
        <v>heat, from residential heating system</v>
      </c>
      <c r="K6347" t="str">
        <f>B6308</f>
        <v>heat, residential, by combustion of hydrogen using CHP, allocated by exergy, transported by train, produced by Electrolysis, Alkaline using water and electricity from Solar PV (DE)</v>
      </c>
    </row>
    <row r="6348" spans="1:22" x14ac:dyDescent="0.2">
      <c r="A6348" t="str">
        <f>VLOOKUP(J6348,'dataset mapping'!$A$4:$E$69,2,0)</f>
        <v>heat and power co-generation unit construction, 160kW electrical, common components for heat+electricity</v>
      </c>
      <c r="B6348" s="52">
        <f>(1/(B6337*B6341*B6340*3.6))*B6342</f>
        <v>1.270649883812899E-9</v>
      </c>
      <c r="C6348" t="str">
        <f>VLOOKUP(J6348,'dataset mapping'!$A$4:$E$69,5,0)</f>
        <v>unit</v>
      </c>
      <c r="E6348" t="str">
        <f>VLOOKUP(J6348,'dataset mapping'!$A$4:$E$69,4,0)</f>
        <v>RER</v>
      </c>
      <c r="F6348" t="s">
        <v>86</v>
      </c>
      <c r="G6348" t="str">
        <f>VLOOKUP(J6348,'dataset mapping'!$A$4:$E$69,3,0)</f>
        <v>heat and power co-generation unit, 160kW electrical, common components for heat+electricity</v>
      </c>
      <c r="H6348" t="s">
        <v>88</v>
      </c>
      <c r="J6348" t="s">
        <v>145</v>
      </c>
      <c r="K6348" t="str">
        <f>B6308</f>
        <v>heat, residential, by combustion of hydrogen using CHP, allocated by exergy, transported by train, produced by Electrolysis, Alkaline using water and electricity from Solar PV (DE)</v>
      </c>
      <c r="L6348">
        <f t="shared" ref="L6348:L6357" si="238">IF(OR(B6348&lt;0,B6348=0),1,2)</f>
        <v>2</v>
      </c>
      <c r="M6348">
        <f t="shared" ref="M6348:M6357" si="239">IF(L6348=2,LN(B6348),"")</f>
        <v>-20.48373734782199</v>
      </c>
      <c r="N6348">
        <v>1.05</v>
      </c>
      <c r="O6348" s="15">
        <v>1.2</v>
      </c>
      <c r="P6348">
        <v>1</v>
      </c>
      <c r="Q6348">
        <v>1.01</v>
      </c>
      <c r="R6348">
        <v>1.2</v>
      </c>
      <c r="S6348">
        <v>1.2</v>
      </c>
      <c r="T6348">
        <v>3</v>
      </c>
      <c r="U6348">
        <f t="shared" ref="U6348:U6357" si="240">LN(SQRT(EXP(
SQRT(
+POWER(LN(N6348),2)
+POWER(LN(O6348),2)
+POWER(LN(P6348),2)
+POWER(LN(Q6348),2)
+POWER(LN(R6348),2)
+POWER(LN(S6348),2)
+POWER(LN(T6348),2)
)
)))</f>
        <v>0.57209088006881903</v>
      </c>
    </row>
    <row r="6349" spans="1:22" x14ac:dyDescent="0.2">
      <c r="A6349" t="str">
        <f>VLOOKUP(J6349,'dataset mapping'!$A$4:$E$69,2,0)</f>
        <v>heat and power co-generation unit construction, 160kW electrical, components for electricity only</v>
      </c>
      <c r="B6349" s="52">
        <f>(1/(B6337*B6341*B6340*3.6))*B6342</f>
        <v>1.270649883812899E-9</v>
      </c>
      <c r="C6349" t="str">
        <f>VLOOKUP(J6349,'dataset mapping'!$A$4:$E$69,5,0)</f>
        <v>unit</v>
      </c>
      <c r="E6349" t="str">
        <f>VLOOKUP(J6349,'dataset mapping'!$A$4:$E$69,4,0)</f>
        <v>RER</v>
      </c>
      <c r="F6349" t="s">
        <v>86</v>
      </c>
      <c r="G6349" t="str">
        <f>VLOOKUP(J6349,'dataset mapping'!$A$4:$E$69,3,0)</f>
        <v>heat and power co-generation unit, 160kW electrical, components for electricity only</v>
      </c>
      <c r="H6349" t="s">
        <v>88</v>
      </c>
      <c r="J6349" t="s">
        <v>146</v>
      </c>
      <c r="K6349" t="str">
        <f>B6308</f>
        <v>heat, residential, by combustion of hydrogen using CHP, allocated by exergy, transported by train, produced by Electrolysis, Alkaline using water and electricity from Solar PV (DE)</v>
      </c>
      <c r="L6349">
        <f t="shared" si="238"/>
        <v>2</v>
      </c>
      <c r="M6349">
        <f t="shared" si="239"/>
        <v>-20.48373734782199</v>
      </c>
      <c r="N6349">
        <v>1.05</v>
      </c>
      <c r="O6349" s="15">
        <v>1.2</v>
      </c>
      <c r="P6349">
        <v>1</v>
      </c>
      <c r="Q6349">
        <v>1.01</v>
      </c>
      <c r="R6349">
        <v>1.2</v>
      </c>
      <c r="S6349">
        <v>1.2</v>
      </c>
      <c r="T6349">
        <v>3</v>
      </c>
      <c r="U6349">
        <f t="shared" si="240"/>
        <v>0.57209088006881903</v>
      </c>
    </row>
    <row r="6350" spans="1:22" x14ac:dyDescent="0.2">
      <c r="A6350" t="str">
        <f>VLOOKUP(J6350,'dataset mapping'!$A$4:$E$69,2,0)</f>
        <v>heat and power co-generation unit construction, 160kW electrical, components for heat only</v>
      </c>
      <c r="B6350" s="52">
        <f>(1/(B6337*B6341*B6340*3.6))*B6342</f>
        <v>1.270649883812899E-9</v>
      </c>
      <c r="C6350" t="str">
        <f>VLOOKUP(J6350,'dataset mapping'!$A$4:$E$69,5,0)</f>
        <v>unit</v>
      </c>
      <c r="E6350" t="str">
        <f>VLOOKUP(J6350,'dataset mapping'!$A$4:$E$69,4,0)</f>
        <v>RER</v>
      </c>
      <c r="F6350" t="s">
        <v>86</v>
      </c>
      <c r="G6350" t="str">
        <f>VLOOKUP(J6350,'dataset mapping'!$A$4:$E$69,3,0)</f>
        <v>heat and power co-generation unit, 160kW electrical, components for heat only</v>
      </c>
      <c r="H6350" t="s">
        <v>88</v>
      </c>
      <c r="J6350" t="s">
        <v>147</v>
      </c>
      <c r="K6350" t="str">
        <f>B6308</f>
        <v>heat, residential, by combustion of hydrogen using CHP, allocated by exergy, transported by train, produced by Electrolysis, Alkaline using water and electricity from Solar PV (DE)</v>
      </c>
      <c r="L6350">
        <f t="shared" si="238"/>
        <v>2</v>
      </c>
      <c r="M6350">
        <f t="shared" si="239"/>
        <v>-20.48373734782199</v>
      </c>
      <c r="N6350">
        <v>1.05</v>
      </c>
      <c r="O6350" s="15">
        <v>1.2</v>
      </c>
      <c r="P6350">
        <v>1</v>
      </c>
      <c r="Q6350">
        <v>1.01</v>
      </c>
      <c r="R6350">
        <v>1.2</v>
      </c>
      <c r="S6350">
        <v>1.2</v>
      </c>
      <c r="T6350">
        <v>3</v>
      </c>
      <c r="U6350">
        <f t="shared" si="240"/>
        <v>0.57209088006881903</v>
      </c>
    </row>
    <row r="6351" spans="1:22" x14ac:dyDescent="0.2">
      <c r="A6351" t="s">
        <v>156</v>
      </c>
      <c r="B6351" s="52">
        <f>0.00000011366*B6342</f>
        <v>1.461672399554354E-8</v>
      </c>
      <c r="C6351" t="s">
        <v>56</v>
      </c>
      <c r="E6351" t="s">
        <v>90</v>
      </c>
      <c r="F6351" t="s">
        <v>86</v>
      </c>
      <c r="G6351" t="s">
        <v>154</v>
      </c>
      <c r="H6351" t="s">
        <v>155</v>
      </c>
      <c r="K6351" t="str">
        <f>B6308</f>
        <v>heat, residential, by combustion of hydrogen using CHP, allocated by exergy, transported by train, produced by Electrolysis, Alkaline using water and electricity from Solar PV (DE)</v>
      </c>
      <c r="L6351">
        <f t="shared" si="238"/>
        <v>2</v>
      </c>
      <c r="M6351">
        <f t="shared" si="239"/>
        <v>-18.041099484645969</v>
      </c>
      <c r="N6351">
        <v>1.05</v>
      </c>
      <c r="O6351" s="15">
        <v>1.2</v>
      </c>
      <c r="P6351">
        <v>1</v>
      </c>
      <c r="Q6351">
        <v>1.01</v>
      </c>
      <c r="R6351">
        <v>1.2</v>
      </c>
      <c r="S6351">
        <v>1.2</v>
      </c>
      <c r="T6351">
        <v>1.05</v>
      </c>
      <c r="U6351">
        <f t="shared" si="240"/>
        <v>0.16169679924070957</v>
      </c>
    </row>
    <row r="6352" spans="1:22" x14ac:dyDescent="0.2">
      <c r="A6352" t="s">
        <v>157</v>
      </c>
      <c r="B6352" s="52">
        <f>0.00000011366*B6342*-1</f>
        <v>-1.461672399554354E-8</v>
      </c>
      <c r="C6352" t="s">
        <v>56</v>
      </c>
      <c r="E6352" t="s">
        <v>64</v>
      </c>
      <c r="F6352" t="s">
        <v>86</v>
      </c>
      <c r="G6352" t="s">
        <v>158</v>
      </c>
      <c r="H6352" t="s">
        <v>155</v>
      </c>
      <c r="K6352" t="str">
        <f>B6308</f>
        <v>heat, residential, by combustion of hydrogen using CHP, allocated by exergy, transported by train, produced by Electrolysis, Alkaline using water and electricity from Solar PV (DE)</v>
      </c>
      <c r="L6352">
        <v>2</v>
      </c>
      <c r="M6352">
        <f>IF(L6352=2,LN(B6352*-1),"")</f>
        <v>-18.041099484645969</v>
      </c>
      <c r="N6352">
        <v>1.05</v>
      </c>
      <c r="O6352" s="15">
        <v>1.2</v>
      </c>
      <c r="P6352">
        <v>1</v>
      </c>
      <c r="Q6352">
        <v>1.01</v>
      </c>
      <c r="R6352">
        <v>1.2</v>
      </c>
      <c r="S6352">
        <v>1.2</v>
      </c>
      <c r="T6352">
        <v>3</v>
      </c>
      <c r="U6352">
        <f>LN(SQRT(EXP(
SQRT(
+POWER(LN(N6352),2)
+POWER(LN(O6352),2)
+POWER(LN(P6352),2)
+POWER(LN(Q6352),2)
+POWER(LN(R6352),2)
+POWER(LN(S6352),2)
+POWER(LN(T6352),2)
)
)))</f>
        <v>0.57209088006881903</v>
      </c>
      <c r="V6352" t="b">
        <v>1</v>
      </c>
    </row>
    <row r="6353" spans="1:21" x14ac:dyDescent="0.2">
      <c r="A6353" s="45" t="str">
        <f>"hydrogen supply, transported by "&amp;B6322&amp;", produced by "&amp;B6326&amp;" using "&amp;B6327&amp;" from "&amp;B6328</f>
        <v>hydrogen supply, transported by train, produced by Electrolysis, Alkaline using water and electricity from Solar PV (DE)</v>
      </c>
      <c r="B6353" s="53">
        <f>(B6347/B6331)/B6330*B6342</f>
        <v>2.56995248347223E-3</v>
      </c>
      <c r="C6353" t="s">
        <v>56</v>
      </c>
      <c r="E6353" t="s">
        <v>64</v>
      </c>
      <c r="F6353" t="s">
        <v>86</v>
      </c>
      <c r="G6353" t="str">
        <f>"hydrogen, gaseous, from "&amp;B6322</f>
        <v>hydrogen, gaseous, from train</v>
      </c>
      <c r="H6353" t="s">
        <v>76</v>
      </c>
      <c r="I6353" t="s">
        <v>1054</v>
      </c>
      <c r="J6353" t="s">
        <v>297</v>
      </c>
      <c r="K6353" t="str">
        <f>B6308</f>
        <v>heat, residential, by combustion of hydrogen using CHP, allocated by exergy, transported by train, produced by Electrolysis, Alkaline using water and electricity from Solar PV (DE)</v>
      </c>
      <c r="L6353">
        <f t="shared" si="238"/>
        <v>2</v>
      </c>
      <c r="M6353">
        <f t="shared" si="239"/>
        <v>-5.9638678691672418</v>
      </c>
      <c r="N6353">
        <v>1.05</v>
      </c>
      <c r="O6353" s="15">
        <v>1.2</v>
      </c>
      <c r="P6353">
        <v>1</v>
      </c>
      <c r="Q6353">
        <v>1.01</v>
      </c>
      <c r="R6353">
        <v>1.2</v>
      </c>
      <c r="S6353">
        <v>1.2</v>
      </c>
      <c r="T6353">
        <v>1.05</v>
      </c>
      <c r="U6353">
        <f t="shared" si="240"/>
        <v>0.16169679924070957</v>
      </c>
    </row>
    <row r="6354" spans="1:21" x14ac:dyDescent="0.2">
      <c r="A6354" t="str">
        <f>VLOOKUP(J6354,'dataset mapping'!$A$4:$E$69,2,0)</f>
        <v>market for transport, freight train</v>
      </c>
      <c r="B6354" s="45">
        <f>SUM(B6353:B6353)/1000*B6323</f>
        <v>2.56995248347223E-3</v>
      </c>
      <c r="C6354" t="str">
        <f>VLOOKUP(J6354,'dataset mapping'!$A$4:$E$69,5,0)</f>
        <v>ton kilometer</v>
      </c>
      <c r="E6354" t="str">
        <f>VLOOKUP(J6354,'dataset mapping'!$A$4:$E$69,4,0)</f>
        <v>CH</v>
      </c>
      <c r="F6354" t="s">
        <v>86</v>
      </c>
      <c r="G6354" t="str">
        <f>VLOOKUP(J6354,'dataset mapping'!$A$4:$E$69,3,0)</f>
        <v>transport, freight train</v>
      </c>
      <c r="H6354" t="s">
        <v>88</v>
      </c>
      <c r="I6354" t="s">
        <v>1052</v>
      </c>
      <c r="J6354" t="s">
        <v>295</v>
      </c>
      <c r="K6354" t="str">
        <f>B6308</f>
        <v>heat, residential, by combustion of hydrogen using CHP, allocated by exergy, transported by train, produced by Electrolysis, Alkaline using water and electricity from Solar PV (DE)</v>
      </c>
      <c r="L6354">
        <f t="shared" si="238"/>
        <v>2</v>
      </c>
      <c r="M6354">
        <f t="shared" si="239"/>
        <v>-5.9638678691672418</v>
      </c>
      <c r="N6354">
        <v>1.05</v>
      </c>
      <c r="O6354" s="15">
        <v>1.2</v>
      </c>
      <c r="P6354">
        <v>1</v>
      </c>
      <c r="Q6354">
        <v>1.01</v>
      </c>
      <c r="R6354">
        <v>1.2</v>
      </c>
      <c r="S6354">
        <v>1.2</v>
      </c>
      <c r="T6354">
        <v>2</v>
      </c>
      <c r="U6354">
        <f t="shared" si="240"/>
        <v>0.38165951885721477</v>
      </c>
    </row>
    <row r="6355" spans="1:21" x14ac:dyDescent="0.2">
      <c r="A6355" t="str">
        <f>VLOOKUP(J6355,'dataset mapping'!$A$4:$E$69,2,0)</f>
        <v>high pressure hydrogen storage tank</v>
      </c>
      <c r="B6355" s="52">
        <f>((B6343/10)/(B6341*B6337*20*3.6))*IF(B6342&lt;&gt;0,B6342,1)</f>
        <v>2.7529546486023421E-7</v>
      </c>
      <c r="C6355" t="str">
        <f>VLOOKUP(J6355,'dataset mapping'!$A$4:$E$69,5,0)</f>
        <v>kilogram</v>
      </c>
      <c r="E6355" t="str">
        <f>VLOOKUP(J6355,'dataset mapping'!$A$4:$E$69,4,0)</f>
        <v>GLO</v>
      </c>
      <c r="F6355" t="s">
        <v>86</v>
      </c>
      <c r="G6355" t="str">
        <f>VLOOKUP(J6355,'dataset mapping'!$A$4:$E$69,3,0)</f>
        <v>high pressure hydrogen storage tank</v>
      </c>
      <c r="H6355" t="s">
        <v>88</v>
      </c>
      <c r="I6355" t="s">
        <v>279</v>
      </c>
      <c r="J6355" t="s">
        <v>229</v>
      </c>
      <c r="K6355" t="str">
        <f>B6308</f>
        <v>heat, residential, by combustion of hydrogen using CHP, allocated by exergy, transported by train, produced by Electrolysis, Alkaline using water and electricity from Solar PV (DE)</v>
      </c>
      <c r="L6355">
        <f t="shared" si="238"/>
        <v>2</v>
      </c>
      <c r="M6355">
        <f t="shared" si="239"/>
        <v>-15.105420898379837</v>
      </c>
      <c r="N6355">
        <v>1.05</v>
      </c>
      <c r="O6355" s="15">
        <v>1.2</v>
      </c>
      <c r="P6355">
        <v>1</v>
      </c>
      <c r="Q6355">
        <v>1.01</v>
      </c>
      <c r="R6355">
        <v>1.2</v>
      </c>
      <c r="S6355">
        <v>1.2</v>
      </c>
      <c r="T6355">
        <v>3</v>
      </c>
      <c r="U6355">
        <f t="shared" si="240"/>
        <v>0.57209088006881903</v>
      </c>
    </row>
    <row r="6356" spans="1:21" x14ac:dyDescent="0.2">
      <c r="A6356" t="s">
        <v>134</v>
      </c>
      <c r="B6356" s="45">
        <f>B6353*9</f>
        <v>2.3129572351250072E-2</v>
      </c>
      <c r="C6356" t="s">
        <v>56</v>
      </c>
      <c r="D6356" t="s">
        <v>100</v>
      </c>
      <c r="F6356" t="s">
        <v>99</v>
      </c>
      <c r="H6356" t="s">
        <v>131</v>
      </c>
      <c r="I6356" t="s">
        <v>1058</v>
      </c>
      <c r="K6356" t="str">
        <f>B6308</f>
        <v>heat, residential, by combustion of hydrogen using CHP, allocated by exergy, transported by train, produced by Electrolysis, Alkaline using water and electricity from Solar PV (DE)</v>
      </c>
      <c r="L6356">
        <f t="shared" si="238"/>
        <v>2</v>
      </c>
      <c r="M6356">
        <f t="shared" si="239"/>
        <v>-3.7666432918310226</v>
      </c>
      <c r="N6356">
        <v>1.05</v>
      </c>
      <c r="O6356" s="15">
        <v>1.2</v>
      </c>
      <c r="P6356">
        <v>1</v>
      </c>
      <c r="Q6356">
        <v>1.01</v>
      </c>
      <c r="R6356">
        <v>1.2</v>
      </c>
      <c r="S6356">
        <v>1.2</v>
      </c>
      <c r="T6356">
        <v>1.05</v>
      </c>
      <c r="U6356">
        <f t="shared" si="240"/>
        <v>0.16169679924070957</v>
      </c>
    </row>
    <row r="6357" spans="1:21" x14ac:dyDescent="0.2">
      <c r="A6357" t="s">
        <v>135</v>
      </c>
      <c r="B6357" s="45">
        <f>912.5/1000000*B6354</f>
        <v>2.3450816411684101E-6</v>
      </c>
      <c r="C6357" t="s">
        <v>56</v>
      </c>
      <c r="D6357" t="s">
        <v>100</v>
      </c>
      <c r="F6357" t="s">
        <v>99</v>
      </c>
      <c r="H6357" t="s">
        <v>131</v>
      </c>
      <c r="I6357" t="s">
        <v>1217</v>
      </c>
      <c r="K6357" t="str">
        <f>B6308</f>
        <v>heat, residential, by combustion of hydrogen using CHP, allocated by exergy, transported by train, produced by Electrolysis, Alkaline using water and electricity from Solar PV (DE)</v>
      </c>
      <c r="L6357">
        <f t="shared" si="238"/>
        <v>2</v>
      </c>
      <c r="M6357">
        <f t="shared" si="239"/>
        <v>-12.963190341674869</v>
      </c>
      <c r="N6357">
        <v>1.05</v>
      </c>
      <c r="O6357" s="15">
        <v>1.2</v>
      </c>
      <c r="P6357">
        <v>1</v>
      </c>
      <c r="Q6357">
        <v>1.01</v>
      </c>
      <c r="R6357">
        <v>1.2</v>
      </c>
      <c r="S6357">
        <v>1.2</v>
      </c>
      <c r="T6357">
        <v>1.5</v>
      </c>
      <c r="U6357">
        <f t="shared" si="240"/>
        <v>0.25816898211842121</v>
      </c>
    </row>
    <row r="6359" spans="1:21" x14ac:dyDescent="0.2">
      <c r="A6359" s="2" t="s">
        <v>50</v>
      </c>
      <c r="B6359" s="44" t="str">
        <f>IF(B6365="megajoule","heat","electricity")&amp;", residential, by "&amp;B6370&amp;" of "&amp;B6369&amp;" using "&amp;B6371&amp;IF(B6372&lt;&gt;0,", allocated by "&amp;B6372,"")&amp;", transported by "&amp;B6373&amp;", produced by "&amp;B6377&amp;" using "&amp;B6378&amp;" from "&amp;B6379</f>
        <v>heat, residential, by conversion of hydrogen using fuel cell, PEM, allocated by exergy, transported by train, produced by Electrolysis, Alkaline using water and electricity from Solar PV (DE)</v>
      </c>
    </row>
    <row r="6360" spans="1:21" x14ac:dyDescent="0.2">
      <c r="A6360" t="s">
        <v>51</v>
      </c>
      <c r="B6360" s="45" t="str">
        <f>"This dataset represents the supply of 1 "&amp;IF(B6365="megajoule","megajoule of heat","kilowatt hour of electricity")&amp;" in a residence, by "&amp;B6369&amp;" "&amp;B6370&amp;" in a "&amp;B6371&amp;". "&amp;" The hydrogen is transported by "&amp;B6373&amp;" over "&amp;B6374&amp;" km from regional storage. "&amp;" The "&amp;B6369&amp;" is produced by  "&amp;B6377&amp;", with "&amp;B6378&amp;" from "&amp;B6379&amp;" as feedstock. "&amp;A6381&amp;": "&amp;(B6381*100)&amp;"%. "&amp;A6382&amp;": "&amp;B6382&amp;". "&amp;A6383&amp;": "&amp;B6383&amp;". "&amp;A6384&amp;": "&amp;(B6384*100)&amp;"%. "&amp;A6385&amp;": "&amp;(B6385*100)&amp;"%. "&amp;A6386&amp;": "&amp;(B6386*100)&amp;"%. "&amp;A6387&amp;": "&amp;B6387&amp;". "&amp;A6388&amp;": "&amp;B6388&amp;". "&amp;A6389&amp;": "&amp;(B6389*100)&amp;"%. "&amp;A6390&amp;": "&amp;B6390&amp;". "&amp;A6391&amp;": "&amp;B6391&amp;". "&amp;A6392&amp;": "&amp;B6392&amp;". "&amp;A6393&amp;": "&amp;B6393&amp;".  For more information, refer to: "&amp;B6361</f>
        <v>This dataset represents the supply of 1 megajoule of heat in a residence, by hydrogen conversion in a fuel cell, PEM.  The hydrogen is transported by train over 1000 km from regional storage.  The hydrogen is produced by  Electrolysis, Alkaline,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6361" spans="1:21" x14ac:dyDescent="0.2">
      <c r="A6361" t="s">
        <v>63</v>
      </c>
      <c r="B6361" s="45" t="s">
        <v>1223</v>
      </c>
    </row>
    <row r="6362" spans="1:21" x14ac:dyDescent="0.2">
      <c r="A6362" t="s">
        <v>52</v>
      </c>
      <c r="B6362" s="45" t="s">
        <v>64</v>
      </c>
    </row>
    <row r="6363" spans="1:21" x14ac:dyDescent="0.2">
      <c r="A6363" t="s">
        <v>48</v>
      </c>
      <c r="B6363" s="45">
        <v>79</v>
      </c>
    </row>
    <row r="6364" spans="1:21" x14ac:dyDescent="0.2">
      <c r="A6364" t="s">
        <v>54</v>
      </c>
      <c r="B6364" s="45" t="str">
        <f>INDEX(overview!$B$4:$R$338,MATCH('hydrogen - electrolysis'!B6363,overview!$A$4:$A$338,0),MATCH('hydrogen - electrolysis'!A6364,overview!$B$3:$R$3,0))</f>
        <v>heat, from residential heating system</v>
      </c>
    </row>
    <row r="6365" spans="1:21" x14ac:dyDescent="0.2">
      <c r="A6365" t="s">
        <v>55</v>
      </c>
      <c r="B6365" s="45" t="str">
        <f>INDEX(overview!$B$4:$R$338,MATCH('hydrogen - electrolysis'!B6363,overview!$A$4:$A$338,0),MATCH('hydrogen - electrolysis'!A6365,overview!$B$3:$R$3,0))</f>
        <v>megajoule</v>
      </c>
    </row>
    <row r="6366" spans="1:21" x14ac:dyDescent="0.2">
      <c r="A6366" t="s">
        <v>0</v>
      </c>
      <c r="B6366" s="45" t="str">
        <f>INDEX(overview!$B$4:$R$338,MATCH('hydrogen - electrolysis'!B6363,overview!$A$4:$A$338,0),MATCH('hydrogen - electrolysis'!A6366,overview!$B$3:$R$3,0))</f>
        <v>Switzerland</v>
      </c>
    </row>
    <row r="6367" spans="1:21" x14ac:dyDescent="0.2">
      <c r="A6367" t="s">
        <v>1</v>
      </c>
      <c r="B6367" s="45">
        <f>INDEX(overview!$B$4:$R$338,MATCH('hydrogen - electrolysis'!B6363,overview!$A$4:$A$338,0),MATCH('hydrogen - electrolysis'!A6367,overview!$B$3:$R$3,0))</f>
        <v>2020</v>
      </c>
    </row>
    <row r="6368" spans="1:21" x14ac:dyDescent="0.2">
      <c r="A6368" t="s">
        <v>2</v>
      </c>
      <c r="B6368" s="45" t="str">
        <f>INDEX(overview!$B$4:$R$338,MATCH('hydrogen - electrolysis'!B6363,overview!$A$4:$A$338,0),MATCH('hydrogen - electrolysis'!A6368,overview!$B$3:$R$3,0))</f>
        <v>1 MJ heat</v>
      </c>
    </row>
    <row r="6369" spans="1:2" x14ac:dyDescent="0.2">
      <c r="A6369" t="s">
        <v>5</v>
      </c>
      <c r="B6369" s="45" t="str">
        <f>INDEX(overview!$B$4:$R$338,MATCH('hydrogen - electrolysis'!B6363,overview!$A$4:$A$338,0),MATCH('hydrogen - electrolysis'!A6369,overview!$B$3:$R$3,0))</f>
        <v>hydrogen</v>
      </c>
    </row>
    <row r="6370" spans="1:2" x14ac:dyDescent="0.2">
      <c r="A6370" t="s">
        <v>3</v>
      </c>
      <c r="B6370" s="45" t="str">
        <f>INDEX(overview!$B$4:$R$338,MATCH('hydrogen - electrolysis'!B6363,overview!$A$4:$A$338,0),MATCH('hydrogen - electrolysis'!A6370,overview!$B$3:$R$3,0))</f>
        <v>conversion</v>
      </c>
    </row>
    <row r="6371" spans="1:2" x14ac:dyDescent="0.2">
      <c r="A6371" t="s">
        <v>6</v>
      </c>
      <c r="B6371" s="45" t="str">
        <f>INDEX(overview!$B$4:$R$338,MATCH('hydrogen - electrolysis'!B6363,overview!$A$4:$A$338,0),MATCH('hydrogen - electrolysis'!A6371,overview!$B$3:$R$3,0))</f>
        <v>fuel cell, PEM</v>
      </c>
    </row>
    <row r="6372" spans="1:2" x14ac:dyDescent="0.2">
      <c r="A6372" t="s">
        <v>39</v>
      </c>
      <c r="B6372" s="45" t="str">
        <f>INDEX(overview!$B$4:$R$338,MATCH('hydrogen - electrolysis'!B6363,overview!$A$4:$A$338,0),MATCH('hydrogen - electrolysis'!A6372,overview!$B$3:$R$3,0))</f>
        <v>exergy</v>
      </c>
    </row>
    <row r="6373" spans="1:2" x14ac:dyDescent="0.2">
      <c r="A6373" t="s">
        <v>4</v>
      </c>
      <c r="B6373" s="45" t="str">
        <f>INDEX(overview!$B$4:$R$338,MATCH('hydrogen - electrolysis'!B6363,overview!$A$4:$A$338,0),MATCH('hydrogen - electrolysis'!A6373,overview!$B$3:$R$3,0))</f>
        <v>train</v>
      </c>
    </row>
    <row r="6374" spans="1:2" x14ac:dyDescent="0.2">
      <c r="A6374" t="s">
        <v>38</v>
      </c>
      <c r="B6374" s="45">
        <f>INDEX(overview!$B$4:$R$338,MATCH('hydrogen - electrolysis'!B6363,overview!$A$4:$A$338,0),MATCH('hydrogen - electrolysis'!A6374,overview!$B$3:$R$3,0))</f>
        <v>1000</v>
      </c>
    </row>
    <row r="6375" spans="1:2" x14ac:dyDescent="0.2">
      <c r="A6375" t="s">
        <v>12</v>
      </c>
      <c r="B6375" s="45" t="str">
        <f>INDEX(overview!$B$4:$R$338,MATCH('hydrogen - electrolysis'!B6363,overview!$A$4:$A$338,0),MATCH('hydrogen - electrolysis'!A6375,overview!$B$3:$R$3,0))</f>
        <v>Pressure vessel for stationary storage</v>
      </c>
    </row>
    <row r="6376" spans="1:2" x14ac:dyDescent="0.2">
      <c r="A6376" t="s">
        <v>34</v>
      </c>
      <c r="B6376" s="45">
        <f>INDEX(overview!$B$4:$R$338,MATCH('hydrogen - electrolysis'!B6363,overview!$A$4:$A$338,0),MATCH('hydrogen - electrolysis'!A6376,overview!$B$3:$R$3,0))</f>
        <v>0</v>
      </c>
    </row>
    <row r="6377" spans="1:2" x14ac:dyDescent="0.2">
      <c r="A6377" t="s">
        <v>15</v>
      </c>
      <c r="B6377" s="45" t="str">
        <f>INDEX(overview!$B$4:$R$338,MATCH('hydrogen - electrolysis'!B6363,overview!$A$4:$A$338,0),MATCH('hydrogen - electrolysis'!A6377,overview!$B$3:$R$3,0))</f>
        <v>Electrolysis, Alkaline</v>
      </c>
    </row>
    <row r="6378" spans="1:2" x14ac:dyDescent="0.2">
      <c r="A6378" t="s">
        <v>14</v>
      </c>
      <c r="B6378" s="45" t="str">
        <f>INDEX(overview!$B$4:$R$338,MATCH('hydrogen - electrolysis'!B6363,overview!$A$4:$A$338,0),MATCH('hydrogen - electrolysis'!A6378,overview!$B$3:$R$3,0))</f>
        <v>water and electricity</v>
      </c>
    </row>
    <row r="6379" spans="1:2" x14ac:dyDescent="0.2">
      <c r="A6379" t="s">
        <v>26</v>
      </c>
      <c r="B6379" s="45" t="str">
        <f>INDEX(overview!$B$4:$R$338,MATCH('hydrogen - electrolysis'!B6363,overview!$A$4:$A$338,0),MATCH('hydrogen - electrolysis'!A6379,overview!$B$3:$R$3,0))</f>
        <v>Solar PV (DE)</v>
      </c>
    </row>
    <row r="6380" spans="1:2" x14ac:dyDescent="0.2">
      <c r="A6380" t="s">
        <v>29</v>
      </c>
      <c r="B6380" s="45">
        <f>INDEX(overview!$B$4:$R$338,MATCH('hydrogen - electrolysis'!B6363,overview!$A$4:$A$338,0),MATCH('hydrogen - electrolysis'!A6380,overview!$B$3:$R$3,0))</f>
        <v>0</v>
      </c>
    </row>
    <row r="6381" spans="1:2" x14ac:dyDescent="0.2">
      <c r="A6381" t="str">
        <f>IF(B6365="megajoule","Heat","Electricity")&amp;" conversion efficiency [% LHV input]"</f>
        <v>Heat conversion efficiency [% LHV input]</v>
      </c>
      <c r="B6381" s="46">
        <f>INDEX(parameters!$D$4:$N$20,MATCH('hydrogen - electrolysis'!B6369&amp;'hydrogen - electrolysis'!B6371,parameters!$A$4:$A$20,0),MATCH('hydrogen - electrolysis'!A6381,parameters!$D$3:$N$3,0))</f>
        <v>0.5</v>
      </c>
    </row>
    <row r="6382" spans="1:2" x14ac:dyDescent="0.2">
      <c r="A6382" t="str">
        <f>IF(B6365="megajoule","LHV [MJ/kg]","LHV [kWh/kg]")</f>
        <v>LHV [MJ/kg]</v>
      </c>
      <c r="B6382" s="47">
        <f>INDEX(parameters!$D$4:$N$20,MATCH('hydrogen - electrolysis'!B6369&amp;'hydrogen - electrolysis'!B6371,parameters!$A$4:$A$20,0),MATCH('hydrogen - electrolysis'!A6382,parameters!$D$3:$N$3,0))</f>
        <v>120</v>
      </c>
    </row>
    <row r="6383" spans="1:2" x14ac:dyDescent="0.2">
      <c r="A6383" t="s">
        <v>41</v>
      </c>
      <c r="B6383" s="48">
        <f>INDEX(parameters!$D$4:$N$20,MATCH('hydrogen - electrolysis'!B6369&amp;'hydrogen - electrolysis'!B6371,parameters!$A$4:$A$20,0),MATCH('hydrogen - electrolysis'!A6383,parameters!$D$3:$N$3,0))</f>
        <v>2.6666666666666665E-2</v>
      </c>
    </row>
    <row r="6384" spans="1:2" x14ac:dyDescent="0.2">
      <c r="A6384" t="s">
        <v>45</v>
      </c>
      <c r="B6384" s="46">
        <f>INDEX(parameters!$D$4:$N$20,MATCH('hydrogen - electrolysis'!B6369&amp;'hydrogen - electrolysis'!B6371,parameters!$A$4:$A$20,0),MATCH('hydrogen - electrolysis'!A6384,parameters!$D$3:$N$3,0))</f>
        <v>0</v>
      </c>
    </row>
    <row r="6385" spans="1:22" x14ac:dyDescent="0.2">
      <c r="A6385" t="s">
        <v>46</v>
      </c>
      <c r="B6385" s="46">
        <f>INDEX(parameters!$D$4:$N$20,MATCH('hydrogen - electrolysis'!B6369&amp;'hydrogen - electrolysis'!B6371,parameters!$A$4:$A$20,0),MATCH('hydrogen - electrolysis'!A6385,parameters!$D$3:$N$3,0))</f>
        <v>1.4999999999999999E-2</v>
      </c>
    </row>
    <row r="6386" spans="1:22" x14ac:dyDescent="0.2">
      <c r="A6386" t="s">
        <v>43</v>
      </c>
      <c r="B6386" s="46">
        <f>INDEX(parameters!$D$4:$N$20,MATCH('hydrogen - electrolysis'!B6369&amp;'hydrogen - electrolysis'!B6371,parameters!$A$4:$A$20,0),MATCH('hydrogen - electrolysis'!A6386,parameters!$D$3:$N$3,0))</f>
        <v>0</v>
      </c>
    </row>
    <row r="6387" spans="1:22" x14ac:dyDescent="0.2">
      <c r="A6387" t="s">
        <v>44</v>
      </c>
      <c r="B6387" s="46">
        <f>INDEX(parameters!$D$4:$N$20,MATCH('hydrogen - electrolysis'!B6369&amp;'hydrogen - electrolysis'!B6371,parameters!$A$4:$A$20,0),MATCH('hydrogen - electrolysis'!A6387,parameters!$D$3:$N$3,0))</f>
        <v>0</v>
      </c>
    </row>
    <row r="6388" spans="1:22" x14ac:dyDescent="0.2">
      <c r="A6388" t="s">
        <v>634</v>
      </c>
      <c r="B6388" s="51">
        <f>INDEX(parameters!$D$4:$Y$20,MATCH('hydrogen - electrolysis'!B6369&amp;'hydrogen - electrolysis'!B6371,parameters!$A$4:$A$20,0),MATCH('hydrogen - electrolysis'!A6388,parameters!$D$3:$Y$3,0))</f>
        <v>1.8947368421052633</v>
      </c>
    </row>
    <row r="6389" spans="1:22" x14ac:dyDescent="0.2">
      <c r="A6389" t="s">
        <v>82</v>
      </c>
      <c r="B6389" s="46">
        <f>IF(B6380&lt;&gt;0,VLOOKUP(B6380,parameters!A4051:B4053,2,0),0)</f>
        <v>0</v>
      </c>
    </row>
    <row r="6390" spans="1:22" x14ac:dyDescent="0.2">
      <c r="A6390" t="s">
        <v>548</v>
      </c>
      <c r="B6390" s="50">
        <f>INDEX(parameters!$D$4:$P$20,MATCH(B6369&amp;B6371,parameters!$A$4:$A$20,0),MATCH(A6390,parameters!$D$3:$P$3,0))</f>
        <v>0.8</v>
      </c>
    </row>
    <row r="6391" spans="1:22" x14ac:dyDescent="0.2">
      <c r="A6391" t="s">
        <v>547</v>
      </c>
      <c r="B6391" s="51">
        <f>INDEX(parameters!$D$4:$P$20,MATCH(B6369&amp;B6371,parameters!$A$4:$A$20,0),MATCH(A6391,parameters!$D$3:$P$3,0))</f>
        <v>4.8780487804878048</v>
      </c>
    </row>
    <row r="6392" spans="1:22" x14ac:dyDescent="0.2">
      <c r="A6392" t="s">
        <v>630</v>
      </c>
      <c r="B6392" s="51">
        <f>INDEX(parameters!$D$4:$T$20,MATCH(B6369&amp;B6371,parameters!$A$4:$A$20,0),MATCH(A6392,parameters!$D$3:$T$3,0))</f>
        <v>4100</v>
      </c>
    </row>
    <row r="6393" spans="1:22" x14ac:dyDescent="0.2">
      <c r="A6393" t="s">
        <v>1005</v>
      </c>
      <c r="B6393" s="50">
        <f>IF(B6365="megajoule",SUMIFS(allocation!$I$4:$I$30,allocation!$B$4:$B$30,B6371,allocation!$C$4:$C$30,B6372),SUMIFS(allocation!$J$4:$J$30,allocation!$B$4:$B$30,B6371,allocation!$C$4:$C$30,B6372))</f>
        <v>0.13933980798974457</v>
      </c>
    </row>
    <row r="6394" spans="1:22" x14ac:dyDescent="0.2">
      <c r="A6394" t="s">
        <v>1050</v>
      </c>
      <c r="B6394" s="51">
        <f>INDEX(parameters!$D$4:$AB$20,MATCH(B6369&amp;B6371,parameters!$A$4:$A$20,0),MATCH(A6394,parameters!$D$3:$AB$3,0))</f>
        <v>10.221606648199446</v>
      </c>
    </row>
    <row r="6396" spans="1:22" x14ac:dyDescent="0.2">
      <c r="A6396" s="3" t="s">
        <v>57</v>
      </c>
    </row>
    <row r="6397" spans="1:22" x14ac:dyDescent="0.2">
      <c r="A6397" s="2" t="s">
        <v>58</v>
      </c>
      <c r="B6397" s="44" t="s">
        <v>59</v>
      </c>
      <c r="C6397" s="2" t="s">
        <v>55</v>
      </c>
      <c r="D6397" s="2" t="s">
        <v>60</v>
      </c>
      <c r="E6397" s="2" t="s">
        <v>52</v>
      </c>
      <c r="F6397" s="2" t="s">
        <v>61</v>
      </c>
      <c r="G6397" s="2" t="s">
        <v>54</v>
      </c>
      <c r="H6397" s="2" t="s">
        <v>87</v>
      </c>
      <c r="I6397" s="2" t="s">
        <v>51</v>
      </c>
      <c r="J6397" s="2" t="s">
        <v>138</v>
      </c>
      <c r="K6397" s="2" t="s">
        <v>136</v>
      </c>
      <c r="L6397" s="2" t="s">
        <v>221</v>
      </c>
      <c r="M6397" s="2" t="s">
        <v>379</v>
      </c>
      <c r="N6397" s="2" t="s">
        <v>1059</v>
      </c>
      <c r="O6397" s="2" t="s">
        <v>1060</v>
      </c>
      <c r="P6397" s="2" t="s">
        <v>1061</v>
      </c>
      <c r="Q6397" s="2" t="s">
        <v>1062</v>
      </c>
      <c r="R6397" s="2" t="s">
        <v>1063</v>
      </c>
      <c r="S6397" s="2" t="s">
        <v>1064</v>
      </c>
      <c r="T6397" s="2" t="s">
        <v>1065</v>
      </c>
      <c r="U6397" s="2" t="s">
        <v>380</v>
      </c>
      <c r="V6397" s="2" t="s">
        <v>1128</v>
      </c>
    </row>
    <row r="6398" spans="1:22" x14ac:dyDescent="0.2">
      <c r="A6398" t="str">
        <f>B6359</f>
        <v>heat, residential, by conversion of hydrogen using fuel cell, PEM, allocated by exergy, transported by train, produced by Electrolysis, Alkaline using water and electricity from Solar PV (DE)</v>
      </c>
      <c r="B6398" s="45">
        <v>1</v>
      </c>
      <c r="C6398" t="str">
        <f>B6365</f>
        <v>megajoule</v>
      </c>
      <c r="E6398" t="str">
        <f>B6362</f>
        <v>CH</v>
      </c>
      <c r="F6398" t="s">
        <v>62</v>
      </c>
      <c r="G6398" t="str">
        <f>B6364</f>
        <v>heat, from residential heating system</v>
      </c>
      <c r="K6398" t="str">
        <f>B6359</f>
        <v>heat, residential, by conversion of hydrogen using fuel cell, PEM, allocated by exergy, transported by train, produced by Electrolysis, Alkaline using water and electricity from Solar PV (DE)</v>
      </c>
    </row>
    <row r="6399" spans="1:22" x14ac:dyDescent="0.2">
      <c r="A6399" t="str">
        <f>VLOOKUP(J6399,'dataset mapping'!$A$4:$E$69,2,0)</f>
        <v>fuel cell system assembly, 1 kWe, proton exchange membrane (PEM)</v>
      </c>
      <c r="B6399" s="52">
        <f>1/(80000*3.6)/0.5*SUMIFS(allocation!$I$4:$I$30,allocation!$B$4:$B$30,'hydrogen - electrolysis'!B6371,allocation!$C$4:$C$30,'hydrogen - electrolysis'!B6372)</f>
        <v>9.6763755548433728E-7</v>
      </c>
      <c r="C6399" t="str">
        <f>VLOOKUP(J6399,'dataset mapping'!$A$4:$E$69,5,0)</f>
        <v>unit</v>
      </c>
      <c r="E6399" t="str">
        <f>VLOOKUP(J6399,'dataset mapping'!$A$4:$E$69,4,0)</f>
        <v>GLO</v>
      </c>
      <c r="F6399" t="s">
        <v>86</v>
      </c>
      <c r="G6399" t="str">
        <f>VLOOKUP(J6399,'dataset mapping'!$A$4:$E$69,3,0)</f>
        <v>fuel cell system, 1 kWe, proton exchange membrane (PEM)</v>
      </c>
      <c r="H6399" t="s">
        <v>88</v>
      </c>
      <c r="I6399" t="s">
        <v>272</v>
      </c>
      <c r="J6399" t="s">
        <v>273</v>
      </c>
      <c r="K6399" t="str">
        <f>B6359</f>
        <v>heat, residential, by conversion of hydrogen using fuel cell, PEM, allocated by exergy, transported by train, produced by Electrolysis, Alkaline using water and electricity from Solar PV (DE)</v>
      </c>
      <c r="L6399">
        <f t="shared" ref="L6399:L6403" si="241">IF(OR(B6399&lt;0,B6399=0),1,2)</f>
        <v>2</v>
      </c>
      <c r="M6399">
        <f t="shared" ref="M6399:M6403" si="242">IF(L6399=2,LN(B6399),"")</f>
        <v>-13.848408245937353</v>
      </c>
      <c r="N6399">
        <v>1</v>
      </c>
      <c r="O6399" s="15">
        <v>1.2</v>
      </c>
      <c r="P6399">
        <v>1</v>
      </c>
      <c r="Q6399">
        <v>1.01</v>
      </c>
      <c r="R6399">
        <v>1.2</v>
      </c>
      <c r="S6399">
        <v>1.2</v>
      </c>
      <c r="T6399">
        <v>3</v>
      </c>
      <c r="U6399">
        <f t="shared" ref="U6399:U6403" si="243">LN(SQRT(EXP(
SQRT(
+POWER(LN(N6399),2)
+POWER(LN(O6399),2)
+POWER(LN(P6399),2)
+POWER(LN(Q6399),2)
+POWER(LN(R6399),2)
+POWER(LN(S6399),2)
+POWER(LN(T6399),2)
)
)))</f>
        <v>0.57157051623399524</v>
      </c>
    </row>
    <row r="6400" spans="1:22" x14ac:dyDescent="0.2">
      <c r="A6400" s="45" t="str">
        <f>"hydrogen supply, transported by "&amp;B6373&amp;", produced by "&amp;B6377&amp;" using "&amp;B6378&amp;" from "&amp;B6379</f>
        <v>hydrogen supply, transported by train, produced by Electrolysis, Alkaline using water and electricity from Solar PV (DE)</v>
      </c>
      <c r="B6400" s="53">
        <f>(B6398/B6382)/B6381*B6393</f>
        <v>2.3223301331624095E-3</v>
      </c>
      <c r="C6400" t="s">
        <v>56</v>
      </c>
      <c r="E6400" t="s">
        <v>64</v>
      </c>
      <c r="F6400" t="s">
        <v>86</v>
      </c>
      <c r="G6400" t="str">
        <f>"hydrogen, gaseous, from "&amp;B6373</f>
        <v>hydrogen, gaseous, from train</v>
      </c>
      <c r="H6400" t="s">
        <v>76</v>
      </c>
      <c r="I6400" t="s">
        <v>1054</v>
      </c>
      <c r="J6400" t="s">
        <v>297</v>
      </c>
      <c r="K6400" t="str">
        <f>B6359</f>
        <v>heat, residential, by conversion of hydrogen using fuel cell, PEM, allocated by exergy, transported by train, produced by Electrolysis, Alkaline using water and electricity from Solar PV (DE)</v>
      </c>
      <c r="L6400">
        <f t="shared" si="241"/>
        <v>2</v>
      </c>
      <c r="M6400">
        <f t="shared" si="242"/>
        <v>-6.0651842296013152</v>
      </c>
      <c r="N6400">
        <v>1</v>
      </c>
      <c r="O6400" s="15">
        <v>1.2</v>
      </c>
      <c r="P6400">
        <v>1</v>
      </c>
      <c r="Q6400">
        <v>1.01</v>
      </c>
      <c r="R6400">
        <v>1.2</v>
      </c>
      <c r="S6400">
        <v>1.2</v>
      </c>
      <c r="T6400">
        <v>1.05</v>
      </c>
      <c r="U6400">
        <f t="shared" si="243"/>
        <v>0.15984597228197622</v>
      </c>
    </row>
    <row r="6401" spans="1:21" x14ac:dyDescent="0.2">
      <c r="A6401" t="str">
        <f>VLOOKUP(J6401,'dataset mapping'!$A$4:$E$69,2,0)</f>
        <v>market for transport, freight train</v>
      </c>
      <c r="B6401" s="45">
        <f>SUM(B6400:B6400)/1000*B6374*SUMIFS(allocation!$I$4:$I$30,allocation!$B$4:$B$30,'hydrogen - electrolysis'!B6371,allocation!$C$4:$C$30,'hydrogen - electrolysis'!B6372)</f>
        <v>3.235930348436481E-4</v>
      </c>
      <c r="C6401" t="str">
        <f>VLOOKUP(J6401,'dataset mapping'!$A$4:$E$69,5,0)</f>
        <v>ton kilometer</v>
      </c>
      <c r="E6401" t="str">
        <f>VLOOKUP(J6401,'dataset mapping'!$A$4:$E$69,4,0)</f>
        <v>CH</v>
      </c>
      <c r="F6401" t="s">
        <v>86</v>
      </c>
      <c r="G6401" t="str">
        <f>VLOOKUP(J6401,'dataset mapping'!$A$4:$E$69,3,0)</f>
        <v>transport, freight train</v>
      </c>
      <c r="H6401" t="s">
        <v>88</v>
      </c>
      <c r="I6401" t="s">
        <v>1052</v>
      </c>
      <c r="J6401" t="s">
        <v>295</v>
      </c>
      <c r="K6401" t="str">
        <f>B6359</f>
        <v>heat, residential, by conversion of hydrogen using fuel cell, PEM, allocated by exergy, transported by train, produced by Electrolysis, Alkaline using water and electricity from Solar PV (DE)</v>
      </c>
      <c r="L6401">
        <f t="shared" si="241"/>
        <v>2</v>
      </c>
      <c r="M6401">
        <f t="shared" si="242"/>
        <v>-8.0360238969805309</v>
      </c>
      <c r="N6401">
        <v>1</v>
      </c>
      <c r="O6401" s="15">
        <v>1.2</v>
      </c>
      <c r="P6401">
        <v>1</v>
      </c>
      <c r="Q6401">
        <v>1.01</v>
      </c>
      <c r="R6401">
        <v>1.2</v>
      </c>
      <c r="S6401">
        <v>1.2</v>
      </c>
      <c r="T6401">
        <v>2</v>
      </c>
      <c r="U6401">
        <f t="shared" si="243"/>
        <v>0.38087907307228186</v>
      </c>
    </row>
    <row r="6402" spans="1:21" x14ac:dyDescent="0.2">
      <c r="A6402" t="str">
        <f>VLOOKUP(J6402,'dataset mapping'!$A$4:$E$69,2,0)</f>
        <v>high pressure hydrogen storage tank</v>
      </c>
      <c r="B6402" s="52">
        <f>((B6394/10)/(B6392*B6388*20*3.6))*IF(B6393&lt;&gt;0,B6393,1)</f>
        <v>2.5464146196956242E-7</v>
      </c>
      <c r="C6402" t="str">
        <f>VLOOKUP(J6402,'dataset mapping'!$A$4:$E$69,5,0)</f>
        <v>kilogram</v>
      </c>
      <c r="E6402" t="str">
        <f>VLOOKUP(J6402,'dataset mapping'!$A$4:$E$69,4,0)</f>
        <v>GLO</v>
      </c>
      <c r="F6402" t="s">
        <v>86</v>
      </c>
      <c r="G6402" t="str">
        <f>VLOOKUP(J6402,'dataset mapping'!$A$4:$E$69,3,0)</f>
        <v>high pressure hydrogen storage tank</v>
      </c>
      <c r="H6402" t="s">
        <v>88</v>
      </c>
      <c r="I6402" t="s">
        <v>280</v>
      </c>
      <c r="J6402" t="s">
        <v>229</v>
      </c>
      <c r="K6402" t="str">
        <f>B6359</f>
        <v>heat, residential, by conversion of hydrogen using fuel cell, PEM, allocated by exergy, transported by train, produced by Electrolysis, Alkaline using water and electricity from Solar PV (DE)</v>
      </c>
      <c r="L6402">
        <f t="shared" si="241"/>
        <v>2</v>
      </c>
      <c r="M6402">
        <f t="shared" si="242"/>
        <v>-15.183409312669692</v>
      </c>
      <c r="N6402">
        <v>1</v>
      </c>
      <c r="O6402" s="15">
        <v>1.2</v>
      </c>
      <c r="P6402">
        <v>1</v>
      </c>
      <c r="Q6402">
        <v>1.01</v>
      </c>
      <c r="R6402">
        <v>1.2</v>
      </c>
      <c r="S6402">
        <v>1.2</v>
      </c>
      <c r="T6402">
        <v>3</v>
      </c>
      <c r="U6402">
        <f t="shared" si="243"/>
        <v>0.57157051623399524</v>
      </c>
    </row>
    <row r="6403" spans="1:21" x14ac:dyDescent="0.2">
      <c r="A6403" t="s">
        <v>134</v>
      </c>
      <c r="B6403" s="45">
        <f>B6400*9</f>
        <v>2.0900971198461685E-2</v>
      </c>
      <c r="C6403" t="s">
        <v>56</v>
      </c>
      <c r="D6403" t="s">
        <v>100</v>
      </c>
      <c r="F6403" t="s">
        <v>99</v>
      </c>
      <c r="H6403" t="s">
        <v>131</v>
      </c>
      <c r="I6403" t="s">
        <v>1057</v>
      </c>
      <c r="K6403" t="str">
        <f>B6359</f>
        <v>heat, residential, by conversion of hydrogen using fuel cell, PEM, allocated by exergy, transported by train, produced by Electrolysis, Alkaline using water and electricity from Solar PV (DE)</v>
      </c>
      <c r="L6403">
        <f t="shared" si="241"/>
        <v>2</v>
      </c>
      <c r="M6403">
        <f t="shared" si="242"/>
        <v>-3.8679596522650961</v>
      </c>
      <c r="N6403">
        <v>1</v>
      </c>
      <c r="O6403" s="15">
        <v>1.2</v>
      </c>
      <c r="P6403">
        <v>1</v>
      </c>
      <c r="Q6403">
        <v>1.01</v>
      </c>
      <c r="R6403">
        <v>1.2</v>
      </c>
      <c r="S6403">
        <v>1.2</v>
      </c>
      <c r="T6403">
        <v>1.05</v>
      </c>
      <c r="U6403">
        <f t="shared" si="243"/>
        <v>0.15984597228197622</v>
      </c>
    </row>
    <row r="6405" spans="1:21" x14ac:dyDescent="0.2">
      <c r="A6405" s="2" t="s">
        <v>50</v>
      </c>
      <c r="B6405" s="44" t="str">
        <f>IF(B6411="megajoule","heat","electricity")&amp;", residential, by "&amp;B6416&amp;" of "&amp;B6415&amp;" using "&amp;B6417&amp;IF(B6418&lt;&gt;0,", allocated by "&amp;B6418,"")&amp;", transported by "&amp;B6419&amp;", produced by "&amp;B6423&amp;" using "&amp;B6424&amp;" from "&amp;B6425</f>
        <v>heat, residential, by conversion of hydrogen using fuel cell, SOFC, allocated by exergy, transported by train, produced by Electrolysis, Alkaline using water and electricity from Solar PV (DE)</v>
      </c>
    </row>
    <row r="6406" spans="1:21" x14ac:dyDescent="0.2">
      <c r="A6406" t="s">
        <v>51</v>
      </c>
      <c r="B6406" s="45" t="str">
        <f>"This dataset represents the supply of 1 "&amp;IF(B6411="megajoule","megajoule of heat","kilowatt hour of electricity")&amp;" in a residence, by "&amp;B6415&amp;" "&amp;B6416&amp;" in a "&amp;B6417&amp;". "&amp;" The hydrogen is transported by "&amp;B6419&amp;" over "&amp;B6420&amp;" km from regional storage. "&amp;" The "&amp;B6415&amp;" is produced by  "&amp;B6423&amp;", with "&amp;B6424&amp;" from "&amp;B6425&amp;" as feedstock. "&amp;A6427&amp;": "&amp;(B6427*100)&amp;"%. "&amp;A6428&amp;": "&amp;B6428&amp;". "&amp;A6429&amp;": "&amp;B6429&amp;". "&amp;A6430&amp;": "&amp;(B6430*100)&amp;"%. "&amp;A6431&amp;": "&amp;(B6431*100)&amp;"%. "&amp;A6432&amp;": "&amp;(B6432*100)&amp;"%. "&amp;A6433&amp;": "&amp;B6433&amp;". "&amp;A6434&amp;": "&amp;B6434&amp;". "&amp;A6435&amp;": "&amp;(B6435*100)&amp;"%. "&amp;A6436&amp;": "&amp;B6436&amp;". "&amp;A6437&amp;": "&amp;B6437&amp;". "&amp;A6438&amp;": "&amp;B6438&amp;". "&amp;A6439&amp;": "&amp;B6439&amp;".  For more information, refer to: "&amp;B6407</f>
        <v>This dataset represents the supply of 1 megajoule of heat in a residence, by hydrogen conversion in a fuel cell, SOFC.  The hydrogen is transported by train over 1000 km from regional storage.  The hydrogen is produced by  Electrolysis, Alkaline,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6407" spans="1:21" x14ac:dyDescent="0.2">
      <c r="A6407" t="s">
        <v>63</v>
      </c>
      <c r="B6407" s="45" t="s">
        <v>1223</v>
      </c>
    </row>
    <row r="6408" spans="1:21" x14ac:dyDescent="0.2">
      <c r="A6408" t="s">
        <v>52</v>
      </c>
      <c r="B6408" s="45" t="s">
        <v>64</v>
      </c>
    </row>
    <row r="6409" spans="1:21" x14ac:dyDescent="0.2">
      <c r="A6409" t="s">
        <v>48</v>
      </c>
      <c r="B6409" s="45">
        <v>80</v>
      </c>
    </row>
    <row r="6410" spans="1:21" x14ac:dyDescent="0.2">
      <c r="A6410" t="s">
        <v>54</v>
      </c>
      <c r="B6410" s="45" t="str">
        <f>INDEX(overview!$B$4:$R$338,MATCH('hydrogen - electrolysis'!B6409,overview!$A$4:$A$338,0),MATCH('hydrogen - electrolysis'!A6410,overview!$B$3:$R$3,0))</f>
        <v>heat, from residential heating system</v>
      </c>
    </row>
    <row r="6411" spans="1:21" x14ac:dyDescent="0.2">
      <c r="A6411" t="s">
        <v>55</v>
      </c>
      <c r="B6411" s="45" t="str">
        <f>INDEX(overview!$B$4:$R$338,MATCH('hydrogen - electrolysis'!B6409,overview!$A$4:$A$338,0),MATCH('hydrogen - electrolysis'!A6411,overview!$B$3:$R$3,0))</f>
        <v>megajoule</v>
      </c>
    </row>
    <row r="6412" spans="1:21" x14ac:dyDescent="0.2">
      <c r="A6412" t="s">
        <v>0</v>
      </c>
      <c r="B6412" s="45" t="str">
        <f>INDEX(overview!$B$4:$R$338,MATCH('hydrogen - electrolysis'!B6409,overview!$A$4:$A$338,0),MATCH('hydrogen - electrolysis'!A6412,overview!$B$3:$R$3,0))</f>
        <v>Switzerland</v>
      </c>
    </row>
    <row r="6413" spans="1:21" x14ac:dyDescent="0.2">
      <c r="A6413" t="s">
        <v>1</v>
      </c>
      <c r="B6413" s="45">
        <f>INDEX(overview!$B$4:$R$338,MATCH('hydrogen - electrolysis'!B6409,overview!$A$4:$A$338,0),MATCH('hydrogen - electrolysis'!A6413,overview!$B$3:$R$3,0))</f>
        <v>2020</v>
      </c>
    </row>
    <row r="6414" spans="1:21" x14ac:dyDescent="0.2">
      <c r="A6414" t="s">
        <v>2</v>
      </c>
      <c r="B6414" s="45" t="str">
        <f>INDEX(overview!$B$4:$R$338,MATCH('hydrogen - electrolysis'!B6409,overview!$A$4:$A$338,0),MATCH('hydrogen - electrolysis'!A6414,overview!$B$3:$R$3,0))</f>
        <v>1 MJ heat</v>
      </c>
    </row>
    <row r="6415" spans="1:21" x14ac:dyDescent="0.2">
      <c r="A6415" t="s">
        <v>5</v>
      </c>
      <c r="B6415" s="45" t="str">
        <f>INDEX(overview!$B$4:$R$338,MATCH('hydrogen - electrolysis'!B6409,overview!$A$4:$A$338,0),MATCH('hydrogen - electrolysis'!A6415,overview!$B$3:$R$3,0))</f>
        <v>hydrogen</v>
      </c>
    </row>
    <row r="6416" spans="1:21" x14ac:dyDescent="0.2">
      <c r="A6416" t="s">
        <v>3</v>
      </c>
      <c r="B6416" s="45" t="str">
        <f>INDEX(overview!$B$4:$R$338,MATCH('hydrogen - electrolysis'!B6409,overview!$A$4:$A$338,0),MATCH('hydrogen - electrolysis'!A6416,overview!$B$3:$R$3,0))</f>
        <v>conversion</v>
      </c>
    </row>
    <row r="6417" spans="1:2" x14ac:dyDescent="0.2">
      <c r="A6417" t="s">
        <v>6</v>
      </c>
      <c r="B6417" s="45" t="str">
        <f>INDEX(overview!$B$4:$R$338,MATCH('hydrogen - electrolysis'!B6409,overview!$A$4:$A$338,0),MATCH('hydrogen - electrolysis'!A6417,overview!$B$3:$R$3,0))</f>
        <v>fuel cell, SOFC</v>
      </c>
    </row>
    <row r="6418" spans="1:2" x14ac:dyDescent="0.2">
      <c r="A6418" t="s">
        <v>39</v>
      </c>
      <c r="B6418" s="45" t="str">
        <f>INDEX(overview!$B$4:$R$338,MATCH('hydrogen - electrolysis'!B6409,overview!$A$4:$A$338,0),MATCH('hydrogen - electrolysis'!A6418,overview!$B$3:$R$3,0))</f>
        <v>exergy</v>
      </c>
    </row>
    <row r="6419" spans="1:2" x14ac:dyDescent="0.2">
      <c r="A6419" t="s">
        <v>4</v>
      </c>
      <c r="B6419" s="45" t="str">
        <f>INDEX(overview!$B$4:$R$338,MATCH('hydrogen - electrolysis'!B6409,overview!$A$4:$A$338,0),MATCH('hydrogen - electrolysis'!A6419,overview!$B$3:$R$3,0))</f>
        <v>train</v>
      </c>
    </row>
    <row r="6420" spans="1:2" x14ac:dyDescent="0.2">
      <c r="A6420" t="s">
        <v>38</v>
      </c>
      <c r="B6420" s="45">
        <f>INDEX(overview!$B$4:$R$338,MATCH('hydrogen - electrolysis'!B6409,overview!$A$4:$A$338,0),MATCH('hydrogen - electrolysis'!A6420,overview!$B$3:$R$3,0))</f>
        <v>1000</v>
      </c>
    </row>
    <row r="6421" spans="1:2" x14ac:dyDescent="0.2">
      <c r="A6421" t="s">
        <v>12</v>
      </c>
      <c r="B6421" s="45" t="str">
        <f>INDEX(overview!$B$4:$R$338,MATCH('hydrogen - electrolysis'!B6409,overview!$A$4:$A$338,0),MATCH('hydrogen - electrolysis'!A6421,overview!$B$3:$R$3,0))</f>
        <v>Pressure vessel for stationary storage</v>
      </c>
    </row>
    <row r="6422" spans="1:2" x14ac:dyDescent="0.2">
      <c r="A6422" t="s">
        <v>34</v>
      </c>
      <c r="B6422" s="45">
        <f>INDEX(overview!$B$4:$R$338,MATCH('hydrogen - electrolysis'!B6409,overview!$A$4:$A$338,0),MATCH('hydrogen - electrolysis'!A6422,overview!$B$3:$R$3,0))</f>
        <v>0</v>
      </c>
    </row>
    <row r="6423" spans="1:2" x14ac:dyDescent="0.2">
      <c r="A6423" t="s">
        <v>15</v>
      </c>
      <c r="B6423" s="45" t="str">
        <f>INDEX(overview!$B$4:$R$338,MATCH('hydrogen - electrolysis'!B6409,overview!$A$4:$A$338,0),MATCH('hydrogen - electrolysis'!A6423,overview!$B$3:$R$3,0))</f>
        <v>Electrolysis, Alkaline</v>
      </c>
    </row>
    <row r="6424" spans="1:2" x14ac:dyDescent="0.2">
      <c r="A6424" t="s">
        <v>14</v>
      </c>
      <c r="B6424" s="45" t="str">
        <f>INDEX(overview!$B$4:$R$338,MATCH('hydrogen - electrolysis'!B6409,overview!$A$4:$A$338,0),MATCH('hydrogen - electrolysis'!A6424,overview!$B$3:$R$3,0))</f>
        <v>water and electricity</v>
      </c>
    </row>
    <row r="6425" spans="1:2" x14ac:dyDescent="0.2">
      <c r="A6425" t="s">
        <v>26</v>
      </c>
      <c r="B6425" s="45" t="str">
        <f>INDEX(overview!$B$4:$R$338,MATCH('hydrogen - electrolysis'!B6409,overview!$A$4:$A$338,0),MATCH('hydrogen - electrolysis'!A6425,overview!$B$3:$R$3,0))</f>
        <v>Solar PV (DE)</v>
      </c>
    </row>
    <row r="6426" spans="1:2" x14ac:dyDescent="0.2">
      <c r="A6426" t="s">
        <v>29</v>
      </c>
      <c r="B6426" s="45">
        <f>INDEX(overview!$B$4:$R$338,MATCH('hydrogen - electrolysis'!B6409,overview!$A$4:$A$338,0),MATCH('hydrogen - electrolysis'!A6426,overview!$B$3:$R$3,0))</f>
        <v>0</v>
      </c>
    </row>
    <row r="6427" spans="1:2" x14ac:dyDescent="0.2">
      <c r="A6427" t="str">
        <f>IF(B6411="megajoule","Heat","Electricity")&amp;" conversion efficiency [% LHV input]"</f>
        <v>Heat conversion efficiency [% LHV input]</v>
      </c>
      <c r="B6427" s="46">
        <f>INDEX(parameters!$D$4:$N$20,MATCH('hydrogen - electrolysis'!B6415&amp;'hydrogen - electrolysis'!B6417,parameters!$A$4:$A$20,0),MATCH('hydrogen - electrolysis'!A6427,parameters!$D$3:$N$3,0))</f>
        <v>0.53</v>
      </c>
    </row>
    <row r="6428" spans="1:2" x14ac:dyDescent="0.2">
      <c r="A6428" t="str">
        <f>IF(B6411="megajoule","LHV [MJ/kg]","LHV [kWh/kg]")</f>
        <v>LHV [MJ/kg]</v>
      </c>
      <c r="B6428" s="47">
        <f>INDEX(parameters!$D$4:$N$20,MATCH('hydrogen - electrolysis'!B6415&amp;'hydrogen - electrolysis'!B6417,parameters!$A$4:$A$20,0),MATCH('hydrogen - electrolysis'!A6428,parameters!$D$3:$N$3,0))</f>
        <v>120</v>
      </c>
    </row>
    <row r="6429" spans="1:2" x14ac:dyDescent="0.2">
      <c r="A6429" t="s">
        <v>41</v>
      </c>
      <c r="B6429" s="48">
        <f>INDEX(parameters!$D$4:$N$20,MATCH('hydrogen - electrolysis'!B6415&amp;'hydrogen - electrolysis'!B6417,parameters!$A$4:$A$20,0),MATCH('hydrogen - electrolysis'!A6429,parameters!$D$3:$N$3,0))</f>
        <v>2.6666666666666665E-2</v>
      </c>
    </row>
    <row r="6430" spans="1:2" x14ac:dyDescent="0.2">
      <c r="A6430" t="s">
        <v>45</v>
      </c>
      <c r="B6430" s="46">
        <f>INDEX(parameters!$D$4:$N$20,MATCH('hydrogen - electrolysis'!B6415&amp;'hydrogen - electrolysis'!B6417,parameters!$A$4:$A$20,0),MATCH('hydrogen - electrolysis'!A6430,parameters!$D$3:$N$3,0))</f>
        <v>0</v>
      </c>
    </row>
    <row r="6431" spans="1:2" x14ac:dyDescent="0.2">
      <c r="A6431" t="s">
        <v>46</v>
      </c>
      <c r="B6431" s="46">
        <f>INDEX(parameters!$D$4:$N$20,MATCH('hydrogen - electrolysis'!B6415&amp;'hydrogen - electrolysis'!B6417,parameters!$A$4:$A$20,0),MATCH('hydrogen - electrolysis'!A6431,parameters!$D$3:$N$3,0))</f>
        <v>1.4999999999999999E-2</v>
      </c>
    </row>
    <row r="6432" spans="1:2" x14ac:dyDescent="0.2">
      <c r="A6432" t="s">
        <v>43</v>
      </c>
      <c r="B6432" s="46">
        <f>INDEX(parameters!$D$4:$N$20,MATCH('hydrogen - electrolysis'!B6415&amp;'hydrogen - electrolysis'!B6417,parameters!$A$4:$A$20,0),MATCH('hydrogen - electrolysis'!A6432,parameters!$D$3:$N$3,0))</f>
        <v>0</v>
      </c>
    </row>
    <row r="6433" spans="1:22" x14ac:dyDescent="0.2">
      <c r="A6433" t="s">
        <v>44</v>
      </c>
      <c r="B6433" s="46">
        <f>INDEX(parameters!$D$4:$N$20,MATCH('hydrogen - electrolysis'!B6415&amp;'hydrogen - electrolysis'!B6417,parameters!$A$4:$A$20,0),MATCH('hydrogen - electrolysis'!A6433,parameters!$D$3:$N$3,0))</f>
        <v>0</v>
      </c>
    </row>
    <row r="6434" spans="1:22" x14ac:dyDescent="0.2">
      <c r="A6434" t="s">
        <v>634</v>
      </c>
      <c r="B6434" s="51">
        <f>INDEX(parameters!$D$4:$Y$20,MATCH('hydrogen - electrolysis'!B6415&amp;'hydrogen - electrolysis'!B6417,parameters!$A$4:$A$20,0),MATCH('hydrogen - electrolysis'!A6434,parameters!$D$3:$Y$3,0))</f>
        <v>225</v>
      </c>
      <c r="D6434" s="8"/>
    </row>
    <row r="6435" spans="1:22" x14ac:dyDescent="0.2">
      <c r="A6435" t="s">
        <v>82</v>
      </c>
      <c r="B6435" s="46">
        <f>IF(B6426&lt;&gt;0,VLOOKUP(B6426,parameters!A4099:B4101,2,0),0)</f>
        <v>0</v>
      </c>
    </row>
    <row r="6436" spans="1:22" x14ac:dyDescent="0.2">
      <c r="A6436" t="s">
        <v>548</v>
      </c>
      <c r="B6436" s="50">
        <f>INDEX(parameters!$D$4:$P$20,MATCH(B6415&amp;B6417,parameters!$A$4:$A$20,0),MATCH(A6436,parameters!$D$3:$P$3,0))</f>
        <v>100</v>
      </c>
    </row>
    <row r="6437" spans="1:22" x14ac:dyDescent="0.2">
      <c r="A6437" t="s">
        <v>547</v>
      </c>
      <c r="B6437" s="51">
        <f>INDEX(parameters!$D$4:$P$20,MATCH(B6415&amp;B6417,parameters!$A$4:$A$20,0),MATCH(A6437,parameters!$D$3:$P$3,0))</f>
        <v>6</v>
      </c>
    </row>
    <row r="6438" spans="1:22" x14ac:dyDescent="0.2">
      <c r="A6438" t="s">
        <v>630</v>
      </c>
      <c r="B6438" s="51">
        <f>INDEX(parameters!$D$4:$T$20,MATCH(B6415&amp;B6417,parameters!$A$4:$A$20,0),MATCH(A6438,parameters!$D$3:$T$3,0))</f>
        <v>4100</v>
      </c>
    </row>
    <row r="6439" spans="1:22" x14ac:dyDescent="0.2">
      <c r="A6439" t="s">
        <v>1005</v>
      </c>
      <c r="B6439" s="50">
        <f>IF(B6411="megajoule",SUMIFS(allocation!$I$4:$I$30,allocation!$B$4:$B$30,B6417,allocation!$C$4:$C$30,B6418),SUMIFS(allocation!$J$4:$J$30,allocation!$B$4:$B$30,B6417,allocation!$C$4:$C$30,B6418))</f>
        <v>0.13587506510399097</v>
      </c>
    </row>
    <row r="6440" spans="1:22" x14ac:dyDescent="0.2">
      <c r="A6440" t="s">
        <v>1050</v>
      </c>
      <c r="B6440" s="51">
        <f>INDEX(parameters!$D$4:$AB$20,MATCH(B6415&amp;B6417,parameters!$A$4:$A$20,0),MATCH(A6440,parameters!$D$3:$AB$3,0))</f>
        <v>1153.1249999999998</v>
      </c>
    </row>
    <row r="6442" spans="1:22" x14ac:dyDescent="0.2">
      <c r="A6442" s="3" t="s">
        <v>57</v>
      </c>
    </row>
    <row r="6443" spans="1:22" x14ac:dyDescent="0.2">
      <c r="A6443" s="2" t="s">
        <v>58</v>
      </c>
      <c r="B6443" s="44" t="s">
        <v>59</v>
      </c>
      <c r="C6443" s="2" t="s">
        <v>55</v>
      </c>
      <c r="D6443" s="2" t="s">
        <v>60</v>
      </c>
      <c r="E6443" s="2" t="s">
        <v>52</v>
      </c>
      <c r="F6443" s="2" t="s">
        <v>61</v>
      </c>
      <c r="G6443" s="2" t="s">
        <v>54</v>
      </c>
      <c r="H6443" s="2" t="s">
        <v>87</v>
      </c>
      <c r="I6443" s="2" t="s">
        <v>51</v>
      </c>
      <c r="J6443" s="2" t="s">
        <v>138</v>
      </c>
      <c r="K6443" s="2" t="s">
        <v>136</v>
      </c>
      <c r="L6443" s="2" t="s">
        <v>221</v>
      </c>
      <c r="M6443" s="2" t="s">
        <v>379</v>
      </c>
      <c r="N6443" s="2" t="s">
        <v>1059</v>
      </c>
      <c r="O6443" s="2" t="s">
        <v>1060</v>
      </c>
      <c r="P6443" s="2" t="s">
        <v>1061</v>
      </c>
      <c r="Q6443" s="2" t="s">
        <v>1062</v>
      </c>
      <c r="R6443" s="2" t="s">
        <v>1063</v>
      </c>
      <c r="S6443" s="2" t="s">
        <v>1064</v>
      </c>
      <c r="T6443" s="2" t="s">
        <v>1065</v>
      </c>
      <c r="U6443" s="2" t="s">
        <v>380</v>
      </c>
      <c r="V6443" s="2" t="s">
        <v>1128</v>
      </c>
    </row>
    <row r="6444" spans="1:22" x14ac:dyDescent="0.2">
      <c r="A6444" t="str">
        <f>B6405</f>
        <v>heat, residential, by conversion of hydrogen using fuel cell, SOFC, allocated by exergy, transported by train, produced by Electrolysis, Alkaline using water and electricity from Solar PV (DE)</v>
      </c>
      <c r="B6444" s="45">
        <v>1</v>
      </c>
      <c r="C6444" t="str">
        <f>B6411</f>
        <v>megajoule</v>
      </c>
      <c r="E6444" t="str">
        <f>B6408</f>
        <v>CH</v>
      </c>
      <c r="F6444" t="s">
        <v>62</v>
      </c>
      <c r="G6444" t="str">
        <f>B6410</f>
        <v>heat, from residential heating system</v>
      </c>
      <c r="K6444" t="str">
        <f>B6405</f>
        <v>heat, residential, by conversion of hydrogen using fuel cell, SOFC, allocated by exergy, transported by train, produced by Electrolysis, Alkaline using water and electricity from Solar PV (DE)</v>
      </c>
    </row>
    <row r="6445" spans="1:22" x14ac:dyDescent="0.2">
      <c r="A6445" t="str">
        <f>VLOOKUP(J6445,'dataset mapping'!$A$4:$E$69,2,0)</f>
        <v>fuel cell production, stack solid oxide, 125kW electrical, future</v>
      </c>
      <c r="B6445" s="52">
        <f>(1/(B6434*B6438*B6437*3.6))*B6439</f>
        <v>6.8189834941278219E-9</v>
      </c>
      <c r="C6445" t="str">
        <f>VLOOKUP(J6445,'dataset mapping'!$A$4:$E$69,5,0)</f>
        <v>unit</v>
      </c>
      <c r="E6445" t="str">
        <f>VLOOKUP(J6445,'dataset mapping'!$A$4:$E$69,4,0)</f>
        <v>CH</v>
      </c>
      <c r="F6445" t="s">
        <v>86</v>
      </c>
      <c r="G6445" t="str">
        <f>VLOOKUP(J6445,'dataset mapping'!$A$4:$E$69,3,0)</f>
        <v>fuel cell, stack solid oxide, 125kW electrical, future</v>
      </c>
      <c r="H6445" t="s">
        <v>88</v>
      </c>
      <c r="I6445" t="s">
        <v>277</v>
      </c>
      <c r="J6445" t="s">
        <v>274</v>
      </c>
      <c r="K6445" t="str">
        <f>B6405</f>
        <v>heat, residential, by conversion of hydrogen using fuel cell, SOFC, allocated by exergy, transported by train, produced by Electrolysis, Alkaline using water and electricity from Solar PV (DE)</v>
      </c>
      <c r="L6445">
        <f t="shared" ref="L6445:L6451" si="244">IF(OR(B6445&lt;0,B6445=0),1,2)</f>
        <v>2</v>
      </c>
      <c r="M6445">
        <f t="shared" ref="M6445:M6451" si="245">IF(L6445=2,LN(B6445),"")</f>
        <v>-18.80355542398161</v>
      </c>
      <c r="N6445">
        <v>1</v>
      </c>
      <c r="O6445" s="15">
        <v>1.2</v>
      </c>
      <c r="P6445">
        <v>1</v>
      </c>
      <c r="Q6445">
        <v>1.01</v>
      </c>
      <c r="R6445">
        <v>1.2</v>
      </c>
      <c r="S6445">
        <v>1.2</v>
      </c>
      <c r="T6445">
        <v>3</v>
      </c>
      <c r="U6445">
        <f t="shared" ref="U6445:U6451" si="246">LN(SQRT(EXP(
SQRT(
+POWER(LN(N6445),2)
+POWER(LN(O6445),2)
+POWER(LN(P6445),2)
+POWER(LN(Q6445),2)
+POWER(LN(R6445),2)
+POWER(LN(S6445),2)
+POWER(LN(T6445),2)
)
)))</f>
        <v>0.57157051623399524</v>
      </c>
    </row>
    <row r="6446" spans="1:22" x14ac:dyDescent="0.2">
      <c r="A6446" t="s">
        <v>283</v>
      </c>
      <c r="B6446" s="52">
        <f>(1/(B6434*B6438*B6437*3.6))*B6439</f>
        <v>6.8189834941278219E-9</v>
      </c>
      <c r="C6446" t="s">
        <v>55</v>
      </c>
      <c r="E6446" t="s">
        <v>64</v>
      </c>
      <c r="F6446" t="s">
        <v>86</v>
      </c>
      <c r="G6446" t="s">
        <v>284</v>
      </c>
      <c r="H6446" t="s">
        <v>88</v>
      </c>
      <c r="I6446" t="s">
        <v>277</v>
      </c>
      <c r="K6446" t="str">
        <f>B6405</f>
        <v>heat, residential, by conversion of hydrogen using fuel cell, SOFC, allocated by exergy, transported by train, produced by Electrolysis, Alkaline using water and electricity from Solar PV (DE)</v>
      </c>
      <c r="L6446">
        <f t="shared" si="244"/>
        <v>2</v>
      </c>
      <c r="M6446">
        <f t="shared" si="245"/>
        <v>-18.80355542398161</v>
      </c>
      <c r="N6446">
        <v>1</v>
      </c>
      <c r="O6446" s="15">
        <v>1.2</v>
      </c>
      <c r="P6446">
        <v>1</v>
      </c>
      <c r="Q6446">
        <v>1.01</v>
      </c>
      <c r="R6446">
        <v>1.2</v>
      </c>
      <c r="S6446">
        <v>1.2</v>
      </c>
      <c r="T6446">
        <v>3</v>
      </c>
      <c r="U6446">
        <f t="shared" si="246"/>
        <v>0.57157051623399524</v>
      </c>
    </row>
    <row r="6447" spans="1:22" x14ac:dyDescent="0.2">
      <c r="A6447" t="s">
        <v>288</v>
      </c>
      <c r="B6447" s="52">
        <f>0.000024*B6439</f>
        <v>3.2610015624957834E-6</v>
      </c>
      <c r="C6447" t="s">
        <v>56</v>
      </c>
      <c r="E6447" t="s">
        <v>64</v>
      </c>
      <c r="F6447" t="s">
        <v>86</v>
      </c>
      <c r="G6447" t="s">
        <v>287</v>
      </c>
      <c r="H6447" t="s">
        <v>88</v>
      </c>
      <c r="K6447" t="str">
        <f>B6405</f>
        <v>heat, residential, by conversion of hydrogen using fuel cell, SOFC, allocated by exergy, transported by train, produced by Electrolysis, Alkaline using water and electricity from Solar PV (DE)</v>
      </c>
      <c r="L6447">
        <f t="shared" si="244"/>
        <v>2</v>
      </c>
      <c r="M6447">
        <f t="shared" si="245"/>
        <v>-12.633476182011</v>
      </c>
      <c r="N6447">
        <v>1</v>
      </c>
      <c r="O6447" s="15">
        <v>1.2</v>
      </c>
      <c r="P6447">
        <v>1</v>
      </c>
      <c r="Q6447">
        <v>1.01</v>
      </c>
      <c r="R6447">
        <v>1.2</v>
      </c>
      <c r="S6447">
        <v>1.2</v>
      </c>
      <c r="T6447">
        <v>1.05</v>
      </c>
      <c r="U6447">
        <f t="shared" si="246"/>
        <v>0.15984597228197622</v>
      </c>
    </row>
    <row r="6448" spans="1:22" x14ac:dyDescent="0.2">
      <c r="A6448" s="45" t="str">
        <f>"hydrogen supply, transported by "&amp;B6419&amp;", produced by "&amp;B6423&amp;" using "&amp;B6424&amp;" from "&amp;B6425</f>
        <v>hydrogen supply, transported by train, produced by Electrolysis, Alkaline using water and electricity from Solar PV (DE)</v>
      </c>
      <c r="B6448" s="53">
        <f>(B6444/B6428)/B6427*B6439</f>
        <v>2.1364003947168392E-3</v>
      </c>
      <c r="C6448" t="s">
        <v>56</v>
      </c>
      <c r="E6448" t="s">
        <v>64</v>
      </c>
      <c r="F6448" t="s">
        <v>86</v>
      </c>
      <c r="G6448" t="str">
        <f>"hydrogen, gaseous, from "&amp;B6419</f>
        <v>hydrogen, gaseous, from train</v>
      </c>
      <c r="H6448" t="s">
        <v>76</v>
      </c>
      <c r="I6448" t="s">
        <v>1054</v>
      </c>
      <c r="J6448" t="s">
        <v>297</v>
      </c>
      <c r="K6448" t="str">
        <f>B6405</f>
        <v>heat, residential, by conversion of hydrogen using fuel cell, SOFC, allocated by exergy, transported by train, produced by Electrolysis, Alkaline using water and electricity from Solar PV (DE)</v>
      </c>
      <c r="L6448">
        <f t="shared" si="244"/>
        <v>2</v>
      </c>
      <c r="M6448">
        <f t="shared" si="245"/>
        <v>-6.1486329247407472</v>
      </c>
      <c r="N6448">
        <v>1</v>
      </c>
      <c r="O6448" s="15">
        <v>1.2</v>
      </c>
      <c r="P6448">
        <v>1</v>
      </c>
      <c r="Q6448">
        <v>1.01</v>
      </c>
      <c r="R6448">
        <v>1.2</v>
      </c>
      <c r="S6448">
        <v>1.2</v>
      </c>
      <c r="T6448">
        <v>1.05</v>
      </c>
      <c r="U6448">
        <f t="shared" si="246"/>
        <v>0.15984597228197622</v>
      </c>
    </row>
    <row r="6449" spans="1:21" x14ac:dyDescent="0.2">
      <c r="A6449" t="str">
        <f>VLOOKUP(J6449,'dataset mapping'!$A$4:$E$69,2,0)</f>
        <v>market for transport, freight train</v>
      </c>
      <c r="B6449" s="45">
        <f>SUM(B6448:B6448)/1000*B6420</f>
        <v>2.1364003947168392E-3</v>
      </c>
      <c r="C6449" t="str">
        <f>VLOOKUP(J6449,'dataset mapping'!$A$4:$E$69,5,0)</f>
        <v>ton kilometer</v>
      </c>
      <c r="E6449" t="str">
        <f>VLOOKUP(J6449,'dataset mapping'!$A$4:$E$69,4,0)</f>
        <v>CH</v>
      </c>
      <c r="F6449" t="s">
        <v>86</v>
      </c>
      <c r="G6449" t="str">
        <f>VLOOKUP(J6449,'dataset mapping'!$A$4:$E$69,3,0)</f>
        <v>transport, freight train</v>
      </c>
      <c r="H6449" t="s">
        <v>88</v>
      </c>
      <c r="I6449" t="s">
        <v>1052</v>
      </c>
      <c r="J6449" t="s">
        <v>295</v>
      </c>
      <c r="K6449" t="str">
        <f>B6405</f>
        <v>heat, residential, by conversion of hydrogen using fuel cell, SOFC, allocated by exergy, transported by train, produced by Electrolysis, Alkaline using water and electricity from Solar PV (DE)</v>
      </c>
      <c r="L6449">
        <f t="shared" si="244"/>
        <v>2</v>
      </c>
      <c r="M6449">
        <f t="shared" si="245"/>
        <v>-6.1486329247407472</v>
      </c>
      <c r="N6449">
        <v>1</v>
      </c>
      <c r="O6449" s="15">
        <v>1.2</v>
      </c>
      <c r="P6449">
        <v>1</v>
      </c>
      <c r="Q6449">
        <v>1.01</v>
      </c>
      <c r="R6449">
        <v>1.2</v>
      </c>
      <c r="S6449">
        <v>1.2</v>
      </c>
      <c r="T6449">
        <v>2</v>
      </c>
      <c r="U6449">
        <f t="shared" si="246"/>
        <v>0.38087907307228186</v>
      </c>
    </row>
    <row r="6450" spans="1:21" x14ac:dyDescent="0.2">
      <c r="A6450" t="str">
        <f>VLOOKUP(J6450,'dataset mapping'!$A$4:$E$69,2,0)</f>
        <v>high pressure hydrogen storage tank</v>
      </c>
      <c r="B6450" s="52">
        <f>((B6440/10)/(B6438*B6434*20*3.6))*IF(B6439&lt;&gt;0,B6439,1)</f>
        <v>2.3589421024998428E-7</v>
      </c>
      <c r="C6450" t="str">
        <f>VLOOKUP(J6450,'dataset mapping'!$A$4:$E$69,5,0)</f>
        <v>kilogram</v>
      </c>
      <c r="E6450" t="str">
        <f>VLOOKUP(J6450,'dataset mapping'!$A$4:$E$69,4,0)</f>
        <v>GLO</v>
      </c>
      <c r="F6450" t="s">
        <v>86</v>
      </c>
      <c r="G6450" t="str">
        <f>VLOOKUP(J6450,'dataset mapping'!$A$4:$E$69,3,0)</f>
        <v>high pressure hydrogen storage tank</v>
      </c>
      <c r="H6450" t="s">
        <v>88</v>
      </c>
      <c r="I6450" t="s">
        <v>230</v>
      </c>
      <c r="J6450" t="s">
        <v>229</v>
      </c>
      <c r="K6450" t="str">
        <f>B6405</f>
        <v>heat, residential, by conversion of hydrogen using fuel cell, SOFC, allocated by exergy, transported by train, produced by Electrolysis, Alkaline using water and electricity from Solar PV (DE)</v>
      </c>
      <c r="L6450">
        <f t="shared" si="244"/>
        <v>2</v>
      </c>
      <c r="M6450">
        <f t="shared" si="245"/>
        <v>-15.259882394072699</v>
      </c>
      <c r="N6450">
        <v>1</v>
      </c>
      <c r="O6450" s="15">
        <v>1.2</v>
      </c>
      <c r="P6450">
        <v>1</v>
      </c>
      <c r="Q6450">
        <v>1.01</v>
      </c>
      <c r="R6450">
        <v>1.2</v>
      </c>
      <c r="S6450">
        <v>1.2</v>
      </c>
      <c r="T6450">
        <v>3</v>
      </c>
      <c r="U6450">
        <f t="shared" si="246"/>
        <v>0.57157051623399524</v>
      </c>
    </row>
    <row r="6451" spans="1:21" x14ac:dyDescent="0.2">
      <c r="A6451" t="s">
        <v>134</v>
      </c>
      <c r="B6451" s="45">
        <f>B6448*9</f>
        <v>1.9227603552451553E-2</v>
      </c>
      <c r="C6451" t="s">
        <v>56</v>
      </c>
      <c r="D6451" t="s">
        <v>100</v>
      </c>
      <c r="F6451" t="s">
        <v>99</v>
      </c>
      <c r="H6451" t="s">
        <v>131</v>
      </c>
      <c r="I6451" t="s">
        <v>1057</v>
      </c>
      <c r="K6451" t="str">
        <f>B6405</f>
        <v>heat, residential, by conversion of hydrogen using fuel cell, SOFC, allocated by exergy, transported by train, produced by Electrolysis, Alkaline using water and electricity from Solar PV (DE)</v>
      </c>
      <c r="L6451">
        <f t="shared" si="244"/>
        <v>2</v>
      </c>
      <c r="M6451">
        <f t="shared" si="245"/>
        <v>-3.9514083474045276</v>
      </c>
      <c r="N6451">
        <v>1</v>
      </c>
      <c r="O6451" s="15">
        <v>1.2</v>
      </c>
      <c r="P6451">
        <v>1</v>
      </c>
      <c r="Q6451">
        <v>1.01</v>
      </c>
      <c r="R6451">
        <v>1.2</v>
      </c>
      <c r="S6451">
        <v>1.2</v>
      </c>
      <c r="T6451">
        <v>1.05</v>
      </c>
      <c r="U6451">
        <f t="shared" si="246"/>
        <v>0.15984597228197622</v>
      </c>
    </row>
    <row r="6453" spans="1:21" x14ac:dyDescent="0.2">
      <c r="A6453" s="2" t="s">
        <v>50</v>
      </c>
      <c r="B6453" s="44" t="str">
        <f>IF(B6459="megajoule","heat","electricity")&amp;", residential, by "&amp;B6464&amp;" of "&amp;B6463&amp;" using "&amp;B6465&amp;IF(B6466&lt;&gt;0,", allocated by "&amp;B6466,"")&amp;", transported by "&amp;B6467&amp;", produced by "&amp;B6471&amp;" using "&amp;B6472&amp;" from "&amp;B6473</f>
        <v>electricity, residential, by combustion of hydrogen using CHP, allocated by exergy, transported by train, produced by Electrolysis, Alkaline using water and electricity from Solar PV (DE)</v>
      </c>
    </row>
    <row r="6454" spans="1:21" x14ac:dyDescent="0.2">
      <c r="A6454" t="s">
        <v>51</v>
      </c>
      <c r="B6454" s="45" t="str">
        <f>"This dataset represents the supply of 1 "&amp;IF(B6459="megajoule","megajoule of heat","kilowatt hour of electricity")&amp;" in a residence, by "&amp;B6463&amp;" "&amp;B6464&amp;" in a "&amp;B6465&amp;". "&amp;" The hydrogen is transported by "&amp;B6467&amp;" over "&amp;B6468&amp;" km from regional storage. "&amp;" The "&amp;B6463&amp;" is produced by  "&amp;B6471&amp;", with "&amp;B6472&amp;" from "&amp;B6473&amp;" as feedstock. "&amp;A6475&amp;": "&amp;(B6475*100)&amp;"%. "&amp;A6476&amp;": "&amp;B6476&amp;". "&amp;A6477&amp;": "&amp;B6477&amp;". "&amp;A6478&amp;": "&amp;(B6478*100)&amp;"%. "&amp;A6479&amp;": "&amp;(B6479*100)&amp;"%. "&amp;A6480&amp;": "&amp;(B6480*100)&amp;"%. "&amp;A6481&amp;": "&amp;B6481&amp;". "&amp;A6482&amp;": "&amp;B6482&amp;". "&amp;A6483&amp;": "&amp;(B6483*100)&amp;"%. "&amp;A6484&amp;": "&amp;B6484&amp;". "&amp;A6485&amp;": "&amp;B6485&amp;". "&amp;A6486&amp;": "&amp;B6486&amp;". "&amp;A6487&amp;": "&amp;B6487&amp;".  For more information, refer to: "&amp;B6455</f>
        <v>This dataset represents the supply of 1 kilowatt hour of electricity in a residence, by hydrogen combustion in a CHP.  The hydrogen is transported by train over 1000 km from regional storage.  The hydrogen is produced by  Electrolysis, Alkaline,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6455" spans="1:21" x14ac:dyDescent="0.2">
      <c r="A6455" t="s">
        <v>63</v>
      </c>
      <c r="B6455" s="45" t="s">
        <v>1223</v>
      </c>
    </row>
    <row r="6456" spans="1:21" x14ac:dyDescent="0.2">
      <c r="A6456" t="s">
        <v>52</v>
      </c>
      <c r="B6456" s="45" t="s">
        <v>64</v>
      </c>
    </row>
    <row r="6457" spans="1:21" x14ac:dyDescent="0.2">
      <c r="A6457" t="s">
        <v>48</v>
      </c>
      <c r="B6457" s="45" t="s">
        <v>922</v>
      </c>
    </row>
    <row r="6458" spans="1:21" x14ac:dyDescent="0.2">
      <c r="A6458" t="s">
        <v>54</v>
      </c>
      <c r="B6458" s="45" t="str">
        <f>INDEX(overview!$B$4:$R$338,MATCH('hydrogen - electrolysis'!B6457,overview!$A$4:$A$338,0),MATCH('hydrogen - electrolysis'!A6458,overview!$B$3:$R$3,0))</f>
        <v>electricity, from residential heating system</v>
      </c>
    </row>
    <row r="6459" spans="1:21" x14ac:dyDescent="0.2">
      <c r="A6459" t="s">
        <v>55</v>
      </c>
      <c r="B6459" s="45" t="str">
        <f>INDEX(overview!$B$4:$R$338,MATCH('hydrogen - electrolysis'!B6457,overview!$A$4:$A$338,0),MATCH('hydrogen - electrolysis'!A6459,overview!$B$3:$R$3,0))</f>
        <v>kilowatt hour</v>
      </c>
    </row>
    <row r="6460" spans="1:21" x14ac:dyDescent="0.2">
      <c r="A6460" t="s">
        <v>0</v>
      </c>
      <c r="B6460" s="45" t="str">
        <f>INDEX(overview!$B$4:$R$338,MATCH('hydrogen - electrolysis'!B6457,overview!$A$4:$A$338,0),MATCH('hydrogen - electrolysis'!A6460,overview!$B$3:$R$3,0))</f>
        <v>Switzerland</v>
      </c>
    </row>
    <row r="6461" spans="1:21" x14ac:dyDescent="0.2">
      <c r="A6461" t="s">
        <v>1</v>
      </c>
      <c r="B6461" s="45">
        <f>INDEX(overview!$B$4:$R$338,MATCH('hydrogen - electrolysis'!B6457,overview!$A$4:$A$338,0),MATCH('hydrogen - electrolysis'!A6461,overview!$B$3:$R$3,0))</f>
        <v>2020</v>
      </c>
    </row>
    <row r="6462" spans="1:21" x14ac:dyDescent="0.2">
      <c r="A6462" t="s">
        <v>2</v>
      </c>
      <c r="B6462" s="45" t="str">
        <f>INDEX(overview!$B$4:$R$338,MATCH('hydrogen - electrolysis'!B6457,overview!$A$4:$A$338,0),MATCH('hydrogen - electrolysis'!A6462,overview!$B$3:$R$3,0))</f>
        <v>1 kWh electricity</v>
      </c>
    </row>
    <row r="6463" spans="1:21" x14ac:dyDescent="0.2">
      <c r="A6463" t="s">
        <v>5</v>
      </c>
      <c r="B6463" s="45" t="str">
        <f>INDEX(overview!$B$4:$R$338,MATCH('hydrogen - electrolysis'!B6457,overview!$A$4:$A$338,0),MATCH('hydrogen - electrolysis'!A6463,overview!$B$3:$R$3,0))</f>
        <v>hydrogen</v>
      </c>
    </row>
    <row r="6464" spans="1:21" x14ac:dyDescent="0.2">
      <c r="A6464" t="s">
        <v>3</v>
      </c>
      <c r="B6464" s="45" t="str">
        <f>INDEX(overview!$B$4:$R$338,MATCH('hydrogen - electrolysis'!B6457,overview!$A$4:$A$338,0),MATCH('hydrogen - electrolysis'!A6464,overview!$B$3:$R$3,0))</f>
        <v>combustion</v>
      </c>
    </row>
    <row r="6465" spans="1:2" x14ac:dyDescent="0.2">
      <c r="A6465" t="s">
        <v>6</v>
      </c>
      <c r="B6465" s="45" t="str">
        <f>INDEX(overview!$B$4:$R$338,MATCH('hydrogen - electrolysis'!B6457,overview!$A$4:$A$338,0),MATCH('hydrogen - electrolysis'!A6465,overview!$B$3:$R$3,0))</f>
        <v>CHP</v>
      </c>
    </row>
    <row r="6466" spans="1:2" x14ac:dyDescent="0.2">
      <c r="A6466" t="s">
        <v>39</v>
      </c>
      <c r="B6466" s="45" t="str">
        <f>INDEX(overview!$B$4:$R$338,MATCH('hydrogen - electrolysis'!B6457,overview!$A$4:$A$338,0),MATCH('hydrogen - electrolysis'!A6466,overview!$B$3:$R$3,0))</f>
        <v>exergy</v>
      </c>
    </row>
    <row r="6467" spans="1:2" x14ac:dyDescent="0.2">
      <c r="A6467" t="s">
        <v>4</v>
      </c>
      <c r="B6467" s="45" t="str">
        <f>INDEX(overview!$B$4:$R$338,MATCH('hydrogen - electrolysis'!B6457,overview!$A$4:$A$338,0),MATCH('hydrogen - electrolysis'!A6467,overview!$B$3:$R$3,0))</f>
        <v>train</v>
      </c>
    </row>
    <row r="6468" spans="1:2" x14ac:dyDescent="0.2">
      <c r="A6468" t="s">
        <v>38</v>
      </c>
      <c r="B6468" s="45">
        <f>INDEX(overview!$B$4:$R$338,MATCH('hydrogen - electrolysis'!B6457,overview!$A$4:$A$338,0),MATCH('hydrogen - electrolysis'!A6468,overview!$B$3:$R$3,0))</f>
        <v>1000</v>
      </c>
    </row>
    <row r="6469" spans="1:2" x14ac:dyDescent="0.2">
      <c r="A6469" t="s">
        <v>12</v>
      </c>
      <c r="B6469" s="45" t="str">
        <f>INDEX(overview!$B$4:$R$338,MATCH('hydrogen - electrolysis'!B6457,overview!$A$4:$A$338,0),MATCH('hydrogen - electrolysis'!A6469,overview!$B$3:$R$3,0))</f>
        <v>Pressure vessel for stationary storage</v>
      </c>
    </row>
    <row r="6470" spans="1:2" x14ac:dyDescent="0.2">
      <c r="A6470" t="s">
        <v>34</v>
      </c>
      <c r="B6470" s="45">
        <f>INDEX(overview!$B$4:$R$338,MATCH('hydrogen - electrolysis'!B6457,overview!$A$4:$A$338,0),MATCH('hydrogen - electrolysis'!A6470,overview!$B$3:$R$3,0))</f>
        <v>0</v>
      </c>
    </row>
    <row r="6471" spans="1:2" x14ac:dyDescent="0.2">
      <c r="A6471" t="s">
        <v>15</v>
      </c>
      <c r="B6471" s="45" t="str">
        <f>INDEX(overview!$B$4:$R$338,MATCH('hydrogen - electrolysis'!B6457,overview!$A$4:$A$338,0),MATCH('hydrogen - electrolysis'!A6471,overview!$B$3:$R$3,0))</f>
        <v>Electrolysis, Alkaline</v>
      </c>
    </row>
    <row r="6472" spans="1:2" x14ac:dyDescent="0.2">
      <c r="A6472" t="s">
        <v>14</v>
      </c>
      <c r="B6472" s="45" t="str">
        <f>INDEX(overview!$B$4:$R$338,MATCH('hydrogen - electrolysis'!B6457,overview!$A$4:$A$338,0),MATCH('hydrogen - electrolysis'!A6472,overview!$B$3:$R$3,0))</f>
        <v>water and electricity</v>
      </c>
    </row>
    <row r="6473" spans="1:2" x14ac:dyDescent="0.2">
      <c r="A6473" t="s">
        <v>26</v>
      </c>
      <c r="B6473" s="45" t="str">
        <f>INDEX(overview!$B$4:$R$338,MATCH('hydrogen - electrolysis'!B6457,overview!$A$4:$A$338,0),MATCH('hydrogen - electrolysis'!A6473,overview!$B$3:$R$3,0))</f>
        <v>Solar PV (DE)</v>
      </c>
    </row>
    <row r="6474" spans="1:2" x14ac:dyDescent="0.2">
      <c r="A6474" t="s">
        <v>29</v>
      </c>
      <c r="B6474" s="45">
        <f>INDEX(overview!$B$4:$R$338,MATCH('hydrogen - electrolysis'!B6457,overview!$A$4:$A$338,0),MATCH('hydrogen - electrolysis'!A6474,overview!$B$3:$R$3,0))</f>
        <v>0</v>
      </c>
    </row>
    <row r="6475" spans="1:2" x14ac:dyDescent="0.2">
      <c r="A6475" t="str">
        <f>IF(B6459="megajoule","Heat","Electricity")&amp;" conversion efficiency [% LHV input]"</f>
        <v>Electricity conversion efficiency [% LHV input]</v>
      </c>
      <c r="B6475" s="46">
        <f>INDEX(parameters!$D$4:$N$20,MATCH('hydrogen - electrolysis'!B6463&amp;'hydrogen - electrolysis'!B6465,parameters!$A$4:$A$20,0),MATCH('hydrogen - electrolysis'!A6475,parameters!$D$3:$N$3,0))</f>
        <v>0.39400000000000002</v>
      </c>
    </row>
    <row r="6476" spans="1:2" x14ac:dyDescent="0.2">
      <c r="A6476" t="str">
        <f>IF(B6459="megajoule","LHV [MJ/kg]","LHV [kWh/kg]")</f>
        <v>LHV [kWh/kg]</v>
      </c>
      <c r="B6476" s="47">
        <f>INDEX(parameters!$D$4:$N$20,MATCH('hydrogen - electrolysis'!B6463&amp;'hydrogen - electrolysis'!B6465,parameters!$A$4:$A$20,0),MATCH('hydrogen - electrolysis'!A6476,parameters!$D$3:$N$3,0))</f>
        <v>33.333333333333336</v>
      </c>
    </row>
    <row r="6477" spans="1:2" x14ac:dyDescent="0.2">
      <c r="A6477" t="s">
        <v>41</v>
      </c>
      <c r="B6477" s="48">
        <f>INDEX(parameters!$D$4:$N$20,MATCH('hydrogen - electrolysis'!B6463&amp;'hydrogen - electrolysis'!B6465,parameters!$A$4:$A$20,0),MATCH('hydrogen - electrolysis'!A6477,parameters!$D$3:$N$3,0))</f>
        <v>2.6666666666666665E-2</v>
      </c>
    </row>
    <row r="6478" spans="1:2" x14ac:dyDescent="0.2">
      <c r="A6478" t="s">
        <v>45</v>
      </c>
      <c r="B6478" s="46">
        <f>INDEX(parameters!$D$4:$N$20,MATCH('hydrogen - electrolysis'!B6463&amp;'hydrogen - electrolysis'!B6465,parameters!$A$4:$A$20,0),MATCH('hydrogen - electrolysis'!A6478,parameters!$D$3:$N$3,0))</f>
        <v>0</v>
      </c>
    </row>
    <row r="6479" spans="1:2" x14ac:dyDescent="0.2">
      <c r="A6479" t="s">
        <v>46</v>
      </c>
      <c r="B6479" s="46">
        <f>INDEX(parameters!$D$4:$N$20,MATCH('hydrogen - electrolysis'!B6463&amp;'hydrogen - electrolysis'!B6465,parameters!$A$4:$A$20,0),MATCH('hydrogen - electrolysis'!A6479,parameters!$D$3:$N$3,0))</f>
        <v>1.4999999999999999E-2</v>
      </c>
    </row>
    <row r="6480" spans="1:2" x14ac:dyDescent="0.2">
      <c r="A6480" t="s">
        <v>43</v>
      </c>
      <c r="B6480" s="46">
        <f>INDEX(parameters!$D$4:$N$20,MATCH('hydrogen - electrolysis'!B6463&amp;'hydrogen - electrolysis'!B6465,parameters!$A$4:$A$20,0),MATCH('hydrogen - electrolysis'!A6480,parameters!$D$3:$N$3,0))</f>
        <v>0</v>
      </c>
    </row>
    <row r="6481" spans="1:22" x14ac:dyDescent="0.2">
      <c r="A6481" t="s">
        <v>44</v>
      </c>
      <c r="B6481" s="46">
        <f>INDEX(parameters!$D$4:$N$20,MATCH('hydrogen - electrolysis'!B6463&amp;'hydrogen - electrolysis'!B6465,parameters!$A$4:$A$20,0),MATCH('hydrogen - electrolysis'!A6481,parameters!$D$3:$N$3,0))</f>
        <v>0</v>
      </c>
    </row>
    <row r="6482" spans="1:22" x14ac:dyDescent="0.2">
      <c r="A6482" t="s">
        <v>634</v>
      </c>
      <c r="B6482" s="51">
        <f>INDEX(parameters!$D$4:$Y$20,MATCH('hydrogen - electrolysis'!B6463&amp;'hydrogen - electrolysis'!B6465,parameters!$A$4:$A$20,0),MATCH('hydrogen - electrolysis'!A6482,parameters!$D$3:$Y$3,0))</f>
        <v>351.41800246609125</v>
      </c>
    </row>
    <row r="6483" spans="1:22" x14ac:dyDescent="0.2">
      <c r="A6483" t="s">
        <v>82</v>
      </c>
      <c r="B6483" s="46">
        <f>IF(B6474&lt;&gt;0,VLOOKUP(B6474,parameters!A4150:B4152,2,0),0)</f>
        <v>0</v>
      </c>
    </row>
    <row r="6484" spans="1:22" x14ac:dyDescent="0.2">
      <c r="A6484" t="s">
        <v>548</v>
      </c>
      <c r="B6484" s="50">
        <f>INDEX(parameters!$D$4:$P$20,MATCH(B6463&amp;B6465,parameters!$A$4:$A$20,0),MATCH(A6484,parameters!$D$3:$P$3,0))</f>
        <v>125</v>
      </c>
    </row>
    <row r="6485" spans="1:22" x14ac:dyDescent="0.2">
      <c r="A6485" t="s">
        <v>547</v>
      </c>
      <c r="B6485" s="51">
        <f>INDEX(parameters!$D$4:$P$20,MATCH(B6463&amp;B6465,parameters!$A$4:$A$20,0),MATCH(A6485,parameters!$D$3:$P$3,0))</f>
        <v>19.512195121951219</v>
      </c>
    </row>
    <row r="6486" spans="1:22" x14ac:dyDescent="0.2">
      <c r="A6486" t="s">
        <v>630</v>
      </c>
      <c r="B6486" s="51">
        <f>INDEX(parameters!$D$4:$T$20,MATCH(B6463&amp;B6465,parameters!$A$4:$A$20,0),MATCH(A6486,parameters!$D$3:$T$3,0))</f>
        <v>4100</v>
      </c>
    </row>
    <row r="6487" spans="1:22" x14ac:dyDescent="0.2">
      <c r="A6487" t="s">
        <v>1005</v>
      </c>
      <c r="B6487" s="50">
        <f>IF(B6459="megajoule",SUMIFS(allocation!$I$4:$I$30,allocation!$B$4:$B$30,B6465,allocation!$C$4:$C$30,B6466),SUMIFS(allocation!$J$4:$J$30,allocation!$B$4:$B$30,B6465,allocation!$C$4:$C$30,B6466))</f>
        <v>0.87139957772704957</v>
      </c>
    </row>
    <row r="6488" spans="1:22" x14ac:dyDescent="0.2">
      <c r="A6488" t="s">
        <v>1050</v>
      </c>
      <c r="B6488" s="51">
        <f>INDEX(parameters!$D$4:$AB$20,MATCH(B6463&amp;B6465,parameters!$A$4:$A$20,0),MATCH(A6488,parameters!$D$3:$AB$3,0))</f>
        <v>2220.7364520822662</v>
      </c>
    </row>
    <row r="6490" spans="1:22" x14ac:dyDescent="0.2">
      <c r="A6490" s="3" t="s">
        <v>57</v>
      </c>
    </row>
    <row r="6491" spans="1:22" x14ac:dyDescent="0.2">
      <c r="A6491" s="2" t="s">
        <v>58</v>
      </c>
      <c r="B6491" s="44" t="s">
        <v>59</v>
      </c>
      <c r="C6491" s="2" t="s">
        <v>55</v>
      </c>
      <c r="D6491" s="2" t="s">
        <v>60</v>
      </c>
      <c r="E6491" s="2" t="s">
        <v>52</v>
      </c>
      <c r="F6491" s="2" t="s">
        <v>61</v>
      </c>
      <c r="G6491" s="2" t="s">
        <v>54</v>
      </c>
      <c r="H6491" s="2" t="s">
        <v>87</v>
      </c>
      <c r="I6491" s="2" t="s">
        <v>51</v>
      </c>
      <c r="J6491" s="2" t="s">
        <v>138</v>
      </c>
      <c r="K6491" s="2" t="s">
        <v>136</v>
      </c>
      <c r="L6491" s="2" t="s">
        <v>221</v>
      </c>
      <c r="M6491" s="2" t="s">
        <v>379</v>
      </c>
      <c r="N6491" s="2" t="s">
        <v>1059</v>
      </c>
      <c r="O6491" s="2" t="s">
        <v>1060</v>
      </c>
      <c r="P6491" s="2" t="s">
        <v>1061</v>
      </c>
      <c r="Q6491" s="2" t="s">
        <v>1062</v>
      </c>
      <c r="R6491" s="2" t="s">
        <v>1063</v>
      </c>
      <c r="S6491" s="2" t="s">
        <v>1064</v>
      </c>
      <c r="T6491" s="2" t="s">
        <v>1065</v>
      </c>
      <c r="U6491" s="2" t="s">
        <v>380</v>
      </c>
      <c r="V6491" s="2" t="s">
        <v>1128</v>
      </c>
    </row>
    <row r="6492" spans="1:22" x14ac:dyDescent="0.2">
      <c r="A6492" t="str">
        <f>B6453</f>
        <v>electricity, residential, by combustion of hydrogen using CHP, allocated by exergy, transported by train, produced by Electrolysis, Alkaline using water and electricity from Solar PV (DE)</v>
      </c>
      <c r="B6492" s="45">
        <v>1</v>
      </c>
      <c r="C6492" t="str">
        <f>B6459</f>
        <v>kilowatt hour</v>
      </c>
      <c r="E6492" t="str">
        <f>B6456</f>
        <v>CH</v>
      </c>
      <c r="F6492" t="s">
        <v>62</v>
      </c>
      <c r="G6492" t="str">
        <f>B6458</f>
        <v>electricity, from residential heating system</v>
      </c>
      <c r="K6492" t="str">
        <f>B6453</f>
        <v>electricity, residential, by combustion of hydrogen using CHP, allocated by exergy, transported by train, produced by Electrolysis, Alkaline using water and electricity from Solar PV (DE)</v>
      </c>
    </row>
    <row r="6493" spans="1:22" x14ac:dyDescent="0.2">
      <c r="A6493" t="str">
        <f>VLOOKUP(J6493,'dataset mapping'!$A$4:$E$69,2,0)</f>
        <v>heat and power co-generation unit construction, 160kW electrical, common components for heat+electricity</v>
      </c>
      <c r="B6493" s="52">
        <f>(1/(B6482*B6486*B6485))*B6487</f>
        <v>3.0995835856870056E-8</v>
      </c>
      <c r="C6493" t="str">
        <f>VLOOKUP(J6493,'dataset mapping'!$A$4:$E$69,5,0)</f>
        <v>unit</v>
      </c>
      <c r="E6493" t="str">
        <f>VLOOKUP(J6493,'dataset mapping'!$A$4:$E$69,4,0)</f>
        <v>RER</v>
      </c>
      <c r="F6493" t="s">
        <v>86</v>
      </c>
      <c r="G6493" t="str">
        <f>VLOOKUP(J6493,'dataset mapping'!$A$4:$E$69,3,0)</f>
        <v>heat and power co-generation unit, 160kW electrical, common components for heat+electricity</v>
      </c>
      <c r="H6493" t="s">
        <v>88</v>
      </c>
      <c r="J6493" t="s">
        <v>145</v>
      </c>
      <c r="K6493" t="str">
        <f>B6453</f>
        <v>electricity, residential, by combustion of hydrogen using CHP, allocated by exergy, transported by train, produced by Electrolysis, Alkaline using water and electricity from Solar PV (DE)</v>
      </c>
      <c r="L6493">
        <f t="shared" ref="L6493:L6502" si="247">IF(OR(B6493&lt;0,B6493=0),1,2)</f>
        <v>2</v>
      </c>
      <c r="M6493">
        <f t="shared" ref="M6493:M6502" si="248">IF(L6493=2,LN(B6493),"")</f>
        <v>-17.28941296868171</v>
      </c>
      <c r="N6493">
        <v>1.05</v>
      </c>
      <c r="O6493" s="15">
        <v>1.2</v>
      </c>
      <c r="P6493">
        <v>1</v>
      </c>
      <c r="Q6493">
        <v>1.01</v>
      </c>
      <c r="R6493">
        <v>1.2</v>
      </c>
      <c r="S6493">
        <v>1.2</v>
      </c>
      <c r="T6493">
        <v>3</v>
      </c>
      <c r="U6493">
        <f t="shared" ref="U6493:U6502" si="249">LN(SQRT(EXP(
SQRT(
+POWER(LN(N6493),2)
+POWER(LN(O6493),2)
+POWER(LN(P6493),2)
+POWER(LN(Q6493),2)
+POWER(LN(R6493),2)
+POWER(LN(S6493),2)
+POWER(LN(T6493),2)
)
)))</f>
        <v>0.57209088006881903</v>
      </c>
    </row>
    <row r="6494" spans="1:22" x14ac:dyDescent="0.2">
      <c r="A6494" t="str">
        <f>VLOOKUP(J6494,'dataset mapping'!$A$4:$E$69,2,0)</f>
        <v>heat and power co-generation unit construction, 160kW electrical, components for electricity only</v>
      </c>
      <c r="B6494" s="52">
        <f>(1/(B6482*B6486*B6485))*B6487</f>
        <v>3.0995835856870056E-8</v>
      </c>
      <c r="C6494" t="str">
        <f>VLOOKUP(J6494,'dataset mapping'!$A$4:$E$69,5,0)</f>
        <v>unit</v>
      </c>
      <c r="E6494" t="str">
        <f>VLOOKUP(J6494,'dataset mapping'!$A$4:$E$69,4,0)</f>
        <v>RER</v>
      </c>
      <c r="F6494" t="s">
        <v>86</v>
      </c>
      <c r="G6494" t="str">
        <f>VLOOKUP(J6494,'dataset mapping'!$A$4:$E$69,3,0)</f>
        <v>heat and power co-generation unit, 160kW electrical, components for electricity only</v>
      </c>
      <c r="H6494" t="s">
        <v>88</v>
      </c>
      <c r="J6494" t="s">
        <v>146</v>
      </c>
      <c r="K6494" t="str">
        <f>B6453</f>
        <v>electricity, residential, by combustion of hydrogen using CHP, allocated by exergy, transported by train, produced by Electrolysis, Alkaline using water and electricity from Solar PV (DE)</v>
      </c>
      <c r="L6494">
        <f t="shared" si="247"/>
        <v>2</v>
      </c>
      <c r="M6494">
        <f t="shared" si="248"/>
        <v>-17.28941296868171</v>
      </c>
      <c r="N6494">
        <v>1.05</v>
      </c>
      <c r="O6494" s="15">
        <v>1.2</v>
      </c>
      <c r="P6494">
        <v>1</v>
      </c>
      <c r="Q6494">
        <v>1.01</v>
      </c>
      <c r="R6494">
        <v>1.2</v>
      </c>
      <c r="S6494">
        <v>1.2</v>
      </c>
      <c r="T6494">
        <v>3</v>
      </c>
      <c r="U6494">
        <f t="shared" si="249"/>
        <v>0.57209088006881903</v>
      </c>
    </row>
    <row r="6495" spans="1:22" x14ac:dyDescent="0.2">
      <c r="A6495" t="str">
        <f>VLOOKUP(J6495,'dataset mapping'!$A$4:$E$69,2,0)</f>
        <v>heat and power co-generation unit construction, 160kW electrical, components for heat only</v>
      </c>
      <c r="B6495" s="52">
        <f>(1/(B6482*B6486*B6485))*B6487</f>
        <v>3.0995835856870056E-8</v>
      </c>
      <c r="C6495" t="str">
        <f>VLOOKUP(J6495,'dataset mapping'!$A$4:$E$69,5,0)</f>
        <v>unit</v>
      </c>
      <c r="E6495" t="str">
        <f>VLOOKUP(J6495,'dataset mapping'!$A$4:$E$69,4,0)</f>
        <v>RER</v>
      </c>
      <c r="F6495" t="s">
        <v>86</v>
      </c>
      <c r="G6495" t="str">
        <f>VLOOKUP(J6495,'dataset mapping'!$A$4:$E$69,3,0)</f>
        <v>heat and power co-generation unit, 160kW electrical, components for heat only</v>
      </c>
      <c r="H6495" t="s">
        <v>88</v>
      </c>
      <c r="J6495" t="s">
        <v>147</v>
      </c>
      <c r="K6495" t="str">
        <f>B6453</f>
        <v>electricity, residential, by combustion of hydrogen using CHP, allocated by exergy, transported by train, produced by Electrolysis, Alkaline using water and electricity from Solar PV (DE)</v>
      </c>
      <c r="L6495">
        <f t="shared" si="247"/>
        <v>2</v>
      </c>
      <c r="M6495">
        <f t="shared" si="248"/>
        <v>-17.28941296868171</v>
      </c>
      <c r="N6495">
        <v>1.05</v>
      </c>
      <c r="O6495" s="15">
        <v>1.2</v>
      </c>
      <c r="P6495">
        <v>1</v>
      </c>
      <c r="Q6495">
        <v>1.01</v>
      </c>
      <c r="R6495">
        <v>1.2</v>
      </c>
      <c r="S6495">
        <v>1.2</v>
      </c>
      <c r="T6495">
        <v>3</v>
      </c>
      <c r="U6495">
        <f t="shared" si="249"/>
        <v>0.57209088006881903</v>
      </c>
    </row>
    <row r="6496" spans="1:22" x14ac:dyDescent="0.2">
      <c r="A6496" t="s">
        <v>156</v>
      </c>
      <c r="B6496" s="52">
        <f>0.00000011366*B6487</f>
        <v>9.9043276004456456E-8</v>
      </c>
      <c r="C6496" t="s">
        <v>56</v>
      </c>
      <c r="E6496" t="s">
        <v>90</v>
      </c>
      <c r="F6496" t="s">
        <v>86</v>
      </c>
      <c r="G6496" t="s">
        <v>154</v>
      </c>
      <c r="H6496" t="s">
        <v>155</v>
      </c>
      <c r="K6496" t="str">
        <f>B6453</f>
        <v>electricity, residential, by combustion of hydrogen using CHP, allocated by exergy, transported by train, produced by Electrolysis, Alkaline using water and electricity from Solar PV (DE)</v>
      </c>
      <c r="L6496">
        <f t="shared" si="247"/>
        <v>2</v>
      </c>
      <c r="M6496">
        <f t="shared" si="248"/>
        <v>-16.127708950967754</v>
      </c>
      <c r="N6496">
        <v>1.05</v>
      </c>
      <c r="O6496" s="15">
        <v>1.2</v>
      </c>
      <c r="P6496">
        <v>1</v>
      </c>
      <c r="Q6496">
        <v>1.01</v>
      </c>
      <c r="R6496">
        <v>1.2</v>
      </c>
      <c r="S6496">
        <v>1.2</v>
      </c>
      <c r="T6496">
        <v>1.05</v>
      </c>
      <c r="U6496">
        <f t="shared" si="249"/>
        <v>0.16169679924070957</v>
      </c>
    </row>
    <row r="6497" spans="1:22" x14ac:dyDescent="0.2">
      <c r="A6497" t="s">
        <v>157</v>
      </c>
      <c r="B6497" s="52">
        <f>0.00000011366*B6487*-1</f>
        <v>-9.9043276004456456E-8</v>
      </c>
      <c r="C6497" t="s">
        <v>56</v>
      </c>
      <c r="E6497" t="s">
        <v>64</v>
      </c>
      <c r="F6497" t="s">
        <v>86</v>
      </c>
      <c r="G6497" t="s">
        <v>158</v>
      </c>
      <c r="H6497" t="s">
        <v>155</v>
      </c>
      <c r="K6497" t="str">
        <f>B6453</f>
        <v>electricity, residential, by combustion of hydrogen using CHP, allocated by exergy, transported by train, produced by Electrolysis, Alkaline using water and electricity from Solar PV (DE)</v>
      </c>
      <c r="L6497">
        <v>2</v>
      </c>
      <c r="M6497">
        <f>IF(L6497=2,LN(B6497*-1),"")</f>
        <v>-16.127708950967754</v>
      </c>
      <c r="N6497">
        <v>1.05</v>
      </c>
      <c r="O6497" s="15">
        <v>1.2</v>
      </c>
      <c r="P6497">
        <v>1</v>
      </c>
      <c r="Q6497">
        <v>1.01</v>
      </c>
      <c r="R6497">
        <v>1.2</v>
      </c>
      <c r="S6497">
        <v>1.2</v>
      </c>
      <c r="T6497">
        <v>3</v>
      </c>
      <c r="U6497">
        <f>LN(SQRT(EXP(
SQRT(
+POWER(LN(N6497),2)
+POWER(LN(O6497),2)
+POWER(LN(P6497),2)
+POWER(LN(Q6497),2)
+POWER(LN(R6497),2)
+POWER(LN(S6497),2)
+POWER(LN(T6497),2)
)
)))</f>
        <v>0.57209088006881903</v>
      </c>
      <c r="V6497" t="b">
        <v>1</v>
      </c>
    </row>
    <row r="6498" spans="1:22" x14ac:dyDescent="0.2">
      <c r="A6498" s="45" t="str">
        <f>"hydrogen supply, transported by "&amp;B6467&amp;", produced by "&amp;B6471&amp;" using "&amp;B6472&amp;" from "&amp;B6473</f>
        <v>hydrogen supply, transported by train, produced by Electrolysis, Alkaline using water and electricity from Solar PV (DE)</v>
      </c>
      <c r="B6498" s="53">
        <f>(B6492/B6476)/B6475*B6487</f>
        <v>6.6350221654343872E-2</v>
      </c>
      <c r="C6498" t="s">
        <v>56</v>
      </c>
      <c r="E6498" t="s">
        <v>64</v>
      </c>
      <c r="F6498" t="s">
        <v>86</v>
      </c>
      <c r="G6498" t="str">
        <f>"hydrogen, gaseous, from "&amp;B6467</f>
        <v>hydrogen, gaseous, from train</v>
      </c>
      <c r="H6498" t="s">
        <v>76</v>
      </c>
      <c r="I6498" t="s">
        <v>1054</v>
      </c>
      <c r="J6498" t="s">
        <v>297</v>
      </c>
      <c r="K6498" t="str">
        <f>B6453</f>
        <v>electricity, residential, by combustion of hydrogen using CHP, allocated by exergy, transported by train, produced by Electrolysis, Alkaline using water and electricity from Solar PV (DE)</v>
      </c>
      <c r="L6498">
        <f t="shared" si="247"/>
        <v>2</v>
      </c>
      <c r="M6498">
        <f t="shared" si="248"/>
        <v>-2.7128081775260964</v>
      </c>
      <c r="N6498">
        <v>1.05</v>
      </c>
      <c r="O6498" s="15">
        <v>1.2</v>
      </c>
      <c r="P6498">
        <v>1</v>
      </c>
      <c r="Q6498">
        <v>1.01</v>
      </c>
      <c r="R6498">
        <v>1.2</v>
      </c>
      <c r="S6498">
        <v>1.2</v>
      </c>
      <c r="T6498">
        <v>1.05</v>
      </c>
      <c r="U6498">
        <f t="shared" si="249"/>
        <v>0.16169679924070957</v>
      </c>
    </row>
    <row r="6499" spans="1:22" x14ac:dyDescent="0.2">
      <c r="A6499" t="str">
        <f>VLOOKUP(J6499,'dataset mapping'!$A$4:$E$69,2,0)</f>
        <v>market for transport, freight train</v>
      </c>
      <c r="B6499" s="45">
        <f>SUM(B6498:B6498)/1000*B6468</f>
        <v>6.6350221654343872E-2</v>
      </c>
      <c r="C6499" t="str">
        <f>VLOOKUP(J6499,'dataset mapping'!$A$4:$E$69,5,0)</f>
        <v>ton kilometer</v>
      </c>
      <c r="E6499" t="str">
        <f>VLOOKUP(J6499,'dataset mapping'!$A$4:$E$69,4,0)</f>
        <v>CH</v>
      </c>
      <c r="F6499" t="s">
        <v>86</v>
      </c>
      <c r="G6499" t="str">
        <f>VLOOKUP(J6499,'dataset mapping'!$A$4:$E$69,3,0)</f>
        <v>transport, freight train</v>
      </c>
      <c r="H6499" t="s">
        <v>88</v>
      </c>
      <c r="I6499" t="s">
        <v>1052</v>
      </c>
      <c r="J6499" t="s">
        <v>295</v>
      </c>
      <c r="K6499" t="str">
        <f>B6453</f>
        <v>electricity, residential, by combustion of hydrogen using CHP, allocated by exergy, transported by train, produced by Electrolysis, Alkaline using water and electricity from Solar PV (DE)</v>
      </c>
      <c r="L6499">
        <f t="shared" si="247"/>
        <v>2</v>
      </c>
      <c r="M6499">
        <f t="shared" si="248"/>
        <v>-2.7128081775260964</v>
      </c>
      <c r="N6499">
        <v>1.05</v>
      </c>
      <c r="O6499" s="15">
        <v>1.2</v>
      </c>
      <c r="P6499">
        <v>1</v>
      </c>
      <c r="Q6499">
        <v>1.01</v>
      </c>
      <c r="R6499">
        <v>1.2</v>
      </c>
      <c r="S6499">
        <v>1.2</v>
      </c>
      <c r="T6499">
        <v>2</v>
      </c>
      <c r="U6499">
        <f t="shared" si="249"/>
        <v>0.38165951885721477</v>
      </c>
    </row>
    <row r="6500" spans="1:22" x14ac:dyDescent="0.2">
      <c r="A6500" t="str">
        <f>VLOOKUP(J6500,'dataset mapping'!$A$4:$E$69,2,0)</f>
        <v>high pressure hydrogen storage tank</v>
      </c>
      <c r="B6500" s="52">
        <f>((B6488/10)/(B6486*B6482*20))*IF(B6487&lt;&gt;0,B6487,1)</f>
        <v>6.7154714683034044E-6</v>
      </c>
      <c r="C6500" t="str">
        <f>VLOOKUP(J6500,'dataset mapping'!$A$4:$E$69,5,0)</f>
        <v>kilogram</v>
      </c>
      <c r="E6500" t="str">
        <f>VLOOKUP(J6500,'dataset mapping'!$A$4:$E$69,4,0)</f>
        <v>GLO</v>
      </c>
      <c r="F6500" t="s">
        <v>86</v>
      </c>
      <c r="G6500" t="str">
        <f>VLOOKUP(J6500,'dataset mapping'!$A$4:$E$69,3,0)</f>
        <v>high pressure hydrogen storage tank</v>
      </c>
      <c r="H6500" t="s">
        <v>88</v>
      </c>
      <c r="I6500" t="s">
        <v>279</v>
      </c>
      <c r="J6500" t="s">
        <v>229</v>
      </c>
      <c r="K6500" t="str">
        <f>B6453</f>
        <v>electricity, residential, by combustion of hydrogen using CHP, allocated by exergy, transported by train, produced by Electrolysis, Alkaline using water and electricity from Solar PV (DE)</v>
      </c>
      <c r="L6500">
        <f t="shared" si="247"/>
        <v>2</v>
      </c>
      <c r="M6500">
        <f t="shared" si="248"/>
        <v>-11.911096519239557</v>
      </c>
      <c r="N6500">
        <v>1.05</v>
      </c>
      <c r="O6500" s="15">
        <v>1.2</v>
      </c>
      <c r="P6500">
        <v>1</v>
      </c>
      <c r="Q6500">
        <v>1.01</v>
      </c>
      <c r="R6500">
        <v>1.2</v>
      </c>
      <c r="S6500">
        <v>1.2</v>
      </c>
      <c r="T6500">
        <v>3</v>
      </c>
      <c r="U6500">
        <f t="shared" si="249"/>
        <v>0.57209088006881903</v>
      </c>
    </row>
    <row r="6501" spans="1:22" x14ac:dyDescent="0.2">
      <c r="A6501" t="s">
        <v>134</v>
      </c>
      <c r="B6501" s="45">
        <f>B6498*9</f>
        <v>0.59715199488909487</v>
      </c>
      <c r="C6501" t="s">
        <v>56</v>
      </c>
      <c r="D6501" t="s">
        <v>100</v>
      </c>
      <c r="F6501" t="s">
        <v>99</v>
      </c>
      <c r="H6501" t="s">
        <v>131</v>
      </c>
      <c r="I6501" t="s">
        <v>1058</v>
      </c>
      <c r="K6501" t="str">
        <f>B6453</f>
        <v>electricity, residential, by combustion of hydrogen using CHP, allocated by exergy, transported by train, produced by Electrolysis, Alkaline using water and electricity from Solar PV (DE)</v>
      </c>
      <c r="L6501">
        <f t="shared" si="247"/>
        <v>2</v>
      </c>
      <c r="M6501">
        <f t="shared" si="248"/>
        <v>-0.51558360018987692</v>
      </c>
      <c r="N6501">
        <v>1.05</v>
      </c>
      <c r="O6501" s="15">
        <v>1.2</v>
      </c>
      <c r="P6501">
        <v>1</v>
      </c>
      <c r="Q6501">
        <v>1.01</v>
      </c>
      <c r="R6501">
        <v>1.2</v>
      </c>
      <c r="S6501">
        <v>1.2</v>
      </c>
      <c r="T6501">
        <v>1.05</v>
      </c>
      <c r="U6501">
        <f t="shared" si="249"/>
        <v>0.16169679924070957</v>
      </c>
    </row>
    <row r="6502" spans="1:22" x14ac:dyDescent="0.2">
      <c r="A6502" t="s">
        <v>135</v>
      </c>
      <c r="B6502" s="45">
        <f>912.5/1000000*B6499</f>
        <v>6.0544577259588785E-5</v>
      </c>
      <c r="C6502" t="s">
        <v>56</v>
      </c>
      <c r="D6502" t="s">
        <v>100</v>
      </c>
      <c r="F6502" t="s">
        <v>99</v>
      </c>
      <c r="H6502" t="s">
        <v>131</v>
      </c>
      <c r="I6502" t="s">
        <v>1217</v>
      </c>
      <c r="K6502" t="str">
        <f>B6453</f>
        <v>electricity, residential, by combustion of hydrogen using CHP, allocated by exergy, transported by train, produced by Electrolysis, Alkaline using water and electricity from Solar PV (DE)</v>
      </c>
      <c r="L6502">
        <f t="shared" si="247"/>
        <v>2</v>
      </c>
      <c r="M6502">
        <f t="shared" si="248"/>
        <v>-9.712130650033723</v>
      </c>
      <c r="N6502">
        <v>1.05</v>
      </c>
      <c r="O6502" s="15">
        <v>1.2</v>
      </c>
      <c r="P6502">
        <v>1</v>
      </c>
      <c r="Q6502">
        <v>1.01</v>
      </c>
      <c r="R6502">
        <v>1.2</v>
      </c>
      <c r="S6502">
        <v>1.2</v>
      </c>
      <c r="T6502">
        <v>1.5</v>
      </c>
      <c r="U6502">
        <f t="shared" si="249"/>
        <v>0.25816898211842121</v>
      </c>
    </row>
    <row r="6504" spans="1:22" x14ac:dyDescent="0.2">
      <c r="A6504" s="2" t="s">
        <v>50</v>
      </c>
      <c r="B6504" s="44" t="str">
        <f>IF(B6510="megajoule","heat","electricity")&amp;", residential, by "&amp;B6515&amp;" of "&amp;B6514&amp;" using "&amp;B6516&amp;IF(B6517&lt;&gt;0,", allocated by "&amp;B6517,"")&amp;", transported by "&amp;B6518&amp;", produced by "&amp;B6522&amp;" using "&amp;B6523&amp;" from "&amp;B6524</f>
        <v>electricity, residential, by conversion of hydrogen using fuel cell, PEM, allocated by exergy, transported by train, produced by Electrolysis, Alkaline using water and electricity from Solar PV (DE)</v>
      </c>
    </row>
    <row r="6505" spans="1:22" x14ac:dyDescent="0.2">
      <c r="A6505" t="s">
        <v>51</v>
      </c>
      <c r="B6505" s="45" t="str">
        <f>"This dataset represents the supply of 1 "&amp;IF(B6510="megajoule","megajoule of heat","kilowatt hour of electricity")&amp;" in a residence, by "&amp;B6514&amp;" "&amp;B6515&amp;" in a "&amp;B6516&amp;". "&amp;" The hydrogen is transported by "&amp;B6518&amp;" over "&amp;B6519&amp;" km from regional storage. "&amp;" The "&amp;B6514&amp;" is produced by  "&amp;B6522&amp;", with "&amp;B6523&amp;" from "&amp;B6524&amp;" as feedstock. "&amp;A6526&amp;": "&amp;(B6526*100)&amp;"%. "&amp;A6527&amp;": "&amp;B6527&amp;". "&amp;A6528&amp;": "&amp;B6528&amp;". "&amp;A6529&amp;": "&amp;(B6529*100)&amp;"%. "&amp;A6530&amp;": "&amp;(B6530*100)&amp;"%. "&amp;A6531&amp;": "&amp;(B6531*100)&amp;"%. "&amp;A6532&amp;": "&amp;B6532&amp;". "&amp;A6533&amp;": "&amp;B6533&amp;". "&amp;A6534&amp;": "&amp;(B6534*100)&amp;"%. "&amp;A6535&amp;": "&amp;B6535&amp;". "&amp;A6536&amp;": "&amp;B6536&amp;". "&amp;A6537&amp;": "&amp;B6537&amp;". "&amp;A6538&amp;": "&amp;B6538&amp;".  For more information, refer to: "&amp;B6506</f>
        <v>This dataset represents the supply of 1 kilowatt hour of electricity in a residence, by hydrogen conversion in a fuel cell, PEM.  The hydrogen is transported by train over 1000 km from regional storage.  The hydrogen is produced by  Electrolysis, Alkaline,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6506" spans="1:22" x14ac:dyDescent="0.2">
      <c r="A6506" t="s">
        <v>63</v>
      </c>
      <c r="B6506" s="45" t="s">
        <v>1223</v>
      </c>
    </row>
    <row r="6507" spans="1:22" x14ac:dyDescent="0.2">
      <c r="A6507" t="s">
        <v>52</v>
      </c>
      <c r="B6507" s="45" t="s">
        <v>64</v>
      </c>
    </row>
    <row r="6508" spans="1:22" x14ac:dyDescent="0.2">
      <c r="A6508" t="s">
        <v>48</v>
      </c>
      <c r="B6508" s="45" t="s">
        <v>923</v>
      </c>
    </row>
    <row r="6509" spans="1:22" x14ac:dyDescent="0.2">
      <c r="A6509" t="s">
        <v>54</v>
      </c>
      <c r="B6509" s="45" t="str">
        <f>INDEX(overview!$B$4:$R$338,MATCH('hydrogen - electrolysis'!B6508,overview!$A$4:$A$338,0),MATCH('hydrogen - electrolysis'!A6509,overview!$B$3:$R$3,0))</f>
        <v>electricity, from residential heating system</v>
      </c>
    </row>
    <row r="6510" spans="1:22" x14ac:dyDescent="0.2">
      <c r="A6510" t="s">
        <v>55</v>
      </c>
      <c r="B6510" s="45" t="str">
        <f>INDEX(overview!$B$4:$R$338,MATCH('hydrogen - electrolysis'!B6508,overview!$A$4:$A$338,0),MATCH('hydrogen - electrolysis'!A6510,overview!$B$3:$R$3,0))</f>
        <v>kilowatt hour</v>
      </c>
    </row>
    <row r="6511" spans="1:22" x14ac:dyDescent="0.2">
      <c r="A6511" t="s">
        <v>0</v>
      </c>
      <c r="B6511" s="45" t="str">
        <f>INDEX(overview!$B$4:$R$338,MATCH('hydrogen - electrolysis'!B6508,overview!$A$4:$A$338,0),MATCH('hydrogen - electrolysis'!A6511,overview!$B$3:$R$3,0))</f>
        <v>Switzerland</v>
      </c>
    </row>
    <row r="6512" spans="1:22" x14ac:dyDescent="0.2">
      <c r="A6512" t="s">
        <v>1</v>
      </c>
      <c r="B6512" s="45">
        <f>INDEX(overview!$B$4:$R$338,MATCH('hydrogen - electrolysis'!B6508,overview!$A$4:$A$338,0),MATCH('hydrogen - electrolysis'!A6512,overview!$B$3:$R$3,0))</f>
        <v>2020</v>
      </c>
    </row>
    <row r="6513" spans="1:2" x14ac:dyDescent="0.2">
      <c r="A6513" t="s">
        <v>2</v>
      </c>
      <c r="B6513" s="45" t="str">
        <f>INDEX(overview!$B$4:$R$338,MATCH('hydrogen - electrolysis'!B6508,overview!$A$4:$A$338,0),MATCH('hydrogen - electrolysis'!A6513,overview!$B$3:$R$3,0))</f>
        <v>1 kWh electricity</v>
      </c>
    </row>
    <row r="6514" spans="1:2" x14ac:dyDescent="0.2">
      <c r="A6514" t="s">
        <v>5</v>
      </c>
      <c r="B6514" s="45" t="str">
        <f>INDEX(overview!$B$4:$R$338,MATCH('hydrogen - electrolysis'!B6508,overview!$A$4:$A$338,0),MATCH('hydrogen - electrolysis'!A6514,overview!$B$3:$R$3,0))</f>
        <v>hydrogen</v>
      </c>
    </row>
    <row r="6515" spans="1:2" x14ac:dyDescent="0.2">
      <c r="A6515" t="s">
        <v>3</v>
      </c>
      <c r="B6515" s="45" t="str">
        <f>INDEX(overview!$B$4:$R$338,MATCH('hydrogen - electrolysis'!B6508,overview!$A$4:$A$338,0),MATCH('hydrogen - electrolysis'!A6515,overview!$B$3:$R$3,0))</f>
        <v>conversion</v>
      </c>
    </row>
    <row r="6516" spans="1:2" x14ac:dyDescent="0.2">
      <c r="A6516" t="s">
        <v>6</v>
      </c>
      <c r="B6516" s="45" t="str">
        <f>INDEX(overview!$B$4:$R$338,MATCH('hydrogen - electrolysis'!B6508,overview!$A$4:$A$338,0),MATCH('hydrogen - electrolysis'!A6516,overview!$B$3:$R$3,0))</f>
        <v>fuel cell, PEM</v>
      </c>
    </row>
    <row r="6517" spans="1:2" x14ac:dyDescent="0.2">
      <c r="A6517" t="s">
        <v>39</v>
      </c>
      <c r="B6517" s="45" t="str">
        <f>INDEX(overview!$B$4:$R$338,MATCH('hydrogen - electrolysis'!B6508,overview!$A$4:$A$338,0),MATCH('hydrogen - electrolysis'!A6517,overview!$B$3:$R$3,0))</f>
        <v>exergy</v>
      </c>
    </row>
    <row r="6518" spans="1:2" x14ac:dyDescent="0.2">
      <c r="A6518" t="s">
        <v>4</v>
      </c>
      <c r="B6518" s="45" t="str">
        <f>INDEX(overview!$B$4:$R$338,MATCH('hydrogen - electrolysis'!B6508,overview!$A$4:$A$338,0),MATCH('hydrogen - electrolysis'!A6518,overview!$B$3:$R$3,0))</f>
        <v>train</v>
      </c>
    </row>
    <row r="6519" spans="1:2" x14ac:dyDescent="0.2">
      <c r="A6519" t="s">
        <v>38</v>
      </c>
      <c r="B6519" s="45">
        <f>INDEX(overview!$B$4:$R$338,MATCH('hydrogen - electrolysis'!B6508,overview!$A$4:$A$338,0),MATCH('hydrogen - electrolysis'!A6519,overview!$B$3:$R$3,0))</f>
        <v>1000</v>
      </c>
    </row>
    <row r="6520" spans="1:2" x14ac:dyDescent="0.2">
      <c r="A6520" t="s">
        <v>12</v>
      </c>
      <c r="B6520" s="45" t="str">
        <f>INDEX(overview!$B$4:$R$338,MATCH('hydrogen - electrolysis'!B6508,overview!$A$4:$A$338,0),MATCH('hydrogen - electrolysis'!A6520,overview!$B$3:$R$3,0))</f>
        <v>Pressure vessel for stationary storage</v>
      </c>
    </row>
    <row r="6521" spans="1:2" x14ac:dyDescent="0.2">
      <c r="A6521" t="s">
        <v>34</v>
      </c>
      <c r="B6521" s="45">
        <f>INDEX(overview!$B$4:$R$338,MATCH('hydrogen - electrolysis'!B6508,overview!$A$4:$A$338,0),MATCH('hydrogen - electrolysis'!A6521,overview!$B$3:$R$3,0))</f>
        <v>0</v>
      </c>
    </row>
    <row r="6522" spans="1:2" x14ac:dyDescent="0.2">
      <c r="A6522" t="s">
        <v>15</v>
      </c>
      <c r="B6522" s="45" t="str">
        <f>INDEX(overview!$B$4:$R$338,MATCH('hydrogen - electrolysis'!B6508,overview!$A$4:$A$338,0),MATCH('hydrogen - electrolysis'!A6522,overview!$B$3:$R$3,0))</f>
        <v>Electrolysis, Alkaline</v>
      </c>
    </row>
    <row r="6523" spans="1:2" x14ac:dyDescent="0.2">
      <c r="A6523" t="s">
        <v>14</v>
      </c>
      <c r="B6523" s="45" t="str">
        <f>INDEX(overview!$B$4:$R$338,MATCH('hydrogen - electrolysis'!B6508,overview!$A$4:$A$338,0),MATCH('hydrogen - electrolysis'!A6523,overview!$B$3:$R$3,0))</f>
        <v>water and electricity</v>
      </c>
    </row>
    <row r="6524" spans="1:2" x14ac:dyDescent="0.2">
      <c r="A6524" t="s">
        <v>26</v>
      </c>
      <c r="B6524" s="45" t="str">
        <f>INDEX(overview!$B$4:$R$338,MATCH('hydrogen - electrolysis'!B6508,overview!$A$4:$A$338,0),MATCH('hydrogen - electrolysis'!A6524,overview!$B$3:$R$3,0))</f>
        <v>Solar PV (DE)</v>
      </c>
    </row>
    <row r="6525" spans="1:2" x14ac:dyDescent="0.2">
      <c r="A6525" t="s">
        <v>29</v>
      </c>
      <c r="B6525" s="45">
        <f>INDEX(overview!$B$4:$R$338,MATCH('hydrogen - electrolysis'!B6508,overview!$A$4:$A$338,0),MATCH('hydrogen - electrolysis'!A6525,overview!$B$3:$R$3,0))</f>
        <v>0</v>
      </c>
    </row>
    <row r="6526" spans="1:2" x14ac:dyDescent="0.2">
      <c r="A6526" t="str">
        <f>IF(B6510="megajoule","Heat","Electricity")&amp;" conversion efficiency [% LHV input]"</f>
        <v>Electricity conversion efficiency [% LHV input]</v>
      </c>
      <c r="B6526" s="46">
        <f>INDEX(parameters!$D$4:$N$20,MATCH('hydrogen - electrolysis'!B6514&amp;'hydrogen - electrolysis'!B6516,parameters!$A$4:$A$20,0),MATCH('hydrogen - electrolysis'!A6526,parameters!$D$3:$N$3,0))</f>
        <v>0.45</v>
      </c>
    </row>
    <row r="6527" spans="1:2" x14ac:dyDescent="0.2">
      <c r="A6527" t="str">
        <f>IF(B6510="megajoule","LHV [MJ/kg]","LHV [kWh/kg]")</f>
        <v>LHV [kWh/kg]</v>
      </c>
      <c r="B6527" s="47">
        <f>INDEX(parameters!$D$4:$N$20,MATCH('hydrogen - electrolysis'!B6514&amp;'hydrogen - electrolysis'!B6516,parameters!$A$4:$A$20,0),MATCH('hydrogen - electrolysis'!A6527,parameters!$D$3:$N$3,0))</f>
        <v>33.333333333333336</v>
      </c>
    </row>
    <row r="6528" spans="1:2" x14ac:dyDescent="0.2">
      <c r="A6528" t="s">
        <v>41</v>
      </c>
      <c r="B6528" s="48">
        <f>INDEX(parameters!$D$4:$N$20,MATCH('hydrogen - electrolysis'!B6514&amp;'hydrogen - electrolysis'!B6516,parameters!$A$4:$A$20,0),MATCH('hydrogen - electrolysis'!A6528,parameters!$D$3:$N$3,0))</f>
        <v>2.6666666666666665E-2</v>
      </c>
    </row>
    <row r="6529" spans="1:22" x14ac:dyDescent="0.2">
      <c r="A6529" t="s">
        <v>45</v>
      </c>
      <c r="B6529" s="46">
        <f>INDEX(parameters!$D$4:$N$20,MATCH('hydrogen - electrolysis'!B6514&amp;'hydrogen - electrolysis'!B6516,parameters!$A$4:$A$20,0),MATCH('hydrogen - electrolysis'!A6529,parameters!$D$3:$N$3,0))</f>
        <v>0</v>
      </c>
    </row>
    <row r="6530" spans="1:22" x14ac:dyDescent="0.2">
      <c r="A6530" t="s">
        <v>46</v>
      </c>
      <c r="B6530" s="46">
        <f>INDEX(parameters!$D$4:$N$20,MATCH('hydrogen - electrolysis'!B6514&amp;'hydrogen - electrolysis'!B6516,parameters!$A$4:$A$20,0),MATCH('hydrogen - electrolysis'!A6530,parameters!$D$3:$N$3,0))</f>
        <v>1.4999999999999999E-2</v>
      </c>
    </row>
    <row r="6531" spans="1:22" x14ac:dyDescent="0.2">
      <c r="A6531" t="s">
        <v>43</v>
      </c>
      <c r="B6531" s="46">
        <f>INDEX(parameters!$D$4:$N$20,MATCH('hydrogen - electrolysis'!B6514&amp;'hydrogen - electrolysis'!B6516,parameters!$A$4:$A$20,0),MATCH('hydrogen - electrolysis'!A6531,parameters!$D$3:$N$3,0))</f>
        <v>0</v>
      </c>
    </row>
    <row r="6532" spans="1:22" x14ac:dyDescent="0.2">
      <c r="A6532" t="s">
        <v>44</v>
      </c>
      <c r="B6532" s="46">
        <f>INDEX(parameters!$D$4:$N$20,MATCH('hydrogen - electrolysis'!B6514&amp;'hydrogen - electrolysis'!B6516,parameters!$A$4:$A$20,0),MATCH('hydrogen - electrolysis'!A6532,parameters!$D$3:$N$3,0))</f>
        <v>0</v>
      </c>
    </row>
    <row r="6533" spans="1:22" x14ac:dyDescent="0.2">
      <c r="A6533" t="s">
        <v>634</v>
      </c>
      <c r="B6533" s="51">
        <f>INDEX(parameters!$D$4:$Y$20,MATCH('hydrogen - electrolysis'!B6514&amp;'hydrogen - electrolysis'!B6516,parameters!$A$4:$A$20,0),MATCH('hydrogen - electrolysis'!A6533,parameters!$D$3:$Y$3,0))</f>
        <v>1.8947368421052633</v>
      </c>
    </row>
    <row r="6534" spans="1:22" x14ac:dyDescent="0.2">
      <c r="A6534" t="s">
        <v>82</v>
      </c>
      <c r="B6534" s="46">
        <f>IF(B6525&lt;&gt;0,VLOOKUP(B6525,parameters!A4203:B4205,2,0),0)</f>
        <v>0</v>
      </c>
    </row>
    <row r="6535" spans="1:22" x14ac:dyDescent="0.2">
      <c r="A6535" t="s">
        <v>548</v>
      </c>
      <c r="B6535" s="50">
        <f>INDEX(parameters!$D$4:$P$20,MATCH(B6514&amp;B6516,parameters!$A$4:$A$20,0),MATCH(A6535,parameters!$D$3:$P$3,0))</f>
        <v>0.8</v>
      </c>
    </row>
    <row r="6536" spans="1:22" x14ac:dyDescent="0.2">
      <c r="A6536" t="s">
        <v>547</v>
      </c>
      <c r="B6536" s="51">
        <f>INDEX(parameters!$D$4:$P$20,MATCH(B6514&amp;B6516,parameters!$A$4:$A$20,0),MATCH(A6536,parameters!$D$3:$P$3,0))</f>
        <v>4.8780487804878048</v>
      </c>
    </row>
    <row r="6537" spans="1:22" x14ac:dyDescent="0.2">
      <c r="A6537" t="s">
        <v>630</v>
      </c>
      <c r="B6537" s="51">
        <f>INDEX(parameters!$D$4:$T$20,MATCH(B6514&amp;B6516,parameters!$A$4:$A$20,0),MATCH(A6537,parameters!$D$3:$T$3,0))</f>
        <v>4100</v>
      </c>
    </row>
    <row r="6538" spans="1:22" x14ac:dyDescent="0.2">
      <c r="A6538" t="s">
        <v>1005</v>
      </c>
      <c r="B6538" s="50">
        <f>IF(B6510="megajoule",SUMIFS(allocation!$I$4:$I$30,allocation!$B$4:$B$30,B6516,allocation!$C$4:$C$30,B6517),SUMIFS(allocation!$J$4:$J$30,allocation!$B$4:$B$30,B6516,allocation!$C$4:$C$30,B6517))</f>
        <v>0.86066019201025545</v>
      </c>
    </row>
    <row r="6539" spans="1:22" x14ac:dyDescent="0.2">
      <c r="A6539" t="s">
        <v>1050</v>
      </c>
      <c r="B6539" s="51">
        <f>INDEX(parameters!$D$4:$AB$20,MATCH(B6514&amp;B6516,parameters!$A$4:$A$20,0),MATCH(A6539,parameters!$D$3:$AB$3,0))</f>
        <v>10.221606648199446</v>
      </c>
    </row>
    <row r="6541" spans="1:22" x14ac:dyDescent="0.2">
      <c r="A6541" s="3" t="s">
        <v>57</v>
      </c>
    </row>
    <row r="6542" spans="1:22" x14ac:dyDescent="0.2">
      <c r="A6542" s="2" t="s">
        <v>58</v>
      </c>
      <c r="B6542" s="44" t="s">
        <v>59</v>
      </c>
      <c r="C6542" s="2" t="s">
        <v>55</v>
      </c>
      <c r="D6542" s="2" t="s">
        <v>60</v>
      </c>
      <c r="E6542" s="2" t="s">
        <v>52</v>
      </c>
      <c r="F6542" s="2" t="s">
        <v>61</v>
      </c>
      <c r="G6542" s="2" t="s">
        <v>54</v>
      </c>
      <c r="H6542" s="2" t="s">
        <v>87</v>
      </c>
      <c r="I6542" s="2" t="s">
        <v>51</v>
      </c>
      <c r="J6542" s="2" t="s">
        <v>138</v>
      </c>
      <c r="K6542" s="2" t="s">
        <v>136</v>
      </c>
      <c r="L6542" s="2" t="s">
        <v>221</v>
      </c>
      <c r="M6542" s="2" t="s">
        <v>379</v>
      </c>
      <c r="N6542" s="2" t="s">
        <v>1059</v>
      </c>
      <c r="O6542" s="2" t="s">
        <v>1060</v>
      </c>
      <c r="P6542" s="2" t="s">
        <v>1061</v>
      </c>
      <c r="Q6542" s="2" t="s">
        <v>1062</v>
      </c>
      <c r="R6542" s="2" t="s">
        <v>1063</v>
      </c>
      <c r="S6542" s="2" t="s">
        <v>1064</v>
      </c>
      <c r="T6542" s="2" t="s">
        <v>1065</v>
      </c>
      <c r="U6542" s="2" t="s">
        <v>380</v>
      </c>
      <c r="V6542" s="2" t="s">
        <v>1128</v>
      </c>
    </row>
    <row r="6543" spans="1:22" x14ac:dyDescent="0.2">
      <c r="A6543" t="str">
        <f>B6504</f>
        <v>electricity, residential, by conversion of hydrogen using fuel cell, PEM, allocated by exergy, transported by train, produced by Electrolysis, Alkaline using water and electricity from Solar PV (DE)</v>
      </c>
      <c r="B6543" s="45">
        <v>1</v>
      </c>
      <c r="C6543" t="str">
        <f>B6510</f>
        <v>kilowatt hour</v>
      </c>
      <c r="E6543" t="str">
        <f>B6507</f>
        <v>CH</v>
      </c>
      <c r="F6543" t="s">
        <v>62</v>
      </c>
      <c r="G6543" t="str">
        <f>B6509</f>
        <v>electricity, from residential heating system</v>
      </c>
      <c r="K6543" t="str">
        <f>B6504</f>
        <v>electricity, residential, by conversion of hydrogen using fuel cell, PEM, allocated by exergy, transported by train, produced by Electrolysis, Alkaline using water and electricity from Solar PV (DE)</v>
      </c>
    </row>
    <row r="6544" spans="1:22" x14ac:dyDescent="0.2">
      <c r="A6544" t="str">
        <f>VLOOKUP(J6544,'dataset mapping'!$A$4:$E$69,2,0)</f>
        <v>fuel cell system assembly, 1 kWe, proton exchange membrane (PEM)</v>
      </c>
      <c r="B6544" s="52">
        <f>1/(80000)/0.5*SUMIFS(allocation!$I$4:$I$30,allocation!$B$4:$B$30,'hydrogen - electrolysis'!B6516,allocation!$C$4:$C$30,'hydrogen - electrolysis'!B6517)</f>
        <v>3.4834951997436147E-6</v>
      </c>
      <c r="C6544" t="str">
        <f>VLOOKUP(J6544,'dataset mapping'!$A$4:$E$69,5,0)</f>
        <v>unit</v>
      </c>
      <c r="E6544" t="str">
        <f>VLOOKUP(J6544,'dataset mapping'!$A$4:$E$69,4,0)</f>
        <v>GLO</v>
      </c>
      <c r="F6544" t="s">
        <v>86</v>
      </c>
      <c r="G6544" t="str">
        <f>VLOOKUP(J6544,'dataset mapping'!$A$4:$E$69,3,0)</f>
        <v>fuel cell system, 1 kWe, proton exchange membrane (PEM)</v>
      </c>
      <c r="H6544" t="s">
        <v>88</v>
      </c>
      <c r="I6544" t="s">
        <v>272</v>
      </c>
      <c r="J6544" t="s">
        <v>273</v>
      </c>
      <c r="K6544" t="str">
        <f>B6504</f>
        <v>electricity, residential, by conversion of hydrogen using fuel cell, PEM, allocated by exergy, transported by train, produced by Electrolysis, Alkaline using water and electricity from Solar PV (DE)</v>
      </c>
      <c r="L6544">
        <f t="shared" ref="L6544:L6548" si="250">IF(OR(B6544&lt;0,B6544=0),1,2)</f>
        <v>2</v>
      </c>
      <c r="M6544">
        <f t="shared" ref="M6544:M6548" si="251">IF(L6544=2,LN(B6544),"")</f>
        <v>-12.567474400475287</v>
      </c>
      <c r="N6544">
        <v>1</v>
      </c>
      <c r="O6544" s="15">
        <v>1.2</v>
      </c>
      <c r="P6544">
        <v>1</v>
      </c>
      <c r="Q6544">
        <v>1.01</v>
      </c>
      <c r="R6544">
        <v>1.2</v>
      </c>
      <c r="S6544">
        <v>1.2</v>
      </c>
      <c r="T6544">
        <v>3</v>
      </c>
      <c r="U6544">
        <f t="shared" ref="U6544:U6548" si="252">LN(SQRT(EXP(
SQRT(
+POWER(LN(N6544),2)
+POWER(LN(O6544),2)
+POWER(LN(P6544),2)
+POWER(LN(Q6544),2)
+POWER(LN(R6544),2)
+POWER(LN(S6544),2)
+POWER(LN(T6544),2)
)
)))</f>
        <v>0.57157051623399524</v>
      </c>
    </row>
    <row r="6545" spans="1:21" x14ac:dyDescent="0.2">
      <c r="A6545" s="45" t="str">
        <f>"hydrogen supply, transported by "&amp;B6518&amp;", produced by "&amp;B6522&amp;" using "&amp;B6523&amp;" from "&amp;B6524</f>
        <v>hydrogen supply, transported by train, produced by Electrolysis, Alkaline using water and electricity from Solar PV (DE)</v>
      </c>
      <c r="B6545" s="53">
        <f>(B6543/B6527)/B6526*B6538</f>
        <v>5.7377346134017029E-2</v>
      </c>
      <c r="C6545" t="s">
        <v>56</v>
      </c>
      <c r="E6545" t="s">
        <v>64</v>
      </c>
      <c r="F6545" t="s">
        <v>86</v>
      </c>
      <c r="G6545" t="str">
        <f>"hydrogen, gaseous, from "&amp;B6518</f>
        <v>hydrogen, gaseous, from train</v>
      </c>
      <c r="H6545" t="s">
        <v>76</v>
      </c>
      <c r="I6545" t="s">
        <v>1054</v>
      </c>
      <c r="J6545" t="s">
        <v>297</v>
      </c>
      <c r="K6545" t="str">
        <f>B6504</f>
        <v>electricity, residential, by conversion of hydrogen using fuel cell, PEM, allocated by exergy, transported by train, produced by Electrolysis, Alkaline using water and electricity from Solar PV (DE)</v>
      </c>
      <c r="L6545">
        <f t="shared" si="250"/>
        <v>2</v>
      </c>
      <c r="M6545">
        <f t="shared" si="251"/>
        <v>-2.8581057202127536</v>
      </c>
      <c r="N6545">
        <v>1</v>
      </c>
      <c r="O6545" s="15">
        <v>1.2</v>
      </c>
      <c r="P6545">
        <v>1</v>
      </c>
      <c r="Q6545">
        <v>1.01</v>
      </c>
      <c r="R6545">
        <v>1.2</v>
      </c>
      <c r="S6545">
        <v>1.2</v>
      </c>
      <c r="T6545">
        <v>1.05</v>
      </c>
      <c r="U6545">
        <f t="shared" si="252"/>
        <v>0.15984597228197622</v>
      </c>
    </row>
    <row r="6546" spans="1:21" x14ac:dyDescent="0.2">
      <c r="A6546" t="str">
        <f>VLOOKUP(J6546,'dataset mapping'!$A$4:$E$69,2,0)</f>
        <v>market for transport, freight train</v>
      </c>
      <c r="B6546" s="45">
        <f>SUM(B6545:B6545)/1000*B6519*SUMIFS(allocation!$I$4:$I$30,allocation!$B$4:$B$30,'hydrogen - electrolysis'!B6516,allocation!$C$4:$C$30,'hydrogen - electrolysis'!B6517)</f>
        <v>7.9949483932750462E-3</v>
      </c>
      <c r="C6546" t="str">
        <f>VLOOKUP(J6546,'dataset mapping'!$A$4:$E$69,5,0)</f>
        <v>ton kilometer</v>
      </c>
      <c r="E6546" t="str">
        <f>VLOOKUP(J6546,'dataset mapping'!$A$4:$E$69,4,0)</f>
        <v>CH</v>
      </c>
      <c r="F6546" t="s">
        <v>86</v>
      </c>
      <c r="G6546" t="str">
        <f>VLOOKUP(J6546,'dataset mapping'!$A$4:$E$69,3,0)</f>
        <v>transport, freight train</v>
      </c>
      <c r="H6546" t="s">
        <v>88</v>
      </c>
      <c r="I6546" t="s">
        <v>1052</v>
      </c>
      <c r="J6546" t="s">
        <v>295</v>
      </c>
      <c r="K6546" t="str">
        <f>B6504</f>
        <v>electricity, residential, by conversion of hydrogen using fuel cell, PEM, allocated by exergy, transported by train, produced by Electrolysis, Alkaline using water and electricity from Solar PV (DE)</v>
      </c>
      <c r="L6546">
        <f t="shared" si="250"/>
        <v>2</v>
      </c>
      <c r="M6546">
        <f t="shared" si="251"/>
        <v>-4.8289453875919683</v>
      </c>
      <c r="N6546">
        <v>1</v>
      </c>
      <c r="O6546" s="15">
        <v>1.2</v>
      </c>
      <c r="P6546">
        <v>1</v>
      </c>
      <c r="Q6546">
        <v>1.01</v>
      </c>
      <c r="R6546">
        <v>1.2</v>
      </c>
      <c r="S6546">
        <v>1.2</v>
      </c>
      <c r="T6546">
        <v>2</v>
      </c>
      <c r="U6546">
        <f t="shared" si="252"/>
        <v>0.38087907307228186</v>
      </c>
    </row>
    <row r="6547" spans="1:21" x14ac:dyDescent="0.2">
      <c r="A6547" t="str">
        <f>VLOOKUP(J6547,'dataset mapping'!$A$4:$E$69,2,0)</f>
        <v>high pressure hydrogen storage tank</v>
      </c>
      <c r="B6547" s="52">
        <f>((B6539/10)/(B6537*B6533*20))*IF(B6538&lt;&gt;0,B6538,1)</f>
        <v>5.6622381053306285E-6</v>
      </c>
      <c r="C6547" t="str">
        <f>VLOOKUP(J6547,'dataset mapping'!$A$4:$E$69,5,0)</f>
        <v>kilogram</v>
      </c>
      <c r="E6547" t="str">
        <f>VLOOKUP(J6547,'dataset mapping'!$A$4:$E$69,4,0)</f>
        <v>GLO</v>
      </c>
      <c r="F6547" t="s">
        <v>86</v>
      </c>
      <c r="G6547" t="str">
        <f>VLOOKUP(J6547,'dataset mapping'!$A$4:$E$69,3,0)</f>
        <v>high pressure hydrogen storage tank</v>
      </c>
      <c r="H6547" t="s">
        <v>88</v>
      </c>
      <c r="I6547" t="s">
        <v>280</v>
      </c>
      <c r="J6547" t="s">
        <v>229</v>
      </c>
      <c r="K6547" t="str">
        <f>B6504</f>
        <v>electricity, residential, by conversion of hydrogen using fuel cell, PEM, allocated by exergy, transported by train, produced by Electrolysis, Alkaline using water and electricity from Solar PV (DE)</v>
      </c>
      <c r="L6547">
        <f t="shared" si="250"/>
        <v>2</v>
      </c>
      <c r="M6547">
        <f t="shared" si="251"/>
        <v>-12.081691318938956</v>
      </c>
      <c r="N6547">
        <v>1</v>
      </c>
      <c r="O6547" s="15">
        <v>1.2</v>
      </c>
      <c r="P6547">
        <v>1</v>
      </c>
      <c r="Q6547">
        <v>1.01</v>
      </c>
      <c r="R6547">
        <v>1.2</v>
      </c>
      <c r="S6547">
        <v>1.2</v>
      </c>
      <c r="T6547">
        <v>3</v>
      </c>
      <c r="U6547">
        <f t="shared" si="252"/>
        <v>0.57157051623399524</v>
      </c>
    </row>
    <row r="6548" spans="1:21" x14ac:dyDescent="0.2">
      <c r="A6548" t="s">
        <v>134</v>
      </c>
      <c r="B6548" s="45">
        <f>B6545*9</f>
        <v>0.51639611520615325</v>
      </c>
      <c r="C6548" t="s">
        <v>56</v>
      </c>
      <c r="D6548" t="s">
        <v>100</v>
      </c>
      <c r="F6548" t="s">
        <v>99</v>
      </c>
      <c r="H6548" t="s">
        <v>131</v>
      </c>
      <c r="I6548" t="s">
        <v>1057</v>
      </c>
      <c r="K6548" t="str">
        <f>B6504</f>
        <v>electricity, residential, by conversion of hydrogen using fuel cell, PEM, allocated by exergy, transported by train, produced by Electrolysis, Alkaline using water and electricity from Solar PV (DE)</v>
      </c>
      <c r="L6548">
        <f t="shared" si="250"/>
        <v>2</v>
      </c>
      <c r="M6548">
        <f t="shared" si="251"/>
        <v>-0.6608811428765341</v>
      </c>
      <c r="N6548">
        <v>1</v>
      </c>
      <c r="O6548" s="15">
        <v>1.2</v>
      </c>
      <c r="P6548">
        <v>1</v>
      </c>
      <c r="Q6548">
        <v>1.01</v>
      </c>
      <c r="R6548">
        <v>1.2</v>
      </c>
      <c r="S6548">
        <v>1.2</v>
      </c>
      <c r="T6548">
        <v>1.05</v>
      </c>
      <c r="U6548">
        <f t="shared" si="252"/>
        <v>0.15984597228197622</v>
      </c>
    </row>
    <row r="6550" spans="1:21" x14ac:dyDescent="0.2">
      <c r="A6550" s="2" t="s">
        <v>50</v>
      </c>
      <c r="B6550" s="44" t="str">
        <f>IF(B6556="megajoule","heat","electricity")&amp;", residential, by "&amp;B6561&amp;" of "&amp;B6560&amp;" using "&amp;B6562&amp;IF(B6563&lt;&gt;0,", allocated by "&amp;B6563,"")&amp;", transported by "&amp;B6564&amp;", produced by "&amp;B6568&amp;" using "&amp;B6569&amp;" from "&amp;B6570</f>
        <v>electricity, residential, by conversion of hydrogen using fuel cell, SOFC, allocated by exergy, transported by train, produced by Electrolysis, Alkaline using water and electricity from Solar PV (DE)</v>
      </c>
    </row>
    <row r="6551" spans="1:21" x14ac:dyDescent="0.2">
      <c r="A6551" t="s">
        <v>51</v>
      </c>
      <c r="B6551" s="45" t="str">
        <f>"This dataset represents the supply of 1 "&amp;IF(B6556="megajoule","megajoule of heat","kilowatt hour of electricity")&amp;" in a residence, by "&amp;B6560&amp;" "&amp;B6561&amp;" in a "&amp;B6562&amp;". "&amp;" The hydrogen is transported by "&amp;B6564&amp;" over "&amp;B6565&amp;" km from regional storage. "&amp;" The "&amp;B6560&amp;" is produced by  "&amp;B6568&amp;", with "&amp;B6569&amp;" from "&amp;B6570&amp;" as feedstock. "&amp;A6572&amp;": "&amp;(B6572*100)&amp;"%. "&amp;A6573&amp;": "&amp;B6573&amp;". "&amp;A6574&amp;": "&amp;B6574&amp;". "&amp;A6575&amp;": "&amp;(B6575*100)&amp;"%. "&amp;A6576&amp;": "&amp;(B6576*100)&amp;"%. "&amp;A6577&amp;": "&amp;(B6577*100)&amp;"%. "&amp;A6578&amp;": "&amp;B6578&amp;". "&amp;A6579&amp;": "&amp;B6579&amp;". "&amp;A6580&amp;": "&amp;(B6580*100)&amp;"%. "&amp;A6581&amp;": "&amp;B6581&amp;". "&amp;A6582&amp;": "&amp;B6582&amp;". "&amp;A6583&amp;": "&amp;B6583&amp;". "&amp;A6584&amp;": "&amp;B6584&amp;".  For more information, refer to: "&amp;B6552</f>
        <v>This dataset represents the supply of 1 kilowatt hour of electricity in a residence, by hydrogen conversion in a fuel cell, SOFC.  The hydrogen is transported by train over 1000 km from regional storage.  The hydrogen is produced by  Electrolysis, Alkaline,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6552" spans="1:21" x14ac:dyDescent="0.2">
      <c r="A6552" t="s">
        <v>63</v>
      </c>
      <c r="B6552" s="45" t="s">
        <v>1223</v>
      </c>
    </row>
    <row r="6553" spans="1:21" x14ac:dyDescent="0.2">
      <c r="A6553" t="s">
        <v>52</v>
      </c>
      <c r="B6553" s="45" t="s">
        <v>64</v>
      </c>
    </row>
    <row r="6554" spans="1:21" x14ac:dyDescent="0.2">
      <c r="A6554" t="s">
        <v>48</v>
      </c>
      <c r="B6554" s="45" t="s">
        <v>924</v>
      </c>
    </row>
    <row r="6555" spans="1:21" x14ac:dyDescent="0.2">
      <c r="A6555" t="s">
        <v>54</v>
      </c>
      <c r="B6555" s="45" t="str">
        <f>INDEX(overview!$B$4:$R$338,MATCH('hydrogen - electrolysis'!B6554,overview!$A$4:$A$338,0),MATCH('hydrogen - electrolysis'!A6555,overview!$B$3:$R$3,0))</f>
        <v>electricity, from residential heating system</v>
      </c>
    </row>
    <row r="6556" spans="1:21" x14ac:dyDescent="0.2">
      <c r="A6556" t="s">
        <v>55</v>
      </c>
      <c r="B6556" s="45" t="str">
        <f>INDEX(overview!$B$4:$R$338,MATCH('hydrogen - electrolysis'!B6554,overview!$A$4:$A$338,0),MATCH('hydrogen - electrolysis'!A6556,overview!$B$3:$R$3,0))</f>
        <v>kilowatt hour</v>
      </c>
    </row>
    <row r="6557" spans="1:21" x14ac:dyDescent="0.2">
      <c r="A6557" t="s">
        <v>0</v>
      </c>
      <c r="B6557" s="45" t="str">
        <f>INDEX(overview!$B$4:$R$338,MATCH('hydrogen - electrolysis'!B6554,overview!$A$4:$A$338,0),MATCH('hydrogen - electrolysis'!A6557,overview!$B$3:$R$3,0))</f>
        <v>Switzerland</v>
      </c>
    </row>
    <row r="6558" spans="1:21" x14ac:dyDescent="0.2">
      <c r="A6558" t="s">
        <v>1</v>
      </c>
      <c r="B6558" s="45">
        <f>INDEX(overview!$B$4:$R$338,MATCH('hydrogen - electrolysis'!B6554,overview!$A$4:$A$338,0),MATCH('hydrogen - electrolysis'!A6558,overview!$B$3:$R$3,0))</f>
        <v>2020</v>
      </c>
    </row>
    <row r="6559" spans="1:21" x14ac:dyDescent="0.2">
      <c r="A6559" t="s">
        <v>2</v>
      </c>
      <c r="B6559" s="45" t="str">
        <f>INDEX(overview!$B$4:$R$338,MATCH('hydrogen - electrolysis'!B6554,overview!$A$4:$A$338,0),MATCH('hydrogen - electrolysis'!A6559,overview!$B$3:$R$3,0))</f>
        <v>1 kWh electricity</v>
      </c>
    </row>
    <row r="6560" spans="1:21" x14ac:dyDescent="0.2">
      <c r="A6560" t="s">
        <v>5</v>
      </c>
      <c r="B6560" s="45" t="str">
        <f>INDEX(overview!$B$4:$R$338,MATCH('hydrogen - electrolysis'!B6554,overview!$A$4:$A$338,0),MATCH('hydrogen - electrolysis'!A6560,overview!$B$3:$R$3,0))</f>
        <v>hydrogen</v>
      </c>
    </row>
    <row r="6561" spans="1:2" x14ac:dyDescent="0.2">
      <c r="A6561" t="s">
        <v>3</v>
      </c>
      <c r="B6561" s="45" t="str">
        <f>INDEX(overview!$B$4:$R$338,MATCH('hydrogen - electrolysis'!B6554,overview!$A$4:$A$338,0),MATCH('hydrogen - electrolysis'!A6561,overview!$B$3:$R$3,0))</f>
        <v>conversion</v>
      </c>
    </row>
    <row r="6562" spans="1:2" x14ac:dyDescent="0.2">
      <c r="A6562" t="s">
        <v>6</v>
      </c>
      <c r="B6562" s="45" t="str">
        <f>INDEX(overview!$B$4:$R$338,MATCH('hydrogen - electrolysis'!B6554,overview!$A$4:$A$338,0),MATCH('hydrogen - electrolysis'!A6562,overview!$B$3:$R$3,0))</f>
        <v>fuel cell, SOFC</v>
      </c>
    </row>
    <row r="6563" spans="1:2" x14ac:dyDescent="0.2">
      <c r="A6563" t="s">
        <v>39</v>
      </c>
      <c r="B6563" s="45" t="str">
        <f>INDEX(overview!$B$4:$R$338,MATCH('hydrogen - electrolysis'!B6554,overview!$A$4:$A$338,0),MATCH('hydrogen - electrolysis'!A6563,overview!$B$3:$R$3,0))</f>
        <v>exergy</v>
      </c>
    </row>
    <row r="6564" spans="1:2" x14ac:dyDescent="0.2">
      <c r="A6564" t="s">
        <v>4</v>
      </c>
      <c r="B6564" s="45" t="str">
        <f>INDEX(overview!$B$4:$R$338,MATCH('hydrogen - electrolysis'!B6554,overview!$A$4:$A$338,0),MATCH('hydrogen - electrolysis'!A6564,overview!$B$3:$R$3,0))</f>
        <v>train</v>
      </c>
    </row>
    <row r="6565" spans="1:2" x14ac:dyDescent="0.2">
      <c r="A6565" t="s">
        <v>38</v>
      </c>
      <c r="B6565" s="45">
        <f>INDEX(overview!$B$4:$R$338,MATCH('hydrogen - electrolysis'!B6554,overview!$A$4:$A$338,0),MATCH('hydrogen - electrolysis'!A6565,overview!$B$3:$R$3,0))</f>
        <v>1000</v>
      </c>
    </row>
    <row r="6566" spans="1:2" x14ac:dyDescent="0.2">
      <c r="A6566" t="s">
        <v>12</v>
      </c>
      <c r="B6566" s="45" t="str">
        <f>INDEX(overview!$B$4:$R$338,MATCH('hydrogen - electrolysis'!B6554,overview!$A$4:$A$338,0),MATCH('hydrogen - electrolysis'!A6566,overview!$B$3:$R$3,0))</f>
        <v>Pressure vessel for stationary storage</v>
      </c>
    </row>
    <row r="6567" spans="1:2" x14ac:dyDescent="0.2">
      <c r="A6567" t="s">
        <v>34</v>
      </c>
      <c r="B6567" s="45">
        <f>INDEX(overview!$B$4:$R$338,MATCH('hydrogen - electrolysis'!B6554,overview!$A$4:$A$338,0),MATCH('hydrogen - electrolysis'!A6567,overview!$B$3:$R$3,0))</f>
        <v>0</v>
      </c>
    </row>
    <row r="6568" spans="1:2" x14ac:dyDescent="0.2">
      <c r="A6568" t="s">
        <v>15</v>
      </c>
      <c r="B6568" s="45" t="str">
        <f>INDEX(overview!$B$4:$R$338,MATCH('hydrogen - electrolysis'!B6554,overview!$A$4:$A$338,0),MATCH('hydrogen - electrolysis'!A6568,overview!$B$3:$R$3,0))</f>
        <v>Electrolysis, Alkaline</v>
      </c>
    </row>
    <row r="6569" spans="1:2" x14ac:dyDescent="0.2">
      <c r="A6569" t="s">
        <v>14</v>
      </c>
      <c r="B6569" s="45" t="str">
        <f>INDEX(overview!$B$4:$R$338,MATCH('hydrogen - electrolysis'!B6554,overview!$A$4:$A$338,0),MATCH('hydrogen - electrolysis'!A6569,overview!$B$3:$R$3,0))</f>
        <v>water and electricity</v>
      </c>
    </row>
    <row r="6570" spans="1:2" x14ac:dyDescent="0.2">
      <c r="A6570" t="s">
        <v>26</v>
      </c>
      <c r="B6570" s="45" t="str">
        <f>INDEX(overview!$B$4:$R$338,MATCH('hydrogen - electrolysis'!B6554,overview!$A$4:$A$338,0),MATCH('hydrogen - electrolysis'!A6570,overview!$B$3:$R$3,0))</f>
        <v>Solar PV (DE)</v>
      </c>
    </row>
    <row r="6571" spans="1:2" x14ac:dyDescent="0.2">
      <c r="A6571" t="s">
        <v>29</v>
      </c>
      <c r="B6571" s="45">
        <f>INDEX(overview!$B$4:$R$338,MATCH('hydrogen - electrolysis'!B6554,overview!$A$4:$A$338,0),MATCH('hydrogen - electrolysis'!A6571,overview!$B$3:$R$3,0))</f>
        <v>0</v>
      </c>
    </row>
    <row r="6572" spans="1:2" x14ac:dyDescent="0.2">
      <c r="A6572" t="str">
        <f>IF(B6556="megajoule","Heat","Electricity")&amp;" conversion efficiency [% LHV input]"</f>
        <v>Electricity conversion efficiency [% LHV input]</v>
      </c>
      <c r="B6572" s="46">
        <f>INDEX(parameters!$D$4:$N$20,MATCH('hydrogen - electrolysis'!B6560&amp;'hydrogen - electrolysis'!B6562,parameters!$A$4:$A$20,0),MATCH('hydrogen - electrolysis'!A6572,parameters!$D$3:$N$3,0))</f>
        <v>0.47</v>
      </c>
    </row>
    <row r="6573" spans="1:2" x14ac:dyDescent="0.2">
      <c r="A6573" t="str">
        <f>IF(B6556="megajoule","LHV [MJ/kg]","LHV [kWh/kg]")</f>
        <v>LHV [kWh/kg]</v>
      </c>
      <c r="B6573" s="47">
        <f>INDEX(parameters!$D$4:$N$20,MATCH('hydrogen - electrolysis'!B6560&amp;'hydrogen - electrolysis'!B6562,parameters!$A$4:$A$20,0),MATCH('hydrogen - electrolysis'!A6573,parameters!$D$3:$N$3,0))</f>
        <v>33.333333333333336</v>
      </c>
    </row>
    <row r="6574" spans="1:2" x14ac:dyDescent="0.2">
      <c r="A6574" t="s">
        <v>41</v>
      </c>
      <c r="B6574" s="48">
        <f>INDEX(parameters!$D$4:$N$20,MATCH('hydrogen - electrolysis'!B6560&amp;'hydrogen - electrolysis'!B6562,parameters!$A$4:$A$20,0),MATCH('hydrogen - electrolysis'!A6574,parameters!$D$3:$N$3,0))</f>
        <v>2.6666666666666665E-2</v>
      </c>
    </row>
    <row r="6575" spans="1:2" x14ac:dyDescent="0.2">
      <c r="A6575" t="s">
        <v>45</v>
      </c>
      <c r="B6575" s="46">
        <f>INDEX(parameters!$D$4:$N$20,MATCH('hydrogen - electrolysis'!B6560&amp;'hydrogen - electrolysis'!B6562,parameters!$A$4:$A$20,0),MATCH('hydrogen - electrolysis'!A6575,parameters!$D$3:$N$3,0))</f>
        <v>0</v>
      </c>
    </row>
    <row r="6576" spans="1:2" x14ac:dyDescent="0.2">
      <c r="A6576" t="s">
        <v>46</v>
      </c>
      <c r="B6576" s="46">
        <f>INDEX(parameters!$D$4:$N$20,MATCH('hydrogen - electrolysis'!B6560&amp;'hydrogen - electrolysis'!B6562,parameters!$A$4:$A$20,0),MATCH('hydrogen - electrolysis'!A6576,parameters!$D$3:$N$3,0))</f>
        <v>1.4999999999999999E-2</v>
      </c>
    </row>
    <row r="6577" spans="1:22" x14ac:dyDescent="0.2">
      <c r="A6577" t="s">
        <v>43</v>
      </c>
      <c r="B6577" s="46">
        <f>INDEX(parameters!$D$4:$N$20,MATCH('hydrogen - electrolysis'!B6560&amp;'hydrogen - electrolysis'!B6562,parameters!$A$4:$A$20,0),MATCH('hydrogen - electrolysis'!A6577,parameters!$D$3:$N$3,0))</f>
        <v>0</v>
      </c>
    </row>
    <row r="6578" spans="1:22" x14ac:dyDescent="0.2">
      <c r="A6578" t="s">
        <v>44</v>
      </c>
      <c r="B6578" s="46">
        <f>INDEX(parameters!$D$4:$N$20,MATCH('hydrogen - electrolysis'!B6560&amp;'hydrogen - electrolysis'!B6562,parameters!$A$4:$A$20,0),MATCH('hydrogen - electrolysis'!A6578,parameters!$D$3:$N$3,0))</f>
        <v>0</v>
      </c>
    </row>
    <row r="6579" spans="1:22" x14ac:dyDescent="0.2">
      <c r="A6579" t="s">
        <v>634</v>
      </c>
      <c r="B6579" s="51">
        <f>INDEX(parameters!$D$4:$Y$20,MATCH('hydrogen - electrolysis'!B6560&amp;'hydrogen - electrolysis'!B6562,parameters!$A$4:$A$20,0),MATCH('hydrogen - electrolysis'!A6579,parameters!$D$3:$Y$3,0))</f>
        <v>225</v>
      </c>
      <c r="D6579" s="8"/>
    </row>
    <row r="6580" spans="1:22" x14ac:dyDescent="0.2">
      <c r="A6580" t="s">
        <v>82</v>
      </c>
      <c r="B6580" s="46">
        <f>IF(B6571&lt;&gt;0,VLOOKUP(B6571,parameters!A4251:B4253,2,0),0)</f>
        <v>0</v>
      </c>
    </row>
    <row r="6581" spans="1:22" x14ac:dyDescent="0.2">
      <c r="A6581" t="s">
        <v>548</v>
      </c>
      <c r="B6581" s="50">
        <f>INDEX(parameters!$D$4:$P$20,MATCH(B6560&amp;B6562,parameters!$A$4:$A$20,0),MATCH(A6581,parameters!$D$3:$P$3,0))</f>
        <v>100</v>
      </c>
    </row>
    <row r="6582" spans="1:22" x14ac:dyDescent="0.2">
      <c r="A6582" t="s">
        <v>547</v>
      </c>
      <c r="B6582" s="51">
        <f>INDEX(parameters!$D$4:$P$20,MATCH(B6560&amp;B6562,parameters!$A$4:$A$20,0),MATCH(A6582,parameters!$D$3:$P$3,0))</f>
        <v>6</v>
      </c>
    </row>
    <row r="6583" spans="1:22" x14ac:dyDescent="0.2">
      <c r="A6583" t="s">
        <v>630</v>
      </c>
      <c r="B6583" s="51">
        <f>INDEX(parameters!$D$4:$T$20,MATCH(B6560&amp;B6562,parameters!$A$4:$A$20,0),MATCH(A6583,parameters!$D$3:$T$3,0))</f>
        <v>4100</v>
      </c>
    </row>
    <row r="6584" spans="1:22" x14ac:dyDescent="0.2">
      <c r="A6584" t="s">
        <v>1005</v>
      </c>
      <c r="B6584" s="50">
        <f>IF(B6556="megajoule",SUMIFS(allocation!$I$4:$I$30,allocation!$B$4:$B$30,B6562,allocation!$C$4:$C$30,B6563),SUMIFS(allocation!$J$4:$J$30,allocation!$B$4:$B$30,B6562,allocation!$C$4:$C$30,B6563))</f>
        <v>0.86412493489600906</v>
      </c>
    </row>
    <row r="6585" spans="1:22" x14ac:dyDescent="0.2">
      <c r="A6585" t="s">
        <v>1050</v>
      </c>
      <c r="B6585" s="51">
        <f>INDEX(parameters!$D$4:$AB$20,MATCH(B6560&amp;B6562,parameters!$A$4:$A$20,0),MATCH(A6585,parameters!$D$3:$AB$3,0))</f>
        <v>1153.1249999999998</v>
      </c>
    </row>
    <row r="6587" spans="1:22" x14ac:dyDescent="0.2">
      <c r="A6587" s="3" t="s">
        <v>57</v>
      </c>
    </row>
    <row r="6588" spans="1:22" x14ac:dyDescent="0.2">
      <c r="A6588" s="2" t="s">
        <v>58</v>
      </c>
      <c r="B6588" s="44" t="s">
        <v>59</v>
      </c>
      <c r="C6588" s="2" t="s">
        <v>55</v>
      </c>
      <c r="D6588" s="2" t="s">
        <v>60</v>
      </c>
      <c r="E6588" s="2" t="s">
        <v>52</v>
      </c>
      <c r="F6588" s="2" t="s">
        <v>61</v>
      </c>
      <c r="G6588" s="2" t="s">
        <v>54</v>
      </c>
      <c r="H6588" s="2" t="s">
        <v>87</v>
      </c>
      <c r="I6588" s="2" t="s">
        <v>51</v>
      </c>
      <c r="J6588" s="2" t="s">
        <v>138</v>
      </c>
      <c r="K6588" s="2" t="s">
        <v>136</v>
      </c>
      <c r="L6588" s="2" t="s">
        <v>221</v>
      </c>
      <c r="M6588" s="2" t="s">
        <v>379</v>
      </c>
      <c r="N6588" s="2" t="s">
        <v>1059</v>
      </c>
      <c r="O6588" s="2" t="s">
        <v>1060</v>
      </c>
      <c r="P6588" s="2" t="s">
        <v>1061</v>
      </c>
      <c r="Q6588" s="2" t="s">
        <v>1062</v>
      </c>
      <c r="R6588" s="2" t="s">
        <v>1063</v>
      </c>
      <c r="S6588" s="2" t="s">
        <v>1064</v>
      </c>
      <c r="T6588" s="2" t="s">
        <v>1065</v>
      </c>
      <c r="U6588" s="2" t="s">
        <v>380</v>
      </c>
      <c r="V6588" s="2" t="s">
        <v>1128</v>
      </c>
    </row>
    <row r="6589" spans="1:22" x14ac:dyDescent="0.2">
      <c r="A6589" t="str">
        <f>B6550</f>
        <v>electricity, residential, by conversion of hydrogen using fuel cell, SOFC, allocated by exergy, transported by train, produced by Electrolysis, Alkaline using water and electricity from Solar PV (DE)</v>
      </c>
      <c r="B6589" s="45">
        <v>1</v>
      </c>
      <c r="C6589" t="str">
        <f>B6556</f>
        <v>kilowatt hour</v>
      </c>
      <c r="E6589" t="str">
        <f>B6553</f>
        <v>CH</v>
      </c>
      <c r="F6589" t="s">
        <v>62</v>
      </c>
      <c r="G6589" t="str">
        <f>B6555</f>
        <v>electricity, from residential heating system</v>
      </c>
      <c r="K6589" t="str">
        <f>B6550</f>
        <v>electricity, residential, by conversion of hydrogen using fuel cell, SOFC, allocated by exergy, transported by train, produced by Electrolysis, Alkaline using water and electricity from Solar PV (DE)</v>
      </c>
    </row>
    <row r="6590" spans="1:22" x14ac:dyDescent="0.2">
      <c r="A6590" t="str">
        <f>VLOOKUP(J6590,'dataset mapping'!$A$4:$E$69,2,0)</f>
        <v>fuel cell production, stack solid oxide, 125kW electrical, future</v>
      </c>
      <c r="B6590" s="52">
        <f>(1/(B6579*B6583*B6582))*B6584</f>
        <v>1.5612013277254003E-7</v>
      </c>
      <c r="C6590" t="str">
        <f>VLOOKUP(J6590,'dataset mapping'!$A$4:$E$69,5,0)</f>
        <v>unit</v>
      </c>
      <c r="E6590" t="str">
        <f>VLOOKUP(J6590,'dataset mapping'!$A$4:$E$69,4,0)</f>
        <v>CH</v>
      </c>
      <c r="F6590" t="s">
        <v>86</v>
      </c>
      <c r="G6590" t="str">
        <f>VLOOKUP(J6590,'dataset mapping'!$A$4:$E$69,3,0)</f>
        <v>fuel cell, stack solid oxide, 125kW electrical, future</v>
      </c>
      <c r="H6590" t="s">
        <v>88</v>
      </c>
      <c r="I6590" t="s">
        <v>277</v>
      </c>
      <c r="J6590" t="s">
        <v>274</v>
      </c>
      <c r="K6590" t="str">
        <f>B6550</f>
        <v>electricity, residential, by conversion of hydrogen using fuel cell, SOFC, allocated by exergy, transported by train, produced by Electrolysis, Alkaline using water and electricity from Solar PV (DE)</v>
      </c>
      <c r="L6590">
        <f t="shared" ref="L6590:L6596" si="253">IF(OR(B6590&lt;0,B6590=0),1,2)</f>
        <v>2</v>
      </c>
      <c r="M6590">
        <f t="shared" ref="M6590:M6596" si="254">IF(L6590=2,LN(B6590),"")</f>
        <v>-15.672640044182527</v>
      </c>
      <c r="N6590">
        <v>1</v>
      </c>
      <c r="O6590" s="15">
        <v>1.2</v>
      </c>
      <c r="P6590">
        <v>1</v>
      </c>
      <c r="Q6590">
        <v>1.01</v>
      </c>
      <c r="R6590">
        <v>1.2</v>
      </c>
      <c r="S6590">
        <v>1.2</v>
      </c>
      <c r="T6590">
        <v>3</v>
      </c>
      <c r="U6590">
        <f t="shared" ref="U6590:U6596" si="255">LN(SQRT(EXP(
SQRT(
+POWER(LN(N6590),2)
+POWER(LN(O6590),2)
+POWER(LN(P6590),2)
+POWER(LN(Q6590),2)
+POWER(LN(R6590),2)
+POWER(LN(S6590),2)
+POWER(LN(T6590),2)
)
)))</f>
        <v>0.57157051623399524</v>
      </c>
    </row>
    <row r="6591" spans="1:22" x14ac:dyDescent="0.2">
      <c r="A6591" t="s">
        <v>283</v>
      </c>
      <c r="B6591" s="52">
        <f>(1/(B6579*B6583*B6582))*B6584</f>
        <v>1.5612013277254003E-7</v>
      </c>
      <c r="C6591" t="s">
        <v>55</v>
      </c>
      <c r="E6591" t="s">
        <v>64</v>
      </c>
      <c r="F6591" t="s">
        <v>86</v>
      </c>
      <c r="G6591" t="s">
        <v>284</v>
      </c>
      <c r="H6591" t="s">
        <v>88</v>
      </c>
      <c r="I6591" t="s">
        <v>277</v>
      </c>
      <c r="K6591" t="str">
        <f>B6550</f>
        <v>electricity, residential, by conversion of hydrogen using fuel cell, SOFC, allocated by exergy, transported by train, produced by Electrolysis, Alkaline using water and electricity from Solar PV (DE)</v>
      </c>
      <c r="L6591">
        <f t="shared" si="253"/>
        <v>2</v>
      </c>
      <c r="M6591">
        <f t="shared" si="254"/>
        <v>-15.672640044182527</v>
      </c>
      <c r="N6591">
        <v>1</v>
      </c>
      <c r="O6591" s="15">
        <v>1.2</v>
      </c>
      <c r="P6591">
        <v>1</v>
      </c>
      <c r="Q6591">
        <v>1.01</v>
      </c>
      <c r="R6591">
        <v>1.2</v>
      </c>
      <c r="S6591">
        <v>1.2</v>
      </c>
      <c r="T6591">
        <v>3</v>
      </c>
      <c r="U6591">
        <f t="shared" si="255"/>
        <v>0.57157051623399524</v>
      </c>
    </row>
    <row r="6592" spans="1:22" x14ac:dyDescent="0.2">
      <c r="A6592" t="s">
        <v>288</v>
      </c>
      <c r="B6592" s="52">
        <f>0.000024*B6584</f>
        <v>2.0738998437504217E-5</v>
      </c>
      <c r="C6592" t="s">
        <v>56</v>
      </c>
      <c r="E6592" t="s">
        <v>64</v>
      </c>
      <c r="F6592" t="s">
        <v>86</v>
      </c>
      <c r="G6592" t="s">
        <v>287</v>
      </c>
      <c r="H6592" t="s">
        <v>88</v>
      </c>
      <c r="K6592" t="str">
        <f>B6550</f>
        <v>electricity, residential, by conversion of hydrogen using fuel cell, SOFC, allocated by exergy, transported by train, produced by Electrolysis, Alkaline using water and electricity from Solar PV (DE)</v>
      </c>
      <c r="L6592">
        <f t="shared" si="253"/>
        <v>2</v>
      </c>
      <c r="M6592">
        <f t="shared" si="254"/>
        <v>-10.783494647673981</v>
      </c>
      <c r="N6592">
        <v>1</v>
      </c>
      <c r="O6592" s="15">
        <v>1.2</v>
      </c>
      <c r="P6592">
        <v>1</v>
      </c>
      <c r="Q6592">
        <v>1.01</v>
      </c>
      <c r="R6592">
        <v>1.2</v>
      </c>
      <c r="S6592">
        <v>1.2</v>
      </c>
      <c r="T6592">
        <v>1.05</v>
      </c>
      <c r="U6592">
        <f t="shared" si="255"/>
        <v>0.15984597228197622</v>
      </c>
    </row>
    <row r="6593" spans="1:21" x14ac:dyDescent="0.2">
      <c r="A6593" s="45" t="str">
        <f>"hydrogen supply, transported by "&amp;B6564&amp;", produced by "&amp;B6568&amp;" using "&amp;B6569&amp;" from "&amp;B6570</f>
        <v>hydrogen supply, transported by train, produced by Electrolysis, Alkaline using water and electricity from Solar PV (DE)</v>
      </c>
      <c r="B6593" s="53">
        <f>(B6589/B6573)/B6572*B6584</f>
        <v>5.515691073804313E-2</v>
      </c>
      <c r="C6593" t="s">
        <v>56</v>
      </c>
      <c r="E6593" t="s">
        <v>64</v>
      </c>
      <c r="F6593" t="s">
        <v>86</v>
      </c>
      <c r="G6593" t="str">
        <f>"hydrogen, gaseous, from "&amp;B6564</f>
        <v>hydrogen, gaseous, from train</v>
      </c>
      <c r="H6593" t="s">
        <v>76</v>
      </c>
      <c r="I6593" t="s">
        <v>1054</v>
      </c>
      <c r="J6593" t="s">
        <v>297</v>
      </c>
      <c r="K6593" t="str">
        <f>B6550</f>
        <v>electricity, residential, by conversion of hydrogen using fuel cell, SOFC, allocated by exergy, transported by train, produced by Electrolysis, Alkaline using water and electricity from Solar PV (DE)</v>
      </c>
      <c r="L6593">
        <f t="shared" si="253"/>
        <v>2</v>
      </c>
      <c r="M6593">
        <f t="shared" si="254"/>
        <v>-2.8975732330996009</v>
      </c>
      <c r="N6593">
        <v>1</v>
      </c>
      <c r="O6593" s="15">
        <v>1.2</v>
      </c>
      <c r="P6593">
        <v>1</v>
      </c>
      <c r="Q6593">
        <v>1.01</v>
      </c>
      <c r="R6593">
        <v>1.2</v>
      </c>
      <c r="S6593">
        <v>1.2</v>
      </c>
      <c r="T6593">
        <v>1.05</v>
      </c>
      <c r="U6593">
        <f t="shared" si="255"/>
        <v>0.15984597228197622</v>
      </c>
    </row>
    <row r="6594" spans="1:21" x14ac:dyDescent="0.2">
      <c r="A6594" t="str">
        <f>VLOOKUP(J6594,'dataset mapping'!$A$4:$E$69,2,0)</f>
        <v>market for transport, freight train</v>
      </c>
      <c r="B6594" s="45">
        <f>SUM(B6593:B6593)/1000*B6565</f>
        <v>5.515691073804313E-2</v>
      </c>
      <c r="C6594" t="str">
        <f>VLOOKUP(J6594,'dataset mapping'!$A$4:$E$69,5,0)</f>
        <v>ton kilometer</v>
      </c>
      <c r="E6594" t="str">
        <f>VLOOKUP(J6594,'dataset mapping'!$A$4:$E$69,4,0)</f>
        <v>CH</v>
      </c>
      <c r="F6594" t="s">
        <v>86</v>
      </c>
      <c r="G6594" t="str">
        <f>VLOOKUP(J6594,'dataset mapping'!$A$4:$E$69,3,0)</f>
        <v>transport, freight train</v>
      </c>
      <c r="H6594" t="s">
        <v>88</v>
      </c>
      <c r="I6594" t="s">
        <v>1052</v>
      </c>
      <c r="J6594" t="s">
        <v>295</v>
      </c>
      <c r="K6594" t="str">
        <f>B6550</f>
        <v>electricity, residential, by conversion of hydrogen using fuel cell, SOFC, allocated by exergy, transported by train, produced by Electrolysis, Alkaline using water and electricity from Solar PV (DE)</v>
      </c>
      <c r="L6594">
        <f t="shared" si="253"/>
        <v>2</v>
      </c>
      <c r="M6594">
        <f t="shared" si="254"/>
        <v>-2.8975732330996009</v>
      </c>
      <c r="N6594">
        <v>1</v>
      </c>
      <c r="O6594" s="15">
        <v>1.2</v>
      </c>
      <c r="P6594">
        <v>1</v>
      </c>
      <c r="Q6594">
        <v>1.01</v>
      </c>
      <c r="R6594">
        <v>1.2</v>
      </c>
      <c r="S6594">
        <v>1.2</v>
      </c>
      <c r="T6594">
        <v>2</v>
      </c>
      <c r="U6594">
        <f t="shared" si="255"/>
        <v>0.38087907307228186</v>
      </c>
    </row>
    <row r="6595" spans="1:21" x14ac:dyDescent="0.2">
      <c r="A6595" t="str">
        <f>VLOOKUP(J6595,'dataset mapping'!$A$4:$E$69,2,0)</f>
        <v>high pressure hydrogen storage tank</v>
      </c>
      <c r="B6595" s="52">
        <f>((B6585/10)/(B6583*B6579*20))*IF(B6584&lt;&gt;0,B6584,1)</f>
        <v>5.400780843100055E-6</v>
      </c>
      <c r="C6595" t="str">
        <f>VLOOKUP(J6595,'dataset mapping'!$A$4:$E$69,5,0)</f>
        <v>kilogram</v>
      </c>
      <c r="E6595" t="str">
        <f>VLOOKUP(J6595,'dataset mapping'!$A$4:$E$69,4,0)</f>
        <v>GLO</v>
      </c>
      <c r="F6595" t="s">
        <v>86</v>
      </c>
      <c r="G6595" t="str">
        <f>VLOOKUP(J6595,'dataset mapping'!$A$4:$E$69,3,0)</f>
        <v>high pressure hydrogen storage tank</v>
      </c>
      <c r="H6595" t="s">
        <v>88</v>
      </c>
      <c r="I6595" t="s">
        <v>230</v>
      </c>
      <c r="J6595" t="s">
        <v>229</v>
      </c>
      <c r="K6595" t="str">
        <f>B6550</f>
        <v>electricity, residential, by conversion of hydrogen using fuel cell, SOFC, allocated by exergy, transported by train, produced by Electrolysis, Alkaline using water and electricity from Solar PV (DE)</v>
      </c>
      <c r="L6595">
        <f t="shared" si="253"/>
        <v>2</v>
      </c>
      <c r="M6595">
        <f t="shared" si="254"/>
        <v>-12.128967014273616</v>
      </c>
      <c r="N6595">
        <v>1</v>
      </c>
      <c r="O6595" s="15">
        <v>1.2</v>
      </c>
      <c r="P6595">
        <v>1</v>
      </c>
      <c r="Q6595">
        <v>1.01</v>
      </c>
      <c r="R6595">
        <v>1.2</v>
      </c>
      <c r="S6595">
        <v>1.2</v>
      </c>
      <c r="T6595">
        <v>3</v>
      </c>
      <c r="U6595">
        <f t="shared" si="255"/>
        <v>0.57157051623399524</v>
      </c>
    </row>
    <row r="6596" spans="1:21" x14ac:dyDescent="0.2">
      <c r="A6596" t="s">
        <v>134</v>
      </c>
      <c r="B6596" s="45">
        <f>B6593*9</f>
        <v>0.49641219664238817</v>
      </c>
      <c r="C6596" t="s">
        <v>56</v>
      </c>
      <c r="D6596" t="s">
        <v>100</v>
      </c>
      <c r="F6596" t="s">
        <v>99</v>
      </c>
      <c r="H6596" t="s">
        <v>131</v>
      </c>
      <c r="I6596" t="s">
        <v>1057</v>
      </c>
      <c r="K6596" t="str">
        <f>B6550</f>
        <v>electricity, residential, by conversion of hydrogen using fuel cell, SOFC, allocated by exergy, transported by train, produced by Electrolysis, Alkaline using water and electricity from Solar PV (DE)</v>
      </c>
      <c r="L6596">
        <f t="shared" si="253"/>
        <v>2</v>
      </c>
      <c r="M6596">
        <f t="shared" si="254"/>
        <v>-0.70034865576338168</v>
      </c>
      <c r="N6596">
        <v>1</v>
      </c>
      <c r="O6596" s="15">
        <v>1.2</v>
      </c>
      <c r="P6596">
        <v>1</v>
      </c>
      <c r="Q6596">
        <v>1.01</v>
      </c>
      <c r="R6596">
        <v>1.2</v>
      </c>
      <c r="S6596">
        <v>1.2</v>
      </c>
      <c r="T6596">
        <v>1.05</v>
      </c>
      <c r="U6596">
        <f t="shared" si="255"/>
        <v>0.15984597228197622</v>
      </c>
    </row>
    <row r="6598" spans="1:21" x14ac:dyDescent="0.2">
      <c r="A6598" s="2" t="s">
        <v>50</v>
      </c>
      <c r="B6598" s="44" t="str">
        <f>IF(B6604="megajoule","heat","electricity")&amp;", residential, by "&amp;B6609&amp;" of "&amp;B6608&amp;" using "&amp;B6610&amp;IF(B6611&lt;&gt;0,", allocated by "&amp;B6611,"")&amp;", transported by "&amp;B6612&amp;", produced by "&amp;B6616&amp;" using "&amp;B6617&amp;" from "&amp;B6618</f>
        <v>heat, residential, by combustion of hydrogen using boiler, transported by pipeline, produced by Electrolysis, PEM using water and electricity from Solar PV (DE)</v>
      </c>
    </row>
    <row r="6599" spans="1:21" x14ac:dyDescent="0.2">
      <c r="A6599" t="s">
        <v>51</v>
      </c>
      <c r="B6599" s="45" t="str">
        <f>"This dataset represents the supply of 1 "&amp;IF(B6604="megajoule","megajoule of heat","kilowatt hour of electricity")&amp;" in a residence, by "&amp;B6608&amp;" "&amp;B6609&amp;" in a "&amp;B6610&amp;". "&amp;" The hydrogen is transported by "&amp;B6612&amp;" over "&amp;B6613&amp;" km from regional storage. "&amp;" The "&amp;B6608&amp;" is produced by  "&amp;B6616&amp;", with "&amp;B6617&amp;" from "&amp;B6618&amp;" as feedstock. "&amp;A6620&amp;": "&amp;(B6620*100)&amp;"%. "&amp;A6621&amp;": "&amp;B6621&amp;". "&amp;A6622&amp;": "&amp;B6622&amp;". "&amp;A6623&amp;": "&amp;(B6623*100)&amp;"%. "&amp;A6624&amp;": "&amp;(B6624*100)&amp;"%. "&amp;A6625&amp;": "&amp;(B6625*100)&amp;"%. "&amp;A6626&amp;": "&amp;B6626&amp;". "&amp;A6627&amp;": "&amp;B6627&amp;". "&amp;A6628&amp;": "&amp;(B6628*100)&amp;"%. "&amp;A6629&amp;": "&amp;B6629&amp;". "&amp;A6630&amp;": "&amp;B6630&amp;". "&amp;A6631&amp;": "&amp;B6631&amp;". "&amp;A6632&amp;": "&amp;B6632&amp;".  For more information, refer to: "&amp;B6600</f>
        <v>This dataset represents the supply of 1 megajoule of heat in a residence, by hydrogen combustion in a boiler.  The hydrogen is transported by pipeline over 1000 km from regional storage.  The hydrogen is produced by  Electrolysis, PEM,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6600" spans="1:21" x14ac:dyDescent="0.2">
      <c r="A6600" t="s">
        <v>63</v>
      </c>
      <c r="B6600" s="45" t="s">
        <v>1223</v>
      </c>
    </row>
    <row r="6601" spans="1:21" x14ac:dyDescent="0.2">
      <c r="A6601" t="s">
        <v>52</v>
      </c>
      <c r="B6601" s="45" t="s">
        <v>64</v>
      </c>
    </row>
    <row r="6602" spans="1:21" x14ac:dyDescent="0.2">
      <c r="A6602" t="s">
        <v>48</v>
      </c>
      <c r="B6602" s="45">
        <v>81</v>
      </c>
    </row>
    <row r="6603" spans="1:21" x14ac:dyDescent="0.2">
      <c r="A6603" t="s">
        <v>54</v>
      </c>
      <c r="B6603" s="45" t="str">
        <f>INDEX(overview!$B$4:$R$338,MATCH('hydrogen - electrolysis'!B6602,overview!$A$4:$A$338,0),MATCH('hydrogen - electrolysis'!A6603,overview!$B$3:$R$3,0))</f>
        <v>heat, from residential heating system</v>
      </c>
    </row>
    <row r="6604" spans="1:21" x14ac:dyDescent="0.2">
      <c r="A6604" t="s">
        <v>55</v>
      </c>
      <c r="B6604" s="45" t="str">
        <f>INDEX(overview!$B$4:$R$338,MATCH('hydrogen - electrolysis'!B6602,overview!$A$4:$A$338,0),MATCH('hydrogen - electrolysis'!A6604,overview!$B$3:$R$3,0))</f>
        <v>megajoule</v>
      </c>
    </row>
    <row r="6605" spans="1:21" x14ac:dyDescent="0.2">
      <c r="A6605" t="s">
        <v>0</v>
      </c>
      <c r="B6605" s="45" t="str">
        <f>INDEX(overview!$B$4:$R$338,MATCH('hydrogen - electrolysis'!B6602,overview!$A$4:$A$338,0),MATCH('hydrogen - electrolysis'!A6605,overview!$B$3:$R$3,0))</f>
        <v>Switzerland</v>
      </c>
    </row>
    <row r="6606" spans="1:21" x14ac:dyDescent="0.2">
      <c r="A6606" t="s">
        <v>1</v>
      </c>
      <c r="B6606" s="45">
        <f>INDEX(overview!$B$4:$R$338,MATCH('hydrogen - electrolysis'!B6602,overview!$A$4:$A$338,0),MATCH('hydrogen - electrolysis'!A6606,overview!$B$3:$R$3,0))</f>
        <v>2020</v>
      </c>
    </row>
    <row r="6607" spans="1:21" x14ac:dyDescent="0.2">
      <c r="A6607" t="s">
        <v>2</v>
      </c>
      <c r="B6607" s="45" t="str">
        <f>INDEX(overview!$B$4:$R$338,MATCH('hydrogen - electrolysis'!B6602,overview!$A$4:$A$338,0),MATCH('hydrogen - electrolysis'!A6607,overview!$B$3:$R$3,0))</f>
        <v>1 MJ heat</v>
      </c>
    </row>
    <row r="6608" spans="1:21" x14ac:dyDescent="0.2">
      <c r="A6608" t="s">
        <v>5</v>
      </c>
      <c r="B6608" s="45" t="str">
        <f>INDEX(overview!$B$4:$R$338,MATCH('hydrogen - electrolysis'!B6602,overview!$A$4:$A$338,0),MATCH('hydrogen - electrolysis'!A6608,overview!$B$3:$R$3,0))</f>
        <v>hydrogen</v>
      </c>
    </row>
    <row r="6609" spans="1:2" x14ac:dyDescent="0.2">
      <c r="A6609" t="s">
        <v>3</v>
      </c>
      <c r="B6609" s="45" t="str">
        <f>INDEX(overview!$B$4:$R$338,MATCH('hydrogen - electrolysis'!B6602,overview!$A$4:$A$338,0),MATCH('hydrogen - electrolysis'!A6609,overview!$B$3:$R$3,0))</f>
        <v>combustion</v>
      </c>
    </row>
    <row r="6610" spans="1:2" x14ac:dyDescent="0.2">
      <c r="A6610" t="s">
        <v>6</v>
      </c>
      <c r="B6610" s="45" t="str">
        <f>INDEX(overview!$B$4:$R$338,MATCH('hydrogen - electrolysis'!B6602,overview!$A$4:$A$338,0),MATCH('hydrogen - electrolysis'!A6610,overview!$B$3:$R$3,0))</f>
        <v>boiler</v>
      </c>
    </row>
    <row r="6611" spans="1:2" x14ac:dyDescent="0.2">
      <c r="A6611" t="s">
        <v>39</v>
      </c>
      <c r="B6611" s="45">
        <f>INDEX(overview!$B$4:$R$338,MATCH('hydrogen - electrolysis'!B6602,overview!$A$4:$A$338,0),MATCH('hydrogen - electrolysis'!A6611,overview!$B$3:$R$3,0))</f>
        <v>0</v>
      </c>
    </row>
    <row r="6612" spans="1:2" x14ac:dyDescent="0.2">
      <c r="A6612" t="s">
        <v>4</v>
      </c>
      <c r="B6612" s="45" t="str">
        <f>INDEX(overview!$B$4:$R$338,MATCH('hydrogen - electrolysis'!B6602,overview!$A$4:$A$338,0),MATCH('hydrogen - electrolysis'!A6612,overview!$B$3:$R$3,0))</f>
        <v>pipeline</v>
      </c>
    </row>
    <row r="6613" spans="1:2" x14ac:dyDescent="0.2">
      <c r="A6613" t="s">
        <v>38</v>
      </c>
      <c r="B6613" s="45">
        <f>INDEX(overview!$B$4:$R$338,MATCH('hydrogen - electrolysis'!B6602,overview!$A$4:$A$338,0),MATCH('hydrogen - electrolysis'!A6613,overview!$B$3:$R$3,0))</f>
        <v>1000</v>
      </c>
    </row>
    <row r="6614" spans="1:2" x14ac:dyDescent="0.2">
      <c r="A6614" t="s">
        <v>12</v>
      </c>
      <c r="B6614" s="45" t="str">
        <f>INDEX(overview!$B$4:$R$338,MATCH('hydrogen - electrolysis'!B6602,overview!$A$4:$A$338,0),MATCH('hydrogen - electrolysis'!A6614,overview!$B$3:$R$3,0))</f>
        <v>Pressure vessel for stationary storage</v>
      </c>
    </row>
    <row r="6615" spans="1:2" x14ac:dyDescent="0.2">
      <c r="A6615" t="s">
        <v>34</v>
      </c>
      <c r="B6615" s="45">
        <f>INDEX(overview!$B$4:$R$338,MATCH('hydrogen - electrolysis'!B6602,overview!$A$4:$A$338,0),MATCH('hydrogen - electrolysis'!A6615,overview!$B$3:$R$3,0))</f>
        <v>0</v>
      </c>
    </row>
    <row r="6616" spans="1:2" x14ac:dyDescent="0.2">
      <c r="A6616" t="s">
        <v>15</v>
      </c>
      <c r="B6616" s="45" t="str">
        <f>INDEX(overview!$B$4:$R$338,MATCH('hydrogen - electrolysis'!B6602,overview!$A$4:$A$338,0),MATCH('hydrogen - electrolysis'!A6616,overview!$B$3:$R$3,0))</f>
        <v>Electrolysis, PEM</v>
      </c>
    </row>
    <row r="6617" spans="1:2" x14ac:dyDescent="0.2">
      <c r="A6617" t="s">
        <v>14</v>
      </c>
      <c r="B6617" s="45" t="str">
        <f>INDEX(overview!$B$4:$R$338,MATCH('hydrogen - electrolysis'!B6602,overview!$A$4:$A$338,0),MATCH('hydrogen - electrolysis'!A6617,overview!$B$3:$R$3,0))</f>
        <v>water and electricity</v>
      </c>
    </row>
    <row r="6618" spans="1:2" x14ac:dyDescent="0.2">
      <c r="A6618" t="s">
        <v>26</v>
      </c>
      <c r="B6618" s="45" t="str">
        <f>INDEX(overview!$B$4:$R$338,MATCH('hydrogen - electrolysis'!B6602,overview!$A$4:$A$338,0),MATCH('hydrogen - electrolysis'!A6618,overview!$B$3:$R$3,0))</f>
        <v>Solar PV (DE)</v>
      </c>
    </row>
    <row r="6619" spans="1:2" x14ac:dyDescent="0.2">
      <c r="A6619" t="s">
        <v>29</v>
      </c>
      <c r="B6619" s="45">
        <f>INDEX(overview!$B$4:$R$338,MATCH('hydrogen - electrolysis'!B6602,overview!$A$4:$A$338,0),MATCH('hydrogen - electrolysis'!A6619,overview!$B$3:$R$3,0))</f>
        <v>0</v>
      </c>
    </row>
    <row r="6620" spans="1:2" x14ac:dyDescent="0.2">
      <c r="A6620" t="str">
        <f>IF(B6604="megajoule","Heat","Electricity")&amp;" conversion efficiency [% LHV input]"</f>
        <v>Heat conversion efficiency [% LHV input]</v>
      </c>
      <c r="B6620" s="46">
        <f>INDEX(parameters!$D$4:$N$20,MATCH('hydrogen - electrolysis'!B6608&amp;'hydrogen - electrolysis'!B6610,parameters!$A$4:$A$20,0),MATCH('hydrogen - electrolysis'!A6620,parameters!$D$3:$N$3,0))</f>
        <v>0.94</v>
      </c>
    </row>
    <row r="6621" spans="1:2" x14ac:dyDescent="0.2">
      <c r="A6621" t="str">
        <f>IF(B6604="megajoule","LHV [MJ/kg]","LHV [kWh/kg]")</f>
        <v>LHV [MJ/kg]</v>
      </c>
      <c r="B6621" s="47">
        <f>INDEX(parameters!$D$4:$N$20,MATCH('hydrogen - electrolysis'!B6608&amp;'hydrogen - electrolysis'!B6610,parameters!$A$4:$A$20,0),MATCH('hydrogen - electrolysis'!A6621,parameters!$D$3:$N$3,0))</f>
        <v>120</v>
      </c>
    </row>
    <row r="6622" spans="1:2" x14ac:dyDescent="0.2">
      <c r="A6622" t="s">
        <v>41</v>
      </c>
      <c r="B6622" s="48">
        <f>INDEX(parameters!$D$4:$N$20,MATCH('hydrogen - electrolysis'!B6608&amp;'hydrogen - electrolysis'!B6610,parameters!$A$4:$A$20,0),MATCH('hydrogen - electrolysis'!A6622,parameters!$D$3:$N$3,0))</f>
        <v>2.6666666666666665E-2</v>
      </c>
    </row>
    <row r="6623" spans="1:2" x14ac:dyDescent="0.2">
      <c r="A6623" t="s">
        <v>45</v>
      </c>
      <c r="B6623" s="49">
        <f>INDEX(parameters!$D$4:$N$20,MATCH('hydrogen - electrolysis'!B6608&amp;'hydrogen - electrolysis'!B6610,parameters!$A$4:$A$20,0),MATCH('hydrogen - electrolysis'!A6623,parameters!$D$3:$N$3,0))</f>
        <v>0</v>
      </c>
    </row>
    <row r="6624" spans="1:2" x14ac:dyDescent="0.2">
      <c r="A6624" t="s">
        <v>46</v>
      </c>
      <c r="B6624" s="49">
        <f>INDEX(parameters!$D$4:$N$20,MATCH('hydrogen - electrolysis'!B6608&amp;'hydrogen - electrolysis'!B6610,parameters!$A$4:$A$20,0),MATCH('hydrogen - electrolysis'!A6624,parameters!$D$3:$N$3,0))</f>
        <v>1.4999999999999999E-2</v>
      </c>
    </row>
    <row r="6625" spans="1:22" x14ac:dyDescent="0.2">
      <c r="A6625" t="s">
        <v>43</v>
      </c>
      <c r="B6625" s="49">
        <f>INDEX(parameters!$D$4:$N$20,MATCH('hydrogen - electrolysis'!B6608&amp;'hydrogen - electrolysis'!B6610,parameters!$A$4:$A$20,0),MATCH('hydrogen - electrolysis'!A6625,parameters!$D$3:$N$3,0))</f>
        <v>0</v>
      </c>
    </row>
    <row r="6626" spans="1:22" x14ac:dyDescent="0.2">
      <c r="A6626" t="s">
        <v>44</v>
      </c>
      <c r="B6626" s="49">
        <f>INDEX(parameters!$D$4:$N$20,MATCH('hydrogen - electrolysis'!B6608&amp;'hydrogen - electrolysis'!B6610,parameters!$A$4:$A$20,0),MATCH('hydrogen - electrolysis'!A6626,parameters!$D$3:$N$3,0))</f>
        <v>0</v>
      </c>
    </row>
    <row r="6627" spans="1:22" x14ac:dyDescent="0.2">
      <c r="A6627" t="s">
        <v>634</v>
      </c>
      <c r="B6627" s="51">
        <f>INDEX(parameters!$D$4:$Y$20,MATCH('hydrogen - electrolysis'!B6608&amp;'hydrogen - electrolysis'!B6610,parameters!$A$4:$A$20,0),MATCH('hydrogen - electrolysis'!A6627,parameters!$D$3:$Y$3,0))</f>
        <v>15.957446808510639</v>
      </c>
    </row>
    <row r="6628" spans="1:22" x14ac:dyDescent="0.2">
      <c r="A6628" t="s">
        <v>82</v>
      </c>
      <c r="B6628" s="46">
        <f>IF(B6619&lt;&gt;0,VLOOKUP(B6619,parameters!A4150:B4152,2,0),0)</f>
        <v>0</v>
      </c>
    </row>
    <row r="6629" spans="1:22" x14ac:dyDescent="0.2">
      <c r="A6629" t="s">
        <v>548</v>
      </c>
      <c r="B6629" s="50">
        <f>INDEX(parameters!$D$4:$P$20,MATCH(B6608&amp;B6610,parameters!$A$4:$A$20,0),MATCH(A6629,parameters!$D$3:$P$3,0))</f>
        <v>15</v>
      </c>
    </row>
    <row r="6630" spans="1:22" x14ac:dyDescent="0.2">
      <c r="A6630" t="s">
        <v>547</v>
      </c>
      <c r="B6630" s="51">
        <f>INDEX(parameters!$D$4:$P$20,MATCH(B6608&amp;B6610,parameters!$A$4:$A$20,0),MATCH(A6630,parameters!$D$3:$P$3,0))</f>
        <v>20</v>
      </c>
    </row>
    <row r="6631" spans="1:22" x14ac:dyDescent="0.2">
      <c r="A6631" t="s">
        <v>630</v>
      </c>
      <c r="B6631" s="51">
        <f>INDEX(parameters!$D$4:$T$20,MATCH(B6608&amp;B6610,parameters!$A$4:$A$20,0),MATCH(A6631,parameters!$D$3:$T$3,0))</f>
        <v>2100</v>
      </c>
    </row>
    <row r="6632" spans="1:22" x14ac:dyDescent="0.2">
      <c r="A6632" t="s">
        <v>1005</v>
      </c>
      <c r="B6632" s="50">
        <f>IF(B6604="megajoule",SUMIFS(allocation!$I$4:$I$30,allocation!$B$4:$B$30,B6610,allocation!$C$4:$C$30,B6611),SUMIFS(allocation!$J$4:$J$30,allocation!$B$4:$B$30,B6610,allocation!$C$4:$C$30,B6611))</f>
        <v>0</v>
      </c>
    </row>
    <row r="6633" spans="1:22" x14ac:dyDescent="0.2">
      <c r="A6633" t="s">
        <v>1050</v>
      </c>
      <c r="B6633" s="51">
        <f>INDEX(parameters!$D$4:$AB$20,MATCH(B6608&amp;B6610,parameters!$A$4:$A$20,0),MATCH(A6633,parameters!$D$3:$AB$3,0))</f>
        <v>44.562019013128115</v>
      </c>
    </row>
    <row r="6635" spans="1:22" x14ac:dyDescent="0.2">
      <c r="A6635" s="3" t="s">
        <v>57</v>
      </c>
    </row>
    <row r="6636" spans="1:22" x14ac:dyDescent="0.2">
      <c r="A6636" s="2" t="s">
        <v>58</v>
      </c>
      <c r="B6636" s="44" t="s">
        <v>59</v>
      </c>
      <c r="C6636" s="2" t="s">
        <v>55</v>
      </c>
      <c r="D6636" s="2" t="s">
        <v>60</v>
      </c>
      <c r="E6636" s="2" t="s">
        <v>52</v>
      </c>
      <c r="F6636" s="2" t="s">
        <v>61</v>
      </c>
      <c r="G6636" s="2" t="s">
        <v>54</v>
      </c>
      <c r="H6636" s="2" t="s">
        <v>87</v>
      </c>
      <c r="I6636" s="2" t="s">
        <v>51</v>
      </c>
      <c r="J6636" s="2" t="s">
        <v>138</v>
      </c>
      <c r="K6636" s="2" t="s">
        <v>136</v>
      </c>
      <c r="L6636" s="2" t="s">
        <v>221</v>
      </c>
      <c r="M6636" s="2" t="s">
        <v>379</v>
      </c>
      <c r="N6636" s="2" t="s">
        <v>1059</v>
      </c>
      <c r="O6636" s="2" t="s">
        <v>1060</v>
      </c>
      <c r="P6636" s="2" t="s">
        <v>1061</v>
      </c>
      <c r="Q6636" s="2" t="s">
        <v>1062</v>
      </c>
      <c r="R6636" s="2" t="s">
        <v>1063</v>
      </c>
      <c r="S6636" s="2" t="s">
        <v>1064</v>
      </c>
      <c r="T6636" s="2" t="s">
        <v>1065</v>
      </c>
      <c r="U6636" s="2" t="s">
        <v>380</v>
      </c>
      <c r="V6636" s="2" t="s">
        <v>1128</v>
      </c>
    </row>
    <row r="6637" spans="1:22" x14ac:dyDescent="0.2">
      <c r="A6637" t="str">
        <f>B6598</f>
        <v>heat, residential, by combustion of hydrogen using boiler, transported by pipeline, produced by Electrolysis, PEM using water and electricity from Solar PV (DE)</v>
      </c>
      <c r="B6637" s="45">
        <v>1</v>
      </c>
      <c r="C6637" t="str">
        <f>B6604</f>
        <v>megajoule</v>
      </c>
      <c r="E6637" t="str">
        <f>B6601</f>
        <v>CH</v>
      </c>
      <c r="F6637" t="s">
        <v>62</v>
      </c>
      <c r="G6637" t="str">
        <f>B6603</f>
        <v>heat, from residential heating system</v>
      </c>
      <c r="K6637" t="str">
        <f>B6598</f>
        <v>heat, residential, by combustion of hydrogen using boiler, transported by pipeline, produced by Electrolysis, PEM using water and electricity from Solar PV (DE)</v>
      </c>
    </row>
    <row r="6638" spans="1:22" x14ac:dyDescent="0.2">
      <c r="A6638" t="s">
        <v>83</v>
      </c>
      <c r="B6638" s="52">
        <f>1/(B6629*B6631*B6630*3.6)</f>
        <v>4.4091710758377425E-7</v>
      </c>
      <c r="C6638" t="s">
        <v>55</v>
      </c>
      <c r="E6638" t="s">
        <v>85</v>
      </c>
      <c r="F6638" t="s">
        <v>86</v>
      </c>
      <c r="G6638" t="s">
        <v>84</v>
      </c>
      <c r="H6638" t="s">
        <v>88</v>
      </c>
      <c r="K6638" t="str">
        <f>B6598</f>
        <v>heat, residential, by combustion of hydrogen using boiler, transported by pipeline, produced by Electrolysis, PEM using water and electricity from Solar PV (DE)</v>
      </c>
      <c r="L6638">
        <f t="shared" ref="L6638:L6643" si="256">IF(OR(B6638&lt;0,B6638=0),1,2)</f>
        <v>2</v>
      </c>
      <c r="M6638">
        <f t="shared" ref="M6638:M6643" si="257">IF(L6638=2,LN(B6638),"")</f>
        <v>-14.634408943829779</v>
      </c>
      <c r="N6638">
        <v>1.05</v>
      </c>
      <c r="O6638" s="15">
        <v>1.2</v>
      </c>
      <c r="P6638">
        <v>1</v>
      </c>
      <c r="Q6638">
        <v>1.01</v>
      </c>
      <c r="R6638">
        <v>1.2</v>
      </c>
      <c r="S6638">
        <v>1.2</v>
      </c>
      <c r="T6638">
        <v>3</v>
      </c>
      <c r="U6638">
        <f t="shared" ref="U6638:U6643" si="258">LN(SQRT(EXP(
SQRT(
+POWER(LN(N6638),2)
+POWER(LN(O6638),2)
+POWER(LN(P6638),2)
+POWER(LN(Q6638),2)
+POWER(LN(R6638),2)
+POWER(LN(S6638),2)
+POWER(LN(T6638),2)
)
)))</f>
        <v>0.57209088006881903</v>
      </c>
    </row>
    <row r="6639" spans="1:22" x14ac:dyDescent="0.2">
      <c r="A6639" t="s">
        <v>500</v>
      </c>
      <c r="B6639" s="52">
        <f>B6638*2</f>
        <v>8.8183421516754851E-7</v>
      </c>
      <c r="C6639" t="s">
        <v>267</v>
      </c>
      <c r="E6639" t="s">
        <v>85</v>
      </c>
      <c r="F6639" t="s">
        <v>86</v>
      </c>
      <c r="G6639" t="s">
        <v>501</v>
      </c>
      <c r="H6639" t="s">
        <v>88</v>
      </c>
      <c r="I6639" t="s">
        <v>621</v>
      </c>
      <c r="K6639" t="str">
        <f>B6598</f>
        <v>heat, residential, by combustion of hydrogen using boiler, transported by pipeline, produced by Electrolysis, PEM using water and electricity from Solar PV (DE)</v>
      </c>
      <c r="L6639">
        <f t="shared" si="256"/>
        <v>2</v>
      </c>
      <c r="M6639">
        <f t="shared" si="257"/>
        <v>-13.941261763269834</v>
      </c>
      <c r="N6639">
        <v>1.05</v>
      </c>
      <c r="O6639" s="15">
        <v>1.2</v>
      </c>
      <c r="P6639">
        <v>1</v>
      </c>
      <c r="Q6639">
        <v>1.01</v>
      </c>
      <c r="R6639">
        <v>1.2</v>
      </c>
      <c r="S6639">
        <v>1.2</v>
      </c>
      <c r="T6639">
        <v>3</v>
      </c>
      <c r="U6639">
        <f t="shared" si="258"/>
        <v>0.57209088006881903</v>
      </c>
    </row>
    <row r="6640" spans="1:22" x14ac:dyDescent="0.2">
      <c r="A6640" t="s">
        <v>130</v>
      </c>
      <c r="B6640" s="52">
        <v>2.64E-3</v>
      </c>
      <c r="C6640" t="s">
        <v>92</v>
      </c>
      <c r="E6640" t="s">
        <v>64</v>
      </c>
      <c r="F6640" t="s">
        <v>86</v>
      </c>
      <c r="G6640" t="s">
        <v>93</v>
      </c>
      <c r="H6640" t="s">
        <v>78</v>
      </c>
      <c r="I6640" t="s">
        <v>270</v>
      </c>
      <c r="J6640" t="s">
        <v>67</v>
      </c>
      <c r="K6640" t="str">
        <f>B6598</f>
        <v>heat, residential, by combustion of hydrogen using boiler, transported by pipeline, produced by Electrolysis, PEM using water and electricity from Solar PV (DE)</v>
      </c>
      <c r="L6640">
        <f t="shared" si="256"/>
        <v>2</v>
      </c>
      <c r="M6640">
        <f t="shared" si="257"/>
        <v>-5.9369763618239126</v>
      </c>
      <c r="N6640">
        <v>1.05</v>
      </c>
      <c r="O6640" s="15">
        <v>1.2</v>
      </c>
      <c r="P6640">
        <v>1</v>
      </c>
      <c r="Q6640">
        <v>1.01</v>
      </c>
      <c r="R6640">
        <v>1.2</v>
      </c>
      <c r="S6640">
        <v>1.2</v>
      </c>
      <c r="T6640">
        <v>1.05</v>
      </c>
      <c r="U6640">
        <f t="shared" si="258"/>
        <v>0.16169679924070957</v>
      </c>
    </row>
    <row r="6641" spans="1:21" x14ac:dyDescent="0.2">
      <c r="A6641" s="45" t="str">
        <f>"hydrogen supply, transported by "&amp;B6612&amp;", produced by "&amp;B6616&amp;" using "&amp;B6617&amp;" from "&amp;B6618</f>
        <v>hydrogen supply, transported by pipeline, produced by Electrolysis, PEM using water and electricity from Solar PV (DE)</v>
      </c>
      <c r="B6641" s="53">
        <f>(B6637/B6621)/B6620</f>
        <v>8.8652482269503553E-3</v>
      </c>
      <c r="C6641" t="s">
        <v>56</v>
      </c>
      <c r="E6641" t="s">
        <v>64</v>
      </c>
      <c r="F6641" t="s">
        <v>86</v>
      </c>
      <c r="G6641" t="str">
        <f>"hydrogen, gaseous, from "&amp;B6612</f>
        <v>hydrogen, gaseous, from pipeline</v>
      </c>
      <c r="H6641" t="s">
        <v>76</v>
      </c>
      <c r="I6641" t="s">
        <v>1054</v>
      </c>
      <c r="J6641" t="s">
        <v>298</v>
      </c>
      <c r="K6641" t="str">
        <f>B6598</f>
        <v>heat, residential, by combustion of hydrogen using boiler, transported by pipeline, produced by Electrolysis, PEM using water and electricity from Solar PV (DE)</v>
      </c>
      <c r="L6641">
        <f t="shared" si="256"/>
        <v>2</v>
      </c>
      <c r="M6641">
        <f t="shared" si="257"/>
        <v>-4.7256163390639587</v>
      </c>
      <c r="N6641">
        <v>1.05</v>
      </c>
      <c r="O6641" s="15">
        <v>1.2</v>
      </c>
      <c r="P6641">
        <v>1</v>
      </c>
      <c r="Q6641">
        <v>1.01</v>
      </c>
      <c r="R6641">
        <v>1.2</v>
      </c>
      <c r="S6641">
        <v>1.2</v>
      </c>
      <c r="T6641">
        <v>1.05</v>
      </c>
      <c r="U6641">
        <f t="shared" si="258"/>
        <v>0.16169679924070957</v>
      </c>
    </row>
    <row r="6642" spans="1:21" x14ac:dyDescent="0.2">
      <c r="A6642" t="s">
        <v>134</v>
      </c>
      <c r="B6642" s="45">
        <f>B6641*9</f>
        <v>7.9787234042553196E-2</v>
      </c>
      <c r="C6642" t="s">
        <v>56</v>
      </c>
      <c r="D6642" t="s">
        <v>100</v>
      </c>
      <c r="F6642" t="s">
        <v>99</v>
      </c>
      <c r="H6642" t="s">
        <v>131</v>
      </c>
      <c r="I6642" t="s">
        <v>1058</v>
      </c>
      <c r="K6642" t="str">
        <f>B6598</f>
        <v>heat, residential, by combustion of hydrogen using boiler, transported by pipeline, produced by Electrolysis, PEM using water and electricity from Solar PV (DE)</v>
      </c>
      <c r="L6642">
        <f t="shared" si="256"/>
        <v>2</v>
      </c>
      <c r="M6642">
        <f t="shared" si="257"/>
        <v>-2.5283917617277392</v>
      </c>
      <c r="N6642">
        <v>1.05</v>
      </c>
      <c r="O6642" s="15">
        <v>1.2</v>
      </c>
      <c r="P6642">
        <v>1</v>
      </c>
      <c r="Q6642">
        <v>1.01</v>
      </c>
      <c r="R6642">
        <v>1.2</v>
      </c>
      <c r="S6642">
        <v>1.2</v>
      </c>
      <c r="T6642">
        <v>1.05</v>
      </c>
      <c r="U6642">
        <f t="shared" si="258"/>
        <v>0.16169679924070957</v>
      </c>
    </row>
    <row r="6643" spans="1:21" x14ac:dyDescent="0.2">
      <c r="A6643" t="s">
        <v>135</v>
      </c>
      <c r="B6643" s="45">
        <f>912.5/1000000*B6641</f>
        <v>8.0895390070921995E-6</v>
      </c>
      <c r="C6643" t="s">
        <v>56</v>
      </c>
      <c r="D6643" t="s">
        <v>100</v>
      </c>
      <c r="F6643" t="s">
        <v>99</v>
      </c>
      <c r="H6643" t="s">
        <v>131</v>
      </c>
      <c r="I6643" t="s">
        <v>1217</v>
      </c>
      <c r="K6643" t="str">
        <f>B6598</f>
        <v>heat, residential, by combustion of hydrogen using boiler, transported by pipeline, produced by Electrolysis, PEM using water and electricity from Solar PV (DE)</v>
      </c>
      <c r="L6643">
        <f t="shared" si="256"/>
        <v>2</v>
      </c>
      <c r="M6643">
        <f t="shared" si="257"/>
        <v>-11.724938811571587</v>
      </c>
      <c r="N6643">
        <v>1.05</v>
      </c>
      <c r="O6643" s="15">
        <v>1.2</v>
      </c>
      <c r="P6643">
        <v>1</v>
      </c>
      <c r="Q6643">
        <v>1.01</v>
      </c>
      <c r="R6643">
        <v>1.2</v>
      </c>
      <c r="S6643">
        <v>1.2</v>
      </c>
      <c r="T6643">
        <v>1.5</v>
      </c>
      <c r="U6643">
        <f t="shared" si="258"/>
        <v>0.25816898211842121</v>
      </c>
    </row>
    <row r="6645" spans="1:21" x14ac:dyDescent="0.2">
      <c r="A6645" s="2" t="s">
        <v>50</v>
      </c>
      <c r="B6645" s="44" t="str">
        <f>IF(B6651="megajoule","heat","electricity")&amp;", residential, by "&amp;B6656&amp;" of "&amp;B6655&amp;" using "&amp;B6657&amp;IF(B6658&lt;&gt;0,", allocated by "&amp;B6658,"")&amp;", transported by "&amp;B6659&amp;", produced by "&amp;B6663&amp;" using "&amp;B6664&amp;" from "&amp;B6665</f>
        <v>heat, residential, by combustion of hydrogen using CHP, allocated by exergy, transported by pipeline, produced by Electrolysis, PEM using water and electricity from Solar PV (DE)</v>
      </c>
    </row>
    <row r="6646" spans="1:21" x14ac:dyDescent="0.2">
      <c r="A6646" t="s">
        <v>51</v>
      </c>
      <c r="B6646" s="45" t="str">
        <f>"This dataset represents the supply of 1 "&amp;IF(B6651="megajoule","megajoule of heat","kilowatt hour of electricity")&amp;" in a residence, by "&amp;B6655&amp;" "&amp;B6656&amp;" in a "&amp;B6657&amp;". "&amp;" The hydrogen is transported by "&amp;B6659&amp;" over "&amp;B6660&amp;" km from regional storage. "&amp;" The "&amp;B6655&amp;" is produced by  "&amp;B6663&amp;", with "&amp;B6664&amp;" from "&amp;B6665&amp;" as feedstock. "&amp;A6667&amp;": "&amp;(B6667*100)&amp;"%. "&amp;A6668&amp;": "&amp;B6668&amp;". "&amp;A6669&amp;": "&amp;B6669&amp;". "&amp;A6670&amp;": "&amp;(B6670*100)&amp;"%. "&amp;A6671&amp;": "&amp;(B6671*100)&amp;"%. "&amp;A6672&amp;": "&amp;(B6672*100)&amp;"%. "&amp;A6673&amp;": "&amp;B6673&amp;". "&amp;A6674&amp;": "&amp;B6674&amp;". "&amp;A6675&amp;": "&amp;(B6675*100)&amp;"%. "&amp;A6676&amp;": "&amp;B6676&amp;". "&amp;A6677&amp;": "&amp;B6677&amp;". "&amp;A6678&amp;": "&amp;B6678&amp;". "&amp;A6679&amp;": "&amp;B6679&amp;".  For more information, refer to: "&amp;B6647</f>
        <v>This dataset represents the supply of 1 megajoule of heat in a residence, by hydrogen combustion in a CHP.  The hydrogen is transported by pipeline over 1000 km from regional storage.  The hydrogen is produced by  Electrolysis, PEM,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6647" spans="1:21" x14ac:dyDescent="0.2">
      <c r="A6647" t="s">
        <v>63</v>
      </c>
      <c r="B6647" s="45" t="s">
        <v>1223</v>
      </c>
    </row>
    <row r="6648" spans="1:21" x14ac:dyDescent="0.2">
      <c r="A6648" t="s">
        <v>52</v>
      </c>
      <c r="B6648" s="45" t="s">
        <v>64</v>
      </c>
    </row>
    <row r="6649" spans="1:21" x14ac:dyDescent="0.2">
      <c r="A6649" t="s">
        <v>48</v>
      </c>
      <c r="B6649" s="45">
        <v>82</v>
      </c>
    </row>
    <row r="6650" spans="1:21" x14ac:dyDescent="0.2">
      <c r="A6650" t="s">
        <v>54</v>
      </c>
      <c r="B6650" s="45" t="str">
        <f>INDEX(overview!$B$4:$R$338,MATCH('hydrogen - electrolysis'!B6649,overview!$A$4:$A$338,0),MATCH('hydrogen - electrolysis'!A6650,overview!$B$3:$R$3,0))</f>
        <v>heat, from residential heating system</v>
      </c>
    </row>
    <row r="6651" spans="1:21" x14ac:dyDescent="0.2">
      <c r="A6651" t="s">
        <v>55</v>
      </c>
      <c r="B6651" s="45" t="str">
        <f>INDEX(overview!$B$4:$R$338,MATCH('hydrogen - electrolysis'!B6649,overview!$A$4:$A$338,0),MATCH('hydrogen - electrolysis'!A6651,overview!$B$3:$R$3,0))</f>
        <v>megajoule</v>
      </c>
    </row>
    <row r="6652" spans="1:21" x14ac:dyDescent="0.2">
      <c r="A6652" t="s">
        <v>0</v>
      </c>
      <c r="B6652" s="45" t="str">
        <f>INDEX(overview!$B$4:$R$338,MATCH('hydrogen - electrolysis'!B6649,overview!$A$4:$A$338,0),MATCH('hydrogen - electrolysis'!A6652,overview!$B$3:$R$3,0))</f>
        <v>Switzerland</v>
      </c>
    </row>
    <row r="6653" spans="1:21" x14ac:dyDescent="0.2">
      <c r="A6653" t="s">
        <v>1</v>
      </c>
      <c r="B6653" s="45">
        <f>INDEX(overview!$B$4:$R$338,MATCH('hydrogen - electrolysis'!B6649,overview!$A$4:$A$338,0),MATCH('hydrogen - electrolysis'!A6653,overview!$B$3:$R$3,0))</f>
        <v>2020</v>
      </c>
    </row>
    <row r="6654" spans="1:21" x14ac:dyDescent="0.2">
      <c r="A6654" t="s">
        <v>2</v>
      </c>
      <c r="B6654" s="45" t="str">
        <f>INDEX(overview!$B$4:$R$338,MATCH('hydrogen - electrolysis'!B6649,overview!$A$4:$A$338,0),MATCH('hydrogen - electrolysis'!A6654,overview!$B$3:$R$3,0))</f>
        <v>1 MJ heat</v>
      </c>
    </row>
    <row r="6655" spans="1:21" x14ac:dyDescent="0.2">
      <c r="A6655" t="s">
        <v>5</v>
      </c>
      <c r="B6655" s="45" t="str">
        <f>INDEX(overview!$B$4:$R$338,MATCH('hydrogen - electrolysis'!B6649,overview!$A$4:$A$338,0),MATCH('hydrogen - electrolysis'!A6655,overview!$B$3:$R$3,0))</f>
        <v>hydrogen</v>
      </c>
    </row>
    <row r="6656" spans="1:21" x14ac:dyDescent="0.2">
      <c r="A6656" t="s">
        <v>3</v>
      </c>
      <c r="B6656" s="45" t="str">
        <f>INDEX(overview!$B$4:$R$338,MATCH('hydrogen - electrolysis'!B6649,overview!$A$4:$A$338,0),MATCH('hydrogen - electrolysis'!A6656,overview!$B$3:$R$3,0))</f>
        <v>combustion</v>
      </c>
    </row>
    <row r="6657" spans="1:2" x14ac:dyDescent="0.2">
      <c r="A6657" t="s">
        <v>6</v>
      </c>
      <c r="B6657" s="45" t="str">
        <f>INDEX(overview!$B$4:$R$338,MATCH('hydrogen - electrolysis'!B6649,overview!$A$4:$A$338,0),MATCH('hydrogen - electrolysis'!A6657,overview!$B$3:$R$3,0))</f>
        <v>CHP</v>
      </c>
    </row>
    <row r="6658" spans="1:2" x14ac:dyDescent="0.2">
      <c r="A6658" t="s">
        <v>39</v>
      </c>
      <c r="B6658" s="45" t="str">
        <f>INDEX(overview!$B$4:$R$338,MATCH('hydrogen - electrolysis'!B6649,overview!$A$4:$A$338,0),MATCH('hydrogen - electrolysis'!A6658,overview!$B$3:$R$3,0))</f>
        <v>exergy</v>
      </c>
    </row>
    <row r="6659" spans="1:2" x14ac:dyDescent="0.2">
      <c r="A6659" t="s">
        <v>4</v>
      </c>
      <c r="B6659" s="45" t="str">
        <f>INDEX(overview!$B$4:$R$338,MATCH('hydrogen - electrolysis'!B6649,overview!$A$4:$A$338,0),MATCH('hydrogen - electrolysis'!A6659,overview!$B$3:$R$3,0))</f>
        <v>pipeline</v>
      </c>
    </row>
    <row r="6660" spans="1:2" x14ac:dyDescent="0.2">
      <c r="A6660" t="s">
        <v>38</v>
      </c>
      <c r="B6660" s="45">
        <f>INDEX(overview!$B$4:$R$338,MATCH('hydrogen - electrolysis'!B6649,overview!$A$4:$A$338,0),MATCH('hydrogen - electrolysis'!A6660,overview!$B$3:$R$3,0))</f>
        <v>1000</v>
      </c>
    </row>
    <row r="6661" spans="1:2" x14ac:dyDescent="0.2">
      <c r="A6661" t="s">
        <v>12</v>
      </c>
      <c r="B6661" s="45" t="str">
        <f>INDEX(overview!$B$4:$R$338,MATCH('hydrogen - electrolysis'!B6649,overview!$A$4:$A$338,0),MATCH('hydrogen - electrolysis'!A6661,overview!$B$3:$R$3,0))</f>
        <v>Pressure vessel for stationary storage</v>
      </c>
    </row>
    <row r="6662" spans="1:2" x14ac:dyDescent="0.2">
      <c r="A6662" t="s">
        <v>34</v>
      </c>
      <c r="B6662" s="45">
        <f>INDEX(overview!$B$4:$R$338,MATCH('hydrogen - electrolysis'!B6649,overview!$A$4:$A$338,0),MATCH('hydrogen - electrolysis'!A6662,overview!$B$3:$R$3,0))</f>
        <v>0</v>
      </c>
    </row>
    <row r="6663" spans="1:2" x14ac:dyDescent="0.2">
      <c r="A6663" t="s">
        <v>15</v>
      </c>
      <c r="B6663" s="45" t="str">
        <f>INDEX(overview!$B$4:$R$338,MATCH('hydrogen - electrolysis'!B6649,overview!$A$4:$A$338,0),MATCH('hydrogen - electrolysis'!A6663,overview!$B$3:$R$3,0))</f>
        <v>Electrolysis, PEM</v>
      </c>
    </row>
    <row r="6664" spans="1:2" x14ac:dyDescent="0.2">
      <c r="A6664" t="s">
        <v>14</v>
      </c>
      <c r="B6664" s="45" t="str">
        <f>INDEX(overview!$B$4:$R$338,MATCH('hydrogen - electrolysis'!B6649,overview!$A$4:$A$338,0),MATCH('hydrogen - electrolysis'!A6664,overview!$B$3:$R$3,0))</f>
        <v>water and electricity</v>
      </c>
    </row>
    <row r="6665" spans="1:2" x14ac:dyDescent="0.2">
      <c r="A6665" t="s">
        <v>26</v>
      </c>
      <c r="B6665" s="45" t="str">
        <f>INDEX(overview!$B$4:$R$338,MATCH('hydrogen - electrolysis'!B6649,overview!$A$4:$A$338,0),MATCH('hydrogen - electrolysis'!A6665,overview!$B$3:$R$3,0))</f>
        <v>Solar PV (DE)</v>
      </c>
    </row>
    <row r="6666" spans="1:2" x14ac:dyDescent="0.2">
      <c r="A6666" t="s">
        <v>29</v>
      </c>
      <c r="B6666" s="45">
        <f>INDEX(overview!$B$4:$R$338,MATCH('hydrogen - electrolysis'!B6649,overview!$A$4:$A$338,0),MATCH('hydrogen - electrolysis'!A6666,overview!$B$3:$R$3,0))</f>
        <v>0</v>
      </c>
    </row>
    <row r="6667" spans="1:2" x14ac:dyDescent="0.2">
      <c r="A6667" t="str">
        <f>IF(B6651="megajoule","Heat","Electricity")&amp;" conversion efficiency [% LHV input]"</f>
        <v>Heat conversion efficiency [% LHV input]</v>
      </c>
      <c r="B6667" s="46">
        <f>INDEX(parameters!$D$4:$N$20,MATCH('hydrogen - electrolysis'!B6655&amp;'hydrogen - electrolysis'!B6657,parameters!$A$4:$A$20,0),MATCH('hydrogen - electrolysis'!A6667,parameters!$D$3:$N$3,0))</f>
        <v>0.41699999999999998</v>
      </c>
    </row>
    <row r="6668" spans="1:2" x14ac:dyDescent="0.2">
      <c r="A6668" t="str">
        <f>IF(B6651="megajoule","LHV [MJ/kg]","LHV [kWh/kg]")</f>
        <v>LHV [MJ/kg]</v>
      </c>
      <c r="B6668" s="47">
        <f>INDEX(parameters!$D$4:$N$20,MATCH('hydrogen - electrolysis'!B6655&amp;'hydrogen - electrolysis'!B6657,parameters!$A$4:$A$20,0),MATCH('hydrogen - electrolysis'!A6668,parameters!$D$3:$N$3,0))</f>
        <v>120</v>
      </c>
    </row>
    <row r="6669" spans="1:2" x14ac:dyDescent="0.2">
      <c r="A6669" t="s">
        <v>41</v>
      </c>
      <c r="B6669" s="48">
        <f>INDEX(parameters!$D$4:$N$20,MATCH('hydrogen - electrolysis'!B6655&amp;'hydrogen - electrolysis'!B6657,parameters!$A$4:$A$20,0),MATCH('hydrogen - electrolysis'!A6669,parameters!$D$3:$N$3,0))</f>
        <v>2.6666666666666665E-2</v>
      </c>
    </row>
    <row r="6670" spans="1:2" x14ac:dyDescent="0.2">
      <c r="A6670" t="s">
        <v>45</v>
      </c>
      <c r="B6670" s="46">
        <f>INDEX(parameters!$D$4:$N$20,MATCH('hydrogen - electrolysis'!B6655&amp;'hydrogen - electrolysis'!B6657,parameters!$A$4:$A$20,0),MATCH('hydrogen - electrolysis'!A6670,parameters!$D$3:$N$3,0))</f>
        <v>0</v>
      </c>
    </row>
    <row r="6671" spans="1:2" x14ac:dyDescent="0.2">
      <c r="A6671" t="s">
        <v>46</v>
      </c>
      <c r="B6671" s="46">
        <f>INDEX(parameters!$D$4:$N$20,MATCH('hydrogen - electrolysis'!B6655&amp;'hydrogen - electrolysis'!B6657,parameters!$A$4:$A$20,0),MATCH('hydrogen - electrolysis'!A6671,parameters!$D$3:$N$3,0))</f>
        <v>1.4999999999999999E-2</v>
      </c>
    </row>
    <row r="6672" spans="1:2" x14ac:dyDescent="0.2">
      <c r="A6672" t="s">
        <v>43</v>
      </c>
      <c r="B6672" s="46">
        <f>INDEX(parameters!$D$4:$N$20,MATCH('hydrogen - electrolysis'!B6655&amp;'hydrogen - electrolysis'!B6657,parameters!$A$4:$A$20,0),MATCH('hydrogen - electrolysis'!A6672,parameters!$D$3:$N$3,0))</f>
        <v>0</v>
      </c>
    </row>
    <row r="6673" spans="1:22" x14ac:dyDescent="0.2">
      <c r="A6673" t="s">
        <v>44</v>
      </c>
      <c r="B6673" s="46">
        <f>INDEX(parameters!$D$4:$N$20,MATCH('hydrogen - electrolysis'!B6655&amp;'hydrogen - electrolysis'!B6657,parameters!$A$4:$A$20,0),MATCH('hydrogen - electrolysis'!A6673,parameters!$D$3:$N$3,0))</f>
        <v>0</v>
      </c>
    </row>
    <row r="6674" spans="1:22" x14ac:dyDescent="0.2">
      <c r="A6674" t="s">
        <v>634</v>
      </c>
      <c r="B6674" s="51">
        <f>INDEX(parameters!$D$4:$Y$20,MATCH('hydrogen - electrolysis'!B6655&amp;'hydrogen - electrolysis'!B6657,parameters!$A$4:$A$20,0),MATCH('hydrogen - electrolysis'!A6674,parameters!$D$3:$Y$3,0))</f>
        <v>351.41800246609125</v>
      </c>
    </row>
    <row r="6675" spans="1:22" x14ac:dyDescent="0.2">
      <c r="A6675" t="s">
        <v>82</v>
      </c>
      <c r="B6675" s="46">
        <f>IF(B6666&lt;&gt;0,VLOOKUP(B6666,parameters!A4202:B4204,2,0),0)</f>
        <v>0</v>
      </c>
    </row>
    <row r="6676" spans="1:22" x14ac:dyDescent="0.2">
      <c r="A6676" t="s">
        <v>548</v>
      </c>
      <c r="B6676" s="50">
        <f>INDEX(parameters!$D$4:$P$20,MATCH(B6655&amp;B6657,parameters!$A$4:$A$20,0),MATCH(A6676,parameters!$D$3:$P$3,0))</f>
        <v>125</v>
      </c>
    </row>
    <row r="6677" spans="1:22" x14ac:dyDescent="0.2">
      <c r="A6677" t="s">
        <v>547</v>
      </c>
      <c r="B6677" s="51">
        <f>INDEX(parameters!$D$4:$P$20,MATCH(B6655&amp;B6657,parameters!$A$4:$A$20,0),MATCH(A6677,parameters!$D$3:$P$3,0))</f>
        <v>19.512195121951219</v>
      </c>
    </row>
    <row r="6678" spans="1:22" x14ac:dyDescent="0.2">
      <c r="A6678" t="s">
        <v>630</v>
      </c>
      <c r="B6678" s="51">
        <f>INDEX(parameters!$D$4:$T$20,MATCH(B6655&amp;B6657,parameters!$A$4:$A$20,0),MATCH(A6678,parameters!$D$3:$T$3,0))</f>
        <v>4100</v>
      </c>
    </row>
    <row r="6679" spans="1:22" x14ac:dyDescent="0.2">
      <c r="A6679" t="s">
        <v>1005</v>
      </c>
      <c r="B6679" s="50">
        <f>IF(B6651="megajoule",SUMIFS(allocation!$I$4:$I$30,allocation!$B$4:$B$30,B6657,allocation!$C$4:$C$30,B6658),SUMIFS(allocation!$J$4:$J$30,allocation!$B$4:$B$30,B6657,allocation!$C$4:$C$30,B6658))</f>
        <v>0.12860042227295038</v>
      </c>
    </row>
    <row r="6680" spans="1:22" x14ac:dyDescent="0.2">
      <c r="A6680" t="s">
        <v>1050</v>
      </c>
      <c r="B6680" s="51">
        <f>INDEX(parameters!$D$4:$AB$20,MATCH(B6655&amp;B6657,parameters!$A$4:$A$20,0),MATCH(A6680,parameters!$D$3:$AB$3,0))</f>
        <v>2220.7364520822662</v>
      </c>
    </row>
    <row r="6682" spans="1:22" x14ac:dyDescent="0.2">
      <c r="A6682" s="3" t="s">
        <v>57</v>
      </c>
    </row>
    <row r="6683" spans="1:22" x14ac:dyDescent="0.2">
      <c r="A6683" s="2" t="s">
        <v>58</v>
      </c>
      <c r="B6683" s="44" t="s">
        <v>59</v>
      </c>
      <c r="C6683" s="2" t="s">
        <v>55</v>
      </c>
      <c r="D6683" s="2" t="s">
        <v>60</v>
      </c>
      <c r="E6683" s="2" t="s">
        <v>52</v>
      </c>
      <c r="F6683" s="2" t="s">
        <v>61</v>
      </c>
      <c r="G6683" s="2" t="s">
        <v>54</v>
      </c>
      <c r="H6683" s="2" t="s">
        <v>87</v>
      </c>
      <c r="I6683" s="2" t="s">
        <v>51</v>
      </c>
      <c r="J6683" s="2" t="s">
        <v>138</v>
      </c>
      <c r="K6683" s="2" t="s">
        <v>136</v>
      </c>
      <c r="L6683" s="2" t="s">
        <v>221</v>
      </c>
      <c r="M6683" s="2" t="s">
        <v>379</v>
      </c>
      <c r="N6683" s="2" t="s">
        <v>1059</v>
      </c>
      <c r="O6683" s="2" t="s">
        <v>1060</v>
      </c>
      <c r="P6683" s="2" t="s">
        <v>1061</v>
      </c>
      <c r="Q6683" s="2" t="s">
        <v>1062</v>
      </c>
      <c r="R6683" s="2" t="s">
        <v>1063</v>
      </c>
      <c r="S6683" s="2" t="s">
        <v>1064</v>
      </c>
      <c r="T6683" s="2" t="s">
        <v>1065</v>
      </c>
      <c r="U6683" s="2" t="s">
        <v>380</v>
      </c>
      <c r="V6683" s="2" t="s">
        <v>1128</v>
      </c>
    </row>
    <row r="6684" spans="1:22" x14ac:dyDescent="0.2">
      <c r="A6684" t="str">
        <f>B6645</f>
        <v>heat, residential, by combustion of hydrogen using CHP, allocated by exergy, transported by pipeline, produced by Electrolysis, PEM using water and electricity from Solar PV (DE)</v>
      </c>
      <c r="B6684" s="45">
        <v>1</v>
      </c>
      <c r="C6684" t="str">
        <f>B6651</f>
        <v>megajoule</v>
      </c>
      <c r="E6684" t="str">
        <f>B6648</f>
        <v>CH</v>
      </c>
      <c r="F6684" t="s">
        <v>62</v>
      </c>
      <c r="G6684" t="str">
        <f>B6650</f>
        <v>heat, from residential heating system</v>
      </c>
      <c r="K6684" t="str">
        <f>B6645</f>
        <v>heat, residential, by combustion of hydrogen using CHP, allocated by exergy, transported by pipeline, produced by Electrolysis, PEM using water and electricity from Solar PV (DE)</v>
      </c>
    </row>
    <row r="6685" spans="1:22" x14ac:dyDescent="0.2">
      <c r="A6685" t="str">
        <f>VLOOKUP(J6685,'dataset mapping'!$A$4:$E$69,2,0)</f>
        <v>heat and power co-generation unit construction, 160kW electrical, common components for heat+electricity</v>
      </c>
      <c r="B6685" s="52">
        <f>(1/(B6674*B6678*B6677*3.6))*B6679</f>
        <v>1.270649883812899E-9</v>
      </c>
      <c r="C6685" t="str">
        <f>VLOOKUP(J6685,'dataset mapping'!$A$4:$E$69,5,0)</f>
        <v>unit</v>
      </c>
      <c r="E6685" t="str">
        <f>VLOOKUP(J6685,'dataset mapping'!$A$4:$E$69,4,0)</f>
        <v>RER</v>
      </c>
      <c r="F6685" t="s">
        <v>86</v>
      </c>
      <c r="G6685" t="str">
        <f>VLOOKUP(J6685,'dataset mapping'!$A$4:$E$69,3,0)</f>
        <v>heat and power co-generation unit, 160kW electrical, common components for heat+electricity</v>
      </c>
      <c r="H6685" t="s">
        <v>88</v>
      </c>
      <c r="J6685" t="s">
        <v>145</v>
      </c>
      <c r="K6685" t="str">
        <f>B6645</f>
        <v>heat, residential, by combustion of hydrogen using CHP, allocated by exergy, transported by pipeline, produced by Electrolysis, PEM using water and electricity from Solar PV (DE)</v>
      </c>
      <c r="L6685">
        <f t="shared" ref="L6685:L6692" si="259">IF(OR(B6685&lt;0,B6685=0),1,2)</f>
        <v>2</v>
      </c>
      <c r="M6685">
        <f t="shared" ref="M6685:M6692" si="260">IF(L6685=2,LN(B6685),"")</f>
        <v>-20.48373734782199</v>
      </c>
      <c r="N6685">
        <v>1.05</v>
      </c>
      <c r="O6685" s="15">
        <v>1.2</v>
      </c>
      <c r="P6685">
        <v>1</v>
      </c>
      <c r="Q6685">
        <v>1.01</v>
      </c>
      <c r="R6685">
        <v>1.2</v>
      </c>
      <c r="S6685">
        <v>1.2</v>
      </c>
      <c r="T6685">
        <v>3</v>
      </c>
      <c r="U6685">
        <f t="shared" ref="U6685:U6692" si="261">LN(SQRT(EXP(
SQRT(
+POWER(LN(N6685),2)
+POWER(LN(O6685),2)
+POWER(LN(P6685),2)
+POWER(LN(Q6685),2)
+POWER(LN(R6685),2)
+POWER(LN(S6685),2)
+POWER(LN(T6685),2)
)
)))</f>
        <v>0.57209088006881903</v>
      </c>
    </row>
    <row r="6686" spans="1:22" x14ac:dyDescent="0.2">
      <c r="A6686" t="str">
        <f>VLOOKUP(J6686,'dataset mapping'!$A$4:$E$69,2,0)</f>
        <v>heat and power co-generation unit construction, 160kW electrical, components for electricity only</v>
      </c>
      <c r="B6686" s="52">
        <f>(1/(B6674*B6678*B6677*3.6))*B6679</f>
        <v>1.270649883812899E-9</v>
      </c>
      <c r="C6686" t="str">
        <f>VLOOKUP(J6686,'dataset mapping'!$A$4:$E$69,5,0)</f>
        <v>unit</v>
      </c>
      <c r="E6686" t="str">
        <f>VLOOKUP(J6686,'dataset mapping'!$A$4:$E$69,4,0)</f>
        <v>RER</v>
      </c>
      <c r="F6686" t="s">
        <v>86</v>
      </c>
      <c r="G6686" t="str">
        <f>VLOOKUP(J6686,'dataset mapping'!$A$4:$E$69,3,0)</f>
        <v>heat and power co-generation unit, 160kW electrical, components for electricity only</v>
      </c>
      <c r="H6686" t="s">
        <v>88</v>
      </c>
      <c r="J6686" t="s">
        <v>146</v>
      </c>
      <c r="K6686" t="str">
        <f>B6645</f>
        <v>heat, residential, by combustion of hydrogen using CHP, allocated by exergy, transported by pipeline, produced by Electrolysis, PEM using water and electricity from Solar PV (DE)</v>
      </c>
      <c r="L6686">
        <f t="shared" si="259"/>
        <v>2</v>
      </c>
      <c r="M6686">
        <f t="shared" si="260"/>
        <v>-20.48373734782199</v>
      </c>
      <c r="N6686">
        <v>1.05</v>
      </c>
      <c r="O6686" s="15">
        <v>1.2</v>
      </c>
      <c r="P6686">
        <v>1</v>
      </c>
      <c r="Q6686">
        <v>1.01</v>
      </c>
      <c r="R6686">
        <v>1.2</v>
      </c>
      <c r="S6686">
        <v>1.2</v>
      </c>
      <c r="T6686">
        <v>3</v>
      </c>
      <c r="U6686">
        <f t="shared" si="261"/>
        <v>0.57209088006881903</v>
      </c>
    </row>
    <row r="6687" spans="1:22" x14ac:dyDescent="0.2">
      <c r="A6687" t="str">
        <f>VLOOKUP(J6687,'dataset mapping'!$A$4:$E$69,2,0)</f>
        <v>heat and power co-generation unit construction, 160kW electrical, components for heat only</v>
      </c>
      <c r="B6687" s="52">
        <f>(1/(B6674*B6678*B6677*3.6))*B6679</f>
        <v>1.270649883812899E-9</v>
      </c>
      <c r="C6687" t="str">
        <f>VLOOKUP(J6687,'dataset mapping'!$A$4:$E$69,5,0)</f>
        <v>unit</v>
      </c>
      <c r="E6687" t="str">
        <f>VLOOKUP(J6687,'dataset mapping'!$A$4:$E$69,4,0)</f>
        <v>RER</v>
      </c>
      <c r="F6687" t="s">
        <v>86</v>
      </c>
      <c r="G6687" t="str">
        <f>VLOOKUP(J6687,'dataset mapping'!$A$4:$E$69,3,0)</f>
        <v>heat and power co-generation unit, 160kW electrical, components for heat only</v>
      </c>
      <c r="H6687" t="s">
        <v>88</v>
      </c>
      <c r="J6687" t="s">
        <v>147</v>
      </c>
      <c r="K6687" t="str">
        <f>B6645</f>
        <v>heat, residential, by combustion of hydrogen using CHP, allocated by exergy, transported by pipeline, produced by Electrolysis, PEM using water and electricity from Solar PV (DE)</v>
      </c>
      <c r="L6687">
        <f t="shared" si="259"/>
        <v>2</v>
      </c>
      <c r="M6687">
        <f t="shared" si="260"/>
        <v>-20.48373734782199</v>
      </c>
      <c r="N6687">
        <v>1.05</v>
      </c>
      <c r="O6687" s="15">
        <v>1.2</v>
      </c>
      <c r="P6687">
        <v>1</v>
      </c>
      <c r="Q6687">
        <v>1.01</v>
      </c>
      <c r="R6687">
        <v>1.2</v>
      </c>
      <c r="S6687">
        <v>1.2</v>
      </c>
      <c r="T6687">
        <v>3</v>
      </c>
      <c r="U6687">
        <f t="shared" si="261"/>
        <v>0.57209088006881903</v>
      </c>
    </row>
    <row r="6688" spans="1:22" x14ac:dyDescent="0.2">
      <c r="A6688" t="s">
        <v>156</v>
      </c>
      <c r="B6688" s="52">
        <f>0.00000011366*B6679</f>
        <v>1.461672399554354E-8</v>
      </c>
      <c r="C6688" t="s">
        <v>56</v>
      </c>
      <c r="E6688" t="s">
        <v>90</v>
      </c>
      <c r="F6688" t="s">
        <v>86</v>
      </c>
      <c r="G6688" t="s">
        <v>154</v>
      </c>
      <c r="H6688" t="s">
        <v>155</v>
      </c>
      <c r="K6688" t="str">
        <f>B6645</f>
        <v>heat, residential, by combustion of hydrogen using CHP, allocated by exergy, transported by pipeline, produced by Electrolysis, PEM using water and electricity from Solar PV (DE)</v>
      </c>
      <c r="L6688">
        <f t="shared" si="259"/>
        <v>2</v>
      </c>
      <c r="M6688">
        <f t="shared" si="260"/>
        <v>-18.041099484645969</v>
      </c>
      <c r="N6688">
        <v>1.05</v>
      </c>
      <c r="O6688" s="15">
        <v>1.2</v>
      </c>
      <c r="P6688">
        <v>1</v>
      </c>
      <c r="Q6688">
        <v>1.01</v>
      </c>
      <c r="R6688">
        <v>1.2</v>
      </c>
      <c r="S6688">
        <v>1.2</v>
      </c>
      <c r="T6688">
        <v>1.05</v>
      </c>
      <c r="U6688">
        <f t="shared" si="261"/>
        <v>0.16169679924070957</v>
      </c>
    </row>
    <row r="6689" spans="1:22" x14ac:dyDescent="0.2">
      <c r="A6689" t="s">
        <v>157</v>
      </c>
      <c r="B6689" s="52">
        <f>0.00000011366*B6679*-1</f>
        <v>-1.461672399554354E-8</v>
      </c>
      <c r="C6689" t="s">
        <v>56</v>
      </c>
      <c r="E6689" t="s">
        <v>64</v>
      </c>
      <c r="F6689" t="s">
        <v>86</v>
      </c>
      <c r="G6689" t="s">
        <v>158</v>
      </c>
      <c r="H6689" t="s">
        <v>155</v>
      </c>
      <c r="K6689" t="str">
        <f>B6645</f>
        <v>heat, residential, by combustion of hydrogen using CHP, allocated by exergy, transported by pipeline, produced by Electrolysis, PEM using water and electricity from Solar PV (DE)</v>
      </c>
      <c r="L6689">
        <v>2</v>
      </c>
      <c r="M6689">
        <f>IF(L6689=2,LN(B6689*-1),"")</f>
        <v>-18.041099484645969</v>
      </c>
      <c r="N6689">
        <v>1.05</v>
      </c>
      <c r="O6689" s="15">
        <v>1.2</v>
      </c>
      <c r="P6689">
        <v>1</v>
      </c>
      <c r="Q6689">
        <v>1.01</v>
      </c>
      <c r="R6689">
        <v>1.2</v>
      </c>
      <c r="S6689">
        <v>1.2</v>
      </c>
      <c r="T6689">
        <v>3</v>
      </c>
      <c r="U6689">
        <f>LN(SQRT(EXP(
SQRT(
+POWER(LN(N6689),2)
+POWER(LN(O6689),2)
+POWER(LN(P6689),2)
+POWER(LN(Q6689),2)
+POWER(LN(R6689),2)
+POWER(LN(S6689),2)
+POWER(LN(T6689),2)
)
)))</f>
        <v>0.57209088006881903</v>
      </c>
      <c r="V6689" t="b">
        <v>1</v>
      </c>
    </row>
    <row r="6690" spans="1:22" x14ac:dyDescent="0.2">
      <c r="A6690" s="45" t="str">
        <f>"hydrogen supply, transported by "&amp;B6659&amp;", produced by "&amp;B6663&amp;" using "&amp;B6664&amp;" from "&amp;B6665</f>
        <v>hydrogen supply, transported by pipeline, produced by Electrolysis, PEM using water and electricity from Solar PV (DE)</v>
      </c>
      <c r="B6690" s="53">
        <f>(B6684/B6668)/B6667*B6679</f>
        <v>2.56995248347223E-3</v>
      </c>
      <c r="C6690" t="s">
        <v>56</v>
      </c>
      <c r="E6690" t="s">
        <v>64</v>
      </c>
      <c r="F6690" t="s">
        <v>86</v>
      </c>
      <c r="G6690" t="str">
        <f>"hydrogen, gaseous, from "&amp;B6659</f>
        <v>hydrogen, gaseous, from pipeline</v>
      </c>
      <c r="H6690" t="s">
        <v>76</v>
      </c>
      <c r="I6690" t="s">
        <v>1054</v>
      </c>
      <c r="J6690" t="s">
        <v>298</v>
      </c>
      <c r="K6690" t="str">
        <f>B6645</f>
        <v>heat, residential, by combustion of hydrogen using CHP, allocated by exergy, transported by pipeline, produced by Electrolysis, PEM using water and electricity from Solar PV (DE)</v>
      </c>
      <c r="L6690">
        <f t="shared" si="259"/>
        <v>2</v>
      </c>
      <c r="M6690">
        <f t="shared" si="260"/>
        <v>-5.9638678691672418</v>
      </c>
      <c r="N6690">
        <v>1.05</v>
      </c>
      <c r="O6690" s="15">
        <v>1.2</v>
      </c>
      <c r="P6690">
        <v>1</v>
      </c>
      <c r="Q6690">
        <v>1.01</v>
      </c>
      <c r="R6690">
        <v>1.2</v>
      </c>
      <c r="S6690">
        <v>1.2</v>
      </c>
      <c r="T6690">
        <v>1.05</v>
      </c>
      <c r="U6690">
        <f t="shared" si="261"/>
        <v>0.16169679924070957</v>
      </c>
    </row>
    <row r="6691" spans="1:22" x14ac:dyDescent="0.2">
      <c r="A6691" t="s">
        <v>134</v>
      </c>
      <c r="B6691" s="45">
        <f>B6690*9</f>
        <v>2.3129572351250072E-2</v>
      </c>
      <c r="C6691" t="s">
        <v>56</v>
      </c>
      <c r="D6691" t="s">
        <v>100</v>
      </c>
      <c r="F6691" t="s">
        <v>99</v>
      </c>
      <c r="H6691" t="s">
        <v>131</v>
      </c>
      <c r="I6691" t="s">
        <v>1058</v>
      </c>
      <c r="K6691" t="str">
        <f>B6645</f>
        <v>heat, residential, by combustion of hydrogen using CHP, allocated by exergy, transported by pipeline, produced by Electrolysis, PEM using water and electricity from Solar PV (DE)</v>
      </c>
      <c r="L6691">
        <f t="shared" si="259"/>
        <v>2</v>
      </c>
      <c r="M6691">
        <f t="shared" si="260"/>
        <v>-3.7666432918310226</v>
      </c>
      <c r="N6691">
        <v>1.05</v>
      </c>
      <c r="O6691" s="15">
        <v>1.2</v>
      </c>
      <c r="P6691">
        <v>1</v>
      </c>
      <c r="Q6691">
        <v>1.01</v>
      </c>
      <c r="R6691">
        <v>1.2</v>
      </c>
      <c r="S6691">
        <v>1.2</v>
      </c>
      <c r="T6691">
        <v>1.05</v>
      </c>
      <c r="U6691">
        <f t="shared" si="261"/>
        <v>0.16169679924070957</v>
      </c>
    </row>
    <row r="6692" spans="1:22" x14ac:dyDescent="0.2">
      <c r="A6692" t="s">
        <v>135</v>
      </c>
      <c r="B6692" s="45">
        <f>912.5/1000000*B6690</f>
        <v>2.3450816411684101E-6</v>
      </c>
      <c r="C6692" t="s">
        <v>56</v>
      </c>
      <c r="D6692" t="s">
        <v>100</v>
      </c>
      <c r="F6692" t="s">
        <v>99</v>
      </c>
      <c r="H6692" t="s">
        <v>131</v>
      </c>
      <c r="I6692" t="s">
        <v>1217</v>
      </c>
      <c r="K6692" t="str">
        <f>B6645</f>
        <v>heat, residential, by combustion of hydrogen using CHP, allocated by exergy, transported by pipeline, produced by Electrolysis, PEM using water and electricity from Solar PV (DE)</v>
      </c>
      <c r="L6692">
        <f t="shared" si="259"/>
        <v>2</v>
      </c>
      <c r="M6692">
        <f t="shared" si="260"/>
        <v>-12.963190341674869</v>
      </c>
      <c r="N6692">
        <v>1.05</v>
      </c>
      <c r="O6692" s="15">
        <v>1.2</v>
      </c>
      <c r="P6692">
        <v>1</v>
      </c>
      <c r="Q6692">
        <v>1.01</v>
      </c>
      <c r="R6692">
        <v>1.2</v>
      </c>
      <c r="S6692">
        <v>1.2</v>
      </c>
      <c r="T6692">
        <v>1.5</v>
      </c>
      <c r="U6692">
        <f t="shared" si="261"/>
        <v>0.25816898211842121</v>
      </c>
    </row>
    <row r="6694" spans="1:22" x14ac:dyDescent="0.2">
      <c r="A6694" s="2" t="s">
        <v>50</v>
      </c>
      <c r="B6694" s="44" t="str">
        <f>IF(B6700="megajoule","heat","electricity")&amp;", residential, by "&amp;B6705&amp;" of "&amp;B6704&amp;" using "&amp;B6706&amp;IF(B6707&lt;&gt;0,", allocated by "&amp;B6707,"")&amp;", transported by "&amp;B6708&amp;", produced by "&amp;B6712&amp;" using "&amp;B6713&amp;" from "&amp;B6714</f>
        <v>heat, residential, by conversion of hydrogen using fuel cell, PEM, allocated by exergy, transported by pipeline, produced by Electrolysis, PEM using water and electricity from Solar PV (DE)</v>
      </c>
    </row>
    <row r="6695" spans="1:22" x14ac:dyDescent="0.2">
      <c r="A6695" t="s">
        <v>51</v>
      </c>
      <c r="B6695" s="45" t="str">
        <f>"This dataset represents the supply of 1 "&amp;IF(B6700="megajoule","megajoule of heat","kilowatt hour of electricity")&amp;" in a residence, by "&amp;B6704&amp;" "&amp;B6705&amp;" in a "&amp;B6706&amp;". "&amp;" The hydrogen is transported by "&amp;B6708&amp;" over "&amp;B6709&amp;" km from regional storage. "&amp;" The "&amp;B6704&amp;" is produced by  "&amp;B6712&amp;", with "&amp;B6713&amp;" from "&amp;B6714&amp;" as feedstock. "&amp;A6716&amp;": "&amp;(B6716*100)&amp;"%. "&amp;A6717&amp;": "&amp;B6717&amp;". "&amp;A6718&amp;": "&amp;B6718&amp;". "&amp;A6719&amp;": "&amp;(B6719*100)&amp;"%. "&amp;A6720&amp;": "&amp;(B6720*100)&amp;"%. "&amp;A6721&amp;": "&amp;(B6721*100)&amp;"%. "&amp;A6722&amp;": "&amp;B6722&amp;". "&amp;A6723&amp;": "&amp;B6723&amp;". "&amp;A6724&amp;": "&amp;(B6724*100)&amp;"%. "&amp;A6725&amp;": "&amp;B6725&amp;". "&amp;A6726&amp;": "&amp;B6726&amp;". "&amp;A6727&amp;": "&amp;B6727&amp;". "&amp;A6728&amp;": "&amp;B6728&amp;".  For more information, refer to: "&amp;B6696</f>
        <v>This dataset represents the supply of 1 megajoule of heat in a residence, by hydrogen conversion in a fuel cell, PEM.  The hydrogen is transported by pipeline over 1000 km from regional storage.  The hydrogen is produced by  Electrolysis, PEM,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6696" spans="1:22" x14ac:dyDescent="0.2">
      <c r="A6696" t="s">
        <v>63</v>
      </c>
      <c r="B6696" s="45" t="s">
        <v>1223</v>
      </c>
    </row>
    <row r="6697" spans="1:22" x14ac:dyDescent="0.2">
      <c r="A6697" t="s">
        <v>52</v>
      </c>
      <c r="B6697" s="45" t="s">
        <v>64</v>
      </c>
    </row>
    <row r="6698" spans="1:22" x14ac:dyDescent="0.2">
      <c r="A6698" t="s">
        <v>48</v>
      </c>
      <c r="B6698" s="45">
        <v>83</v>
      </c>
    </row>
    <row r="6699" spans="1:22" x14ac:dyDescent="0.2">
      <c r="A6699" t="s">
        <v>54</v>
      </c>
      <c r="B6699" s="45" t="str">
        <f>INDEX(overview!$B$4:$R$338,MATCH('hydrogen - electrolysis'!B6698,overview!$A$4:$A$338,0),MATCH('hydrogen - electrolysis'!A6699,overview!$B$3:$R$3,0))</f>
        <v>heat, from residential heating system</v>
      </c>
    </row>
    <row r="6700" spans="1:22" x14ac:dyDescent="0.2">
      <c r="A6700" t="s">
        <v>55</v>
      </c>
      <c r="B6700" s="45" t="str">
        <f>INDEX(overview!$B$4:$R$338,MATCH('hydrogen - electrolysis'!B6698,overview!$A$4:$A$338,0),MATCH('hydrogen - electrolysis'!A6700,overview!$B$3:$R$3,0))</f>
        <v>megajoule</v>
      </c>
    </row>
    <row r="6701" spans="1:22" x14ac:dyDescent="0.2">
      <c r="A6701" t="s">
        <v>0</v>
      </c>
      <c r="B6701" s="45" t="str">
        <f>INDEX(overview!$B$4:$R$338,MATCH('hydrogen - electrolysis'!B6698,overview!$A$4:$A$338,0),MATCH('hydrogen - electrolysis'!A6701,overview!$B$3:$R$3,0))</f>
        <v>Switzerland</v>
      </c>
    </row>
    <row r="6702" spans="1:22" x14ac:dyDescent="0.2">
      <c r="A6702" t="s">
        <v>1</v>
      </c>
      <c r="B6702" s="45">
        <f>INDEX(overview!$B$4:$R$338,MATCH('hydrogen - electrolysis'!B6698,overview!$A$4:$A$338,0),MATCH('hydrogen - electrolysis'!A6702,overview!$B$3:$R$3,0))</f>
        <v>2020</v>
      </c>
    </row>
    <row r="6703" spans="1:22" x14ac:dyDescent="0.2">
      <c r="A6703" t="s">
        <v>2</v>
      </c>
      <c r="B6703" s="45" t="str">
        <f>INDEX(overview!$B$4:$R$338,MATCH('hydrogen - electrolysis'!B6698,overview!$A$4:$A$338,0),MATCH('hydrogen - electrolysis'!A6703,overview!$B$3:$R$3,0))</f>
        <v>1 MJ heat</v>
      </c>
    </row>
    <row r="6704" spans="1:22" x14ac:dyDescent="0.2">
      <c r="A6704" t="s">
        <v>5</v>
      </c>
      <c r="B6704" s="45" t="str">
        <f>INDEX(overview!$B$4:$R$338,MATCH('hydrogen - electrolysis'!B6698,overview!$A$4:$A$338,0),MATCH('hydrogen - electrolysis'!A6704,overview!$B$3:$R$3,0))</f>
        <v>hydrogen</v>
      </c>
    </row>
    <row r="6705" spans="1:2" x14ac:dyDescent="0.2">
      <c r="A6705" t="s">
        <v>3</v>
      </c>
      <c r="B6705" s="45" t="str">
        <f>INDEX(overview!$B$4:$R$338,MATCH('hydrogen - electrolysis'!B6698,overview!$A$4:$A$338,0),MATCH('hydrogen - electrolysis'!A6705,overview!$B$3:$R$3,0))</f>
        <v>conversion</v>
      </c>
    </row>
    <row r="6706" spans="1:2" x14ac:dyDescent="0.2">
      <c r="A6706" t="s">
        <v>6</v>
      </c>
      <c r="B6706" s="45" t="str">
        <f>INDEX(overview!$B$4:$R$338,MATCH('hydrogen - electrolysis'!B6698,overview!$A$4:$A$338,0),MATCH('hydrogen - electrolysis'!A6706,overview!$B$3:$R$3,0))</f>
        <v>fuel cell, PEM</v>
      </c>
    </row>
    <row r="6707" spans="1:2" x14ac:dyDescent="0.2">
      <c r="A6707" t="s">
        <v>39</v>
      </c>
      <c r="B6707" s="45" t="str">
        <f>INDEX(overview!$B$4:$R$338,MATCH('hydrogen - electrolysis'!B6698,overview!$A$4:$A$338,0),MATCH('hydrogen - electrolysis'!A6707,overview!$B$3:$R$3,0))</f>
        <v>exergy</v>
      </c>
    </row>
    <row r="6708" spans="1:2" x14ac:dyDescent="0.2">
      <c r="A6708" t="s">
        <v>4</v>
      </c>
      <c r="B6708" s="45" t="str">
        <f>INDEX(overview!$B$4:$R$338,MATCH('hydrogen - electrolysis'!B6698,overview!$A$4:$A$338,0),MATCH('hydrogen - electrolysis'!A6708,overview!$B$3:$R$3,0))</f>
        <v>pipeline</v>
      </c>
    </row>
    <row r="6709" spans="1:2" x14ac:dyDescent="0.2">
      <c r="A6709" t="s">
        <v>38</v>
      </c>
      <c r="B6709" s="45">
        <f>INDEX(overview!$B$4:$R$338,MATCH('hydrogen - electrolysis'!B6698,overview!$A$4:$A$338,0),MATCH('hydrogen - electrolysis'!A6709,overview!$B$3:$R$3,0))</f>
        <v>1000</v>
      </c>
    </row>
    <row r="6710" spans="1:2" x14ac:dyDescent="0.2">
      <c r="A6710" t="s">
        <v>12</v>
      </c>
      <c r="B6710" s="45" t="str">
        <f>INDEX(overview!$B$4:$R$338,MATCH('hydrogen - electrolysis'!B6698,overview!$A$4:$A$338,0),MATCH('hydrogen - electrolysis'!A6710,overview!$B$3:$R$3,0))</f>
        <v>Pressure vessel for stationary storage</v>
      </c>
    </row>
    <row r="6711" spans="1:2" x14ac:dyDescent="0.2">
      <c r="A6711" t="s">
        <v>34</v>
      </c>
      <c r="B6711" s="45">
        <f>INDEX(overview!$B$4:$R$338,MATCH('hydrogen - electrolysis'!B6698,overview!$A$4:$A$338,0),MATCH('hydrogen - electrolysis'!A6711,overview!$B$3:$R$3,0))</f>
        <v>0</v>
      </c>
    </row>
    <row r="6712" spans="1:2" x14ac:dyDescent="0.2">
      <c r="A6712" t="s">
        <v>15</v>
      </c>
      <c r="B6712" s="45" t="str">
        <f>INDEX(overview!$B$4:$R$338,MATCH('hydrogen - electrolysis'!B6698,overview!$A$4:$A$338,0),MATCH('hydrogen - electrolysis'!A6712,overview!$B$3:$R$3,0))</f>
        <v>Electrolysis, PEM</v>
      </c>
    </row>
    <row r="6713" spans="1:2" x14ac:dyDescent="0.2">
      <c r="A6713" t="s">
        <v>14</v>
      </c>
      <c r="B6713" s="45" t="str">
        <f>INDEX(overview!$B$4:$R$338,MATCH('hydrogen - electrolysis'!B6698,overview!$A$4:$A$338,0),MATCH('hydrogen - electrolysis'!A6713,overview!$B$3:$R$3,0))</f>
        <v>water and electricity</v>
      </c>
    </row>
    <row r="6714" spans="1:2" x14ac:dyDescent="0.2">
      <c r="A6714" t="s">
        <v>26</v>
      </c>
      <c r="B6714" s="45" t="str">
        <f>INDEX(overview!$B$4:$R$338,MATCH('hydrogen - electrolysis'!B6698,overview!$A$4:$A$338,0),MATCH('hydrogen - electrolysis'!A6714,overview!$B$3:$R$3,0))</f>
        <v>Solar PV (DE)</v>
      </c>
    </row>
    <row r="6715" spans="1:2" x14ac:dyDescent="0.2">
      <c r="A6715" t="s">
        <v>29</v>
      </c>
      <c r="B6715" s="45">
        <f>INDEX(overview!$B$4:$R$338,MATCH('hydrogen - electrolysis'!B6698,overview!$A$4:$A$338,0),MATCH('hydrogen - electrolysis'!A6715,overview!$B$3:$R$3,0))</f>
        <v>0</v>
      </c>
    </row>
    <row r="6716" spans="1:2" x14ac:dyDescent="0.2">
      <c r="A6716" t="str">
        <f>IF(B6700="megajoule","Heat","Electricity")&amp;" conversion efficiency [% LHV input]"</f>
        <v>Heat conversion efficiency [% LHV input]</v>
      </c>
      <c r="B6716" s="46">
        <f>INDEX(parameters!$D$4:$N$20,MATCH('hydrogen - electrolysis'!B6704&amp;'hydrogen - electrolysis'!B6706,parameters!$A$4:$A$20,0),MATCH('hydrogen - electrolysis'!A6716,parameters!$D$3:$N$3,0))</f>
        <v>0.5</v>
      </c>
    </row>
    <row r="6717" spans="1:2" x14ac:dyDescent="0.2">
      <c r="A6717" t="str">
        <f>IF(B6700="megajoule","LHV [MJ/kg]","LHV [kWh/kg]")</f>
        <v>LHV [MJ/kg]</v>
      </c>
      <c r="B6717" s="47">
        <f>INDEX(parameters!$D$4:$N$20,MATCH('hydrogen - electrolysis'!B6704&amp;'hydrogen - electrolysis'!B6706,parameters!$A$4:$A$20,0),MATCH('hydrogen - electrolysis'!A6717,parameters!$D$3:$N$3,0))</f>
        <v>120</v>
      </c>
    </row>
    <row r="6718" spans="1:2" x14ac:dyDescent="0.2">
      <c r="A6718" t="s">
        <v>41</v>
      </c>
      <c r="B6718" s="48">
        <f>INDEX(parameters!$D$4:$N$20,MATCH('hydrogen - electrolysis'!B6704&amp;'hydrogen - electrolysis'!B6706,parameters!$A$4:$A$20,0),MATCH('hydrogen - electrolysis'!A6718,parameters!$D$3:$N$3,0))</f>
        <v>2.6666666666666665E-2</v>
      </c>
    </row>
    <row r="6719" spans="1:2" x14ac:dyDescent="0.2">
      <c r="A6719" t="s">
        <v>45</v>
      </c>
      <c r="B6719" s="46">
        <f>INDEX(parameters!$D$4:$N$20,MATCH('hydrogen - electrolysis'!B6704&amp;'hydrogen - electrolysis'!B6706,parameters!$A$4:$A$20,0),MATCH('hydrogen - electrolysis'!A6719,parameters!$D$3:$N$3,0))</f>
        <v>0</v>
      </c>
    </row>
    <row r="6720" spans="1:2" x14ac:dyDescent="0.2">
      <c r="A6720" t="s">
        <v>46</v>
      </c>
      <c r="B6720" s="46">
        <f>INDEX(parameters!$D$4:$N$20,MATCH('hydrogen - electrolysis'!B6704&amp;'hydrogen - electrolysis'!B6706,parameters!$A$4:$A$20,0),MATCH('hydrogen - electrolysis'!A6720,parameters!$D$3:$N$3,0))</f>
        <v>1.4999999999999999E-2</v>
      </c>
    </row>
    <row r="6721" spans="1:22" x14ac:dyDescent="0.2">
      <c r="A6721" t="s">
        <v>43</v>
      </c>
      <c r="B6721" s="46">
        <f>INDEX(parameters!$D$4:$N$20,MATCH('hydrogen - electrolysis'!B6704&amp;'hydrogen - electrolysis'!B6706,parameters!$A$4:$A$20,0),MATCH('hydrogen - electrolysis'!A6721,parameters!$D$3:$N$3,0))</f>
        <v>0</v>
      </c>
    </row>
    <row r="6722" spans="1:22" x14ac:dyDescent="0.2">
      <c r="A6722" t="s">
        <v>44</v>
      </c>
      <c r="B6722" s="46">
        <f>INDEX(parameters!$D$4:$N$20,MATCH('hydrogen - electrolysis'!B6704&amp;'hydrogen - electrolysis'!B6706,parameters!$A$4:$A$20,0),MATCH('hydrogen - electrolysis'!A6722,parameters!$D$3:$N$3,0))</f>
        <v>0</v>
      </c>
    </row>
    <row r="6723" spans="1:22" x14ac:dyDescent="0.2">
      <c r="A6723" t="s">
        <v>634</v>
      </c>
      <c r="B6723" s="51">
        <f>INDEX(parameters!$D$4:$Y$20,MATCH('hydrogen - electrolysis'!B6704&amp;'hydrogen - electrolysis'!B6706,parameters!$A$4:$A$20,0),MATCH('hydrogen - electrolysis'!A6723,parameters!$D$3:$Y$3,0))</f>
        <v>1.8947368421052633</v>
      </c>
    </row>
    <row r="6724" spans="1:22" x14ac:dyDescent="0.2">
      <c r="A6724" t="s">
        <v>82</v>
      </c>
      <c r="B6724" s="46">
        <f>IF(B6715&lt;&gt;0,VLOOKUP(B6715,parameters!A4256:B4258,2,0),0)</f>
        <v>0</v>
      </c>
    </row>
    <row r="6725" spans="1:22" x14ac:dyDescent="0.2">
      <c r="A6725" t="s">
        <v>548</v>
      </c>
      <c r="B6725" s="50">
        <f>INDEX(parameters!$D$4:$P$20,MATCH(B6704&amp;B6706,parameters!$A$4:$A$20,0),MATCH(A6725,parameters!$D$3:$P$3,0))</f>
        <v>0.8</v>
      </c>
    </row>
    <row r="6726" spans="1:22" x14ac:dyDescent="0.2">
      <c r="A6726" t="s">
        <v>547</v>
      </c>
      <c r="B6726" s="51">
        <f>INDEX(parameters!$D$4:$P$20,MATCH(B6704&amp;B6706,parameters!$A$4:$A$20,0),MATCH(A6726,parameters!$D$3:$P$3,0))</f>
        <v>4.8780487804878048</v>
      </c>
    </row>
    <row r="6727" spans="1:22" x14ac:dyDescent="0.2">
      <c r="A6727" t="s">
        <v>630</v>
      </c>
      <c r="B6727" s="51">
        <f>INDEX(parameters!$D$4:$T$20,MATCH(B6704&amp;B6706,parameters!$A$4:$A$20,0),MATCH(A6727,parameters!$D$3:$T$3,0))</f>
        <v>4100</v>
      </c>
    </row>
    <row r="6728" spans="1:22" x14ac:dyDescent="0.2">
      <c r="A6728" t="s">
        <v>1005</v>
      </c>
      <c r="B6728" s="50">
        <f>IF(B6700="megajoule",SUMIFS(allocation!$I$4:$I$30,allocation!$B$4:$B$30,B6706,allocation!$C$4:$C$30,B6707),SUMIFS(allocation!$J$4:$J$30,allocation!$B$4:$B$30,B6706,allocation!$C$4:$C$30,B6707))</f>
        <v>0.13933980798974457</v>
      </c>
    </row>
    <row r="6729" spans="1:22" x14ac:dyDescent="0.2">
      <c r="A6729" t="s">
        <v>1050</v>
      </c>
      <c r="B6729" s="51">
        <f>INDEX(parameters!$D$4:$AB$20,MATCH(B6704&amp;B6706,parameters!$A$4:$A$20,0),MATCH(A6729,parameters!$D$3:$AB$3,0))</f>
        <v>10.221606648199446</v>
      </c>
    </row>
    <row r="6731" spans="1:22" x14ac:dyDescent="0.2">
      <c r="A6731" s="3" t="s">
        <v>57</v>
      </c>
    </row>
    <row r="6732" spans="1:22" x14ac:dyDescent="0.2">
      <c r="A6732" s="2" t="s">
        <v>58</v>
      </c>
      <c r="B6732" s="44" t="s">
        <v>59</v>
      </c>
      <c r="C6732" s="2" t="s">
        <v>55</v>
      </c>
      <c r="D6732" s="2" t="s">
        <v>60</v>
      </c>
      <c r="E6732" s="2" t="s">
        <v>52</v>
      </c>
      <c r="F6732" s="2" t="s">
        <v>61</v>
      </c>
      <c r="G6732" s="2" t="s">
        <v>54</v>
      </c>
      <c r="H6732" s="2" t="s">
        <v>87</v>
      </c>
      <c r="I6732" s="2" t="s">
        <v>51</v>
      </c>
      <c r="J6732" s="2" t="s">
        <v>138</v>
      </c>
      <c r="K6732" s="2" t="s">
        <v>136</v>
      </c>
      <c r="L6732" s="2" t="s">
        <v>221</v>
      </c>
      <c r="M6732" s="2" t="s">
        <v>379</v>
      </c>
      <c r="N6732" s="2" t="s">
        <v>1059</v>
      </c>
      <c r="O6732" s="2" t="s">
        <v>1060</v>
      </c>
      <c r="P6732" s="2" t="s">
        <v>1061</v>
      </c>
      <c r="Q6732" s="2" t="s">
        <v>1062</v>
      </c>
      <c r="R6732" s="2" t="s">
        <v>1063</v>
      </c>
      <c r="S6732" s="2" t="s">
        <v>1064</v>
      </c>
      <c r="T6732" s="2" t="s">
        <v>1065</v>
      </c>
      <c r="U6732" s="2" t="s">
        <v>380</v>
      </c>
      <c r="V6732" s="2" t="s">
        <v>1128</v>
      </c>
    </row>
    <row r="6733" spans="1:22" x14ac:dyDescent="0.2">
      <c r="A6733" t="str">
        <f>B6694</f>
        <v>heat, residential, by conversion of hydrogen using fuel cell, PEM, allocated by exergy, transported by pipeline, produced by Electrolysis, PEM using water and electricity from Solar PV (DE)</v>
      </c>
      <c r="B6733" s="45">
        <v>1</v>
      </c>
      <c r="C6733" t="str">
        <f>B6700</f>
        <v>megajoule</v>
      </c>
      <c r="E6733" t="str">
        <f>B6697</f>
        <v>CH</v>
      </c>
      <c r="F6733" t="s">
        <v>62</v>
      </c>
      <c r="G6733" t="str">
        <f>B6699</f>
        <v>heat, from residential heating system</v>
      </c>
      <c r="K6733" t="str">
        <f>B6694</f>
        <v>heat, residential, by conversion of hydrogen using fuel cell, PEM, allocated by exergy, transported by pipeline, produced by Electrolysis, PEM using water and electricity from Solar PV (DE)</v>
      </c>
    </row>
    <row r="6734" spans="1:22" x14ac:dyDescent="0.2">
      <c r="A6734" t="str">
        <f>VLOOKUP(J6734,'dataset mapping'!$A$4:$E$69,2,0)</f>
        <v>fuel cell system assembly, 1 kWe, proton exchange membrane (PEM)</v>
      </c>
      <c r="B6734" s="52">
        <f>(1/(B6723*B6727*B6726*3.6))*B6728</f>
        <v>1.0213951974556892E-6</v>
      </c>
      <c r="C6734" t="str">
        <f>VLOOKUP(J6734,'dataset mapping'!$A$4:$E$69,5,0)</f>
        <v>unit</v>
      </c>
      <c r="E6734" t="str">
        <f>VLOOKUP(J6734,'dataset mapping'!$A$4:$E$69,4,0)</f>
        <v>GLO</v>
      </c>
      <c r="F6734" t="s">
        <v>86</v>
      </c>
      <c r="G6734" t="str">
        <f>VLOOKUP(J6734,'dataset mapping'!$A$4:$E$69,3,0)</f>
        <v>fuel cell system, 1 kWe, proton exchange membrane (PEM)</v>
      </c>
      <c r="H6734" t="s">
        <v>88</v>
      </c>
      <c r="I6734" t="s">
        <v>272</v>
      </c>
      <c r="J6734" t="s">
        <v>273</v>
      </c>
      <c r="K6734" t="str">
        <f>B6694</f>
        <v>heat, residential, by conversion of hydrogen using fuel cell, PEM, allocated by exergy, transported by pipeline, produced by Electrolysis, PEM using water and electricity from Solar PV (DE)</v>
      </c>
      <c r="L6734">
        <f t="shared" ref="L6734:L6736" si="262">IF(OR(B6734&lt;0,B6734=0),1,2)</f>
        <v>2</v>
      </c>
      <c r="M6734">
        <f t="shared" ref="M6734:M6736" si="263">IF(L6734=2,LN(B6734),"")</f>
        <v>-13.794341024667077</v>
      </c>
      <c r="N6734">
        <v>1</v>
      </c>
      <c r="O6734" s="15">
        <v>1.2</v>
      </c>
      <c r="P6734">
        <v>1</v>
      </c>
      <c r="Q6734">
        <v>1.01</v>
      </c>
      <c r="R6734">
        <v>1.2</v>
      </c>
      <c r="S6734">
        <v>1.2</v>
      </c>
      <c r="T6734">
        <v>3</v>
      </c>
      <c r="U6734">
        <f t="shared" ref="U6734:U6736" si="264">LN(SQRT(EXP(
SQRT(
+POWER(LN(N6734),2)
+POWER(LN(O6734),2)
+POWER(LN(P6734),2)
+POWER(LN(Q6734),2)
+POWER(LN(R6734),2)
+POWER(LN(S6734),2)
+POWER(LN(T6734),2)
)
)))</f>
        <v>0.57157051623399524</v>
      </c>
    </row>
    <row r="6735" spans="1:22" x14ac:dyDescent="0.2">
      <c r="A6735" s="45" t="str">
        <f>"hydrogen supply, transported by "&amp;B6708&amp;", produced by "&amp;B6712&amp;" using "&amp;B6713&amp;" from "&amp;B6714</f>
        <v>hydrogen supply, transported by pipeline, produced by Electrolysis, PEM using water and electricity from Solar PV (DE)</v>
      </c>
      <c r="B6735" s="53">
        <f>(B6733/B6717)/B6716*B6728</f>
        <v>2.3223301331624095E-3</v>
      </c>
      <c r="C6735" t="s">
        <v>56</v>
      </c>
      <c r="E6735" t="s">
        <v>64</v>
      </c>
      <c r="F6735" t="s">
        <v>86</v>
      </c>
      <c r="G6735" t="str">
        <f>"hydrogen, gaseous, from "&amp;B6708</f>
        <v>hydrogen, gaseous, from pipeline</v>
      </c>
      <c r="H6735" t="s">
        <v>76</v>
      </c>
      <c r="I6735" t="s">
        <v>1054</v>
      </c>
      <c r="J6735" t="s">
        <v>298</v>
      </c>
      <c r="K6735" t="str">
        <f>B6694</f>
        <v>heat, residential, by conversion of hydrogen using fuel cell, PEM, allocated by exergy, transported by pipeline, produced by Electrolysis, PEM using water and electricity from Solar PV (DE)</v>
      </c>
      <c r="L6735">
        <f t="shared" si="262"/>
        <v>2</v>
      </c>
      <c r="M6735">
        <f t="shared" si="263"/>
        <v>-6.0651842296013152</v>
      </c>
      <c r="N6735">
        <v>1</v>
      </c>
      <c r="O6735" s="15">
        <v>1.2</v>
      </c>
      <c r="P6735">
        <v>1</v>
      </c>
      <c r="Q6735">
        <v>1.01</v>
      </c>
      <c r="R6735">
        <v>1.2</v>
      </c>
      <c r="S6735">
        <v>1.2</v>
      </c>
      <c r="T6735">
        <v>1.05</v>
      </c>
      <c r="U6735">
        <f t="shared" si="264"/>
        <v>0.15984597228197622</v>
      </c>
    </row>
    <row r="6736" spans="1:22" x14ac:dyDescent="0.2">
      <c r="A6736" t="s">
        <v>134</v>
      </c>
      <c r="B6736" s="53">
        <f>B6735*9</f>
        <v>2.0900971198461685E-2</v>
      </c>
      <c r="C6736" t="s">
        <v>56</v>
      </c>
      <c r="D6736" t="s">
        <v>100</v>
      </c>
      <c r="F6736" t="s">
        <v>99</v>
      </c>
      <c r="H6736" t="s">
        <v>131</v>
      </c>
      <c r="I6736" t="s">
        <v>1057</v>
      </c>
      <c r="K6736" t="str">
        <f>B6694</f>
        <v>heat, residential, by conversion of hydrogen using fuel cell, PEM, allocated by exergy, transported by pipeline, produced by Electrolysis, PEM using water and electricity from Solar PV (DE)</v>
      </c>
      <c r="L6736">
        <f t="shared" si="262"/>
        <v>2</v>
      </c>
      <c r="M6736">
        <f t="shared" si="263"/>
        <v>-3.8679596522650961</v>
      </c>
      <c r="N6736">
        <v>1</v>
      </c>
      <c r="O6736" s="15">
        <v>1.2</v>
      </c>
      <c r="P6736">
        <v>1</v>
      </c>
      <c r="Q6736">
        <v>1.01</v>
      </c>
      <c r="R6736">
        <v>1.2</v>
      </c>
      <c r="S6736">
        <v>1.2</v>
      </c>
      <c r="T6736">
        <v>1.05</v>
      </c>
      <c r="U6736">
        <f t="shared" si="264"/>
        <v>0.15984597228197622</v>
      </c>
    </row>
    <row r="6738" spans="1:2" x14ac:dyDescent="0.2">
      <c r="A6738" s="2" t="s">
        <v>50</v>
      </c>
      <c r="B6738" s="44" t="str">
        <f>IF(B6744="megajoule","heat","electricity")&amp;", residential, by "&amp;B6749&amp;" of "&amp;B6748&amp;" using "&amp;B6750&amp;IF(B6751&lt;&gt;0,", allocated by "&amp;B6751,"")&amp;", transported by "&amp;B6752&amp;", produced by "&amp;B6756&amp;" using "&amp;B6757&amp;" from "&amp;B6758</f>
        <v>heat, residential, by conversion of hydrogen using fuel cell, SOFC, allocated by exergy, transported by pipeline, produced by Electrolysis, PEM using water and electricity from Solar PV (DE)</v>
      </c>
    </row>
    <row r="6739" spans="1:2" x14ac:dyDescent="0.2">
      <c r="A6739" t="s">
        <v>51</v>
      </c>
      <c r="B6739" s="45" t="str">
        <f>"This dataset represents the supply of 1 "&amp;IF(B6744="megajoule","megajoule of heat","kilowatt hour of electricity")&amp;" in a residence, by "&amp;B6748&amp;" "&amp;B6749&amp;" in a "&amp;B6750&amp;". "&amp;" The hydrogen is transported by "&amp;B6752&amp;" over "&amp;B6753&amp;" km from regional storage. "&amp;" The "&amp;B6748&amp;" is produced by  "&amp;B6756&amp;", with "&amp;B6757&amp;" from "&amp;B6758&amp;" as feedstock. "&amp;A6760&amp;": "&amp;(B6760*100)&amp;"%. "&amp;A6761&amp;": "&amp;B6761&amp;". "&amp;A6762&amp;": "&amp;B6762&amp;". "&amp;A6763&amp;": "&amp;(B6763*100)&amp;"%. "&amp;A6764&amp;": "&amp;(B6764*100)&amp;"%. "&amp;A6765&amp;": "&amp;(B6765*100)&amp;"%. "&amp;A6766&amp;": "&amp;B6766&amp;". "&amp;A6767&amp;": "&amp;B6767&amp;". "&amp;A6768&amp;": "&amp;(B6768*100)&amp;"%. "&amp;A6769&amp;": "&amp;B6769&amp;". "&amp;A6770&amp;": "&amp;B6770&amp;". "&amp;A6771&amp;": "&amp;B6771&amp;". "&amp;A6772&amp;": "&amp;B6772&amp;".  For more information, refer to: "&amp;B6740</f>
        <v>This dataset represents the supply of 1 megajoule of heat in a residence, by hydrogen conversion in a fuel cell, SOFC.  The hydrogen is transported by pipeline over 1000 km from regional storage.  The hydrogen is produced by  Electrolysis, PEM,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6740" spans="1:2" x14ac:dyDescent="0.2">
      <c r="A6740" t="s">
        <v>63</v>
      </c>
      <c r="B6740" s="45" t="s">
        <v>1223</v>
      </c>
    </row>
    <row r="6741" spans="1:2" x14ac:dyDescent="0.2">
      <c r="A6741" t="s">
        <v>52</v>
      </c>
      <c r="B6741" s="45" t="s">
        <v>64</v>
      </c>
    </row>
    <row r="6742" spans="1:2" x14ac:dyDescent="0.2">
      <c r="A6742" t="s">
        <v>48</v>
      </c>
      <c r="B6742" s="45">
        <v>84</v>
      </c>
    </row>
    <row r="6743" spans="1:2" x14ac:dyDescent="0.2">
      <c r="A6743" t="s">
        <v>54</v>
      </c>
      <c r="B6743" s="45" t="str">
        <f>INDEX(overview!$B$4:$R$338,MATCH('hydrogen - electrolysis'!B6742,overview!$A$4:$A$338,0),MATCH('hydrogen - electrolysis'!A6743,overview!$B$3:$R$3,0))</f>
        <v>heat, from residential heating system</v>
      </c>
    </row>
    <row r="6744" spans="1:2" x14ac:dyDescent="0.2">
      <c r="A6744" t="s">
        <v>55</v>
      </c>
      <c r="B6744" s="45" t="str">
        <f>INDEX(overview!$B$4:$R$338,MATCH('hydrogen - electrolysis'!B6742,overview!$A$4:$A$338,0),MATCH('hydrogen - electrolysis'!A6744,overview!$B$3:$R$3,0))</f>
        <v>megajoule</v>
      </c>
    </row>
    <row r="6745" spans="1:2" x14ac:dyDescent="0.2">
      <c r="A6745" t="s">
        <v>0</v>
      </c>
      <c r="B6745" s="45" t="str">
        <f>INDEX(overview!$B$4:$R$338,MATCH('hydrogen - electrolysis'!B6742,overview!$A$4:$A$338,0),MATCH('hydrogen - electrolysis'!A6745,overview!$B$3:$R$3,0))</f>
        <v>Switzerland</v>
      </c>
    </row>
    <row r="6746" spans="1:2" x14ac:dyDescent="0.2">
      <c r="A6746" t="s">
        <v>1</v>
      </c>
      <c r="B6746" s="45">
        <f>INDEX(overview!$B$4:$R$338,MATCH('hydrogen - electrolysis'!B6742,overview!$A$4:$A$338,0),MATCH('hydrogen - electrolysis'!A6746,overview!$B$3:$R$3,0))</f>
        <v>2020</v>
      </c>
    </row>
    <row r="6747" spans="1:2" x14ac:dyDescent="0.2">
      <c r="A6747" t="s">
        <v>2</v>
      </c>
      <c r="B6747" s="45" t="str">
        <f>INDEX(overview!$B$4:$R$338,MATCH('hydrogen - electrolysis'!B6742,overview!$A$4:$A$338,0),MATCH('hydrogen - electrolysis'!A6747,overview!$B$3:$R$3,0))</f>
        <v>1 MJ heat</v>
      </c>
    </row>
    <row r="6748" spans="1:2" x14ac:dyDescent="0.2">
      <c r="A6748" t="s">
        <v>5</v>
      </c>
      <c r="B6748" s="45" t="str">
        <f>INDEX(overview!$B$4:$R$338,MATCH('hydrogen - electrolysis'!B6742,overview!$A$4:$A$338,0),MATCH('hydrogen - electrolysis'!A6748,overview!$B$3:$R$3,0))</f>
        <v>hydrogen</v>
      </c>
    </row>
    <row r="6749" spans="1:2" x14ac:dyDescent="0.2">
      <c r="A6749" t="s">
        <v>3</v>
      </c>
      <c r="B6749" s="45" t="str">
        <f>INDEX(overview!$B$4:$R$338,MATCH('hydrogen - electrolysis'!B6742,overview!$A$4:$A$338,0),MATCH('hydrogen - electrolysis'!A6749,overview!$B$3:$R$3,0))</f>
        <v>conversion</v>
      </c>
    </row>
    <row r="6750" spans="1:2" x14ac:dyDescent="0.2">
      <c r="A6750" t="s">
        <v>6</v>
      </c>
      <c r="B6750" s="45" t="str">
        <f>INDEX(overview!$B$4:$R$338,MATCH('hydrogen - electrolysis'!B6742,overview!$A$4:$A$338,0),MATCH('hydrogen - electrolysis'!A6750,overview!$B$3:$R$3,0))</f>
        <v>fuel cell, SOFC</v>
      </c>
    </row>
    <row r="6751" spans="1:2" x14ac:dyDescent="0.2">
      <c r="A6751" t="s">
        <v>39</v>
      </c>
      <c r="B6751" s="45" t="str">
        <f>INDEX(overview!$B$4:$R$338,MATCH('hydrogen - electrolysis'!B6742,overview!$A$4:$A$338,0),MATCH('hydrogen - electrolysis'!A6751,overview!$B$3:$R$3,0))</f>
        <v>exergy</v>
      </c>
    </row>
    <row r="6752" spans="1:2" x14ac:dyDescent="0.2">
      <c r="A6752" t="s">
        <v>4</v>
      </c>
      <c r="B6752" s="45" t="str">
        <f>INDEX(overview!$B$4:$R$338,MATCH('hydrogen - electrolysis'!B6742,overview!$A$4:$A$338,0),MATCH('hydrogen - electrolysis'!A6752,overview!$B$3:$R$3,0))</f>
        <v>pipeline</v>
      </c>
    </row>
    <row r="6753" spans="1:4" x14ac:dyDescent="0.2">
      <c r="A6753" t="s">
        <v>38</v>
      </c>
      <c r="B6753" s="45">
        <f>INDEX(overview!$B$4:$R$338,MATCH('hydrogen - electrolysis'!B6742,overview!$A$4:$A$338,0),MATCH('hydrogen - electrolysis'!A6753,overview!$B$3:$R$3,0))</f>
        <v>1000</v>
      </c>
    </row>
    <row r="6754" spans="1:4" x14ac:dyDescent="0.2">
      <c r="A6754" t="s">
        <v>12</v>
      </c>
      <c r="B6754" s="45" t="str">
        <f>INDEX(overview!$B$4:$R$338,MATCH('hydrogen - electrolysis'!B6742,overview!$A$4:$A$338,0),MATCH('hydrogen - electrolysis'!A6754,overview!$B$3:$R$3,0))</f>
        <v>Pressure vessel for stationary storage</v>
      </c>
    </row>
    <row r="6755" spans="1:4" x14ac:dyDescent="0.2">
      <c r="A6755" t="s">
        <v>34</v>
      </c>
      <c r="B6755" s="45">
        <f>INDEX(overview!$B$4:$R$338,MATCH('hydrogen - electrolysis'!B6742,overview!$A$4:$A$338,0),MATCH('hydrogen - electrolysis'!A6755,overview!$B$3:$R$3,0))</f>
        <v>0</v>
      </c>
    </row>
    <row r="6756" spans="1:4" x14ac:dyDescent="0.2">
      <c r="A6756" t="s">
        <v>15</v>
      </c>
      <c r="B6756" s="45" t="str">
        <f>INDEX(overview!$B$4:$R$338,MATCH('hydrogen - electrolysis'!B6742,overview!$A$4:$A$338,0),MATCH('hydrogen - electrolysis'!A6756,overview!$B$3:$R$3,0))</f>
        <v>Electrolysis, PEM</v>
      </c>
    </row>
    <row r="6757" spans="1:4" x14ac:dyDescent="0.2">
      <c r="A6757" t="s">
        <v>14</v>
      </c>
      <c r="B6757" s="45" t="str">
        <f>INDEX(overview!$B$4:$R$338,MATCH('hydrogen - electrolysis'!B6742,overview!$A$4:$A$338,0),MATCH('hydrogen - electrolysis'!A6757,overview!$B$3:$R$3,0))</f>
        <v>water and electricity</v>
      </c>
    </row>
    <row r="6758" spans="1:4" x14ac:dyDescent="0.2">
      <c r="A6758" t="s">
        <v>26</v>
      </c>
      <c r="B6758" s="45" t="str">
        <f>INDEX(overview!$B$4:$R$338,MATCH('hydrogen - electrolysis'!B6742,overview!$A$4:$A$338,0),MATCH('hydrogen - electrolysis'!A6758,overview!$B$3:$R$3,0))</f>
        <v>Solar PV (DE)</v>
      </c>
    </row>
    <row r="6759" spans="1:4" x14ac:dyDescent="0.2">
      <c r="A6759" t="s">
        <v>29</v>
      </c>
      <c r="B6759" s="45">
        <f>INDEX(overview!$B$4:$R$338,MATCH('hydrogen - electrolysis'!B6742,overview!$A$4:$A$338,0),MATCH('hydrogen - electrolysis'!A6759,overview!$B$3:$R$3,0))</f>
        <v>0</v>
      </c>
    </row>
    <row r="6760" spans="1:4" x14ac:dyDescent="0.2">
      <c r="A6760" t="str">
        <f>IF(B6744="megajoule","Heat","Electricity")&amp;" conversion efficiency [% LHV input]"</f>
        <v>Heat conversion efficiency [% LHV input]</v>
      </c>
      <c r="B6760" s="46">
        <f>INDEX(parameters!$D$4:$N$20,MATCH('hydrogen - electrolysis'!B6748&amp;'hydrogen - electrolysis'!B6750,parameters!$A$4:$A$20,0),MATCH('hydrogen - electrolysis'!A6760,parameters!$D$3:$N$3,0))</f>
        <v>0.53</v>
      </c>
    </row>
    <row r="6761" spans="1:4" x14ac:dyDescent="0.2">
      <c r="A6761" t="str">
        <f>IF(B6744="megajoule","LHV [MJ/kg]","LHV [kWh/kg]")</f>
        <v>LHV [MJ/kg]</v>
      </c>
      <c r="B6761" s="47">
        <f>INDEX(parameters!$D$4:$N$20,MATCH('hydrogen - electrolysis'!B6748&amp;'hydrogen - electrolysis'!B6750,parameters!$A$4:$A$20,0),MATCH('hydrogen - electrolysis'!A6761,parameters!$D$3:$N$3,0))</f>
        <v>120</v>
      </c>
    </row>
    <row r="6762" spans="1:4" x14ac:dyDescent="0.2">
      <c r="A6762" t="s">
        <v>41</v>
      </c>
      <c r="B6762" s="48">
        <f>INDEX(parameters!$D$4:$N$20,MATCH('hydrogen - electrolysis'!B6748&amp;'hydrogen - electrolysis'!B6750,parameters!$A$4:$A$20,0),MATCH('hydrogen - electrolysis'!A6762,parameters!$D$3:$N$3,0))</f>
        <v>2.6666666666666665E-2</v>
      </c>
    </row>
    <row r="6763" spans="1:4" x14ac:dyDescent="0.2">
      <c r="A6763" t="s">
        <v>45</v>
      </c>
      <c r="B6763" s="46">
        <f>INDEX(parameters!$D$4:$N$20,MATCH('hydrogen - electrolysis'!B6748&amp;'hydrogen - electrolysis'!B6750,parameters!$A$4:$A$20,0),MATCH('hydrogen - electrolysis'!A6763,parameters!$D$3:$N$3,0))</f>
        <v>0</v>
      </c>
    </row>
    <row r="6764" spans="1:4" x14ac:dyDescent="0.2">
      <c r="A6764" t="s">
        <v>46</v>
      </c>
      <c r="B6764" s="46">
        <f>INDEX(parameters!$D$4:$N$20,MATCH('hydrogen - electrolysis'!B6748&amp;'hydrogen - electrolysis'!B6750,parameters!$A$4:$A$20,0),MATCH('hydrogen - electrolysis'!A6764,parameters!$D$3:$N$3,0))</f>
        <v>1.4999999999999999E-2</v>
      </c>
    </row>
    <row r="6765" spans="1:4" x14ac:dyDescent="0.2">
      <c r="A6765" t="s">
        <v>43</v>
      </c>
      <c r="B6765" s="46">
        <f>INDEX(parameters!$D$4:$N$20,MATCH('hydrogen - electrolysis'!B6748&amp;'hydrogen - electrolysis'!B6750,parameters!$A$4:$A$20,0),MATCH('hydrogen - electrolysis'!A6765,parameters!$D$3:$N$3,0))</f>
        <v>0</v>
      </c>
    </row>
    <row r="6766" spans="1:4" x14ac:dyDescent="0.2">
      <c r="A6766" t="s">
        <v>44</v>
      </c>
      <c r="B6766" s="46">
        <f>INDEX(parameters!$D$4:$N$20,MATCH('hydrogen - electrolysis'!B6748&amp;'hydrogen - electrolysis'!B6750,parameters!$A$4:$A$20,0),MATCH('hydrogen - electrolysis'!A6766,parameters!$D$3:$N$3,0))</f>
        <v>0</v>
      </c>
    </row>
    <row r="6767" spans="1:4" x14ac:dyDescent="0.2">
      <c r="A6767" t="s">
        <v>634</v>
      </c>
      <c r="B6767" s="51">
        <f>INDEX(parameters!$D$4:$Y$20,MATCH('hydrogen - electrolysis'!B6748&amp;'hydrogen - electrolysis'!B6750,parameters!$A$4:$A$20,0),MATCH('hydrogen - electrolysis'!A6767,parameters!$D$3:$Y$3,0))</f>
        <v>225</v>
      </c>
      <c r="D6767" s="8"/>
    </row>
    <row r="6768" spans="1:4" x14ac:dyDescent="0.2">
      <c r="A6768" t="s">
        <v>82</v>
      </c>
      <c r="B6768" s="46">
        <f>IF(B6759&lt;&gt;0,VLOOKUP(B6759,parameters!A4305:B4307,2,0),0)</f>
        <v>0</v>
      </c>
    </row>
    <row r="6769" spans="1:22" x14ac:dyDescent="0.2">
      <c r="A6769" t="s">
        <v>548</v>
      </c>
      <c r="B6769" s="50">
        <f>INDEX(parameters!$D$4:$P$20,MATCH(B6748&amp;B6750,parameters!$A$4:$A$20,0),MATCH(A6769,parameters!$D$3:$P$3,0))</f>
        <v>100</v>
      </c>
    </row>
    <row r="6770" spans="1:22" x14ac:dyDescent="0.2">
      <c r="A6770" t="s">
        <v>547</v>
      </c>
      <c r="B6770" s="51">
        <f>INDEX(parameters!$D$4:$P$20,MATCH(B6748&amp;B6750,parameters!$A$4:$A$20,0),MATCH(A6770,parameters!$D$3:$P$3,0))</f>
        <v>6</v>
      </c>
    </row>
    <row r="6771" spans="1:22" x14ac:dyDescent="0.2">
      <c r="A6771" t="s">
        <v>630</v>
      </c>
      <c r="B6771" s="51">
        <f>INDEX(parameters!$D$4:$T$20,MATCH(B6748&amp;B6750,parameters!$A$4:$A$20,0),MATCH(A6771,parameters!$D$3:$T$3,0))</f>
        <v>4100</v>
      </c>
    </row>
    <row r="6772" spans="1:22" x14ac:dyDescent="0.2">
      <c r="A6772" t="s">
        <v>1005</v>
      </c>
      <c r="B6772" s="50">
        <f>IF(B6744="megajoule",SUMIFS(allocation!$I$4:$I$30,allocation!$B$4:$B$30,B6750,allocation!$C$4:$C$30,B6751),SUMIFS(allocation!$J$4:$J$30,allocation!$B$4:$B$30,B6750,allocation!$C$4:$C$30,B6751))</f>
        <v>0.13587506510399097</v>
      </c>
    </row>
    <row r="6773" spans="1:22" x14ac:dyDescent="0.2">
      <c r="A6773" t="s">
        <v>1050</v>
      </c>
      <c r="B6773" s="51">
        <f>INDEX(parameters!$D$4:$AB$20,MATCH(B6748&amp;B6750,parameters!$A$4:$A$20,0),MATCH(A6773,parameters!$D$3:$AB$3,0))</f>
        <v>1153.1249999999998</v>
      </c>
    </row>
    <row r="6775" spans="1:22" x14ac:dyDescent="0.2">
      <c r="A6775" s="3" t="s">
        <v>57</v>
      </c>
    </row>
    <row r="6776" spans="1:22" x14ac:dyDescent="0.2">
      <c r="A6776" s="2" t="s">
        <v>58</v>
      </c>
      <c r="B6776" s="44" t="s">
        <v>59</v>
      </c>
      <c r="C6776" s="2" t="s">
        <v>55</v>
      </c>
      <c r="D6776" s="2" t="s">
        <v>60</v>
      </c>
      <c r="E6776" s="2" t="s">
        <v>52</v>
      </c>
      <c r="F6776" s="2" t="s">
        <v>61</v>
      </c>
      <c r="G6776" s="2" t="s">
        <v>54</v>
      </c>
      <c r="H6776" s="2" t="s">
        <v>87</v>
      </c>
      <c r="I6776" s="2" t="s">
        <v>51</v>
      </c>
      <c r="J6776" s="2" t="s">
        <v>138</v>
      </c>
      <c r="K6776" s="2" t="s">
        <v>136</v>
      </c>
      <c r="L6776" s="2" t="s">
        <v>221</v>
      </c>
      <c r="M6776" s="2" t="s">
        <v>379</v>
      </c>
      <c r="N6776" s="2" t="s">
        <v>1059</v>
      </c>
      <c r="O6776" s="2" t="s">
        <v>1060</v>
      </c>
      <c r="P6776" s="2" t="s">
        <v>1061</v>
      </c>
      <c r="Q6776" s="2" t="s">
        <v>1062</v>
      </c>
      <c r="R6776" s="2" t="s">
        <v>1063</v>
      </c>
      <c r="S6776" s="2" t="s">
        <v>1064</v>
      </c>
      <c r="T6776" s="2" t="s">
        <v>1065</v>
      </c>
      <c r="U6776" s="2" t="s">
        <v>380</v>
      </c>
      <c r="V6776" s="2" t="s">
        <v>1128</v>
      </c>
    </row>
    <row r="6777" spans="1:22" x14ac:dyDescent="0.2">
      <c r="A6777" t="str">
        <f>B6738</f>
        <v>heat, residential, by conversion of hydrogen using fuel cell, SOFC, allocated by exergy, transported by pipeline, produced by Electrolysis, PEM using water and electricity from Solar PV (DE)</v>
      </c>
      <c r="B6777" s="45">
        <v>1</v>
      </c>
      <c r="C6777" t="str">
        <f>B6744</f>
        <v>megajoule</v>
      </c>
      <c r="E6777" t="str">
        <f>B6741</f>
        <v>CH</v>
      </c>
      <c r="F6777" t="s">
        <v>62</v>
      </c>
      <c r="G6777" t="str">
        <f>B6743</f>
        <v>heat, from residential heating system</v>
      </c>
      <c r="K6777" t="str">
        <f>B6738</f>
        <v>heat, residential, by conversion of hydrogen using fuel cell, SOFC, allocated by exergy, transported by pipeline, produced by Electrolysis, PEM using water and electricity from Solar PV (DE)</v>
      </c>
    </row>
    <row r="6778" spans="1:22" x14ac:dyDescent="0.2">
      <c r="A6778" t="str">
        <f>VLOOKUP(J6778,'dataset mapping'!$A$4:$E$69,2,0)</f>
        <v>fuel cell production, stack solid oxide, 125kW electrical, future</v>
      </c>
      <c r="B6778" s="52">
        <f>(1/(B6767*B6771*B6770*3.6))*B6772</f>
        <v>6.8189834941278219E-9</v>
      </c>
      <c r="C6778" t="str">
        <f>VLOOKUP(J6778,'dataset mapping'!$A$4:$E$69,5,0)</f>
        <v>unit</v>
      </c>
      <c r="E6778" t="str">
        <f>VLOOKUP(J6778,'dataset mapping'!$A$4:$E$69,4,0)</f>
        <v>CH</v>
      </c>
      <c r="F6778" t="s">
        <v>86</v>
      </c>
      <c r="G6778" t="str">
        <f>VLOOKUP(J6778,'dataset mapping'!$A$4:$E$69,3,0)</f>
        <v>fuel cell, stack solid oxide, 125kW electrical, future</v>
      </c>
      <c r="H6778" t="s">
        <v>88</v>
      </c>
      <c r="I6778" t="s">
        <v>277</v>
      </c>
      <c r="J6778" t="s">
        <v>274</v>
      </c>
      <c r="K6778" t="str">
        <f>B6738</f>
        <v>heat, residential, by conversion of hydrogen using fuel cell, SOFC, allocated by exergy, transported by pipeline, produced by Electrolysis, PEM using water and electricity from Solar PV (DE)</v>
      </c>
      <c r="L6778">
        <f t="shared" ref="L6778:L6782" si="265">IF(OR(B6778&lt;0,B6778=0),1,2)</f>
        <v>2</v>
      </c>
      <c r="M6778">
        <f t="shared" ref="M6778:M6782" si="266">IF(L6778=2,LN(B6778),"")</f>
        <v>-18.80355542398161</v>
      </c>
      <c r="N6778">
        <v>1</v>
      </c>
      <c r="O6778" s="15">
        <v>1.2</v>
      </c>
      <c r="P6778">
        <v>1</v>
      </c>
      <c r="Q6778">
        <v>1.01</v>
      </c>
      <c r="R6778">
        <v>1.2</v>
      </c>
      <c r="S6778">
        <v>1.2</v>
      </c>
      <c r="T6778">
        <v>3</v>
      </c>
      <c r="U6778">
        <f t="shared" ref="U6778:U6782" si="267">LN(SQRT(EXP(
SQRT(
+POWER(LN(N6778),2)
+POWER(LN(O6778),2)
+POWER(LN(P6778),2)
+POWER(LN(Q6778),2)
+POWER(LN(R6778),2)
+POWER(LN(S6778),2)
+POWER(LN(T6778),2)
)
)))</f>
        <v>0.57157051623399524</v>
      </c>
    </row>
    <row r="6779" spans="1:22" x14ac:dyDescent="0.2">
      <c r="A6779" t="s">
        <v>283</v>
      </c>
      <c r="B6779" s="52">
        <f>(1/(B6767*B6771*B6770*3.6))*B6772</f>
        <v>6.8189834941278219E-9</v>
      </c>
      <c r="C6779" t="s">
        <v>55</v>
      </c>
      <c r="E6779" t="s">
        <v>64</v>
      </c>
      <c r="F6779" t="s">
        <v>86</v>
      </c>
      <c r="G6779" t="s">
        <v>284</v>
      </c>
      <c r="H6779" t="s">
        <v>88</v>
      </c>
      <c r="I6779" t="s">
        <v>277</v>
      </c>
      <c r="K6779" t="str">
        <f>B6738</f>
        <v>heat, residential, by conversion of hydrogen using fuel cell, SOFC, allocated by exergy, transported by pipeline, produced by Electrolysis, PEM using water and electricity from Solar PV (DE)</v>
      </c>
      <c r="L6779">
        <f t="shared" si="265"/>
        <v>2</v>
      </c>
      <c r="M6779">
        <f t="shared" si="266"/>
        <v>-18.80355542398161</v>
      </c>
      <c r="N6779">
        <v>1</v>
      </c>
      <c r="O6779" s="15">
        <v>1.2</v>
      </c>
      <c r="P6779">
        <v>1</v>
      </c>
      <c r="Q6779">
        <v>1.01</v>
      </c>
      <c r="R6779">
        <v>1.2</v>
      </c>
      <c r="S6779">
        <v>1.2</v>
      </c>
      <c r="T6779">
        <v>3</v>
      </c>
      <c r="U6779">
        <f t="shared" si="267"/>
        <v>0.57157051623399524</v>
      </c>
    </row>
    <row r="6780" spans="1:22" x14ac:dyDescent="0.2">
      <c r="A6780" t="s">
        <v>288</v>
      </c>
      <c r="B6780" s="52">
        <f>0.000024*B6772</f>
        <v>3.2610015624957834E-6</v>
      </c>
      <c r="C6780" t="s">
        <v>56</v>
      </c>
      <c r="E6780" t="s">
        <v>64</v>
      </c>
      <c r="F6780" t="s">
        <v>86</v>
      </c>
      <c r="G6780" t="s">
        <v>287</v>
      </c>
      <c r="H6780" t="s">
        <v>88</v>
      </c>
      <c r="K6780" t="str">
        <f>B6738</f>
        <v>heat, residential, by conversion of hydrogen using fuel cell, SOFC, allocated by exergy, transported by pipeline, produced by Electrolysis, PEM using water and electricity from Solar PV (DE)</v>
      </c>
      <c r="L6780">
        <f t="shared" si="265"/>
        <v>2</v>
      </c>
      <c r="M6780">
        <f t="shared" si="266"/>
        <v>-12.633476182011</v>
      </c>
      <c r="N6780">
        <v>1</v>
      </c>
      <c r="O6780" s="15">
        <v>1.2</v>
      </c>
      <c r="P6780">
        <v>1</v>
      </c>
      <c r="Q6780">
        <v>1.01</v>
      </c>
      <c r="R6780">
        <v>1.2</v>
      </c>
      <c r="S6780">
        <v>1.2</v>
      </c>
      <c r="T6780">
        <v>1.05</v>
      </c>
      <c r="U6780">
        <f t="shared" si="267"/>
        <v>0.15984597228197622</v>
      </c>
    </row>
    <row r="6781" spans="1:22" x14ac:dyDescent="0.2">
      <c r="A6781" s="45" t="str">
        <f>"hydrogen supply, transported by "&amp;B6752&amp;", produced by "&amp;B6756&amp;" using "&amp;B6757&amp;" from "&amp;B6758</f>
        <v>hydrogen supply, transported by pipeline, produced by Electrolysis, PEM using water and electricity from Solar PV (DE)</v>
      </c>
      <c r="B6781" s="53">
        <f>(B6777/B6761)/B6760*B6772</f>
        <v>2.1364003947168392E-3</v>
      </c>
      <c r="C6781" t="s">
        <v>56</v>
      </c>
      <c r="E6781" t="s">
        <v>64</v>
      </c>
      <c r="F6781" t="s">
        <v>86</v>
      </c>
      <c r="G6781" t="str">
        <f>"hydrogen, gaseous, from "&amp;B6752</f>
        <v>hydrogen, gaseous, from pipeline</v>
      </c>
      <c r="H6781" t="s">
        <v>76</v>
      </c>
      <c r="I6781" t="s">
        <v>1054</v>
      </c>
      <c r="J6781" t="s">
        <v>298</v>
      </c>
      <c r="K6781" t="str">
        <f>B6738</f>
        <v>heat, residential, by conversion of hydrogen using fuel cell, SOFC, allocated by exergy, transported by pipeline, produced by Electrolysis, PEM using water and electricity from Solar PV (DE)</v>
      </c>
      <c r="L6781">
        <f t="shared" si="265"/>
        <v>2</v>
      </c>
      <c r="M6781">
        <f t="shared" si="266"/>
        <v>-6.1486329247407472</v>
      </c>
      <c r="N6781">
        <v>1</v>
      </c>
      <c r="O6781" s="15">
        <v>1.2</v>
      </c>
      <c r="P6781">
        <v>1</v>
      </c>
      <c r="Q6781">
        <v>1.01</v>
      </c>
      <c r="R6781">
        <v>1.2</v>
      </c>
      <c r="S6781">
        <v>1.2</v>
      </c>
      <c r="T6781">
        <v>1.05</v>
      </c>
      <c r="U6781">
        <f t="shared" si="267"/>
        <v>0.15984597228197622</v>
      </c>
    </row>
    <row r="6782" spans="1:22" x14ac:dyDescent="0.2">
      <c r="A6782" t="s">
        <v>134</v>
      </c>
      <c r="B6782" s="45">
        <f>B6781*9</f>
        <v>1.9227603552451553E-2</v>
      </c>
      <c r="C6782" t="s">
        <v>56</v>
      </c>
      <c r="D6782" t="s">
        <v>100</v>
      </c>
      <c r="F6782" t="s">
        <v>99</v>
      </c>
      <c r="H6782" t="s">
        <v>131</v>
      </c>
      <c r="I6782" t="s">
        <v>1057</v>
      </c>
      <c r="K6782" t="str">
        <f>B6738</f>
        <v>heat, residential, by conversion of hydrogen using fuel cell, SOFC, allocated by exergy, transported by pipeline, produced by Electrolysis, PEM using water and electricity from Solar PV (DE)</v>
      </c>
      <c r="L6782">
        <f t="shared" si="265"/>
        <v>2</v>
      </c>
      <c r="M6782">
        <f t="shared" si="266"/>
        <v>-3.9514083474045276</v>
      </c>
      <c r="N6782">
        <v>1</v>
      </c>
      <c r="O6782" s="15">
        <v>1.2</v>
      </c>
      <c r="P6782">
        <v>1</v>
      </c>
      <c r="Q6782">
        <v>1.01</v>
      </c>
      <c r="R6782">
        <v>1.2</v>
      </c>
      <c r="S6782">
        <v>1.2</v>
      </c>
      <c r="T6782">
        <v>1.05</v>
      </c>
      <c r="U6782">
        <f t="shared" si="267"/>
        <v>0.15984597228197622</v>
      </c>
    </row>
    <row r="6784" spans="1:22" x14ac:dyDescent="0.2">
      <c r="A6784" s="2" t="s">
        <v>50</v>
      </c>
      <c r="B6784" s="44" t="str">
        <f>IF(B6790="megajoule","heat","electricity")&amp;", residential, by "&amp;B6795&amp;" of "&amp;B6794&amp;" using "&amp;B6796&amp;IF(B6797&lt;&gt;0,", allocated by "&amp;B6797,"")&amp;", transported by "&amp;B6798&amp;", produced by "&amp;B6802&amp;" using "&amp;B6803&amp;" from "&amp;B6804</f>
        <v>electricity, residential, by combustion of hydrogen using CHP, allocated by exergy, transported by pipeline, produced by Electrolysis, PEM using water and electricity from Solar PV (DE)</v>
      </c>
    </row>
    <row r="6785" spans="1:2" x14ac:dyDescent="0.2">
      <c r="A6785" t="s">
        <v>51</v>
      </c>
      <c r="B6785" s="45" t="str">
        <f>"This dataset represents the supply of 1 "&amp;IF(B6790="megajoule","megajoule of heat","kilowatt hour of electricity")&amp;" in a residence, by "&amp;B6794&amp;" "&amp;B6795&amp;" in a "&amp;B6796&amp;". "&amp;" The hydrogen is transported by "&amp;B6798&amp;" over "&amp;B6799&amp;" km from regional storage. "&amp;" The "&amp;B6794&amp;" is produced by  "&amp;B6802&amp;", with "&amp;B6803&amp;" from "&amp;B6804&amp;" as feedstock. "&amp;A6806&amp;": "&amp;(B6806*100)&amp;"%. "&amp;A6807&amp;": "&amp;B6807&amp;". "&amp;A6808&amp;": "&amp;B6808&amp;". "&amp;A6809&amp;": "&amp;(B6809*100)&amp;"%. "&amp;A6810&amp;": "&amp;(B6810*100)&amp;"%. "&amp;A6811&amp;": "&amp;(B6811*100)&amp;"%. "&amp;A6812&amp;": "&amp;B6812&amp;". "&amp;A6813&amp;": "&amp;B6813&amp;". "&amp;A6814&amp;": "&amp;(B6814*100)&amp;"%. "&amp;A6815&amp;": "&amp;B6815&amp;". "&amp;A6816&amp;": "&amp;B6816&amp;". "&amp;A6817&amp;": "&amp;B6817&amp;". "&amp;A6818&amp;": "&amp;B6818&amp;".  For more information, refer to: "&amp;B6786</f>
        <v>This dataset represents the supply of 1 kilowatt hour of electricity in a residence, by hydrogen combustion in a CHP.  The hydrogen is transported by pipeline over 1000 km from regional storage.  The hydrogen is produced by  Electrolysis, PEM,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6786" spans="1:2" x14ac:dyDescent="0.2">
      <c r="A6786" t="s">
        <v>63</v>
      </c>
      <c r="B6786" s="45" t="s">
        <v>1223</v>
      </c>
    </row>
    <row r="6787" spans="1:2" x14ac:dyDescent="0.2">
      <c r="A6787" t="s">
        <v>52</v>
      </c>
      <c r="B6787" s="45" t="s">
        <v>64</v>
      </c>
    </row>
    <row r="6788" spans="1:2" x14ac:dyDescent="0.2">
      <c r="A6788" t="s">
        <v>48</v>
      </c>
      <c r="B6788" s="45" t="s">
        <v>925</v>
      </c>
    </row>
    <row r="6789" spans="1:2" x14ac:dyDescent="0.2">
      <c r="A6789" t="s">
        <v>54</v>
      </c>
      <c r="B6789" s="45" t="str">
        <f>INDEX(overview!$B$4:$R$338,MATCH('hydrogen - electrolysis'!B6788,overview!$A$4:$A$338,0),MATCH('hydrogen - electrolysis'!A6789,overview!$B$3:$R$3,0))</f>
        <v>electricity, from residential heating system</v>
      </c>
    </row>
    <row r="6790" spans="1:2" x14ac:dyDescent="0.2">
      <c r="A6790" t="s">
        <v>55</v>
      </c>
      <c r="B6790" s="45" t="str">
        <f>INDEX(overview!$B$4:$R$338,MATCH('hydrogen - electrolysis'!B6788,overview!$A$4:$A$338,0),MATCH('hydrogen - electrolysis'!A6790,overview!$B$3:$R$3,0))</f>
        <v>kilowatt hour</v>
      </c>
    </row>
    <row r="6791" spans="1:2" x14ac:dyDescent="0.2">
      <c r="A6791" t="s">
        <v>0</v>
      </c>
      <c r="B6791" s="45" t="str">
        <f>INDEX(overview!$B$4:$R$338,MATCH('hydrogen - electrolysis'!B6788,overview!$A$4:$A$338,0),MATCH('hydrogen - electrolysis'!A6791,overview!$B$3:$R$3,0))</f>
        <v>Switzerland</v>
      </c>
    </row>
    <row r="6792" spans="1:2" x14ac:dyDescent="0.2">
      <c r="A6792" t="s">
        <v>1</v>
      </c>
      <c r="B6792" s="45">
        <f>INDEX(overview!$B$4:$R$338,MATCH('hydrogen - electrolysis'!B6788,overview!$A$4:$A$338,0),MATCH('hydrogen - electrolysis'!A6792,overview!$B$3:$R$3,0))</f>
        <v>2020</v>
      </c>
    </row>
    <row r="6793" spans="1:2" x14ac:dyDescent="0.2">
      <c r="A6793" t="s">
        <v>2</v>
      </c>
      <c r="B6793" s="45" t="str">
        <f>INDEX(overview!$B$4:$R$338,MATCH('hydrogen - electrolysis'!B6788,overview!$A$4:$A$338,0),MATCH('hydrogen - electrolysis'!A6793,overview!$B$3:$R$3,0))</f>
        <v>1 kWh electricity</v>
      </c>
    </row>
    <row r="6794" spans="1:2" x14ac:dyDescent="0.2">
      <c r="A6794" t="s">
        <v>5</v>
      </c>
      <c r="B6794" s="45" t="str">
        <f>INDEX(overview!$B$4:$R$338,MATCH('hydrogen - electrolysis'!B6788,overview!$A$4:$A$338,0),MATCH('hydrogen - electrolysis'!A6794,overview!$B$3:$R$3,0))</f>
        <v>hydrogen</v>
      </c>
    </row>
    <row r="6795" spans="1:2" x14ac:dyDescent="0.2">
      <c r="A6795" t="s">
        <v>3</v>
      </c>
      <c r="B6795" s="45" t="str">
        <f>INDEX(overview!$B$4:$R$338,MATCH('hydrogen - electrolysis'!B6788,overview!$A$4:$A$338,0),MATCH('hydrogen - electrolysis'!A6795,overview!$B$3:$R$3,0))</f>
        <v>combustion</v>
      </c>
    </row>
    <row r="6796" spans="1:2" x14ac:dyDescent="0.2">
      <c r="A6796" t="s">
        <v>6</v>
      </c>
      <c r="B6796" s="45" t="str">
        <f>INDEX(overview!$B$4:$R$338,MATCH('hydrogen - electrolysis'!B6788,overview!$A$4:$A$338,0),MATCH('hydrogen - electrolysis'!A6796,overview!$B$3:$R$3,0))</f>
        <v>CHP</v>
      </c>
    </row>
    <row r="6797" spans="1:2" x14ac:dyDescent="0.2">
      <c r="A6797" t="s">
        <v>39</v>
      </c>
      <c r="B6797" s="45" t="str">
        <f>INDEX(overview!$B$4:$R$338,MATCH('hydrogen - electrolysis'!B6788,overview!$A$4:$A$338,0),MATCH('hydrogen - electrolysis'!A6797,overview!$B$3:$R$3,0))</f>
        <v>exergy</v>
      </c>
    </row>
    <row r="6798" spans="1:2" x14ac:dyDescent="0.2">
      <c r="A6798" t="s">
        <v>4</v>
      </c>
      <c r="B6798" s="45" t="str">
        <f>INDEX(overview!$B$4:$R$338,MATCH('hydrogen - electrolysis'!B6788,overview!$A$4:$A$338,0),MATCH('hydrogen - electrolysis'!A6798,overview!$B$3:$R$3,0))</f>
        <v>pipeline</v>
      </c>
    </row>
    <row r="6799" spans="1:2" x14ac:dyDescent="0.2">
      <c r="A6799" t="s">
        <v>38</v>
      </c>
      <c r="B6799" s="45">
        <f>INDEX(overview!$B$4:$R$338,MATCH('hydrogen - electrolysis'!B6788,overview!$A$4:$A$338,0),MATCH('hydrogen - electrolysis'!A6799,overview!$B$3:$R$3,0))</f>
        <v>1000</v>
      </c>
    </row>
    <row r="6800" spans="1:2" x14ac:dyDescent="0.2">
      <c r="A6800" t="s">
        <v>12</v>
      </c>
      <c r="B6800" s="45" t="str">
        <f>INDEX(overview!$B$4:$R$338,MATCH('hydrogen - electrolysis'!B6788,overview!$A$4:$A$338,0),MATCH('hydrogen - electrolysis'!A6800,overview!$B$3:$R$3,0))</f>
        <v>Pressure vessel for stationary storage</v>
      </c>
    </row>
    <row r="6801" spans="1:2" x14ac:dyDescent="0.2">
      <c r="A6801" t="s">
        <v>34</v>
      </c>
      <c r="B6801" s="45">
        <f>INDEX(overview!$B$4:$R$338,MATCH('hydrogen - electrolysis'!B6788,overview!$A$4:$A$338,0),MATCH('hydrogen - electrolysis'!A6801,overview!$B$3:$R$3,0))</f>
        <v>0</v>
      </c>
    </row>
    <row r="6802" spans="1:2" x14ac:dyDescent="0.2">
      <c r="A6802" t="s">
        <v>15</v>
      </c>
      <c r="B6802" s="45" t="str">
        <f>INDEX(overview!$B$4:$R$338,MATCH('hydrogen - electrolysis'!B6788,overview!$A$4:$A$338,0),MATCH('hydrogen - electrolysis'!A6802,overview!$B$3:$R$3,0))</f>
        <v>Electrolysis, PEM</v>
      </c>
    </row>
    <row r="6803" spans="1:2" x14ac:dyDescent="0.2">
      <c r="A6803" t="s">
        <v>14</v>
      </c>
      <c r="B6803" s="45" t="str">
        <f>INDEX(overview!$B$4:$R$338,MATCH('hydrogen - electrolysis'!B6788,overview!$A$4:$A$338,0),MATCH('hydrogen - electrolysis'!A6803,overview!$B$3:$R$3,0))</f>
        <v>water and electricity</v>
      </c>
    </row>
    <row r="6804" spans="1:2" x14ac:dyDescent="0.2">
      <c r="A6804" t="s">
        <v>26</v>
      </c>
      <c r="B6804" s="45" t="str">
        <f>INDEX(overview!$B$4:$R$338,MATCH('hydrogen - electrolysis'!B6788,overview!$A$4:$A$338,0),MATCH('hydrogen - electrolysis'!A6804,overview!$B$3:$R$3,0))</f>
        <v>Solar PV (DE)</v>
      </c>
    </row>
    <row r="6805" spans="1:2" x14ac:dyDescent="0.2">
      <c r="A6805" t="s">
        <v>29</v>
      </c>
      <c r="B6805" s="45">
        <f>INDEX(overview!$B$4:$R$338,MATCH('hydrogen - electrolysis'!B6788,overview!$A$4:$A$338,0),MATCH('hydrogen - electrolysis'!A6805,overview!$B$3:$R$3,0))</f>
        <v>0</v>
      </c>
    </row>
    <row r="6806" spans="1:2" x14ac:dyDescent="0.2">
      <c r="A6806" t="str">
        <f>IF(B6790="megajoule","Heat","Electricity")&amp;" conversion efficiency [% LHV input]"</f>
        <v>Electricity conversion efficiency [% LHV input]</v>
      </c>
      <c r="B6806" s="46">
        <f>INDEX(parameters!$D$4:$N$20,MATCH('hydrogen - electrolysis'!B6794&amp;'hydrogen - electrolysis'!B6796,parameters!$A$4:$A$20,0),MATCH('hydrogen - electrolysis'!A6806,parameters!$D$3:$N$3,0))</f>
        <v>0.39400000000000002</v>
      </c>
    </row>
    <row r="6807" spans="1:2" x14ac:dyDescent="0.2">
      <c r="A6807" t="str">
        <f>IF(B6790="megajoule","LHV [MJ/kg]","LHV [kWh/kg]")</f>
        <v>LHV [kWh/kg]</v>
      </c>
      <c r="B6807" s="47">
        <f>INDEX(parameters!$D$4:$N$20,MATCH('hydrogen - electrolysis'!B6794&amp;'hydrogen - electrolysis'!B6796,parameters!$A$4:$A$20,0),MATCH('hydrogen - electrolysis'!A6807,parameters!$D$3:$N$3,0))</f>
        <v>33.333333333333336</v>
      </c>
    </row>
    <row r="6808" spans="1:2" x14ac:dyDescent="0.2">
      <c r="A6808" t="s">
        <v>41</v>
      </c>
      <c r="B6808" s="48">
        <f>INDEX(parameters!$D$4:$N$20,MATCH('hydrogen - electrolysis'!B6794&amp;'hydrogen - electrolysis'!B6796,parameters!$A$4:$A$20,0),MATCH('hydrogen - electrolysis'!A6808,parameters!$D$3:$N$3,0))</f>
        <v>2.6666666666666665E-2</v>
      </c>
    </row>
    <row r="6809" spans="1:2" x14ac:dyDescent="0.2">
      <c r="A6809" t="s">
        <v>45</v>
      </c>
      <c r="B6809" s="46">
        <f>INDEX(parameters!$D$4:$N$20,MATCH('hydrogen - electrolysis'!B6794&amp;'hydrogen - electrolysis'!B6796,parameters!$A$4:$A$20,0),MATCH('hydrogen - electrolysis'!A6809,parameters!$D$3:$N$3,0))</f>
        <v>0</v>
      </c>
    </row>
    <row r="6810" spans="1:2" x14ac:dyDescent="0.2">
      <c r="A6810" t="s">
        <v>46</v>
      </c>
      <c r="B6810" s="46">
        <f>INDEX(parameters!$D$4:$N$20,MATCH('hydrogen - electrolysis'!B6794&amp;'hydrogen - electrolysis'!B6796,parameters!$A$4:$A$20,0),MATCH('hydrogen - electrolysis'!A6810,parameters!$D$3:$N$3,0))</f>
        <v>1.4999999999999999E-2</v>
      </c>
    </row>
    <row r="6811" spans="1:2" x14ac:dyDescent="0.2">
      <c r="A6811" t="s">
        <v>43</v>
      </c>
      <c r="B6811" s="46">
        <f>INDEX(parameters!$D$4:$N$20,MATCH('hydrogen - electrolysis'!B6794&amp;'hydrogen - electrolysis'!B6796,parameters!$A$4:$A$20,0),MATCH('hydrogen - electrolysis'!A6811,parameters!$D$3:$N$3,0))</f>
        <v>0</v>
      </c>
    </row>
    <row r="6812" spans="1:2" x14ac:dyDescent="0.2">
      <c r="A6812" t="s">
        <v>44</v>
      </c>
      <c r="B6812" s="46">
        <f>INDEX(parameters!$D$4:$N$20,MATCH('hydrogen - electrolysis'!B6794&amp;'hydrogen - electrolysis'!B6796,parameters!$A$4:$A$20,0),MATCH('hydrogen - electrolysis'!A6812,parameters!$D$3:$N$3,0))</f>
        <v>0</v>
      </c>
    </row>
    <row r="6813" spans="1:2" x14ac:dyDescent="0.2">
      <c r="A6813" t="s">
        <v>634</v>
      </c>
      <c r="B6813" s="51">
        <f>INDEX(parameters!$D$4:$Y$20,MATCH('hydrogen - electrolysis'!B6794&amp;'hydrogen - electrolysis'!B6796,parameters!$A$4:$A$20,0),MATCH('hydrogen - electrolysis'!A6813,parameters!$D$3:$Y$3,0))</f>
        <v>351.41800246609125</v>
      </c>
    </row>
    <row r="6814" spans="1:2" x14ac:dyDescent="0.2">
      <c r="A6814" t="s">
        <v>82</v>
      </c>
      <c r="B6814" s="46">
        <f>IF(B6805&lt;&gt;0,VLOOKUP(B6805,parameters!A4357:B4359,2,0),0)</f>
        <v>0</v>
      </c>
    </row>
    <row r="6815" spans="1:2" x14ac:dyDescent="0.2">
      <c r="A6815" t="s">
        <v>548</v>
      </c>
      <c r="B6815" s="50">
        <f>INDEX(parameters!$D$4:$P$20,MATCH(B6794&amp;B6796,parameters!$A$4:$A$20,0),MATCH(A6815,parameters!$D$3:$P$3,0))</f>
        <v>125</v>
      </c>
    </row>
    <row r="6816" spans="1:2" x14ac:dyDescent="0.2">
      <c r="A6816" t="s">
        <v>547</v>
      </c>
      <c r="B6816" s="51">
        <f>INDEX(parameters!$D$4:$P$20,MATCH(B6794&amp;B6796,parameters!$A$4:$A$20,0),MATCH(A6816,parameters!$D$3:$P$3,0))</f>
        <v>19.512195121951219</v>
      </c>
    </row>
    <row r="6817" spans="1:22" x14ac:dyDescent="0.2">
      <c r="A6817" t="s">
        <v>630</v>
      </c>
      <c r="B6817" s="51">
        <f>INDEX(parameters!$D$4:$T$20,MATCH(B6794&amp;B6796,parameters!$A$4:$A$20,0),MATCH(A6817,parameters!$D$3:$T$3,0))</f>
        <v>4100</v>
      </c>
    </row>
    <row r="6818" spans="1:22" x14ac:dyDescent="0.2">
      <c r="A6818" t="s">
        <v>1005</v>
      </c>
      <c r="B6818" s="50">
        <f>IF(B6790="megajoule",SUMIFS(allocation!$I$4:$I$30,allocation!$B$4:$B$30,B6796,allocation!$C$4:$C$30,B6797),SUMIFS(allocation!$J$4:$J$30,allocation!$B$4:$B$30,B6796,allocation!$C$4:$C$30,B6797))</f>
        <v>0.87139957772704957</v>
      </c>
    </row>
    <row r="6819" spans="1:22" x14ac:dyDescent="0.2">
      <c r="A6819" t="s">
        <v>1050</v>
      </c>
      <c r="B6819" s="51">
        <f>INDEX(parameters!$D$4:$AB$20,MATCH(B6794&amp;B6796,parameters!$A$4:$A$20,0),MATCH(A6819,parameters!$D$3:$AB$3,0))</f>
        <v>2220.7364520822662</v>
      </c>
    </row>
    <row r="6821" spans="1:22" x14ac:dyDescent="0.2">
      <c r="A6821" s="3" t="s">
        <v>57</v>
      </c>
    </row>
    <row r="6822" spans="1:22" x14ac:dyDescent="0.2">
      <c r="A6822" s="2" t="s">
        <v>58</v>
      </c>
      <c r="B6822" s="44" t="s">
        <v>59</v>
      </c>
      <c r="C6822" s="2" t="s">
        <v>55</v>
      </c>
      <c r="D6822" s="2" t="s">
        <v>60</v>
      </c>
      <c r="E6822" s="2" t="s">
        <v>52</v>
      </c>
      <c r="F6822" s="2" t="s">
        <v>61</v>
      </c>
      <c r="G6822" s="2" t="s">
        <v>54</v>
      </c>
      <c r="H6822" s="2" t="s">
        <v>87</v>
      </c>
      <c r="I6822" s="2" t="s">
        <v>51</v>
      </c>
      <c r="J6822" s="2" t="s">
        <v>138</v>
      </c>
      <c r="K6822" s="2" t="s">
        <v>136</v>
      </c>
      <c r="L6822" s="2" t="s">
        <v>221</v>
      </c>
      <c r="M6822" s="2" t="s">
        <v>379</v>
      </c>
      <c r="N6822" s="2" t="s">
        <v>1059</v>
      </c>
      <c r="O6822" s="2" t="s">
        <v>1060</v>
      </c>
      <c r="P6822" s="2" t="s">
        <v>1061</v>
      </c>
      <c r="Q6822" s="2" t="s">
        <v>1062</v>
      </c>
      <c r="R6822" s="2" t="s">
        <v>1063</v>
      </c>
      <c r="S6822" s="2" t="s">
        <v>1064</v>
      </c>
      <c r="T6822" s="2" t="s">
        <v>1065</v>
      </c>
      <c r="U6822" s="2" t="s">
        <v>380</v>
      </c>
      <c r="V6822" s="2" t="s">
        <v>1128</v>
      </c>
    </row>
    <row r="6823" spans="1:22" x14ac:dyDescent="0.2">
      <c r="A6823" t="str">
        <f>B6784</f>
        <v>electricity, residential, by combustion of hydrogen using CHP, allocated by exergy, transported by pipeline, produced by Electrolysis, PEM using water and electricity from Solar PV (DE)</v>
      </c>
      <c r="B6823" s="45">
        <v>1</v>
      </c>
      <c r="C6823" t="str">
        <f>B6790</f>
        <v>kilowatt hour</v>
      </c>
      <c r="E6823" t="str">
        <f>B6787</f>
        <v>CH</v>
      </c>
      <c r="F6823" t="s">
        <v>62</v>
      </c>
      <c r="G6823" t="str">
        <f>B6789</f>
        <v>electricity, from residential heating system</v>
      </c>
      <c r="K6823" t="str">
        <f>B6784</f>
        <v>electricity, residential, by combustion of hydrogen using CHP, allocated by exergy, transported by pipeline, produced by Electrolysis, PEM using water and electricity from Solar PV (DE)</v>
      </c>
    </row>
    <row r="6824" spans="1:22" x14ac:dyDescent="0.2">
      <c r="A6824" t="str">
        <f>VLOOKUP(J6824,'dataset mapping'!$A$4:$E$69,2,0)</f>
        <v>heat and power co-generation unit construction, 160kW electrical, common components for heat+electricity</v>
      </c>
      <c r="B6824" s="52">
        <f>(1/(B6813*B6817*B6816))*B6818</f>
        <v>3.0995835856870056E-8</v>
      </c>
      <c r="C6824" t="str">
        <f>VLOOKUP(J6824,'dataset mapping'!$A$4:$E$69,5,0)</f>
        <v>unit</v>
      </c>
      <c r="E6824" t="str">
        <f>VLOOKUP(J6824,'dataset mapping'!$A$4:$E$69,4,0)</f>
        <v>RER</v>
      </c>
      <c r="F6824" t="s">
        <v>86</v>
      </c>
      <c r="G6824" t="str">
        <f>VLOOKUP(J6824,'dataset mapping'!$A$4:$E$69,3,0)</f>
        <v>heat and power co-generation unit, 160kW electrical, common components for heat+electricity</v>
      </c>
      <c r="H6824" t="s">
        <v>88</v>
      </c>
      <c r="J6824" t="s">
        <v>145</v>
      </c>
      <c r="K6824" t="str">
        <f>B6784</f>
        <v>electricity, residential, by combustion of hydrogen using CHP, allocated by exergy, transported by pipeline, produced by Electrolysis, PEM using water and electricity from Solar PV (DE)</v>
      </c>
      <c r="L6824">
        <f t="shared" ref="L6824:L6831" si="268">IF(OR(B6824&lt;0,B6824=0),1,2)</f>
        <v>2</v>
      </c>
      <c r="M6824">
        <f t="shared" ref="M6824:M6831" si="269">IF(L6824=2,LN(B6824),"")</f>
        <v>-17.28941296868171</v>
      </c>
      <c r="N6824">
        <v>1.05</v>
      </c>
      <c r="O6824" s="15">
        <v>1.2</v>
      </c>
      <c r="P6824">
        <v>1</v>
      </c>
      <c r="Q6824">
        <v>1.01</v>
      </c>
      <c r="R6824">
        <v>1.2</v>
      </c>
      <c r="S6824">
        <v>1.2</v>
      </c>
      <c r="T6824">
        <v>3</v>
      </c>
      <c r="U6824">
        <f t="shared" ref="U6824:U6831" si="270">LN(SQRT(EXP(
SQRT(
+POWER(LN(N6824),2)
+POWER(LN(O6824),2)
+POWER(LN(P6824),2)
+POWER(LN(Q6824),2)
+POWER(LN(R6824),2)
+POWER(LN(S6824),2)
+POWER(LN(T6824),2)
)
)))</f>
        <v>0.57209088006881903</v>
      </c>
    </row>
    <row r="6825" spans="1:22" x14ac:dyDescent="0.2">
      <c r="A6825" t="str">
        <f>VLOOKUP(J6825,'dataset mapping'!$A$4:$E$69,2,0)</f>
        <v>heat and power co-generation unit construction, 160kW electrical, components for electricity only</v>
      </c>
      <c r="B6825" s="52">
        <f>(1/(B6813*B6817*B6816))*B6818</f>
        <v>3.0995835856870056E-8</v>
      </c>
      <c r="C6825" t="str">
        <f>VLOOKUP(J6825,'dataset mapping'!$A$4:$E$69,5,0)</f>
        <v>unit</v>
      </c>
      <c r="E6825" t="str">
        <f>VLOOKUP(J6825,'dataset mapping'!$A$4:$E$69,4,0)</f>
        <v>RER</v>
      </c>
      <c r="F6825" t="s">
        <v>86</v>
      </c>
      <c r="G6825" t="str">
        <f>VLOOKUP(J6825,'dataset mapping'!$A$4:$E$69,3,0)</f>
        <v>heat and power co-generation unit, 160kW electrical, components for electricity only</v>
      </c>
      <c r="H6825" t="s">
        <v>88</v>
      </c>
      <c r="J6825" t="s">
        <v>146</v>
      </c>
      <c r="K6825" t="str">
        <f>B6784</f>
        <v>electricity, residential, by combustion of hydrogen using CHP, allocated by exergy, transported by pipeline, produced by Electrolysis, PEM using water and electricity from Solar PV (DE)</v>
      </c>
      <c r="L6825">
        <f t="shared" si="268"/>
        <v>2</v>
      </c>
      <c r="M6825">
        <f t="shared" si="269"/>
        <v>-17.28941296868171</v>
      </c>
      <c r="N6825">
        <v>1.05</v>
      </c>
      <c r="O6825" s="15">
        <v>1.2</v>
      </c>
      <c r="P6825">
        <v>1</v>
      </c>
      <c r="Q6825">
        <v>1.01</v>
      </c>
      <c r="R6825">
        <v>1.2</v>
      </c>
      <c r="S6825">
        <v>1.2</v>
      </c>
      <c r="T6825">
        <v>3</v>
      </c>
      <c r="U6825">
        <f t="shared" si="270"/>
        <v>0.57209088006881903</v>
      </c>
    </row>
    <row r="6826" spans="1:22" x14ac:dyDescent="0.2">
      <c r="A6826" t="str">
        <f>VLOOKUP(J6826,'dataset mapping'!$A$4:$E$69,2,0)</f>
        <v>heat and power co-generation unit construction, 160kW electrical, components for heat only</v>
      </c>
      <c r="B6826" s="52">
        <f>(1/(B6813*B6817*B6816))*B6818</f>
        <v>3.0995835856870056E-8</v>
      </c>
      <c r="C6826" t="str">
        <f>VLOOKUP(J6826,'dataset mapping'!$A$4:$E$69,5,0)</f>
        <v>unit</v>
      </c>
      <c r="E6826" t="str">
        <f>VLOOKUP(J6826,'dataset mapping'!$A$4:$E$69,4,0)</f>
        <v>RER</v>
      </c>
      <c r="F6826" t="s">
        <v>86</v>
      </c>
      <c r="G6826" t="str">
        <f>VLOOKUP(J6826,'dataset mapping'!$A$4:$E$69,3,0)</f>
        <v>heat and power co-generation unit, 160kW electrical, components for heat only</v>
      </c>
      <c r="H6826" t="s">
        <v>88</v>
      </c>
      <c r="J6826" t="s">
        <v>147</v>
      </c>
      <c r="K6826" t="str">
        <f>B6784</f>
        <v>electricity, residential, by combustion of hydrogen using CHP, allocated by exergy, transported by pipeline, produced by Electrolysis, PEM using water and electricity from Solar PV (DE)</v>
      </c>
      <c r="L6826">
        <f t="shared" si="268"/>
        <v>2</v>
      </c>
      <c r="M6826">
        <f t="shared" si="269"/>
        <v>-17.28941296868171</v>
      </c>
      <c r="N6826">
        <v>1.05</v>
      </c>
      <c r="O6826" s="15">
        <v>1.2</v>
      </c>
      <c r="P6826">
        <v>1</v>
      </c>
      <c r="Q6826">
        <v>1.01</v>
      </c>
      <c r="R6826">
        <v>1.2</v>
      </c>
      <c r="S6826">
        <v>1.2</v>
      </c>
      <c r="T6826">
        <v>3</v>
      </c>
      <c r="U6826">
        <f t="shared" si="270"/>
        <v>0.57209088006881903</v>
      </c>
    </row>
    <row r="6827" spans="1:22" x14ac:dyDescent="0.2">
      <c r="A6827" t="s">
        <v>156</v>
      </c>
      <c r="B6827" s="52">
        <f>0.00000011366*B6818</f>
        <v>9.9043276004456456E-8</v>
      </c>
      <c r="C6827" t="s">
        <v>56</v>
      </c>
      <c r="E6827" t="s">
        <v>90</v>
      </c>
      <c r="F6827" t="s">
        <v>86</v>
      </c>
      <c r="G6827" t="s">
        <v>154</v>
      </c>
      <c r="H6827" t="s">
        <v>155</v>
      </c>
      <c r="K6827" t="str">
        <f>B6784</f>
        <v>electricity, residential, by combustion of hydrogen using CHP, allocated by exergy, transported by pipeline, produced by Electrolysis, PEM using water and electricity from Solar PV (DE)</v>
      </c>
      <c r="L6827">
        <f t="shared" si="268"/>
        <v>2</v>
      </c>
      <c r="M6827">
        <f t="shared" si="269"/>
        <v>-16.127708950967754</v>
      </c>
      <c r="N6827">
        <v>1.05</v>
      </c>
      <c r="O6827" s="15">
        <v>1.2</v>
      </c>
      <c r="P6827">
        <v>1</v>
      </c>
      <c r="Q6827">
        <v>1.01</v>
      </c>
      <c r="R6827">
        <v>1.2</v>
      </c>
      <c r="S6827">
        <v>1.2</v>
      </c>
      <c r="T6827">
        <v>1.05</v>
      </c>
      <c r="U6827">
        <f t="shared" si="270"/>
        <v>0.16169679924070957</v>
      </c>
    </row>
    <row r="6828" spans="1:22" x14ac:dyDescent="0.2">
      <c r="A6828" t="s">
        <v>157</v>
      </c>
      <c r="B6828" s="52">
        <f>0.00000011366*B6818*-1</f>
        <v>-9.9043276004456456E-8</v>
      </c>
      <c r="C6828" t="s">
        <v>56</v>
      </c>
      <c r="E6828" t="s">
        <v>64</v>
      </c>
      <c r="F6828" t="s">
        <v>86</v>
      </c>
      <c r="G6828" t="s">
        <v>158</v>
      </c>
      <c r="H6828" t="s">
        <v>155</v>
      </c>
      <c r="K6828" t="str">
        <f>B6784</f>
        <v>electricity, residential, by combustion of hydrogen using CHP, allocated by exergy, transported by pipeline, produced by Electrolysis, PEM using water and electricity from Solar PV (DE)</v>
      </c>
      <c r="L6828">
        <v>2</v>
      </c>
      <c r="M6828">
        <f>IF(L6828=2,LN(B6828*-1),"")</f>
        <v>-16.127708950967754</v>
      </c>
      <c r="N6828">
        <v>1.05</v>
      </c>
      <c r="O6828" s="15">
        <v>1.2</v>
      </c>
      <c r="P6828">
        <v>1</v>
      </c>
      <c r="Q6828">
        <v>1.01</v>
      </c>
      <c r="R6828">
        <v>1.2</v>
      </c>
      <c r="S6828">
        <v>1.2</v>
      </c>
      <c r="T6828">
        <v>3</v>
      </c>
      <c r="U6828">
        <f>LN(SQRT(EXP(
SQRT(
+POWER(LN(N6828),2)
+POWER(LN(O6828),2)
+POWER(LN(P6828),2)
+POWER(LN(Q6828),2)
+POWER(LN(R6828),2)
+POWER(LN(S6828),2)
+POWER(LN(T6828),2)
)
)))</f>
        <v>0.57209088006881903</v>
      </c>
      <c r="V6828" t="b">
        <v>1</v>
      </c>
    </row>
    <row r="6829" spans="1:22" x14ac:dyDescent="0.2">
      <c r="A6829" s="45" t="str">
        <f>"hydrogen supply, transported by "&amp;B6798&amp;", produced by "&amp;B6802&amp;" using "&amp;B6803&amp;" from "&amp;B6804</f>
        <v>hydrogen supply, transported by pipeline, produced by Electrolysis, PEM using water and electricity from Solar PV (DE)</v>
      </c>
      <c r="B6829" s="53">
        <f>(B6823/B6807)/B6806*B6818</f>
        <v>6.6350221654343872E-2</v>
      </c>
      <c r="C6829" t="s">
        <v>56</v>
      </c>
      <c r="E6829" t="s">
        <v>64</v>
      </c>
      <c r="F6829" t="s">
        <v>86</v>
      </c>
      <c r="G6829" t="str">
        <f>"hydrogen, gaseous, from "&amp;B6798</f>
        <v>hydrogen, gaseous, from pipeline</v>
      </c>
      <c r="H6829" t="s">
        <v>76</v>
      </c>
      <c r="I6829" t="s">
        <v>1054</v>
      </c>
      <c r="J6829" t="s">
        <v>298</v>
      </c>
      <c r="K6829" t="str">
        <f>B6784</f>
        <v>electricity, residential, by combustion of hydrogen using CHP, allocated by exergy, transported by pipeline, produced by Electrolysis, PEM using water and electricity from Solar PV (DE)</v>
      </c>
      <c r="L6829">
        <f t="shared" si="268"/>
        <v>2</v>
      </c>
      <c r="M6829">
        <f t="shared" si="269"/>
        <v>-2.7128081775260964</v>
      </c>
      <c r="N6829">
        <v>1.05</v>
      </c>
      <c r="O6829" s="15">
        <v>1.2</v>
      </c>
      <c r="P6829">
        <v>1</v>
      </c>
      <c r="Q6829">
        <v>1.01</v>
      </c>
      <c r="R6829">
        <v>1.2</v>
      </c>
      <c r="S6829">
        <v>1.2</v>
      </c>
      <c r="T6829">
        <v>1.05</v>
      </c>
      <c r="U6829">
        <f t="shared" si="270"/>
        <v>0.16169679924070957</v>
      </c>
    </row>
    <row r="6830" spans="1:22" x14ac:dyDescent="0.2">
      <c r="A6830" t="s">
        <v>134</v>
      </c>
      <c r="B6830" s="45">
        <f>B6829*9</f>
        <v>0.59715199488909487</v>
      </c>
      <c r="C6830" t="s">
        <v>56</v>
      </c>
      <c r="D6830" t="s">
        <v>100</v>
      </c>
      <c r="F6830" t="s">
        <v>99</v>
      </c>
      <c r="H6830" t="s">
        <v>131</v>
      </c>
      <c r="I6830" t="s">
        <v>1058</v>
      </c>
      <c r="K6830" t="str">
        <f>B6784</f>
        <v>electricity, residential, by combustion of hydrogen using CHP, allocated by exergy, transported by pipeline, produced by Electrolysis, PEM using water and electricity from Solar PV (DE)</v>
      </c>
      <c r="L6830">
        <f t="shared" si="268"/>
        <v>2</v>
      </c>
      <c r="M6830">
        <f t="shared" si="269"/>
        <v>-0.51558360018987692</v>
      </c>
      <c r="N6830">
        <v>1.05</v>
      </c>
      <c r="O6830" s="15">
        <v>1.2</v>
      </c>
      <c r="P6830">
        <v>1</v>
      </c>
      <c r="Q6830">
        <v>1.01</v>
      </c>
      <c r="R6830">
        <v>1.2</v>
      </c>
      <c r="S6830">
        <v>1.2</v>
      </c>
      <c r="T6830">
        <v>1.05</v>
      </c>
      <c r="U6830">
        <f t="shared" si="270"/>
        <v>0.16169679924070957</v>
      </c>
    </row>
    <row r="6831" spans="1:22" x14ac:dyDescent="0.2">
      <c r="A6831" t="s">
        <v>135</v>
      </c>
      <c r="B6831" s="45">
        <f>912.5/1000000*B6829</f>
        <v>6.0544577259588785E-5</v>
      </c>
      <c r="C6831" t="s">
        <v>56</v>
      </c>
      <c r="D6831" t="s">
        <v>100</v>
      </c>
      <c r="F6831" t="s">
        <v>99</v>
      </c>
      <c r="H6831" t="s">
        <v>131</v>
      </c>
      <c r="I6831" t="s">
        <v>1217</v>
      </c>
      <c r="K6831" t="str">
        <f>B6784</f>
        <v>electricity, residential, by combustion of hydrogen using CHP, allocated by exergy, transported by pipeline, produced by Electrolysis, PEM using water and electricity from Solar PV (DE)</v>
      </c>
      <c r="L6831">
        <f t="shared" si="268"/>
        <v>2</v>
      </c>
      <c r="M6831">
        <f t="shared" si="269"/>
        <v>-9.712130650033723</v>
      </c>
      <c r="N6831">
        <v>1.05</v>
      </c>
      <c r="O6831" s="15">
        <v>1.2</v>
      </c>
      <c r="P6831">
        <v>1</v>
      </c>
      <c r="Q6831">
        <v>1.01</v>
      </c>
      <c r="R6831">
        <v>1.2</v>
      </c>
      <c r="S6831">
        <v>1.2</v>
      </c>
      <c r="T6831">
        <v>1.5</v>
      </c>
      <c r="U6831">
        <f t="shared" si="270"/>
        <v>0.25816898211842121</v>
      </c>
    </row>
    <row r="6833" spans="1:2" x14ac:dyDescent="0.2">
      <c r="A6833" s="2" t="s">
        <v>50</v>
      </c>
      <c r="B6833" s="44" t="str">
        <f>IF(B6839="megajoule","heat","electricity")&amp;", residential, by "&amp;B6844&amp;" of "&amp;B6843&amp;" using "&amp;B6845&amp;IF(B6846&lt;&gt;0,", allocated by "&amp;B6846,"")&amp;", transported by "&amp;B6847&amp;", produced by "&amp;B6851&amp;" using "&amp;B6852&amp;" from "&amp;B6853</f>
        <v>electricity, residential, by conversion of hydrogen using fuel cell, PEM, allocated by exergy, transported by pipeline, produced by Electrolysis, PEM using water and electricity from Solar PV (DE)</v>
      </c>
    </row>
    <row r="6834" spans="1:2" x14ac:dyDescent="0.2">
      <c r="A6834" t="s">
        <v>51</v>
      </c>
      <c r="B6834" s="45" t="str">
        <f>"This dataset represents the supply of 1 "&amp;IF(B6839="megajoule","megajoule of heat","kilowatt hour of electricity")&amp;" in a residence, by "&amp;B6843&amp;" "&amp;B6844&amp;" in a "&amp;B6845&amp;". "&amp;" The hydrogen is transported by "&amp;B6847&amp;" over "&amp;B6848&amp;" km from regional storage. "&amp;" The "&amp;B6843&amp;" is produced by  "&amp;B6851&amp;", with "&amp;B6852&amp;" from "&amp;B6853&amp;" as feedstock. "&amp;A6855&amp;": "&amp;(B6855*100)&amp;"%. "&amp;A6856&amp;": "&amp;B6856&amp;". "&amp;A6857&amp;": "&amp;B6857&amp;". "&amp;A6858&amp;": "&amp;(B6858*100)&amp;"%. "&amp;A6859&amp;": "&amp;(B6859*100)&amp;"%. "&amp;A6860&amp;": "&amp;(B6860*100)&amp;"%. "&amp;A6861&amp;": "&amp;B6861&amp;". "&amp;A6862&amp;": "&amp;B6862&amp;". "&amp;A6863&amp;": "&amp;(B6863*100)&amp;"%. "&amp;A6864&amp;": "&amp;B6864&amp;". "&amp;A6865&amp;": "&amp;B6865&amp;". "&amp;A6866&amp;": "&amp;B6866&amp;". "&amp;A6867&amp;": "&amp;B6867&amp;".  For more information, refer to: "&amp;B6835</f>
        <v>This dataset represents the supply of 1 kilowatt hour of electricity in a residence, by hydrogen conversion in a fuel cell, PEM.  The hydrogen is transported by pipeline over 1000 km from regional storage.  The hydrogen is produced by  Electrolysis, PEM,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6835" spans="1:2" x14ac:dyDescent="0.2">
      <c r="A6835" t="s">
        <v>63</v>
      </c>
      <c r="B6835" s="45" t="s">
        <v>1223</v>
      </c>
    </row>
    <row r="6836" spans="1:2" x14ac:dyDescent="0.2">
      <c r="A6836" t="s">
        <v>52</v>
      </c>
      <c r="B6836" s="45" t="s">
        <v>64</v>
      </c>
    </row>
    <row r="6837" spans="1:2" x14ac:dyDescent="0.2">
      <c r="A6837" t="s">
        <v>48</v>
      </c>
      <c r="B6837" s="45" t="s">
        <v>926</v>
      </c>
    </row>
    <row r="6838" spans="1:2" x14ac:dyDescent="0.2">
      <c r="A6838" t="s">
        <v>54</v>
      </c>
      <c r="B6838" s="45" t="str">
        <f>INDEX(overview!$B$4:$R$338,MATCH('hydrogen - electrolysis'!B6837,overview!$A$4:$A$338,0),MATCH('hydrogen - electrolysis'!A6838,overview!$B$3:$R$3,0))</f>
        <v>electricity, from residential heating system</v>
      </c>
    </row>
    <row r="6839" spans="1:2" x14ac:dyDescent="0.2">
      <c r="A6839" t="s">
        <v>55</v>
      </c>
      <c r="B6839" s="45" t="str">
        <f>INDEX(overview!$B$4:$R$338,MATCH('hydrogen - electrolysis'!B6837,overview!$A$4:$A$338,0),MATCH('hydrogen - electrolysis'!A6839,overview!$B$3:$R$3,0))</f>
        <v>kilowatt hour</v>
      </c>
    </row>
    <row r="6840" spans="1:2" x14ac:dyDescent="0.2">
      <c r="A6840" t="s">
        <v>0</v>
      </c>
      <c r="B6840" s="45" t="str">
        <f>INDEX(overview!$B$4:$R$338,MATCH('hydrogen - electrolysis'!B6837,overview!$A$4:$A$338,0),MATCH('hydrogen - electrolysis'!A6840,overview!$B$3:$R$3,0))</f>
        <v>Switzerland</v>
      </c>
    </row>
    <row r="6841" spans="1:2" x14ac:dyDescent="0.2">
      <c r="A6841" t="s">
        <v>1</v>
      </c>
      <c r="B6841" s="45">
        <f>INDEX(overview!$B$4:$R$338,MATCH('hydrogen - electrolysis'!B6837,overview!$A$4:$A$338,0),MATCH('hydrogen - electrolysis'!A6841,overview!$B$3:$R$3,0))</f>
        <v>2020</v>
      </c>
    </row>
    <row r="6842" spans="1:2" x14ac:dyDescent="0.2">
      <c r="A6842" t="s">
        <v>2</v>
      </c>
      <c r="B6842" s="45" t="str">
        <f>INDEX(overview!$B$4:$R$338,MATCH('hydrogen - electrolysis'!B6837,overview!$A$4:$A$338,0),MATCH('hydrogen - electrolysis'!A6842,overview!$B$3:$R$3,0))</f>
        <v>1 kWh electricity</v>
      </c>
    </row>
    <row r="6843" spans="1:2" x14ac:dyDescent="0.2">
      <c r="A6843" t="s">
        <v>5</v>
      </c>
      <c r="B6843" s="45" t="str">
        <f>INDEX(overview!$B$4:$R$338,MATCH('hydrogen - electrolysis'!B6837,overview!$A$4:$A$338,0),MATCH('hydrogen - electrolysis'!A6843,overview!$B$3:$R$3,0))</f>
        <v>hydrogen</v>
      </c>
    </row>
    <row r="6844" spans="1:2" x14ac:dyDescent="0.2">
      <c r="A6844" t="s">
        <v>3</v>
      </c>
      <c r="B6844" s="45" t="str">
        <f>INDEX(overview!$B$4:$R$338,MATCH('hydrogen - electrolysis'!B6837,overview!$A$4:$A$338,0),MATCH('hydrogen - electrolysis'!A6844,overview!$B$3:$R$3,0))</f>
        <v>conversion</v>
      </c>
    </row>
    <row r="6845" spans="1:2" x14ac:dyDescent="0.2">
      <c r="A6845" t="s">
        <v>6</v>
      </c>
      <c r="B6845" s="45" t="str">
        <f>INDEX(overview!$B$4:$R$338,MATCH('hydrogen - electrolysis'!B6837,overview!$A$4:$A$338,0),MATCH('hydrogen - electrolysis'!A6845,overview!$B$3:$R$3,0))</f>
        <v>fuel cell, PEM</v>
      </c>
    </row>
    <row r="6846" spans="1:2" x14ac:dyDescent="0.2">
      <c r="A6846" t="s">
        <v>39</v>
      </c>
      <c r="B6846" s="45" t="str">
        <f>INDEX(overview!$B$4:$R$338,MATCH('hydrogen - electrolysis'!B6837,overview!$A$4:$A$338,0),MATCH('hydrogen - electrolysis'!A6846,overview!$B$3:$R$3,0))</f>
        <v>exergy</v>
      </c>
    </row>
    <row r="6847" spans="1:2" x14ac:dyDescent="0.2">
      <c r="A6847" t="s">
        <v>4</v>
      </c>
      <c r="B6847" s="45" t="str">
        <f>INDEX(overview!$B$4:$R$338,MATCH('hydrogen - electrolysis'!B6837,overview!$A$4:$A$338,0),MATCH('hydrogen - electrolysis'!A6847,overview!$B$3:$R$3,0))</f>
        <v>pipeline</v>
      </c>
    </row>
    <row r="6848" spans="1:2" x14ac:dyDescent="0.2">
      <c r="A6848" t="s">
        <v>38</v>
      </c>
      <c r="B6848" s="45">
        <f>INDEX(overview!$B$4:$R$338,MATCH('hydrogen - electrolysis'!B6837,overview!$A$4:$A$338,0),MATCH('hydrogen - electrolysis'!A6848,overview!$B$3:$R$3,0))</f>
        <v>1000</v>
      </c>
    </row>
    <row r="6849" spans="1:2" x14ac:dyDescent="0.2">
      <c r="A6849" t="s">
        <v>12</v>
      </c>
      <c r="B6849" s="45" t="str">
        <f>INDEX(overview!$B$4:$R$338,MATCH('hydrogen - electrolysis'!B6837,overview!$A$4:$A$338,0),MATCH('hydrogen - electrolysis'!A6849,overview!$B$3:$R$3,0))</f>
        <v>Pressure vessel for stationary storage</v>
      </c>
    </row>
    <row r="6850" spans="1:2" x14ac:dyDescent="0.2">
      <c r="A6850" t="s">
        <v>34</v>
      </c>
      <c r="B6850" s="45">
        <f>INDEX(overview!$B$4:$R$338,MATCH('hydrogen - electrolysis'!B6837,overview!$A$4:$A$338,0),MATCH('hydrogen - electrolysis'!A6850,overview!$B$3:$R$3,0))</f>
        <v>0</v>
      </c>
    </row>
    <row r="6851" spans="1:2" x14ac:dyDescent="0.2">
      <c r="A6851" t="s">
        <v>15</v>
      </c>
      <c r="B6851" s="45" t="str">
        <f>INDEX(overview!$B$4:$R$338,MATCH('hydrogen - electrolysis'!B6837,overview!$A$4:$A$338,0),MATCH('hydrogen - electrolysis'!A6851,overview!$B$3:$R$3,0))</f>
        <v>Electrolysis, PEM</v>
      </c>
    </row>
    <row r="6852" spans="1:2" x14ac:dyDescent="0.2">
      <c r="A6852" t="s">
        <v>14</v>
      </c>
      <c r="B6852" s="45" t="str">
        <f>INDEX(overview!$B$4:$R$338,MATCH('hydrogen - electrolysis'!B6837,overview!$A$4:$A$338,0),MATCH('hydrogen - electrolysis'!A6852,overview!$B$3:$R$3,0))</f>
        <v>water and electricity</v>
      </c>
    </row>
    <row r="6853" spans="1:2" x14ac:dyDescent="0.2">
      <c r="A6853" t="s">
        <v>26</v>
      </c>
      <c r="B6853" s="45" t="str">
        <f>INDEX(overview!$B$4:$R$338,MATCH('hydrogen - electrolysis'!B6837,overview!$A$4:$A$338,0),MATCH('hydrogen - electrolysis'!A6853,overview!$B$3:$R$3,0))</f>
        <v>Solar PV (DE)</v>
      </c>
    </row>
    <row r="6854" spans="1:2" x14ac:dyDescent="0.2">
      <c r="A6854" t="s">
        <v>29</v>
      </c>
      <c r="B6854" s="45">
        <f>INDEX(overview!$B$4:$R$338,MATCH('hydrogen - electrolysis'!B6837,overview!$A$4:$A$338,0),MATCH('hydrogen - electrolysis'!A6854,overview!$B$3:$R$3,0))</f>
        <v>0</v>
      </c>
    </row>
    <row r="6855" spans="1:2" x14ac:dyDescent="0.2">
      <c r="A6855" t="str">
        <f>IF(B6839="megajoule","Heat","Electricity")&amp;" conversion efficiency [% LHV input]"</f>
        <v>Electricity conversion efficiency [% LHV input]</v>
      </c>
      <c r="B6855" s="46">
        <f>INDEX(parameters!$D$4:$N$20,MATCH('hydrogen - electrolysis'!B6843&amp;'hydrogen - electrolysis'!B6845,parameters!$A$4:$A$20,0),MATCH('hydrogen - electrolysis'!A6855,parameters!$D$3:$N$3,0))</f>
        <v>0.45</v>
      </c>
    </row>
    <row r="6856" spans="1:2" x14ac:dyDescent="0.2">
      <c r="A6856" t="str">
        <f>IF(B6839="megajoule","LHV [MJ/kg]","LHV [kWh/kg]")</f>
        <v>LHV [kWh/kg]</v>
      </c>
      <c r="B6856" s="47">
        <f>INDEX(parameters!$D$4:$N$20,MATCH('hydrogen - electrolysis'!B6843&amp;'hydrogen - electrolysis'!B6845,parameters!$A$4:$A$20,0),MATCH('hydrogen - electrolysis'!A6856,parameters!$D$3:$N$3,0))</f>
        <v>33.333333333333336</v>
      </c>
    </row>
    <row r="6857" spans="1:2" x14ac:dyDescent="0.2">
      <c r="A6857" t="s">
        <v>41</v>
      </c>
      <c r="B6857" s="48">
        <f>INDEX(parameters!$D$4:$N$20,MATCH('hydrogen - electrolysis'!B6843&amp;'hydrogen - electrolysis'!B6845,parameters!$A$4:$A$20,0),MATCH('hydrogen - electrolysis'!A6857,parameters!$D$3:$N$3,0))</f>
        <v>2.6666666666666665E-2</v>
      </c>
    </row>
    <row r="6858" spans="1:2" x14ac:dyDescent="0.2">
      <c r="A6858" t="s">
        <v>45</v>
      </c>
      <c r="B6858" s="46">
        <f>INDEX(parameters!$D$4:$N$20,MATCH('hydrogen - electrolysis'!B6843&amp;'hydrogen - electrolysis'!B6845,parameters!$A$4:$A$20,0),MATCH('hydrogen - electrolysis'!A6858,parameters!$D$3:$N$3,0))</f>
        <v>0</v>
      </c>
    </row>
    <row r="6859" spans="1:2" x14ac:dyDescent="0.2">
      <c r="A6859" t="s">
        <v>46</v>
      </c>
      <c r="B6859" s="46">
        <f>INDEX(parameters!$D$4:$N$20,MATCH('hydrogen - electrolysis'!B6843&amp;'hydrogen - electrolysis'!B6845,parameters!$A$4:$A$20,0),MATCH('hydrogen - electrolysis'!A6859,parameters!$D$3:$N$3,0))</f>
        <v>1.4999999999999999E-2</v>
      </c>
    </row>
    <row r="6860" spans="1:2" x14ac:dyDescent="0.2">
      <c r="A6860" t="s">
        <v>43</v>
      </c>
      <c r="B6860" s="46">
        <f>INDEX(parameters!$D$4:$N$20,MATCH('hydrogen - electrolysis'!B6843&amp;'hydrogen - electrolysis'!B6845,parameters!$A$4:$A$20,0),MATCH('hydrogen - electrolysis'!A6860,parameters!$D$3:$N$3,0))</f>
        <v>0</v>
      </c>
    </row>
    <row r="6861" spans="1:2" x14ac:dyDescent="0.2">
      <c r="A6861" t="s">
        <v>44</v>
      </c>
      <c r="B6861" s="46">
        <f>INDEX(parameters!$D$4:$N$20,MATCH('hydrogen - electrolysis'!B6843&amp;'hydrogen - electrolysis'!B6845,parameters!$A$4:$A$20,0),MATCH('hydrogen - electrolysis'!A6861,parameters!$D$3:$N$3,0))</f>
        <v>0</v>
      </c>
    </row>
    <row r="6862" spans="1:2" x14ac:dyDescent="0.2">
      <c r="A6862" t="s">
        <v>634</v>
      </c>
      <c r="B6862" s="51">
        <f>INDEX(parameters!$D$4:$Y$20,MATCH('hydrogen - electrolysis'!B6843&amp;'hydrogen - electrolysis'!B6845,parameters!$A$4:$A$20,0),MATCH('hydrogen - electrolysis'!A6862,parameters!$D$3:$Y$3,0))</f>
        <v>1.8947368421052633</v>
      </c>
    </row>
    <row r="6863" spans="1:2" x14ac:dyDescent="0.2">
      <c r="A6863" t="s">
        <v>82</v>
      </c>
      <c r="B6863" s="46">
        <f>IF(B6854&lt;&gt;0,VLOOKUP(B6854,parameters!A4411:B4413,2,0),0)</f>
        <v>0</v>
      </c>
    </row>
    <row r="6864" spans="1:2" x14ac:dyDescent="0.2">
      <c r="A6864" t="s">
        <v>548</v>
      </c>
      <c r="B6864" s="50">
        <f>INDEX(parameters!$D$4:$P$20,MATCH(B6843&amp;B6845,parameters!$A$4:$A$20,0),MATCH(A6864,parameters!$D$3:$P$3,0))</f>
        <v>0.8</v>
      </c>
    </row>
    <row r="6865" spans="1:22" x14ac:dyDescent="0.2">
      <c r="A6865" t="s">
        <v>547</v>
      </c>
      <c r="B6865" s="51">
        <f>INDEX(parameters!$D$4:$P$20,MATCH(B6843&amp;B6845,parameters!$A$4:$A$20,0),MATCH(A6865,parameters!$D$3:$P$3,0))</f>
        <v>4.8780487804878048</v>
      </c>
    </row>
    <row r="6866" spans="1:22" x14ac:dyDescent="0.2">
      <c r="A6866" t="s">
        <v>630</v>
      </c>
      <c r="B6866" s="51">
        <f>INDEX(parameters!$D$4:$T$20,MATCH(B6843&amp;B6845,parameters!$A$4:$A$20,0),MATCH(A6866,parameters!$D$3:$T$3,0))</f>
        <v>4100</v>
      </c>
    </row>
    <row r="6867" spans="1:22" x14ac:dyDescent="0.2">
      <c r="A6867" t="s">
        <v>1005</v>
      </c>
      <c r="B6867" s="50">
        <f>IF(B6839="megajoule",SUMIFS(allocation!$I$4:$I$30,allocation!$B$4:$B$30,B6845,allocation!$C$4:$C$30,B6846),SUMIFS(allocation!$J$4:$J$30,allocation!$B$4:$B$30,B6845,allocation!$C$4:$C$30,B6846))</f>
        <v>0.86066019201025545</v>
      </c>
    </row>
    <row r="6868" spans="1:22" x14ac:dyDescent="0.2">
      <c r="A6868" t="s">
        <v>1050</v>
      </c>
      <c r="B6868" s="51">
        <f>INDEX(parameters!$D$4:$AB$20,MATCH(B6843&amp;B6845,parameters!$A$4:$A$20,0),MATCH(A6868,parameters!$D$3:$AB$3,0))</f>
        <v>10.221606648199446</v>
      </c>
    </row>
    <row r="6870" spans="1:22" x14ac:dyDescent="0.2">
      <c r="A6870" s="3" t="s">
        <v>57</v>
      </c>
    </row>
    <row r="6871" spans="1:22" x14ac:dyDescent="0.2">
      <c r="A6871" s="2" t="s">
        <v>58</v>
      </c>
      <c r="B6871" s="44" t="s">
        <v>59</v>
      </c>
      <c r="C6871" s="2" t="s">
        <v>55</v>
      </c>
      <c r="D6871" s="2" t="s">
        <v>60</v>
      </c>
      <c r="E6871" s="2" t="s">
        <v>52</v>
      </c>
      <c r="F6871" s="2" t="s">
        <v>61</v>
      </c>
      <c r="G6871" s="2" t="s">
        <v>54</v>
      </c>
      <c r="H6871" s="2" t="s">
        <v>87</v>
      </c>
      <c r="I6871" s="2" t="s">
        <v>51</v>
      </c>
      <c r="J6871" s="2" t="s">
        <v>138</v>
      </c>
      <c r="K6871" s="2" t="s">
        <v>136</v>
      </c>
      <c r="L6871" s="2" t="s">
        <v>221</v>
      </c>
      <c r="M6871" s="2" t="s">
        <v>379</v>
      </c>
      <c r="N6871" s="2" t="s">
        <v>1059</v>
      </c>
      <c r="O6871" s="2" t="s">
        <v>1060</v>
      </c>
      <c r="P6871" s="2" t="s">
        <v>1061</v>
      </c>
      <c r="Q6871" s="2" t="s">
        <v>1062</v>
      </c>
      <c r="R6871" s="2" t="s">
        <v>1063</v>
      </c>
      <c r="S6871" s="2" t="s">
        <v>1064</v>
      </c>
      <c r="T6871" s="2" t="s">
        <v>1065</v>
      </c>
      <c r="U6871" s="2" t="s">
        <v>380</v>
      </c>
      <c r="V6871" s="2" t="s">
        <v>1128</v>
      </c>
    </row>
    <row r="6872" spans="1:22" x14ac:dyDescent="0.2">
      <c r="A6872" t="str">
        <f>B6833</f>
        <v>electricity, residential, by conversion of hydrogen using fuel cell, PEM, allocated by exergy, transported by pipeline, produced by Electrolysis, PEM using water and electricity from Solar PV (DE)</v>
      </c>
      <c r="B6872" s="45">
        <v>1</v>
      </c>
      <c r="C6872" t="str">
        <f>B6839</f>
        <v>kilowatt hour</v>
      </c>
      <c r="E6872" t="str">
        <f>B6836</f>
        <v>CH</v>
      </c>
      <c r="F6872" t="s">
        <v>62</v>
      </c>
      <c r="G6872" t="str">
        <f>B6838</f>
        <v>electricity, from residential heating system</v>
      </c>
      <c r="K6872" t="str">
        <f>B6833</f>
        <v>electricity, residential, by conversion of hydrogen using fuel cell, PEM, allocated by exergy, transported by pipeline, produced by Electrolysis, PEM using water and electricity from Solar PV (DE)</v>
      </c>
    </row>
    <row r="6873" spans="1:22" x14ac:dyDescent="0.2">
      <c r="A6873" t="str">
        <f>VLOOKUP(J6873,'dataset mapping'!$A$4:$E$69,2,0)</f>
        <v>fuel cell system assembly, 1 kWe, proton exchange membrane (PEM)</v>
      </c>
      <c r="B6873" s="52">
        <f>(1/(B6862*B6866*B6865))*B6867</f>
        <v>2.2711866178048405E-5</v>
      </c>
      <c r="C6873" t="str">
        <f>VLOOKUP(J6873,'dataset mapping'!$A$4:$E$69,5,0)</f>
        <v>unit</v>
      </c>
      <c r="E6873" t="str">
        <f>VLOOKUP(J6873,'dataset mapping'!$A$4:$E$69,4,0)</f>
        <v>GLO</v>
      </c>
      <c r="F6873" t="s">
        <v>86</v>
      </c>
      <c r="G6873" t="str">
        <f>VLOOKUP(J6873,'dataset mapping'!$A$4:$E$69,3,0)</f>
        <v>fuel cell system, 1 kWe, proton exchange membrane (PEM)</v>
      </c>
      <c r="H6873" t="s">
        <v>88</v>
      </c>
      <c r="I6873" t="s">
        <v>272</v>
      </c>
      <c r="J6873" t="s">
        <v>273</v>
      </c>
      <c r="K6873" t="str">
        <f>B6833</f>
        <v>electricity, residential, by conversion of hydrogen using fuel cell, PEM, allocated by exergy, transported by pipeline, produced by Electrolysis, PEM using water and electricity from Solar PV (DE)</v>
      </c>
      <c r="L6873">
        <f t="shared" ref="L6873:L6875" si="271">IF(OR(B6873&lt;0,B6873=0),1,2)</f>
        <v>2</v>
      </c>
      <c r="M6873">
        <f t="shared" ref="M6873:M6875" si="272">IF(L6873=2,LN(B6873),"")</f>
        <v>-10.692623030936341</v>
      </c>
      <c r="N6873">
        <v>1</v>
      </c>
      <c r="O6873" s="15">
        <v>1.2</v>
      </c>
      <c r="P6873">
        <v>1</v>
      </c>
      <c r="Q6873">
        <v>1.01</v>
      </c>
      <c r="R6873">
        <v>1.2</v>
      </c>
      <c r="S6873">
        <v>1.2</v>
      </c>
      <c r="T6873">
        <v>3</v>
      </c>
      <c r="U6873">
        <f t="shared" ref="U6873:U6875" si="273">LN(SQRT(EXP(
SQRT(
+POWER(LN(N6873),2)
+POWER(LN(O6873),2)
+POWER(LN(P6873),2)
+POWER(LN(Q6873),2)
+POWER(LN(R6873),2)
+POWER(LN(S6873),2)
+POWER(LN(T6873),2)
)
)))</f>
        <v>0.57157051623399524</v>
      </c>
    </row>
    <row r="6874" spans="1:22" x14ac:dyDescent="0.2">
      <c r="A6874" s="45" t="str">
        <f>"hydrogen supply, transported by "&amp;B6847&amp;", produced by "&amp;B6851&amp;" using "&amp;B6852&amp;" from "&amp;B6853</f>
        <v>hydrogen supply, transported by pipeline, produced by Electrolysis, PEM using water and electricity from Solar PV (DE)</v>
      </c>
      <c r="B6874" s="53">
        <f>(B6872/B6856)/B6855*B6867</f>
        <v>5.7377346134017029E-2</v>
      </c>
      <c r="C6874" t="s">
        <v>56</v>
      </c>
      <c r="E6874" t="s">
        <v>64</v>
      </c>
      <c r="F6874" t="s">
        <v>86</v>
      </c>
      <c r="G6874" t="str">
        <f>"hydrogen, gaseous, from "&amp;B6847</f>
        <v>hydrogen, gaseous, from pipeline</v>
      </c>
      <c r="H6874" t="s">
        <v>76</v>
      </c>
      <c r="I6874" t="s">
        <v>1054</v>
      </c>
      <c r="J6874" t="s">
        <v>298</v>
      </c>
      <c r="K6874" t="str">
        <f>B6833</f>
        <v>electricity, residential, by conversion of hydrogen using fuel cell, PEM, allocated by exergy, transported by pipeline, produced by Electrolysis, PEM using water and electricity from Solar PV (DE)</v>
      </c>
      <c r="L6874">
        <f t="shared" si="271"/>
        <v>2</v>
      </c>
      <c r="M6874">
        <f t="shared" si="272"/>
        <v>-2.8581057202127536</v>
      </c>
      <c r="N6874">
        <v>1</v>
      </c>
      <c r="O6874" s="15">
        <v>1.2</v>
      </c>
      <c r="P6874">
        <v>1</v>
      </c>
      <c r="Q6874">
        <v>1.01</v>
      </c>
      <c r="R6874">
        <v>1.2</v>
      </c>
      <c r="S6874">
        <v>1.2</v>
      </c>
      <c r="T6874">
        <v>1.05</v>
      </c>
      <c r="U6874">
        <f t="shared" si="273"/>
        <v>0.15984597228197622</v>
      </c>
    </row>
    <row r="6875" spans="1:22" x14ac:dyDescent="0.2">
      <c r="A6875" t="s">
        <v>134</v>
      </c>
      <c r="B6875" s="53">
        <f>B6874*9</f>
        <v>0.51639611520615325</v>
      </c>
      <c r="C6875" t="s">
        <v>56</v>
      </c>
      <c r="D6875" t="s">
        <v>100</v>
      </c>
      <c r="F6875" t="s">
        <v>99</v>
      </c>
      <c r="H6875" t="s">
        <v>131</v>
      </c>
      <c r="I6875" t="s">
        <v>1057</v>
      </c>
      <c r="K6875" t="str">
        <f>B6833</f>
        <v>electricity, residential, by conversion of hydrogen using fuel cell, PEM, allocated by exergy, transported by pipeline, produced by Electrolysis, PEM using water and electricity from Solar PV (DE)</v>
      </c>
      <c r="L6875">
        <f t="shared" si="271"/>
        <v>2</v>
      </c>
      <c r="M6875">
        <f t="shared" si="272"/>
        <v>-0.6608811428765341</v>
      </c>
      <c r="N6875">
        <v>1</v>
      </c>
      <c r="O6875" s="15">
        <v>1.2</v>
      </c>
      <c r="P6875">
        <v>1</v>
      </c>
      <c r="Q6875">
        <v>1.01</v>
      </c>
      <c r="R6875">
        <v>1.2</v>
      </c>
      <c r="S6875">
        <v>1.2</v>
      </c>
      <c r="T6875">
        <v>1.05</v>
      </c>
      <c r="U6875">
        <f t="shared" si="273"/>
        <v>0.15984597228197622</v>
      </c>
    </row>
    <row r="6877" spans="1:22" x14ac:dyDescent="0.2">
      <c r="A6877" s="2" t="s">
        <v>50</v>
      </c>
      <c r="B6877" s="44" t="str">
        <f>IF(B6883="megajoule","heat","electricity")&amp;", residential, by "&amp;B6888&amp;" of "&amp;B6887&amp;" using "&amp;B6889&amp;IF(B6890&lt;&gt;0,", allocated by "&amp;B6890,"")&amp;", transported by "&amp;B6891&amp;", produced by "&amp;B6895&amp;" using "&amp;B6896&amp;" from "&amp;B6897</f>
        <v>electricity, residential, by conversion of hydrogen using fuel cell, SOFC, allocated by exergy, transported by pipeline, produced by Electrolysis, PEM using water and electricity from Solar PV (DE)</v>
      </c>
    </row>
    <row r="6878" spans="1:22" x14ac:dyDescent="0.2">
      <c r="A6878" t="s">
        <v>51</v>
      </c>
      <c r="B6878" s="45" t="str">
        <f>"This dataset represents the supply of 1 "&amp;IF(B6883="megajoule","megajoule of heat","kilowatt hour of electricity")&amp;" in a residence, by "&amp;B6887&amp;" "&amp;B6888&amp;" in a "&amp;B6889&amp;". "&amp;" The hydrogen is transported by "&amp;B6891&amp;" over "&amp;B6892&amp;" km from regional storage. "&amp;" The "&amp;B6887&amp;" is produced by  "&amp;B6895&amp;", with "&amp;B6896&amp;" from "&amp;B6897&amp;" as feedstock. "&amp;A6899&amp;": "&amp;(B6899*100)&amp;"%. "&amp;A6900&amp;": "&amp;B6900&amp;". "&amp;A6901&amp;": "&amp;B6901&amp;". "&amp;A6902&amp;": "&amp;(B6902*100)&amp;"%. "&amp;A6903&amp;": "&amp;(B6903*100)&amp;"%. "&amp;A6904&amp;": "&amp;(B6904*100)&amp;"%. "&amp;A6905&amp;": "&amp;B6905&amp;". "&amp;A6906&amp;": "&amp;B6906&amp;". "&amp;A6907&amp;": "&amp;(B6907*100)&amp;"%. "&amp;A6908&amp;": "&amp;B6908&amp;". "&amp;A6909&amp;": "&amp;B6909&amp;". "&amp;A6910&amp;": "&amp;B6910&amp;". "&amp;A6911&amp;": "&amp;B6911&amp;".  For more information, refer to: "&amp;B6879</f>
        <v>This dataset represents the supply of 1 kilowatt hour of electricity in a residence, by hydrogen conversion in a fuel cell, SOFC.  The hydrogen is transported by pipeline over 1000 km from regional storage.  The hydrogen is produced by  Electrolysis, PEM,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6879" spans="1:22" x14ac:dyDescent="0.2">
      <c r="A6879" t="s">
        <v>63</v>
      </c>
      <c r="B6879" s="45" t="s">
        <v>1223</v>
      </c>
    </row>
    <row r="6880" spans="1:22" x14ac:dyDescent="0.2">
      <c r="A6880" t="s">
        <v>52</v>
      </c>
      <c r="B6880" s="45" t="s">
        <v>64</v>
      </c>
    </row>
    <row r="6881" spans="1:2" x14ac:dyDescent="0.2">
      <c r="A6881" t="s">
        <v>48</v>
      </c>
      <c r="B6881" s="45" t="s">
        <v>927</v>
      </c>
    </row>
    <row r="6882" spans="1:2" x14ac:dyDescent="0.2">
      <c r="A6882" t="s">
        <v>54</v>
      </c>
      <c r="B6882" s="45" t="str">
        <f>INDEX(overview!$B$4:$R$338,MATCH('hydrogen - electrolysis'!B6881,overview!$A$4:$A$338,0),MATCH('hydrogen - electrolysis'!A6882,overview!$B$3:$R$3,0))</f>
        <v>electricity, from residential heating system</v>
      </c>
    </row>
    <row r="6883" spans="1:2" x14ac:dyDescent="0.2">
      <c r="A6883" t="s">
        <v>55</v>
      </c>
      <c r="B6883" s="45" t="str">
        <f>INDEX(overview!$B$4:$R$338,MATCH('hydrogen - electrolysis'!B6881,overview!$A$4:$A$338,0),MATCH('hydrogen - electrolysis'!A6883,overview!$B$3:$R$3,0))</f>
        <v>kilowatt hour</v>
      </c>
    </row>
    <row r="6884" spans="1:2" x14ac:dyDescent="0.2">
      <c r="A6884" t="s">
        <v>0</v>
      </c>
      <c r="B6884" s="45" t="str">
        <f>INDEX(overview!$B$4:$R$338,MATCH('hydrogen - electrolysis'!B6881,overview!$A$4:$A$338,0),MATCH('hydrogen - electrolysis'!A6884,overview!$B$3:$R$3,0))</f>
        <v>Switzerland</v>
      </c>
    </row>
    <row r="6885" spans="1:2" x14ac:dyDescent="0.2">
      <c r="A6885" t="s">
        <v>1</v>
      </c>
      <c r="B6885" s="45">
        <f>INDEX(overview!$B$4:$R$338,MATCH('hydrogen - electrolysis'!B6881,overview!$A$4:$A$338,0),MATCH('hydrogen - electrolysis'!A6885,overview!$B$3:$R$3,0))</f>
        <v>2020</v>
      </c>
    </row>
    <row r="6886" spans="1:2" x14ac:dyDescent="0.2">
      <c r="A6886" t="s">
        <v>2</v>
      </c>
      <c r="B6886" s="45" t="str">
        <f>INDEX(overview!$B$4:$R$338,MATCH('hydrogen - electrolysis'!B6881,overview!$A$4:$A$338,0),MATCH('hydrogen - electrolysis'!A6886,overview!$B$3:$R$3,0))</f>
        <v>1 kWh electricity</v>
      </c>
    </row>
    <row r="6887" spans="1:2" x14ac:dyDescent="0.2">
      <c r="A6887" t="s">
        <v>5</v>
      </c>
      <c r="B6887" s="45" t="str">
        <f>INDEX(overview!$B$4:$R$338,MATCH('hydrogen - electrolysis'!B6881,overview!$A$4:$A$338,0),MATCH('hydrogen - electrolysis'!A6887,overview!$B$3:$R$3,0))</f>
        <v>hydrogen</v>
      </c>
    </row>
    <row r="6888" spans="1:2" x14ac:dyDescent="0.2">
      <c r="A6888" t="s">
        <v>3</v>
      </c>
      <c r="B6888" s="45" t="str">
        <f>INDEX(overview!$B$4:$R$338,MATCH('hydrogen - electrolysis'!B6881,overview!$A$4:$A$338,0),MATCH('hydrogen - electrolysis'!A6888,overview!$B$3:$R$3,0))</f>
        <v>conversion</v>
      </c>
    </row>
    <row r="6889" spans="1:2" x14ac:dyDescent="0.2">
      <c r="A6889" t="s">
        <v>6</v>
      </c>
      <c r="B6889" s="45" t="str">
        <f>INDEX(overview!$B$4:$R$338,MATCH('hydrogen - electrolysis'!B6881,overview!$A$4:$A$338,0),MATCH('hydrogen - electrolysis'!A6889,overview!$B$3:$R$3,0))</f>
        <v>fuel cell, SOFC</v>
      </c>
    </row>
    <row r="6890" spans="1:2" x14ac:dyDescent="0.2">
      <c r="A6890" t="s">
        <v>39</v>
      </c>
      <c r="B6890" s="45" t="str">
        <f>INDEX(overview!$B$4:$R$338,MATCH('hydrogen - electrolysis'!B6881,overview!$A$4:$A$338,0),MATCH('hydrogen - electrolysis'!A6890,overview!$B$3:$R$3,0))</f>
        <v>exergy</v>
      </c>
    </row>
    <row r="6891" spans="1:2" x14ac:dyDescent="0.2">
      <c r="A6891" t="s">
        <v>4</v>
      </c>
      <c r="B6891" s="45" t="str">
        <f>INDEX(overview!$B$4:$R$338,MATCH('hydrogen - electrolysis'!B6881,overview!$A$4:$A$338,0),MATCH('hydrogen - electrolysis'!A6891,overview!$B$3:$R$3,0))</f>
        <v>pipeline</v>
      </c>
    </row>
    <row r="6892" spans="1:2" x14ac:dyDescent="0.2">
      <c r="A6892" t="s">
        <v>38</v>
      </c>
      <c r="B6892" s="45">
        <f>INDEX(overview!$B$4:$R$338,MATCH('hydrogen - electrolysis'!B6881,overview!$A$4:$A$338,0),MATCH('hydrogen - electrolysis'!A6892,overview!$B$3:$R$3,0))</f>
        <v>1000</v>
      </c>
    </row>
    <row r="6893" spans="1:2" x14ac:dyDescent="0.2">
      <c r="A6893" t="s">
        <v>12</v>
      </c>
      <c r="B6893" s="45" t="str">
        <f>INDEX(overview!$B$4:$R$338,MATCH('hydrogen - electrolysis'!B6881,overview!$A$4:$A$338,0),MATCH('hydrogen - electrolysis'!A6893,overview!$B$3:$R$3,0))</f>
        <v>Pressure vessel for stationary storage</v>
      </c>
    </row>
    <row r="6894" spans="1:2" x14ac:dyDescent="0.2">
      <c r="A6894" t="s">
        <v>34</v>
      </c>
      <c r="B6894" s="45">
        <f>INDEX(overview!$B$4:$R$338,MATCH('hydrogen - electrolysis'!B6881,overview!$A$4:$A$338,0),MATCH('hydrogen - electrolysis'!A6894,overview!$B$3:$R$3,0))</f>
        <v>0</v>
      </c>
    </row>
    <row r="6895" spans="1:2" x14ac:dyDescent="0.2">
      <c r="A6895" t="s">
        <v>15</v>
      </c>
      <c r="B6895" s="45" t="str">
        <f>INDEX(overview!$B$4:$R$338,MATCH('hydrogen - electrolysis'!B6881,overview!$A$4:$A$338,0),MATCH('hydrogen - electrolysis'!A6895,overview!$B$3:$R$3,0))</f>
        <v>Electrolysis, PEM</v>
      </c>
    </row>
    <row r="6896" spans="1:2" x14ac:dyDescent="0.2">
      <c r="A6896" t="s">
        <v>14</v>
      </c>
      <c r="B6896" s="45" t="str">
        <f>INDEX(overview!$B$4:$R$338,MATCH('hydrogen - electrolysis'!B6881,overview!$A$4:$A$338,0),MATCH('hydrogen - electrolysis'!A6896,overview!$B$3:$R$3,0))</f>
        <v>water and electricity</v>
      </c>
    </row>
    <row r="6897" spans="1:4" x14ac:dyDescent="0.2">
      <c r="A6897" t="s">
        <v>26</v>
      </c>
      <c r="B6897" s="45" t="str">
        <f>INDEX(overview!$B$4:$R$338,MATCH('hydrogen - electrolysis'!B6881,overview!$A$4:$A$338,0),MATCH('hydrogen - electrolysis'!A6897,overview!$B$3:$R$3,0))</f>
        <v>Solar PV (DE)</v>
      </c>
    </row>
    <row r="6898" spans="1:4" x14ac:dyDescent="0.2">
      <c r="A6898" t="s">
        <v>29</v>
      </c>
      <c r="B6898" s="45">
        <f>INDEX(overview!$B$4:$R$338,MATCH('hydrogen - electrolysis'!B6881,overview!$A$4:$A$338,0),MATCH('hydrogen - electrolysis'!A6898,overview!$B$3:$R$3,0))</f>
        <v>0</v>
      </c>
    </row>
    <row r="6899" spans="1:4" x14ac:dyDescent="0.2">
      <c r="A6899" t="str">
        <f>IF(B6883="megajoule","Heat","Electricity")&amp;" conversion efficiency [% LHV input]"</f>
        <v>Electricity conversion efficiency [% LHV input]</v>
      </c>
      <c r="B6899" s="46">
        <f>INDEX(parameters!$D$4:$N$20,MATCH('hydrogen - electrolysis'!B6887&amp;'hydrogen - electrolysis'!B6889,parameters!$A$4:$A$20,0),MATCH('hydrogen - electrolysis'!A6899,parameters!$D$3:$N$3,0))</f>
        <v>0.47</v>
      </c>
    </row>
    <row r="6900" spans="1:4" x14ac:dyDescent="0.2">
      <c r="A6900" t="str">
        <f>IF(B6883="megajoule","LHV [MJ/kg]","LHV [kWh/kg]")</f>
        <v>LHV [kWh/kg]</v>
      </c>
      <c r="B6900" s="47">
        <f>INDEX(parameters!$D$4:$N$20,MATCH('hydrogen - electrolysis'!B6887&amp;'hydrogen - electrolysis'!B6889,parameters!$A$4:$A$20,0),MATCH('hydrogen - electrolysis'!A6900,parameters!$D$3:$N$3,0))</f>
        <v>33.333333333333336</v>
      </c>
    </row>
    <row r="6901" spans="1:4" x14ac:dyDescent="0.2">
      <c r="A6901" t="s">
        <v>41</v>
      </c>
      <c r="B6901" s="48">
        <f>INDEX(parameters!$D$4:$N$20,MATCH('hydrogen - electrolysis'!B6887&amp;'hydrogen - electrolysis'!B6889,parameters!$A$4:$A$20,0),MATCH('hydrogen - electrolysis'!A6901,parameters!$D$3:$N$3,0))</f>
        <v>2.6666666666666665E-2</v>
      </c>
    </row>
    <row r="6902" spans="1:4" x14ac:dyDescent="0.2">
      <c r="A6902" t="s">
        <v>45</v>
      </c>
      <c r="B6902" s="46">
        <f>INDEX(parameters!$D$4:$N$20,MATCH('hydrogen - electrolysis'!B6887&amp;'hydrogen - electrolysis'!B6889,parameters!$A$4:$A$20,0),MATCH('hydrogen - electrolysis'!A6902,parameters!$D$3:$N$3,0))</f>
        <v>0</v>
      </c>
    </row>
    <row r="6903" spans="1:4" x14ac:dyDescent="0.2">
      <c r="A6903" t="s">
        <v>46</v>
      </c>
      <c r="B6903" s="46">
        <f>INDEX(parameters!$D$4:$N$20,MATCH('hydrogen - electrolysis'!B6887&amp;'hydrogen - electrolysis'!B6889,parameters!$A$4:$A$20,0),MATCH('hydrogen - electrolysis'!A6903,parameters!$D$3:$N$3,0))</f>
        <v>1.4999999999999999E-2</v>
      </c>
    </row>
    <row r="6904" spans="1:4" x14ac:dyDescent="0.2">
      <c r="A6904" t="s">
        <v>43</v>
      </c>
      <c r="B6904" s="46">
        <f>INDEX(parameters!$D$4:$N$20,MATCH('hydrogen - electrolysis'!B6887&amp;'hydrogen - electrolysis'!B6889,parameters!$A$4:$A$20,0),MATCH('hydrogen - electrolysis'!A6904,parameters!$D$3:$N$3,0))</f>
        <v>0</v>
      </c>
    </row>
    <row r="6905" spans="1:4" x14ac:dyDescent="0.2">
      <c r="A6905" t="s">
        <v>44</v>
      </c>
      <c r="B6905" s="46">
        <f>INDEX(parameters!$D$4:$N$20,MATCH('hydrogen - electrolysis'!B6887&amp;'hydrogen - electrolysis'!B6889,parameters!$A$4:$A$20,0),MATCH('hydrogen - electrolysis'!A6905,parameters!$D$3:$N$3,0))</f>
        <v>0</v>
      </c>
    </row>
    <row r="6906" spans="1:4" x14ac:dyDescent="0.2">
      <c r="A6906" t="s">
        <v>634</v>
      </c>
      <c r="B6906" s="51">
        <f>INDEX(parameters!$D$4:$Y$20,MATCH('hydrogen - electrolysis'!B6887&amp;'hydrogen - electrolysis'!B6889,parameters!$A$4:$A$20,0),MATCH('hydrogen - electrolysis'!A6906,parameters!$D$3:$Y$3,0))</f>
        <v>225</v>
      </c>
      <c r="D6906" s="8"/>
    </row>
    <row r="6907" spans="1:4" x14ac:dyDescent="0.2">
      <c r="A6907" t="s">
        <v>82</v>
      </c>
      <c r="B6907" s="46">
        <f>IF(B6898&lt;&gt;0,VLOOKUP(B6898,parameters!A4460:B4462,2,0),0)</f>
        <v>0</v>
      </c>
    </row>
    <row r="6908" spans="1:4" x14ac:dyDescent="0.2">
      <c r="A6908" t="s">
        <v>548</v>
      </c>
      <c r="B6908" s="50">
        <f>INDEX(parameters!$D$4:$P$20,MATCH(B6887&amp;B6889,parameters!$A$4:$A$20,0),MATCH(A6908,parameters!$D$3:$P$3,0))</f>
        <v>100</v>
      </c>
    </row>
    <row r="6909" spans="1:4" x14ac:dyDescent="0.2">
      <c r="A6909" t="s">
        <v>547</v>
      </c>
      <c r="B6909" s="51">
        <f>INDEX(parameters!$D$4:$P$20,MATCH(B6887&amp;B6889,parameters!$A$4:$A$20,0),MATCH(A6909,parameters!$D$3:$P$3,0))</f>
        <v>6</v>
      </c>
    </row>
    <row r="6910" spans="1:4" x14ac:dyDescent="0.2">
      <c r="A6910" t="s">
        <v>630</v>
      </c>
      <c r="B6910" s="51">
        <f>INDEX(parameters!$D$4:$T$20,MATCH(B6887&amp;B6889,parameters!$A$4:$A$20,0),MATCH(A6910,parameters!$D$3:$T$3,0))</f>
        <v>4100</v>
      </c>
    </row>
    <row r="6911" spans="1:4" x14ac:dyDescent="0.2">
      <c r="A6911" t="s">
        <v>1005</v>
      </c>
      <c r="B6911" s="50">
        <f>IF(B6883="megajoule",SUMIFS(allocation!$I$4:$I$30,allocation!$B$4:$B$30,B6889,allocation!$C$4:$C$30,B6890),SUMIFS(allocation!$J$4:$J$30,allocation!$B$4:$B$30,B6889,allocation!$C$4:$C$30,B6890))</f>
        <v>0.86412493489600906</v>
      </c>
    </row>
    <row r="6912" spans="1:4" x14ac:dyDescent="0.2">
      <c r="A6912" t="s">
        <v>1050</v>
      </c>
      <c r="B6912" s="51">
        <f>INDEX(parameters!$D$4:$AB$20,MATCH(B6887&amp;B6889,parameters!$A$4:$A$20,0),MATCH(A6912,parameters!$D$3:$AB$3,0))</f>
        <v>1153.1249999999998</v>
      </c>
    </row>
    <row r="6914" spans="1:22" x14ac:dyDescent="0.2">
      <c r="A6914" s="3" t="s">
        <v>57</v>
      </c>
    </row>
    <row r="6915" spans="1:22" x14ac:dyDescent="0.2">
      <c r="A6915" s="2" t="s">
        <v>58</v>
      </c>
      <c r="B6915" s="44" t="s">
        <v>59</v>
      </c>
      <c r="C6915" s="2" t="s">
        <v>55</v>
      </c>
      <c r="D6915" s="2" t="s">
        <v>60</v>
      </c>
      <c r="E6915" s="2" t="s">
        <v>52</v>
      </c>
      <c r="F6915" s="2" t="s">
        <v>61</v>
      </c>
      <c r="G6915" s="2" t="s">
        <v>54</v>
      </c>
      <c r="H6915" s="2" t="s">
        <v>87</v>
      </c>
      <c r="I6915" s="2" t="s">
        <v>51</v>
      </c>
      <c r="J6915" s="2" t="s">
        <v>138</v>
      </c>
      <c r="K6915" s="2" t="s">
        <v>136</v>
      </c>
      <c r="L6915" s="2" t="s">
        <v>221</v>
      </c>
      <c r="M6915" s="2" t="s">
        <v>379</v>
      </c>
      <c r="N6915" s="2" t="s">
        <v>1059</v>
      </c>
      <c r="O6915" s="2" t="s">
        <v>1060</v>
      </c>
      <c r="P6915" s="2" t="s">
        <v>1061</v>
      </c>
      <c r="Q6915" s="2" t="s">
        <v>1062</v>
      </c>
      <c r="R6915" s="2" t="s">
        <v>1063</v>
      </c>
      <c r="S6915" s="2" t="s">
        <v>1064</v>
      </c>
      <c r="T6915" s="2" t="s">
        <v>1065</v>
      </c>
      <c r="U6915" s="2" t="s">
        <v>380</v>
      </c>
      <c r="V6915" s="2" t="s">
        <v>1128</v>
      </c>
    </row>
    <row r="6916" spans="1:22" x14ac:dyDescent="0.2">
      <c r="A6916" t="str">
        <f>B6877</f>
        <v>electricity, residential, by conversion of hydrogen using fuel cell, SOFC, allocated by exergy, transported by pipeline, produced by Electrolysis, PEM using water and electricity from Solar PV (DE)</v>
      </c>
      <c r="B6916" s="45">
        <v>1</v>
      </c>
      <c r="C6916" t="str">
        <f>B6883</f>
        <v>kilowatt hour</v>
      </c>
      <c r="E6916" t="str">
        <f>B6880</f>
        <v>CH</v>
      </c>
      <c r="F6916" t="s">
        <v>62</v>
      </c>
      <c r="G6916" t="str">
        <f>B6882</f>
        <v>electricity, from residential heating system</v>
      </c>
      <c r="K6916" t="str">
        <f>B6877</f>
        <v>electricity, residential, by conversion of hydrogen using fuel cell, SOFC, allocated by exergy, transported by pipeline, produced by Electrolysis, PEM using water and electricity from Solar PV (DE)</v>
      </c>
    </row>
    <row r="6917" spans="1:22" x14ac:dyDescent="0.2">
      <c r="A6917" t="str">
        <f>VLOOKUP(J6917,'dataset mapping'!$A$4:$E$69,2,0)</f>
        <v>fuel cell production, stack solid oxide, 125kW electrical, future</v>
      </c>
      <c r="B6917" s="52">
        <f>(1/(B6906*B6910*B6909))*B6911</f>
        <v>1.5612013277254003E-7</v>
      </c>
      <c r="C6917" t="str">
        <f>VLOOKUP(J6917,'dataset mapping'!$A$4:$E$69,5,0)</f>
        <v>unit</v>
      </c>
      <c r="E6917" t="str">
        <f>VLOOKUP(J6917,'dataset mapping'!$A$4:$E$69,4,0)</f>
        <v>CH</v>
      </c>
      <c r="F6917" t="s">
        <v>86</v>
      </c>
      <c r="G6917" t="str">
        <f>VLOOKUP(J6917,'dataset mapping'!$A$4:$E$69,3,0)</f>
        <v>fuel cell, stack solid oxide, 125kW electrical, future</v>
      </c>
      <c r="H6917" t="s">
        <v>88</v>
      </c>
      <c r="I6917" t="s">
        <v>277</v>
      </c>
      <c r="J6917" t="s">
        <v>274</v>
      </c>
      <c r="K6917" t="str">
        <f>B6877</f>
        <v>electricity, residential, by conversion of hydrogen using fuel cell, SOFC, allocated by exergy, transported by pipeline, produced by Electrolysis, PEM using water and electricity from Solar PV (DE)</v>
      </c>
      <c r="L6917">
        <f t="shared" ref="L6917:L6921" si="274">IF(OR(B6917&lt;0,B6917=0),1,2)</f>
        <v>2</v>
      </c>
      <c r="M6917">
        <f t="shared" ref="M6917:M6921" si="275">IF(L6917=2,LN(B6917),"")</f>
        <v>-15.672640044182527</v>
      </c>
      <c r="N6917">
        <v>1</v>
      </c>
      <c r="O6917" s="15">
        <v>1.2</v>
      </c>
      <c r="P6917">
        <v>1</v>
      </c>
      <c r="Q6917">
        <v>1.01</v>
      </c>
      <c r="R6917">
        <v>1.2</v>
      </c>
      <c r="S6917">
        <v>1.2</v>
      </c>
      <c r="T6917">
        <v>3</v>
      </c>
      <c r="U6917">
        <f t="shared" ref="U6917:U6921" si="276">LN(SQRT(EXP(
SQRT(
+POWER(LN(N6917),2)
+POWER(LN(O6917),2)
+POWER(LN(P6917),2)
+POWER(LN(Q6917),2)
+POWER(LN(R6917),2)
+POWER(LN(S6917),2)
+POWER(LN(T6917),2)
)
)))</f>
        <v>0.57157051623399524</v>
      </c>
    </row>
    <row r="6918" spans="1:22" x14ac:dyDescent="0.2">
      <c r="A6918" t="s">
        <v>283</v>
      </c>
      <c r="B6918" s="52">
        <f>(1/(B6906*B6910*B6909))*B6911</f>
        <v>1.5612013277254003E-7</v>
      </c>
      <c r="C6918" t="s">
        <v>55</v>
      </c>
      <c r="E6918" t="s">
        <v>64</v>
      </c>
      <c r="F6918" t="s">
        <v>86</v>
      </c>
      <c r="G6918" t="s">
        <v>284</v>
      </c>
      <c r="H6918" t="s">
        <v>88</v>
      </c>
      <c r="I6918" t="s">
        <v>277</v>
      </c>
      <c r="K6918" t="str">
        <f>B6877</f>
        <v>electricity, residential, by conversion of hydrogen using fuel cell, SOFC, allocated by exergy, transported by pipeline, produced by Electrolysis, PEM using water and electricity from Solar PV (DE)</v>
      </c>
      <c r="L6918">
        <f t="shared" si="274"/>
        <v>2</v>
      </c>
      <c r="M6918">
        <f t="shared" si="275"/>
        <v>-15.672640044182527</v>
      </c>
      <c r="N6918">
        <v>1</v>
      </c>
      <c r="O6918" s="15">
        <v>1.2</v>
      </c>
      <c r="P6918">
        <v>1</v>
      </c>
      <c r="Q6918">
        <v>1.01</v>
      </c>
      <c r="R6918">
        <v>1.2</v>
      </c>
      <c r="S6918">
        <v>1.2</v>
      </c>
      <c r="T6918">
        <v>3</v>
      </c>
      <c r="U6918">
        <f t="shared" si="276"/>
        <v>0.57157051623399524</v>
      </c>
    </row>
    <row r="6919" spans="1:22" x14ac:dyDescent="0.2">
      <c r="A6919" t="s">
        <v>288</v>
      </c>
      <c r="B6919" s="52">
        <f>0.000024*B6911</f>
        <v>2.0738998437504217E-5</v>
      </c>
      <c r="C6919" t="s">
        <v>56</v>
      </c>
      <c r="E6919" t="s">
        <v>64</v>
      </c>
      <c r="F6919" t="s">
        <v>86</v>
      </c>
      <c r="G6919" t="s">
        <v>287</v>
      </c>
      <c r="H6919" t="s">
        <v>88</v>
      </c>
      <c r="K6919" t="str">
        <f>B6877</f>
        <v>electricity, residential, by conversion of hydrogen using fuel cell, SOFC, allocated by exergy, transported by pipeline, produced by Electrolysis, PEM using water and electricity from Solar PV (DE)</v>
      </c>
      <c r="L6919">
        <f t="shared" si="274"/>
        <v>2</v>
      </c>
      <c r="M6919">
        <f t="shared" si="275"/>
        <v>-10.783494647673981</v>
      </c>
      <c r="N6919">
        <v>1</v>
      </c>
      <c r="O6919" s="15">
        <v>1.2</v>
      </c>
      <c r="P6919">
        <v>1</v>
      </c>
      <c r="Q6919">
        <v>1.01</v>
      </c>
      <c r="R6919">
        <v>1.2</v>
      </c>
      <c r="S6919">
        <v>1.2</v>
      </c>
      <c r="T6919">
        <v>1.05</v>
      </c>
      <c r="U6919">
        <f t="shared" si="276"/>
        <v>0.15984597228197622</v>
      </c>
    </row>
    <row r="6920" spans="1:22" x14ac:dyDescent="0.2">
      <c r="A6920" s="45" t="str">
        <f>"hydrogen supply, transported by "&amp;B6891&amp;", produced by "&amp;B6895&amp;" using "&amp;B6896&amp;" from "&amp;B6897</f>
        <v>hydrogen supply, transported by pipeline, produced by Electrolysis, PEM using water and electricity from Solar PV (DE)</v>
      </c>
      <c r="B6920" s="53">
        <f>(B6916/B6900)/B6899*B6911</f>
        <v>5.515691073804313E-2</v>
      </c>
      <c r="C6920" t="s">
        <v>56</v>
      </c>
      <c r="E6920" t="s">
        <v>64</v>
      </c>
      <c r="F6920" t="s">
        <v>86</v>
      </c>
      <c r="G6920" t="str">
        <f>"hydrogen, gaseous, from "&amp;B6891</f>
        <v>hydrogen, gaseous, from pipeline</v>
      </c>
      <c r="H6920" t="s">
        <v>76</v>
      </c>
      <c r="I6920" t="s">
        <v>1054</v>
      </c>
      <c r="J6920" t="s">
        <v>298</v>
      </c>
      <c r="K6920" t="str">
        <f>B6877</f>
        <v>electricity, residential, by conversion of hydrogen using fuel cell, SOFC, allocated by exergy, transported by pipeline, produced by Electrolysis, PEM using water and electricity from Solar PV (DE)</v>
      </c>
      <c r="L6920">
        <f t="shared" si="274"/>
        <v>2</v>
      </c>
      <c r="M6920">
        <f t="shared" si="275"/>
        <v>-2.8975732330996009</v>
      </c>
      <c r="N6920">
        <v>1</v>
      </c>
      <c r="O6920" s="15">
        <v>1.2</v>
      </c>
      <c r="P6920">
        <v>1</v>
      </c>
      <c r="Q6920">
        <v>1.01</v>
      </c>
      <c r="R6920">
        <v>1.2</v>
      </c>
      <c r="S6920">
        <v>1.2</v>
      </c>
      <c r="T6920">
        <v>1.05</v>
      </c>
      <c r="U6920">
        <f t="shared" si="276"/>
        <v>0.15984597228197622</v>
      </c>
    </row>
    <row r="6921" spans="1:22" x14ac:dyDescent="0.2">
      <c r="A6921" t="s">
        <v>134</v>
      </c>
      <c r="B6921" s="45">
        <f>B6920*9</f>
        <v>0.49641219664238817</v>
      </c>
      <c r="C6921" t="s">
        <v>56</v>
      </c>
      <c r="D6921" t="s">
        <v>100</v>
      </c>
      <c r="F6921" t="s">
        <v>99</v>
      </c>
      <c r="H6921" t="s">
        <v>131</v>
      </c>
      <c r="I6921" t="s">
        <v>1057</v>
      </c>
      <c r="K6921" t="str">
        <f>B6877</f>
        <v>electricity, residential, by conversion of hydrogen using fuel cell, SOFC, allocated by exergy, transported by pipeline, produced by Electrolysis, PEM using water and electricity from Solar PV (DE)</v>
      </c>
      <c r="L6921">
        <f t="shared" si="274"/>
        <v>2</v>
      </c>
      <c r="M6921">
        <f t="shared" si="275"/>
        <v>-0.70034865576338168</v>
      </c>
      <c r="N6921">
        <v>1</v>
      </c>
      <c r="O6921" s="15">
        <v>1.2</v>
      </c>
      <c r="P6921">
        <v>1</v>
      </c>
      <c r="Q6921">
        <v>1.01</v>
      </c>
      <c r="R6921">
        <v>1.2</v>
      </c>
      <c r="S6921">
        <v>1.2</v>
      </c>
      <c r="T6921">
        <v>1.05</v>
      </c>
      <c r="U6921">
        <f t="shared" si="276"/>
        <v>0.15984597228197622</v>
      </c>
    </row>
    <row r="6923" spans="1:22" x14ac:dyDescent="0.2">
      <c r="A6923" s="2" t="s">
        <v>50</v>
      </c>
      <c r="B6923" s="44" t="str">
        <f>IF(B6929="megajoule","heat","electricity")&amp;", residential, by "&amp;B6934&amp;" of "&amp;B6933&amp;" using "&amp;B6935&amp;IF(B6936&lt;&gt;0,", allocated by "&amp;B6936,"")&amp;", transported by "&amp;B6937&amp;", produced by "&amp;B6941&amp;" using "&amp;B6942&amp;" from "&amp;B6943</f>
        <v>heat, residential, by combustion of hydrogen using boiler, transported by train, produced by Electrolysis, PEM using water and electricity from Solar PV (DE)</v>
      </c>
    </row>
    <row r="6924" spans="1:22" x14ac:dyDescent="0.2">
      <c r="A6924" t="s">
        <v>51</v>
      </c>
      <c r="B6924" s="45" t="str">
        <f>"This dataset represents the supply of 1 "&amp;IF(B6929="megajoule","megajoule of heat","kilowatt hour of electricity")&amp;" in a residence, by "&amp;B6933&amp;" "&amp;B6934&amp;" in a "&amp;B6935&amp;". "&amp;" The hydrogen is transported by "&amp;B6937&amp;" over "&amp;B6938&amp;" km from regional storage. "&amp;" The "&amp;B6933&amp;" is produced by  "&amp;B6941&amp;", with "&amp;B6942&amp;" from "&amp;B6943&amp;" as feedstock. "&amp;A6945&amp;": "&amp;(B6945*100)&amp;"%. "&amp;A6946&amp;": "&amp;B6946&amp;". "&amp;A6947&amp;": "&amp;B6947&amp;". "&amp;A6948&amp;": "&amp;(B6948*100)&amp;"%. "&amp;A6949&amp;": "&amp;(B6949*100)&amp;"%. "&amp;A6950&amp;": "&amp;(B6950*100)&amp;"%. "&amp;A6951&amp;": "&amp;B6951&amp;". "&amp;A6952&amp;": "&amp;B6952&amp;". "&amp;A6953&amp;": "&amp;(B6953*100)&amp;"%. "&amp;A6954&amp;": "&amp;B6954&amp;". "&amp;A6955&amp;": "&amp;B6955&amp;". "&amp;A6956&amp;": "&amp;B6956&amp;". "&amp;A6957&amp;": "&amp;B6957&amp;".  For more information, refer to: "&amp;B6925</f>
        <v>This dataset represents the supply of 1 megajoule of heat in a residence, by hydrogen combustion in a boiler.  The hydrogen is transported by train over 1000 km from regional storage.  The hydrogen is produced by  Electrolysis, PEM,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6925" spans="1:22" x14ac:dyDescent="0.2">
      <c r="A6925" t="s">
        <v>63</v>
      </c>
      <c r="B6925" s="45" t="s">
        <v>1223</v>
      </c>
    </row>
    <row r="6926" spans="1:22" x14ac:dyDescent="0.2">
      <c r="A6926" t="s">
        <v>52</v>
      </c>
      <c r="B6926" s="45" t="s">
        <v>64</v>
      </c>
    </row>
    <row r="6927" spans="1:22" x14ac:dyDescent="0.2">
      <c r="A6927" t="s">
        <v>48</v>
      </c>
      <c r="B6927" s="45">
        <v>85</v>
      </c>
    </row>
    <row r="6928" spans="1:22" x14ac:dyDescent="0.2">
      <c r="A6928" t="s">
        <v>54</v>
      </c>
      <c r="B6928" s="45" t="str">
        <f>INDEX(overview!$B$4:$R$338,MATCH('hydrogen - electrolysis'!B6927,overview!$A$4:$A$338,0),MATCH('hydrogen - electrolysis'!A6928,overview!$B$3:$R$3,0))</f>
        <v>heat, from residential heating system</v>
      </c>
    </row>
    <row r="6929" spans="1:2" x14ac:dyDescent="0.2">
      <c r="A6929" t="s">
        <v>55</v>
      </c>
      <c r="B6929" s="45" t="str">
        <f>INDEX(overview!$B$4:$R$338,MATCH('hydrogen - electrolysis'!B6927,overview!$A$4:$A$338,0),MATCH('hydrogen - electrolysis'!A6929,overview!$B$3:$R$3,0))</f>
        <v>megajoule</v>
      </c>
    </row>
    <row r="6930" spans="1:2" x14ac:dyDescent="0.2">
      <c r="A6930" t="s">
        <v>0</v>
      </c>
      <c r="B6930" s="45" t="str">
        <f>INDEX(overview!$B$4:$R$338,MATCH('hydrogen - electrolysis'!B6927,overview!$A$4:$A$338,0),MATCH('hydrogen - electrolysis'!A6930,overview!$B$3:$R$3,0))</f>
        <v>Switzerland</v>
      </c>
    </row>
    <row r="6931" spans="1:2" x14ac:dyDescent="0.2">
      <c r="A6931" t="s">
        <v>1</v>
      </c>
      <c r="B6931" s="45">
        <f>INDEX(overview!$B$4:$R$338,MATCH('hydrogen - electrolysis'!B6927,overview!$A$4:$A$338,0),MATCH('hydrogen - electrolysis'!A6931,overview!$B$3:$R$3,0))</f>
        <v>2020</v>
      </c>
    </row>
    <row r="6932" spans="1:2" x14ac:dyDescent="0.2">
      <c r="A6932" t="s">
        <v>2</v>
      </c>
      <c r="B6932" s="45" t="str">
        <f>INDEX(overview!$B$4:$R$338,MATCH('hydrogen - electrolysis'!B6927,overview!$A$4:$A$338,0),MATCH('hydrogen - electrolysis'!A6932,overview!$B$3:$R$3,0))</f>
        <v>1 MJ heat</v>
      </c>
    </row>
    <row r="6933" spans="1:2" x14ac:dyDescent="0.2">
      <c r="A6933" t="s">
        <v>5</v>
      </c>
      <c r="B6933" s="45" t="str">
        <f>INDEX(overview!$B$4:$R$338,MATCH('hydrogen - electrolysis'!B6927,overview!$A$4:$A$338,0),MATCH('hydrogen - electrolysis'!A6933,overview!$B$3:$R$3,0))</f>
        <v>hydrogen</v>
      </c>
    </row>
    <row r="6934" spans="1:2" x14ac:dyDescent="0.2">
      <c r="A6934" t="s">
        <v>3</v>
      </c>
      <c r="B6934" s="45" t="str">
        <f>INDEX(overview!$B$4:$R$338,MATCH('hydrogen - electrolysis'!B6927,overview!$A$4:$A$338,0),MATCH('hydrogen - electrolysis'!A6934,overview!$B$3:$R$3,0))</f>
        <v>combustion</v>
      </c>
    </row>
    <row r="6935" spans="1:2" x14ac:dyDescent="0.2">
      <c r="A6935" t="s">
        <v>6</v>
      </c>
      <c r="B6935" s="45" t="str">
        <f>INDEX(overview!$B$4:$R$338,MATCH('hydrogen - electrolysis'!B6927,overview!$A$4:$A$338,0),MATCH('hydrogen - electrolysis'!A6935,overview!$B$3:$R$3,0))</f>
        <v>boiler</v>
      </c>
    </row>
    <row r="6936" spans="1:2" x14ac:dyDescent="0.2">
      <c r="A6936" t="s">
        <v>39</v>
      </c>
      <c r="B6936" s="45">
        <f>INDEX(overview!$B$4:$R$338,MATCH('hydrogen - electrolysis'!B6927,overview!$A$4:$A$338,0),MATCH('hydrogen - electrolysis'!A6936,overview!$B$3:$R$3,0))</f>
        <v>0</v>
      </c>
    </row>
    <row r="6937" spans="1:2" x14ac:dyDescent="0.2">
      <c r="A6937" t="s">
        <v>4</v>
      </c>
      <c r="B6937" s="45" t="str">
        <f>INDEX(overview!$B$4:$R$338,MATCH('hydrogen - electrolysis'!B6927,overview!$A$4:$A$338,0),MATCH('hydrogen - electrolysis'!A6937,overview!$B$3:$R$3,0))</f>
        <v>train</v>
      </c>
    </row>
    <row r="6938" spans="1:2" x14ac:dyDescent="0.2">
      <c r="A6938" t="s">
        <v>38</v>
      </c>
      <c r="B6938" s="45">
        <f>INDEX(overview!$B$4:$R$338,MATCH('hydrogen - electrolysis'!B6927,overview!$A$4:$A$338,0),MATCH('hydrogen - electrolysis'!A6938,overview!$B$3:$R$3,0))</f>
        <v>1000</v>
      </c>
    </row>
    <row r="6939" spans="1:2" x14ac:dyDescent="0.2">
      <c r="A6939" t="s">
        <v>12</v>
      </c>
      <c r="B6939" s="45" t="str">
        <f>INDEX(overview!$B$4:$R$338,MATCH('hydrogen - electrolysis'!B6927,overview!$A$4:$A$338,0),MATCH('hydrogen - electrolysis'!A6939,overview!$B$3:$R$3,0))</f>
        <v>Pressure vessel for stationary storage</v>
      </c>
    </row>
    <row r="6940" spans="1:2" x14ac:dyDescent="0.2">
      <c r="A6940" t="s">
        <v>34</v>
      </c>
      <c r="B6940" s="45">
        <f>INDEX(overview!$B$4:$R$338,MATCH('hydrogen - electrolysis'!B6927,overview!$A$4:$A$338,0),MATCH('hydrogen - electrolysis'!A6940,overview!$B$3:$R$3,0))</f>
        <v>0</v>
      </c>
    </row>
    <row r="6941" spans="1:2" x14ac:dyDescent="0.2">
      <c r="A6941" t="s">
        <v>15</v>
      </c>
      <c r="B6941" s="45" t="str">
        <f>INDEX(overview!$B$4:$R$338,MATCH('hydrogen - electrolysis'!B6927,overview!$A$4:$A$338,0),MATCH('hydrogen - electrolysis'!A6941,overview!$B$3:$R$3,0))</f>
        <v>Electrolysis, PEM</v>
      </c>
    </row>
    <row r="6942" spans="1:2" x14ac:dyDescent="0.2">
      <c r="A6942" t="s">
        <v>14</v>
      </c>
      <c r="B6942" s="45" t="str">
        <f>INDEX(overview!$B$4:$R$338,MATCH('hydrogen - electrolysis'!B6927,overview!$A$4:$A$338,0),MATCH('hydrogen - electrolysis'!A6942,overview!$B$3:$R$3,0))</f>
        <v>water and electricity</v>
      </c>
    </row>
    <row r="6943" spans="1:2" x14ac:dyDescent="0.2">
      <c r="A6943" t="s">
        <v>26</v>
      </c>
      <c r="B6943" s="45" t="str">
        <f>INDEX(overview!$B$4:$R$338,MATCH('hydrogen - electrolysis'!B6927,overview!$A$4:$A$338,0),MATCH('hydrogen - electrolysis'!A6943,overview!$B$3:$R$3,0))</f>
        <v>Solar PV (DE)</v>
      </c>
    </row>
    <row r="6944" spans="1:2" x14ac:dyDescent="0.2">
      <c r="A6944" t="s">
        <v>29</v>
      </c>
      <c r="B6944" s="45">
        <f>INDEX(overview!$B$4:$R$338,MATCH('hydrogen - electrolysis'!B6927,overview!$A$4:$A$338,0),MATCH('hydrogen - electrolysis'!A6944,overview!$B$3:$R$3,0))</f>
        <v>0</v>
      </c>
    </row>
    <row r="6945" spans="1:2" x14ac:dyDescent="0.2">
      <c r="A6945" t="str">
        <f>IF(B6929="megajoule","Heat","Electricity")&amp;" conversion efficiency [% LHV input]"</f>
        <v>Heat conversion efficiency [% LHV input]</v>
      </c>
      <c r="B6945" s="46">
        <f>INDEX(parameters!$D$4:$N$20,MATCH('hydrogen - electrolysis'!B6933&amp;'hydrogen - electrolysis'!B6935,parameters!$A$4:$A$20,0),MATCH('hydrogen - electrolysis'!A6945,parameters!$D$3:$N$3,0))</f>
        <v>0.94</v>
      </c>
    </row>
    <row r="6946" spans="1:2" x14ac:dyDescent="0.2">
      <c r="A6946" t="str">
        <f>IF(B6929="megajoule","LHV [MJ/kg]","LHV [kWh/kg]")</f>
        <v>LHV [MJ/kg]</v>
      </c>
      <c r="B6946" s="47">
        <f>INDEX(parameters!$D$4:$N$20,MATCH('hydrogen - electrolysis'!B6933&amp;'hydrogen - electrolysis'!B6935,parameters!$A$4:$A$20,0),MATCH('hydrogen - electrolysis'!A6946,parameters!$D$3:$N$3,0))</f>
        <v>120</v>
      </c>
    </row>
    <row r="6947" spans="1:2" x14ac:dyDescent="0.2">
      <c r="A6947" t="s">
        <v>41</v>
      </c>
      <c r="B6947" s="48">
        <f>INDEX(parameters!$D$4:$N$20,MATCH('hydrogen - electrolysis'!B6933&amp;'hydrogen - electrolysis'!B6935,parameters!$A$4:$A$20,0),MATCH('hydrogen - electrolysis'!A6947,parameters!$D$3:$N$3,0))</f>
        <v>2.6666666666666665E-2</v>
      </c>
    </row>
    <row r="6948" spans="1:2" x14ac:dyDescent="0.2">
      <c r="A6948" t="s">
        <v>45</v>
      </c>
      <c r="B6948" s="49">
        <f>INDEX(parameters!$D$4:$N$20,MATCH('hydrogen - electrolysis'!B6933&amp;'hydrogen - electrolysis'!B6935,parameters!$A$4:$A$20,0),MATCH('hydrogen - electrolysis'!A6948,parameters!$D$3:$N$3,0))</f>
        <v>0</v>
      </c>
    </row>
    <row r="6949" spans="1:2" x14ac:dyDescent="0.2">
      <c r="A6949" t="s">
        <v>46</v>
      </c>
      <c r="B6949" s="49">
        <f>INDEX(parameters!$D$4:$N$20,MATCH('hydrogen - electrolysis'!B6933&amp;'hydrogen - electrolysis'!B6935,parameters!$A$4:$A$20,0),MATCH('hydrogen - electrolysis'!A6949,parameters!$D$3:$N$3,0))</f>
        <v>1.4999999999999999E-2</v>
      </c>
    </row>
    <row r="6950" spans="1:2" x14ac:dyDescent="0.2">
      <c r="A6950" t="s">
        <v>43</v>
      </c>
      <c r="B6950" s="49">
        <f>INDEX(parameters!$D$4:$N$20,MATCH('hydrogen - electrolysis'!B6933&amp;'hydrogen - electrolysis'!B6935,parameters!$A$4:$A$20,0),MATCH('hydrogen - electrolysis'!A6950,parameters!$D$3:$N$3,0))</f>
        <v>0</v>
      </c>
    </row>
    <row r="6951" spans="1:2" x14ac:dyDescent="0.2">
      <c r="A6951" t="s">
        <v>44</v>
      </c>
      <c r="B6951" s="49">
        <f>INDEX(parameters!$D$4:$N$20,MATCH('hydrogen - electrolysis'!B6933&amp;'hydrogen - electrolysis'!B6935,parameters!$A$4:$A$20,0),MATCH('hydrogen - electrolysis'!A6951,parameters!$D$3:$N$3,0))</f>
        <v>0</v>
      </c>
    </row>
    <row r="6952" spans="1:2" x14ac:dyDescent="0.2">
      <c r="A6952" t="s">
        <v>634</v>
      </c>
      <c r="B6952" s="51">
        <f>INDEX(parameters!$D$4:$Y$20,MATCH('hydrogen - electrolysis'!B6933&amp;'hydrogen - electrolysis'!B6935,parameters!$A$4:$A$20,0),MATCH('hydrogen - electrolysis'!A6952,parameters!$D$3:$Y$3,0))</f>
        <v>15.957446808510639</v>
      </c>
    </row>
    <row r="6953" spans="1:2" x14ac:dyDescent="0.2">
      <c r="A6953" t="s">
        <v>82</v>
      </c>
      <c r="B6953" s="46">
        <f>IF(B6944&lt;&gt;0,VLOOKUP(B6944,parameters!A4357:B4359,2,0),0)</f>
        <v>0</v>
      </c>
    </row>
    <row r="6954" spans="1:2" x14ac:dyDescent="0.2">
      <c r="A6954" t="s">
        <v>548</v>
      </c>
      <c r="B6954" s="50">
        <f>INDEX(parameters!$D$4:$P$20,MATCH(B6933&amp;B6935,parameters!$A$4:$A$20,0),MATCH(A6954,parameters!$D$3:$P$3,0))</f>
        <v>15</v>
      </c>
    </row>
    <row r="6955" spans="1:2" x14ac:dyDescent="0.2">
      <c r="A6955" t="s">
        <v>547</v>
      </c>
      <c r="B6955" s="51">
        <f>INDEX(parameters!$D$4:$P$20,MATCH(B6933&amp;B6935,parameters!$A$4:$A$20,0),MATCH(A6955,parameters!$D$3:$P$3,0))</f>
        <v>20</v>
      </c>
    </row>
    <row r="6956" spans="1:2" x14ac:dyDescent="0.2">
      <c r="A6956" t="s">
        <v>630</v>
      </c>
      <c r="B6956" s="51">
        <f>INDEX(parameters!$D$4:$T$20,MATCH(B6933&amp;B6935,parameters!$A$4:$A$20,0),MATCH(A6956,parameters!$D$3:$T$3,0))</f>
        <v>2100</v>
      </c>
    </row>
    <row r="6957" spans="1:2" x14ac:dyDescent="0.2">
      <c r="A6957" t="s">
        <v>1005</v>
      </c>
      <c r="B6957" s="50">
        <f>IF(B6929="megajoule",SUMIFS(allocation!$I$4:$I$30,allocation!$B$4:$B$30,B6935,allocation!$C$4:$C$30,B6936),SUMIFS(allocation!$J$4:$J$30,allocation!$B$4:$B$30,B6935,allocation!$C$4:$C$30,B6936))</f>
        <v>0</v>
      </c>
    </row>
    <row r="6958" spans="1:2" x14ac:dyDescent="0.2">
      <c r="A6958" t="s">
        <v>1050</v>
      </c>
      <c r="B6958" s="51">
        <f>INDEX(parameters!$D$4:$AB$20,MATCH(B6933&amp;B6935,parameters!$A$4:$A$20,0),MATCH(A6958,parameters!$D$3:$AB$3,0))</f>
        <v>44.562019013128115</v>
      </c>
    </row>
    <row r="6960" spans="1:2" x14ac:dyDescent="0.2">
      <c r="A6960" s="3" t="s">
        <v>57</v>
      </c>
    </row>
    <row r="6961" spans="1:22" x14ac:dyDescent="0.2">
      <c r="A6961" s="2" t="s">
        <v>58</v>
      </c>
      <c r="B6961" s="44" t="s">
        <v>59</v>
      </c>
      <c r="C6961" s="2" t="s">
        <v>55</v>
      </c>
      <c r="D6961" s="2" t="s">
        <v>60</v>
      </c>
      <c r="E6961" s="2" t="s">
        <v>52</v>
      </c>
      <c r="F6961" s="2" t="s">
        <v>61</v>
      </c>
      <c r="G6961" s="2" t="s">
        <v>54</v>
      </c>
      <c r="H6961" s="2" t="s">
        <v>87</v>
      </c>
      <c r="I6961" s="2" t="s">
        <v>51</v>
      </c>
      <c r="J6961" s="2" t="s">
        <v>138</v>
      </c>
      <c r="K6961" s="2" t="s">
        <v>136</v>
      </c>
      <c r="L6961" s="2" t="s">
        <v>221</v>
      </c>
      <c r="M6961" s="2" t="s">
        <v>379</v>
      </c>
      <c r="N6961" s="2" t="s">
        <v>1059</v>
      </c>
      <c r="O6961" s="2" t="s">
        <v>1060</v>
      </c>
      <c r="P6961" s="2" t="s">
        <v>1061</v>
      </c>
      <c r="Q6961" s="2" t="s">
        <v>1062</v>
      </c>
      <c r="R6961" s="2" t="s">
        <v>1063</v>
      </c>
      <c r="S6961" s="2" t="s">
        <v>1064</v>
      </c>
      <c r="T6961" s="2" t="s">
        <v>1065</v>
      </c>
      <c r="U6961" s="2" t="s">
        <v>380</v>
      </c>
      <c r="V6961" s="2" t="s">
        <v>1128</v>
      </c>
    </row>
    <row r="6962" spans="1:22" x14ac:dyDescent="0.2">
      <c r="A6962" t="str">
        <f>B6923</f>
        <v>heat, residential, by combustion of hydrogen using boiler, transported by train, produced by Electrolysis, PEM using water and electricity from Solar PV (DE)</v>
      </c>
      <c r="B6962" s="45">
        <v>1</v>
      </c>
      <c r="C6962" t="str">
        <f>B6929</f>
        <v>megajoule</v>
      </c>
      <c r="E6962" t="str">
        <f>B6926</f>
        <v>CH</v>
      </c>
      <c r="F6962" t="s">
        <v>62</v>
      </c>
      <c r="G6962" t="str">
        <f>B6928</f>
        <v>heat, from residential heating system</v>
      </c>
      <c r="K6962" t="str">
        <f>B6923</f>
        <v>heat, residential, by combustion of hydrogen using boiler, transported by train, produced by Electrolysis, PEM using water and electricity from Solar PV (DE)</v>
      </c>
    </row>
    <row r="6963" spans="1:22" x14ac:dyDescent="0.2">
      <c r="A6963" t="s">
        <v>83</v>
      </c>
      <c r="B6963" s="52">
        <f>1/(B6954*B6956*B6955*3.6)</f>
        <v>4.4091710758377425E-7</v>
      </c>
      <c r="C6963" t="s">
        <v>55</v>
      </c>
      <c r="E6963" t="s">
        <v>85</v>
      </c>
      <c r="F6963" t="s">
        <v>86</v>
      </c>
      <c r="G6963" t="s">
        <v>84</v>
      </c>
      <c r="H6963" t="s">
        <v>88</v>
      </c>
      <c r="K6963" t="str">
        <f>B6923</f>
        <v>heat, residential, by combustion of hydrogen using boiler, transported by train, produced by Electrolysis, PEM using water and electricity from Solar PV (DE)</v>
      </c>
      <c r="L6963">
        <f t="shared" ref="L6963:L6970" si="277">IF(OR(B6963&lt;0,B6963=0),1,2)</f>
        <v>2</v>
      </c>
      <c r="M6963">
        <f t="shared" ref="M6963:M6970" si="278">IF(L6963=2,LN(B6963),"")</f>
        <v>-14.634408943829779</v>
      </c>
      <c r="N6963">
        <v>1.05</v>
      </c>
      <c r="O6963" s="15">
        <v>1.2</v>
      </c>
      <c r="P6963">
        <v>1</v>
      </c>
      <c r="Q6963">
        <v>1.01</v>
      </c>
      <c r="R6963">
        <v>1.2</v>
      </c>
      <c r="S6963">
        <v>1.2</v>
      </c>
      <c r="T6963">
        <v>3</v>
      </c>
      <c r="U6963">
        <f t="shared" ref="U6963:U6970" si="279">LN(SQRT(EXP(
SQRT(
+POWER(LN(N6963),2)
+POWER(LN(O6963),2)
+POWER(LN(P6963),2)
+POWER(LN(Q6963),2)
+POWER(LN(R6963),2)
+POWER(LN(S6963),2)
+POWER(LN(T6963),2)
)
)))</f>
        <v>0.57209088006881903</v>
      </c>
    </row>
    <row r="6964" spans="1:22" x14ac:dyDescent="0.2">
      <c r="A6964" t="s">
        <v>500</v>
      </c>
      <c r="B6964" s="52">
        <f>B6963*2</f>
        <v>8.8183421516754851E-7</v>
      </c>
      <c r="C6964" t="s">
        <v>267</v>
      </c>
      <c r="E6964" t="s">
        <v>85</v>
      </c>
      <c r="F6964" t="s">
        <v>86</v>
      </c>
      <c r="G6964" t="s">
        <v>501</v>
      </c>
      <c r="H6964" t="s">
        <v>88</v>
      </c>
      <c r="I6964" t="s">
        <v>621</v>
      </c>
      <c r="K6964" t="str">
        <f>B6923</f>
        <v>heat, residential, by combustion of hydrogen using boiler, transported by train, produced by Electrolysis, PEM using water and electricity from Solar PV (DE)</v>
      </c>
      <c r="L6964">
        <f t="shared" si="277"/>
        <v>2</v>
      </c>
      <c r="M6964">
        <f t="shared" si="278"/>
        <v>-13.941261763269834</v>
      </c>
      <c r="N6964">
        <v>1.05</v>
      </c>
      <c r="O6964" s="15">
        <v>1.2</v>
      </c>
      <c r="P6964">
        <v>1</v>
      </c>
      <c r="Q6964">
        <v>1.01</v>
      </c>
      <c r="R6964">
        <v>1.2</v>
      </c>
      <c r="S6964">
        <v>1.2</v>
      </c>
      <c r="T6964">
        <v>3</v>
      </c>
      <c r="U6964">
        <f t="shared" si="279"/>
        <v>0.57209088006881903</v>
      </c>
    </row>
    <row r="6965" spans="1:22" x14ac:dyDescent="0.2">
      <c r="A6965" t="s">
        <v>130</v>
      </c>
      <c r="B6965" s="52">
        <v>2.64E-3</v>
      </c>
      <c r="C6965" t="s">
        <v>92</v>
      </c>
      <c r="E6965" t="s">
        <v>64</v>
      </c>
      <c r="F6965" t="s">
        <v>86</v>
      </c>
      <c r="G6965" t="s">
        <v>93</v>
      </c>
      <c r="H6965" t="s">
        <v>78</v>
      </c>
      <c r="I6965" t="s">
        <v>270</v>
      </c>
      <c r="J6965" t="s">
        <v>67</v>
      </c>
      <c r="K6965" t="str">
        <f>B6923</f>
        <v>heat, residential, by combustion of hydrogen using boiler, transported by train, produced by Electrolysis, PEM using water and electricity from Solar PV (DE)</v>
      </c>
      <c r="L6965">
        <f t="shared" si="277"/>
        <v>2</v>
      </c>
      <c r="M6965">
        <f t="shared" si="278"/>
        <v>-5.9369763618239126</v>
      </c>
      <c r="N6965">
        <v>1.05</v>
      </c>
      <c r="O6965" s="15">
        <v>1.2</v>
      </c>
      <c r="P6965">
        <v>1</v>
      </c>
      <c r="Q6965">
        <v>1.01</v>
      </c>
      <c r="R6965">
        <v>1.2</v>
      </c>
      <c r="S6965">
        <v>1.2</v>
      </c>
      <c r="T6965">
        <v>1.05</v>
      </c>
      <c r="U6965">
        <f t="shared" si="279"/>
        <v>0.16169679924070957</v>
      </c>
    </row>
    <row r="6966" spans="1:22" x14ac:dyDescent="0.2">
      <c r="A6966" s="45" t="str">
        <f>"hydrogen supply, transported by "&amp;B6937&amp;", produced by "&amp;B6941&amp;" using "&amp;B6942&amp;" from "&amp;B6943</f>
        <v>hydrogen supply, transported by train, produced by Electrolysis, PEM using water and electricity from Solar PV (DE)</v>
      </c>
      <c r="B6966" s="53">
        <f>(B6962/B6946)/B6945</f>
        <v>8.8652482269503553E-3</v>
      </c>
      <c r="C6966" t="s">
        <v>56</v>
      </c>
      <c r="E6966" t="s">
        <v>64</v>
      </c>
      <c r="F6966" t="s">
        <v>86</v>
      </c>
      <c r="G6966" t="str">
        <f>"hydrogen, gaseous, from "&amp;B6937</f>
        <v>hydrogen, gaseous, from train</v>
      </c>
      <c r="H6966" t="s">
        <v>76</v>
      </c>
      <c r="I6966" t="s">
        <v>1054</v>
      </c>
      <c r="J6966" t="s">
        <v>298</v>
      </c>
      <c r="K6966" t="str">
        <f>B6923</f>
        <v>heat, residential, by combustion of hydrogen using boiler, transported by train, produced by Electrolysis, PEM using water and electricity from Solar PV (DE)</v>
      </c>
      <c r="L6966">
        <f t="shared" si="277"/>
        <v>2</v>
      </c>
      <c r="M6966">
        <f t="shared" si="278"/>
        <v>-4.7256163390639587</v>
      </c>
      <c r="N6966">
        <v>1.05</v>
      </c>
      <c r="O6966" s="15">
        <v>1.2</v>
      </c>
      <c r="P6966">
        <v>1</v>
      </c>
      <c r="Q6966">
        <v>1.01</v>
      </c>
      <c r="R6966">
        <v>1.2</v>
      </c>
      <c r="S6966">
        <v>1.2</v>
      </c>
      <c r="T6966">
        <v>1.05</v>
      </c>
      <c r="U6966">
        <f t="shared" si="279"/>
        <v>0.16169679924070957</v>
      </c>
    </row>
    <row r="6967" spans="1:22" x14ac:dyDescent="0.2">
      <c r="A6967" t="str">
        <f>VLOOKUP(J6967,'dataset mapping'!$A$4:$E$69,2,0)</f>
        <v>market for transport, freight train</v>
      </c>
      <c r="B6967" s="45">
        <f>SUM(B6966:B6966)/1000*B6938</f>
        <v>8.8652482269503553E-3</v>
      </c>
      <c r="C6967" t="str">
        <f>VLOOKUP(J6967,'dataset mapping'!$A$4:$E$69,5,0)</f>
        <v>ton kilometer</v>
      </c>
      <c r="E6967" t="str">
        <f>VLOOKUP(J6967,'dataset mapping'!$A$4:$E$69,4,0)</f>
        <v>CH</v>
      </c>
      <c r="F6967" t="s">
        <v>86</v>
      </c>
      <c r="G6967" t="str">
        <f>VLOOKUP(J6967,'dataset mapping'!$A$4:$E$69,3,0)</f>
        <v>transport, freight train</v>
      </c>
      <c r="H6967" t="s">
        <v>88</v>
      </c>
      <c r="I6967" t="s">
        <v>1052</v>
      </c>
      <c r="J6967" t="s">
        <v>295</v>
      </c>
      <c r="K6967" t="str">
        <f>B6923</f>
        <v>heat, residential, by combustion of hydrogen using boiler, transported by train, produced by Electrolysis, PEM using water and electricity from Solar PV (DE)</v>
      </c>
      <c r="L6967">
        <f t="shared" si="277"/>
        <v>2</v>
      </c>
      <c r="M6967">
        <f t="shared" si="278"/>
        <v>-4.7256163390639587</v>
      </c>
      <c r="N6967">
        <v>1.05</v>
      </c>
      <c r="O6967" s="15">
        <v>1.2</v>
      </c>
      <c r="P6967">
        <v>1</v>
      </c>
      <c r="Q6967">
        <v>1.01</v>
      </c>
      <c r="R6967">
        <v>1.2</v>
      </c>
      <c r="S6967">
        <v>1.2</v>
      </c>
      <c r="T6967">
        <v>2</v>
      </c>
      <c r="U6967">
        <f t="shared" si="279"/>
        <v>0.38165951885721477</v>
      </c>
    </row>
    <row r="6968" spans="1:22" x14ac:dyDescent="0.2">
      <c r="A6968" t="str">
        <f>VLOOKUP(J6968,'dataset mapping'!$A$4:$E$69,2,0)</f>
        <v>high pressure hydrogen storage tank</v>
      </c>
      <c r="B6968" s="52">
        <f>((B6958/10)/(B6956*B6952*20*3.6))*IF(B6957&lt;&gt;0,B6957,1)</f>
        <v>1.8469267139479905E-6</v>
      </c>
      <c r="C6968" t="str">
        <f>VLOOKUP(J6968,'dataset mapping'!$A$4:$E$69,5,0)</f>
        <v>kilogram</v>
      </c>
      <c r="E6968" t="str">
        <f>VLOOKUP(J6968,'dataset mapping'!$A$4:$E$69,4,0)</f>
        <v>GLO</v>
      </c>
      <c r="F6968" t="s">
        <v>86</v>
      </c>
      <c r="G6968" t="str">
        <f>VLOOKUP(J6968,'dataset mapping'!$A$4:$E$69,3,0)</f>
        <v>high pressure hydrogen storage tank</v>
      </c>
      <c r="H6968" t="s">
        <v>88</v>
      </c>
      <c r="I6968" t="s">
        <v>230</v>
      </c>
      <c r="J6968" t="s">
        <v>229</v>
      </c>
      <c r="K6968" t="str">
        <f>B6923</f>
        <v>heat, residential, by combustion of hydrogen using boiler, transported by train, produced by Electrolysis, PEM using water and electricity from Solar PV (DE)</v>
      </c>
      <c r="L6968">
        <f t="shared" si="277"/>
        <v>2</v>
      </c>
      <c r="M6968">
        <f t="shared" si="278"/>
        <v>-13.20198753595994</v>
      </c>
      <c r="N6968">
        <v>1.05</v>
      </c>
      <c r="O6968" s="15">
        <v>1.2</v>
      </c>
      <c r="P6968">
        <v>1</v>
      </c>
      <c r="Q6968">
        <v>1.01</v>
      </c>
      <c r="R6968">
        <v>1.2</v>
      </c>
      <c r="S6968">
        <v>1.2</v>
      </c>
      <c r="T6968">
        <v>3</v>
      </c>
      <c r="U6968">
        <f t="shared" si="279"/>
        <v>0.57209088006881903</v>
      </c>
    </row>
    <row r="6969" spans="1:22" x14ac:dyDescent="0.2">
      <c r="A6969" t="s">
        <v>134</v>
      </c>
      <c r="B6969" s="45">
        <f>B6966*9</f>
        <v>7.9787234042553196E-2</v>
      </c>
      <c r="C6969" t="s">
        <v>56</v>
      </c>
      <c r="D6969" t="s">
        <v>100</v>
      </c>
      <c r="F6969" t="s">
        <v>99</v>
      </c>
      <c r="H6969" t="s">
        <v>131</v>
      </c>
      <c r="I6969" t="s">
        <v>1058</v>
      </c>
      <c r="K6969" t="str">
        <f>B6923</f>
        <v>heat, residential, by combustion of hydrogen using boiler, transported by train, produced by Electrolysis, PEM using water and electricity from Solar PV (DE)</v>
      </c>
      <c r="L6969">
        <f t="shared" si="277"/>
        <v>2</v>
      </c>
      <c r="M6969">
        <f t="shared" si="278"/>
        <v>-2.5283917617277392</v>
      </c>
      <c r="N6969">
        <v>1.05</v>
      </c>
      <c r="O6969" s="15">
        <v>1.2</v>
      </c>
      <c r="P6969">
        <v>1</v>
      </c>
      <c r="Q6969">
        <v>1.01</v>
      </c>
      <c r="R6969">
        <v>1.2</v>
      </c>
      <c r="S6969">
        <v>1.2</v>
      </c>
      <c r="T6969">
        <v>1.05</v>
      </c>
      <c r="U6969">
        <f t="shared" si="279"/>
        <v>0.16169679924070957</v>
      </c>
    </row>
    <row r="6970" spans="1:22" x14ac:dyDescent="0.2">
      <c r="A6970" t="s">
        <v>135</v>
      </c>
      <c r="B6970" s="45">
        <f>912.5/1000000*B6967</f>
        <v>8.0895390070921995E-6</v>
      </c>
      <c r="C6970" t="s">
        <v>56</v>
      </c>
      <c r="D6970" t="s">
        <v>100</v>
      </c>
      <c r="F6970" t="s">
        <v>99</v>
      </c>
      <c r="H6970" t="s">
        <v>131</v>
      </c>
      <c r="I6970" t="s">
        <v>1217</v>
      </c>
      <c r="K6970" t="str">
        <f>B6923</f>
        <v>heat, residential, by combustion of hydrogen using boiler, transported by train, produced by Electrolysis, PEM using water and electricity from Solar PV (DE)</v>
      </c>
      <c r="L6970">
        <f t="shared" si="277"/>
        <v>2</v>
      </c>
      <c r="M6970">
        <f t="shared" si="278"/>
        <v>-11.724938811571587</v>
      </c>
      <c r="N6970">
        <v>1.05</v>
      </c>
      <c r="O6970" s="15">
        <v>1.2</v>
      </c>
      <c r="P6970">
        <v>1</v>
      </c>
      <c r="Q6970">
        <v>1.01</v>
      </c>
      <c r="R6970">
        <v>1.2</v>
      </c>
      <c r="S6970">
        <v>1.2</v>
      </c>
      <c r="T6970">
        <v>1.5</v>
      </c>
      <c r="U6970">
        <f t="shared" si="279"/>
        <v>0.25816898211842121</v>
      </c>
    </row>
    <row r="6972" spans="1:22" x14ac:dyDescent="0.2">
      <c r="A6972" s="2" t="s">
        <v>50</v>
      </c>
      <c r="B6972" s="44" t="str">
        <f>IF(B6978="megajoule","heat","electricity")&amp;", residential, by "&amp;B6983&amp;" of "&amp;B6982&amp;" using "&amp;B6984&amp;IF(B6985&lt;&gt;0,", allocated by "&amp;B6985,"")&amp;", transported by "&amp;B6986&amp;", produced by "&amp;B6990&amp;" using "&amp;B6991&amp;" from "&amp;B6992</f>
        <v>heat, residential, by combustion of hydrogen using CHP, allocated by exergy, transported by train, produced by Electrolysis, PEM using water and electricity from Solar PV (DE)</v>
      </c>
    </row>
    <row r="6973" spans="1:22" x14ac:dyDescent="0.2">
      <c r="A6973" t="s">
        <v>51</v>
      </c>
      <c r="B6973" s="45" t="str">
        <f>"This dataset represents the supply of 1 "&amp;IF(B6978="megajoule","megajoule of heat","kilowatt hour of electricity")&amp;" in a residence, by "&amp;B6982&amp;" "&amp;B6983&amp;" in a "&amp;B6984&amp;". "&amp;" The hydrogen is transported by "&amp;B6986&amp;" over "&amp;B6987&amp;" km from regional storage. "&amp;" The "&amp;B6982&amp;" is produced by  "&amp;B6990&amp;", with "&amp;B6991&amp;" from "&amp;B6992&amp;" as feedstock. "&amp;A6994&amp;": "&amp;(B6994*100)&amp;"%. "&amp;A6995&amp;": "&amp;B6995&amp;". "&amp;A6996&amp;": "&amp;B6996&amp;". "&amp;A6997&amp;": "&amp;(B6997*100)&amp;"%. "&amp;A6998&amp;": "&amp;(B6998*100)&amp;"%. "&amp;A6999&amp;": "&amp;(B6999*100)&amp;"%. "&amp;A7000&amp;": "&amp;B7000&amp;". "&amp;A7001&amp;": "&amp;B7001&amp;". "&amp;A7002&amp;": "&amp;(B7002*100)&amp;"%. "&amp;A7003&amp;": "&amp;B7003&amp;". "&amp;A7004&amp;": "&amp;B7004&amp;". "&amp;A7005&amp;": "&amp;B7005&amp;". "&amp;A7006&amp;": "&amp;B7006&amp;".  For more information, refer to: "&amp;B6974</f>
        <v>This dataset represents the supply of 1 megajoule of heat in a residence, by hydrogen combustion in a CHP.  The hydrogen is transported by train over 1000 km from regional storage.  The hydrogen is produced by  Electrolysis, PEM,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6974" spans="1:22" x14ac:dyDescent="0.2">
      <c r="A6974" t="s">
        <v>63</v>
      </c>
      <c r="B6974" s="45" t="s">
        <v>1223</v>
      </c>
    </row>
    <row r="6975" spans="1:22" x14ac:dyDescent="0.2">
      <c r="A6975" t="s">
        <v>52</v>
      </c>
      <c r="B6975" s="45" t="s">
        <v>64</v>
      </c>
    </row>
    <row r="6976" spans="1:22" x14ac:dyDescent="0.2">
      <c r="A6976" t="s">
        <v>48</v>
      </c>
      <c r="B6976" s="45">
        <v>86</v>
      </c>
    </row>
    <row r="6977" spans="1:2" x14ac:dyDescent="0.2">
      <c r="A6977" t="s">
        <v>54</v>
      </c>
      <c r="B6977" s="45" t="str">
        <f>INDEX(overview!$B$4:$R$338,MATCH('hydrogen - electrolysis'!B6976,overview!$A$4:$A$338,0),MATCH('hydrogen - electrolysis'!A6977,overview!$B$3:$R$3,0))</f>
        <v>heat, from residential heating system</v>
      </c>
    </row>
    <row r="6978" spans="1:2" x14ac:dyDescent="0.2">
      <c r="A6978" t="s">
        <v>55</v>
      </c>
      <c r="B6978" s="45" t="str">
        <f>INDEX(overview!$B$4:$R$338,MATCH('hydrogen - electrolysis'!B6976,overview!$A$4:$A$338,0),MATCH('hydrogen - electrolysis'!A6978,overview!$B$3:$R$3,0))</f>
        <v>megajoule</v>
      </c>
    </row>
    <row r="6979" spans="1:2" x14ac:dyDescent="0.2">
      <c r="A6979" t="s">
        <v>0</v>
      </c>
      <c r="B6979" s="45" t="str">
        <f>INDEX(overview!$B$4:$R$338,MATCH('hydrogen - electrolysis'!B6976,overview!$A$4:$A$338,0),MATCH('hydrogen - electrolysis'!A6979,overview!$B$3:$R$3,0))</f>
        <v>Switzerland</v>
      </c>
    </row>
    <row r="6980" spans="1:2" x14ac:dyDescent="0.2">
      <c r="A6980" t="s">
        <v>1</v>
      </c>
      <c r="B6980" s="45">
        <f>INDEX(overview!$B$4:$R$338,MATCH('hydrogen - electrolysis'!B6976,overview!$A$4:$A$338,0),MATCH('hydrogen - electrolysis'!A6980,overview!$B$3:$R$3,0))</f>
        <v>2020</v>
      </c>
    </row>
    <row r="6981" spans="1:2" x14ac:dyDescent="0.2">
      <c r="A6981" t="s">
        <v>2</v>
      </c>
      <c r="B6981" s="45" t="str">
        <f>INDEX(overview!$B$4:$R$338,MATCH('hydrogen - electrolysis'!B6976,overview!$A$4:$A$338,0),MATCH('hydrogen - electrolysis'!A6981,overview!$B$3:$R$3,0))</f>
        <v>1 MJ heat</v>
      </c>
    </row>
    <row r="6982" spans="1:2" x14ac:dyDescent="0.2">
      <c r="A6982" t="s">
        <v>5</v>
      </c>
      <c r="B6982" s="45" t="str">
        <f>INDEX(overview!$B$4:$R$338,MATCH('hydrogen - electrolysis'!B6976,overview!$A$4:$A$338,0),MATCH('hydrogen - electrolysis'!A6982,overview!$B$3:$R$3,0))</f>
        <v>hydrogen</v>
      </c>
    </row>
    <row r="6983" spans="1:2" x14ac:dyDescent="0.2">
      <c r="A6983" t="s">
        <v>3</v>
      </c>
      <c r="B6983" s="45" t="str">
        <f>INDEX(overview!$B$4:$R$338,MATCH('hydrogen - electrolysis'!B6976,overview!$A$4:$A$338,0),MATCH('hydrogen - electrolysis'!A6983,overview!$B$3:$R$3,0))</f>
        <v>combustion</v>
      </c>
    </row>
    <row r="6984" spans="1:2" x14ac:dyDescent="0.2">
      <c r="A6984" t="s">
        <v>6</v>
      </c>
      <c r="B6984" s="45" t="str">
        <f>INDEX(overview!$B$4:$R$338,MATCH('hydrogen - electrolysis'!B6976,overview!$A$4:$A$338,0),MATCH('hydrogen - electrolysis'!A6984,overview!$B$3:$R$3,0))</f>
        <v>CHP</v>
      </c>
    </row>
    <row r="6985" spans="1:2" x14ac:dyDescent="0.2">
      <c r="A6985" t="s">
        <v>39</v>
      </c>
      <c r="B6985" s="45" t="str">
        <f>INDEX(overview!$B$4:$R$338,MATCH('hydrogen - electrolysis'!B6976,overview!$A$4:$A$338,0),MATCH('hydrogen - electrolysis'!A6985,overview!$B$3:$R$3,0))</f>
        <v>exergy</v>
      </c>
    </row>
    <row r="6986" spans="1:2" x14ac:dyDescent="0.2">
      <c r="A6986" t="s">
        <v>4</v>
      </c>
      <c r="B6986" s="45" t="str">
        <f>INDEX(overview!$B$4:$R$338,MATCH('hydrogen - electrolysis'!B6976,overview!$A$4:$A$338,0),MATCH('hydrogen - electrolysis'!A6986,overview!$B$3:$R$3,0))</f>
        <v>train</v>
      </c>
    </row>
    <row r="6987" spans="1:2" x14ac:dyDescent="0.2">
      <c r="A6987" t="s">
        <v>38</v>
      </c>
      <c r="B6987" s="45">
        <f>INDEX(overview!$B$4:$R$338,MATCH('hydrogen - electrolysis'!B6976,overview!$A$4:$A$338,0),MATCH('hydrogen - electrolysis'!A6987,overview!$B$3:$R$3,0))</f>
        <v>1000</v>
      </c>
    </row>
    <row r="6988" spans="1:2" x14ac:dyDescent="0.2">
      <c r="A6988" t="s">
        <v>12</v>
      </c>
      <c r="B6988" s="45" t="str">
        <f>INDEX(overview!$B$4:$R$338,MATCH('hydrogen - electrolysis'!B6976,overview!$A$4:$A$338,0),MATCH('hydrogen - electrolysis'!A6988,overview!$B$3:$R$3,0))</f>
        <v>Pressure vessel for stationary storage</v>
      </c>
    </row>
    <row r="6989" spans="1:2" x14ac:dyDescent="0.2">
      <c r="A6989" t="s">
        <v>34</v>
      </c>
      <c r="B6989" s="45">
        <f>INDEX(overview!$B$4:$R$338,MATCH('hydrogen - electrolysis'!B6976,overview!$A$4:$A$338,0),MATCH('hydrogen - electrolysis'!A6989,overview!$B$3:$R$3,0))</f>
        <v>0</v>
      </c>
    </row>
    <row r="6990" spans="1:2" x14ac:dyDescent="0.2">
      <c r="A6990" t="s">
        <v>15</v>
      </c>
      <c r="B6990" s="45" t="str">
        <f>INDEX(overview!$B$4:$R$338,MATCH('hydrogen - electrolysis'!B6976,overview!$A$4:$A$338,0),MATCH('hydrogen - electrolysis'!A6990,overview!$B$3:$R$3,0))</f>
        <v>Electrolysis, PEM</v>
      </c>
    </row>
    <row r="6991" spans="1:2" x14ac:dyDescent="0.2">
      <c r="A6991" t="s">
        <v>14</v>
      </c>
      <c r="B6991" s="45" t="str">
        <f>INDEX(overview!$B$4:$R$338,MATCH('hydrogen - electrolysis'!B6976,overview!$A$4:$A$338,0),MATCH('hydrogen - electrolysis'!A6991,overview!$B$3:$R$3,0))</f>
        <v>water and electricity</v>
      </c>
    </row>
    <row r="6992" spans="1:2" x14ac:dyDescent="0.2">
      <c r="A6992" t="s">
        <v>26</v>
      </c>
      <c r="B6992" s="45" t="str">
        <f>INDEX(overview!$B$4:$R$338,MATCH('hydrogen - electrolysis'!B6976,overview!$A$4:$A$338,0),MATCH('hydrogen - electrolysis'!A6992,overview!$B$3:$R$3,0))</f>
        <v>Solar PV (DE)</v>
      </c>
    </row>
    <row r="6993" spans="1:2" x14ac:dyDescent="0.2">
      <c r="A6993" t="s">
        <v>29</v>
      </c>
      <c r="B6993" s="45">
        <f>INDEX(overview!$B$4:$R$338,MATCH('hydrogen - electrolysis'!B6976,overview!$A$4:$A$338,0),MATCH('hydrogen - electrolysis'!A6993,overview!$B$3:$R$3,0))</f>
        <v>0</v>
      </c>
    </row>
    <row r="6994" spans="1:2" x14ac:dyDescent="0.2">
      <c r="A6994" t="str">
        <f>IF(B6978="megajoule","Heat","Electricity")&amp;" conversion efficiency [% LHV input]"</f>
        <v>Heat conversion efficiency [% LHV input]</v>
      </c>
      <c r="B6994" s="46">
        <f>INDEX(parameters!$D$4:$N$20,MATCH('hydrogen - electrolysis'!B6982&amp;'hydrogen - electrolysis'!B6984,parameters!$A$4:$A$20,0),MATCH('hydrogen - electrolysis'!A6994,parameters!$D$3:$N$3,0))</f>
        <v>0.41699999999999998</v>
      </c>
    </row>
    <row r="6995" spans="1:2" x14ac:dyDescent="0.2">
      <c r="A6995" t="str">
        <f>IF(B6978="megajoule","LHV [MJ/kg]","LHV [kWh/kg]")</f>
        <v>LHV [MJ/kg]</v>
      </c>
      <c r="B6995" s="47">
        <f>INDEX(parameters!$D$4:$N$20,MATCH('hydrogen - electrolysis'!B6982&amp;'hydrogen - electrolysis'!B6984,parameters!$A$4:$A$20,0),MATCH('hydrogen - electrolysis'!A6995,parameters!$D$3:$N$3,0))</f>
        <v>120</v>
      </c>
    </row>
    <row r="6996" spans="1:2" x14ac:dyDescent="0.2">
      <c r="A6996" t="s">
        <v>41</v>
      </c>
      <c r="B6996" s="48">
        <f>INDEX(parameters!$D$4:$N$20,MATCH('hydrogen - electrolysis'!B6982&amp;'hydrogen - electrolysis'!B6984,parameters!$A$4:$A$20,0),MATCH('hydrogen - electrolysis'!A6996,parameters!$D$3:$N$3,0))</f>
        <v>2.6666666666666665E-2</v>
      </c>
    </row>
    <row r="6997" spans="1:2" x14ac:dyDescent="0.2">
      <c r="A6997" t="s">
        <v>45</v>
      </c>
      <c r="B6997" s="46">
        <f>INDEX(parameters!$D$4:$N$20,MATCH('hydrogen - electrolysis'!B6982&amp;'hydrogen - electrolysis'!B6984,parameters!$A$4:$A$20,0),MATCH('hydrogen - electrolysis'!A6997,parameters!$D$3:$N$3,0))</f>
        <v>0</v>
      </c>
    </row>
    <row r="6998" spans="1:2" x14ac:dyDescent="0.2">
      <c r="A6998" t="s">
        <v>46</v>
      </c>
      <c r="B6998" s="46">
        <f>INDEX(parameters!$D$4:$N$20,MATCH('hydrogen - electrolysis'!B6982&amp;'hydrogen - electrolysis'!B6984,parameters!$A$4:$A$20,0),MATCH('hydrogen - electrolysis'!A6998,parameters!$D$3:$N$3,0))</f>
        <v>1.4999999999999999E-2</v>
      </c>
    </row>
    <row r="6999" spans="1:2" x14ac:dyDescent="0.2">
      <c r="A6999" t="s">
        <v>43</v>
      </c>
      <c r="B6999" s="46">
        <f>INDEX(parameters!$D$4:$N$20,MATCH('hydrogen - electrolysis'!B6982&amp;'hydrogen - electrolysis'!B6984,parameters!$A$4:$A$20,0),MATCH('hydrogen - electrolysis'!A6999,parameters!$D$3:$N$3,0))</f>
        <v>0</v>
      </c>
    </row>
    <row r="7000" spans="1:2" x14ac:dyDescent="0.2">
      <c r="A7000" t="s">
        <v>44</v>
      </c>
      <c r="B7000" s="46">
        <f>INDEX(parameters!$D$4:$N$20,MATCH('hydrogen - electrolysis'!B6982&amp;'hydrogen - electrolysis'!B6984,parameters!$A$4:$A$20,0),MATCH('hydrogen - electrolysis'!A7000,parameters!$D$3:$N$3,0))</f>
        <v>0</v>
      </c>
    </row>
    <row r="7001" spans="1:2" x14ac:dyDescent="0.2">
      <c r="A7001" t="s">
        <v>634</v>
      </c>
      <c r="B7001" s="51">
        <f>INDEX(parameters!$D$4:$Y$20,MATCH('hydrogen - electrolysis'!B6982&amp;'hydrogen - electrolysis'!B6984,parameters!$A$4:$A$20,0),MATCH('hydrogen - electrolysis'!A7001,parameters!$D$3:$Y$3,0))</f>
        <v>351.41800246609125</v>
      </c>
    </row>
    <row r="7002" spans="1:2" x14ac:dyDescent="0.2">
      <c r="A7002" t="s">
        <v>82</v>
      </c>
      <c r="B7002" s="46">
        <f>IF(B6993&lt;&gt;0,VLOOKUP(B6993,parameters!A4408:B4410,2,0),0)</f>
        <v>0</v>
      </c>
    </row>
    <row r="7003" spans="1:2" x14ac:dyDescent="0.2">
      <c r="A7003" t="s">
        <v>548</v>
      </c>
      <c r="B7003" s="50">
        <f>INDEX(parameters!$D$4:$P$20,MATCH(B6982&amp;B6984,parameters!$A$4:$A$20,0),MATCH(A7003,parameters!$D$3:$P$3,0))</f>
        <v>125</v>
      </c>
    </row>
    <row r="7004" spans="1:2" x14ac:dyDescent="0.2">
      <c r="A7004" t="s">
        <v>547</v>
      </c>
      <c r="B7004" s="51">
        <f>INDEX(parameters!$D$4:$P$20,MATCH(B6982&amp;B6984,parameters!$A$4:$A$20,0),MATCH(A7004,parameters!$D$3:$P$3,0))</f>
        <v>19.512195121951219</v>
      </c>
    </row>
    <row r="7005" spans="1:2" x14ac:dyDescent="0.2">
      <c r="A7005" t="s">
        <v>630</v>
      </c>
      <c r="B7005" s="51">
        <f>INDEX(parameters!$D$4:$T$20,MATCH(B6982&amp;B6984,parameters!$A$4:$A$20,0),MATCH(A7005,parameters!$D$3:$T$3,0))</f>
        <v>4100</v>
      </c>
    </row>
    <row r="7006" spans="1:2" x14ac:dyDescent="0.2">
      <c r="A7006" t="s">
        <v>1005</v>
      </c>
      <c r="B7006" s="50">
        <f>IF(B6978="megajoule",SUMIFS(allocation!$I$4:$I$30,allocation!$B$4:$B$30,B6984,allocation!$C$4:$C$30,B6985),SUMIFS(allocation!$J$4:$J$30,allocation!$B$4:$B$30,B6984,allocation!$C$4:$C$30,B6985))</f>
        <v>0.12860042227295038</v>
      </c>
    </row>
    <row r="7007" spans="1:2" x14ac:dyDescent="0.2">
      <c r="A7007" t="s">
        <v>1050</v>
      </c>
      <c r="B7007" s="51">
        <f>INDEX(parameters!$D$4:$AB$20,MATCH(B6982&amp;B6984,parameters!$A$4:$A$20,0),MATCH(A7007,parameters!$D$3:$AB$3,0))</f>
        <v>2220.7364520822662</v>
      </c>
    </row>
    <row r="7009" spans="1:22" x14ac:dyDescent="0.2">
      <c r="A7009" s="3" t="s">
        <v>57</v>
      </c>
    </row>
    <row r="7010" spans="1:22" x14ac:dyDescent="0.2">
      <c r="A7010" s="2" t="s">
        <v>58</v>
      </c>
      <c r="B7010" s="44" t="s">
        <v>59</v>
      </c>
      <c r="C7010" s="2" t="s">
        <v>55</v>
      </c>
      <c r="D7010" s="2" t="s">
        <v>60</v>
      </c>
      <c r="E7010" s="2" t="s">
        <v>52</v>
      </c>
      <c r="F7010" s="2" t="s">
        <v>61</v>
      </c>
      <c r="G7010" s="2" t="s">
        <v>54</v>
      </c>
      <c r="H7010" s="2" t="s">
        <v>87</v>
      </c>
      <c r="I7010" s="2" t="s">
        <v>51</v>
      </c>
      <c r="J7010" s="2" t="s">
        <v>138</v>
      </c>
      <c r="K7010" s="2" t="s">
        <v>136</v>
      </c>
      <c r="L7010" s="2" t="s">
        <v>221</v>
      </c>
      <c r="M7010" s="2" t="s">
        <v>379</v>
      </c>
      <c r="N7010" s="2" t="s">
        <v>1059</v>
      </c>
      <c r="O7010" s="2" t="s">
        <v>1060</v>
      </c>
      <c r="P7010" s="2" t="s">
        <v>1061</v>
      </c>
      <c r="Q7010" s="2" t="s">
        <v>1062</v>
      </c>
      <c r="R7010" s="2" t="s">
        <v>1063</v>
      </c>
      <c r="S7010" s="2" t="s">
        <v>1064</v>
      </c>
      <c r="T7010" s="2" t="s">
        <v>1065</v>
      </c>
      <c r="U7010" s="2" t="s">
        <v>380</v>
      </c>
      <c r="V7010" s="2" t="s">
        <v>1128</v>
      </c>
    </row>
    <row r="7011" spans="1:22" x14ac:dyDescent="0.2">
      <c r="A7011" t="str">
        <f>B6972</f>
        <v>heat, residential, by combustion of hydrogen using CHP, allocated by exergy, transported by train, produced by Electrolysis, PEM using water and electricity from Solar PV (DE)</v>
      </c>
      <c r="B7011" s="45">
        <v>1</v>
      </c>
      <c r="C7011" t="str">
        <f>B6978</f>
        <v>megajoule</v>
      </c>
      <c r="E7011" t="str">
        <f>B6975</f>
        <v>CH</v>
      </c>
      <c r="F7011" t="s">
        <v>62</v>
      </c>
      <c r="G7011" t="str">
        <f>B6977</f>
        <v>heat, from residential heating system</v>
      </c>
      <c r="K7011" t="str">
        <f>B6972</f>
        <v>heat, residential, by combustion of hydrogen using CHP, allocated by exergy, transported by train, produced by Electrolysis, PEM using water and electricity from Solar PV (DE)</v>
      </c>
    </row>
    <row r="7012" spans="1:22" x14ac:dyDescent="0.2">
      <c r="A7012" t="str">
        <f>VLOOKUP(J7012,'dataset mapping'!$A$4:$E$69,2,0)</f>
        <v>heat and power co-generation unit construction, 160kW electrical, common components for heat+electricity</v>
      </c>
      <c r="B7012" s="52">
        <f>(1/(B7001*B7005*B7004*3.6))*B7006</f>
        <v>1.270649883812899E-9</v>
      </c>
      <c r="C7012" t="str">
        <f>VLOOKUP(J7012,'dataset mapping'!$A$4:$E$69,5,0)</f>
        <v>unit</v>
      </c>
      <c r="E7012" t="str">
        <f>VLOOKUP(J7012,'dataset mapping'!$A$4:$E$69,4,0)</f>
        <v>RER</v>
      </c>
      <c r="F7012" t="s">
        <v>86</v>
      </c>
      <c r="G7012" t="str">
        <f>VLOOKUP(J7012,'dataset mapping'!$A$4:$E$69,3,0)</f>
        <v>heat and power co-generation unit, 160kW electrical, common components for heat+electricity</v>
      </c>
      <c r="H7012" t="s">
        <v>88</v>
      </c>
      <c r="J7012" t="s">
        <v>145</v>
      </c>
      <c r="K7012" t="str">
        <f>B6972</f>
        <v>heat, residential, by combustion of hydrogen using CHP, allocated by exergy, transported by train, produced by Electrolysis, PEM using water and electricity from Solar PV (DE)</v>
      </c>
      <c r="L7012">
        <f t="shared" ref="L7012:L7021" si="280">IF(OR(B7012&lt;0,B7012=0),1,2)</f>
        <v>2</v>
      </c>
      <c r="M7012">
        <f t="shared" ref="M7012:M7021" si="281">IF(L7012=2,LN(B7012),"")</f>
        <v>-20.48373734782199</v>
      </c>
      <c r="N7012">
        <v>1.05</v>
      </c>
      <c r="O7012" s="15">
        <v>1.2</v>
      </c>
      <c r="P7012">
        <v>1</v>
      </c>
      <c r="Q7012">
        <v>1.01</v>
      </c>
      <c r="R7012">
        <v>1.2</v>
      </c>
      <c r="S7012">
        <v>1.2</v>
      </c>
      <c r="T7012">
        <v>3</v>
      </c>
      <c r="U7012">
        <f t="shared" ref="U7012:U7021" si="282">LN(SQRT(EXP(
SQRT(
+POWER(LN(N7012),2)
+POWER(LN(O7012),2)
+POWER(LN(P7012),2)
+POWER(LN(Q7012),2)
+POWER(LN(R7012),2)
+POWER(LN(S7012),2)
+POWER(LN(T7012),2)
)
)))</f>
        <v>0.57209088006881903</v>
      </c>
    </row>
    <row r="7013" spans="1:22" x14ac:dyDescent="0.2">
      <c r="A7013" t="str">
        <f>VLOOKUP(J7013,'dataset mapping'!$A$4:$E$69,2,0)</f>
        <v>heat and power co-generation unit construction, 160kW electrical, components for electricity only</v>
      </c>
      <c r="B7013" s="52">
        <f>(1/(B7001*B7005*B7004*3.6))*B7006</f>
        <v>1.270649883812899E-9</v>
      </c>
      <c r="C7013" t="str">
        <f>VLOOKUP(J7013,'dataset mapping'!$A$4:$E$69,5,0)</f>
        <v>unit</v>
      </c>
      <c r="E7013" t="str">
        <f>VLOOKUP(J7013,'dataset mapping'!$A$4:$E$69,4,0)</f>
        <v>RER</v>
      </c>
      <c r="F7013" t="s">
        <v>86</v>
      </c>
      <c r="G7013" t="str">
        <f>VLOOKUP(J7013,'dataset mapping'!$A$4:$E$69,3,0)</f>
        <v>heat and power co-generation unit, 160kW electrical, components for electricity only</v>
      </c>
      <c r="H7013" t="s">
        <v>88</v>
      </c>
      <c r="J7013" t="s">
        <v>146</v>
      </c>
      <c r="K7013" t="str">
        <f>B6972</f>
        <v>heat, residential, by combustion of hydrogen using CHP, allocated by exergy, transported by train, produced by Electrolysis, PEM using water and electricity from Solar PV (DE)</v>
      </c>
      <c r="L7013">
        <f t="shared" si="280"/>
        <v>2</v>
      </c>
      <c r="M7013">
        <f t="shared" si="281"/>
        <v>-20.48373734782199</v>
      </c>
      <c r="N7013">
        <v>1.05</v>
      </c>
      <c r="O7013" s="15">
        <v>1.2</v>
      </c>
      <c r="P7013">
        <v>1</v>
      </c>
      <c r="Q7013">
        <v>1.01</v>
      </c>
      <c r="R7013">
        <v>1.2</v>
      </c>
      <c r="S7013">
        <v>1.2</v>
      </c>
      <c r="T7013">
        <v>3</v>
      </c>
      <c r="U7013">
        <f t="shared" si="282"/>
        <v>0.57209088006881903</v>
      </c>
    </row>
    <row r="7014" spans="1:22" x14ac:dyDescent="0.2">
      <c r="A7014" t="str">
        <f>VLOOKUP(J7014,'dataset mapping'!$A$4:$E$69,2,0)</f>
        <v>heat and power co-generation unit construction, 160kW electrical, components for heat only</v>
      </c>
      <c r="B7014" s="52">
        <f>(1/(B7001*B7005*B7004*3.6))*B7006</f>
        <v>1.270649883812899E-9</v>
      </c>
      <c r="C7014" t="str">
        <f>VLOOKUP(J7014,'dataset mapping'!$A$4:$E$69,5,0)</f>
        <v>unit</v>
      </c>
      <c r="E7014" t="str">
        <f>VLOOKUP(J7014,'dataset mapping'!$A$4:$E$69,4,0)</f>
        <v>RER</v>
      </c>
      <c r="F7014" t="s">
        <v>86</v>
      </c>
      <c r="G7014" t="str">
        <f>VLOOKUP(J7014,'dataset mapping'!$A$4:$E$69,3,0)</f>
        <v>heat and power co-generation unit, 160kW electrical, components for heat only</v>
      </c>
      <c r="H7014" t="s">
        <v>88</v>
      </c>
      <c r="J7014" t="s">
        <v>147</v>
      </c>
      <c r="K7014" t="str">
        <f>B6972</f>
        <v>heat, residential, by combustion of hydrogen using CHP, allocated by exergy, transported by train, produced by Electrolysis, PEM using water and electricity from Solar PV (DE)</v>
      </c>
      <c r="L7014">
        <f t="shared" si="280"/>
        <v>2</v>
      </c>
      <c r="M7014">
        <f t="shared" si="281"/>
        <v>-20.48373734782199</v>
      </c>
      <c r="N7014">
        <v>1.05</v>
      </c>
      <c r="O7014" s="15">
        <v>1.2</v>
      </c>
      <c r="P7014">
        <v>1</v>
      </c>
      <c r="Q7014">
        <v>1.01</v>
      </c>
      <c r="R7014">
        <v>1.2</v>
      </c>
      <c r="S7014">
        <v>1.2</v>
      </c>
      <c r="T7014">
        <v>3</v>
      </c>
      <c r="U7014">
        <f t="shared" si="282"/>
        <v>0.57209088006881903</v>
      </c>
    </row>
    <row r="7015" spans="1:22" x14ac:dyDescent="0.2">
      <c r="A7015" t="s">
        <v>156</v>
      </c>
      <c r="B7015" s="52">
        <f>0.00000011366*B7006</f>
        <v>1.461672399554354E-8</v>
      </c>
      <c r="C7015" t="s">
        <v>56</v>
      </c>
      <c r="E7015" t="s">
        <v>90</v>
      </c>
      <c r="F7015" t="s">
        <v>86</v>
      </c>
      <c r="G7015" t="s">
        <v>154</v>
      </c>
      <c r="H7015" t="s">
        <v>155</v>
      </c>
      <c r="K7015" t="str">
        <f>B6972</f>
        <v>heat, residential, by combustion of hydrogen using CHP, allocated by exergy, transported by train, produced by Electrolysis, PEM using water and electricity from Solar PV (DE)</v>
      </c>
      <c r="L7015">
        <f t="shared" si="280"/>
        <v>2</v>
      </c>
      <c r="M7015">
        <f t="shared" si="281"/>
        <v>-18.041099484645969</v>
      </c>
      <c r="N7015">
        <v>1.05</v>
      </c>
      <c r="O7015" s="15">
        <v>1.2</v>
      </c>
      <c r="P7015">
        <v>1</v>
      </c>
      <c r="Q7015">
        <v>1.01</v>
      </c>
      <c r="R7015">
        <v>1.2</v>
      </c>
      <c r="S7015">
        <v>1.2</v>
      </c>
      <c r="T7015">
        <v>1.05</v>
      </c>
      <c r="U7015">
        <f t="shared" si="282"/>
        <v>0.16169679924070957</v>
      </c>
    </row>
    <row r="7016" spans="1:22" x14ac:dyDescent="0.2">
      <c r="A7016" t="s">
        <v>157</v>
      </c>
      <c r="B7016" s="52">
        <f>0.00000011366*B7006*-1</f>
        <v>-1.461672399554354E-8</v>
      </c>
      <c r="C7016" t="s">
        <v>56</v>
      </c>
      <c r="E7016" t="s">
        <v>64</v>
      </c>
      <c r="F7016" t="s">
        <v>86</v>
      </c>
      <c r="G7016" t="s">
        <v>158</v>
      </c>
      <c r="H7016" t="s">
        <v>155</v>
      </c>
      <c r="K7016" t="str">
        <f>B6972</f>
        <v>heat, residential, by combustion of hydrogen using CHP, allocated by exergy, transported by train, produced by Electrolysis, PEM using water and electricity from Solar PV (DE)</v>
      </c>
      <c r="L7016">
        <v>2</v>
      </c>
      <c r="M7016">
        <f>IF(L7016=2,LN(B7016*-1),"")</f>
        <v>-18.041099484645969</v>
      </c>
      <c r="N7016">
        <v>1.05</v>
      </c>
      <c r="O7016" s="15">
        <v>1.2</v>
      </c>
      <c r="P7016">
        <v>1</v>
      </c>
      <c r="Q7016">
        <v>1.01</v>
      </c>
      <c r="R7016">
        <v>1.2</v>
      </c>
      <c r="S7016">
        <v>1.2</v>
      </c>
      <c r="T7016">
        <v>3</v>
      </c>
      <c r="U7016">
        <f>LN(SQRT(EXP(
SQRT(
+POWER(LN(N7016),2)
+POWER(LN(O7016),2)
+POWER(LN(P7016),2)
+POWER(LN(Q7016),2)
+POWER(LN(R7016),2)
+POWER(LN(S7016),2)
+POWER(LN(T7016),2)
)
)))</f>
        <v>0.57209088006881903</v>
      </c>
      <c r="V7016" t="b">
        <v>1</v>
      </c>
    </row>
    <row r="7017" spans="1:22" x14ac:dyDescent="0.2">
      <c r="A7017" s="45" t="str">
        <f>"hydrogen supply, transported by "&amp;B6986&amp;", produced by "&amp;B6990&amp;" using "&amp;B6991&amp;" from "&amp;B6992</f>
        <v>hydrogen supply, transported by train, produced by Electrolysis, PEM using water and electricity from Solar PV (DE)</v>
      </c>
      <c r="B7017" s="53">
        <f>(B7011/B6995)/B6994*B7006</f>
        <v>2.56995248347223E-3</v>
      </c>
      <c r="C7017" t="s">
        <v>56</v>
      </c>
      <c r="E7017" t="s">
        <v>64</v>
      </c>
      <c r="F7017" t="s">
        <v>86</v>
      </c>
      <c r="G7017" t="str">
        <f>"hydrogen, gaseous, from "&amp;B6986</f>
        <v>hydrogen, gaseous, from train</v>
      </c>
      <c r="H7017" t="s">
        <v>76</v>
      </c>
      <c r="I7017" t="s">
        <v>1054</v>
      </c>
      <c r="J7017" t="s">
        <v>298</v>
      </c>
      <c r="K7017" t="str">
        <f>B6972</f>
        <v>heat, residential, by combustion of hydrogen using CHP, allocated by exergy, transported by train, produced by Electrolysis, PEM using water and electricity from Solar PV (DE)</v>
      </c>
      <c r="L7017">
        <f t="shared" si="280"/>
        <v>2</v>
      </c>
      <c r="M7017">
        <f t="shared" si="281"/>
        <v>-5.9638678691672418</v>
      </c>
      <c r="N7017">
        <v>1.05</v>
      </c>
      <c r="O7017" s="15">
        <v>1.2</v>
      </c>
      <c r="P7017">
        <v>1</v>
      </c>
      <c r="Q7017">
        <v>1.01</v>
      </c>
      <c r="R7017">
        <v>1.2</v>
      </c>
      <c r="S7017">
        <v>1.2</v>
      </c>
      <c r="T7017">
        <v>1.05</v>
      </c>
      <c r="U7017">
        <f t="shared" si="282"/>
        <v>0.16169679924070957</v>
      </c>
    </row>
    <row r="7018" spans="1:22" x14ac:dyDescent="0.2">
      <c r="A7018" t="str">
        <f>VLOOKUP(J7018,'dataset mapping'!$A$4:$E$69,2,0)</f>
        <v>market for transport, freight train</v>
      </c>
      <c r="B7018" s="45">
        <f>SUM(B7017:B7017)/1000*B6987</f>
        <v>2.56995248347223E-3</v>
      </c>
      <c r="C7018" t="str">
        <f>VLOOKUP(J7018,'dataset mapping'!$A$4:$E$69,5,0)</f>
        <v>ton kilometer</v>
      </c>
      <c r="E7018" t="str">
        <f>VLOOKUP(J7018,'dataset mapping'!$A$4:$E$69,4,0)</f>
        <v>CH</v>
      </c>
      <c r="F7018" t="s">
        <v>86</v>
      </c>
      <c r="G7018" t="str">
        <f>VLOOKUP(J7018,'dataset mapping'!$A$4:$E$69,3,0)</f>
        <v>transport, freight train</v>
      </c>
      <c r="H7018" t="s">
        <v>88</v>
      </c>
      <c r="I7018" t="s">
        <v>1052</v>
      </c>
      <c r="J7018" t="s">
        <v>295</v>
      </c>
      <c r="K7018" t="str">
        <f>B6972</f>
        <v>heat, residential, by combustion of hydrogen using CHP, allocated by exergy, transported by train, produced by Electrolysis, PEM using water and electricity from Solar PV (DE)</v>
      </c>
      <c r="L7018">
        <f t="shared" si="280"/>
        <v>2</v>
      </c>
      <c r="M7018">
        <f t="shared" si="281"/>
        <v>-5.9638678691672418</v>
      </c>
      <c r="N7018">
        <v>1.05</v>
      </c>
      <c r="O7018" s="15">
        <v>1.2</v>
      </c>
      <c r="P7018">
        <v>1</v>
      </c>
      <c r="Q7018">
        <v>1.01</v>
      </c>
      <c r="R7018">
        <v>1.2</v>
      </c>
      <c r="S7018">
        <v>1.2</v>
      </c>
      <c r="T7018">
        <v>2</v>
      </c>
      <c r="U7018">
        <f t="shared" si="282"/>
        <v>0.38165951885721477</v>
      </c>
    </row>
    <row r="7019" spans="1:22" x14ac:dyDescent="0.2">
      <c r="A7019" t="str">
        <f>VLOOKUP(J7019,'dataset mapping'!$A$4:$E$69,2,0)</f>
        <v>high pressure hydrogen storage tank</v>
      </c>
      <c r="B7019" s="52">
        <f>((B7007/10)/(B7005*B7001*20*3.6))*IF(B7006&lt;&gt;0,B7006,1)</f>
        <v>2.7529546486023421E-7</v>
      </c>
      <c r="C7019" t="str">
        <f>VLOOKUP(J7019,'dataset mapping'!$A$4:$E$69,5,0)</f>
        <v>kilogram</v>
      </c>
      <c r="E7019" t="str">
        <f>VLOOKUP(J7019,'dataset mapping'!$A$4:$E$69,4,0)</f>
        <v>GLO</v>
      </c>
      <c r="F7019" t="s">
        <v>86</v>
      </c>
      <c r="G7019" t="str">
        <f>VLOOKUP(J7019,'dataset mapping'!$A$4:$E$69,3,0)</f>
        <v>high pressure hydrogen storage tank</v>
      </c>
      <c r="H7019" t="s">
        <v>88</v>
      </c>
      <c r="I7019" t="s">
        <v>279</v>
      </c>
      <c r="J7019" t="s">
        <v>229</v>
      </c>
      <c r="K7019" t="str">
        <f>B6972</f>
        <v>heat, residential, by combustion of hydrogen using CHP, allocated by exergy, transported by train, produced by Electrolysis, PEM using water and electricity from Solar PV (DE)</v>
      </c>
      <c r="L7019">
        <f t="shared" si="280"/>
        <v>2</v>
      </c>
      <c r="M7019">
        <f t="shared" si="281"/>
        <v>-15.105420898379837</v>
      </c>
      <c r="N7019">
        <v>1.05</v>
      </c>
      <c r="O7019" s="15">
        <v>1.2</v>
      </c>
      <c r="P7019">
        <v>1</v>
      </c>
      <c r="Q7019">
        <v>1.01</v>
      </c>
      <c r="R7019">
        <v>1.2</v>
      </c>
      <c r="S7019">
        <v>1.2</v>
      </c>
      <c r="T7019">
        <v>3</v>
      </c>
      <c r="U7019">
        <f t="shared" si="282"/>
        <v>0.57209088006881903</v>
      </c>
    </row>
    <row r="7020" spans="1:22" x14ac:dyDescent="0.2">
      <c r="A7020" t="s">
        <v>134</v>
      </c>
      <c r="B7020" s="45">
        <f>B7017*9</f>
        <v>2.3129572351250072E-2</v>
      </c>
      <c r="C7020" t="s">
        <v>56</v>
      </c>
      <c r="D7020" t="s">
        <v>100</v>
      </c>
      <c r="F7020" t="s">
        <v>99</v>
      </c>
      <c r="H7020" t="s">
        <v>131</v>
      </c>
      <c r="I7020" t="s">
        <v>1058</v>
      </c>
      <c r="K7020" t="str">
        <f>B6972</f>
        <v>heat, residential, by combustion of hydrogen using CHP, allocated by exergy, transported by train, produced by Electrolysis, PEM using water and electricity from Solar PV (DE)</v>
      </c>
      <c r="L7020">
        <f t="shared" si="280"/>
        <v>2</v>
      </c>
      <c r="M7020">
        <f t="shared" si="281"/>
        <v>-3.7666432918310226</v>
      </c>
      <c r="N7020">
        <v>1.05</v>
      </c>
      <c r="O7020" s="15">
        <v>1.2</v>
      </c>
      <c r="P7020">
        <v>1</v>
      </c>
      <c r="Q7020">
        <v>1.01</v>
      </c>
      <c r="R7020">
        <v>1.2</v>
      </c>
      <c r="S7020">
        <v>1.2</v>
      </c>
      <c r="T7020">
        <v>1.05</v>
      </c>
      <c r="U7020">
        <f t="shared" si="282"/>
        <v>0.16169679924070957</v>
      </c>
    </row>
    <row r="7021" spans="1:22" x14ac:dyDescent="0.2">
      <c r="A7021" t="s">
        <v>135</v>
      </c>
      <c r="B7021" s="45">
        <f>912.5/1000000*B7018</f>
        <v>2.3450816411684101E-6</v>
      </c>
      <c r="C7021" t="s">
        <v>56</v>
      </c>
      <c r="D7021" t="s">
        <v>100</v>
      </c>
      <c r="F7021" t="s">
        <v>99</v>
      </c>
      <c r="H7021" t="s">
        <v>131</v>
      </c>
      <c r="I7021" t="s">
        <v>1217</v>
      </c>
      <c r="K7021" t="str">
        <f>B6972</f>
        <v>heat, residential, by combustion of hydrogen using CHP, allocated by exergy, transported by train, produced by Electrolysis, PEM using water and electricity from Solar PV (DE)</v>
      </c>
      <c r="L7021">
        <f t="shared" si="280"/>
        <v>2</v>
      </c>
      <c r="M7021">
        <f t="shared" si="281"/>
        <v>-12.963190341674869</v>
      </c>
      <c r="N7021">
        <v>1.05</v>
      </c>
      <c r="O7021" s="15">
        <v>1.2</v>
      </c>
      <c r="P7021">
        <v>1</v>
      </c>
      <c r="Q7021">
        <v>1.01</v>
      </c>
      <c r="R7021">
        <v>1.2</v>
      </c>
      <c r="S7021">
        <v>1.2</v>
      </c>
      <c r="T7021">
        <v>1.5</v>
      </c>
      <c r="U7021">
        <f t="shared" si="282"/>
        <v>0.25816898211842121</v>
      </c>
    </row>
    <row r="7023" spans="1:22" x14ac:dyDescent="0.2">
      <c r="A7023" s="2" t="s">
        <v>50</v>
      </c>
      <c r="B7023" s="44" t="str">
        <f>IF(B7029="megajoule","heat","electricity")&amp;", residential, by "&amp;B7034&amp;" of "&amp;B7033&amp;" using "&amp;B7035&amp;IF(B7036&lt;&gt;0,", allocated by "&amp;B7036,"")&amp;", transported by "&amp;B7037&amp;", produced by "&amp;B7041&amp;" using "&amp;B7042&amp;" from "&amp;B7043</f>
        <v>heat, residential, by conversion of hydrogen using fuel cell, PEM, allocated by exergy, transported by train, produced by Electrolysis, PEM using water and electricity from Solar PV (DE)</v>
      </c>
    </row>
    <row r="7024" spans="1:22" x14ac:dyDescent="0.2">
      <c r="A7024" t="s">
        <v>51</v>
      </c>
      <c r="B7024" s="45" t="str">
        <f>"This dataset represents the supply of 1 "&amp;IF(B7029="megajoule","megajoule of heat","kilowatt hour of electricity")&amp;" in a residence, by "&amp;B7033&amp;" "&amp;B7034&amp;" in a "&amp;B7035&amp;". "&amp;" The hydrogen is transported by "&amp;B7037&amp;" over "&amp;B7038&amp;" km from regional storage. "&amp;" The "&amp;B7033&amp;" is produced by  "&amp;B7041&amp;", with "&amp;B7042&amp;" from "&amp;B7043&amp;" as feedstock. "&amp;A7045&amp;": "&amp;(B7045*100)&amp;"%. "&amp;A7046&amp;": "&amp;B7046&amp;". "&amp;A7047&amp;": "&amp;B7047&amp;". "&amp;A7048&amp;": "&amp;(B7048*100)&amp;"%. "&amp;A7049&amp;": "&amp;(B7049*100)&amp;"%. "&amp;A7050&amp;": "&amp;(B7050*100)&amp;"%. "&amp;A7051&amp;": "&amp;B7051&amp;". "&amp;A7052&amp;": "&amp;B7052&amp;". "&amp;A7053&amp;": "&amp;(B7053*100)&amp;"%. "&amp;A7054&amp;": "&amp;B7054&amp;". "&amp;A7055&amp;": "&amp;B7055&amp;". "&amp;A7056&amp;": "&amp;B7056&amp;". "&amp;A7057&amp;": "&amp;B7057&amp;".  For more information, refer to: "&amp;B7025</f>
        <v>This dataset represents the supply of 1 megajoule of heat in a residence, by hydrogen conversion in a fuel cell, PEM.  The hydrogen is transported by train over 1000 km from regional storage.  The hydrogen is produced by  Electrolysis, PEM,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7025" spans="1:2" x14ac:dyDescent="0.2">
      <c r="A7025" t="s">
        <v>63</v>
      </c>
      <c r="B7025" s="45" t="s">
        <v>1223</v>
      </c>
    </row>
    <row r="7026" spans="1:2" x14ac:dyDescent="0.2">
      <c r="A7026" t="s">
        <v>52</v>
      </c>
      <c r="B7026" s="45" t="s">
        <v>64</v>
      </c>
    </row>
    <row r="7027" spans="1:2" x14ac:dyDescent="0.2">
      <c r="A7027" t="s">
        <v>48</v>
      </c>
      <c r="B7027" s="45">
        <v>87</v>
      </c>
    </row>
    <row r="7028" spans="1:2" x14ac:dyDescent="0.2">
      <c r="A7028" t="s">
        <v>54</v>
      </c>
      <c r="B7028" s="45" t="str">
        <f>INDEX(overview!$B$4:$R$338,MATCH('hydrogen - electrolysis'!B7027,overview!$A$4:$A$338,0),MATCH('hydrogen - electrolysis'!A7028,overview!$B$3:$R$3,0))</f>
        <v>heat, from residential heating system</v>
      </c>
    </row>
    <row r="7029" spans="1:2" x14ac:dyDescent="0.2">
      <c r="A7029" t="s">
        <v>55</v>
      </c>
      <c r="B7029" s="45" t="str">
        <f>INDEX(overview!$B$4:$R$338,MATCH('hydrogen - electrolysis'!B7027,overview!$A$4:$A$338,0),MATCH('hydrogen - electrolysis'!A7029,overview!$B$3:$R$3,0))</f>
        <v>megajoule</v>
      </c>
    </row>
    <row r="7030" spans="1:2" x14ac:dyDescent="0.2">
      <c r="A7030" t="s">
        <v>0</v>
      </c>
      <c r="B7030" s="45" t="str">
        <f>INDEX(overview!$B$4:$R$338,MATCH('hydrogen - electrolysis'!B7027,overview!$A$4:$A$338,0),MATCH('hydrogen - electrolysis'!A7030,overview!$B$3:$R$3,0))</f>
        <v>Switzerland</v>
      </c>
    </row>
    <row r="7031" spans="1:2" x14ac:dyDescent="0.2">
      <c r="A7031" t="s">
        <v>1</v>
      </c>
      <c r="B7031" s="45">
        <f>INDEX(overview!$B$4:$R$338,MATCH('hydrogen - electrolysis'!B7027,overview!$A$4:$A$338,0),MATCH('hydrogen - electrolysis'!A7031,overview!$B$3:$R$3,0))</f>
        <v>2020</v>
      </c>
    </row>
    <row r="7032" spans="1:2" x14ac:dyDescent="0.2">
      <c r="A7032" t="s">
        <v>2</v>
      </c>
      <c r="B7032" s="45" t="str">
        <f>INDEX(overview!$B$4:$R$338,MATCH('hydrogen - electrolysis'!B7027,overview!$A$4:$A$338,0),MATCH('hydrogen - electrolysis'!A7032,overview!$B$3:$R$3,0))</f>
        <v>1 MJ heat</v>
      </c>
    </row>
    <row r="7033" spans="1:2" x14ac:dyDescent="0.2">
      <c r="A7033" t="s">
        <v>5</v>
      </c>
      <c r="B7033" s="45" t="str">
        <f>INDEX(overview!$B$4:$R$338,MATCH('hydrogen - electrolysis'!B7027,overview!$A$4:$A$338,0),MATCH('hydrogen - electrolysis'!A7033,overview!$B$3:$R$3,0))</f>
        <v>hydrogen</v>
      </c>
    </row>
    <row r="7034" spans="1:2" x14ac:dyDescent="0.2">
      <c r="A7034" t="s">
        <v>3</v>
      </c>
      <c r="B7034" s="45" t="str">
        <f>INDEX(overview!$B$4:$R$338,MATCH('hydrogen - electrolysis'!B7027,overview!$A$4:$A$338,0),MATCH('hydrogen - electrolysis'!A7034,overview!$B$3:$R$3,0))</f>
        <v>conversion</v>
      </c>
    </row>
    <row r="7035" spans="1:2" x14ac:dyDescent="0.2">
      <c r="A7035" t="s">
        <v>6</v>
      </c>
      <c r="B7035" s="45" t="str">
        <f>INDEX(overview!$B$4:$R$338,MATCH('hydrogen - electrolysis'!B7027,overview!$A$4:$A$338,0),MATCH('hydrogen - electrolysis'!A7035,overview!$B$3:$R$3,0))</f>
        <v>fuel cell, PEM</v>
      </c>
    </row>
    <row r="7036" spans="1:2" x14ac:dyDescent="0.2">
      <c r="A7036" t="s">
        <v>39</v>
      </c>
      <c r="B7036" s="45" t="str">
        <f>INDEX(overview!$B$4:$R$338,MATCH('hydrogen - electrolysis'!B7027,overview!$A$4:$A$338,0),MATCH('hydrogen - electrolysis'!A7036,overview!$B$3:$R$3,0))</f>
        <v>exergy</v>
      </c>
    </row>
    <row r="7037" spans="1:2" x14ac:dyDescent="0.2">
      <c r="A7037" t="s">
        <v>4</v>
      </c>
      <c r="B7037" s="45" t="str">
        <f>INDEX(overview!$B$4:$R$338,MATCH('hydrogen - electrolysis'!B7027,overview!$A$4:$A$338,0),MATCH('hydrogen - electrolysis'!A7037,overview!$B$3:$R$3,0))</f>
        <v>train</v>
      </c>
    </row>
    <row r="7038" spans="1:2" x14ac:dyDescent="0.2">
      <c r="A7038" t="s">
        <v>38</v>
      </c>
      <c r="B7038" s="45">
        <f>INDEX(overview!$B$4:$R$338,MATCH('hydrogen - electrolysis'!B7027,overview!$A$4:$A$338,0),MATCH('hydrogen - electrolysis'!A7038,overview!$B$3:$R$3,0))</f>
        <v>1000</v>
      </c>
    </row>
    <row r="7039" spans="1:2" x14ac:dyDescent="0.2">
      <c r="A7039" t="s">
        <v>12</v>
      </c>
      <c r="B7039" s="45" t="str">
        <f>INDEX(overview!$B$4:$R$338,MATCH('hydrogen - electrolysis'!B7027,overview!$A$4:$A$338,0),MATCH('hydrogen - electrolysis'!A7039,overview!$B$3:$R$3,0))</f>
        <v>Pressure vessel for stationary storage</v>
      </c>
    </row>
    <row r="7040" spans="1:2" x14ac:dyDescent="0.2">
      <c r="A7040" t="s">
        <v>34</v>
      </c>
      <c r="B7040" s="45">
        <f>INDEX(overview!$B$4:$R$338,MATCH('hydrogen - electrolysis'!B7027,overview!$A$4:$A$338,0),MATCH('hydrogen - electrolysis'!A7040,overview!$B$3:$R$3,0))</f>
        <v>0</v>
      </c>
    </row>
    <row r="7041" spans="1:2" x14ac:dyDescent="0.2">
      <c r="A7041" t="s">
        <v>15</v>
      </c>
      <c r="B7041" s="45" t="str">
        <f>INDEX(overview!$B$4:$R$338,MATCH('hydrogen - electrolysis'!B7027,overview!$A$4:$A$338,0),MATCH('hydrogen - electrolysis'!A7041,overview!$B$3:$R$3,0))</f>
        <v>Electrolysis, PEM</v>
      </c>
    </row>
    <row r="7042" spans="1:2" x14ac:dyDescent="0.2">
      <c r="A7042" t="s">
        <v>14</v>
      </c>
      <c r="B7042" s="45" t="str">
        <f>INDEX(overview!$B$4:$R$338,MATCH('hydrogen - electrolysis'!B7027,overview!$A$4:$A$338,0),MATCH('hydrogen - electrolysis'!A7042,overview!$B$3:$R$3,0))</f>
        <v>water and electricity</v>
      </c>
    </row>
    <row r="7043" spans="1:2" x14ac:dyDescent="0.2">
      <c r="A7043" t="s">
        <v>26</v>
      </c>
      <c r="B7043" s="45" t="str">
        <f>INDEX(overview!$B$4:$R$338,MATCH('hydrogen - electrolysis'!B7027,overview!$A$4:$A$338,0),MATCH('hydrogen - electrolysis'!A7043,overview!$B$3:$R$3,0))</f>
        <v>Solar PV (DE)</v>
      </c>
    </row>
    <row r="7044" spans="1:2" x14ac:dyDescent="0.2">
      <c r="A7044" t="s">
        <v>29</v>
      </c>
      <c r="B7044" s="45">
        <f>INDEX(overview!$B$4:$R$338,MATCH('hydrogen - electrolysis'!B7027,overview!$A$4:$A$338,0),MATCH('hydrogen - electrolysis'!A7044,overview!$B$3:$R$3,0))</f>
        <v>0</v>
      </c>
    </row>
    <row r="7045" spans="1:2" x14ac:dyDescent="0.2">
      <c r="A7045" t="str">
        <f>IF(B7029="megajoule","Heat","Electricity")&amp;" conversion efficiency [% LHV input]"</f>
        <v>Heat conversion efficiency [% LHV input]</v>
      </c>
      <c r="B7045" s="46">
        <f>INDEX(parameters!$D$4:$N$20,MATCH('hydrogen - electrolysis'!B7033&amp;'hydrogen - electrolysis'!B7035,parameters!$A$4:$A$20,0),MATCH('hydrogen - electrolysis'!A7045,parameters!$D$3:$N$3,0))</f>
        <v>0.5</v>
      </c>
    </row>
    <row r="7046" spans="1:2" x14ac:dyDescent="0.2">
      <c r="A7046" t="str">
        <f>IF(B7029="megajoule","LHV [MJ/kg]","LHV [kWh/kg]")</f>
        <v>LHV [MJ/kg]</v>
      </c>
      <c r="B7046" s="47">
        <f>INDEX(parameters!$D$4:$N$20,MATCH('hydrogen - electrolysis'!B7033&amp;'hydrogen - electrolysis'!B7035,parameters!$A$4:$A$20,0),MATCH('hydrogen - electrolysis'!A7046,parameters!$D$3:$N$3,0))</f>
        <v>120</v>
      </c>
    </row>
    <row r="7047" spans="1:2" x14ac:dyDescent="0.2">
      <c r="A7047" t="s">
        <v>41</v>
      </c>
      <c r="B7047" s="48">
        <f>INDEX(parameters!$D$4:$N$20,MATCH('hydrogen - electrolysis'!B7033&amp;'hydrogen - electrolysis'!B7035,parameters!$A$4:$A$20,0),MATCH('hydrogen - electrolysis'!A7047,parameters!$D$3:$N$3,0))</f>
        <v>2.6666666666666665E-2</v>
      </c>
    </row>
    <row r="7048" spans="1:2" x14ac:dyDescent="0.2">
      <c r="A7048" t="s">
        <v>45</v>
      </c>
      <c r="B7048" s="46">
        <f>INDEX(parameters!$D$4:$N$20,MATCH('hydrogen - electrolysis'!B7033&amp;'hydrogen - electrolysis'!B7035,parameters!$A$4:$A$20,0),MATCH('hydrogen - electrolysis'!A7048,parameters!$D$3:$N$3,0))</f>
        <v>0</v>
      </c>
    </row>
    <row r="7049" spans="1:2" x14ac:dyDescent="0.2">
      <c r="A7049" t="s">
        <v>46</v>
      </c>
      <c r="B7049" s="46">
        <f>INDEX(parameters!$D$4:$N$20,MATCH('hydrogen - electrolysis'!B7033&amp;'hydrogen - electrolysis'!B7035,parameters!$A$4:$A$20,0),MATCH('hydrogen - electrolysis'!A7049,parameters!$D$3:$N$3,0))</f>
        <v>1.4999999999999999E-2</v>
      </c>
    </row>
    <row r="7050" spans="1:2" x14ac:dyDescent="0.2">
      <c r="A7050" t="s">
        <v>43</v>
      </c>
      <c r="B7050" s="46">
        <f>INDEX(parameters!$D$4:$N$20,MATCH('hydrogen - electrolysis'!B7033&amp;'hydrogen - electrolysis'!B7035,parameters!$A$4:$A$20,0),MATCH('hydrogen - electrolysis'!A7050,parameters!$D$3:$N$3,0))</f>
        <v>0</v>
      </c>
    </row>
    <row r="7051" spans="1:2" x14ac:dyDescent="0.2">
      <c r="A7051" t="s">
        <v>44</v>
      </c>
      <c r="B7051" s="46">
        <f>INDEX(parameters!$D$4:$N$20,MATCH('hydrogen - electrolysis'!B7033&amp;'hydrogen - electrolysis'!B7035,parameters!$A$4:$A$20,0),MATCH('hydrogen - electrolysis'!A7051,parameters!$D$3:$N$3,0))</f>
        <v>0</v>
      </c>
    </row>
    <row r="7052" spans="1:2" x14ac:dyDescent="0.2">
      <c r="A7052" t="s">
        <v>634</v>
      </c>
      <c r="B7052" s="51">
        <f>INDEX(parameters!$D$4:$Y$20,MATCH('hydrogen - electrolysis'!B7033&amp;'hydrogen - electrolysis'!B7035,parameters!$A$4:$A$20,0),MATCH('hydrogen - electrolysis'!A7052,parameters!$D$3:$Y$3,0))</f>
        <v>1.8947368421052633</v>
      </c>
    </row>
    <row r="7053" spans="1:2" x14ac:dyDescent="0.2">
      <c r="A7053" t="s">
        <v>82</v>
      </c>
      <c r="B7053" s="46">
        <f>IF(B7044&lt;&gt;0,VLOOKUP(B7044,parameters!A4461:B4463,2,0),0)</f>
        <v>0</v>
      </c>
    </row>
    <row r="7054" spans="1:2" x14ac:dyDescent="0.2">
      <c r="A7054" t="s">
        <v>548</v>
      </c>
      <c r="B7054" s="50">
        <f>INDEX(parameters!$D$4:$P$20,MATCH(B7033&amp;B7035,parameters!$A$4:$A$20,0),MATCH(A7054,parameters!$D$3:$P$3,0))</f>
        <v>0.8</v>
      </c>
    </row>
    <row r="7055" spans="1:2" x14ac:dyDescent="0.2">
      <c r="A7055" t="s">
        <v>547</v>
      </c>
      <c r="B7055" s="51">
        <f>INDEX(parameters!$D$4:$P$20,MATCH(B7033&amp;B7035,parameters!$A$4:$A$20,0),MATCH(A7055,parameters!$D$3:$P$3,0))</f>
        <v>4.8780487804878048</v>
      </c>
    </row>
    <row r="7056" spans="1:2" x14ac:dyDescent="0.2">
      <c r="A7056" t="s">
        <v>630</v>
      </c>
      <c r="B7056" s="51">
        <f>INDEX(parameters!$D$4:$T$20,MATCH(B7033&amp;B7035,parameters!$A$4:$A$20,0),MATCH(A7056,parameters!$D$3:$T$3,0))</f>
        <v>4100</v>
      </c>
    </row>
    <row r="7057" spans="1:22" x14ac:dyDescent="0.2">
      <c r="A7057" t="s">
        <v>1005</v>
      </c>
      <c r="B7057" s="50">
        <f>IF(B7029="megajoule",SUMIFS(allocation!$I$4:$I$30,allocation!$B$4:$B$30,B7035,allocation!$C$4:$C$30,B7036),SUMIFS(allocation!$J$4:$J$30,allocation!$B$4:$B$30,B7035,allocation!$C$4:$C$30,B7036))</f>
        <v>0.13933980798974457</v>
      </c>
    </row>
    <row r="7058" spans="1:22" x14ac:dyDescent="0.2">
      <c r="A7058" t="s">
        <v>1050</v>
      </c>
      <c r="B7058" s="51">
        <f>INDEX(parameters!$D$4:$AB$20,MATCH(B7033&amp;B7035,parameters!$A$4:$A$20,0),MATCH(A7058,parameters!$D$3:$AB$3,0))</f>
        <v>10.221606648199446</v>
      </c>
    </row>
    <row r="7060" spans="1:22" x14ac:dyDescent="0.2">
      <c r="A7060" s="3" t="s">
        <v>57</v>
      </c>
    </row>
    <row r="7061" spans="1:22" x14ac:dyDescent="0.2">
      <c r="A7061" s="2" t="s">
        <v>58</v>
      </c>
      <c r="B7061" s="44" t="s">
        <v>59</v>
      </c>
      <c r="C7061" s="2" t="s">
        <v>55</v>
      </c>
      <c r="D7061" s="2" t="s">
        <v>60</v>
      </c>
      <c r="E7061" s="2" t="s">
        <v>52</v>
      </c>
      <c r="F7061" s="2" t="s">
        <v>61</v>
      </c>
      <c r="G7061" s="2" t="s">
        <v>54</v>
      </c>
      <c r="H7061" s="2" t="s">
        <v>87</v>
      </c>
      <c r="I7061" s="2" t="s">
        <v>51</v>
      </c>
      <c r="J7061" s="2" t="s">
        <v>138</v>
      </c>
      <c r="K7061" s="2" t="s">
        <v>136</v>
      </c>
      <c r="L7061" s="2" t="s">
        <v>221</v>
      </c>
      <c r="M7061" s="2" t="s">
        <v>379</v>
      </c>
      <c r="N7061" s="2" t="s">
        <v>1059</v>
      </c>
      <c r="O7061" s="2" t="s">
        <v>1060</v>
      </c>
      <c r="P7061" s="2" t="s">
        <v>1061</v>
      </c>
      <c r="Q7061" s="2" t="s">
        <v>1062</v>
      </c>
      <c r="R7061" s="2" t="s">
        <v>1063</v>
      </c>
      <c r="S7061" s="2" t="s">
        <v>1064</v>
      </c>
      <c r="T7061" s="2" t="s">
        <v>1065</v>
      </c>
      <c r="U7061" s="2" t="s">
        <v>380</v>
      </c>
      <c r="V7061" s="2" t="s">
        <v>1128</v>
      </c>
    </row>
    <row r="7062" spans="1:22" x14ac:dyDescent="0.2">
      <c r="A7062" t="str">
        <f>B7023</f>
        <v>heat, residential, by conversion of hydrogen using fuel cell, PEM, allocated by exergy, transported by train, produced by Electrolysis, PEM using water and electricity from Solar PV (DE)</v>
      </c>
      <c r="B7062" s="45">
        <v>1</v>
      </c>
      <c r="C7062" t="str">
        <f>B7029</f>
        <v>megajoule</v>
      </c>
      <c r="E7062" t="str">
        <f>B7026</f>
        <v>CH</v>
      </c>
      <c r="F7062" t="s">
        <v>62</v>
      </c>
      <c r="G7062" t="str">
        <f>B7028</f>
        <v>heat, from residential heating system</v>
      </c>
      <c r="K7062" t="str">
        <f>B7023</f>
        <v>heat, residential, by conversion of hydrogen using fuel cell, PEM, allocated by exergy, transported by train, produced by Electrolysis, PEM using water and electricity from Solar PV (DE)</v>
      </c>
    </row>
    <row r="7063" spans="1:22" x14ac:dyDescent="0.2">
      <c r="A7063" t="str">
        <f>VLOOKUP(J7063,'dataset mapping'!$A$4:$E$69,2,0)</f>
        <v>fuel cell system assembly, 1 kWe, proton exchange membrane (PEM)</v>
      </c>
      <c r="B7063" s="52">
        <f>1/(80000*3.6)/0.5*SUMIFS(allocation!$I$4:$I$30,allocation!$B$4:$B$30,'hydrogen - electrolysis'!B7035,allocation!$C$4:$C$30,'hydrogen - electrolysis'!B7036)</f>
        <v>9.6763755548433728E-7</v>
      </c>
      <c r="C7063" t="str">
        <f>VLOOKUP(J7063,'dataset mapping'!$A$4:$E$69,5,0)</f>
        <v>unit</v>
      </c>
      <c r="E7063" t="str">
        <f>VLOOKUP(J7063,'dataset mapping'!$A$4:$E$69,4,0)</f>
        <v>GLO</v>
      </c>
      <c r="F7063" t="s">
        <v>86</v>
      </c>
      <c r="G7063" t="str">
        <f>VLOOKUP(J7063,'dataset mapping'!$A$4:$E$69,3,0)</f>
        <v>fuel cell system, 1 kWe, proton exchange membrane (PEM)</v>
      </c>
      <c r="H7063" t="s">
        <v>88</v>
      </c>
      <c r="I7063" t="s">
        <v>272</v>
      </c>
      <c r="J7063" t="s">
        <v>273</v>
      </c>
      <c r="K7063" t="str">
        <f>B7023</f>
        <v>heat, residential, by conversion of hydrogen using fuel cell, PEM, allocated by exergy, transported by train, produced by Electrolysis, PEM using water and electricity from Solar PV (DE)</v>
      </c>
      <c r="L7063">
        <f t="shared" ref="L7063:L7067" si="283">IF(OR(B7063&lt;0,B7063=0),1,2)</f>
        <v>2</v>
      </c>
      <c r="M7063">
        <f t="shared" ref="M7063:M7067" si="284">IF(L7063=2,LN(B7063),"")</f>
        <v>-13.848408245937353</v>
      </c>
      <c r="N7063">
        <v>1</v>
      </c>
      <c r="O7063" s="15">
        <v>1.2</v>
      </c>
      <c r="P7063">
        <v>1</v>
      </c>
      <c r="Q7063">
        <v>1.01</v>
      </c>
      <c r="R7063">
        <v>1.2</v>
      </c>
      <c r="S7063">
        <v>1.2</v>
      </c>
      <c r="T7063">
        <v>3</v>
      </c>
      <c r="U7063">
        <f t="shared" ref="U7063:U7067" si="285">LN(SQRT(EXP(
SQRT(
+POWER(LN(N7063),2)
+POWER(LN(O7063),2)
+POWER(LN(P7063),2)
+POWER(LN(Q7063),2)
+POWER(LN(R7063),2)
+POWER(LN(S7063),2)
+POWER(LN(T7063),2)
)
)))</f>
        <v>0.57157051623399524</v>
      </c>
    </row>
    <row r="7064" spans="1:22" x14ac:dyDescent="0.2">
      <c r="A7064" s="45" t="str">
        <f>"hydrogen supply, transported by "&amp;B7037&amp;", produced by "&amp;B7041&amp;" using "&amp;B7042&amp;" from "&amp;B7043</f>
        <v>hydrogen supply, transported by train, produced by Electrolysis, PEM using water and electricity from Solar PV (DE)</v>
      </c>
      <c r="B7064" s="53">
        <f>(B7062/B7046)/B7045*B7057</f>
        <v>2.3223301331624095E-3</v>
      </c>
      <c r="C7064" t="s">
        <v>56</v>
      </c>
      <c r="E7064" t="s">
        <v>64</v>
      </c>
      <c r="F7064" t="s">
        <v>86</v>
      </c>
      <c r="G7064" t="str">
        <f>"hydrogen, gaseous, from "&amp;B7037</f>
        <v>hydrogen, gaseous, from train</v>
      </c>
      <c r="H7064" t="s">
        <v>76</v>
      </c>
      <c r="I7064" t="s">
        <v>1054</v>
      </c>
      <c r="J7064" t="s">
        <v>298</v>
      </c>
      <c r="K7064" t="str">
        <f>B7023</f>
        <v>heat, residential, by conversion of hydrogen using fuel cell, PEM, allocated by exergy, transported by train, produced by Electrolysis, PEM using water and electricity from Solar PV (DE)</v>
      </c>
      <c r="L7064">
        <f t="shared" si="283"/>
        <v>2</v>
      </c>
      <c r="M7064">
        <f t="shared" si="284"/>
        <v>-6.0651842296013152</v>
      </c>
      <c r="N7064">
        <v>1</v>
      </c>
      <c r="O7064" s="15">
        <v>1.2</v>
      </c>
      <c r="P7064">
        <v>1</v>
      </c>
      <c r="Q7064">
        <v>1.01</v>
      </c>
      <c r="R7064">
        <v>1.2</v>
      </c>
      <c r="S7064">
        <v>1.2</v>
      </c>
      <c r="T7064">
        <v>1.05</v>
      </c>
      <c r="U7064">
        <f t="shared" si="285"/>
        <v>0.15984597228197622</v>
      </c>
    </row>
    <row r="7065" spans="1:22" x14ac:dyDescent="0.2">
      <c r="A7065" t="str">
        <f>VLOOKUP(J7065,'dataset mapping'!$A$4:$E$69,2,0)</f>
        <v>market for transport, freight train</v>
      </c>
      <c r="B7065" s="45">
        <f>SUM(B7064:B7064)/1000*B7038*SUMIFS(allocation!$I$4:$I$30,allocation!$B$4:$B$30,'hydrogen - electrolysis'!B7035,allocation!$C$4:$C$30,'hydrogen - electrolysis'!B7036)</f>
        <v>3.235930348436481E-4</v>
      </c>
      <c r="C7065" t="str">
        <f>VLOOKUP(J7065,'dataset mapping'!$A$4:$E$69,5,0)</f>
        <v>ton kilometer</v>
      </c>
      <c r="E7065" t="str">
        <f>VLOOKUP(J7065,'dataset mapping'!$A$4:$E$69,4,0)</f>
        <v>CH</v>
      </c>
      <c r="F7065" t="s">
        <v>86</v>
      </c>
      <c r="G7065" t="str">
        <f>VLOOKUP(J7065,'dataset mapping'!$A$4:$E$69,3,0)</f>
        <v>transport, freight train</v>
      </c>
      <c r="H7065" t="s">
        <v>88</v>
      </c>
      <c r="I7065" t="s">
        <v>1052</v>
      </c>
      <c r="J7065" t="s">
        <v>295</v>
      </c>
      <c r="K7065" t="str">
        <f>B7023</f>
        <v>heat, residential, by conversion of hydrogen using fuel cell, PEM, allocated by exergy, transported by train, produced by Electrolysis, PEM using water and electricity from Solar PV (DE)</v>
      </c>
      <c r="L7065">
        <f t="shared" si="283"/>
        <v>2</v>
      </c>
      <c r="M7065">
        <f t="shared" si="284"/>
        <v>-8.0360238969805309</v>
      </c>
      <c r="N7065">
        <v>1</v>
      </c>
      <c r="O7065" s="15">
        <v>1.2</v>
      </c>
      <c r="P7065">
        <v>1</v>
      </c>
      <c r="Q7065">
        <v>1.01</v>
      </c>
      <c r="R7065">
        <v>1.2</v>
      </c>
      <c r="S7065">
        <v>1.2</v>
      </c>
      <c r="T7065">
        <v>2</v>
      </c>
      <c r="U7065">
        <f t="shared" si="285"/>
        <v>0.38087907307228186</v>
      </c>
    </row>
    <row r="7066" spans="1:22" x14ac:dyDescent="0.2">
      <c r="A7066" t="str">
        <f>VLOOKUP(J7066,'dataset mapping'!$A$4:$E$69,2,0)</f>
        <v>high pressure hydrogen storage tank</v>
      </c>
      <c r="B7066" s="52">
        <f>((B7058/10)/(B7056*B7052*20*3.6))*IF(B7057&lt;&gt;0,B7057,1)</f>
        <v>2.5464146196956242E-7</v>
      </c>
      <c r="C7066" t="str">
        <f>VLOOKUP(J7066,'dataset mapping'!$A$4:$E$69,5,0)</f>
        <v>kilogram</v>
      </c>
      <c r="E7066" t="str">
        <f>VLOOKUP(J7066,'dataset mapping'!$A$4:$E$69,4,0)</f>
        <v>GLO</v>
      </c>
      <c r="F7066" t="s">
        <v>86</v>
      </c>
      <c r="G7066" t="str">
        <f>VLOOKUP(J7066,'dataset mapping'!$A$4:$E$69,3,0)</f>
        <v>high pressure hydrogen storage tank</v>
      </c>
      <c r="H7066" t="s">
        <v>88</v>
      </c>
      <c r="I7066" t="s">
        <v>280</v>
      </c>
      <c r="J7066" t="s">
        <v>229</v>
      </c>
      <c r="K7066" t="str">
        <f>B7023</f>
        <v>heat, residential, by conversion of hydrogen using fuel cell, PEM, allocated by exergy, transported by train, produced by Electrolysis, PEM using water and electricity from Solar PV (DE)</v>
      </c>
      <c r="L7066">
        <f t="shared" si="283"/>
        <v>2</v>
      </c>
      <c r="M7066">
        <f t="shared" si="284"/>
        <v>-15.183409312669692</v>
      </c>
      <c r="N7066">
        <v>1</v>
      </c>
      <c r="O7066" s="15">
        <v>1.2</v>
      </c>
      <c r="P7066">
        <v>1</v>
      </c>
      <c r="Q7066">
        <v>1.01</v>
      </c>
      <c r="R7066">
        <v>1.2</v>
      </c>
      <c r="S7066">
        <v>1.2</v>
      </c>
      <c r="T7066">
        <v>3</v>
      </c>
      <c r="U7066">
        <f t="shared" si="285"/>
        <v>0.57157051623399524</v>
      </c>
    </row>
    <row r="7067" spans="1:22" x14ac:dyDescent="0.2">
      <c r="A7067" t="s">
        <v>134</v>
      </c>
      <c r="B7067" s="45">
        <f>B7064*9</f>
        <v>2.0900971198461685E-2</v>
      </c>
      <c r="C7067" t="s">
        <v>56</v>
      </c>
      <c r="D7067" t="s">
        <v>100</v>
      </c>
      <c r="F7067" t="s">
        <v>99</v>
      </c>
      <c r="H7067" t="s">
        <v>131</v>
      </c>
      <c r="I7067" t="s">
        <v>1057</v>
      </c>
      <c r="K7067" t="str">
        <f>B7023</f>
        <v>heat, residential, by conversion of hydrogen using fuel cell, PEM, allocated by exergy, transported by train, produced by Electrolysis, PEM using water and electricity from Solar PV (DE)</v>
      </c>
      <c r="L7067">
        <f t="shared" si="283"/>
        <v>2</v>
      </c>
      <c r="M7067">
        <f t="shared" si="284"/>
        <v>-3.8679596522650961</v>
      </c>
      <c r="N7067">
        <v>1</v>
      </c>
      <c r="O7067" s="15">
        <v>1.2</v>
      </c>
      <c r="P7067">
        <v>1</v>
      </c>
      <c r="Q7067">
        <v>1.01</v>
      </c>
      <c r="R7067">
        <v>1.2</v>
      </c>
      <c r="S7067">
        <v>1.2</v>
      </c>
      <c r="T7067">
        <v>1.05</v>
      </c>
      <c r="U7067">
        <f t="shared" si="285"/>
        <v>0.15984597228197622</v>
      </c>
    </row>
    <row r="7069" spans="1:22" x14ac:dyDescent="0.2">
      <c r="A7069" s="2" t="s">
        <v>50</v>
      </c>
      <c r="B7069" s="44" t="str">
        <f>IF(B7075="megajoule","heat","electricity")&amp;", residential, by "&amp;B7080&amp;" of "&amp;B7079&amp;" using "&amp;B7081&amp;IF(B7082&lt;&gt;0,", allocated by "&amp;B7082,"")&amp;", transported by "&amp;B7083&amp;", produced by "&amp;B7087&amp;" using "&amp;B7088&amp;" from "&amp;B7089</f>
        <v>heat, residential, by conversion of hydrogen using fuel cell, SOFC, allocated by exergy, transported by train, produced by Electrolysis, PEM using water and electricity from Solar PV (DE)</v>
      </c>
    </row>
    <row r="7070" spans="1:22" x14ac:dyDescent="0.2">
      <c r="A7070" t="s">
        <v>51</v>
      </c>
      <c r="B7070" s="45" t="str">
        <f>"This dataset represents the supply of 1 "&amp;IF(B7075="megajoule","megajoule of heat","kilowatt hour of electricity")&amp;" in a residence, by "&amp;B7079&amp;" "&amp;B7080&amp;" in a "&amp;B7081&amp;". "&amp;" The hydrogen is transported by "&amp;B7083&amp;" over "&amp;B7084&amp;" km from regional storage. "&amp;" The "&amp;B7079&amp;" is produced by  "&amp;B7087&amp;", with "&amp;B7088&amp;" from "&amp;B7089&amp;" as feedstock. "&amp;A7091&amp;": "&amp;(B7091*100)&amp;"%. "&amp;A7092&amp;": "&amp;B7092&amp;". "&amp;A7093&amp;": "&amp;B7093&amp;". "&amp;A7094&amp;": "&amp;(B7094*100)&amp;"%. "&amp;A7095&amp;": "&amp;(B7095*100)&amp;"%. "&amp;A7096&amp;": "&amp;(B7096*100)&amp;"%. "&amp;A7097&amp;": "&amp;B7097&amp;". "&amp;A7098&amp;": "&amp;B7098&amp;". "&amp;A7099&amp;": "&amp;(B7099*100)&amp;"%. "&amp;A7100&amp;": "&amp;B7100&amp;". "&amp;A7101&amp;": "&amp;B7101&amp;". "&amp;A7102&amp;": "&amp;B7102&amp;". "&amp;A7103&amp;": "&amp;B7103&amp;".  For more information, refer to: "&amp;B7071</f>
        <v>This dataset represents the supply of 1 megajoule of heat in a residence, by hydrogen conversion in a fuel cell, SOFC.  The hydrogen is transported by train over 1000 km from regional storage.  The hydrogen is produced by  Electrolysis, PEM,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7071" spans="1:22" x14ac:dyDescent="0.2">
      <c r="A7071" t="s">
        <v>63</v>
      </c>
      <c r="B7071" s="45" t="s">
        <v>1223</v>
      </c>
    </row>
    <row r="7072" spans="1:22" x14ac:dyDescent="0.2">
      <c r="A7072" t="s">
        <v>52</v>
      </c>
      <c r="B7072" s="45" t="s">
        <v>64</v>
      </c>
    </row>
    <row r="7073" spans="1:2" x14ac:dyDescent="0.2">
      <c r="A7073" t="s">
        <v>48</v>
      </c>
      <c r="B7073" s="45">
        <v>88</v>
      </c>
    </row>
    <row r="7074" spans="1:2" x14ac:dyDescent="0.2">
      <c r="A7074" t="s">
        <v>54</v>
      </c>
      <c r="B7074" s="45" t="str">
        <f>INDEX(overview!$B$4:$R$338,MATCH('hydrogen - electrolysis'!B7073,overview!$A$4:$A$338,0),MATCH('hydrogen - electrolysis'!A7074,overview!$B$3:$R$3,0))</f>
        <v>heat, from residential heating system</v>
      </c>
    </row>
    <row r="7075" spans="1:2" x14ac:dyDescent="0.2">
      <c r="A7075" t="s">
        <v>55</v>
      </c>
      <c r="B7075" s="45" t="str">
        <f>INDEX(overview!$B$4:$R$338,MATCH('hydrogen - electrolysis'!B7073,overview!$A$4:$A$338,0),MATCH('hydrogen - electrolysis'!A7075,overview!$B$3:$R$3,0))</f>
        <v>megajoule</v>
      </c>
    </row>
    <row r="7076" spans="1:2" x14ac:dyDescent="0.2">
      <c r="A7076" t="s">
        <v>0</v>
      </c>
      <c r="B7076" s="45" t="str">
        <f>INDEX(overview!$B$4:$R$338,MATCH('hydrogen - electrolysis'!B7073,overview!$A$4:$A$338,0),MATCH('hydrogen - electrolysis'!A7076,overview!$B$3:$R$3,0))</f>
        <v>Switzerland</v>
      </c>
    </row>
    <row r="7077" spans="1:2" x14ac:dyDescent="0.2">
      <c r="A7077" t="s">
        <v>1</v>
      </c>
      <c r="B7077" s="45">
        <f>INDEX(overview!$B$4:$R$338,MATCH('hydrogen - electrolysis'!B7073,overview!$A$4:$A$338,0),MATCH('hydrogen - electrolysis'!A7077,overview!$B$3:$R$3,0))</f>
        <v>2020</v>
      </c>
    </row>
    <row r="7078" spans="1:2" x14ac:dyDescent="0.2">
      <c r="A7078" t="s">
        <v>2</v>
      </c>
      <c r="B7078" s="45" t="str">
        <f>INDEX(overview!$B$4:$R$338,MATCH('hydrogen - electrolysis'!B7073,overview!$A$4:$A$338,0),MATCH('hydrogen - electrolysis'!A7078,overview!$B$3:$R$3,0))</f>
        <v>1 MJ heat</v>
      </c>
    </row>
    <row r="7079" spans="1:2" x14ac:dyDescent="0.2">
      <c r="A7079" t="s">
        <v>5</v>
      </c>
      <c r="B7079" s="45" t="str">
        <f>INDEX(overview!$B$4:$R$338,MATCH('hydrogen - electrolysis'!B7073,overview!$A$4:$A$338,0),MATCH('hydrogen - electrolysis'!A7079,overview!$B$3:$R$3,0))</f>
        <v>hydrogen</v>
      </c>
    </row>
    <row r="7080" spans="1:2" x14ac:dyDescent="0.2">
      <c r="A7080" t="s">
        <v>3</v>
      </c>
      <c r="B7080" s="45" t="str">
        <f>INDEX(overview!$B$4:$R$338,MATCH('hydrogen - electrolysis'!B7073,overview!$A$4:$A$338,0),MATCH('hydrogen - electrolysis'!A7080,overview!$B$3:$R$3,0))</f>
        <v>conversion</v>
      </c>
    </row>
    <row r="7081" spans="1:2" x14ac:dyDescent="0.2">
      <c r="A7081" t="s">
        <v>6</v>
      </c>
      <c r="B7081" s="45" t="str">
        <f>INDEX(overview!$B$4:$R$338,MATCH('hydrogen - electrolysis'!B7073,overview!$A$4:$A$338,0),MATCH('hydrogen - electrolysis'!A7081,overview!$B$3:$R$3,0))</f>
        <v>fuel cell, SOFC</v>
      </c>
    </row>
    <row r="7082" spans="1:2" x14ac:dyDescent="0.2">
      <c r="A7082" t="s">
        <v>39</v>
      </c>
      <c r="B7082" s="45" t="str">
        <f>INDEX(overview!$B$4:$R$338,MATCH('hydrogen - electrolysis'!B7073,overview!$A$4:$A$338,0),MATCH('hydrogen - electrolysis'!A7082,overview!$B$3:$R$3,0))</f>
        <v>exergy</v>
      </c>
    </row>
    <row r="7083" spans="1:2" x14ac:dyDescent="0.2">
      <c r="A7083" t="s">
        <v>4</v>
      </c>
      <c r="B7083" s="45" t="str">
        <f>INDEX(overview!$B$4:$R$338,MATCH('hydrogen - electrolysis'!B7073,overview!$A$4:$A$338,0),MATCH('hydrogen - electrolysis'!A7083,overview!$B$3:$R$3,0))</f>
        <v>train</v>
      </c>
    </row>
    <row r="7084" spans="1:2" x14ac:dyDescent="0.2">
      <c r="A7084" t="s">
        <v>38</v>
      </c>
      <c r="B7084" s="45">
        <f>INDEX(overview!$B$4:$R$338,MATCH('hydrogen - electrolysis'!B7073,overview!$A$4:$A$338,0),MATCH('hydrogen - electrolysis'!A7084,overview!$B$3:$R$3,0))</f>
        <v>1000</v>
      </c>
    </row>
    <row r="7085" spans="1:2" x14ac:dyDescent="0.2">
      <c r="A7085" t="s">
        <v>12</v>
      </c>
      <c r="B7085" s="45" t="str">
        <f>INDEX(overview!$B$4:$R$338,MATCH('hydrogen - electrolysis'!B7073,overview!$A$4:$A$338,0),MATCH('hydrogen - electrolysis'!A7085,overview!$B$3:$R$3,0))</f>
        <v>Pressure vessel for stationary storage</v>
      </c>
    </row>
    <row r="7086" spans="1:2" x14ac:dyDescent="0.2">
      <c r="A7086" t="s">
        <v>34</v>
      </c>
      <c r="B7086" s="45">
        <f>INDEX(overview!$B$4:$R$338,MATCH('hydrogen - electrolysis'!B7073,overview!$A$4:$A$338,0),MATCH('hydrogen - electrolysis'!A7086,overview!$B$3:$R$3,0))</f>
        <v>0</v>
      </c>
    </row>
    <row r="7087" spans="1:2" x14ac:dyDescent="0.2">
      <c r="A7087" t="s">
        <v>15</v>
      </c>
      <c r="B7087" s="45" t="str">
        <f>INDEX(overview!$B$4:$R$338,MATCH('hydrogen - electrolysis'!B7073,overview!$A$4:$A$338,0),MATCH('hydrogen - electrolysis'!A7087,overview!$B$3:$R$3,0))</f>
        <v>Electrolysis, PEM</v>
      </c>
    </row>
    <row r="7088" spans="1:2" x14ac:dyDescent="0.2">
      <c r="A7088" t="s">
        <v>14</v>
      </c>
      <c r="B7088" s="45" t="str">
        <f>INDEX(overview!$B$4:$R$338,MATCH('hydrogen - electrolysis'!B7073,overview!$A$4:$A$338,0),MATCH('hydrogen - electrolysis'!A7088,overview!$B$3:$R$3,0))</f>
        <v>water and electricity</v>
      </c>
    </row>
    <row r="7089" spans="1:4" x14ac:dyDescent="0.2">
      <c r="A7089" t="s">
        <v>26</v>
      </c>
      <c r="B7089" s="45" t="str">
        <f>INDEX(overview!$B$4:$R$338,MATCH('hydrogen - electrolysis'!B7073,overview!$A$4:$A$338,0),MATCH('hydrogen - electrolysis'!A7089,overview!$B$3:$R$3,0))</f>
        <v>Solar PV (DE)</v>
      </c>
    </row>
    <row r="7090" spans="1:4" x14ac:dyDescent="0.2">
      <c r="A7090" t="s">
        <v>29</v>
      </c>
      <c r="B7090" s="45">
        <f>INDEX(overview!$B$4:$R$338,MATCH('hydrogen - electrolysis'!B7073,overview!$A$4:$A$338,0),MATCH('hydrogen - electrolysis'!A7090,overview!$B$3:$R$3,0))</f>
        <v>0</v>
      </c>
    </row>
    <row r="7091" spans="1:4" x14ac:dyDescent="0.2">
      <c r="A7091" t="str">
        <f>IF(B7075="megajoule","Heat","Electricity")&amp;" conversion efficiency [% LHV input]"</f>
        <v>Heat conversion efficiency [% LHV input]</v>
      </c>
      <c r="B7091" s="46">
        <f>INDEX(parameters!$D$4:$N$20,MATCH('hydrogen - electrolysis'!B7079&amp;'hydrogen - electrolysis'!B7081,parameters!$A$4:$A$20,0),MATCH('hydrogen - electrolysis'!A7091,parameters!$D$3:$N$3,0))</f>
        <v>0.53</v>
      </c>
    </row>
    <row r="7092" spans="1:4" x14ac:dyDescent="0.2">
      <c r="A7092" t="str">
        <f>IF(B7075="megajoule","LHV [MJ/kg]","LHV [kWh/kg]")</f>
        <v>LHV [MJ/kg]</v>
      </c>
      <c r="B7092" s="47">
        <f>INDEX(parameters!$D$4:$N$20,MATCH('hydrogen - electrolysis'!B7079&amp;'hydrogen - electrolysis'!B7081,parameters!$A$4:$A$20,0),MATCH('hydrogen - electrolysis'!A7092,parameters!$D$3:$N$3,0))</f>
        <v>120</v>
      </c>
    </row>
    <row r="7093" spans="1:4" x14ac:dyDescent="0.2">
      <c r="A7093" t="s">
        <v>41</v>
      </c>
      <c r="B7093" s="48">
        <f>INDEX(parameters!$D$4:$N$20,MATCH('hydrogen - electrolysis'!B7079&amp;'hydrogen - electrolysis'!B7081,parameters!$A$4:$A$20,0),MATCH('hydrogen - electrolysis'!A7093,parameters!$D$3:$N$3,0))</f>
        <v>2.6666666666666665E-2</v>
      </c>
    </row>
    <row r="7094" spans="1:4" x14ac:dyDescent="0.2">
      <c r="A7094" t="s">
        <v>45</v>
      </c>
      <c r="B7094" s="46">
        <f>INDEX(parameters!$D$4:$N$20,MATCH('hydrogen - electrolysis'!B7079&amp;'hydrogen - electrolysis'!B7081,parameters!$A$4:$A$20,0),MATCH('hydrogen - electrolysis'!A7094,parameters!$D$3:$N$3,0))</f>
        <v>0</v>
      </c>
    </row>
    <row r="7095" spans="1:4" x14ac:dyDescent="0.2">
      <c r="A7095" t="s">
        <v>46</v>
      </c>
      <c r="B7095" s="46">
        <f>INDEX(parameters!$D$4:$N$20,MATCH('hydrogen - electrolysis'!B7079&amp;'hydrogen - electrolysis'!B7081,parameters!$A$4:$A$20,0),MATCH('hydrogen - electrolysis'!A7095,parameters!$D$3:$N$3,0))</f>
        <v>1.4999999999999999E-2</v>
      </c>
    </row>
    <row r="7096" spans="1:4" x14ac:dyDescent="0.2">
      <c r="A7096" t="s">
        <v>43</v>
      </c>
      <c r="B7096" s="46">
        <f>INDEX(parameters!$D$4:$N$20,MATCH('hydrogen - electrolysis'!B7079&amp;'hydrogen - electrolysis'!B7081,parameters!$A$4:$A$20,0),MATCH('hydrogen - electrolysis'!A7096,parameters!$D$3:$N$3,0))</f>
        <v>0</v>
      </c>
    </row>
    <row r="7097" spans="1:4" x14ac:dyDescent="0.2">
      <c r="A7097" t="s">
        <v>44</v>
      </c>
      <c r="B7097" s="46">
        <f>INDEX(parameters!$D$4:$N$20,MATCH('hydrogen - electrolysis'!B7079&amp;'hydrogen - electrolysis'!B7081,parameters!$A$4:$A$20,0),MATCH('hydrogen - electrolysis'!A7097,parameters!$D$3:$N$3,0))</f>
        <v>0</v>
      </c>
    </row>
    <row r="7098" spans="1:4" x14ac:dyDescent="0.2">
      <c r="A7098" t="s">
        <v>634</v>
      </c>
      <c r="B7098" s="51">
        <f>INDEX(parameters!$D$4:$Y$20,MATCH('hydrogen - electrolysis'!B7079&amp;'hydrogen - electrolysis'!B7081,parameters!$A$4:$A$20,0),MATCH('hydrogen - electrolysis'!A7098,parameters!$D$3:$Y$3,0))</f>
        <v>225</v>
      </c>
      <c r="D7098" s="8"/>
    </row>
    <row r="7099" spans="1:4" x14ac:dyDescent="0.2">
      <c r="A7099" t="s">
        <v>82</v>
      </c>
      <c r="B7099" s="46">
        <f>IF(B7090&lt;&gt;0,VLOOKUP(B7090,parameters!A4509:B4511,2,0),0)</f>
        <v>0</v>
      </c>
    </row>
    <row r="7100" spans="1:4" x14ac:dyDescent="0.2">
      <c r="A7100" t="s">
        <v>548</v>
      </c>
      <c r="B7100" s="50">
        <f>INDEX(parameters!$D$4:$P$20,MATCH(B7079&amp;B7081,parameters!$A$4:$A$20,0),MATCH(A7100,parameters!$D$3:$P$3,0))</f>
        <v>100</v>
      </c>
    </row>
    <row r="7101" spans="1:4" x14ac:dyDescent="0.2">
      <c r="A7101" t="s">
        <v>547</v>
      </c>
      <c r="B7101" s="51">
        <f>INDEX(parameters!$D$4:$P$20,MATCH(B7079&amp;B7081,parameters!$A$4:$A$20,0),MATCH(A7101,parameters!$D$3:$P$3,0))</f>
        <v>6</v>
      </c>
    </row>
    <row r="7102" spans="1:4" x14ac:dyDescent="0.2">
      <c r="A7102" t="s">
        <v>630</v>
      </c>
      <c r="B7102" s="51">
        <f>INDEX(parameters!$D$4:$T$20,MATCH(B7079&amp;B7081,parameters!$A$4:$A$20,0),MATCH(A7102,parameters!$D$3:$T$3,0))</f>
        <v>4100</v>
      </c>
    </row>
    <row r="7103" spans="1:4" x14ac:dyDescent="0.2">
      <c r="A7103" t="s">
        <v>1005</v>
      </c>
      <c r="B7103" s="50">
        <f>IF(B7075="megajoule",SUMIFS(allocation!$I$4:$I$30,allocation!$B$4:$B$30,B7081,allocation!$C$4:$C$30,B7082),SUMIFS(allocation!$J$4:$J$30,allocation!$B$4:$B$30,B7081,allocation!$C$4:$C$30,B7082))</f>
        <v>0.13587506510399097</v>
      </c>
    </row>
    <row r="7104" spans="1:4" x14ac:dyDescent="0.2">
      <c r="A7104" t="s">
        <v>1050</v>
      </c>
      <c r="B7104" s="51">
        <f>INDEX(parameters!$D$4:$AB$20,MATCH(B7079&amp;B7081,parameters!$A$4:$A$20,0),MATCH(A7104,parameters!$D$3:$AB$3,0))</f>
        <v>1153.1249999999998</v>
      </c>
    </row>
    <row r="7106" spans="1:22" x14ac:dyDescent="0.2">
      <c r="A7106" s="3" t="s">
        <v>57</v>
      </c>
    </row>
    <row r="7107" spans="1:22" x14ac:dyDescent="0.2">
      <c r="A7107" s="2" t="s">
        <v>58</v>
      </c>
      <c r="B7107" s="44" t="s">
        <v>59</v>
      </c>
      <c r="C7107" s="2" t="s">
        <v>55</v>
      </c>
      <c r="D7107" s="2" t="s">
        <v>60</v>
      </c>
      <c r="E7107" s="2" t="s">
        <v>52</v>
      </c>
      <c r="F7107" s="2" t="s">
        <v>61</v>
      </c>
      <c r="G7107" s="2" t="s">
        <v>54</v>
      </c>
      <c r="H7107" s="2" t="s">
        <v>87</v>
      </c>
      <c r="I7107" s="2" t="s">
        <v>51</v>
      </c>
      <c r="J7107" s="2" t="s">
        <v>138</v>
      </c>
      <c r="K7107" s="2" t="s">
        <v>136</v>
      </c>
      <c r="L7107" s="2" t="s">
        <v>221</v>
      </c>
      <c r="M7107" s="2" t="s">
        <v>379</v>
      </c>
      <c r="N7107" s="2" t="s">
        <v>1059</v>
      </c>
      <c r="O7107" s="2" t="s">
        <v>1060</v>
      </c>
      <c r="P7107" s="2" t="s">
        <v>1061</v>
      </c>
      <c r="Q7107" s="2" t="s">
        <v>1062</v>
      </c>
      <c r="R7107" s="2" t="s">
        <v>1063</v>
      </c>
      <c r="S7107" s="2" t="s">
        <v>1064</v>
      </c>
      <c r="T7107" s="2" t="s">
        <v>1065</v>
      </c>
      <c r="U7107" s="2" t="s">
        <v>380</v>
      </c>
      <c r="V7107" s="2" t="s">
        <v>1128</v>
      </c>
    </row>
    <row r="7108" spans="1:22" x14ac:dyDescent="0.2">
      <c r="A7108" t="str">
        <f>B7069</f>
        <v>heat, residential, by conversion of hydrogen using fuel cell, SOFC, allocated by exergy, transported by train, produced by Electrolysis, PEM using water and electricity from Solar PV (DE)</v>
      </c>
      <c r="B7108" s="45">
        <v>1</v>
      </c>
      <c r="C7108" t="str">
        <f>B7075</f>
        <v>megajoule</v>
      </c>
      <c r="E7108" t="str">
        <f>B7072</f>
        <v>CH</v>
      </c>
      <c r="F7108" t="s">
        <v>62</v>
      </c>
      <c r="G7108" t="str">
        <f>B7074</f>
        <v>heat, from residential heating system</v>
      </c>
      <c r="K7108" t="str">
        <f>B7069</f>
        <v>heat, residential, by conversion of hydrogen using fuel cell, SOFC, allocated by exergy, transported by train, produced by Electrolysis, PEM using water and electricity from Solar PV (DE)</v>
      </c>
    </row>
    <row r="7109" spans="1:22" x14ac:dyDescent="0.2">
      <c r="A7109" t="str">
        <f>VLOOKUP(J7109,'dataset mapping'!$A$4:$E$69,2,0)</f>
        <v>fuel cell production, stack solid oxide, 125kW electrical, future</v>
      </c>
      <c r="B7109" s="52">
        <f>(1/(B7098*B7102*B7101*3.6))*B7103</f>
        <v>6.8189834941278219E-9</v>
      </c>
      <c r="C7109" t="str">
        <f>VLOOKUP(J7109,'dataset mapping'!$A$4:$E$69,5,0)</f>
        <v>unit</v>
      </c>
      <c r="E7109" t="str">
        <f>VLOOKUP(J7109,'dataset mapping'!$A$4:$E$69,4,0)</f>
        <v>CH</v>
      </c>
      <c r="F7109" t="s">
        <v>86</v>
      </c>
      <c r="G7109" t="str">
        <f>VLOOKUP(J7109,'dataset mapping'!$A$4:$E$69,3,0)</f>
        <v>fuel cell, stack solid oxide, 125kW electrical, future</v>
      </c>
      <c r="H7109" t="s">
        <v>88</v>
      </c>
      <c r="I7109" t="s">
        <v>277</v>
      </c>
      <c r="J7109" t="s">
        <v>274</v>
      </c>
      <c r="K7109" t="str">
        <f>B7069</f>
        <v>heat, residential, by conversion of hydrogen using fuel cell, SOFC, allocated by exergy, transported by train, produced by Electrolysis, PEM using water and electricity from Solar PV (DE)</v>
      </c>
      <c r="L7109">
        <f t="shared" ref="L7109:L7115" si="286">IF(OR(B7109&lt;0,B7109=0),1,2)</f>
        <v>2</v>
      </c>
      <c r="M7109">
        <f t="shared" ref="M7109:M7115" si="287">IF(L7109=2,LN(B7109),"")</f>
        <v>-18.80355542398161</v>
      </c>
      <c r="N7109">
        <v>1</v>
      </c>
      <c r="O7109" s="15">
        <v>1.2</v>
      </c>
      <c r="P7109">
        <v>1</v>
      </c>
      <c r="Q7109">
        <v>1.01</v>
      </c>
      <c r="R7109">
        <v>1.2</v>
      </c>
      <c r="S7109">
        <v>1.2</v>
      </c>
      <c r="T7109">
        <v>3</v>
      </c>
      <c r="U7109">
        <f t="shared" ref="U7109:U7115" si="288">LN(SQRT(EXP(
SQRT(
+POWER(LN(N7109),2)
+POWER(LN(O7109),2)
+POWER(LN(P7109),2)
+POWER(LN(Q7109),2)
+POWER(LN(R7109),2)
+POWER(LN(S7109),2)
+POWER(LN(T7109),2)
)
)))</f>
        <v>0.57157051623399524</v>
      </c>
    </row>
    <row r="7110" spans="1:22" x14ac:dyDescent="0.2">
      <c r="A7110" t="s">
        <v>283</v>
      </c>
      <c r="B7110" s="52">
        <f>(1/(B7098*B7102*B7101*3.6))*B7103</f>
        <v>6.8189834941278219E-9</v>
      </c>
      <c r="C7110" t="s">
        <v>55</v>
      </c>
      <c r="E7110" t="s">
        <v>64</v>
      </c>
      <c r="F7110" t="s">
        <v>86</v>
      </c>
      <c r="G7110" t="s">
        <v>284</v>
      </c>
      <c r="H7110" t="s">
        <v>88</v>
      </c>
      <c r="I7110" t="s">
        <v>277</v>
      </c>
      <c r="K7110" t="str">
        <f>B7069</f>
        <v>heat, residential, by conversion of hydrogen using fuel cell, SOFC, allocated by exergy, transported by train, produced by Electrolysis, PEM using water and electricity from Solar PV (DE)</v>
      </c>
      <c r="L7110">
        <f t="shared" si="286"/>
        <v>2</v>
      </c>
      <c r="M7110">
        <f t="shared" si="287"/>
        <v>-18.80355542398161</v>
      </c>
      <c r="N7110">
        <v>1</v>
      </c>
      <c r="O7110" s="15">
        <v>1.2</v>
      </c>
      <c r="P7110">
        <v>1</v>
      </c>
      <c r="Q7110">
        <v>1.01</v>
      </c>
      <c r="R7110">
        <v>1.2</v>
      </c>
      <c r="S7110">
        <v>1.2</v>
      </c>
      <c r="T7110">
        <v>3</v>
      </c>
      <c r="U7110">
        <f t="shared" si="288"/>
        <v>0.57157051623399524</v>
      </c>
    </row>
    <row r="7111" spans="1:22" x14ac:dyDescent="0.2">
      <c r="A7111" t="s">
        <v>288</v>
      </c>
      <c r="B7111" s="52">
        <f>0.000024*B7103</f>
        <v>3.2610015624957834E-6</v>
      </c>
      <c r="C7111" t="s">
        <v>56</v>
      </c>
      <c r="E7111" t="s">
        <v>64</v>
      </c>
      <c r="F7111" t="s">
        <v>86</v>
      </c>
      <c r="G7111" t="s">
        <v>287</v>
      </c>
      <c r="H7111" t="s">
        <v>88</v>
      </c>
      <c r="K7111" t="str">
        <f>B7069</f>
        <v>heat, residential, by conversion of hydrogen using fuel cell, SOFC, allocated by exergy, transported by train, produced by Electrolysis, PEM using water and electricity from Solar PV (DE)</v>
      </c>
      <c r="L7111">
        <f t="shared" si="286"/>
        <v>2</v>
      </c>
      <c r="M7111">
        <f t="shared" si="287"/>
        <v>-12.633476182011</v>
      </c>
      <c r="N7111">
        <v>1</v>
      </c>
      <c r="O7111" s="15">
        <v>1.2</v>
      </c>
      <c r="P7111">
        <v>1</v>
      </c>
      <c r="Q7111">
        <v>1.01</v>
      </c>
      <c r="R7111">
        <v>1.2</v>
      </c>
      <c r="S7111">
        <v>1.2</v>
      </c>
      <c r="T7111">
        <v>1.05</v>
      </c>
      <c r="U7111">
        <f t="shared" si="288"/>
        <v>0.15984597228197622</v>
      </c>
    </row>
    <row r="7112" spans="1:22" x14ac:dyDescent="0.2">
      <c r="A7112" s="45" t="str">
        <f>"hydrogen supply, transported by "&amp;B7083&amp;", produced by "&amp;B7087&amp;" using "&amp;B7088&amp;" from "&amp;B7089</f>
        <v>hydrogen supply, transported by train, produced by Electrolysis, PEM using water and electricity from Solar PV (DE)</v>
      </c>
      <c r="B7112" s="53">
        <f>(B7108/B7092)/B7091*B7103</f>
        <v>2.1364003947168392E-3</v>
      </c>
      <c r="C7112" t="s">
        <v>56</v>
      </c>
      <c r="E7112" t="s">
        <v>64</v>
      </c>
      <c r="F7112" t="s">
        <v>86</v>
      </c>
      <c r="G7112" t="str">
        <f>"hydrogen, gaseous, from "&amp;B7083</f>
        <v>hydrogen, gaseous, from train</v>
      </c>
      <c r="H7112" t="s">
        <v>76</v>
      </c>
      <c r="I7112" t="s">
        <v>1054</v>
      </c>
      <c r="J7112" t="s">
        <v>298</v>
      </c>
      <c r="K7112" t="str">
        <f>B7069</f>
        <v>heat, residential, by conversion of hydrogen using fuel cell, SOFC, allocated by exergy, transported by train, produced by Electrolysis, PEM using water and electricity from Solar PV (DE)</v>
      </c>
      <c r="L7112">
        <f t="shared" si="286"/>
        <v>2</v>
      </c>
      <c r="M7112">
        <f t="shared" si="287"/>
        <v>-6.1486329247407472</v>
      </c>
      <c r="N7112">
        <v>1</v>
      </c>
      <c r="O7112" s="15">
        <v>1.2</v>
      </c>
      <c r="P7112">
        <v>1</v>
      </c>
      <c r="Q7112">
        <v>1.01</v>
      </c>
      <c r="R7112">
        <v>1.2</v>
      </c>
      <c r="S7112">
        <v>1.2</v>
      </c>
      <c r="T7112">
        <v>1.05</v>
      </c>
      <c r="U7112">
        <f t="shared" si="288"/>
        <v>0.15984597228197622</v>
      </c>
    </row>
    <row r="7113" spans="1:22" x14ac:dyDescent="0.2">
      <c r="A7113" t="str">
        <f>VLOOKUP(J7113,'dataset mapping'!$A$4:$E$69,2,0)</f>
        <v>market for transport, freight train</v>
      </c>
      <c r="B7113" s="45">
        <f>SUM(B7112:B7112)/1000*B7084</f>
        <v>2.1364003947168392E-3</v>
      </c>
      <c r="C7113" t="str">
        <f>VLOOKUP(J7113,'dataset mapping'!$A$4:$E$69,5,0)</f>
        <v>ton kilometer</v>
      </c>
      <c r="E7113" t="str">
        <f>VLOOKUP(J7113,'dataset mapping'!$A$4:$E$69,4,0)</f>
        <v>CH</v>
      </c>
      <c r="F7113" t="s">
        <v>86</v>
      </c>
      <c r="G7113" t="str">
        <f>VLOOKUP(J7113,'dataset mapping'!$A$4:$E$69,3,0)</f>
        <v>transport, freight train</v>
      </c>
      <c r="H7113" t="s">
        <v>88</v>
      </c>
      <c r="I7113" t="s">
        <v>1052</v>
      </c>
      <c r="J7113" t="s">
        <v>295</v>
      </c>
      <c r="K7113" t="str">
        <f>B7069</f>
        <v>heat, residential, by conversion of hydrogen using fuel cell, SOFC, allocated by exergy, transported by train, produced by Electrolysis, PEM using water and electricity from Solar PV (DE)</v>
      </c>
      <c r="L7113">
        <f t="shared" si="286"/>
        <v>2</v>
      </c>
      <c r="M7113">
        <f t="shared" si="287"/>
        <v>-6.1486329247407472</v>
      </c>
      <c r="N7113">
        <v>1</v>
      </c>
      <c r="O7113" s="15">
        <v>1.2</v>
      </c>
      <c r="P7113">
        <v>1</v>
      </c>
      <c r="Q7113">
        <v>1.01</v>
      </c>
      <c r="R7113">
        <v>1.2</v>
      </c>
      <c r="S7113">
        <v>1.2</v>
      </c>
      <c r="T7113">
        <v>2</v>
      </c>
      <c r="U7113">
        <f t="shared" si="288"/>
        <v>0.38087907307228186</v>
      </c>
    </row>
    <row r="7114" spans="1:22" x14ac:dyDescent="0.2">
      <c r="A7114" t="str">
        <f>VLOOKUP(J7114,'dataset mapping'!$A$4:$E$69,2,0)</f>
        <v>high pressure hydrogen storage tank</v>
      </c>
      <c r="B7114" s="52">
        <f>((B7104/10)/(B7102*B7098*20*3.6))*IF(B7103&lt;&gt;0,B7103,1)</f>
        <v>2.3589421024998428E-7</v>
      </c>
      <c r="C7114" t="str">
        <f>VLOOKUP(J7114,'dataset mapping'!$A$4:$E$69,5,0)</f>
        <v>kilogram</v>
      </c>
      <c r="E7114" t="str">
        <f>VLOOKUP(J7114,'dataset mapping'!$A$4:$E$69,4,0)</f>
        <v>GLO</v>
      </c>
      <c r="F7114" t="s">
        <v>86</v>
      </c>
      <c r="G7114" t="str">
        <f>VLOOKUP(J7114,'dataset mapping'!$A$4:$E$69,3,0)</f>
        <v>high pressure hydrogen storage tank</v>
      </c>
      <c r="H7114" t="s">
        <v>88</v>
      </c>
      <c r="I7114" t="s">
        <v>230</v>
      </c>
      <c r="J7114" t="s">
        <v>229</v>
      </c>
      <c r="K7114" t="str">
        <f>B7069</f>
        <v>heat, residential, by conversion of hydrogen using fuel cell, SOFC, allocated by exergy, transported by train, produced by Electrolysis, PEM using water and electricity from Solar PV (DE)</v>
      </c>
      <c r="L7114">
        <f t="shared" si="286"/>
        <v>2</v>
      </c>
      <c r="M7114">
        <f t="shared" si="287"/>
        <v>-15.259882394072699</v>
      </c>
      <c r="N7114">
        <v>1</v>
      </c>
      <c r="O7114" s="15">
        <v>1.2</v>
      </c>
      <c r="P7114">
        <v>1</v>
      </c>
      <c r="Q7114">
        <v>1.01</v>
      </c>
      <c r="R7114">
        <v>1.2</v>
      </c>
      <c r="S7114">
        <v>1.2</v>
      </c>
      <c r="T7114">
        <v>3</v>
      </c>
      <c r="U7114">
        <f t="shared" si="288"/>
        <v>0.57157051623399524</v>
      </c>
    </row>
    <row r="7115" spans="1:22" x14ac:dyDescent="0.2">
      <c r="A7115" t="s">
        <v>134</v>
      </c>
      <c r="B7115" s="45">
        <f>B7112*9</f>
        <v>1.9227603552451553E-2</v>
      </c>
      <c r="C7115" t="s">
        <v>56</v>
      </c>
      <c r="D7115" t="s">
        <v>100</v>
      </c>
      <c r="F7115" t="s">
        <v>99</v>
      </c>
      <c r="H7115" t="s">
        <v>131</v>
      </c>
      <c r="I7115" t="s">
        <v>1057</v>
      </c>
      <c r="K7115" t="str">
        <f>B7069</f>
        <v>heat, residential, by conversion of hydrogen using fuel cell, SOFC, allocated by exergy, transported by train, produced by Electrolysis, PEM using water and electricity from Solar PV (DE)</v>
      </c>
      <c r="L7115">
        <f t="shared" si="286"/>
        <v>2</v>
      </c>
      <c r="M7115">
        <f t="shared" si="287"/>
        <v>-3.9514083474045276</v>
      </c>
      <c r="N7115">
        <v>1</v>
      </c>
      <c r="O7115" s="15">
        <v>1.2</v>
      </c>
      <c r="P7115">
        <v>1</v>
      </c>
      <c r="Q7115">
        <v>1.01</v>
      </c>
      <c r="R7115">
        <v>1.2</v>
      </c>
      <c r="S7115">
        <v>1.2</v>
      </c>
      <c r="T7115">
        <v>1.05</v>
      </c>
      <c r="U7115">
        <f t="shared" si="288"/>
        <v>0.15984597228197622</v>
      </c>
    </row>
    <row r="7117" spans="1:22" x14ac:dyDescent="0.2">
      <c r="A7117" s="2" t="s">
        <v>50</v>
      </c>
      <c r="B7117" s="44" t="str">
        <f>IF(B7123="megajoule","heat","electricity")&amp;", residential, by "&amp;B7128&amp;" of "&amp;B7127&amp;" using "&amp;B7129&amp;IF(B7130&lt;&gt;0,", allocated by "&amp;B7130,"")&amp;", transported by "&amp;B7131&amp;", produced by "&amp;B7135&amp;" using "&amp;B7136&amp;" from "&amp;B7137</f>
        <v>electricity, residential, by combustion of hydrogen using CHP, allocated by exergy, transported by train, produced by Electrolysis, PEM using water and electricity from Solar PV (DE)</v>
      </c>
    </row>
    <row r="7118" spans="1:22" x14ac:dyDescent="0.2">
      <c r="A7118" t="s">
        <v>51</v>
      </c>
      <c r="B7118" s="45" t="str">
        <f>"This dataset represents the supply of 1 "&amp;IF(B7123="megajoule","megajoule of heat","kilowatt hour of electricity")&amp;" in a residence, by "&amp;B7127&amp;" "&amp;B7128&amp;" in a "&amp;B7129&amp;". "&amp;" The hydrogen is transported by "&amp;B7131&amp;" over "&amp;B7132&amp;" km from regional storage. "&amp;" The "&amp;B7127&amp;" is produced by  "&amp;B7135&amp;", with "&amp;B7136&amp;" from "&amp;B7137&amp;" as feedstock. "&amp;A7139&amp;": "&amp;(B7139*100)&amp;"%. "&amp;A7140&amp;": "&amp;B7140&amp;". "&amp;A7141&amp;": "&amp;B7141&amp;". "&amp;A7142&amp;": "&amp;(B7142*100)&amp;"%. "&amp;A7143&amp;": "&amp;(B7143*100)&amp;"%. "&amp;A7144&amp;": "&amp;(B7144*100)&amp;"%. "&amp;A7145&amp;": "&amp;B7145&amp;". "&amp;A7146&amp;": "&amp;B7146&amp;". "&amp;A7147&amp;": "&amp;(B7147*100)&amp;"%. "&amp;A7148&amp;": "&amp;B7148&amp;". "&amp;A7149&amp;": "&amp;B7149&amp;". "&amp;A7150&amp;": "&amp;B7150&amp;". "&amp;A7151&amp;": "&amp;B7151&amp;".  For more information, refer to: "&amp;B7119</f>
        <v>This dataset represents the supply of 1 kilowatt hour of electricity in a residence, by hydrogen combustion in a CHP.  The hydrogen is transported by train over 1000 km from regional storage.  The hydrogen is produced by  Electrolysis, PEM,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7119" spans="1:22" x14ac:dyDescent="0.2">
      <c r="A7119" t="s">
        <v>63</v>
      </c>
      <c r="B7119" s="45" t="s">
        <v>1223</v>
      </c>
    </row>
    <row r="7120" spans="1:22" x14ac:dyDescent="0.2">
      <c r="A7120" t="s">
        <v>52</v>
      </c>
      <c r="B7120" s="45" t="s">
        <v>64</v>
      </c>
    </row>
    <row r="7121" spans="1:2" x14ac:dyDescent="0.2">
      <c r="A7121" t="s">
        <v>48</v>
      </c>
      <c r="B7121" s="45" t="s">
        <v>928</v>
      </c>
    </row>
    <row r="7122" spans="1:2" x14ac:dyDescent="0.2">
      <c r="A7122" t="s">
        <v>54</v>
      </c>
      <c r="B7122" s="45" t="str">
        <f>INDEX(overview!$B$4:$R$338,MATCH('hydrogen - electrolysis'!B7121,overview!$A$4:$A$338,0),MATCH('hydrogen - electrolysis'!A7122,overview!$B$3:$R$3,0))</f>
        <v>electricity, from residential heating system</v>
      </c>
    </row>
    <row r="7123" spans="1:2" x14ac:dyDescent="0.2">
      <c r="A7123" t="s">
        <v>55</v>
      </c>
      <c r="B7123" s="45" t="str">
        <f>INDEX(overview!$B$4:$R$338,MATCH('hydrogen - electrolysis'!B7121,overview!$A$4:$A$338,0),MATCH('hydrogen - electrolysis'!A7123,overview!$B$3:$R$3,0))</f>
        <v>kilowatt hour</v>
      </c>
    </row>
    <row r="7124" spans="1:2" x14ac:dyDescent="0.2">
      <c r="A7124" t="s">
        <v>0</v>
      </c>
      <c r="B7124" s="45" t="str">
        <f>INDEX(overview!$B$4:$R$338,MATCH('hydrogen - electrolysis'!B7121,overview!$A$4:$A$338,0),MATCH('hydrogen - electrolysis'!A7124,overview!$B$3:$R$3,0))</f>
        <v>Switzerland</v>
      </c>
    </row>
    <row r="7125" spans="1:2" x14ac:dyDescent="0.2">
      <c r="A7125" t="s">
        <v>1</v>
      </c>
      <c r="B7125" s="45">
        <f>INDEX(overview!$B$4:$R$338,MATCH('hydrogen - electrolysis'!B7121,overview!$A$4:$A$338,0),MATCH('hydrogen - electrolysis'!A7125,overview!$B$3:$R$3,0))</f>
        <v>2020</v>
      </c>
    </row>
    <row r="7126" spans="1:2" x14ac:dyDescent="0.2">
      <c r="A7126" t="s">
        <v>2</v>
      </c>
      <c r="B7126" s="45" t="str">
        <f>INDEX(overview!$B$4:$R$338,MATCH('hydrogen - electrolysis'!B7121,overview!$A$4:$A$338,0),MATCH('hydrogen - electrolysis'!A7126,overview!$B$3:$R$3,0))</f>
        <v>1 kWh electricity</v>
      </c>
    </row>
    <row r="7127" spans="1:2" x14ac:dyDescent="0.2">
      <c r="A7127" t="s">
        <v>5</v>
      </c>
      <c r="B7127" s="45" t="str">
        <f>INDEX(overview!$B$4:$R$338,MATCH('hydrogen - electrolysis'!B7121,overview!$A$4:$A$338,0),MATCH('hydrogen - electrolysis'!A7127,overview!$B$3:$R$3,0))</f>
        <v>hydrogen</v>
      </c>
    </row>
    <row r="7128" spans="1:2" x14ac:dyDescent="0.2">
      <c r="A7128" t="s">
        <v>3</v>
      </c>
      <c r="B7128" s="45" t="str">
        <f>INDEX(overview!$B$4:$R$338,MATCH('hydrogen - electrolysis'!B7121,overview!$A$4:$A$338,0),MATCH('hydrogen - electrolysis'!A7128,overview!$B$3:$R$3,0))</f>
        <v>combustion</v>
      </c>
    </row>
    <row r="7129" spans="1:2" x14ac:dyDescent="0.2">
      <c r="A7129" t="s">
        <v>6</v>
      </c>
      <c r="B7129" s="45" t="str">
        <f>INDEX(overview!$B$4:$R$338,MATCH('hydrogen - electrolysis'!B7121,overview!$A$4:$A$338,0),MATCH('hydrogen - electrolysis'!A7129,overview!$B$3:$R$3,0))</f>
        <v>CHP</v>
      </c>
    </row>
    <row r="7130" spans="1:2" x14ac:dyDescent="0.2">
      <c r="A7130" t="s">
        <v>39</v>
      </c>
      <c r="B7130" s="45" t="str">
        <f>INDEX(overview!$B$4:$R$338,MATCH('hydrogen - electrolysis'!B7121,overview!$A$4:$A$338,0),MATCH('hydrogen - electrolysis'!A7130,overview!$B$3:$R$3,0))</f>
        <v>exergy</v>
      </c>
    </row>
    <row r="7131" spans="1:2" x14ac:dyDescent="0.2">
      <c r="A7131" t="s">
        <v>4</v>
      </c>
      <c r="B7131" s="45" t="str">
        <f>INDEX(overview!$B$4:$R$338,MATCH('hydrogen - electrolysis'!B7121,overview!$A$4:$A$338,0),MATCH('hydrogen - electrolysis'!A7131,overview!$B$3:$R$3,0))</f>
        <v>train</v>
      </c>
    </row>
    <row r="7132" spans="1:2" x14ac:dyDescent="0.2">
      <c r="A7132" t="s">
        <v>38</v>
      </c>
      <c r="B7132" s="45">
        <f>INDEX(overview!$B$4:$R$338,MATCH('hydrogen - electrolysis'!B7121,overview!$A$4:$A$338,0),MATCH('hydrogen - electrolysis'!A7132,overview!$B$3:$R$3,0))</f>
        <v>1000</v>
      </c>
    </row>
    <row r="7133" spans="1:2" x14ac:dyDescent="0.2">
      <c r="A7133" t="s">
        <v>12</v>
      </c>
      <c r="B7133" s="45" t="str">
        <f>INDEX(overview!$B$4:$R$338,MATCH('hydrogen - electrolysis'!B7121,overview!$A$4:$A$338,0),MATCH('hydrogen - electrolysis'!A7133,overview!$B$3:$R$3,0))</f>
        <v>Pressure vessel for stationary storage</v>
      </c>
    </row>
    <row r="7134" spans="1:2" x14ac:dyDescent="0.2">
      <c r="A7134" t="s">
        <v>34</v>
      </c>
      <c r="B7134" s="45">
        <f>INDEX(overview!$B$4:$R$338,MATCH('hydrogen - electrolysis'!B7121,overview!$A$4:$A$338,0),MATCH('hydrogen - electrolysis'!A7134,overview!$B$3:$R$3,0))</f>
        <v>0</v>
      </c>
    </row>
    <row r="7135" spans="1:2" x14ac:dyDescent="0.2">
      <c r="A7135" t="s">
        <v>15</v>
      </c>
      <c r="B7135" s="45" t="str">
        <f>INDEX(overview!$B$4:$R$338,MATCH('hydrogen - electrolysis'!B7121,overview!$A$4:$A$338,0),MATCH('hydrogen - electrolysis'!A7135,overview!$B$3:$R$3,0))</f>
        <v>Electrolysis, PEM</v>
      </c>
    </row>
    <row r="7136" spans="1:2" x14ac:dyDescent="0.2">
      <c r="A7136" t="s">
        <v>14</v>
      </c>
      <c r="B7136" s="45" t="str">
        <f>INDEX(overview!$B$4:$R$338,MATCH('hydrogen - electrolysis'!B7121,overview!$A$4:$A$338,0),MATCH('hydrogen - electrolysis'!A7136,overview!$B$3:$R$3,0))</f>
        <v>water and electricity</v>
      </c>
    </row>
    <row r="7137" spans="1:2" x14ac:dyDescent="0.2">
      <c r="A7137" t="s">
        <v>26</v>
      </c>
      <c r="B7137" s="45" t="str">
        <f>INDEX(overview!$B$4:$R$338,MATCH('hydrogen - electrolysis'!B7121,overview!$A$4:$A$338,0),MATCH('hydrogen - electrolysis'!A7137,overview!$B$3:$R$3,0))</f>
        <v>Solar PV (DE)</v>
      </c>
    </row>
    <row r="7138" spans="1:2" x14ac:dyDescent="0.2">
      <c r="A7138" t="s">
        <v>29</v>
      </c>
      <c r="B7138" s="45">
        <f>INDEX(overview!$B$4:$R$338,MATCH('hydrogen - electrolysis'!B7121,overview!$A$4:$A$338,0),MATCH('hydrogen - electrolysis'!A7138,overview!$B$3:$R$3,0))</f>
        <v>0</v>
      </c>
    </row>
    <row r="7139" spans="1:2" x14ac:dyDescent="0.2">
      <c r="A7139" t="str">
        <f>IF(B7123="megajoule","Heat","Electricity")&amp;" conversion efficiency [% LHV input]"</f>
        <v>Electricity conversion efficiency [% LHV input]</v>
      </c>
      <c r="B7139" s="46">
        <f>INDEX(parameters!$D$4:$N$20,MATCH('hydrogen - electrolysis'!B7127&amp;'hydrogen - electrolysis'!B7129,parameters!$A$4:$A$20,0),MATCH('hydrogen - electrolysis'!A7139,parameters!$D$3:$N$3,0))</f>
        <v>0.39400000000000002</v>
      </c>
    </row>
    <row r="7140" spans="1:2" x14ac:dyDescent="0.2">
      <c r="A7140" t="str">
        <f>IF(B7123="megajoule","LHV [MJ/kg]","LHV [kWh/kg]")</f>
        <v>LHV [kWh/kg]</v>
      </c>
      <c r="B7140" s="47">
        <f>INDEX(parameters!$D$4:$N$20,MATCH('hydrogen - electrolysis'!B7127&amp;'hydrogen - electrolysis'!B7129,parameters!$A$4:$A$20,0),MATCH('hydrogen - electrolysis'!A7140,parameters!$D$3:$N$3,0))</f>
        <v>33.333333333333336</v>
      </c>
    </row>
    <row r="7141" spans="1:2" x14ac:dyDescent="0.2">
      <c r="A7141" t="s">
        <v>41</v>
      </c>
      <c r="B7141" s="48">
        <f>INDEX(parameters!$D$4:$N$20,MATCH('hydrogen - electrolysis'!B7127&amp;'hydrogen - electrolysis'!B7129,parameters!$A$4:$A$20,0),MATCH('hydrogen - electrolysis'!A7141,parameters!$D$3:$N$3,0))</f>
        <v>2.6666666666666665E-2</v>
      </c>
    </row>
    <row r="7142" spans="1:2" x14ac:dyDescent="0.2">
      <c r="A7142" t="s">
        <v>45</v>
      </c>
      <c r="B7142" s="46">
        <f>INDEX(parameters!$D$4:$N$20,MATCH('hydrogen - electrolysis'!B7127&amp;'hydrogen - electrolysis'!B7129,parameters!$A$4:$A$20,0),MATCH('hydrogen - electrolysis'!A7142,parameters!$D$3:$N$3,0))</f>
        <v>0</v>
      </c>
    </row>
    <row r="7143" spans="1:2" x14ac:dyDescent="0.2">
      <c r="A7143" t="s">
        <v>46</v>
      </c>
      <c r="B7143" s="46">
        <f>INDEX(parameters!$D$4:$N$20,MATCH('hydrogen - electrolysis'!B7127&amp;'hydrogen - electrolysis'!B7129,parameters!$A$4:$A$20,0),MATCH('hydrogen - electrolysis'!A7143,parameters!$D$3:$N$3,0))</f>
        <v>1.4999999999999999E-2</v>
      </c>
    </row>
    <row r="7144" spans="1:2" x14ac:dyDescent="0.2">
      <c r="A7144" t="s">
        <v>43</v>
      </c>
      <c r="B7144" s="46">
        <f>INDEX(parameters!$D$4:$N$20,MATCH('hydrogen - electrolysis'!B7127&amp;'hydrogen - electrolysis'!B7129,parameters!$A$4:$A$20,0),MATCH('hydrogen - electrolysis'!A7144,parameters!$D$3:$N$3,0))</f>
        <v>0</v>
      </c>
    </row>
    <row r="7145" spans="1:2" x14ac:dyDescent="0.2">
      <c r="A7145" t="s">
        <v>44</v>
      </c>
      <c r="B7145" s="46">
        <f>INDEX(parameters!$D$4:$N$20,MATCH('hydrogen - electrolysis'!B7127&amp;'hydrogen - electrolysis'!B7129,parameters!$A$4:$A$20,0),MATCH('hydrogen - electrolysis'!A7145,parameters!$D$3:$N$3,0))</f>
        <v>0</v>
      </c>
    </row>
    <row r="7146" spans="1:2" x14ac:dyDescent="0.2">
      <c r="A7146" t="s">
        <v>634</v>
      </c>
      <c r="B7146" s="51">
        <f>INDEX(parameters!$D$4:$Y$20,MATCH('hydrogen - electrolysis'!B7127&amp;'hydrogen - electrolysis'!B7129,parameters!$A$4:$A$20,0),MATCH('hydrogen - electrolysis'!A7146,parameters!$D$3:$Y$3,0))</f>
        <v>351.41800246609125</v>
      </c>
    </row>
    <row r="7147" spans="1:2" x14ac:dyDescent="0.2">
      <c r="A7147" t="s">
        <v>82</v>
      </c>
      <c r="B7147" s="46">
        <f>IF(B7138&lt;&gt;0,VLOOKUP(B7138,parameters!A4560:B4562,2,0),0)</f>
        <v>0</v>
      </c>
    </row>
    <row r="7148" spans="1:2" x14ac:dyDescent="0.2">
      <c r="A7148" t="s">
        <v>548</v>
      </c>
      <c r="B7148" s="50">
        <f>INDEX(parameters!$D$4:$P$20,MATCH(B7127&amp;B7129,parameters!$A$4:$A$20,0),MATCH(A7148,parameters!$D$3:$P$3,0))</f>
        <v>125</v>
      </c>
    </row>
    <row r="7149" spans="1:2" x14ac:dyDescent="0.2">
      <c r="A7149" t="s">
        <v>547</v>
      </c>
      <c r="B7149" s="51">
        <f>INDEX(parameters!$D$4:$P$20,MATCH(B7127&amp;B7129,parameters!$A$4:$A$20,0),MATCH(A7149,parameters!$D$3:$P$3,0))</f>
        <v>19.512195121951219</v>
      </c>
    </row>
    <row r="7150" spans="1:2" x14ac:dyDescent="0.2">
      <c r="A7150" t="s">
        <v>630</v>
      </c>
      <c r="B7150" s="51">
        <f>INDEX(parameters!$D$4:$T$20,MATCH(B7127&amp;B7129,parameters!$A$4:$A$20,0),MATCH(A7150,parameters!$D$3:$T$3,0))</f>
        <v>4100</v>
      </c>
    </row>
    <row r="7151" spans="1:2" x14ac:dyDescent="0.2">
      <c r="A7151" t="s">
        <v>1005</v>
      </c>
      <c r="B7151" s="50">
        <f>IF(B7123="megajoule",SUMIFS(allocation!$I$4:$I$30,allocation!$B$4:$B$30,B7129,allocation!$C$4:$C$30,B7130),SUMIFS(allocation!$J$4:$J$30,allocation!$B$4:$B$30,B7129,allocation!$C$4:$C$30,B7130))</f>
        <v>0.87139957772704957</v>
      </c>
    </row>
    <row r="7152" spans="1:2" x14ac:dyDescent="0.2">
      <c r="A7152" t="s">
        <v>1050</v>
      </c>
      <c r="B7152" s="51">
        <f>INDEX(parameters!$D$4:$AB$20,MATCH(B7127&amp;B7129,parameters!$A$4:$A$20,0),MATCH(A7152,parameters!$D$3:$AB$3,0))</f>
        <v>2220.7364520822662</v>
      </c>
    </row>
    <row r="7154" spans="1:22" x14ac:dyDescent="0.2">
      <c r="A7154" s="3" t="s">
        <v>57</v>
      </c>
    </row>
    <row r="7155" spans="1:22" x14ac:dyDescent="0.2">
      <c r="A7155" s="2" t="s">
        <v>58</v>
      </c>
      <c r="B7155" s="44" t="s">
        <v>59</v>
      </c>
      <c r="C7155" s="2" t="s">
        <v>55</v>
      </c>
      <c r="D7155" s="2" t="s">
        <v>60</v>
      </c>
      <c r="E7155" s="2" t="s">
        <v>52</v>
      </c>
      <c r="F7155" s="2" t="s">
        <v>61</v>
      </c>
      <c r="G7155" s="2" t="s">
        <v>54</v>
      </c>
      <c r="H7155" s="2" t="s">
        <v>87</v>
      </c>
      <c r="I7155" s="2" t="s">
        <v>51</v>
      </c>
      <c r="J7155" s="2" t="s">
        <v>138</v>
      </c>
      <c r="K7155" s="2" t="s">
        <v>136</v>
      </c>
      <c r="L7155" s="2" t="s">
        <v>221</v>
      </c>
      <c r="M7155" s="2" t="s">
        <v>379</v>
      </c>
      <c r="N7155" s="2" t="s">
        <v>1059</v>
      </c>
      <c r="O7155" s="2" t="s">
        <v>1060</v>
      </c>
      <c r="P7155" s="2" t="s">
        <v>1061</v>
      </c>
      <c r="Q7155" s="2" t="s">
        <v>1062</v>
      </c>
      <c r="R7155" s="2" t="s">
        <v>1063</v>
      </c>
      <c r="S7155" s="2" t="s">
        <v>1064</v>
      </c>
      <c r="T7155" s="2" t="s">
        <v>1065</v>
      </c>
      <c r="U7155" s="2" t="s">
        <v>380</v>
      </c>
      <c r="V7155" s="2" t="s">
        <v>1128</v>
      </c>
    </row>
    <row r="7156" spans="1:22" x14ac:dyDescent="0.2">
      <c r="A7156" t="str">
        <f>B7117</f>
        <v>electricity, residential, by combustion of hydrogen using CHP, allocated by exergy, transported by train, produced by Electrolysis, PEM using water and electricity from Solar PV (DE)</v>
      </c>
      <c r="B7156" s="45">
        <v>1</v>
      </c>
      <c r="C7156" t="str">
        <f>B7123</f>
        <v>kilowatt hour</v>
      </c>
      <c r="E7156" t="str">
        <f>B7120</f>
        <v>CH</v>
      </c>
      <c r="F7156" t="s">
        <v>62</v>
      </c>
      <c r="G7156" t="str">
        <f>B7122</f>
        <v>electricity, from residential heating system</v>
      </c>
      <c r="K7156" t="str">
        <f>B7117</f>
        <v>electricity, residential, by combustion of hydrogen using CHP, allocated by exergy, transported by train, produced by Electrolysis, PEM using water and electricity from Solar PV (DE)</v>
      </c>
    </row>
    <row r="7157" spans="1:22" x14ac:dyDescent="0.2">
      <c r="A7157" t="str">
        <f>VLOOKUP(J7157,'dataset mapping'!$A$4:$E$69,2,0)</f>
        <v>heat and power co-generation unit construction, 160kW electrical, common components for heat+electricity</v>
      </c>
      <c r="B7157" s="52">
        <f>(1/(B7146*B7150*B7149))*B7151</f>
        <v>3.0995835856870056E-8</v>
      </c>
      <c r="C7157" t="str">
        <f>VLOOKUP(J7157,'dataset mapping'!$A$4:$E$69,5,0)</f>
        <v>unit</v>
      </c>
      <c r="E7157" t="str">
        <f>VLOOKUP(J7157,'dataset mapping'!$A$4:$E$69,4,0)</f>
        <v>RER</v>
      </c>
      <c r="F7157" t="s">
        <v>86</v>
      </c>
      <c r="G7157" t="str">
        <f>VLOOKUP(J7157,'dataset mapping'!$A$4:$E$69,3,0)</f>
        <v>heat and power co-generation unit, 160kW electrical, common components for heat+electricity</v>
      </c>
      <c r="H7157" t="s">
        <v>88</v>
      </c>
      <c r="J7157" t="s">
        <v>145</v>
      </c>
      <c r="K7157" t="str">
        <f>B7117</f>
        <v>electricity, residential, by combustion of hydrogen using CHP, allocated by exergy, transported by train, produced by Electrolysis, PEM using water and electricity from Solar PV (DE)</v>
      </c>
      <c r="L7157">
        <f t="shared" ref="L7157:L7166" si="289">IF(OR(B7157&lt;0,B7157=0),1,2)</f>
        <v>2</v>
      </c>
      <c r="M7157">
        <f t="shared" ref="M7157:M7166" si="290">IF(L7157=2,LN(B7157),"")</f>
        <v>-17.28941296868171</v>
      </c>
      <c r="N7157">
        <v>1.05</v>
      </c>
      <c r="O7157" s="15">
        <v>1.2</v>
      </c>
      <c r="P7157">
        <v>1</v>
      </c>
      <c r="Q7157">
        <v>1.01</v>
      </c>
      <c r="R7157">
        <v>1.2</v>
      </c>
      <c r="S7157">
        <v>1.2</v>
      </c>
      <c r="T7157">
        <v>3</v>
      </c>
      <c r="U7157">
        <f t="shared" ref="U7157:U7166" si="291">LN(SQRT(EXP(
SQRT(
+POWER(LN(N7157),2)
+POWER(LN(O7157),2)
+POWER(LN(P7157),2)
+POWER(LN(Q7157),2)
+POWER(LN(R7157),2)
+POWER(LN(S7157),2)
+POWER(LN(T7157),2)
)
)))</f>
        <v>0.57209088006881903</v>
      </c>
    </row>
    <row r="7158" spans="1:22" x14ac:dyDescent="0.2">
      <c r="A7158" t="str">
        <f>VLOOKUP(J7158,'dataset mapping'!$A$4:$E$69,2,0)</f>
        <v>heat and power co-generation unit construction, 160kW electrical, components for electricity only</v>
      </c>
      <c r="B7158" s="52">
        <f>(1/(B7146*B7150*B7149))*B7151</f>
        <v>3.0995835856870056E-8</v>
      </c>
      <c r="C7158" t="str">
        <f>VLOOKUP(J7158,'dataset mapping'!$A$4:$E$69,5,0)</f>
        <v>unit</v>
      </c>
      <c r="E7158" t="str">
        <f>VLOOKUP(J7158,'dataset mapping'!$A$4:$E$69,4,0)</f>
        <v>RER</v>
      </c>
      <c r="F7158" t="s">
        <v>86</v>
      </c>
      <c r="G7158" t="str">
        <f>VLOOKUP(J7158,'dataset mapping'!$A$4:$E$69,3,0)</f>
        <v>heat and power co-generation unit, 160kW electrical, components for electricity only</v>
      </c>
      <c r="H7158" t="s">
        <v>88</v>
      </c>
      <c r="J7158" t="s">
        <v>146</v>
      </c>
      <c r="K7158" t="str">
        <f>B7117</f>
        <v>electricity, residential, by combustion of hydrogen using CHP, allocated by exergy, transported by train, produced by Electrolysis, PEM using water and electricity from Solar PV (DE)</v>
      </c>
      <c r="L7158">
        <f t="shared" si="289"/>
        <v>2</v>
      </c>
      <c r="M7158">
        <f t="shared" si="290"/>
        <v>-17.28941296868171</v>
      </c>
      <c r="N7158">
        <v>1.05</v>
      </c>
      <c r="O7158" s="15">
        <v>1.2</v>
      </c>
      <c r="P7158">
        <v>1</v>
      </c>
      <c r="Q7158">
        <v>1.01</v>
      </c>
      <c r="R7158">
        <v>1.2</v>
      </c>
      <c r="S7158">
        <v>1.2</v>
      </c>
      <c r="T7158">
        <v>3</v>
      </c>
      <c r="U7158">
        <f t="shared" si="291"/>
        <v>0.57209088006881903</v>
      </c>
    </row>
    <row r="7159" spans="1:22" x14ac:dyDescent="0.2">
      <c r="A7159" t="str">
        <f>VLOOKUP(J7159,'dataset mapping'!$A$4:$E$69,2,0)</f>
        <v>heat and power co-generation unit construction, 160kW electrical, components for heat only</v>
      </c>
      <c r="B7159" s="52">
        <f>(1/(B7146*B7150*B7149))*B7151</f>
        <v>3.0995835856870056E-8</v>
      </c>
      <c r="C7159" t="str">
        <f>VLOOKUP(J7159,'dataset mapping'!$A$4:$E$69,5,0)</f>
        <v>unit</v>
      </c>
      <c r="E7159" t="str">
        <f>VLOOKUP(J7159,'dataset mapping'!$A$4:$E$69,4,0)</f>
        <v>RER</v>
      </c>
      <c r="F7159" t="s">
        <v>86</v>
      </c>
      <c r="G7159" t="str">
        <f>VLOOKUP(J7159,'dataset mapping'!$A$4:$E$69,3,0)</f>
        <v>heat and power co-generation unit, 160kW electrical, components for heat only</v>
      </c>
      <c r="H7159" t="s">
        <v>88</v>
      </c>
      <c r="J7159" t="s">
        <v>147</v>
      </c>
      <c r="K7159" t="str">
        <f>B7117</f>
        <v>electricity, residential, by combustion of hydrogen using CHP, allocated by exergy, transported by train, produced by Electrolysis, PEM using water and electricity from Solar PV (DE)</v>
      </c>
      <c r="L7159">
        <f t="shared" si="289"/>
        <v>2</v>
      </c>
      <c r="M7159">
        <f t="shared" si="290"/>
        <v>-17.28941296868171</v>
      </c>
      <c r="N7159">
        <v>1.05</v>
      </c>
      <c r="O7159" s="15">
        <v>1.2</v>
      </c>
      <c r="P7159">
        <v>1</v>
      </c>
      <c r="Q7159">
        <v>1.01</v>
      </c>
      <c r="R7159">
        <v>1.2</v>
      </c>
      <c r="S7159">
        <v>1.2</v>
      </c>
      <c r="T7159">
        <v>3</v>
      </c>
      <c r="U7159">
        <f t="shared" si="291"/>
        <v>0.57209088006881903</v>
      </c>
    </row>
    <row r="7160" spans="1:22" x14ac:dyDescent="0.2">
      <c r="A7160" t="s">
        <v>156</v>
      </c>
      <c r="B7160" s="52">
        <f>0.00000011366*B7151</f>
        <v>9.9043276004456456E-8</v>
      </c>
      <c r="C7160" t="s">
        <v>56</v>
      </c>
      <c r="E7160" t="s">
        <v>90</v>
      </c>
      <c r="F7160" t="s">
        <v>86</v>
      </c>
      <c r="G7160" t="s">
        <v>154</v>
      </c>
      <c r="H7160" t="s">
        <v>155</v>
      </c>
      <c r="K7160" t="str">
        <f>B7117</f>
        <v>electricity, residential, by combustion of hydrogen using CHP, allocated by exergy, transported by train, produced by Electrolysis, PEM using water and electricity from Solar PV (DE)</v>
      </c>
      <c r="L7160">
        <f t="shared" si="289"/>
        <v>2</v>
      </c>
      <c r="M7160">
        <f t="shared" si="290"/>
        <v>-16.127708950967754</v>
      </c>
      <c r="N7160">
        <v>1.05</v>
      </c>
      <c r="O7160" s="15">
        <v>1.2</v>
      </c>
      <c r="P7160">
        <v>1</v>
      </c>
      <c r="Q7160">
        <v>1.01</v>
      </c>
      <c r="R7160">
        <v>1.2</v>
      </c>
      <c r="S7160">
        <v>1.2</v>
      </c>
      <c r="T7160">
        <v>1.05</v>
      </c>
      <c r="U7160">
        <f t="shared" si="291"/>
        <v>0.16169679924070957</v>
      </c>
    </row>
    <row r="7161" spans="1:22" x14ac:dyDescent="0.2">
      <c r="A7161" t="s">
        <v>157</v>
      </c>
      <c r="B7161" s="52">
        <f>0.00000011366*B7151*-1</f>
        <v>-9.9043276004456456E-8</v>
      </c>
      <c r="C7161" t="s">
        <v>56</v>
      </c>
      <c r="E7161" t="s">
        <v>64</v>
      </c>
      <c r="F7161" t="s">
        <v>86</v>
      </c>
      <c r="G7161" t="s">
        <v>158</v>
      </c>
      <c r="H7161" t="s">
        <v>155</v>
      </c>
      <c r="K7161" t="str">
        <f>B7117</f>
        <v>electricity, residential, by combustion of hydrogen using CHP, allocated by exergy, transported by train, produced by Electrolysis, PEM using water and electricity from Solar PV (DE)</v>
      </c>
      <c r="L7161">
        <v>2</v>
      </c>
      <c r="M7161">
        <f>IF(L7161=2,LN(B7161*-1),"")</f>
        <v>-16.127708950967754</v>
      </c>
      <c r="N7161">
        <v>1.05</v>
      </c>
      <c r="O7161" s="15">
        <v>1.2</v>
      </c>
      <c r="P7161">
        <v>1</v>
      </c>
      <c r="Q7161">
        <v>1.01</v>
      </c>
      <c r="R7161">
        <v>1.2</v>
      </c>
      <c r="S7161">
        <v>1.2</v>
      </c>
      <c r="T7161">
        <v>3</v>
      </c>
      <c r="U7161">
        <f>LN(SQRT(EXP(
SQRT(
+POWER(LN(N7161),2)
+POWER(LN(O7161),2)
+POWER(LN(P7161),2)
+POWER(LN(Q7161),2)
+POWER(LN(R7161),2)
+POWER(LN(S7161),2)
+POWER(LN(T7161),2)
)
)))</f>
        <v>0.57209088006881903</v>
      </c>
      <c r="V7161" t="b">
        <v>1</v>
      </c>
    </row>
    <row r="7162" spans="1:22" x14ac:dyDescent="0.2">
      <c r="A7162" s="45" t="str">
        <f>"hydrogen supply, transported by "&amp;B7131&amp;", produced by "&amp;B7135&amp;" using "&amp;B7136&amp;" from "&amp;B7137</f>
        <v>hydrogen supply, transported by train, produced by Electrolysis, PEM using water and electricity from Solar PV (DE)</v>
      </c>
      <c r="B7162" s="53">
        <f>(B7156/B7140)/B7139*B7151</f>
        <v>6.6350221654343872E-2</v>
      </c>
      <c r="C7162" t="s">
        <v>56</v>
      </c>
      <c r="E7162" t="s">
        <v>64</v>
      </c>
      <c r="F7162" t="s">
        <v>86</v>
      </c>
      <c r="G7162" t="str">
        <f>"hydrogen, gaseous, from "&amp;B7131</f>
        <v>hydrogen, gaseous, from train</v>
      </c>
      <c r="H7162" t="s">
        <v>76</v>
      </c>
      <c r="I7162" t="s">
        <v>1054</v>
      </c>
      <c r="J7162" t="s">
        <v>298</v>
      </c>
      <c r="K7162" t="str">
        <f>B7117</f>
        <v>electricity, residential, by combustion of hydrogen using CHP, allocated by exergy, transported by train, produced by Electrolysis, PEM using water and electricity from Solar PV (DE)</v>
      </c>
      <c r="L7162">
        <f t="shared" si="289"/>
        <v>2</v>
      </c>
      <c r="M7162">
        <f t="shared" si="290"/>
        <v>-2.7128081775260964</v>
      </c>
      <c r="N7162">
        <v>1.05</v>
      </c>
      <c r="O7162" s="15">
        <v>1.2</v>
      </c>
      <c r="P7162">
        <v>1</v>
      </c>
      <c r="Q7162">
        <v>1.01</v>
      </c>
      <c r="R7162">
        <v>1.2</v>
      </c>
      <c r="S7162">
        <v>1.2</v>
      </c>
      <c r="T7162">
        <v>1.05</v>
      </c>
      <c r="U7162">
        <f t="shared" si="291"/>
        <v>0.16169679924070957</v>
      </c>
    </row>
    <row r="7163" spans="1:22" x14ac:dyDescent="0.2">
      <c r="A7163" t="str">
        <f>VLOOKUP(J7163,'dataset mapping'!$A$4:$E$69,2,0)</f>
        <v>market for transport, freight train</v>
      </c>
      <c r="B7163" s="45">
        <f>SUM(B7162:B7162)/1000*B7132</f>
        <v>6.6350221654343872E-2</v>
      </c>
      <c r="C7163" t="str">
        <f>VLOOKUP(J7163,'dataset mapping'!$A$4:$E$69,5,0)</f>
        <v>ton kilometer</v>
      </c>
      <c r="E7163" t="str">
        <f>VLOOKUP(J7163,'dataset mapping'!$A$4:$E$69,4,0)</f>
        <v>CH</v>
      </c>
      <c r="F7163" t="s">
        <v>86</v>
      </c>
      <c r="G7163" t="str">
        <f>VLOOKUP(J7163,'dataset mapping'!$A$4:$E$69,3,0)</f>
        <v>transport, freight train</v>
      </c>
      <c r="H7163" t="s">
        <v>88</v>
      </c>
      <c r="I7163" t="s">
        <v>1052</v>
      </c>
      <c r="J7163" t="s">
        <v>295</v>
      </c>
      <c r="K7163" t="str">
        <f>B7117</f>
        <v>electricity, residential, by combustion of hydrogen using CHP, allocated by exergy, transported by train, produced by Electrolysis, PEM using water and electricity from Solar PV (DE)</v>
      </c>
      <c r="L7163">
        <f t="shared" si="289"/>
        <v>2</v>
      </c>
      <c r="M7163">
        <f t="shared" si="290"/>
        <v>-2.7128081775260964</v>
      </c>
      <c r="N7163">
        <v>1.05</v>
      </c>
      <c r="O7163" s="15">
        <v>1.2</v>
      </c>
      <c r="P7163">
        <v>1</v>
      </c>
      <c r="Q7163">
        <v>1.01</v>
      </c>
      <c r="R7163">
        <v>1.2</v>
      </c>
      <c r="S7163">
        <v>1.2</v>
      </c>
      <c r="T7163">
        <v>2</v>
      </c>
      <c r="U7163">
        <f t="shared" si="291"/>
        <v>0.38165951885721477</v>
      </c>
    </row>
    <row r="7164" spans="1:22" x14ac:dyDescent="0.2">
      <c r="A7164" t="str">
        <f>VLOOKUP(J7164,'dataset mapping'!$A$4:$E$69,2,0)</f>
        <v>high pressure hydrogen storage tank</v>
      </c>
      <c r="B7164" s="52">
        <f>((B7152/10)/(B7150*B7146*20))*IF(B7151&lt;&gt;0,B7151,1)</f>
        <v>6.7154714683034044E-6</v>
      </c>
      <c r="C7164" t="str">
        <f>VLOOKUP(J7164,'dataset mapping'!$A$4:$E$69,5,0)</f>
        <v>kilogram</v>
      </c>
      <c r="E7164" t="str">
        <f>VLOOKUP(J7164,'dataset mapping'!$A$4:$E$69,4,0)</f>
        <v>GLO</v>
      </c>
      <c r="F7164" t="s">
        <v>86</v>
      </c>
      <c r="G7164" t="str">
        <f>VLOOKUP(J7164,'dataset mapping'!$A$4:$E$69,3,0)</f>
        <v>high pressure hydrogen storage tank</v>
      </c>
      <c r="H7164" t="s">
        <v>88</v>
      </c>
      <c r="I7164" t="s">
        <v>279</v>
      </c>
      <c r="J7164" t="s">
        <v>229</v>
      </c>
      <c r="K7164" t="str">
        <f>B7117</f>
        <v>electricity, residential, by combustion of hydrogen using CHP, allocated by exergy, transported by train, produced by Electrolysis, PEM using water and electricity from Solar PV (DE)</v>
      </c>
      <c r="L7164">
        <f t="shared" si="289"/>
        <v>2</v>
      </c>
      <c r="M7164">
        <f t="shared" si="290"/>
        <v>-11.911096519239557</v>
      </c>
      <c r="N7164">
        <v>1.05</v>
      </c>
      <c r="O7164" s="15">
        <v>1.2</v>
      </c>
      <c r="P7164">
        <v>1</v>
      </c>
      <c r="Q7164">
        <v>1.01</v>
      </c>
      <c r="R7164">
        <v>1.2</v>
      </c>
      <c r="S7164">
        <v>1.2</v>
      </c>
      <c r="T7164">
        <v>3</v>
      </c>
      <c r="U7164">
        <f t="shared" si="291"/>
        <v>0.57209088006881903</v>
      </c>
    </row>
    <row r="7165" spans="1:22" x14ac:dyDescent="0.2">
      <c r="A7165" t="s">
        <v>134</v>
      </c>
      <c r="B7165" s="45">
        <f>B7162*9</f>
        <v>0.59715199488909487</v>
      </c>
      <c r="C7165" t="s">
        <v>56</v>
      </c>
      <c r="D7165" t="s">
        <v>100</v>
      </c>
      <c r="F7165" t="s">
        <v>99</v>
      </c>
      <c r="H7165" t="s">
        <v>131</v>
      </c>
      <c r="I7165" t="s">
        <v>1058</v>
      </c>
      <c r="K7165" t="str">
        <f>B7117</f>
        <v>electricity, residential, by combustion of hydrogen using CHP, allocated by exergy, transported by train, produced by Electrolysis, PEM using water and electricity from Solar PV (DE)</v>
      </c>
      <c r="L7165">
        <f t="shared" si="289"/>
        <v>2</v>
      </c>
      <c r="M7165">
        <f t="shared" si="290"/>
        <v>-0.51558360018987692</v>
      </c>
      <c r="N7165">
        <v>1.05</v>
      </c>
      <c r="O7165" s="15">
        <v>1.2</v>
      </c>
      <c r="P7165">
        <v>1</v>
      </c>
      <c r="Q7165">
        <v>1.01</v>
      </c>
      <c r="R7165">
        <v>1.2</v>
      </c>
      <c r="S7165">
        <v>1.2</v>
      </c>
      <c r="T7165">
        <v>1.05</v>
      </c>
      <c r="U7165">
        <f t="shared" si="291"/>
        <v>0.16169679924070957</v>
      </c>
    </row>
    <row r="7166" spans="1:22" x14ac:dyDescent="0.2">
      <c r="A7166" t="s">
        <v>135</v>
      </c>
      <c r="B7166" s="45">
        <f>912.5/1000000*B7163</f>
        <v>6.0544577259588785E-5</v>
      </c>
      <c r="C7166" t="s">
        <v>56</v>
      </c>
      <c r="D7166" t="s">
        <v>100</v>
      </c>
      <c r="F7166" t="s">
        <v>99</v>
      </c>
      <c r="H7166" t="s">
        <v>131</v>
      </c>
      <c r="I7166" t="s">
        <v>1217</v>
      </c>
      <c r="K7166" t="str">
        <f>B7117</f>
        <v>electricity, residential, by combustion of hydrogen using CHP, allocated by exergy, transported by train, produced by Electrolysis, PEM using water and electricity from Solar PV (DE)</v>
      </c>
      <c r="L7166">
        <f t="shared" si="289"/>
        <v>2</v>
      </c>
      <c r="M7166">
        <f t="shared" si="290"/>
        <v>-9.712130650033723</v>
      </c>
      <c r="N7166">
        <v>1.05</v>
      </c>
      <c r="O7166" s="15">
        <v>1.2</v>
      </c>
      <c r="P7166">
        <v>1</v>
      </c>
      <c r="Q7166">
        <v>1.01</v>
      </c>
      <c r="R7166">
        <v>1.2</v>
      </c>
      <c r="S7166">
        <v>1.2</v>
      </c>
      <c r="T7166">
        <v>1.5</v>
      </c>
      <c r="U7166">
        <f t="shared" si="291"/>
        <v>0.25816898211842121</v>
      </c>
    </row>
    <row r="7168" spans="1:22" x14ac:dyDescent="0.2">
      <c r="A7168" s="2" t="s">
        <v>50</v>
      </c>
      <c r="B7168" s="44" t="str">
        <f>IF(B7174="megajoule","heat","electricity")&amp;", residential, by "&amp;B7179&amp;" of "&amp;B7178&amp;" using "&amp;B7180&amp;IF(B7181&lt;&gt;0,", allocated by "&amp;B7181,"")&amp;", transported by "&amp;B7182&amp;", produced by "&amp;B7186&amp;" using "&amp;B7187&amp;" from "&amp;B7188</f>
        <v>electricity, residential, by conversion of hydrogen using fuel cell, PEM, allocated by exergy, transported by train, produced by Electrolysis, PEM using water and electricity from Solar PV (DE)</v>
      </c>
    </row>
    <row r="7169" spans="1:2" x14ac:dyDescent="0.2">
      <c r="A7169" t="s">
        <v>51</v>
      </c>
      <c r="B7169" s="45" t="str">
        <f>"This dataset represents the supply of 1 "&amp;IF(B7174="megajoule","megajoule of heat","kilowatt hour of electricity")&amp;" in a residence, by "&amp;B7178&amp;" "&amp;B7179&amp;" in a "&amp;B7180&amp;". "&amp;" The hydrogen is transported by "&amp;B7182&amp;" over "&amp;B7183&amp;" km from regional storage. "&amp;" The "&amp;B7178&amp;" is produced by  "&amp;B7186&amp;", with "&amp;B7187&amp;" from "&amp;B7188&amp;" as feedstock. "&amp;A7190&amp;": "&amp;(B7190*100)&amp;"%. "&amp;A7191&amp;": "&amp;B7191&amp;". "&amp;A7192&amp;": "&amp;B7192&amp;". "&amp;A7193&amp;": "&amp;(B7193*100)&amp;"%. "&amp;A7194&amp;": "&amp;(B7194*100)&amp;"%. "&amp;A7195&amp;": "&amp;(B7195*100)&amp;"%. "&amp;A7196&amp;": "&amp;B7196&amp;". "&amp;A7197&amp;": "&amp;B7197&amp;". "&amp;A7198&amp;": "&amp;(B7198*100)&amp;"%. "&amp;A7199&amp;": "&amp;B7199&amp;". "&amp;A7200&amp;": "&amp;B7200&amp;". "&amp;A7201&amp;": "&amp;B7201&amp;". "&amp;A7202&amp;": "&amp;B7202&amp;".  For more information, refer to: "&amp;B7170</f>
        <v>This dataset represents the supply of 1 kilowatt hour of electricity in a residence, by hydrogen conversion in a fuel cell, PEM.  The hydrogen is transported by train over 1000 km from regional storage.  The hydrogen is produced by  Electrolysis, PEM,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7170" spans="1:2" x14ac:dyDescent="0.2">
      <c r="A7170" t="s">
        <v>63</v>
      </c>
      <c r="B7170" s="45" t="s">
        <v>1223</v>
      </c>
    </row>
    <row r="7171" spans="1:2" x14ac:dyDescent="0.2">
      <c r="A7171" t="s">
        <v>52</v>
      </c>
      <c r="B7171" s="45" t="s">
        <v>64</v>
      </c>
    </row>
    <row r="7172" spans="1:2" x14ac:dyDescent="0.2">
      <c r="A7172" t="s">
        <v>48</v>
      </c>
      <c r="B7172" s="45" t="s">
        <v>929</v>
      </c>
    </row>
    <row r="7173" spans="1:2" x14ac:dyDescent="0.2">
      <c r="A7173" t="s">
        <v>54</v>
      </c>
      <c r="B7173" s="45" t="str">
        <f>INDEX(overview!$B$4:$R$338,MATCH('hydrogen - electrolysis'!B7172,overview!$A$4:$A$338,0),MATCH('hydrogen - electrolysis'!A7173,overview!$B$3:$R$3,0))</f>
        <v>electricity, from residential heating system</v>
      </c>
    </row>
    <row r="7174" spans="1:2" x14ac:dyDescent="0.2">
      <c r="A7174" t="s">
        <v>55</v>
      </c>
      <c r="B7174" s="45" t="str">
        <f>INDEX(overview!$B$4:$R$338,MATCH('hydrogen - electrolysis'!B7172,overview!$A$4:$A$338,0),MATCH('hydrogen - electrolysis'!A7174,overview!$B$3:$R$3,0))</f>
        <v>kilowatt hour</v>
      </c>
    </row>
    <row r="7175" spans="1:2" x14ac:dyDescent="0.2">
      <c r="A7175" t="s">
        <v>0</v>
      </c>
      <c r="B7175" s="45" t="str">
        <f>INDEX(overview!$B$4:$R$338,MATCH('hydrogen - electrolysis'!B7172,overview!$A$4:$A$338,0),MATCH('hydrogen - electrolysis'!A7175,overview!$B$3:$R$3,0))</f>
        <v>Switzerland</v>
      </c>
    </row>
    <row r="7176" spans="1:2" x14ac:dyDescent="0.2">
      <c r="A7176" t="s">
        <v>1</v>
      </c>
      <c r="B7176" s="45">
        <f>INDEX(overview!$B$4:$R$338,MATCH('hydrogen - electrolysis'!B7172,overview!$A$4:$A$338,0),MATCH('hydrogen - electrolysis'!A7176,overview!$B$3:$R$3,0))</f>
        <v>2020</v>
      </c>
    </row>
    <row r="7177" spans="1:2" x14ac:dyDescent="0.2">
      <c r="A7177" t="s">
        <v>2</v>
      </c>
      <c r="B7177" s="45" t="str">
        <f>INDEX(overview!$B$4:$R$338,MATCH('hydrogen - electrolysis'!B7172,overview!$A$4:$A$338,0),MATCH('hydrogen - electrolysis'!A7177,overview!$B$3:$R$3,0))</f>
        <v>1 kWh electricity</v>
      </c>
    </row>
    <row r="7178" spans="1:2" x14ac:dyDescent="0.2">
      <c r="A7178" t="s">
        <v>5</v>
      </c>
      <c r="B7178" s="45" t="str">
        <f>INDEX(overview!$B$4:$R$338,MATCH('hydrogen - electrolysis'!B7172,overview!$A$4:$A$338,0),MATCH('hydrogen - electrolysis'!A7178,overview!$B$3:$R$3,0))</f>
        <v>hydrogen</v>
      </c>
    </row>
    <row r="7179" spans="1:2" x14ac:dyDescent="0.2">
      <c r="A7179" t="s">
        <v>3</v>
      </c>
      <c r="B7179" s="45" t="str">
        <f>INDEX(overview!$B$4:$R$338,MATCH('hydrogen - electrolysis'!B7172,overview!$A$4:$A$338,0),MATCH('hydrogen - electrolysis'!A7179,overview!$B$3:$R$3,0))</f>
        <v>conversion</v>
      </c>
    </row>
    <row r="7180" spans="1:2" x14ac:dyDescent="0.2">
      <c r="A7180" t="s">
        <v>6</v>
      </c>
      <c r="B7180" s="45" t="str">
        <f>INDEX(overview!$B$4:$R$338,MATCH('hydrogen - electrolysis'!B7172,overview!$A$4:$A$338,0),MATCH('hydrogen - electrolysis'!A7180,overview!$B$3:$R$3,0))</f>
        <v>fuel cell, PEM</v>
      </c>
    </row>
    <row r="7181" spans="1:2" x14ac:dyDescent="0.2">
      <c r="A7181" t="s">
        <v>39</v>
      </c>
      <c r="B7181" s="45" t="str">
        <f>INDEX(overview!$B$4:$R$338,MATCH('hydrogen - electrolysis'!B7172,overview!$A$4:$A$338,0),MATCH('hydrogen - electrolysis'!A7181,overview!$B$3:$R$3,0))</f>
        <v>exergy</v>
      </c>
    </row>
    <row r="7182" spans="1:2" x14ac:dyDescent="0.2">
      <c r="A7182" t="s">
        <v>4</v>
      </c>
      <c r="B7182" s="45" t="str">
        <f>INDEX(overview!$B$4:$R$338,MATCH('hydrogen - electrolysis'!B7172,overview!$A$4:$A$338,0),MATCH('hydrogen - electrolysis'!A7182,overview!$B$3:$R$3,0))</f>
        <v>train</v>
      </c>
    </row>
    <row r="7183" spans="1:2" x14ac:dyDescent="0.2">
      <c r="A7183" t="s">
        <v>38</v>
      </c>
      <c r="B7183" s="45">
        <f>INDEX(overview!$B$4:$R$338,MATCH('hydrogen - electrolysis'!B7172,overview!$A$4:$A$338,0),MATCH('hydrogen - electrolysis'!A7183,overview!$B$3:$R$3,0))</f>
        <v>1000</v>
      </c>
    </row>
    <row r="7184" spans="1:2" x14ac:dyDescent="0.2">
      <c r="A7184" t="s">
        <v>12</v>
      </c>
      <c r="B7184" s="45" t="str">
        <f>INDEX(overview!$B$4:$R$338,MATCH('hydrogen - electrolysis'!B7172,overview!$A$4:$A$338,0),MATCH('hydrogen - electrolysis'!A7184,overview!$B$3:$R$3,0))</f>
        <v>Pressure vessel for stationary storage</v>
      </c>
    </row>
    <row r="7185" spans="1:2" x14ac:dyDescent="0.2">
      <c r="A7185" t="s">
        <v>34</v>
      </c>
      <c r="B7185" s="45">
        <f>INDEX(overview!$B$4:$R$338,MATCH('hydrogen - electrolysis'!B7172,overview!$A$4:$A$338,0),MATCH('hydrogen - electrolysis'!A7185,overview!$B$3:$R$3,0))</f>
        <v>0</v>
      </c>
    </row>
    <row r="7186" spans="1:2" x14ac:dyDescent="0.2">
      <c r="A7186" t="s">
        <v>15</v>
      </c>
      <c r="B7186" s="45" t="str">
        <f>INDEX(overview!$B$4:$R$338,MATCH('hydrogen - electrolysis'!B7172,overview!$A$4:$A$338,0),MATCH('hydrogen - electrolysis'!A7186,overview!$B$3:$R$3,0))</f>
        <v>Electrolysis, PEM</v>
      </c>
    </row>
    <row r="7187" spans="1:2" x14ac:dyDescent="0.2">
      <c r="A7187" t="s">
        <v>14</v>
      </c>
      <c r="B7187" s="45" t="str">
        <f>INDEX(overview!$B$4:$R$338,MATCH('hydrogen - electrolysis'!B7172,overview!$A$4:$A$338,0),MATCH('hydrogen - electrolysis'!A7187,overview!$B$3:$R$3,0))</f>
        <v>water and electricity</v>
      </c>
    </row>
    <row r="7188" spans="1:2" x14ac:dyDescent="0.2">
      <c r="A7188" t="s">
        <v>26</v>
      </c>
      <c r="B7188" s="45" t="str">
        <f>INDEX(overview!$B$4:$R$338,MATCH('hydrogen - electrolysis'!B7172,overview!$A$4:$A$338,0),MATCH('hydrogen - electrolysis'!A7188,overview!$B$3:$R$3,0))</f>
        <v>Solar PV (DE)</v>
      </c>
    </row>
    <row r="7189" spans="1:2" x14ac:dyDescent="0.2">
      <c r="A7189" t="s">
        <v>29</v>
      </c>
      <c r="B7189" s="45">
        <f>INDEX(overview!$B$4:$R$338,MATCH('hydrogen - electrolysis'!B7172,overview!$A$4:$A$338,0),MATCH('hydrogen - electrolysis'!A7189,overview!$B$3:$R$3,0))</f>
        <v>0</v>
      </c>
    </row>
    <row r="7190" spans="1:2" x14ac:dyDescent="0.2">
      <c r="A7190" t="str">
        <f>IF(B7174="megajoule","Heat","Electricity")&amp;" conversion efficiency [% LHV input]"</f>
        <v>Electricity conversion efficiency [% LHV input]</v>
      </c>
      <c r="B7190" s="46">
        <f>INDEX(parameters!$D$4:$N$20,MATCH('hydrogen - electrolysis'!B7178&amp;'hydrogen - electrolysis'!B7180,parameters!$A$4:$A$20,0),MATCH('hydrogen - electrolysis'!A7190,parameters!$D$3:$N$3,0))</f>
        <v>0.45</v>
      </c>
    </row>
    <row r="7191" spans="1:2" x14ac:dyDescent="0.2">
      <c r="A7191" t="str">
        <f>IF(B7174="megajoule","LHV [MJ/kg]","LHV [kWh/kg]")</f>
        <v>LHV [kWh/kg]</v>
      </c>
      <c r="B7191" s="47">
        <f>INDEX(parameters!$D$4:$N$20,MATCH('hydrogen - electrolysis'!B7178&amp;'hydrogen - electrolysis'!B7180,parameters!$A$4:$A$20,0),MATCH('hydrogen - electrolysis'!A7191,parameters!$D$3:$N$3,0))</f>
        <v>33.333333333333336</v>
      </c>
    </row>
    <row r="7192" spans="1:2" x14ac:dyDescent="0.2">
      <c r="A7192" t="s">
        <v>41</v>
      </c>
      <c r="B7192" s="48">
        <f>INDEX(parameters!$D$4:$N$20,MATCH('hydrogen - electrolysis'!B7178&amp;'hydrogen - electrolysis'!B7180,parameters!$A$4:$A$20,0),MATCH('hydrogen - electrolysis'!A7192,parameters!$D$3:$N$3,0))</f>
        <v>2.6666666666666665E-2</v>
      </c>
    </row>
    <row r="7193" spans="1:2" x14ac:dyDescent="0.2">
      <c r="A7193" t="s">
        <v>45</v>
      </c>
      <c r="B7193" s="46">
        <f>INDEX(parameters!$D$4:$N$20,MATCH('hydrogen - electrolysis'!B7178&amp;'hydrogen - electrolysis'!B7180,parameters!$A$4:$A$20,0),MATCH('hydrogen - electrolysis'!A7193,parameters!$D$3:$N$3,0))</f>
        <v>0</v>
      </c>
    </row>
    <row r="7194" spans="1:2" x14ac:dyDescent="0.2">
      <c r="A7194" t="s">
        <v>46</v>
      </c>
      <c r="B7194" s="46">
        <f>INDEX(parameters!$D$4:$N$20,MATCH('hydrogen - electrolysis'!B7178&amp;'hydrogen - electrolysis'!B7180,parameters!$A$4:$A$20,0),MATCH('hydrogen - electrolysis'!A7194,parameters!$D$3:$N$3,0))</f>
        <v>1.4999999999999999E-2</v>
      </c>
    </row>
    <row r="7195" spans="1:2" x14ac:dyDescent="0.2">
      <c r="A7195" t="s">
        <v>43</v>
      </c>
      <c r="B7195" s="46">
        <f>INDEX(parameters!$D$4:$N$20,MATCH('hydrogen - electrolysis'!B7178&amp;'hydrogen - electrolysis'!B7180,parameters!$A$4:$A$20,0),MATCH('hydrogen - electrolysis'!A7195,parameters!$D$3:$N$3,0))</f>
        <v>0</v>
      </c>
    </row>
    <row r="7196" spans="1:2" x14ac:dyDescent="0.2">
      <c r="A7196" t="s">
        <v>44</v>
      </c>
      <c r="B7196" s="46">
        <f>INDEX(parameters!$D$4:$N$20,MATCH('hydrogen - electrolysis'!B7178&amp;'hydrogen - electrolysis'!B7180,parameters!$A$4:$A$20,0),MATCH('hydrogen - electrolysis'!A7196,parameters!$D$3:$N$3,0))</f>
        <v>0</v>
      </c>
    </row>
    <row r="7197" spans="1:2" x14ac:dyDescent="0.2">
      <c r="A7197" t="s">
        <v>634</v>
      </c>
      <c r="B7197" s="51">
        <f>INDEX(parameters!$D$4:$Y$20,MATCH('hydrogen - electrolysis'!B7178&amp;'hydrogen - electrolysis'!B7180,parameters!$A$4:$A$20,0),MATCH('hydrogen - electrolysis'!A7197,parameters!$D$3:$Y$3,0))</f>
        <v>1.8947368421052633</v>
      </c>
    </row>
    <row r="7198" spans="1:2" x14ac:dyDescent="0.2">
      <c r="A7198" t="s">
        <v>82</v>
      </c>
      <c r="B7198" s="46">
        <f>IF(B7189&lt;&gt;0,VLOOKUP(B7189,parameters!A4613:B4615,2,0),0)</f>
        <v>0</v>
      </c>
    </row>
    <row r="7199" spans="1:2" x14ac:dyDescent="0.2">
      <c r="A7199" t="s">
        <v>548</v>
      </c>
      <c r="B7199" s="50">
        <f>INDEX(parameters!$D$4:$P$20,MATCH(B7178&amp;B7180,parameters!$A$4:$A$20,0),MATCH(A7199,parameters!$D$3:$P$3,0))</f>
        <v>0.8</v>
      </c>
    </row>
    <row r="7200" spans="1:2" x14ac:dyDescent="0.2">
      <c r="A7200" t="s">
        <v>547</v>
      </c>
      <c r="B7200" s="51">
        <f>INDEX(parameters!$D$4:$P$20,MATCH(B7178&amp;B7180,parameters!$A$4:$A$20,0),MATCH(A7200,parameters!$D$3:$P$3,0))</f>
        <v>4.8780487804878048</v>
      </c>
    </row>
    <row r="7201" spans="1:22" x14ac:dyDescent="0.2">
      <c r="A7201" t="s">
        <v>630</v>
      </c>
      <c r="B7201" s="51">
        <f>INDEX(parameters!$D$4:$T$20,MATCH(B7178&amp;B7180,parameters!$A$4:$A$20,0),MATCH(A7201,parameters!$D$3:$T$3,0))</f>
        <v>4100</v>
      </c>
    </row>
    <row r="7202" spans="1:22" x14ac:dyDescent="0.2">
      <c r="A7202" t="s">
        <v>1005</v>
      </c>
      <c r="B7202" s="50">
        <f>IF(B7174="megajoule",SUMIFS(allocation!$I$4:$I$30,allocation!$B$4:$B$30,B7180,allocation!$C$4:$C$30,B7181),SUMIFS(allocation!$J$4:$J$30,allocation!$B$4:$B$30,B7180,allocation!$C$4:$C$30,B7181))</f>
        <v>0.86066019201025545</v>
      </c>
    </row>
    <row r="7203" spans="1:22" x14ac:dyDescent="0.2">
      <c r="A7203" t="s">
        <v>1050</v>
      </c>
      <c r="B7203" s="51">
        <f>INDEX(parameters!$D$4:$AB$20,MATCH(B7178&amp;B7180,parameters!$A$4:$A$20,0),MATCH(A7203,parameters!$D$3:$AB$3,0))</f>
        <v>10.221606648199446</v>
      </c>
    </row>
    <row r="7205" spans="1:22" x14ac:dyDescent="0.2">
      <c r="A7205" s="3" t="s">
        <v>57</v>
      </c>
    </row>
    <row r="7206" spans="1:22" x14ac:dyDescent="0.2">
      <c r="A7206" s="2" t="s">
        <v>58</v>
      </c>
      <c r="B7206" s="44" t="s">
        <v>59</v>
      </c>
      <c r="C7206" s="2" t="s">
        <v>55</v>
      </c>
      <c r="D7206" s="2" t="s">
        <v>60</v>
      </c>
      <c r="E7206" s="2" t="s">
        <v>52</v>
      </c>
      <c r="F7206" s="2" t="s">
        <v>61</v>
      </c>
      <c r="G7206" s="2" t="s">
        <v>54</v>
      </c>
      <c r="H7206" s="2" t="s">
        <v>87</v>
      </c>
      <c r="I7206" s="2" t="s">
        <v>51</v>
      </c>
      <c r="J7206" s="2" t="s">
        <v>138</v>
      </c>
      <c r="K7206" s="2" t="s">
        <v>136</v>
      </c>
      <c r="L7206" s="2" t="s">
        <v>221</v>
      </c>
      <c r="M7206" s="2" t="s">
        <v>379</v>
      </c>
      <c r="N7206" s="2" t="s">
        <v>1059</v>
      </c>
      <c r="O7206" s="2" t="s">
        <v>1060</v>
      </c>
      <c r="P7206" s="2" t="s">
        <v>1061</v>
      </c>
      <c r="Q7206" s="2" t="s">
        <v>1062</v>
      </c>
      <c r="R7206" s="2" t="s">
        <v>1063</v>
      </c>
      <c r="S7206" s="2" t="s">
        <v>1064</v>
      </c>
      <c r="T7206" s="2" t="s">
        <v>1065</v>
      </c>
      <c r="U7206" s="2" t="s">
        <v>380</v>
      </c>
      <c r="V7206" s="2" t="s">
        <v>1128</v>
      </c>
    </row>
    <row r="7207" spans="1:22" x14ac:dyDescent="0.2">
      <c r="A7207" t="str">
        <f>B7168</f>
        <v>electricity, residential, by conversion of hydrogen using fuel cell, PEM, allocated by exergy, transported by train, produced by Electrolysis, PEM using water and electricity from Solar PV (DE)</v>
      </c>
      <c r="B7207" s="45">
        <v>1</v>
      </c>
      <c r="C7207" t="str">
        <f>B7174</f>
        <v>kilowatt hour</v>
      </c>
      <c r="E7207" t="str">
        <f>B7171</f>
        <v>CH</v>
      </c>
      <c r="F7207" t="s">
        <v>62</v>
      </c>
      <c r="G7207" t="str">
        <f>B7173</f>
        <v>electricity, from residential heating system</v>
      </c>
      <c r="K7207" t="str">
        <f>B7168</f>
        <v>electricity, residential, by conversion of hydrogen using fuel cell, PEM, allocated by exergy, transported by train, produced by Electrolysis, PEM using water and electricity from Solar PV (DE)</v>
      </c>
    </row>
    <row r="7208" spans="1:22" x14ac:dyDescent="0.2">
      <c r="A7208" t="str">
        <f>VLOOKUP(J7208,'dataset mapping'!$A$4:$E$69,2,0)</f>
        <v>fuel cell system assembly, 1 kWe, proton exchange membrane (PEM)</v>
      </c>
      <c r="B7208" s="52">
        <f>1/(80000)/0.5*SUMIFS(allocation!$I$4:$I$30,allocation!$B$4:$B$30,'hydrogen - electrolysis'!B7180,allocation!$C$4:$C$30,'hydrogen - electrolysis'!B7181)</f>
        <v>3.4834951997436147E-6</v>
      </c>
      <c r="C7208" t="str">
        <f>VLOOKUP(J7208,'dataset mapping'!$A$4:$E$69,5,0)</f>
        <v>unit</v>
      </c>
      <c r="E7208" t="str">
        <f>VLOOKUP(J7208,'dataset mapping'!$A$4:$E$69,4,0)</f>
        <v>GLO</v>
      </c>
      <c r="F7208" t="s">
        <v>86</v>
      </c>
      <c r="G7208" t="str">
        <f>VLOOKUP(J7208,'dataset mapping'!$A$4:$E$69,3,0)</f>
        <v>fuel cell system, 1 kWe, proton exchange membrane (PEM)</v>
      </c>
      <c r="H7208" t="s">
        <v>88</v>
      </c>
      <c r="I7208" t="s">
        <v>272</v>
      </c>
      <c r="J7208" t="s">
        <v>273</v>
      </c>
      <c r="K7208" t="str">
        <f>B7168</f>
        <v>electricity, residential, by conversion of hydrogen using fuel cell, PEM, allocated by exergy, transported by train, produced by Electrolysis, PEM using water and electricity from Solar PV (DE)</v>
      </c>
      <c r="L7208">
        <f t="shared" ref="L7208:L7212" si="292">IF(OR(B7208&lt;0,B7208=0),1,2)</f>
        <v>2</v>
      </c>
      <c r="M7208">
        <f t="shared" ref="M7208:M7212" si="293">IF(L7208=2,LN(B7208),"")</f>
        <v>-12.567474400475287</v>
      </c>
      <c r="N7208">
        <v>1</v>
      </c>
      <c r="O7208" s="15">
        <v>1.2</v>
      </c>
      <c r="P7208">
        <v>1</v>
      </c>
      <c r="Q7208">
        <v>1.01</v>
      </c>
      <c r="R7208">
        <v>1.2</v>
      </c>
      <c r="S7208">
        <v>1.2</v>
      </c>
      <c r="T7208">
        <v>3</v>
      </c>
      <c r="U7208">
        <f t="shared" ref="U7208:U7212" si="294">LN(SQRT(EXP(
SQRT(
+POWER(LN(N7208),2)
+POWER(LN(O7208),2)
+POWER(LN(P7208),2)
+POWER(LN(Q7208),2)
+POWER(LN(R7208),2)
+POWER(LN(S7208),2)
+POWER(LN(T7208),2)
)
)))</f>
        <v>0.57157051623399524</v>
      </c>
    </row>
    <row r="7209" spans="1:22" x14ac:dyDescent="0.2">
      <c r="A7209" s="45" t="str">
        <f>"hydrogen supply, transported by "&amp;B7182&amp;", produced by "&amp;B7186&amp;" using "&amp;B7187&amp;" from "&amp;B7188</f>
        <v>hydrogen supply, transported by train, produced by Electrolysis, PEM using water and electricity from Solar PV (DE)</v>
      </c>
      <c r="B7209" s="53">
        <f>(B7207/B7191)/B7190*B7202</f>
        <v>5.7377346134017029E-2</v>
      </c>
      <c r="C7209" t="s">
        <v>56</v>
      </c>
      <c r="E7209" t="s">
        <v>64</v>
      </c>
      <c r="F7209" t="s">
        <v>86</v>
      </c>
      <c r="G7209" t="str">
        <f>"hydrogen, gaseous, from "&amp;B7182</f>
        <v>hydrogen, gaseous, from train</v>
      </c>
      <c r="H7209" t="s">
        <v>76</v>
      </c>
      <c r="I7209" t="s">
        <v>1054</v>
      </c>
      <c r="J7209" t="s">
        <v>298</v>
      </c>
      <c r="K7209" t="str">
        <f>B7168</f>
        <v>electricity, residential, by conversion of hydrogen using fuel cell, PEM, allocated by exergy, transported by train, produced by Electrolysis, PEM using water and electricity from Solar PV (DE)</v>
      </c>
      <c r="L7209">
        <f t="shared" si="292"/>
        <v>2</v>
      </c>
      <c r="M7209">
        <f t="shared" si="293"/>
        <v>-2.8581057202127536</v>
      </c>
      <c r="N7209">
        <v>1</v>
      </c>
      <c r="O7209" s="15">
        <v>1.2</v>
      </c>
      <c r="P7209">
        <v>1</v>
      </c>
      <c r="Q7209">
        <v>1.01</v>
      </c>
      <c r="R7209">
        <v>1.2</v>
      </c>
      <c r="S7209">
        <v>1.2</v>
      </c>
      <c r="T7209">
        <v>1.05</v>
      </c>
      <c r="U7209">
        <f t="shared" si="294"/>
        <v>0.15984597228197622</v>
      </c>
    </row>
    <row r="7210" spans="1:22" x14ac:dyDescent="0.2">
      <c r="A7210" t="str">
        <f>VLOOKUP(J7210,'dataset mapping'!$A$4:$E$69,2,0)</f>
        <v>market for transport, freight train</v>
      </c>
      <c r="B7210" s="45">
        <f>SUM(B7209:B7209)/1000*B7183*SUMIFS(allocation!$I$4:$I$30,allocation!$B$4:$B$30,'hydrogen - electrolysis'!B7180,allocation!$C$4:$C$30,'hydrogen - electrolysis'!B7181)</f>
        <v>7.9949483932750462E-3</v>
      </c>
      <c r="C7210" t="str">
        <f>VLOOKUP(J7210,'dataset mapping'!$A$4:$E$69,5,0)</f>
        <v>ton kilometer</v>
      </c>
      <c r="E7210" t="str">
        <f>VLOOKUP(J7210,'dataset mapping'!$A$4:$E$69,4,0)</f>
        <v>CH</v>
      </c>
      <c r="F7210" t="s">
        <v>86</v>
      </c>
      <c r="G7210" t="str">
        <f>VLOOKUP(J7210,'dataset mapping'!$A$4:$E$69,3,0)</f>
        <v>transport, freight train</v>
      </c>
      <c r="H7210" t="s">
        <v>88</v>
      </c>
      <c r="I7210" t="s">
        <v>1052</v>
      </c>
      <c r="J7210" t="s">
        <v>295</v>
      </c>
      <c r="K7210" t="str">
        <f>B7168</f>
        <v>electricity, residential, by conversion of hydrogen using fuel cell, PEM, allocated by exergy, transported by train, produced by Electrolysis, PEM using water and electricity from Solar PV (DE)</v>
      </c>
      <c r="L7210">
        <f t="shared" si="292"/>
        <v>2</v>
      </c>
      <c r="M7210">
        <f t="shared" si="293"/>
        <v>-4.8289453875919683</v>
      </c>
      <c r="N7210">
        <v>1</v>
      </c>
      <c r="O7210" s="15">
        <v>1.2</v>
      </c>
      <c r="P7210">
        <v>1</v>
      </c>
      <c r="Q7210">
        <v>1.01</v>
      </c>
      <c r="R7210">
        <v>1.2</v>
      </c>
      <c r="S7210">
        <v>1.2</v>
      </c>
      <c r="T7210">
        <v>2</v>
      </c>
      <c r="U7210">
        <f t="shared" si="294"/>
        <v>0.38087907307228186</v>
      </c>
    </row>
    <row r="7211" spans="1:22" x14ac:dyDescent="0.2">
      <c r="A7211" t="str">
        <f>VLOOKUP(J7211,'dataset mapping'!$A$4:$E$69,2,0)</f>
        <v>high pressure hydrogen storage tank</v>
      </c>
      <c r="B7211" s="52">
        <f>((B7203/10)/(B7201*B7197*20))*IF(B7202&lt;&gt;0,B7202,1)</f>
        <v>5.6622381053306285E-6</v>
      </c>
      <c r="C7211" t="str">
        <f>VLOOKUP(J7211,'dataset mapping'!$A$4:$E$69,5,0)</f>
        <v>kilogram</v>
      </c>
      <c r="E7211" t="str">
        <f>VLOOKUP(J7211,'dataset mapping'!$A$4:$E$69,4,0)</f>
        <v>GLO</v>
      </c>
      <c r="F7211" t="s">
        <v>86</v>
      </c>
      <c r="G7211" t="str">
        <f>VLOOKUP(J7211,'dataset mapping'!$A$4:$E$69,3,0)</f>
        <v>high pressure hydrogen storage tank</v>
      </c>
      <c r="H7211" t="s">
        <v>88</v>
      </c>
      <c r="I7211" t="s">
        <v>280</v>
      </c>
      <c r="J7211" t="s">
        <v>229</v>
      </c>
      <c r="K7211" t="str">
        <f>B7168</f>
        <v>electricity, residential, by conversion of hydrogen using fuel cell, PEM, allocated by exergy, transported by train, produced by Electrolysis, PEM using water and electricity from Solar PV (DE)</v>
      </c>
      <c r="L7211">
        <f t="shared" si="292"/>
        <v>2</v>
      </c>
      <c r="M7211">
        <f t="shared" si="293"/>
        <v>-12.081691318938956</v>
      </c>
      <c r="N7211">
        <v>1</v>
      </c>
      <c r="O7211" s="15">
        <v>1.2</v>
      </c>
      <c r="P7211">
        <v>1</v>
      </c>
      <c r="Q7211">
        <v>1.01</v>
      </c>
      <c r="R7211">
        <v>1.2</v>
      </c>
      <c r="S7211">
        <v>1.2</v>
      </c>
      <c r="T7211">
        <v>3</v>
      </c>
      <c r="U7211">
        <f t="shared" si="294"/>
        <v>0.57157051623399524</v>
      </c>
    </row>
    <row r="7212" spans="1:22" x14ac:dyDescent="0.2">
      <c r="A7212" t="s">
        <v>134</v>
      </c>
      <c r="B7212" s="45">
        <f>B7209*9</f>
        <v>0.51639611520615325</v>
      </c>
      <c r="C7212" t="s">
        <v>56</v>
      </c>
      <c r="D7212" t="s">
        <v>100</v>
      </c>
      <c r="F7212" t="s">
        <v>99</v>
      </c>
      <c r="H7212" t="s">
        <v>131</v>
      </c>
      <c r="I7212" t="s">
        <v>1057</v>
      </c>
      <c r="K7212" t="str">
        <f>B7168</f>
        <v>electricity, residential, by conversion of hydrogen using fuel cell, PEM, allocated by exergy, transported by train, produced by Electrolysis, PEM using water and electricity from Solar PV (DE)</v>
      </c>
      <c r="L7212">
        <f t="shared" si="292"/>
        <v>2</v>
      </c>
      <c r="M7212">
        <f t="shared" si="293"/>
        <v>-0.6608811428765341</v>
      </c>
      <c r="N7212">
        <v>1</v>
      </c>
      <c r="O7212" s="15">
        <v>1.2</v>
      </c>
      <c r="P7212">
        <v>1</v>
      </c>
      <c r="Q7212">
        <v>1.01</v>
      </c>
      <c r="R7212">
        <v>1.2</v>
      </c>
      <c r="S7212">
        <v>1.2</v>
      </c>
      <c r="T7212">
        <v>1.05</v>
      </c>
      <c r="U7212">
        <f t="shared" si="294"/>
        <v>0.15984597228197622</v>
      </c>
    </row>
    <row r="7214" spans="1:22" x14ac:dyDescent="0.2">
      <c r="A7214" s="2" t="s">
        <v>50</v>
      </c>
      <c r="B7214" s="44" t="str">
        <f>IF(B7220="megajoule","heat","electricity")&amp;", residential, by "&amp;B7225&amp;" of "&amp;B7224&amp;" using "&amp;B7226&amp;IF(B7227&lt;&gt;0,", allocated by "&amp;B7227,"")&amp;", transported by "&amp;B7228&amp;", produced by "&amp;B7232&amp;" using "&amp;B7233&amp;" from "&amp;B7234</f>
        <v>electricity, residential, by conversion of hydrogen using fuel cell, SOFC, allocated by exergy, transported by train, produced by Electrolysis, PEM using water and electricity from Solar PV (DE)</v>
      </c>
    </row>
    <row r="7215" spans="1:22" x14ac:dyDescent="0.2">
      <c r="A7215" t="s">
        <v>51</v>
      </c>
      <c r="B7215" s="45" t="str">
        <f>"This dataset represents the supply of 1 "&amp;IF(B7220="megajoule","megajoule of heat","kilowatt hour of electricity")&amp;" in a residence, by "&amp;B7224&amp;" "&amp;B7225&amp;" in a "&amp;B7226&amp;". "&amp;" The hydrogen is transported by "&amp;B7228&amp;" over "&amp;B7229&amp;" km from regional storage. "&amp;" The "&amp;B7224&amp;" is produced by  "&amp;B7232&amp;", with "&amp;B7233&amp;" from "&amp;B7234&amp;" as feedstock. "&amp;A7236&amp;": "&amp;(B7236*100)&amp;"%. "&amp;A7237&amp;": "&amp;B7237&amp;". "&amp;A7238&amp;": "&amp;B7238&amp;". "&amp;A7239&amp;": "&amp;(B7239*100)&amp;"%. "&amp;A7240&amp;": "&amp;(B7240*100)&amp;"%. "&amp;A7241&amp;": "&amp;(B7241*100)&amp;"%. "&amp;A7242&amp;": "&amp;B7242&amp;". "&amp;A7243&amp;": "&amp;B7243&amp;". "&amp;A7244&amp;": "&amp;(B7244*100)&amp;"%. "&amp;A7245&amp;": "&amp;B7245&amp;". "&amp;A7246&amp;": "&amp;B7246&amp;". "&amp;A7247&amp;": "&amp;B7247&amp;". "&amp;A7248&amp;": "&amp;B7248&amp;".  For more information, refer to: "&amp;B7216</f>
        <v>This dataset represents the supply of 1 kilowatt hour of electricity in a residence, by hydrogen conversion in a fuel cell, SOFC.  The hydrogen is transported by train over 1000 km from regional storage.  The hydrogen is produced by  Electrolysis, PEM,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7216" spans="1:22" x14ac:dyDescent="0.2">
      <c r="A7216" t="s">
        <v>63</v>
      </c>
      <c r="B7216" s="45" t="s">
        <v>1223</v>
      </c>
    </row>
    <row r="7217" spans="1:2" x14ac:dyDescent="0.2">
      <c r="A7217" t="s">
        <v>52</v>
      </c>
      <c r="B7217" s="45" t="s">
        <v>64</v>
      </c>
    </row>
    <row r="7218" spans="1:2" x14ac:dyDescent="0.2">
      <c r="A7218" t="s">
        <v>48</v>
      </c>
      <c r="B7218" s="45" t="s">
        <v>930</v>
      </c>
    </row>
    <row r="7219" spans="1:2" x14ac:dyDescent="0.2">
      <c r="A7219" t="s">
        <v>54</v>
      </c>
      <c r="B7219" s="45" t="str">
        <f>INDEX(overview!$B$4:$R$338,MATCH('hydrogen - electrolysis'!B7218,overview!$A$4:$A$338,0),MATCH('hydrogen - electrolysis'!A7219,overview!$B$3:$R$3,0))</f>
        <v>electricity, from residential heating system</v>
      </c>
    </row>
    <row r="7220" spans="1:2" x14ac:dyDescent="0.2">
      <c r="A7220" t="s">
        <v>55</v>
      </c>
      <c r="B7220" s="45" t="str">
        <f>INDEX(overview!$B$4:$R$338,MATCH('hydrogen - electrolysis'!B7218,overview!$A$4:$A$338,0),MATCH('hydrogen - electrolysis'!A7220,overview!$B$3:$R$3,0))</f>
        <v>kilowatt hour</v>
      </c>
    </row>
    <row r="7221" spans="1:2" x14ac:dyDescent="0.2">
      <c r="A7221" t="s">
        <v>0</v>
      </c>
      <c r="B7221" s="45" t="str">
        <f>INDEX(overview!$B$4:$R$338,MATCH('hydrogen - electrolysis'!B7218,overview!$A$4:$A$338,0),MATCH('hydrogen - electrolysis'!A7221,overview!$B$3:$R$3,0))</f>
        <v>Switzerland</v>
      </c>
    </row>
    <row r="7222" spans="1:2" x14ac:dyDescent="0.2">
      <c r="A7222" t="s">
        <v>1</v>
      </c>
      <c r="B7222" s="45">
        <f>INDEX(overview!$B$4:$R$338,MATCH('hydrogen - electrolysis'!B7218,overview!$A$4:$A$338,0),MATCH('hydrogen - electrolysis'!A7222,overview!$B$3:$R$3,0))</f>
        <v>2020</v>
      </c>
    </row>
    <row r="7223" spans="1:2" x14ac:dyDescent="0.2">
      <c r="A7223" t="s">
        <v>2</v>
      </c>
      <c r="B7223" s="45" t="str">
        <f>INDEX(overview!$B$4:$R$338,MATCH('hydrogen - electrolysis'!B7218,overview!$A$4:$A$338,0),MATCH('hydrogen - electrolysis'!A7223,overview!$B$3:$R$3,0))</f>
        <v>1 kWh electricity</v>
      </c>
    </row>
    <row r="7224" spans="1:2" x14ac:dyDescent="0.2">
      <c r="A7224" t="s">
        <v>5</v>
      </c>
      <c r="B7224" s="45" t="str">
        <f>INDEX(overview!$B$4:$R$338,MATCH('hydrogen - electrolysis'!B7218,overview!$A$4:$A$338,0),MATCH('hydrogen - electrolysis'!A7224,overview!$B$3:$R$3,0))</f>
        <v>hydrogen</v>
      </c>
    </row>
    <row r="7225" spans="1:2" x14ac:dyDescent="0.2">
      <c r="A7225" t="s">
        <v>3</v>
      </c>
      <c r="B7225" s="45" t="str">
        <f>INDEX(overview!$B$4:$R$338,MATCH('hydrogen - electrolysis'!B7218,overview!$A$4:$A$338,0),MATCH('hydrogen - electrolysis'!A7225,overview!$B$3:$R$3,0))</f>
        <v>conversion</v>
      </c>
    </row>
    <row r="7226" spans="1:2" x14ac:dyDescent="0.2">
      <c r="A7226" t="s">
        <v>6</v>
      </c>
      <c r="B7226" s="45" t="str">
        <f>INDEX(overview!$B$4:$R$338,MATCH('hydrogen - electrolysis'!B7218,overview!$A$4:$A$338,0),MATCH('hydrogen - electrolysis'!A7226,overview!$B$3:$R$3,0))</f>
        <v>fuel cell, SOFC</v>
      </c>
    </row>
    <row r="7227" spans="1:2" x14ac:dyDescent="0.2">
      <c r="A7227" t="s">
        <v>39</v>
      </c>
      <c r="B7227" s="45" t="str">
        <f>INDEX(overview!$B$4:$R$338,MATCH('hydrogen - electrolysis'!B7218,overview!$A$4:$A$338,0),MATCH('hydrogen - electrolysis'!A7227,overview!$B$3:$R$3,0))</f>
        <v>exergy</v>
      </c>
    </row>
    <row r="7228" spans="1:2" x14ac:dyDescent="0.2">
      <c r="A7228" t="s">
        <v>4</v>
      </c>
      <c r="B7228" s="45" t="str">
        <f>INDEX(overview!$B$4:$R$338,MATCH('hydrogen - electrolysis'!B7218,overview!$A$4:$A$338,0),MATCH('hydrogen - electrolysis'!A7228,overview!$B$3:$R$3,0))</f>
        <v>train</v>
      </c>
    </row>
    <row r="7229" spans="1:2" x14ac:dyDescent="0.2">
      <c r="A7229" t="s">
        <v>38</v>
      </c>
      <c r="B7229" s="45">
        <f>INDEX(overview!$B$4:$R$338,MATCH('hydrogen - electrolysis'!B7218,overview!$A$4:$A$338,0),MATCH('hydrogen - electrolysis'!A7229,overview!$B$3:$R$3,0))</f>
        <v>1000</v>
      </c>
    </row>
    <row r="7230" spans="1:2" x14ac:dyDescent="0.2">
      <c r="A7230" t="s">
        <v>12</v>
      </c>
      <c r="B7230" s="45" t="str">
        <f>INDEX(overview!$B$4:$R$338,MATCH('hydrogen - electrolysis'!B7218,overview!$A$4:$A$338,0),MATCH('hydrogen - electrolysis'!A7230,overview!$B$3:$R$3,0))</f>
        <v>Pressure vessel for stationary storage</v>
      </c>
    </row>
    <row r="7231" spans="1:2" x14ac:dyDescent="0.2">
      <c r="A7231" t="s">
        <v>34</v>
      </c>
      <c r="B7231" s="45">
        <f>INDEX(overview!$B$4:$R$338,MATCH('hydrogen - electrolysis'!B7218,overview!$A$4:$A$338,0),MATCH('hydrogen - electrolysis'!A7231,overview!$B$3:$R$3,0))</f>
        <v>0</v>
      </c>
    </row>
    <row r="7232" spans="1:2" x14ac:dyDescent="0.2">
      <c r="A7232" t="s">
        <v>15</v>
      </c>
      <c r="B7232" s="45" t="str">
        <f>INDEX(overview!$B$4:$R$338,MATCH('hydrogen - electrolysis'!B7218,overview!$A$4:$A$338,0),MATCH('hydrogen - electrolysis'!A7232,overview!$B$3:$R$3,0))</f>
        <v>Electrolysis, PEM</v>
      </c>
    </row>
    <row r="7233" spans="1:4" x14ac:dyDescent="0.2">
      <c r="A7233" t="s">
        <v>14</v>
      </c>
      <c r="B7233" s="45" t="str">
        <f>INDEX(overview!$B$4:$R$338,MATCH('hydrogen - electrolysis'!B7218,overview!$A$4:$A$338,0),MATCH('hydrogen - electrolysis'!A7233,overview!$B$3:$R$3,0))</f>
        <v>water and electricity</v>
      </c>
    </row>
    <row r="7234" spans="1:4" x14ac:dyDescent="0.2">
      <c r="A7234" t="s">
        <v>26</v>
      </c>
      <c r="B7234" s="45" t="str">
        <f>INDEX(overview!$B$4:$R$338,MATCH('hydrogen - electrolysis'!B7218,overview!$A$4:$A$338,0),MATCH('hydrogen - electrolysis'!A7234,overview!$B$3:$R$3,0))</f>
        <v>Solar PV (DE)</v>
      </c>
    </row>
    <row r="7235" spans="1:4" x14ac:dyDescent="0.2">
      <c r="A7235" t="s">
        <v>29</v>
      </c>
      <c r="B7235" s="45">
        <f>INDEX(overview!$B$4:$R$338,MATCH('hydrogen - electrolysis'!B7218,overview!$A$4:$A$338,0),MATCH('hydrogen - electrolysis'!A7235,overview!$B$3:$R$3,0))</f>
        <v>0</v>
      </c>
    </row>
    <row r="7236" spans="1:4" x14ac:dyDescent="0.2">
      <c r="A7236" t="str">
        <f>IF(B7220="megajoule","Heat","Electricity")&amp;" conversion efficiency [% LHV input]"</f>
        <v>Electricity conversion efficiency [% LHV input]</v>
      </c>
      <c r="B7236" s="46">
        <f>INDEX(parameters!$D$4:$N$20,MATCH('hydrogen - electrolysis'!B7224&amp;'hydrogen - electrolysis'!B7226,parameters!$A$4:$A$20,0),MATCH('hydrogen - electrolysis'!A7236,parameters!$D$3:$N$3,0))</f>
        <v>0.47</v>
      </c>
    </row>
    <row r="7237" spans="1:4" x14ac:dyDescent="0.2">
      <c r="A7237" t="str">
        <f>IF(B7220="megajoule","LHV [MJ/kg]","LHV [kWh/kg]")</f>
        <v>LHV [kWh/kg]</v>
      </c>
      <c r="B7237" s="47">
        <f>INDEX(parameters!$D$4:$N$20,MATCH('hydrogen - electrolysis'!B7224&amp;'hydrogen - electrolysis'!B7226,parameters!$A$4:$A$20,0),MATCH('hydrogen - electrolysis'!A7237,parameters!$D$3:$N$3,0))</f>
        <v>33.333333333333336</v>
      </c>
    </row>
    <row r="7238" spans="1:4" x14ac:dyDescent="0.2">
      <c r="A7238" t="s">
        <v>41</v>
      </c>
      <c r="B7238" s="48">
        <f>INDEX(parameters!$D$4:$N$20,MATCH('hydrogen - electrolysis'!B7224&amp;'hydrogen - electrolysis'!B7226,parameters!$A$4:$A$20,0),MATCH('hydrogen - electrolysis'!A7238,parameters!$D$3:$N$3,0))</f>
        <v>2.6666666666666665E-2</v>
      </c>
    </row>
    <row r="7239" spans="1:4" x14ac:dyDescent="0.2">
      <c r="A7239" t="s">
        <v>45</v>
      </c>
      <c r="B7239" s="46">
        <f>INDEX(parameters!$D$4:$N$20,MATCH('hydrogen - electrolysis'!B7224&amp;'hydrogen - electrolysis'!B7226,parameters!$A$4:$A$20,0),MATCH('hydrogen - electrolysis'!A7239,parameters!$D$3:$N$3,0))</f>
        <v>0</v>
      </c>
    </row>
    <row r="7240" spans="1:4" x14ac:dyDescent="0.2">
      <c r="A7240" t="s">
        <v>46</v>
      </c>
      <c r="B7240" s="46">
        <f>INDEX(parameters!$D$4:$N$20,MATCH('hydrogen - electrolysis'!B7224&amp;'hydrogen - electrolysis'!B7226,parameters!$A$4:$A$20,0),MATCH('hydrogen - electrolysis'!A7240,parameters!$D$3:$N$3,0))</f>
        <v>1.4999999999999999E-2</v>
      </c>
    </row>
    <row r="7241" spans="1:4" x14ac:dyDescent="0.2">
      <c r="A7241" t="s">
        <v>43</v>
      </c>
      <c r="B7241" s="46">
        <f>INDEX(parameters!$D$4:$N$20,MATCH('hydrogen - electrolysis'!B7224&amp;'hydrogen - electrolysis'!B7226,parameters!$A$4:$A$20,0),MATCH('hydrogen - electrolysis'!A7241,parameters!$D$3:$N$3,0))</f>
        <v>0</v>
      </c>
    </row>
    <row r="7242" spans="1:4" x14ac:dyDescent="0.2">
      <c r="A7242" t="s">
        <v>44</v>
      </c>
      <c r="B7242" s="46">
        <f>INDEX(parameters!$D$4:$N$20,MATCH('hydrogen - electrolysis'!B7224&amp;'hydrogen - electrolysis'!B7226,parameters!$A$4:$A$20,0),MATCH('hydrogen - electrolysis'!A7242,parameters!$D$3:$N$3,0))</f>
        <v>0</v>
      </c>
    </row>
    <row r="7243" spans="1:4" x14ac:dyDescent="0.2">
      <c r="A7243" t="s">
        <v>634</v>
      </c>
      <c r="B7243" s="51">
        <f>INDEX(parameters!$D$4:$Y$20,MATCH('hydrogen - electrolysis'!B7224&amp;'hydrogen - electrolysis'!B7226,parameters!$A$4:$A$20,0),MATCH('hydrogen - electrolysis'!A7243,parameters!$D$3:$Y$3,0))</f>
        <v>225</v>
      </c>
      <c r="D7243" s="8"/>
    </row>
    <row r="7244" spans="1:4" x14ac:dyDescent="0.2">
      <c r="A7244" t="s">
        <v>82</v>
      </c>
      <c r="B7244" s="46">
        <f>IF(B7235&lt;&gt;0,VLOOKUP(B7235,parameters!A4661:B4663,2,0),0)</f>
        <v>0</v>
      </c>
    </row>
    <row r="7245" spans="1:4" x14ac:dyDescent="0.2">
      <c r="A7245" t="s">
        <v>548</v>
      </c>
      <c r="B7245" s="50">
        <f>INDEX(parameters!$D$4:$P$20,MATCH(B7224&amp;B7226,parameters!$A$4:$A$20,0),MATCH(A7245,parameters!$D$3:$P$3,0))</f>
        <v>100</v>
      </c>
    </row>
    <row r="7246" spans="1:4" x14ac:dyDescent="0.2">
      <c r="A7246" t="s">
        <v>547</v>
      </c>
      <c r="B7246" s="51">
        <f>INDEX(parameters!$D$4:$P$20,MATCH(B7224&amp;B7226,parameters!$A$4:$A$20,0),MATCH(A7246,parameters!$D$3:$P$3,0))</f>
        <v>6</v>
      </c>
    </row>
    <row r="7247" spans="1:4" x14ac:dyDescent="0.2">
      <c r="A7247" t="s">
        <v>630</v>
      </c>
      <c r="B7247" s="51">
        <f>INDEX(parameters!$D$4:$T$20,MATCH(B7224&amp;B7226,parameters!$A$4:$A$20,0),MATCH(A7247,parameters!$D$3:$T$3,0))</f>
        <v>4100</v>
      </c>
    </row>
    <row r="7248" spans="1:4" x14ac:dyDescent="0.2">
      <c r="A7248" t="s">
        <v>1005</v>
      </c>
      <c r="B7248" s="50">
        <f>IF(B7220="megajoule",SUMIFS(allocation!$I$4:$I$30,allocation!$B$4:$B$30,B7226,allocation!$C$4:$C$30,B7227),SUMIFS(allocation!$J$4:$J$30,allocation!$B$4:$B$30,B7226,allocation!$C$4:$C$30,B7227))</f>
        <v>0.86412493489600906</v>
      </c>
    </row>
    <row r="7249" spans="1:22" x14ac:dyDescent="0.2">
      <c r="A7249" t="s">
        <v>1050</v>
      </c>
      <c r="B7249" s="51">
        <f>INDEX(parameters!$D$4:$AB$20,MATCH(B7224&amp;B7226,parameters!$A$4:$A$20,0),MATCH(A7249,parameters!$D$3:$AB$3,0))</f>
        <v>1153.1249999999998</v>
      </c>
    </row>
    <row r="7251" spans="1:22" x14ac:dyDescent="0.2">
      <c r="A7251" s="3" t="s">
        <v>57</v>
      </c>
    </row>
    <row r="7252" spans="1:22" x14ac:dyDescent="0.2">
      <c r="A7252" s="2" t="s">
        <v>58</v>
      </c>
      <c r="B7252" s="44" t="s">
        <v>59</v>
      </c>
      <c r="C7252" s="2" t="s">
        <v>55</v>
      </c>
      <c r="D7252" s="2" t="s">
        <v>60</v>
      </c>
      <c r="E7252" s="2" t="s">
        <v>52</v>
      </c>
      <c r="F7252" s="2" t="s">
        <v>61</v>
      </c>
      <c r="G7252" s="2" t="s">
        <v>54</v>
      </c>
      <c r="H7252" s="2" t="s">
        <v>87</v>
      </c>
      <c r="I7252" s="2" t="s">
        <v>51</v>
      </c>
      <c r="J7252" s="2" t="s">
        <v>138</v>
      </c>
      <c r="K7252" s="2" t="s">
        <v>136</v>
      </c>
      <c r="L7252" s="2" t="s">
        <v>221</v>
      </c>
      <c r="M7252" s="2" t="s">
        <v>379</v>
      </c>
      <c r="N7252" s="2" t="s">
        <v>1059</v>
      </c>
      <c r="O7252" s="2" t="s">
        <v>1060</v>
      </c>
      <c r="P7252" s="2" t="s">
        <v>1061</v>
      </c>
      <c r="Q7252" s="2" t="s">
        <v>1062</v>
      </c>
      <c r="R7252" s="2" t="s">
        <v>1063</v>
      </c>
      <c r="S7252" s="2" t="s">
        <v>1064</v>
      </c>
      <c r="T7252" s="2" t="s">
        <v>1065</v>
      </c>
      <c r="U7252" s="2" t="s">
        <v>380</v>
      </c>
      <c r="V7252" s="2" t="s">
        <v>1128</v>
      </c>
    </row>
    <row r="7253" spans="1:22" x14ac:dyDescent="0.2">
      <c r="A7253" t="str">
        <f>B7214</f>
        <v>electricity, residential, by conversion of hydrogen using fuel cell, SOFC, allocated by exergy, transported by train, produced by Electrolysis, PEM using water and electricity from Solar PV (DE)</v>
      </c>
      <c r="B7253" s="45">
        <v>1</v>
      </c>
      <c r="C7253" t="str">
        <f>B7220</f>
        <v>kilowatt hour</v>
      </c>
      <c r="E7253" t="str">
        <f>B7217</f>
        <v>CH</v>
      </c>
      <c r="F7253" t="s">
        <v>62</v>
      </c>
      <c r="G7253" t="str">
        <f>B7219</f>
        <v>electricity, from residential heating system</v>
      </c>
      <c r="K7253" t="str">
        <f>B7214</f>
        <v>electricity, residential, by conversion of hydrogen using fuel cell, SOFC, allocated by exergy, transported by train, produced by Electrolysis, PEM using water and electricity from Solar PV (DE)</v>
      </c>
    </row>
    <row r="7254" spans="1:22" x14ac:dyDescent="0.2">
      <c r="A7254" t="str">
        <f>VLOOKUP(J7254,'dataset mapping'!$A$4:$E$69,2,0)</f>
        <v>fuel cell production, stack solid oxide, 125kW electrical, future</v>
      </c>
      <c r="B7254" s="52">
        <f>(1/(B7243*B7247*B7246))*B7248</f>
        <v>1.5612013277254003E-7</v>
      </c>
      <c r="C7254" t="str">
        <f>VLOOKUP(J7254,'dataset mapping'!$A$4:$E$69,5,0)</f>
        <v>unit</v>
      </c>
      <c r="E7254" t="str">
        <f>VLOOKUP(J7254,'dataset mapping'!$A$4:$E$69,4,0)</f>
        <v>CH</v>
      </c>
      <c r="F7254" t="s">
        <v>86</v>
      </c>
      <c r="G7254" t="str">
        <f>VLOOKUP(J7254,'dataset mapping'!$A$4:$E$69,3,0)</f>
        <v>fuel cell, stack solid oxide, 125kW electrical, future</v>
      </c>
      <c r="H7254" t="s">
        <v>88</v>
      </c>
      <c r="I7254" t="s">
        <v>277</v>
      </c>
      <c r="J7254" t="s">
        <v>274</v>
      </c>
      <c r="K7254" t="str">
        <f>B7214</f>
        <v>electricity, residential, by conversion of hydrogen using fuel cell, SOFC, allocated by exergy, transported by train, produced by Electrolysis, PEM using water and electricity from Solar PV (DE)</v>
      </c>
      <c r="L7254">
        <f t="shared" ref="L7254:L7260" si="295">IF(OR(B7254&lt;0,B7254=0),1,2)</f>
        <v>2</v>
      </c>
      <c r="M7254">
        <f t="shared" ref="M7254:M7260" si="296">IF(L7254=2,LN(B7254),"")</f>
        <v>-15.672640044182527</v>
      </c>
      <c r="N7254">
        <v>1</v>
      </c>
      <c r="O7254" s="15">
        <v>1.2</v>
      </c>
      <c r="P7254">
        <v>1</v>
      </c>
      <c r="Q7254">
        <v>1.01</v>
      </c>
      <c r="R7254">
        <v>1.2</v>
      </c>
      <c r="S7254">
        <v>1.2</v>
      </c>
      <c r="T7254">
        <v>3</v>
      </c>
      <c r="U7254">
        <f t="shared" ref="U7254:U7260" si="297">LN(SQRT(EXP(
SQRT(
+POWER(LN(N7254),2)
+POWER(LN(O7254),2)
+POWER(LN(P7254),2)
+POWER(LN(Q7254),2)
+POWER(LN(R7254),2)
+POWER(LN(S7254),2)
+POWER(LN(T7254),2)
)
)))</f>
        <v>0.57157051623399524</v>
      </c>
    </row>
    <row r="7255" spans="1:22" x14ac:dyDescent="0.2">
      <c r="A7255" t="s">
        <v>283</v>
      </c>
      <c r="B7255" s="52">
        <f>(1/(B7243*B7247*B7246))*B7248</f>
        <v>1.5612013277254003E-7</v>
      </c>
      <c r="C7255" t="s">
        <v>55</v>
      </c>
      <c r="E7255" t="s">
        <v>64</v>
      </c>
      <c r="F7255" t="s">
        <v>86</v>
      </c>
      <c r="G7255" t="s">
        <v>284</v>
      </c>
      <c r="H7255" t="s">
        <v>88</v>
      </c>
      <c r="I7255" t="s">
        <v>277</v>
      </c>
      <c r="K7255" t="str">
        <f>B7214</f>
        <v>electricity, residential, by conversion of hydrogen using fuel cell, SOFC, allocated by exergy, transported by train, produced by Electrolysis, PEM using water and electricity from Solar PV (DE)</v>
      </c>
      <c r="L7255">
        <f t="shared" si="295"/>
        <v>2</v>
      </c>
      <c r="M7255">
        <f t="shared" si="296"/>
        <v>-15.672640044182527</v>
      </c>
      <c r="N7255">
        <v>1</v>
      </c>
      <c r="O7255" s="15">
        <v>1.2</v>
      </c>
      <c r="P7255">
        <v>1</v>
      </c>
      <c r="Q7255">
        <v>1.01</v>
      </c>
      <c r="R7255">
        <v>1.2</v>
      </c>
      <c r="S7255">
        <v>1.2</v>
      </c>
      <c r="T7255">
        <v>3</v>
      </c>
      <c r="U7255">
        <f t="shared" si="297"/>
        <v>0.57157051623399524</v>
      </c>
    </row>
    <row r="7256" spans="1:22" x14ac:dyDescent="0.2">
      <c r="A7256" t="s">
        <v>288</v>
      </c>
      <c r="B7256" s="52">
        <f>0.000024*B7248</f>
        <v>2.0738998437504217E-5</v>
      </c>
      <c r="C7256" t="s">
        <v>56</v>
      </c>
      <c r="E7256" t="s">
        <v>64</v>
      </c>
      <c r="F7256" t="s">
        <v>86</v>
      </c>
      <c r="G7256" t="s">
        <v>287</v>
      </c>
      <c r="H7256" t="s">
        <v>88</v>
      </c>
      <c r="K7256" t="str">
        <f>B7214</f>
        <v>electricity, residential, by conversion of hydrogen using fuel cell, SOFC, allocated by exergy, transported by train, produced by Electrolysis, PEM using water and electricity from Solar PV (DE)</v>
      </c>
      <c r="L7256">
        <f t="shared" si="295"/>
        <v>2</v>
      </c>
      <c r="M7256">
        <f t="shared" si="296"/>
        <v>-10.783494647673981</v>
      </c>
      <c r="N7256">
        <v>1</v>
      </c>
      <c r="O7256" s="15">
        <v>1.2</v>
      </c>
      <c r="P7256">
        <v>1</v>
      </c>
      <c r="Q7256">
        <v>1.01</v>
      </c>
      <c r="R7256">
        <v>1.2</v>
      </c>
      <c r="S7256">
        <v>1.2</v>
      </c>
      <c r="T7256">
        <v>1.05</v>
      </c>
      <c r="U7256">
        <f t="shared" si="297"/>
        <v>0.15984597228197622</v>
      </c>
    </row>
    <row r="7257" spans="1:22" x14ac:dyDescent="0.2">
      <c r="A7257" s="45" t="str">
        <f>"hydrogen supply, transported by "&amp;B7228&amp;", produced by "&amp;B7232&amp;" using "&amp;B7233&amp;" from "&amp;B7234</f>
        <v>hydrogen supply, transported by train, produced by Electrolysis, PEM using water and electricity from Solar PV (DE)</v>
      </c>
      <c r="B7257" s="53">
        <f>(B7253/B7237)/B7236*B7248</f>
        <v>5.515691073804313E-2</v>
      </c>
      <c r="C7257" t="s">
        <v>56</v>
      </c>
      <c r="E7257" t="s">
        <v>64</v>
      </c>
      <c r="F7257" t="s">
        <v>86</v>
      </c>
      <c r="G7257" t="str">
        <f>"hydrogen, gaseous, from "&amp;B7228</f>
        <v>hydrogen, gaseous, from train</v>
      </c>
      <c r="H7257" t="s">
        <v>76</v>
      </c>
      <c r="I7257" t="s">
        <v>1054</v>
      </c>
      <c r="J7257" t="s">
        <v>298</v>
      </c>
      <c r="K7257" t="str">
        <f>B7214</f>
        <v>electricity, residential, by conversion of hydrogen using fuel cell, SOFC, allocated by exergy, transported by train, produced by Electrolysis, PEM using water and electricity from Solar PV (DE)</v>
      </c>
      <c r="L7257">
        <f t="shared" si="295"/>
        <v>2</v>
      </c>
      <c r="M7257">
        <f t="shared" si="296"/>
        <v>-2.8975732330996009</v>
      </c>
      <c r="N7257">
        <v>1</v>
      </c>
      <c r="O7257" s="15">
        <v>1.2</v>
      </c>
      <c r="P7257">
        <v>1</v>
      </c>
      <c r="Q7257">
        <v>1.01</v>
      </c>
      <c r="R7257">
        <v>1.2</v>
      </c>
      <c r="S7257">
        <v>1.2</v>
      </c>
      <c r="T7257">
        <v>1.05</v>
      </c>
      <c r="U7257">
        <f t="shared" si="297"/>
        <v>0.15984597228197622</v>
      </c>
    </row>
    <row r="7258" spans="1:22" x14ac:dyDescent="0.2">
      <c r="A7258" t="str">
        <f>VLOOKUP(J7258,'dataset mapping'!$A$4:$E$69,2,0)</f>
        <v>market for transport, freight train</v>
      </c>
      <c r="B7258" s="45">
        <f>SUM(B7257:B7257)/1000*B7229</f>
        <v>5.515691073804313E-2</v>
      </c>
      <c r="C7258" t="str">
        <f>VLOOKUP(J7258,'dataset mapping'!$A$4:$E$69,5,0)</f>
        <v>ton kilometer</v>
      </c>
      <c r="E7258" t="str">
        <f>VLOOKUP(J7258,'dataset mapping'!$A$4:$E$69,4,0)</f>
        <v>CH</v>
      </c>
      <c r="F7258" t="s">
        <v>86</v>
      </c>
      <c r="G7258" t="str">
        <f>VLOOKUP(J7258,'dataset mapping'!$A$4:$E$69,3,0)</f>
        <v>transport, freight train</v>
      </c>
      <c r="H7258" t="s">
        <v>88</v>
      </c>
      <c r="I7258" t="s">
        <v>1052</v>
      </c>
      <c r="J7258" t="s">
        <v>295</v>
      </c>
      <c r="K7258" t="str">
        <f>B7214</f>
        <v>electricity, residential, by conversion of hydrogen using fuel cell, SOFC, allocated by exergy, transported by train, produced by Electrolysis, PEM using water and electricity from Solar PV (DE)</v>
      </c>
      <c r="L7258">
        <f t="shared" si="295"/>
        <v>2</v>
      </c>
      <c r="M7258">
        <f t="shared" si="296"/>
        <v>-2.8975732330996009</v>
      </c>
      <c r="N7258">
        <v>1</v>
      </c>
      <c r="O7258" s="15">
        <v>1.2</v>
      </c>
      <c r="P7258">
        <v>1</v>
      </c>
      <c r="Q7258">
        <v>1.01</v>
      </c>
      <c r="R7258">
        <v>1.2</v>
      </c>
      <c r="S7258">
        <v>1.2</v>
      </c>
      <c r="T7258">
        <v>2</v>
      </c>
      <c r="U7258">
        <f t="shared" si="297"/>
        <v>0.38087907307228186</v>
      </c>
    </row>
    <row r="7259" spans="1:22" x14ac:dyDescent="0.2">
      <c r="A7259" t="str">
        <f>VLOOKUP(J7259,'dataset mapping'!$A$4:$E$69,2,0)</f>
        <v>high pressure hydrogen storage tank</v>
      </c>
      <c r="B7259" s="52">
        <f>((B7249/10)/(B7247*B7243*20))*IF(B7248&lt;&gt;0,B7248,1)</f>
        <v>5.400780843100055E-6</v>
      </c>
      <c r="C7259" t="str">
        <f>VLOOKUP(J7259,'dataset mapping'!$A$4:$E$69,5,0)</f>
        <v>kilogram</v>
      </c>
      <c r="E7259" t="str">
        <f>VLOOKUP(J7259,'dataset mapping'!$A$4:$E$69,4,0)</f>
        <v>GLO</v>
      </c>
      <c r="F7259" t="s">
        <v>86</v>
      </c>
      <c r="G7259" t="str">
        <f>VLOOKUP(J7259,'dataset mapping'!$A$4:$E$69,3,0)</f>
        <v>high pressure hydrogen storage tank</v>
      </c>
      <c r="H7259" t="s">
        <v>88</v>
      </c>
      <c r="I7259" t="s">
        <v>230</v>
      </c>
      <c r="J7259" t="s">
        <v>229</v>
      </c>
      <c r="K7259" t="str">
        <f>B7214</f>
        <v>electricity, residential, by conversion of hydrogen using fuel cell, SOFC, allocated by exergy, transported by train, produced by Electrolysis, PEM using water and electricity from Solar PV (DE)</v>
      </c>
      <c r="L7259">
        <f t="shared" si="295"/>
        <v>2</v>
      </c>
      <c r="M7259">
        <f t="shared" si="296"/>
        <v>-12.128967014273616</v>
      </c>
      <c r="N7259">
        <v>1</v>
      </c>
      <c r="O7259" s="15">
        <v>1.2</v>
      </c>
      <c r="P7259">
        <v>1</v>
      </c>
      <c r="Q7259">
        <v>1.01</v>
      </c>
      <c r="R7259">
        <v>1.2</v>
      </c>
      <c r="S7259">
        <v>1.2</v>
      </c>
      <c r="T7259">
        <v>3</v>
      </c>
      <c r="U7259">
        <f t="shared" si="297"/>
        <v>0.57157051623399524</v>
      </c>
    </row>
    <row r="7260" spans="1:22" x14ac:dyDescent="0.2">
      <c r="A7260" t="s">
        <v>134</v>
      </c>
      <c r="B7260" s="45">
        <f>B7257*9</f>
        <v>0.49641219664238817</v>
      </c>
      <c r="C7260" t="s">
        <v>56</v>
      </c>
      <c r="D7260" t="s">
        <v>100</v>
      </c>
      <c r="F7260" t="s">
        <v>99</v>
      </c>
      <c r="H7260" t="s">
        <v>131</v>
      </c>
      <c r="I7260" t="s">
        <v>1057</v>
      </c>
      <c r="K7260" t="str">
        <f>B7214</f>
        <v>electricity, residential, by conversion of hydrogen using fuel cell, SOFC, allocated by exergy, transported by train, produced by Electrolysis, PEM using water and electricity from Solar PV (DE)</v>
      </c>
      <c r="L7260">
        <f t="shared" si="295"/>
        <v>2</v>
      </c>
      <c r="M7260">
        <f t="shared" si="296"/>
        <v>-0.70034865576338168</v>
      </c>
      <c r="N7260">
        <v>1</v>
      </c>
      <c r="O7260" s="15">
        <v>1.2</v>
      </c>
      <c r="P7260">
        <v>1</v>
      </c>
      <c r="Q7260">
        <v>1.01</v>
      </c>
      <c r="R7260">
        <v>1.2</v>
      </c>
      <c r="S7260">
        <v>1.2</v>
      </c>
      <c r="T7260">
        <v>1.05</v>
      </c>
      <c r="U7260">
        <f t="shared" si="297"/>
        <v>0.15984597228197622</v>
      </c>
    </row>
    <row r="7263" spans="1:22" x14ac:dyDescent="0.2">
      <c r="A7263" s="2" t="s">
        <v>50</v>
      </c>
      <c r="B7263" s="44" t="str">
        <f>IF(B7269="megajoule","heat","electricity")&amp;", residential, by "&amp;B7274&amp;" of "&amp;B7273&amp;" using "&amp;B7275&amp;IF(B7276&lt;&gt;0,", allocated by "&amp;B7276,"")&amp;", transported by "&amp;B7277&amp;", produced by "&amp;B7281&amp;" using "&amp;B7282&amp;" from "&amp;B7283</f>
        <v>heat, residential, by combustion of hydrogen using boiler, transported by pipeline, produced by Electrolysis, SOEC using water and electricity from Solar PV (DE)</v>
      </c>
    </row>
    <row r="7264" spans="1:22" x14ac:dyDescent="0.2">
      <c r="A7264" t="s">
        <v>51</v>
      </c>
      <c r="B7264" s="45" t="str">
        <f>"This dataset represents the supply of 1 "&amp;IF(B7269="megajoule","megajoule of heat","kilowatt hour of electricity")&amp;" in a residence, by "&amp;B7273&amp;" "&amp;B7274&amp;" in a "&amp;B7275&amp;". "&amp;" The hydrogen is transported by "&amp;B7277&amp;" over "&amp;B7278&amp;" km from regional storage. "&amp;" The "&amp;B7273&amp;" is produced by  "&amp;B7281&amp;", with "&amp;B7282&amp;" from "&amp;B7283&amp;" as feedstock. "&amp;A7285&amp;": "&amp;(B7285*100)&amp;"%. "&amp;A7286&amp;": "&amp;B7286&amp;". "&amp;A7287&amp;": "&amp;B7287&amp;". "&amp;A7288&amp;": "&amp;(B7288*100)&amp;"%. "&amp;A7289&amp;": "&amp;(B7289*100)&amp;"%. "&amp;A7290&amp;": "&amp;(B7290*100)&amp;"%. "&amp;A7291&amp;": "&amp;B7291&amp;". "&amp;A7292&amp;": "&amp;B7292&amp;". "&amp;A7293&amp;": "&amp;(B7293*100)&amp;"%. "&amp;A7294&amp;": "&amp;B7294&amp;". "&amp;A7295&amp;": "&amp;B7295&amp;". "&amp;A7296&amp;": "&amp;B7296&amp;". "&amp;A7297&amp;": "&amp;B7297&amp;".  For more information, refer to: "&amp;B7265</f>
        <v>This dataset represents the supply of 1 megajoule of heat in a residence, by hydrogen combustion in a boiler.  The hydrogen is transported by pipeline over 1000 km from regional storage.  The hydrogen is produced by  Electrolysis, SOEC,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7265" spans="1:2" x14ac:dyDescent="0.2">
      <c r="A7265" t="s">
        <v>63</v>
      </c>
      <c r="B7265" s="45" t="s">
        <v>1223</v>
      </c>
    </row>
    <row r="7266" spans="1:2" x14ac:dyDescent="0.2">
      <c r="A7266" t="s">
        <v>52</v>
      </c>
      <c r="B7266" s="45" t="s">
        <v>64</v>
      </c>
    </row>
    <row r="7267" spans="1:2" x14ac:dyDescent="0.2">
      <c r="A7267" t="s">
        <v>48</v>
      </c>
      <c r="B7267" s="45">
        <v>89</v>
      </c>
    </row>
    <row r="7268" spans="1:2" x14ac:dyDescent="0.2">
      <c r="A7268" t="s">
        <v>54</v>
      </c>
      <c r="B7268" s="45" t="str">
        <f>INDEX(overview!$B$4:$R$338,MATCH('hydrogen - electrolysis'!B7267,overview!$A$4:$A$338,0),MATCH('hydrogen - electrolysis'!A7268,overview!$B$3:$R$3,0))</f>
        <v>heat, from residential heating system</v>
      </c>
    </row>
    <row r="7269" spans="1:2" x14ac:dyDescent="0.2">
      <c r="A7269" t="s">
        <v>55</v>
      </c>
      <c r="B7269" s="45" t="str">
        <f>INDEX(overview!$B$4:$R$338,MATCH('hydrogen - electrolysis'!B7267,overview!$A$4:$A$338,0),MATCH('hydrogen - electrolysis'!A7269,overview!$B$3:$R$3,0))</f>
        <v>megajoule</v>
      </c>
    </row>
    <row r="7270" spans="1:2" x14ac:dyDescent="0.2">
      <c r="A7270" t="s">
        <v>0</v>
      </c>
      <c r="B7270" s="45" t="str">
        <f>INDEX(overview!$B$4:$R$338,MATCH('hydrogen - electrolysis'!B7267,overview!$A$4:$A$338,0),MATCH('hydrogen - electrolysis'!A7270,overview!$B$3:$R$3,0))</f>
        <v>Switzerland</v>
      </c>
    </row>
    <row r="7271" spans="1:2" x14ac:dyDescent="0.2">
      <c r="A7271" t="s">
        <v>1</v>
      </c>
      <c r="B7271" s="45">
        <f>INDEX(overview!$B$4:$R$338,MATCH('hydrogen - electrolysis'!B7267,overview!$A$4:$A$338,0),MATCH('hydrogen - electrolysis'!A7271,overview!$B$3:$R$3,0))</f>
        <v>2020</v>
      </c>
    </row>
    <row r="7272" spans="1:2" x14ac:dyDescent="0.2">
      <c r="A7272" t="s">
        <v>2</v>
      </c>
      <c r="B7272" s="45" t="str">
        <f>INDEX(overview!$B$4:$R$338,MATCH('hydrogen - electrolysis'!B7267,overview!$A$4:$A$338,0),MATCH('hydrogen - electrolysis'!A7272,overview!$B$3:$R$3,0))</f>
        <v>1 MJ heat</v>
      </c>
    </row>
    <row r="7273" spans="1:2" x14ac:dyDescent="0.2">
      <c r="A7273" t="s">
        <v>5</v>
      </c>
      <c r="B7273" s="45" t="str">
        <f>INDEX(overview!$B$4:$R$338,MATCH('hydrogen - electrolysis'!B7267,overview!$A$4:$A$338,0),MATCH('hydrogen - electrolysis'!A7273,overview!$B$3:$R$3,0))</f>
        <v>hydrogen</v>
      </c>
    </row>
    <row r="7274" spans="1:2" x14ac:dyDescent="0.2">
      <c r="A7274" t="s">
        <v>3</v>
      </c>
      <c r="B7274" s="45" t="str">
        <f>INDEX(overview!$B$4:$R$338,MATCH('hydrogen - electrolysis'!B7267,overview!$A$4:$A$338,0),MATCH('hydrogen - electrolysis'!A7274,overview!$B$3:$R$3,0))</f>
        <v>combustion</v>
      </c>
    </row>
    <row r="7275" spans="1:2" x14ac:dyDescent="0.2">
      <c r="A7275" t="s">
        <v>6</v>
      </c>
      <c r="B7275" s="45" t="str">
        <f>INDEX(overview!$B$4:$R$338,MATCH('hydrogen - electrolysis'!B7267,overview!$A$4:$A$338,0),MATCH('hydrogen - electrolysis'!A7275,overview!$B$3:$R$3,0))</f>
        <v>boiler</v>
      </c>
    </row>
    <row r="7276" spans="1:2" x14ac:dyDescent="0.2">
      <c r="A7276" t="s">
        <v>39</v>
      </c>
      <c r="B7276" s="45">
        <f>INDEX(overview!$B$4:$R$338,MATCH('hydrogen - electrolysis'!B7267,overview!$A$4:$A$338,0),MATCH('hydrogen - electrolysis'!A7276,overview!$B$3:$R$3,0))</f>
        <v>0</v>
      </c>
    </row>
    <row r="7277" spans="1:2" x14ac:dyDescent="0.2">
      <c r="A7277" t="s">
        <v>4</v>
      </c>
      <c r="B7277" s="45" t="str">
        <f>INDEX(overview!$B$4:$R$338,MATCH('hydrogen - electrolysis'!B7267,overview!$A$4:$A$338,0),MATCH('hydrogen - electrolysis'!A7277,overview!$B$3:$R$3,0))</f>
        <v>pipeline</v>
      </c>
    </row>
    <row r="7278" spans="1:2" x14ac:dyDescent="0.2">
      <c r="A7278" t="s">
        <v>38</v>
      </c>
      <c r="B7278" s="45">
        <f>INDEX(overview!$B$4:$R$338,MATCH('hydrogen - electrolysis'!B7267,overview!$A$4:$A$338,0),MATCH('hydrogen - electrolysis'!A7278,overview!$B$3:$R$3,0))</f>
        <v>1000</v>
      </c>
    </row>
    <row r="7279" spans="1:2" x14ac:dyDescent="0.2">
      <c r="A7279" t="s">
        <v>12</v>
      </c>
      <c r="B7279" s="45" t="str">
        <f>INDEX(overview!$B$4:$R$338,MATCH('hydrogen - electrolysis'!B7267,overview!$A$4:$A$338,0),MATCH('hydrogen - electrolysis'!A7279,overview!$B$3:$R$3,0))</f>
        <v>Pressure vessel for stationary storage</v>
      </c>
    </row>
    <row r="7280" spans="1:2" x14ac:dyDescent="0.2">
      <c r="A7280" t="s">
        <v>34</v>
      </c>
      <c r="B7280" s="45">
        <f>INDEX(overview!$B$4:$R$338,MATCH('hydrogen - electrolysis'!B7267,overview!$A$4:$A$338,0),MATCH('hydrogen - electrolysis'!A7280,overview!$B$3:$R$3,0))</f>
        <v>0</v>
      </c>
    </row>
    <row r="7281" spans="1:2" x14ac:dyDescent="0.2">
      <c r="A7281" t="s">
        <v>15</v>
      </c>
      <c r="B7281" s="45" t="str">
        <f>INDEX(overview!$B$4:$R$338,MATCH('hydrogen - electrolysis'!B7267,overview!$A$4:$A$338,0),MATCH('hydrogen - electrolysis'!A7281,overview!$B$3:$R$3,0))</f>
        <v>Electrolysis, SOEC</v>
      </c>
    </row>
    <row r="7282" spans="1:2" x14ac:dyDescent="0.2">
      <c r="A7282" t="s">
        <v>14</v>
      </c>
      <c r="B7282" s="45" t="str">
        <f>INDEX(overview!$B$4:$R$338,MATCH('hydrogen - electrolysis'!B7267,overview!$A$4:$A$338,0),MATCH('hydrogen - electrolysis'!A7282,overview!$B$3:$R$3,0))</f>
        <v>water and electricity</v>
      </c>
    </row>
    <row r="7283" spans="1:2" x14ac:dyDescent="0.2">
      <c r="A7283" t="s">
        <v>26</v>
      </c>
      <c r="B7283" s="45" t="str">
        <f>INDEX(overview!$B$4:$R$338,MATCH('hydrogen - electrolysis'!B7267,overview!$A$4:$A$338,0),MATCH('hydrogen - electrolysis'!A7283,overview!$B$3:$R$3,0))</f>
        <v>Solar PV (DE)</v>
      </c>
    </row>
    <row r="7284" spans="1:2" x14ac:dyDescent="0.2">
      <c r="A7284" t="s">
        <v>29</v>
      </c>
      <c r="B7284" s="45">
        <f>INDEX(overview!$B$4:$R$338,MATCH('hydrogen - electrolysis'!B7267,overview!$A$4:$A$338,0),MATCH('hydrogen - electrolysis'!A7284,overview!$B$3:$R$3,0))</f>
        <v>0</v>
      </c>
    </row>
    <row r="7285" spans="1:2" x14ac:dyDescent="0.2">
      <c r="A7285" t="str">
        <f>IF(B7269="megajoule","Heat","Electricity")&amp;" conversion efficiency [% LHV input]"</f>
        <v>Heat conversion efficiency [% LHV input]</v>
      </c>
      <c r="B7285" s="46">
        <f>INDEX(parameters!$D$4:$N$20,MATCH('hydrogen - electrolysis'!B7273&amp;'hydrogen - electrolysis'!B7275,parameters!$A$4:$A$20,0),MATCH('hydrogen - electrolysis'!A7285,parameters!$D$3:$N$3,0))</f>
        <v>0.94</v>
      </c>
    </row>
    <row r="7286" spans="1:2" x14ac:dyDescent="0.2">
      <c r="A7286" t="str">
        <f>IF(B7269="megajoule","LHV [MJ/kg]","LHV [kWh/kg]")</f>
        <v>LHV [MJ/kg]</v>
      </c>
      <c r="B7286" s="47">
        <f>INDEX(parameters!$D$4:$N$20,MATCH('hydrogen - electrolysis'!B7273&amp;'hydrogen - electrolysis'!B7275,parameters!$A$4:$A$20,0),MATCH('hydrogen - electrolysis'!A7286,parameters!$D$3:$N$3,0))</f>
        <v>120</v>
      </c>
    </row>
    <row r="7287" spans="1:2" x14ac:dyDescent="0.2">
      <c r="A7287" t="s">
        <v>41</v>
      </c>
      <c r="B7287" s="48">
        <f>INDEX(parameters!$D$4:$N$20,MATCH('hydrogen - electrolysis'!B7273&amp;'hydrogen - electrolysis'!B7275,parameters!$A$4:$A$20,0),MATCH('hydrogen - electrolysis'!A7287,parameters!$D$3:$N$3,0))</f>
        <v>2.6666666666666665E-2</v>
      </c>
    </row>
    <row r="7288" spans="1:2" x14ac:dyDescent="0.2">
      <c r="A7288" t="s">
        <v>45</v>
      </c>
      <c r="B7288" s="49">
        <f>INDEX(parameters!$D$4:$N$20,MATCH('hydrogen - electrolysis'!B7273&amp;'hydrogen - electrolysis'!B7275,parameters!$A$4:$A$20,0),MATCH('hydrogen - electrolysis'!A7288,parameters!$D$3:$N$3,0))</f>
        <v>0</v>
      </c>
    </row>
    <row r="7289" spans="1:2" x14ac:dyDescent="0.2">
      <c r="A7289" t="s">
        <v>46</v>
      </c>
      <c r="B7289" s="49">
        <f>INDEX(parameters!$D$4:$N$20,MATCH('hydrogen - electrolysis'!B7273&amp;'hydrogen - electrolysis'!B7275,parameters!$A$4:$A$20,0),MATCH('hydrogen - electrolysis'!A7289,parameters!$D$3:$N$3,0))</f>
        <v>1.4999999999999999E-2</v>
      </c>
    </row>
    <row r="7290" spans="1:2" x14ac:dyDescent="0.2">
      <c r="A7290" t="s">
        <v>43</v>
      </c>
      <c r="B7290" s="49">
        <f>INDEX(parameters!$D$4:$N$20,MATCH('hydrogen - electrolysis'!B7273&amp;'hydrogen - electrolysis'!B7275,parameters!$A$4:$A$20,0),MATCH('hydrogen - electrolysis'!A7290,parameters!$D$3:$N$3,0))</f>
        <v>0</v>
      </c>
    </row>
    <row r="7291" spans="1:2" x14ac:dyDescent="0.2">
      <c r="A7291" t="s">
        <v>44</v>
      </c>
      <c r="B7291" s="49">
        <f>INDEX(parameters!$D$4:$N$20,MATCH('hydrogen - electrolysis'!B7273&amp;'hydrogen - electrolysis'!B7275,parameters!$A$4:$A$20,0),MATCH('hydrogen - electrolysis'!A7291,parameters!$D$3:$N$3,0))</f>
        <v>0</v>
      </c>
    </row>
    <row r="7292" spans="1:2" x14ac:dyDescent="0.2">
      <c r="A7292" t="s">
        <v>634</v>
      </c>
      <c r="B7292" s="51">
        <f>INDEX(parameters!$D$4:$Y$20,MATCH('hydrogen - electrolysis'!B7273&amp;'hydrogen - electrolysis'!B7275,parameters!$A$4:$A$20,0),MATCH('hydrogen - electrolysis'!A7292,parameters!$D$3:$Y$3,0))</f>
        <v>15.957446808510639</v>
      </c>
    </row>
    <row r="7293" spans="1:2" x14ac:dyDescent="0.2">
      <c r="A7293" t="s">
        <v>82</v>
      </c>
      <c r="B7293" s="46">
        <f>IF(B7284&lt;&gt;0,VLOOKUP(B7284,parameters!A4561:B4563,2,0),0)</f>
        <v>0</v>
      </c>
    </row>
    <row r="7294" spans="1:2" x14ac:dyDescent="0.2">
      <c r="A7294" t="s">
        <v>548</v>
      </c>
      <c r="B7294" s="50">
        <f>INDEX(parameters!$D$4:$P$20,MATCH(B7273&amp;B7275,parameters!$A$4:$A$20,0),MATCH(A7294,parameters!$D$3:$P$3,0))</f>
        <v>15</v>
      </c>
    </row>
    <row r="7295" spans="1:2" x14ac:dyDescent="0.2">
      <c r="A7295" t="s">
        <v>547</v>
      </c>
      <c r="B7295" s="51">
        <f>INDEX(parameters!$D$4:$P$20,MATCH(B7273&amp;B7275,parameters!$A$4:$A$20,0),MATCH(A7295,parameters!$D$3:$P$3,0))</f>
        <v>20</v>
      </c>
    </row>
    <row r="7296" spans="1:2" x14ac:dyDescent="0.2">
      <c r="A7296" t="s">
        <v>630</v>
      </c>
      <c r="B7296" s="51">
        <f>INDEX(parameters!$D$4:$T$20,MATCH(B7273&amp;B7275,parameters!$A$4:$A$20,0),MATCH(A7296,parameters!$D$3:$T$3,0))</f>
        <v>2100</v>
      </c>
    </row>
    <row r="7297" spans="1:22" x14ac:dyDescent="0.2">
      <c r="A7297" t="s">
        <v>1005</v>
      </c>
      <c r="B7297" s="50">
        <f>IF(B7269="megajoule",SUMIFS(allocation!$I$4:$I$30,allocation!$B$4:$B$30,B7275,allocation!$C$4:$C$30,B7276),SUMIFS(allocation!$J$4:$J$30,allocation!$B$4:$B$30,B7275,allocation!$C$4:$C$30,B7276))</f>
        <v>0</v>
      </c>
    </row>
    <row r="7298" spans="1:22" x14ac:dyDescent="0.2">
      <c r="A7298" t="s">
        <v>1050</v>
      </c>
      <c r="B7298" s="51">
        <f>INDEX(parameters!$D$4:$AB$20,MATCH(B7273&amp;B7275,parameters!$A$4:$A$20,0),MATCH(A7298,parameters!$D$3:$AB$3,0))</f>
        <v>44.562019013128115</v>
      </c>
    </row>
    <row r="7300" spans="1:22" x14ac:dyDescent="0.2">
      <c r="A7300" s="3" t="s">
        <v>57</v>
      </c>
    </row>
    <row r="7301" spans="1:22" x14ac:dyDescent="0.2">
      <c r="A7301" s="2" t="s">
        <v>58</v>
      </c>
      <c r="B7301" s="44" t="s">
        <v>59</v>
      </c>
      <c r="C7301" s="2" t="s">
        <v>55</v>
      </c>
      <c r="D7301" s="2" t="s">
        <v>60</v>
      </c>
      <c r="E7301" s="2" t="s">
        <v>52</v>
      </c>
      <c r="F7301" s="2" t="s">
        <v>61</v>
      </c>
      <c r="G7301" s="2" t="s">
        <v>54</v>
      </c>
      <c r="H7301" s="2" t="s">
        <v>87</v>
      </c>
      <c r="I7301" s="2" t="s">
        <v>51</v>
      </c>
      <c r="J7301" s="2" t="s">
        <v>138</v>
      </c>
      <c r="K7301" s="2" t="s">
        <v>136</v>
      </c>
      <c r="L7301" s="2" t="s">
        <v>221</v>
      </c>
      <c r="M7301" s="2" t="s">
        <v>379</v>
      </c>
      <c r="N7301" s="2" t="s">
        <v>1059</v>
      </c>
      <c r="O7301" s="2" t="s">
        <v>1060</v>
      </c>
      <c r="P7301" s="2" t="s">
        <v>1061</v>
      </c>
      <c r="Q7301" s="2" t="s">
        <v>1062</v>
      </c>
      <c r="R7301" s="2" t="s">
        <v>1063</v>
      </c>
      <c r="S7301" s="2" t="s">
        <v>1064</v>
      </c>
      <c r="T7301" s="2" t="s">
        <v>1065</v>
      </c>
      <c r="U7301" s="2" t="s">
        <v>380</v>
      </c>
      <c r="V7301" s="2" t="s">
        <v>1128</v>
      </c>
    </row>
    <row r="7302" spans="1:22" x14ac:dyDescent="0.2">
      <c r="A7302" t="str">
        <f>B7263</f>
        <v>heat, residential, by combustion of hydrogen using boiler, transported by pipeline, produced by Electrolysis, SOEC using water and electricity from Solar PV (DE)</v>
      </c>
      <c r="B7302" s="45">
        <v>1</v>
      </c>
      <c r="C7302" t="str">
        <f>B7269</f>
        <v>megajoule</v>
      </c>
      <c r="E7302" t="str">
        <f>B7266</f>
        <v>CH</v>
      </c>
      <c r="F7302" t="s">
        <v>62</v>
      </c>
      <c r="G7302" t="str">
        <f>B7268</f>
        <v>heat, from residential heating system</v>
      </c>
      <c r="K7302" t="str">
        <f>B7263</f>
        <v>heat, residential, by combustion of hydrogen using boiler, transported by pipeline, produced by Electrolysis, SOEC using water and electricity from Solar PV (DE)</v>
      </c>
    </row>
    <row r="7303" spans="1:22" x14ac:dyDescent="0.2">
      <c r="A7303" t="s">
        <v>83</v>
      </c>
      <c r="B7303" s="52">
        <f>1/(B7294*B7296*B7295*3.6)</f>
        <v>4.4091710758377425E-7</v>
      </c>
      <c r="C7303" t="s">
        <v>55</v>
      </c>
      <c r="E7303" t="s">
        <v>85</v>
      </c>
      <c r="F7303" t="s">
        <v>86</v>
      </c>
      <c r="G7303" t="s">
        <v>84</v>
      </c>
      <c r="H7303" t="s">
        <v>88</v>
      </c>
      <c r="K7303" t="str">
        <f>B7263</f>
        <v>heat, residential, by combustion of hydrogen using boiler, transported by pipeline, produced by Electrolysis, SOEC using water and electricity from Solar PV (DE)</v>
      </c>
      <c r="L7303">
        <f t="shared" ref="L7303:L7308" si="298">IF(OR(B7303&lt;0,B7303=0),1,2)</f>
        <v>2</v>
      </c>
      <c r="M7303">
        <f t="shared" ref="M7303:M7308" si="299">IF(L7303=2,LN(B7303),"")</f>
        <v>-14.634408943829779</v>
      </c>
      <c r="N7303">
        <v>1.05</v>
      </c>
      <c r="O7303" s="15">
        <v>1.2</v>
      </c>
      <c r="P7303">
        <v>1</v>
      </c>
      <c r="Q7303">
        <v>1.01</v>
      </c>
      <c r="R7303">
        <v>1.2</v>
      </c>
      <c r="S7303">
        <v>1.2</v>
      </c>
      <c r="T7303">
        <v>3</v>
      </c>
      <c r="U7303">
        <f t="shared" ref="U7303:U7308" si="300">LN(SQRT(EXP(
SQRT(
+POWER(LN(N7303),2)
+POWER(LN(O7303),2)
+POWER(LN(P7303),2)
+POWER(LN(Q7303),2)
+POWER(LN(R7303),2)
+POWER(LN(S7303),2)
+POWER(LN(T7303),2)
)
)))</f>
        <v>0.57209088006881903</v>
      </c>
    </row>
    <row r="7304" spans="1:22" x14ac:dyDescent="0.2">
      <c r="A7304" t="s">
        <v>500</v>
      </c>
      <c r="B7304" s="52">
        <f>B7303*2</f>
        <v>8.8183421516754851E-7</v>
      </c>
      <c r="C7304" t="s">
        <v>267</v>
      </c>
      <c r="E7304" t="s">
        <v>85</v>
      </c>
      <c r="F7304" t="s">
        <v>86</v>
      </c>
      <c r="G7304" t="s">
        <v>501</v>
      </c>
      <c r="H7304" t="s">
        <v>88</v>
      </c>
      <c r="I7304" t="s">
        <v>621</v>
      </c>
      <c r="K7304" t="str">
        <f>B7263</f>
        <v>heat, residential, by combustion of hydrogen using boiler, transported by pipeline, produced by Electrolysis, SOEC using water and electricity from Solar PV (DE)</v>
      </c>
      <c r="L7304">
        <f t="shared" si="298"/>
        <v>2</v>
      </c>
      <c r="M7304">
        <f t="shared" si="299"/>
        <v>-13.941261763269834</v>
      </c>
      <c r="N7304">
        <v>1.05</v>
      </c>
      <c r="O7304" s="15">
        <v>1.2</v>
      </c>
      <c r="P7304">
        <v>1</v>
      </c>
      <c r="Q7304">
        <v>1.01</v>
      </c>
      <c r="R7304">
        <v>1.2</v>
      </c>
      <c r="S7304">
        <v>1.2</v>
      </c>
      <c r="T7304">
        <v>3</v>
      </c>
      <c r="U7304">
        <f t="shared" si="300"/>
        <v>0.57209088006881903</v>
      </c>
    </row>
    <row r="7305" spans="1:22" x14ac:dyDescent="0.2">
      <c r="A7305" t="s">
        <v>130</v>
      </c>
      <c r="B7305" s="52">
        <v>2.64E-3</v>
      </c>
      <c r="C7305" t="s">
        <v>92</v>
      </c>
      <c r="E7305" t="s">
        <v>64</v>
      </c>
      <c r="F7305" t="s">
        <v>86</v>
      </c>
      <c r="G7305" t="s">
        <v>93</v>
      </c>
      <c r="H7305" t="s">
        <v>78</v>
      </c>
      <c r="I7305" t="s">
        <v>270</v>
      </c>
      <c r="J7305" t="s">
        <v>67</v>
      </c>
      <c r="K7305" t="str">
        <f>B7263</f>
        <v>heat, residential, by combustion of hydrogen using boiler, transported by pipeline, produced by Electrolysis, SOEC using water and electricity from Solar PV (DE)</v>
      </c>
      <c r="L7305">
        <f t="shared" si="298"/>
        <v>2</v>
      </c>
      <c r="M7305">
        <f t="shared" si="299"/>
        <v>-5.9369763618239126</v>
      </c>
      <c r="N7305">
        <v>1.05</v>
      </c>
      <c r="O7305" s="15">
        <v>1.2</v>
      </c>
      <c r="P7305">
        <v>1</v>
      </c>
      <c r="Q7305">
        <v>1.01</v>
      </c>
      <c r="R7305">
        <v>1.2</v>
      </c>
      <c r="S7305">
        <v>1.2</v>
      </c>
      <c r="T7305">
        <v>1.05</v>
      </c>
      <c r="U7305">
        <f t="shared" si="300"/>
        <v>0.16169679924070957</v>
      </c>
    </row>
    <row r="7306" spans="1:22" x14ac:dyDescent="0.2">
      <c r="A7306" s="45" t="str">
        <f>"hydrogen supply, transported by "&amp;B7277&amp;", produced by "&amp;B7281&amp;" using "&amp;B7282&amp;" from "&amp;B7283</f>
        <v>hydrogen supply, transported by pipeline, produced by Electrolysis, SOEC using water and electricity from Solar PV (DE)</v>
      </c>
      <c r="B7306" s="53">
        <f>(B7302/B7286)/B7285</f>
        <v>8.8652482269503553E-3</v>
      </c>
      <c r="C7306" t="s">
        <v>56</v>
      </c>
      <c r="E7306" t="s">
        <v>64</v>
      </c>
      <c r="F7306" t="s">
        <v>86</v>
      </c>
      <c r="G7306" t="str">
        <f>"hydrogen, gaseous, from "&amp;B7277</f>
        <v>hydrogen, gaseous, from pipeline</v>
      </c>
      <c r="H7306" t="s">
        <v>76</v>
      </c>
      <c r="I7306" t="s">
        <v>1054</v>
      </c>
      <c r="J7306" t="s">
        <v>299</v>
      </c>
      <c r="K7306" t="str">
        <f>B7263</f>
        <v>heat, residential, by combustion of hydrogen using boiler, transported by pipeline, produced by Electrolysis, SOEC using water and electricity from Solar PV (DE)</v>
      </c>
      <c r="L7306">
        <f t="shared" si="298"/>
        <v>2</v>
      </c>
      <c r="M7306">
        <f t="shared" si="299"/>
        <v>-4.7256163390639587</v>
      </c>
      <c r="N7306">
        <v>1.05</v>
      </c>
      <c r="O7306" s="15">
        <v>1.2</v>
      </c>
      <c r="P7306">
        <v>1</v>
      </c>
      <c r="Q7306">
        <v>1.01</v>
      </c>
      <c r="R7306">
        <v>1.2</v>
      </c>
      <c r="S7306">
        <v>1.2</v>
      </c>
      <c r="T7306">
        <v>1.05</v>
      </c>
      <c r="U7306">
        <f t="shared" si="300"/>
        <v>0.16169679924070957</v>
      </c>
    </row>
    <row r="7307" spans="1:22" x14ac:dyDescent="0.2">
      <c r="A7307" t="s">
        <v>134</v>
      </c>
      <c r="B7307" s="45">
        <f>B7306*9</f>
        <v>7.9787234042553196E-2</v>
      </c>
      <c r="C7307" t="s">
        <v>56</v>
      </c>
      <c r="D7307" t="s">
        <v>100</v>
      </c>
      <c r="F7307" t="s">
        <v>99</v>
      </c>
      <c r="H7307" t="s">
        <v>131</v>
      </c>
      <c r="I7307" t="s">
        <v>1058</v>
      </c>
      <c r="K7307" t="str">
        <f>B7263</f>
        <v>heat, residential, by combustion of hydrogen using boiler, transported by pipeline, produced by Electrolysis, SOEC using water and electricity from Solar PV (DE)</v>
      </c>
      <c r="L7307">
        <f t="shared" si="298"/>
        <v>2</v>
      </c>
      <c r="M7307">
        <f t="shared" si="299"/>
        <v>-2.5283917617277392</v>
      </c>
      <c r="N7307">
        <v>1.05</v>
      </c>
      <c r="O7307" s="15">
        <v>1.2</v>
      </c>
      <c r="P7307">
        <v>1</v>
      </c>
      <c r="Q7307">
        <v>1.01</v>
      </c>
      <c r="R7307">
        <v>1.2</v>
      </c>
      <c r="S7307">
        <v>1.2</v>
      </c>
      <c r="T7307">
        <v>1.05</v>
      </c>
      <c r="U7307">
        <f t="shared" si="300"/>
        <v>0.16169679924070957</v>
      </c>
    </row>
    <row r="7308" spans="1:22" x14ac:dyDescent="0.2">
      <c r="A7308" t="s">
        <v>135</v>
      </c>
      <c r="B7308" s="45">
        <f>912.5/1000000*B7306</f>
        <v>8.0895390070921995E-6</v>
      </c>
      <c r="C7308" t="s">
        <v>56</v>
      </c>
      <c r="D7308" t="s">
        <v>100</v>
      </c>
      <c r="F7308" t="s">
        <v>99</v>
      </c>
      <c r="H7308" t="s">
        <v>131</v>
      </c>
      <c r="I7308" t="s">
        <v>1217</v>
      </c>
      <c r="K7308" t="str">
        <f>B7263</f>
        <v>heat, residential, by combustion of hydrogen using boiler, transported by pipeline, produced by Electrolysis, SOEC using water and electricity from Solar PV (DE)</v>
      </c>
      <c r="L7308">
        <f t="shared" si="298"/>
        <v>2</v>
      </c>
      <c r="M7308">
        <f t="shared" si="299"/>
        <v>-11.724938811571587</v>
      </c>
      <c r="N7308">
        <v>1.05</v>
      </c>
      <c r="O7308" s="15">
        <v>1.2</v>
      </c>
      <c r="P7308">
        <v>1</v>
      </c>
      <c r="Q7308">
        <v>1.01</v>
      </c>
      <c r="R7308">
        <v>1.2</v>
      </c>
      <c r="S7308">
        <v>1.2</v>
      </c>
      <c r="T7308">
        <v>1.5</v>
      </c>
      <c r="U7308">
        <f t="shared" si="300"/>
        <v>0.25816898211842121</v>
      </c>
    </row>
    <row r="7310" spans="1:22" x14ac:dyDescent="0.2">
      <c r="A7310" s="2" t="s">
        <v>50</v>
      </c>
      <c r="B7310" s="44" t="str">
        <f>IF(B7316="megajoule","heat","electricity")&amp;", residential, by "&amp;B7321&amp;" of "&amp;B7320&amp;" using "&amp;B7322&amp;IF(B7323&lt;&gt;0,", allocated by "&amp;B7323,"")&amp;", transported by "&amp;B7324&amp;", produced by "&amp;B7328&amp;" using "&amp;B7329&amp;" from "&amp;B7330</f>
        <v>heat, residential, by combustion of hydrogen using CHP, allocated by exergy, transported by pipeline, produced by Electrolysis, SOEC using water and electricity from Solar PV (DE)</v>
      </c>
    </row>
    <row r="7311" spans="1:22" x14ac:dyDescent="0.2">
      <c r="A7311" t="s">
        <v>51</v>
      </c>
      <c r="B7311" s="45" t="str">
        <f>"This dataset represents the supply of 1 "&amp;IF(B7316="megajoule","megajoule of heat","kilowatt hour of electricity")&amp;" in a residence, by "&amp;B7320&amp;" "&amp;B7321&amp;" in a "&amp;B7322&amp;". "&amp;" The hydrogen is transported by "&amp;B7324&amp;" over "&amp;B7325&amp;" km from regional storage. "&amp;" The "&amp;B7320&amp;" is produced by  "&amp;B7328&amp;", with "&amp;B7329&amp;" from "&amp;B7330&amp;" as feedstock. "&amp;A7332&amp;": "&amp;(B7332*100)&amp;"%. "&amp;A7333&amp;": "&amp;B7333&amp;". "&amp;A7334&amp;": "&amp;B7334&amp;". "&amp;A7335&amp;": "&amp;(B7335*100)&amp;"%. "&amp;A7336&amp;": "&amp;(B7336*100)&amp;"%. "&amp;A7337&amp;": "&amp;(B7337*100)&amp;"%. "&amp;A7338&amp;": "&amp;B7338&amp;". "&amp;A7339&amp;": "&amp;B7339&amp;". "&amp;A7340&amp;": "&amp;(B7340*100)&amp;"%. "&amp;A7341&amp;": "&amp;B7341&amp;". "&amp;A7342&amp;": "&amp;B7342&amp;". "&amp;A7343&amp;": "&amp;B7343&amp;". "&amp;A7344&amp;": "&amp;B7344&amp;".  For more information, refer to: "&amp;B7312</f>
        <v>This dataset represents the supply of 1 megajoule of heat in a residence, by hydrogen combustion in a CHP.  The hydrogen is transported by pipeline over 1000 km from regional storage.  The hydrogen is produced by  Electrolysis, SOEC,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7312" spans="1:22" x14ac:dyDescent="0.2">
      <c r="A7312" t="s">
        <v>63</v>
      </c>
      <c r="B7312" s="45" t="s">
        <v>1223</v>
      </c>
    </row>
    <row r="7313" spans="1:2" x14ac:dyDescent="0.2">
      <c r="A7313" t="s">
        <v>52</v>
      </c>
      <c r="B7313" s="45" t="s">
        <v>64</v>
      </c>
    </row>
    <row r="7314" spans="1:2" x14ac:dyDescent="0.2">
      <c r="A7314" t="s">
        <v>48</v>
      </c>
      <c r="B7314" s="45">
        <v>90</v>
      </c>
    </row>
    <row r="7315" spans="1:2" x14ac:dyDescent="0.2">
      <c r="A7315" t="s">
        <v>54</v>
      </c>
      <c r="B7315" s="45" t="str">
        <f>INDEX(overview!$B$4:$R$338,MATCH('hydrogen - electrolysis'!B7314,overview!$A$4:$A$338,0),MATCH('hydrogen - electrolysis'!A7315,overview!$B$3:$R$3,0))</f>
        <v>heat, from residential heating system</v>
      </c>
    </row>
    <row r="7316" spans="1:2" x14ac:dyDescent="0.2">
      <c r="A7316" t="s">
        <v>55</v>
      </c>
      <c r="B7316" s="45" t="str">
        <f>INDEX(overview!$B$4:$R$338,MATCH('hydrogen - electrolysis'!B7314,overview!$A$4:$A$338,0),MATCH('hydrogen - electrolysis'!A7316,overview!$B$3:$R$3,0))</f>
        <v>megajoule</v>
      </c>
    </row>
    <row r="7317" spans="1:2" x14ac:dyDescent="0.2">
      <c r="A7317" t="s">
        <v>0</v>
      </c>
      <c r="B7317" s="45" t="str">
        <f>INDEX(overview!$B$4:$R$338,MATCH('hydrogen - electrolysis'!B7314,overview!$A$4:$A$338,0),MATCH('hydrogen - electrolysis'!A7317,overview!$B$3:$R$3,0))</f>
        <v>Switzerland</v>
      </c>
    </row>
    <row r="7318" spans="1:2" x14ac:dyDescent="0.2">
      <c r="A7318" t="s">
        <v>1</v>
      </c>
      <c r="B7318" s="45">
        <f>INDEX(overview!$B$4:$R$338,MATCH('hydrogen - electrolysis'!B7314,overview!$A$4:$A$338,0),MATCH('hydrogen - electrolysis'!A7318,overview!$B$3:$R$3,0))</f>
        <v>2020</v>
      </c>
    </row>
    <row r="7319" spans="1:2" x14ac:dyDescent="0.2">
      <c r="A7319" t="s">
        <v>2</v>
      </c>
      <c r="B7319" s="45" t="str">
        <f>INDEX(overview!$B$4:$R$338,MATCH('hydrogen - electrolysis'!B7314,overview!$A$4:$A$338,0),MATCH('hydrogen - electrolysis'!A7319,overview!$B$3:$R$3,0))</f>
        <v>1 MJ heat</v>
      </c>
    </row>
    <row r="7320" spans="1:2" x14ac:dyDescent="0.2">
      <c r="A7320" t="s">
        <v>5</v>
      </c>
      <c r="B7320" s="45" t="str">
        <f>INDEX(overview!$B$4:$R$338,MATCH('hydrogen - electrolysis'!B7314,overview!$A$4:$A$338,0),MATCH('hydrogen - electrolysis'!A7320,overview!$B$3:$R$3,0))</f>
        <v>hydrogen</v>
      </c>
    </row>
    <row r="7321" spans="1:2" x14ac:dyDescent="0.2">
      <c r="A7321" t="s">
        <v>3</v>
      </c>
      <c r="B7321" s="45" t="str">
        <f>INDEX(overview!$B$4:$R$338,MATCH('hydrogen - electrolysis'!B7314,overview!$A$4:$A$338,0),MATCH('hydrogen - electrolysis'!A7321,overview!$B$3:$R$3,0))</f>
        <v>combustion</v>
      </c>
    </row>
    <row r="7322" spans="1:2" x14ac:dyDescent="0.2">
      <c r="A7322" t="s">
        <v>6</v>
      </c>
      <c r="B7322" s="45" t="str">
        <f>INDEX(overview!$B$4:$R$338,MATCH('hydrogen - electrolysis'!B7314,overview!$A$4:$A$338,0),MATCH('hydrogen - electrolysis'!A7322,overview!$B$3:$R$3,0))</f>
        <v>CHP</v>
      </c>
    </row>
    <row r="7323" spans="1:2" x14ac:dyDescent="0.2">
      <c r="A7323" t="s">
        <v>39</v>
      </c>
      <c r="B7323" s="45" t="str">
        <f>INDEX(overview!$B$4:$R$338,MATCH('hydrogen - electrolysis'!B7314,overview!$A$4:$A$338,0),MATCH('hydrogen - electrolysis'!A7323,overview!$B$3:$R$3,0))</f>
        <v>exergy</v>
      </c>
    </row>
    <row r="7324" spans="1:2" x14ac:dyDescent="0.2">
      <c r="A7324" t="s">
        <v>4</v>
      </c>
      <c r="B7324" s="45" t="str">
        <f>INDEX(overview!$B$4:$R$338,MATCH('hydrogen - electrolysis'!B7314,overview!$A$4:$A$338,0),MATCH('hydrogen - electrolysis'!A7324,overview!$B$3:$R$3,0))</f>
        <v>pipeline</v>
      </c>
    </row>
    <row r="7325" spans="1:2" x14ac:dyDescent="0.2">
      <c r="A7325" t="s">
        <v>38</v>
      </c>
      <c r="B7325" s="45">
        <f>INDEX(overview!$B$4:$R$338,MATCH('hydrogen - electrolysis'!B7314,overview!$A$4:$A$338,0),MATCH('hydrogen - electrolysis'!A7325,overview!$B$3:$R$3,0))</f>
        <v>1000</v>
      </c>
    </row>
    <row r="7326" spans="1:2" x14ac:dyDescent="0.2">
      <c r="A7326" t="s">
        <v>12</v>
      </c>
      <c r="B7326" s="45" t="str">
        <f>INDEX(overview!$B$4:$R$338,MATCH('hydrogen - electrolysis'!B7314,overview!$A$4:$A$338,0),MATCH('hydrogen - electrolysis'!A7326,overview!$B$3:$R$3,0))</f>
        <v>Pressure vessel for stationary storage</v>
      </c>
    </row>
    <row r="7327" spans="1:2" x14ac:dyDescent="0.2">
      <c r="A7327" t="s">
        <v>34</v>
      </c>
      <c r="B7327" s="45">
        <f>INDEX(overview!$B$4:$R$338,MATCH('hydrogen - electrolysis'!B7314,overview!$A$4:$A$338,0),MATCH('hydrogen - electrolysis'!A7327,overview!$B$3:$R$3,0))</f>
        <v>0</v>
      </c>
    </row>
    <row r="7328" spans="1:2" x14ac:dyDescent="0.2">
      <c r="A7328" t="s">
        <v>15</v>
      </c>
      <c r="B7328" s="45" t="str">
        <f>INDEX(overview!$B$4:$R$338,MATCH('hydrogen - electrolysis'!B7314,overview!$A$4:$A$338,0),MATCH('hydrogen - electrolysis'!A7328,overview!$B$3:$R$3,0))</f>
        <v>Electrolysis, SOEC</v>
      </c>
    </row>
    <row r="7329" spans="1:2" x14ac:dyDescent="0.2">
      <c r="A7329" t="s">
        <v>14</v>
      </c>
      <c r="B7329" s="45" t="str">
        <f>INDEX(overview!$B$4:$R$338,MATCH('hydrogen - electrolysis'!B7314,overview!$A$4:$A$338,0),MATCH('hydrogen - electrolysis'!A7329,overview!$B$3:$R$3,0))</f>
        <v>water and electricity</v>
      </c>
    </row>
    <row r="7330" spans="1:2" x14ac:dyDescent="0.2">
      <c r="A7330" t="s">
        <v>26</v>
      </c>
      <c r="B7330" s="45" t="str">
        <f>INDEX(overview!$B$4:$R$338,MATCH('hydrogen - electrolysis'!B7314,overview!$A$4:$A$338,0),MATCH('hydrogen - electrolysis'!A7330,overview!$B$3:$R$3,0))</f>
        <v>Solar PV (DE)</v>
      </c>
    </row>
    <row r="7331" spans="1:2" x14ac:dyDescent="0.2">
      <c r="A7331" t="s">
        <v>29</v>
      </c>
      <c r="B7331" s="45">
        <f>INDEX(overview!$B$4:$R$338,MATCH('hydrogen - electrolysis'!B7314,overview!$A$4:$A$338,0),MATCH('hydrogen - electrolysis'!A7331,overview!$B$3:$R$3,0))</f>
        <v>0</v>
      </c>
    </row>
    <row r="7332" spans="1:2" x14ac:dyDescent="0.2">
      <c r="A7332" t="str">
        <f>IF(B7316="megajoule","Heat","Electricity")&amp;" conversion efficiency [% LHV input]"</f>
        <v>Heat conversion efficiency [% LHV input]</v>
      </c>
      <c r="B7332" s="46">
        <f>INDEX(parameters!$D$4:$N$20,MATCH('hydrogen - electrolysis'!B7320&amp;'hydrogen - electrolysis'!B7322,parameters!$A$4:$A$20,0),MATCH('hydrogen - electrolysis'!A7332,parameters!$D$3:$N$3,0))</f>
        <v>0.41699999999999998</v>
      </c>
    </row>
    <row r="7333" spans="1:2" x14ac:dyDescent="0.2">
      <c r="A7333" t="str">
        <f>IF(B7316="megajoule","LHV [MJ/kg]","LHV [kWh/kg]")</f>
        <v>LHV [MJ/kg]</v>
      </c>
      <c r="B7333" s="47">
        <f>INDEX(parameters!$D$4:$N$20,MATCH('hydrogen - electrolysis'!B7320&amp;'hydrogen - electrolysis'!B7322,parameters!$A$4:$A$20,0),MATCH('hydrogen - electrolysis'!A7333,parameters!$D$3:$N$3,0))</f>
        <v>120</v>
      </c>
    </row>
    <row r="7334" spans="1:2" x14ac:dyDescent="0.2">
      <c r="A7334" t="s">
        <v>41</v>
      </c>
      <c r="B7334" s="48">
        <f>INDEX(parameters!$D$4:$N$20,MATCH('hydrogen - electrolysis'!B7320&amp;'hydrogen - electrolysis'!B7322,parameters!$A$4:$A$20,0),MATCH('hydrogen - electrolysis'!A7334,parameters!$D$3:$N$3,0))</f>
        <v>2.6666666666666665E-2</v>
      </c>
    </row>
    <row r="7335" spans="1:2" x14ac:dyDescent="0.2">
      <c r="A7335" t="s">
        <v>45</v>
      </c>
      <c r="B7335" s="46">
        <f>INDEX(parameters!$D$4:$N$20,MATCH('hydrogen - electrolysis'!B7320&amp;'hydrogen - electrolysis'!B7322,parameters!$A$4:$A$20,0),MATCH('hydrogen - electrolysis'!A7335,parameters!$D$3:$N$3,0))</f>
        <v>0</v>
      </c>
    </row>
    <row r="7336" spans="1:2" x14ac:dyDescent="0.2">
      <c r="A7336" t="s">
        <v>46</v>
      </c>
      <c r="B7336" s="46">
        <f>INDEX(parameters!$D$4:$N$20,MATCH('hydrogen - electrolysis'!B7320&amp;'hydrogen - electrolysis'!B7322,parameters!$A$4:$A$20,0),MATCH('hydrogen - electrolysis'!A7336,parameters!$D$3:$N$3,0))</f>
        <v>1.4999999999999999E-2</v>
      </c>
    </row>
    <row r="7337" spans="1:2" x14ac:dyDescent="0.2">
      <c r="A7337" t="s">
        <v>43</v>
      </c>
      <c r="B7337" s="46">
        <f>INDEX(parameters!$D$4:$N$20,MATCH('hydrogen - electrolysis'!B7320&amp;'hydrogen - electrolysis'!B7322,parameters!$A$4:$A$20,0),MATCH('hydrogen - electrolysis'!A7337,parameters!$D$3:$N$3,0))</f>
        <v>0</v>
      </c>
    </row>
    <row r="7338" spans="1:2" x14ac:dyDescent="0.2">
      <c r="A7338" t="s">
        <v>44</v>
      </c>
      <c r="B7338" s="46">
        <f>INDEX(parameters!$D$4:$N$20,MATCH('hydrogen - electrolysis'!B7320&amp;'hydrogen - electrolysis'!B7322,parameters!$A$4:$A$20,0),MATCH('hydrogen - electrolysis'!A7338,parameters!$D$3:$N$3,0))</f>
        <v>0</v>
      </c>
    </row>
    <row r="7339" spans="1:2" x14ac:dyDescent="0.2">
      <c r="A7339" t="s">
        <v>634</v>
      </c>
      <c r="B7339" s="51">
        <f>INDEX(parameters!$D$4:$Y$20,MATCH('hydrogen - electrolysis'!B7320&amp;'hydrogen - electrolysis'!B7322,parameters!$A$4:$A$20,0),MATCH('hydrogen - electrolysis'!A7339,parameters!$D$3:$Y$3,0))</f>
        <v>351.41800246609125</v>
      </c>
    </row>
    <row r="7340" spans="1:2" x14ac:dyDescent="0.2">
      <c r="A7340" t="s">
        <v>82</v>
      </c>
      <c r="B7340" s="46">
        <f>IF(B7331&lt;&gt;0,VLOOKUP(B7331,parameters!A4613:B4615,2,0),0)</f>
        <v>0</v>
      </c>
    </row>
    <row r="7341" spans="1:2" x14ac:dyDescent="0.2">
      <c r="A7341" t="s">
        <v>548</v>
      </c>
      <c r="B7341" s="50">
        <f>INDEX(parameters!$D$4:$P$20,MATCH(B7320&amp;B7322,parameters!$A$4:$A$20,0),MATCH(A7341,parameters!$D$3:$P$3,0))</f>
        <v>125</v>
      </c>
    </row>
    <row r="7342" spans="1:2" x14ac:dyDescent="0.2">
      <c r="A7342" t="s">
        <v>547</v>
      </c>
      <c r="B7342" s="51">
        <f>INDEX(parameters!$D$4:$P$20,MATCH(B7320&amp;B7322,parameters!$A$4:$A$20,0),MATCH(A7342,parameters!$D$3:$P$3,0))</f>
        <v>19.512195121951219</v>
      </c>
    </row>
    <row r="7343" spans="1:2" x14ac:dyDescent="0.2">
      <c r="A7343" t="s">
        <v>630</v>
      </c>
      <c r="B7343" s="51">
        <f>INDEX(parameters!$D$4:$T$20,MATCH(B7320&amp;B7322,parameters!$A$4:$A$20,0),MATCH(A7343,parameters!$D$3:$T$3,0))</f>
        <v>4100</v>
      </c>
    </row>
    <row r="7344" spans="1:2" x14ac:dyDescent="0.2">
      <c r="A7344" t="s">
        <v>1005</v>
      </c>
      <c r="B7344" s="50">
        <f>IF(B7316="megajoule",SUMIFS(allocation!$I$4:$I$30,allocation!$B$4:$B$30,B7322,allocation!$C$4:$C$30,B7323),SUMIFS(allocation!$J$4:$J$30,allocation!$B$4:$B$30,B7322,allocation!$C$4:$C$30,B7323))</f>
        <v>0.12860042227295038</v>
      </c>
    </row>
    <row r="7345" spans="1:22" x14ac:dyDescent="0.2">
      <c r="A7345" t="s">
        <v>1050</v>
      </c>
      <c r="B7345" s="51">
        <f>INDEX(parameters!$D$4:$AB$20,MATCH(B7320&amp;B7322,parameters!$A$4:$A$20,0),MATCH(A7345,parameters!$D$3:$AB$3,0))</f>
        <v>2220.7364520822662</v>
      </c>
    </row>
    <row r="7347" spans="1:22" x14ac:dyDescent="0.2">
      <c r="A7347" s="3" t="s">
        <v>57</v>
      </c>
    </row>
    <row r="7348" spans="1:22" x14ac:dyDescent="0.2">
      <c r="A7348" s="2" t="s">
        <v>58</v>
      </c>
      <c r="B7348" s="44" t="s">
        <v>59</v>
      </c>
      <c r="C7348" s="2" t="s">
        <v>55</v>
      </c>
      <c r="D7348" s="2" t="s">
        <v>60</v>
      </c>
      <c r="E7348" s="2" t="s">
        <v>52</v>
      </c>
      <c r="F7348" s="2" t="s">
        <v>61</v>
      </c>
      <c r="G7348" s="2" t="s">
        <v>54</v>
      </c>
      <c r="H7348" s="2" t="s">
        <v>87</v>
      </c>
      <c r="I7348" s="2" t="s">
        <v>51</v>
      </c>
      <c r="J7348" s="2" t="s">
        <v>138</v>
      </c>
      <c r="K7348" s="2" t="s">
        <v>136</v>
      </c>
      <c r="L7348" s="2" t="s">
        <v>221</v>
      </c>
      <c r="M7348" s="2" t="s">
        <v>379</v>
      </c>
      <c r="N7348" s="2" t="s">
        <v>1059</v>
      </c>
      <c r="O7348" s="2" t="s">
        <v>1060</v>
      </c>
      <c r="P7348" s="2" t="s">
        <v>1061</v>
      </c>
      <c r="Q7348" s="2" t="s">
        <v>1062</v>
      </c>
      <c r="R7348" s="2" t="s">
        <v>1063</v>
      </c>
      <c r="S7348" s="2" t="s">
        <v>1064</v>
      </c>
      <c r="T7348" s="2" t="s">
        <v>1065</v>
      </c>
      <c r="U7348" s="2" t="s">
        <v>380</v>
      </c>
      <c r="V7348" s="2" t="s">
        <v>1128</v>
      </c>
    </row>
    <row r="7349" spans="1:22" x14ac:dyDescent="0.2">
      <c r="A7349" t="str">
        <f>B7310</f>
        <v>heat, residential, by combustion of hydrogen using CHP, allocated by exergy, transported by pipeline, produced by Electrolysis, SOEC using water and electricity from Solar PV (DE)</v>
      </c>
      <c r="B7349" s="45">
        <v>1</v>
      </c>
      <c r="C7349" t="str">
        <f>B7316</f>
        <v>megajoule</v>
      </c>
      <c r="E7349" t="str">
        <f>B7313</f>
        <v>CH</v>
      </c>
      <c r="F7349" t="s">
        <v>62</v>
      </c>
      <c r="G7349" t="str">
        <f>B7315</f>
        <v>heat, from residential heating system</v>
      </c>
      <c r="K7349" t="str">
        <f>B7310</f>
        <v>heat, residential, by combustion of hydrogen using CHP, allocated by exergy, transported by pipeline, produced by Electrolysis, SOEC using water and electricity from Solar PV (DE)</v>
      </c>
    </row>
    <row r="7350" spans="1:22" x14ac:dyDescent="0.2">
      <c r="A7350" t="str">
        <f>VLOOKUP(J7350,'dataset mapping'!$A$4:$E$69,2,0)</f>
        <v>heat and power co-generation unit construction, 160kW electrical, common components for heat+electricity</v>
      </c>
      <c r="B7350" s="52">
        <f>(1/(B7339*B7343*B7342*3.6))*B7344</f>
        <v>1.270649883812899E-9</v>
      </c>
      <c r="C7350" t="str">
        <f>VLOOKUP(J7350,'dataset mapping'!$A$4:$E$69,5,0)</f>
        <v>unit</v>
      </c>
      <c r="E7350" t="str">
        <f>VLOOKUP(J7350,'dataset mapping'!$A$4:$E$69,4,0)</f>
        <v>RER</v>
      </c>
      <c r="F7350" t="s">
        <v>86</v>
      </c>
      <c r="G7350" t="str">
        <f>VLOOKUP(J7350,'dataset mapping'!$A$4:$E$69,3,0)</f>
        <v>heat and power co-generation unit, 160kW electrical, common components for heat+electricity</v>
      </c>
      <c r="H7350" t="s">
        <v>88</v>
      </c>
      <c r="J7350" t="s">
        <v>145</v>
      </c>
      <c r="K7350" t="str">
        <f>B7310</f>
        <v>heat, residential, by combustion of hydrogen using CHP, allocated by exergy, transported by pipeline, produced by Electrolysis, SOEC using water and electricity from Solar PV (DE)</v>
      </c>
      <c r="L7350">
        <f t="shared" ref="L7350:L7357" si="301">IF(OR(B7350&lt;0,B7350=0),1,2)</f>
        <v>2</v>
      </c>
      <c r="M7350">
        <f t="shared" ref="M7350:M7357" si="302">IF(L7350=2,LN(B7350),"")</f>
        <v>-20.48373734782199</v>
      </c>
      <c r="N7350">
        <v>1.05</v>
      </c>
      <c r="O7350" s="15">
        <v>1.2</v>
      </c>
      <c r="P7350">
        <v>1</v>
      </c>
      <c r="Q7350">
        <v>1.01</v>
      </c>
      <c r="R7350">
        <v>1.2</v>
      </c>
      <c r="S7350">
        <v>1.2</v>
      </c>
      <c r="T7350">
        <v>3</v>
      </c>
      <c r="U7350">
        <f t="shared" ref="U7350:U7357" si="303">LN(SQRT(EXP(
SQRT(
+POWER(LN(N7350),2)
+POWER(LN(O7350),2)
+POWER(LN(P7350),2)
+POWER(LN(Q7350),2)
+POWER(LN(R7350),2)
+POWER(LN(S7350),2)
+POWER(LN(T7350),2)
)
)))</f>
        <v>0.57209088006881903</v>
      </c>
    </row>
    <row r="7351" spans="1:22" x14ac:dyDescent="0.2">
      <c r="A7351" t="str">
        <f>VLOOKUP(J7351,'dataset mapping'!$A$4:$E$69,2,0)</f>
        <v>heat and power co-generation unit construction, 160kW electrical, components for electricity only</v>
      </c>
      <c r="B7351" s="52">
        <f>(1/(B7339*B7343*B7342*3.6))*B7344</f>
        <v>1.270649883812899E-9</v>
      </c>
      <c r="C7351" t="str">
        <f>VLOOKUP(J7351,'dataset mapping'!$A$4:$E$69,5,0)</f>
        <v>unit</v>
      </c>
      <c r="E7351" t="str">
        <f>VLOOKUP(J7351,'dataset mapping'!$A$4:$E$69,4,0)</f>
        <v>RER</v>
      </c>
      <c r="F7351" t="s">
        <v>86</v>
      </c>
      <c r="G7351" t="str">
        <f>VLOOKUP(J7351,'dataset mapping'!$A$4:$E$69,3,0)</f>
        <v>heat and power co-generation unit, 160kW electrical, components for electricity only</v>
      </c>
      <c r="H7351" t="s">
        <v>88</v>
      </c>
      <c r="J7351" t="s">
        <v>146</v>
      </c>
      <c r="K7351" t="str">
        <f>B7310</f>
        <v>heat, residential, by combustion of hydrogen using CHP, allocated by exergy, transported by pipeline, produced by Electrolysis, SOEC using water and electricity from Solar PV (DE)</v>
      </c>
      <c r="L7351">
        <f t="shared" si="301"/>
        <v>2</v>
      </c>
      <c r="M7351">
        <f t="shared" si="302"/>
        <v>-20.48373734782199</v>
      </c>
      <c r="N7351">
        <v>1.05</v>
      </c>
      <c r="O7351" s="15">
        <v>1.2</v>
      </c>
      <c r="P7351">
        <v>1</v>
      </c>
      <c r="Q7351">
        <v>1.01</v>
      </c>
      <c r="R7351">
        <v>1.2</v>
      </c>
      <c r="S7351">
        <v>1.2</v>
      </c>
      <c r="T7351">
        <v>3</v>
      </c>
      <c r="U7351">
        <f t="shared" si="303"/>
        <v>0.57209088006881903</v>
      </c>
    </row>
    <row r="7352" spans="1:22" x14ac:dyDescent="0.2">
      <c r="A7352" t="str">
        <f>VLOOKUP(J7352,'dataset mapping'!$A$4:$E$69,2,0)</f>
        <v>heat and power co-generation unit construction, 160kW electrical, components for heat only</v>
      </c>
      <c r="B7352" s="52">
        <f>(1/(B7339*B7343*B7342*3.6))*B7344</f>
        <v>1.270649883812899E-9</v>
      </c>
      <c r="C7352" t="str">
        <f>VLOOKUP(J7352,'dataset mapping'!$A$4:$E$69,5,0)</f>
        <v>unit</v>
      </c>
      <c r="E7352" t="str">
        <f>VLOOKUP(J7352,'dataset mapping'!$A$4:$E$69,4,0)</f>
        <v>RER</v>
      </c>
      <c r="F7352" t="s">
        <v>86</v>
      </c>
      <c r="G7352" t="str">
        <f>VLOOKUP(J7352,'dataset mapping'!$A$4:$E$69,3,0)</f>
        <v>heat and power co-generation unit, 160kW electrical, components for heat only</v>
      </c>
      <c r="H7352" t="s">
        <v>88</v>
      </c>
      <c r="J7352" t="s">
        <v>147</v>
      </c>
      <c r="K7352" t="str">
        <f>B7310</f>
        <v>heat, residential, by combustion of hydrogen using CHP, allocated by exergy, transported by pipeline, produced by Electrolysis, SOEC using water and electricity from Solar PV (DE)</v>
      </c>
      <c r="L7352">
        <f t="shared" si="301"/>
        <v>2</v>
      </c>
      <c r="M7352">
        <f t="shared" si="302"/>
        <v>-20.48373734782199</v>
      </c>
      <c r="N7352">
        <v>1.05</v>
      </c>
      <c r="O7352" s="15">
        <v>1.2</v>
      </c>
      <c r="P7352">
        <v>1</v>
      </c>
      <c r="Q7352">
        <v>1.01</v>
      </c>
      <c r="R7352">
        <v>1.2</v>
      </c>
      <c r="S7352">
        <v>1.2</v>
      </c>
      <c r="T7352">
        <v>3</v>
      </c>
      <c r="U7352">
        <f t="shared" si="303"/>
        <v>0.57209088006881903</v>
      </c>
    </row>
    <row r="7353" spans="1:22" x14ac:dyDescent="0.2">
      <c r="A7353" t="s">
        <v>156</v>
      </c>
      <c r="B7353" s="52">
        <f>0.00000011366*B7344</f>
        <v>1.461672399554354E-8</v>
      </c>
      <c r="C7353" t="s">
        <v>56</v>
      </c>
      <c r="E7353" t="s">
        <v>90</v>
      </c>
      <c r="F7353" t="s">
        <v>86</v>
      </c>
      <c r="G7353" t="s">
        <v>154</v>
      </c>
      <c r="H7353" t="s">
        <v>155</v>
      </c>
      <c r="K7353" t="str">
        <f>B7310</f>
        <v>heat, residential, by combustion of hydrogen using CHP, allocated by exergy, transported by pipeline, produced by Electrolysis, SOEC using water and electricity from Solar PV (DE)</v>
      </c>
      <c r="L7353">
        <f t="shared" si="301"/>
        <v>2</v>
      </c>
      <c r="M7353">
        <f t="shared" si="302"/>
        <v>-18.041099484645969</v>
      </c>
      <c r="N7353">
        <v>1.05</v>
      </c>
      <c r="O7353" s="15">
        <v>1.2</v>
      </c>
      <c r="P7353">
        <v>1</v>
      </c>
      <c r="Q7353">
        <v>1.01</v>
      </c>
      <c r="R7353">
        <v>1.2</v>
      </c>
      <c r="S7353">
        <v>1.2</v>
      </c>
      <c r="T7353">
        <v>1.05</v>
      </c>
      <c r="U7353">
        <f t="shared" si="303"/>
        <v>0.16169679924070957</v>
      </c>
    </row>
    <row r="7354" spans="1:22" x14ac:dyDescent="0.2">
      <c r="A7354" t="s">
        <v>157</v>
      </c>
      <c r="B7354" s="52">
        <f>0.00000011366*B7344*-1</f>
        <v>-1.461672399554354E-8</v>
      </c>
      <c r="C7354" t="s">
        <v>56</v>
      </c>
      <c r="E7354" t="s">
        <v>64</v>
      </c>
      <c r="F7354" t="s">
        <v>86</v>
      </c>
      <c r="G7354" t="s">
        <v>158</v>
      </c>
      <c r="H7354" t="s">
        <v>155</v>
      </c>
      <c r="K7354" t="str">
        <f>B7310</f>
        <v>heat, residential, by combustion of hydrogen using CHP, allocated by exergy, transported by pipeline, produced by Electrolysis, SOEC using water and electricity from Solar PV (DE)</v>
      </c>
      <c r="L7354">
        <v>2</v>
      </c>
      <c r="M7354">
        <f>IF(L7354=2,LN(B7354*-1),"")</f>
        <v>-18.041099484645969</v>
      </c>
      <c r="N7354">
        <v>1.05</v>
      </c>
      <c r="O7354" s="15">
        <v>1.2</v>
      </c>
      <c r="P7354">
        <v>1</v>
      </c>
      <c r="Q7354">
        <v>1.01</v>
      </c>
      <c r="R7354">
        <v>1.2</v>
      </c>
      <c r="S7354">
        <v>1.2</v>
      </c>
      <c r="T7354">
        <v>3</v>
      </c>
      <c r="U7354">
        <f>LN(SQRT(EXP(
SQRT(
+POWER(LN(N7354),2)
+POWER(LN(O7354),2)
+POWER(LN(P7354),2)
+POWER(LN(Q7354),2)
+POWER(LN(R7354),2)
+POWER(LN(S7354),2)
+POWER(LN(T7354),2)
)
)))</f>
        <v>0.57209088006881903</v>
      </c>
      <c r="V7354" t="b">
        <v>1</v>
      </c>
    </row>
    <row r="7355" spans="1:22" x14ac:dyDescent="0.2">
      <c r="A7355" s="45" t="str">
        <f>"hydrogen supply, transported by "&amp;B7324&amp;", produced by "&amp;B7328&amp;" using "&amp;B7329&amp;" from "&amp;B7330</f>
        <v>hydrogen supply, transported by pipeline, produced by Electrolysis, SOEC using water and electricity from Solar PV (DE)</v>
      </c>
      <c r="B7355" s="53">
        <f>(B7349/B7333)/B7332*B7344</f>
        <v>2.56995248347223E-3</v>
      </c>
      <c r="C7355" t="s">
        <v>56</v>
      </c>
      <c r="E7355" t="s">
        <v>64</v>
      </c>
      <c r="F7355" t="s">
        <v>86</v>
      </c>
      <c r="G7355" t="str">
        <f>"hydrogen, gaseous, from "&amp;B7324</f>
        <v>hydrogen, gaseous, from pipeline</v>
      </c>
      <c r="H7355" t="s">
        <v>76</v>
      </c>
      <c r="I7355" t="s">
        <v>1054</v>
      </c>
      <c r="J7355" t="s">
        <v>299</v>
      </c>
      <c r="K7355" t="str">
        <f>B7310</f>
        <v>heat, residential, by combustion of hydrogen using CHP, allocated by exergy, transported by pipeline, produced by Electrolysis, SOEC using water and electricity from Solar PV (DE)</v>
      </c>
      <c r="L7355">
        <f t="shared" si="301"/>
        <v>2</v>
      </c>
      <c r="M7355">
        <f t="shared" si="302"/>
        <v>-5.9638678691672418</v>
      </c>
      <c r="N7355">
        <v>1.05</v>
      </c>
      <c r="O7355" s="15">
        <v>1.2</v>
      </c>
      <c r="P7355">
        <v>1</v>
      </c>
      <c r="Q7355">
        <v>1.01</v>
      </c>
      <c r="R7355">
        <v>1.2</v>
      </c>
      <c r="S7355">
        <v>1.2</v>
      </c>
      <c r="T7355">
        <v>1.05</v>
      </c>
      <c r="U7355">
        <f t="shared" si="303"/>
        <v>0.16169679924070957</v>
      </c>
    </row>
    <row r="7356" spans="1:22" x14ac:dyDescent="0.2">
      <c r="A7356" t="s">
        <v>134</v>
      </c>
      <c r="B7356" s="45">
        <f>B7355*9</f>
        <v>2.3129572351250072E-2</v>
      </c>
      <c r="C7356" t="s">
        <v>56</v>
      </c>
      <c r="D7356" t="s">
        <v>100</v>
      </c>
      <c r="F7356" t="s">
        <v>99</v>
      </c>
      <c r="H7356" t="s">
        <v>131</v>
      </c>
      <c r="I7356" t="s">
        <v>1058</v>
      </c>
      <c r="K7356" t="str">
        <f>B7310</f>
        <v>heat, residential, by combustion of hydrogen using CHP, allocated by exergy, transported by pipeline, produced by Electrolysis, SOEC using water and electricity from Solar PV (DE)</v>
      </c>
      <c r="L7356">
        <f t="shared" si="301"/>
        <v>2</v>
      </c>
      <c r="M7356">
        <f t="shared" si="302"/>
        <v>-3.7666432918310226</v>
      </c>
      <c r="N7356">
        <v>1.05</v>
      </c>
      <c r="O7356" s="15">
        <v>1.2</v>
      </c>
      <c r="P7356">
        <v>1</v>
      </c>
      <c r="Q7356">
        <v>1.01</v>
      </c>
      <c r="R7356">
        <v>1.2</v>
      </c>
      <c r="S7356">
        <v>1.2</v>
      </c>
      <c r="T7356">
        <v>1.05</v>
      </c>
      <c r="U7356">
        <f t="shared" si="303"/>
        <v>0.16169679924070957</v>
      </c>
    </row>
    <row r="7357" spans="1:22" x14ac:dyDescent="0.2">
      <c r="A7357" t="s">
        <v>135</v>
      </c>
      <c r="B7357" s="45">
        <f>912.5/1000000*B7355</f>
        <v>2.3450816411684101E-6</v>
      </c>
      <c r="C7357" t="s">
        <v>56</v>
      </c>
      <c r="D7357" t="s">
        <v>100</v>
      </c>
      <c r="F7357" t="s">
        <v>99</v>
      </c>
      <c r="H7357" t="s">
        <v>131</v>
      </c>
      <c r="I7357" t="s">
        <v>1217</v>
      </c>
      <c r="K7357" t="str">
        <f>B7310</f>
        <v>heat, residential, by combustion of hydrogen using CHP, allocated by exergy, transported by pipeline, produced by Electrolysis, SOEC using water and electricity from Solar PV (DE)</v>
      </c>
      <c r="L7357">
        <f t="shared" si="301"/>
        <v>2</v>
      </c>
      <c r="M7357">
        <f t="shared" si="302"/>
        <v>-12.963190341674869</v>
      </c>
      <c r="N7357">
        <v>1.05</v>
      </c>
      <c r="O7357" s="15">
        <v>1.2</v>
      </c>
      <c r="P7357">
        <v>1</v>
      </c>
      <c r="Q7357">
        <v>1.01</v>
      </c>
      <c r="R7357">
        <v>1.2</v>
      </c>
      <c r="S7357">
        <v>1.2</v>
      </c>
      <c r="T7357">
        <v>1.5</v>
      </c>
      <c r="U7357">
        <f t="shared" si="303"/>
        <v>0.25816898211842121</v>
      </c>
    </row>
    <row r="7359" spans="1:22" x14ac:dyDescent="0.2">
      <c r="A7359" s="2" t="s">
        <v>50</v>
      </c>
      <c r="B7359" s="44" t="str">
        <f>IF(B7365="megajoule","heat","electricity")&amp;", residential, by "&amp;B7370&amp;" of "&amp;B7369&amp;" using "&amp;B7371&amp;IF(B7372&lt;&gt;0,", allocated by "&amp;B7372,"")&amp;", transported by "&amp;B7373&amp;", produced by "&amp;B7377&amp;" using "&amp;B7378&amp;" from "&amp;B7379</f>
        <v>heat, residential, by conversion of hydrogen using fuel cell, PEM, allocated by exergy, transported by pipeline, produced by Electrolysis, SOEC using water and electricity from Solar PV (DE)</v>
      </c>
    </row>
    <row r="7360" spans="1:22" x14ac:dyDescent="0.2">
      <c r="A7360" t="s">
        <v>51</v>
      </c>
      <c r="B7360" s="45" t="str">
        <f>"This dataset represents the supply of 1 "&amp;IF(B7365="megajoule","megajoule of heat","kilowatt hour of electricity")&amp;" in a residence, by "&amp;B7369&amp;" "&amp;B7370&amp;" in a "&amp;B7371&amp;". "&amp;" The hydrogen is transported by "&amp;B7373&amp;" over "&amp;B7374&amp;" km from regional storage. "&amp;" The "&amp;B7369&amp;" is produced by  "&amp;B7377&amp;", with "&amp;B7378&amp;" from "&amp;B7379&amp;" as feedstock. "&amp;A7381&amp;": "&amp;(B7381*100)&amp;"%. "&amp;A7382&amp;": "&amp;B7382&amp;". "&amp;A7383&amp;": "&amp;B7383&amp;". "&amp;A7384&amp;": "&amp;(B7384*100)&amp;"%. "&amp;A7385&amp;": "&amp;(B7385*100)&amp;"%. "&amp;A7386&amp;": "&amp;(B7386*100)&amp;"%. "&amp;A7387&amp;": "&amp;B7387&amp;". "&amp;A7388&amp;": "&amp;B7388&amp;". "&amp;A7389&amp;": "&amp;(B7389*100)&amp;"%. "&amp;A7390&amp;": "&amp;B7390&amp;". "&amp;A7391&amp;": "&amp;B7391&amp;". "&amp;A7392&amp;": "&amp;B7392&amp;". "&amp;A7393&amp;": "&amp;B7393&amp;".  For more information, refer to: "&amp;B7361</f>
        <v>This dataset represents the supply of 1 megajoule of heat in a residence, by hydrogen conversion in a fuel cell, PEM.  The hydrogen is transported by pipeline over 1000 km from regional storage.  The hydrogen is produced by  Electrolysis, SOEC,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7361" spans="1:2" x14ac:dyDescent="0.2">
      <c r="A7361" t="s">
        <v>63</v>
      </c>
      <c r="B7361" s="45" t="s">
        <v>1223</v>
      </c>
    </row>
    <row r="7362" spans="1:2" x14ac:dyDescent="0.2">
      <c r="A7362" t="s">
        <v>52</v>
      </c>
      <c r="B7362" s="45" t="s">
        <v>64</v>
      </c>
    </row>
    <row r="7363" spans="1:2" x14ac:dyDescent="0.2">
      <c r="A7363" t="s">
        <v>48</v>
      </c>
      <c r="B7363" s="45">
        <v>91</v>
      </c>
    </row>
    <row r="7364" spans="1:2" x14ac:dyDescent="0.2">
      <c r="A7364" t="s">
        <v>54</v>
      </c>
      <c r="B7364" s="45" t="str">
        <f>INDEX(overview!$B$4:$R$338,MATCH('hydrogen - electrolysis'!B7363,overview!$A$4:$A$338,0),MATCH('hydrogen - electrolysis'!A7364,overview!$B$3:$R$3,0))</f>
        <v>heat, from residential heating system</v>
      </c>
    </row>
    <row r="7365" spans="1:2" x14ac:dyDescent="0.2">
      <c r="A7365" t="s">
        <v>55</v>
      </c>
      <c r="B7365" s="45" t="str">
        <f>INDEX(overview!$B$4:$R$338,MATCH('hydrogen - electrolysis'!B7363,overview!$A$4:$A$338,0),MATCH('hydrogen - electrolysis'!A7365,overview!$B$3:$R$3,0))</f>
        <v>megajoule</v>
      </c>
    </row>
    <row r="7366" spans="1:2" x14ac:dyDescent="0.2">
      <c r="A7366" t="s">
        <v>0</v>
      </c>
      <c r="B7366" s="45" t="str">
        <f>INDEX(overview!$B$4:$R$338,MATCH('hydrogen - electrolysis'!B7363,overview!$A$4:$A$338,0),MATCH('hydrogen - electrolysis'!A7366,overview!$B$3:$R$3,0))</f>
        <v>Switzerland</v>
      </c>
    </row>
    <row r="7367" spans="1:2" x14ac:dyDescent="0.2">
      <c r="A7367" t="s">
        <v>1</v>
      </c>
      <c r="B7367" s="45">
        <f>INDEX(overview!$B$4:$R$338,MATCH('hydrogen - electrolysis'!B7363,overview!$A$4:$A$338,0),MATCH('hydrogen - electrolysis'!A7367,overview!$B$3:$R$3,0))</f>
        <v>2020</v>
      </c>
    </row>
    <row r="7368" spans="1:2" x14ac:dyDescent="0.2">
      <c r="A7368" t="s">
        <v>2</v>
      </c>
      <c r="B7368" s="45" t="str">
        <f>INDEX(overview!$B$4:$R$338,MATCH('hydrogen - electrolysis'!B7363,overview!$A$4:$A$338,0),MATCH('hydrogen - electrolysis'!A7368,overview!$B$3:$R$3,0))</f>
        <v>1 MJ heat</v>
      </c>
    </row>
    <row r="7369" spans="1:2" x14ac:dyDescent="0.2">
      <c r="A7369" t="s">
        <v>5</v>
      </c>
      <c r="B7369" s="45" t="str">
        <f>INDEX(overview!$B$4:$R$338,MATCH('hydrogen - electrolysis'!B7363,overview!$A$4:$A$338,0),MATCH('hydrogen - electrolysis'!A7369,overview!$B$3:$R$3,0))</f>
        <v>hydrogen</v>
      </c>
    </row>
    <row r="7370" spans="1:2" x14ac:dyDescent="0.2">
      <c r="A7370" t="s">
        <v>3</v>
      </c>
      <c r="B7370" s="45" t="str">
        <f>INDEX(overview!$B$4:$R$338,MATCH('hydrogen - electrolysis'!B7363,overview!$A$4:$A$338,0),MATCH('hydrogen - electrolysis'!A7370,overview!$B$3:$R$3,0))</f>
        <v>conversion</v>
      </c>
    </row>
    <row r="7371" spans="1:2" x14ac:dyDescent="0.2">
      <c r="A7371" t="s">
        <v>6</v>
      </c>
      <c r="B7371" s="45" t="str">
        <f>INDEX(overview!$B$4:$R$338,MATCH('hydrogen - electrolysis'!B7363,overview!$A$4:$A$338,0),MATCH('hydrogen - electrolysis'!A7371,overview!$B$3:$R$3,0))</f>
        <v>fuel cell, PEM</v>
      </c>
    </row>
    <row r="7372" spans="1:2" x14ac:dyDescent="0.2">
      <c r="A7372" t="s">
        <v>39</v>
      </c>
      <c r="B7372" s="45" t="str">
        <f>INDEX(overview!$B$4:$R$338,MATCH('hydrogen - electrolysis'!B7363,overview!$A$4:$A$338,0),MATCH('hydrogen - electrolysis'!A7372,overview!$B$3:$R$3,0))</f>
        <v>exergy</v>
      </c>
    </row>
    <row r="7373" spans="1:2" x14ac:dyDescent="0.2">
      <c r="A7373" t="s">
        <v>4</v>
      </c>
      <c r="B7373" s="45" t="str">
        <f>INDEX(overview!$B$4:$R$338,MATCH('hydrogen - electrolysis'!B7363,overview!$A$4:$A$338,0),MATCH('hydrogen - electrolysis'!A7373,overview!$B$3:$R$3,0))</f>
        <v>pipeline</v>
      </c>
    </row>
    <row r="7374" spans="1:2" x14ac:dyDescent="0.2">
      <c r="A7374" t="s">
        <v>38</v>
      </c>
      <c r="B7374" s="45">
        <f>INDEX(overview!$B$4:$R$338,MATCH('hydrogen - electrolysis'!B7363,overview!$A$4:$A$338,0),MATCH('hydrogen - electrolysis'!A7374,overview!$B$3:$R$3,0))</f>
        <v>1000</v>
      </c>
    </row>
    <row r="7375" spans="1:2" x14ac:dyDescent="0.2">
      <c r="A7375" t="s">
        <v>12</v>
      </c>
      <c r="B7375" s="45" t="str">
        <f>INDEX(overview!$B$4:$R$338,MATCH('hydrogen - electrolysis'!B7363,overview!$A$4:$A$338,0),MATCH('hydrogen - electrolysis'!A7375,overview!$B$3:$R$3,0))</f>
        <v>Pressure vessel for stationary storage</v>
      </c>
    </row>
    <row r="7376" spans="1:2" x14ac:dyDescent="0.2">
      <c r="A7376" t="s">
        <v>34</v>
      </c>
      <c r="B7376" s="45">
        <f>INDEX(overview!$B$4:$R$338,MATCH('hydrogen - electrolysis'!B7363,overview!$A$4:$A$338,0),MATCH('hydrogen - electrolysis'!A7376,overview!$B$3:$R$3,0))</f>
        <v>0</v>
      </c>
    </row>
    <row r="7377" spans="1:2" x14ac:dyDescent="0.2">
      <c r="A7377" t="s">
        <v>15</v>
      </c>
      <c r="B7377" s="45" t="str">
        <f>INDEX(overview!$B$4:$R$338,MATCH('hydrogen - electrolysis'!B7363,overview!$A$4:$A$338,0),MATCH('hydrogen - electrolysis'!A7377,overview!$B$3:$R$3,0))</f>
        <v>Electrolysis, SOEC</v>
      </c>
    </row>
    <row r="7378" spans="1:2" x14ac:dyDescent="0.2">
      <c r="A7378" t="s">
        <v>14</v>
      </c>
      <c r="B7378" s="45" t="str">
        <f>INDEX(overview!$B$4:$R$338,MATCH('hydrogen - electrolysis'!B7363,overview!$A$4:$A$338,0),MATCH('hydrogen - electrolysis'!A7378,overview!$B$3:$R$3,0))</f>
        <v>water and electricity</v>
      </c>
    </row>
    <row r="7379" spans="1:2" x14ac:dyDescent="0.2">
      <c r="A7379" t="s">
        <v>26</v>
      </c>
      <c r="B7379" s="45" t="str">
        <f>INDEX(overview!$B$4:$R$338,MATCH('hydrogen - electrolysis'!B7363,overview!$A$4:$A$338,0),MATCH('hydrogen - electrolysis'!A7379,overview!$B$3:$R$3,0))</f>
        <v>Solar PV (DE)</v>
      </c>
    </row>
    <row r="7380" spans="1:2" x14ac:dyDescent="0.2">
      <c r="A7380" t="s">
        <v>29</v>
      </c>
      <c r="B7380" s="45">
        <f>INDEX(overview!$B$4:$R$338,MATCH('hydrogen - electrolysis'!B7363,overview!$A$4:$A$338,0),MATCH('hydrogen - electrolysis'!A7380,overview!$B$3:$R$3,0))</f>
        <v>0</v>
      </c>
    </row>
    <row r="7381" spans="1:2" x14ac:dyDescent="0.2">
      <c r="A7381" t="str">
        <f>IF(B7365="megajoule","Heat","Electricity")&amp;" conversion efficiency [% LHV input]"</f>
        <v>Heat conversion efficiency [% LHV input]</v>
      </c>
      <c r="B7381" s="46">
        <f>INDEX(parameters!$D$4:$N$20,MATCH('hydrogen - electrolysis'!B7369&amp;'hydrogen - electrolysis'!B7371,parameters!$A$4:$A$20,0),MATCH('hydrogen - electrolysis'!A7381,parameters!$D$3:$N$3,0))</f>
        <v>0.5</v>
      </c>
    </row>
    <row r="7382" spans="1:2" x14ac:dyDescent="0.2">
      <c r="A7382" t="str">
        <f>IF(B7365="megajoule","LHV [MJ/kg]","LHV [kWh/kg]")</f>
        <v>LHV [MJ/kg]</v>
      </c>
      <c r="B7382" s="47">
        <f>INDEX(parameters!$D$4:$N$20,MATCH('hydrogen - electrolysis'!B7369&amp;'hydrogen - electrolysis'!B7371,parameters!$A$4:$A$20,0),MATCH('hydrogen - electrolysis'!A7382,parameters!$D$3:$N$3,0))</f>
        <v>120</v>
      </c>
    </row>
    <row r="7383" spans="1:2" x14ac:dyDescent="0.2">
      <c r="A7383" t="s">
        <v>41</v>
      </c>
      <c r="B7383" s="48">
        <f>INDEX(parameters!$D$4:$N$20,MATCH('hydrogen - electrolysis'!B7369&amp;'hydrogen - electrolysis'!B7371,parameters!$A$4:$A$20,0),MATCH('hydrogen - electrolysis'!A7383,parameters!$D$3:$N$3,0))</f>
        <v>2.6666666666666665E-2</v>
      </c>
    </row>
    <row r="7384" spans="1:2" x14ac:dyDescent="0.2">
      <c r="A7384" t="s">
        <v>45</v>
      </c>
      <c r="B7384" s="46">
        <f>INDEX(parameters!$D$4:$N$20,MATCH('hydrogen - electrolysis'!B7369&amp;'hydrogen - electrolysis'!B7371,parameters!$A$4:$A$20,0),MATCH('hydrogen - electrolysis'!A7384,parameters!$D$3:$N$3,0))</f>
        <v>0</v>
      </c>
    </row>
    <row r="7385" spans="1:2" x14ac:dyDescent="0.2">
      <c r="A7385" t="s">
        <v>46</v>
      </c>
      <c r="B7385" s="46">
        <f>INDEX(parameters!$D$4:$N$20,MATCH('hydrogen - electrolysis'!B7369&amp;'hydrogen - electrolysis'!B7371,parameters!$A$4:$A$20,0),MATCH('hydrogen - electrolysis'!A7385,parameters!$D$3:$N$3,0))</f>
        <v>1.4999999999999999E-2</v>
      </c>
    </row>
    <row r="7386" spans="1:2" x14ac:dyDescent="0.2">
      <c r="A7386" t="s">
        <v>43</v>
      </c>
      <c r="B7386" s="46">
        <f>INDEX(parameters!$D$4:$N$20,MATCH('hydrogen - electrolysis'!B7369&amp;'hydrogen - electrolysis'!B7371,parameters!$A$4:$A$20,0),MATCH('hydrogen - electrolysis'!A7386,parameters!$D$3:$N$3,0))</f>
        <v>0</v>
      </c>
    </row>
    <row r="7387" spans="1:2" x14ac:dyDescent="0.2">
      <c r="A7387" t="s">
        <v>44</v>
      </c>
      <c r="B7387" s="46">
        <f>INDEX(parameters!$D$4:$N$20,MATCH('hydrogen - electrolysis'!B7369&amp;'hydrogen - electrolysis'!B7371,parameters!$A$4:$A$20,0),MATCH('hydrogen - electrolysis'!A7387,parameters!$D$3:$N$3,0))</f>
        <v>0</v>
      </c>
    </row>
    <row r="7388" spans="1:2" x14ac:dyDescent="0.2">
      <c r="A7388" t="s">
        <v>634</v>
      </c>
      <c r="B7388" s="51">
        <f>INDEX(parameters!$D$4:$Y$20,MATCH('hydrogen - electrolysis'!B7369&amp;'hydrogen - electrolysis'!B7371,parameters!$A$4:$A$20,0),MATCH('hydrogen - electrolysis'!A7388,parameters!$D$3:$Y$3,0))</f>
        <v>1.8947368421052633</v>
      </c>
    </row>
    <row r="7389" spans="1:2" x14ac:dyDescent="0.2">
      <c r="A7389" t="s">
        <v>82</v>
      </c>
      <c r="B7389" s="46">
        <f>IF(B7380&lt;&gt;0,VLOOKUP(B7380,parameters!A4667:B4669,2,0),0)</f>
        <v>0</v>
      </c>
    </row>
    <row r="7390" spans="1:2" x14ac:dyDescent="0.2">
      <c r="A7390" t="s">
        <v>548</v>
      </c>
      <c r="B7390" s="50">
        <f>INDEX(parameters!$D$4:$P$20,MATCH(B7369&amp;B7371,parameters!$A$4:$A$20,0),MATCH(A7390,parameters!$D$3:$P$3,0))</f>
        <v>0.8</v>
      </c>
    </row>
    <row r="7391" spans="1:2" x14ac:dyDescent="0.2">
      <c r="A7391" t="s">
        <v>547</v>
      </c>
      <c r="B7391" s="51">
        <f>INDEX(parameters!$D$4:$P$20,MATCH(B7369&amp;B7371,parameters!$A$4:$A$20,0),MATCH(A7391,parameters!$D$3:$P$3,0))</f>
        <v>4.8780487804878048</v>
      </c>
    </row>
    <row r="7392" spans="1:2" x14ac:dyDescent="0.2">
      <c r="A7392" t="s">
        <v>630</v>
      </c>
      <c r="B7392" s="51">
        <f>INDEX(parameters!$D$4:$T$20,MATCH(B7369&amp;B7371,parameters!$A$4:$A$20,0),MATCH(A7392,parameters!$D$3:$T$3,0))</f>
        <v>4100</v>
      </c>
    </row>
    <row r="7393" spans="1:22" x14ac:dyDescent="0.2">
      <c r="A7393" t="s">
        <v>1005</v>
      </c>
      <c r="B7393" s="50">
        <f>IF(B7365="megajoule",SUMIFS(allocation!$I$4:$I$30,allocation!$B$4:$B$30,B7371,allocation!$C$4:$C$30,B7372),SUMIFS(allocation!$J$4:$J$30,allocation!$B$4:$B$30,B7371,allocation!$C$4:$C$30,B7372))</f>
        <v>0.13933980798974457</v>
      </c>
    </row>
    <row r="7394" spans="1:22" x14ac:dyDescent="0.2">
      <c r="A7394" t="s">
        <v>1050</v>
      </c>
      <c r="B7394" s="51">
        <f>INDEX(parameters!$D$4:$AB$20,MATCH(B7369&amp;B7371,parameters!$A$4:$A$20,0),MATCH(A7394,parameters!$D$3:$AB$3,0))</f>
        <v>10.221606648199446</v>
      </c>
    </row>
    <row r="7396" spans="1:22" x14ac:dyDescent="0.2">
      <c r="A7396" s="3" t="s">
        <v>57</v>
      </c>
    </row>
    <row r="7397" spans="1:22" x14ac:dyDescent="0.2">
      <c r="A7397" s="2" t="s">
        <v>58</v>
      </c>
      <c r="B7397" s="44" t="s">
        <v>59</v>
      </c>
      <c r="C7397" s="2" t="s">
        <v>55</v>
      </c>
      <c r="D7397" s="2" t="s">
        <v>60</v>
      </c>
      <c r="E7397" s="2" t="s">
        <v>52</v>
      </c>
      <c r="F7397" s="2" t="s">
        <v>61</v>
      </c>
      <c r="G7397" s="2" t="s">
        <v>54</v>
      </c>
      <c r="H7397" s="2" t="s">
        <v>87</v>
      </c>
      <c r="I7397" s="2" t="s">
        <v>51</v>
      </c>
      <c r="J7397" s="2" t="s">
        <v>138</v>
      </c>
      <c r="K7397" s="2" t="s">
        <v>136</v>
      </c>
      <c r="L7397" s="2" t="s">
        <v>221</v>
      </c>
      <c r="M7397" s="2" t="s">
        <v>379</v>
      </c>
      <c r="N7397" s="2" t="s">
        <v>1059</v>
      </c>
      <c r="O7397" s="2" t="s">
        <v>1060</v>
      </c>
      <c r="P7397" s="2" t="s">
        <v>1061</v>
      </c>
      <c r="Q7397" s="2" t="s">
        <v>1062</v>
      </c>
      <c r="R7397" s="2" t="s">
        <v>1063</v>
      </c>
      <c r="S7397" s="2" t="s">
        <v>1064</v>
      </c>
      <c r="T7397" s="2" t="s">
        <v>1065</v>
      </c>
      <c r="U7397" s="2" t="s">
        <v>380</v>
      </c>
      <c r="V7397" s="2" t="s">
        <v>1128</v>
      </c>
    </row>
    <row r="7398" spans="1:22" x14ac:dyDescent="0.2">
      <c r="A7398" t="str">
        <f>B7359</f>
        <v>heat, residential, by conversion of hydrogen using fuel cell, PEM, allocated by exergy, transported by pipeline, produced by Electrolysis, SOEC using water and electricity from Solar PV (DE)</v>
      </c>
      <c r="B7398" s="45">
        <v>1</v>
      </c>
      <c r="C7398" t="str">
        <f>B7365</f>
        <v>megajoule</v>
      </c>
      <c r="E7398" t="str">
        <f>B7362</f>
        <v>CH</v>
      </c>
      <c r="F7398" t="s">
        <v>62</v>
      </c>
      <c r="G7398" t="str">
        <f>B7364</f>
        <v>heat, from residential heating system</v>
      </c>
      <c r="K7398" t="str">
        <f>B7359</f>
        <v>heat, residential, by conversion of hydrogen using fuel cell, PEM, allocated by exergy, transported by pipeline, produced by Electrolysis, SOEC using water and electricity from Solar PV (DE)</v>
      </c>
    </row>
    <row r="7399" spans="1:22" x14ac:dyDescent="0.2">
      <c r="A7399" t="str">
        <f>VLOOKUP(J7399,'dataset mapping'!$A$4:$E$69,2,0)</f>
        <v>fuel cell system assembly, 1 kWe, proton exchange membrane (PEM)</v>
      </c>
      <c r="B7399" s="52">
        <f>(1/(B7388*B7392*B7391*3.6))*B7393</f>
        <v>1.0213951974556892E-6</v>
      </c>
      <c r="C7399" t="str">
        <f>VLOOKUP(J7399,'dataset mapping'!$A$4:$E$69,5,0)</f>
        <v>unit</v>
      </c>
      <c r="E7399" t="str">
        <f>VLOOKUP(J7399,'dataset mapping'!$A$4:$E$69,4,0)</f>
        <v>GLO</v>
      </c>
      <c r="F7399" t="s">
        <v>86</v>
      </c>
      <c r="G7399" t="str">
        <f>VLOOKUP(J7399,'dataset mapping'!$A$4:$E$69,3,0)</f>
        <v>fuel cell system, 1 kWe, proton exchange membrane (PEM)</v>
      </c>
      <c r="H7399" t="s">
        <v>88</v>
      </c>
      <c r="I7399" t="s">
        <v>272</v>
      </c>
      <c r="J7399" t="s">
        <v>273</v>
      </c>
      <c r="K7399" t="str">
        <f>B7359</f>
        <v>heat, residential, by conversion of hydrogen using fuel cell, PEM, allocated by exergy, transported by pipeline, produced by Electrolysis, SOEC using water and electricity from Solar PV (DE)</v>
      </c>
      <c r="L7399">
        <f>IF(OR(B7399&lt;0,B7399=0),1,2)</f>
        <v>2</v>
      </c>
      <c r="M7399">
        <f>IF(L7399=2,LN(B7399),"")</f>
        <v>-13.794341024667077</v>
      </c>
      <c r="N7399">
        <v>1</v>
      </c>
      <c r="O7399" s="15">
        <v>1.2</v>
      </c>
      <c r="P7399">
        <v>1</v>
      </c>
      <c r="Q7399">
        <v>1.01</v>
      </c>
      <c r="R7399">
        <v>1.2</v>
      </c>
      <c r="S7399">
        <v>1.2</v>
      </c>
      <c r="T7399">
        <v>3</v>
      </c>
      <c r="U7399">
        <f>LN(SQRT(EXP(
SQRT(
+POWER(LN(N7399),2)
+POWER(LN(O7399),2)
+POWER(LN(P7399),2)
+POWER(LN(Q7399),2)
+POWER(LN(R7399),2)
+POWER(LN(S7399),2)
+POWER(LN(T7399),2)
)
)))</f>
        <v>0.57157051623399524</v>
      </c>
    </row>
    <row r="7400" spans="1:22" x14ac:dyDescent="0.2">
      <c r="A7400" s="45" t="str">
        <f>"hydrogen supply, transported by "&amp;B7373&amp;", produced by "&amp;B7377&amp;" using "&amp;B7378&amp;" from "&amp;B7379</f>
        <v>hydrogen supply, transported by pipeline, produced by Electrolysis, SOEC using water and electricity from Solar PV (DE)</v>
      </c>
      <c r="B7400" s="53">
        <f>(B7398/B7382)/B7381*B7393</f>
        <v>2.3223301331624095E-3</v>
      </c>
      <c r="C7400" t="s">
        <v>56</v>
      </c>
      <c r="E7400" t="s">
        <v>64</v>
      </c>
      <c r="F7400" t="s">
        <v>86</v>
      </c>
      <c r="G7400" t="str">
        <f>"hydrogen, gaseous, from "&amp;B7373</f>
        <v>hydrogen, gaseous, from pipeline</v>
      </c>
      <c r="H7400" t="s">
        <v>76</v>
      </c>
      <c r="I7400" t="s">
        <v>1054</v>
      </c>
      <c r="J7400" t="s">
        <v>299</v>
      </c>
      <c r="K7400" t="str">
        <f>B7359</f>
        <v>heat, residential, by conversion of hydrogen using fuel cell, PEM, allocated by exergy, transported by pipeline, produced by Electrolysis, SOEC using water and electricity from Solar PV (DE)</v>
      </c>
      <c r="L7400">
        <f>IF(OR(B7400&lt;0,B7400=0),1,2)</f>
        <v>2</v>
      </c>
      <c r="M7400">
        <f>IF(L7400=2,LN(B7400),"")</f>
        <v>-6.0651842296013152</v>
      </c>
      <c r="N7400">
        <v>1</v>
      </c>
      <c r="O7400" s="15">
        <v>1.2</v>
      </c>
      <c r="P7400">
        <v>1</v>
      </c>
      <c r="Q7400">
        <v>1.01</v>
      </c>
      <c r="R7400">
        <v>1.2</v>
      </c>
      <c r="S7400">
        <v>1.2</v>
      </c>
      <c r="T7400">
        <v>1.05</v>
      </c>
      <c r="U7400">
        <f>LN(SQRT(EXP(
SQRT(
+POWER(LN(N7400),2)
+POWER(LN(O7400),2)
+POWER(LN(P7400),2)
+POWER(LN(Q7400),2)
+POWER(LN(R7400),2)
+POWER(LN(S7400),2)
+POWER(LN(T7400),2)
)
)))</f>
        <v>0.15984597228197622</v>
      </c>
    </row>
    <row r="7401" spans="1:22" x14ac:dyDescent="0.2">
      <c r="A7401" t="s">
        <v>134</v>
      </c>
      <c r="B7401" s="53">
        <f>B7400*9</f>
        <v>2.0900971198461685E-2</v>
      </c>
      <c r="C7401" t="s">
        <v>56</v>
      </c>
      <c r="D7401" t="s">
        <v>100</v>
      </c>
      <c r="F7401" t="s">
        <v>99</v>
      </c>
      <c r="H7401" t="s">
        <v>131</v>
      </c>
      <c r="I7401" t="s">
        <v>1057</v>
      </c>
      <c r="K7401" t="str">
        <f>B7359</f>
        <v>heat, residential, by conversion of hydrogen using fuel cell, PEM, allocated by exergy, transported by pipeline, produced by Electrolysis, SOEC using water and electricity from Solar PV (DE)</v>
      </c>
      <c r="L7401">
        <f>IF(OR(B7401&lt;0,B7401=0),1,2)</f>
        <v>2</v>
      </c>
      <c r="M7401">
        <f>IF(L7401=2,LN(B7401),"")</f>
        <v>-3.8679596522650961</v>
      </c>
      <c r="N7401">
        <v>1</v>
      </c>
      <c r="O7401" s="15">
        <v>1.2</v>
      </c>
      <c r="P7401">
        <v>1</v>
      </c>
      <c r="Q7401">
        <v>1.01</v>
      </c>
      <c r="R7401">
        <v>1.2</v>
      </c>
      <c r="S7401">
        <v>1.2</v>
      </c>
      <c r="T7401">
        <v>1.05</v>
      </c>
      <c r="U7401">
        <f>LN(SQRT(EXP(
SQRT(
+POWER(LN(N7401),2)
+POWER(LN(O7401),2)
+POWER(LN(P7401),2)
+POWER(LN(Q7401),2)
+POWER(LN(R7401),2)
+POWER(LN(S7401),2)
+POWER(LN(T7401),2)
)
)))</f>
        <v>0.15984597228197622</v>
      </c>
    </row>
    <row r="7403" spans="1:22" x14ac:dyDescent="0.2">
      <c r="A7403" s="2" t="s">
        <v>50</v>
      </c>
      <c r="B7403" s="44" t="str">
        <f>IF(B7409="megajoule","heat","electricity")&amp;", residential, by "&amp;B7414&amp;" of "&amp;B7413&amp;" using "&amp;B7415&amp;IF(B7416&lt;&gt;0,", allocated by "&amp;B7416,"")&amp;", transported by "&amp;B7417&amp;", produced by "&amp;B7421&amp;" using "&amp;B7422&amp;" from "&amp;B7423</f>
        <v>heat, residential, by conversion of hydrogen using fuel cell, SOFC, allocated by exergy, transported by pipeline, produced by Electrolysis, SOEC using water and electricity from Solar PV (DE)</v>
      </c>
    </row>
    <row r="7404" spans="1:22" x14ac:dyDescent="0.2">
      <c r="A7404" t="s">
        <v>51</v>
      </c>
      <c r="B7404" s="45" t="str">
        <f>"This dataset represents the supply of 1 "&amp;IF(B7409="megajoule","megajoule of heat","kilowatt hour of electricity")&amp;" in a residence, by "&amp;B7413&amp;" "&amp;B7414&amp;" in a "&amp;B7415&amp;". "&amp;" The hydrogen is transported by "&amp;B7417&amp;" over "&amp;B7418&amp;" km from regional storage. "&amp;" The "&amp;B7413&amp;" is produced by  "&amp;B7421&amp;", with "&amp;B7422&amp;" from "&amp;B7423&amp;" as feedstock. "&amp;A7425&amp;": "&amp;(B7425*100)&amp;"%. "&amp;A7426&amp;": "&amp;B7426&amp;". "&amp;A7427&amp;": "&amp;B7427&amp;". "&amp;A7428&amp;": "&amp;(B7428*100)&amp;"%. "&amp;A7429&amp;": "&amp;(B7429*100)&amp;"%. "&amp;A7430&amp;": "&amp;(B7430*100)&amp;"%. "&amp;A7431&amp;": "&amp;B7431&amp;". "&amp;A7432&amp;": "&amp;B7432&amp;". "&amp;A7433&amp;": "&amp;(B7433*100)&amp;"%. "&amp;A7434&amp;": "&amp;B7434&amp;". "&amp;A7435&amp;": "&amp;B7435&amp;". "&amp;A7436&amp;": "&amp;B7436&amp;". "&amp;A7437&amp;": "&amp;B7437&amp;".  For more information, refer to: "&amp;B7405</f>
        <v>This dataset represents the supply of 1 megajoule of heat in a residence, by hydrogen conversion in a fuel cell, SOFC.  The hydrogen is transported by pipeline over 1000 km from regional storage.  The hydrogen is produced by  Electrolysis, SOEC,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7405" spans="1:22" x14ac:dyDescent="0.2">
      <c r="A7405" t="s">
        <v>63</v>
      </c>
      <c r="B7405" s="45" t="s">
        <v>1223</v>
      </c>
    </row>
    <row r="7406" spans="1:22" x14ac:dyDescent="0.2">
      <c r="A7406" t="s">
        <v>52</v>
      </c>
      <c r="B7406" s="45" t="s">
        <v>64</v>
      </c>
    </row>
    <row r="7407" spans="1:22" x14ac:dyDescent="0.2">
      <c r="A7407" t="s">
        <v>48</v>
      </c>
      <c r="B7407" s="45">
        <v>92</v>
      </c>
    </row>
    <row r="7408" spans="1:22" x14ac:dyDescent="0.2">
      <c r="A7408" t="s">
        <v>54</v>
      </c>
      <c r="B7408" s="45" t="str">
        <f>INDEX(overview!$B$4:$R$338,MATCH('hydrogen - electrolysis'!B7407,overview!$A$4:$A$338,0),MATCH('hydrogen - electrolysis'!A7408,overview!$B$3:$R$3,0))</f>
        <v>heat, from residential heating system</v>
      </c>
    </row>
    <row r="7409" spans="1:2" x14ac:dyDescent="0.2">
      <c r="A7409" t="s">
        <v>55</v>
      </c>
      <c r="B7409" s="45" t="str">
        <f>INDEX(overview!$B$4:$R$338,MATCH('hydrogen - electrolysis'!B7407,overview!$A$4:$A$338,0),MATCH('hydrogen - electrolysis'!A7409,overview!$B$3:$R$3,0))</f>
        <v>megajoule</v>
      </c>
    </row>
    <row r="7410" spans="1:2" x14ac:dyDescent="0.2">
      <c r="A7410" t="s">
        <v>0</v>
      </c>
      <c r="B7410" s="45" t="str">
        <f>INDEX(overview!$B$4:$R$338,MATCH('hydrogen - electrolysis'!B7407,overview!$A$4:$A$338,0),MATCH('hydrogen - electrolysis'!A7410,overview!$B$3:$R$3,0))</f>
        <v>Switzerland</v>
      </c>
    </row>
    <row r="7411" spans="1:2" x14ac:dyDescent="0.2">
      <c r="A7411" t="s">
        <v>1</v>
      </c>
      <c r="B7411" s="45">
        <f>INDEX(overview!$B$4:$R$338,MATCH('hydrogen - electrolysis'!B7407,overview!$A$4:$A$338,0),MATCH('hydrogen - electrolysis'!A7411,overview!$B$3:$R$3,0))</f>
        <v>2020</v>
      </c>
    </row>
    <row r="7412" spans="1:2" x14ac:dyDescent="0.2">
      <c r="A7412" t="s">
        <v>2</v>
      </c>
      <c r="B7412" s="45" t="str">
        <f>INDEX(overview!$B$4:$R$338,MATCH('hydrogen - electrolysis'!B7407,overview!$A$4:$A$338,0),MATCH('hydrogen - electrolysis'!A7412,overview!$B$3:$R$3,0))</f>
        <v>1 MJ heat</v>
      </c>
    </row>
    <row r="7413" spans="1:2" x14ac:dyDescent="0.2">
      <c r="A7413" t="s">
        <v>5</v>
      </c>
      <c r="B7413" s="45" t="str">
        <f>INDEX(overview!$B$4:$R$338,MATCH('hydrogen - electrolysis'!B7407,overview!$A$4:$A$338,0),MATCH('hydrogen - electrolysis'!A7413,overview!$B$3:$R$3,0))</f>
        <v>hydrogen</v>
      </c>
    </row>
    <row r="7414" spans="1:2" x14ac:dyDescent="0.2">
      <c r="A7414" t="s">
        <v>3</v>
      </c>
      <c r="B7414" s="45" t="str">
        <f>INDEX(overview!$B$4:$R$338,MATCH('hydrogen - electrolysis'!B7407,overview!$A$4:$A$338,0),MATCH('hydrogen - electrolysis'!A7414,overview!$B$3:$R$3,0))</f>
        <v>conversion</v>
      </c>
    </row>
    <row r="7415" spans="1:2" x14ac:dyDescent="0.2">
      <c r="A7415" t="s">
        <v>6</v>
      </c>
      <c r="B7415" s="45" t="str">
        <f>INDEX(overview!$B$4:$R$338,MATCH('hydrogen - electrolysis'!B7407,overview!$A$4:$A$338,0),MATCH('hydrogen - electrolysis'!A7415,overview!$B$3:$R$3,0))</f>
        <v>fuel cell, SOFC</v>
      </c>
    </row>
    <row r="7416" spans="1:2" x14ac:dyDescent="0.2">
      <c r="A7416" t="s">
        <v>39</v>
      </c>
      <c r="B7416" s="45" t="str">
        <f>INDEX(overview!$B$4:$R$338,MATCH('hydrogen - electrolysis'!B7407,overview!$A$4:$A$338,0),MATCH('hydrogen - electrolysis'!A7416,overview!$B$3:$R$3,0))</f>
        <v>exergy</v>
      </c>
    </row>
    <row r="7417" spans="1:2" x14ac:dyDescent="0.2">
      <c r="A7417" t="s">
        <v>4</v>
      </c>
      <c r="B7417" s="45" t="str">
        <f>INDEX(overview!$B$4:$R$338,MATCH('hydrogen - electrolysis'!B7407,overview!$A$4:$A$338,0),MATCH('hydrogen - electrolysis'!A7417,overview!$B$3:$R$3,0))</f>
        <v>pipeline</v>
      </c>
    </row>
    <row r="7418" spans="1:2" x14ac:dyDescent="0.2">
      <c r="A7418" t="s">
        <v>38</v>
      </c>
      <c r="B7418" s="45">
        <f>INDEX(overview!$B$4:$R$338,MATCH('hydrogen - electrolysis'!B7407,overview!$A$4:$A$338,0),MATCH('hydrogen - electrolysis'!A7418,overview!$B$3:$R$3,0))</f>
        <v>1000</v>
      </c>
    </row>
    <row r="7419" spans="1:2" x14ac:dyDescent="0.2">
      <c r="A7419" t="s">
        <v>12</v>
      </c>
      <c r="B7419" s="45" t="str">
        <f>INDEX(overview!$B$4:$R$338,MATCH('hydrogen - electrolysis'!B7407,overview!$A$4:$A$338,0),MATCH('hydrogen - electrolysis'!A7419,overview!$B$3:$R$3,0))</f>
        <v>Pressure vessel for stationary storage</v>
      </c>
    </row>
    <row r="7420" spans="1:2" x14ac:dyDescent="0.2">
      <c r="A7420" t="s">
        <v>34</v>
      </c>
      <c r="B7420" s="45">
        <f>INDEX(overview!$B$4:$R$338,MATCH('hydrogen - electrolysis'!B7407,overview!$A$4:$A$338,0),MATCH('hydrogen - electrolysis'!A7420,overview!$B$3:$R$3,0))</f>
        <v>0</v>
      </c>
    </row>
    <row r="7421" spans="1:2" x14ac:dyDescent="0.2">
      <c r="A7421" t="s">
        <v>15</v>
      </c>
      <c r="B7421" s="45" t="str">
        <f>INDEX(overview!$B$4:$R$338,MATCH('hydrogen - electrolysis'!B7407,overview!$A$4:$A$338,0),MATCH('hydrogen - electrolysis'!A7421,overview!$B$3:$R$3,0))</f>
        <v>Electrolysis, SOEC</v>
      </c>
    </row>
    <row r="7422" spans="1:2" x14ac:dyDescent="0.2">
      <c r="A7422" t="s">
        <v>14</v>
      </c>
      <c r="B7422" s="45" t="str">
        <f>INDEX(overview!$B$4:$R$338,MATCH('hydrogen - electrolysis'!B7407,overview!$A$4:$A$338,0),MATCH('hydrogen - electrolysis'!A7422,overview!$B$3:$R$3,0))</f>
        <v>water and electricity</v>
      </c>
    </row>
    <row r="7423" spans="1:2" x14ac:dyDescent="0.2">
      <c r="A7423" t="s">
        <v>26</v>
      </c>
      <c r="B7423" s="45" t="str">
        <f>INDEX(overview!$B$4:$R$338,MATCH('hydrogen - electrolysis'!B7407,overview!$A$4:$A$338,0),MATCH('hydrogen - electrolysis'!A7423,overview!$B$3:$R$3,0))</f>
        <v>Solar PV (DE)</v>
      </c>
    </row>
    <row r="7424" spans="1:2" x14ac:dyDescent="0.2">
      <c r="A7424" t="s">
        <v>29</v>
      </c>
      <c r="B7424" s="45">
        <f>INDEX(overview!$B$4:$R$338,MATCH('hydrogen - electrolysis'!B7407,overview!$A$4:$A$338,0),MATCH('hydrogen - electrolysis'!A7424,overview!$B$3:$R$3,0))</f>
        <v>0</v>
      </c>
    </row>
    <row r="7425" spans="1:4" x14ac:dyDescent="0.2">
      <c r="A7425" t="str">
        <f>IF(B7409="megajoule","Heat","Electricity")&amp;" conversion efficiency [% LHV input]"</f>
        <v>Heat conversion efficiency [% LHV input]</v>
      </c>
      <c r="B7425" s="46">
        <f>INDEX(parameters!$D$4:$N$20,MATCH('hydrogen - electrolysis'!B7413&amp;'hydrogen - electrolysis'!B7415,parameters!$A$4:$A$20,0),MATCH('hydrogen - electrolysis'!A7425,parameters!$D$3:$N$3,0))</f>
        <v>0.53</v>
      </c>
    </row>
    <row r="7426" spans="1:4" x14ac:dyDescent="0.2">
      <c r="A7426" t="str">
        <f>IF(B7409="megajoule","LHV [MJ/kg]","LHV [kWh/kg]")</f>
        <v>LHV [MJ/kg]</v>
      </c>
      <c r="B7426" s="47">
        <f>INDEX(parameters!$D$4:$N$20,MATCH('hydrogen - electrolysis'!B7413&amp;'hydrogen - electrolysis'!B7415,parameters!$A$4:$A$20,0),MATCH('hydrogen - electrolysis'!A7426,parameters!$D$3:$N$3,0))</f>
        <v>120</v>
      </c>
    </row>
    <row r="7427" spans="1:4" x14ac:dyDescent="0.2">
      <c r="A7427" t="s">
        <v>41</v>
      </c>
      <c r="B7427" s="48">
        <f>INDEX(parameters!$D$4:$N$20,MATCH('hydrogen - electrolysis'!B7413&amp;'hydrogen - electrolysis'!B7415,parameters!$A$4:$A$20,0),MATCH('hydrogen - electrolysis'!A7427,parameters!$D$3:$N$3,0))</f>
        <v>2.6666666666666665E-2</v>
      </c>
    </row>
    <row r="7428" spans="1:4" x14ac:dyDescent="0.2">
      <c r="A7428" t="s">
        <v>45</v>
      </c>
      <c r="B7428" s="46">
        <f>INDEX(parameters!$D$4:$N$20,MATCH('hydrogen - electrolysis'!B7413&amp;'hydrogen - electrolysis'!B7415,parameters!$A$4:$A$20,0),MATCH('hydrogen - electrolysis'!A7428,parameters!$D$3:$N$3,0))</f>
        <v>0</v>
      </c>
    </row>
    <row r="7429" spans="1:4" x14ac:dyDescent="0.2">
      <c r="A7429" t="s">
        <v>46</v>
      </c>
      <c r="B7429" s="46">
        <f>INDEX(parameters!$D$4:$N$20,MATCH('hydrogen - electrolysis'!B7413&amp;'hydrogen - electrolysis'!B7415,parameters!$A$4:$A$20,0),MATCH('hydrogen - electrolysis'!A7429,parameters!$D$3:$N$3,0))</f>
        <v>1.4999999999999999E-2</v>
      </c>
    </row>
    <row r="7430" spans="1:4" x14ac:dyDescent="0.2">
      <c r="A7430" t="s">
        <v>43</v>
      </c>
      <c r="B7430" s="46">
        <f>INDEX(parameters!$D$4:$N$20,MATCH('hydrogen - electrolysis'!B7413&amp;'hydrogen - electrolysis'!B7415,parameters!$A$4:$A$20,0),MATCH('hydrogen - electrolysis'!A7430,parameters!$D$3:$N$3,0))</f>
        <v>0</v>
      </c>
    </row>
    <row r="7431" spans="1:4" x14ac:dyDescent="0.2">
      <c r="A7431" t="s">
        <v>44</v>
      </c>
      <c r="B7431" s="46">
        <f>INDEX(parameters!$D$4:$N$20,MATCH('hydrogen - electrolysis'!B7413&amp;'hydrogen - electrolysis'!B7415,parameters!$A$4:$A$20,0),MATCH('hydrogen - electrolysis'!A7431,parameters!$D$3:$N$3,0))</f>
        <v>0</v>
      </c>
    </row>
    <row r="7432" spans="1:4" x14ac:dyDescent="0.2">
      <c r="A7432" t="s">
        <v>634</v>
      </c>
      <c r="B7432" s="51">
        <f>INDEX(parameters!$D$4:$Y$20,MATCH('hydrogen - electrolysis'!B7413&amp;'hydrogen - electrolysis'!B7415,parameters!$A$4:$A$20,0),MATCH('hydrogen - electrolysis'!A7432,parameters!$D$3:$Y$3,0))</f>
        <v>225</v>
      </c>
      <c r="D7432" s="8"/>
    </row>
    <row r="7433" spans="1:4" x14ac:dyDescent="0.2">
      <c r="A7433" t="s">
        <v>82</v>
      </c>
      <c r="B7433" s="46">
        <f>IF(B7424&lt;&gt;0,VLOOKUP(B7424,parameters!A4716:B4718,2,0),0)</f>
        <v>0</v>
      </c>
    </row>
    <row r="7434" spans="1:4" x14ac:dyDescent="0.2">
      <c r="A7434" t="s">
        <v>548</v>
      </c>
      <c r="B7434" s="50">
        <f>INDEX(parameters!$D$4:$P$20,MATCH(B7413&amp;B7415,parameters!$A$4:$A$20,0),MATCH(A7434,parameters!$D$3:$P$3,0))</f>
        <v>100</v>
      </c>
    </row>
    <row r="7435" spans="1:4" x14ac:dyDescent="0.2">
      <c r="A7435" t="s">
        <v>547</v>
      </c>
      <c r="B7435" s="51">
        <f>INDEX(parameters!$D$4:$P$20,MATCH(B7413&amp;B7415,parameters!$A$4:$A$20,0),MATCH(A7435,parameters!$D$3:$P$3,0))</f>
        <v>6</v>
      </c>
    </row>
    <row r="7436" spans="1:4" x14ac:dyDescent="0.2">
      <c r="A7436" t="s">
        <v>630</v>
      </c>
      <c r="B7436" s="51">
        <f>INDEX(parameters!$D$4:$T$20,MATCH(B7413&amp;B7415,parameters!$A$4:$A$20,0),MATCH(A7436,parameters!$D$3:$T$3,0))</f>
        <v>4100</v>
      </c>
    </row>
    <row r="7437" spans="1:4" x14ac:dyDescent="0.2">
      <c r="A7437" t="s">
        <v>1005</v>
      </c>
      <c r="B7437" s="50">
        <f>IF(B7409="megajoule",SUMIFS(allocation!$I$4:$I$30,allocation!$B$4:$B$30,B7415,allocation!$C$4:$C$30,B7416),SUMIFS(allocation!$J$4:$J$30,allocation!$B$4:$B$30,B7415,allocation!$C$4:$C$30,B7416))</f>
        <v>0.13587506510399097</v>
      </c>
    </row>
    <row r="7438" spans="1:4" x14ac:dyDescent="0.2">
      <c r="A7438" t="s">
        <v>1050</v>
      </c>
      <c r="B7438" s="51">
        <f>INDEX(parameters!$D$4:$AB$20,MATCH(B7413&amp;B7415,parameters!$A$4:$A$20,0),MATCH(A7438,parameters!$D$3:$AB$3,0))</f>
        <v>1153.1249999999998</v>
      </c>
    </row>
    <row r="7440" spans="1:4" x14ac:dyDescent="0.2">
      <c r="A7440" s="3" t="s">
        <v>57</v>
      </c>
    </row>
    <row r="7441" spans="1:22" x14ac:dyDescent="0.2">
      <c r="A7441" s="2" t="s">
        <v>58</v>
      </c>
      <c r="B7441" s="44" t="s">
        <v>59</v>
      </c>
      <c r="C7441" s="2" t="s">
        <v>55</v>
      </c>
      <c r="D7441" s="2" t="s">
        <v>60</v>
      </c>
      <c r="E7441" s="2" t="s">
        <v>52</v>
      </c>
      <c r="F7441" s="2" t="s">
        <v>61</v>
      </c>
      <c r="G7441" s="2" t="s">
        <v>54</v>
      </c>
      <c r="H7441" s="2" t="s">
        <v>87</v>
      </c>
      <c r="I7441" s="2" t="s">
        <v>51</v>
      </c>
      <c r="J7441" s="2" t="s">
        <v>138</v>
      </c>
      <c r="K7441" s="2" t="s">
        <v>136</v>
      </c>
      <c r="L7441" s="2" t="s">
        <v>221</v>
      </c>
      <c r="M7441" s="2" t="s">
        <v>379</v>
      </c>
      <c r="N7441" s="2" t="s">
        <v>1059</v>
      </c>
      <c r="O7441" s="2" t="s">
        <v>1060</v>
      </c>
      <c r="P7441" s="2" t="s">
        <v>1061</v>
      </c>
      <c r="Q7441" s="2" t="s">
        <v>1062</v>
      </c>
      <c r="R7441" s="2" t="s">
        <v>1063</v>
      </c>
      <c r="S7441" s="2" t="s">
        <v>1064</v>
      </c>
      <c r="T7441" s="2" t="s">
        <v>1065</v>
      </c>
      <c r="U7441" s="2" t="s">
        <v>380</v>
      </c>
      <c r="V7441" s="2" t="s">
        <v>1128</v>
      </c>
    </row>
    <row r="7442" spans="1:22" x14ac:dyDescent="0.2">
      <c r="A7442" t="str">
        <f>B7403</f>
        <v>heat, residential, by conversion of hydrogen using fuel cell, SOFC, allocated by exergy, transported by pipeline, produced by Electrolysis, SOEC using water and electricity from Solar PV (DE)</v>
      </c>
      <c r="B7442" s="45">
        <v>1</v>
      </c>
      <c r="C7442" t="str">
        <f>B7409</f>
        <v>megajoule</v>
      </c>
      <c r="E7442" t="str">
        <f>B7406</f>
        <v>CH</v>
      </c>
      <c r="F7442" t="s">
        <v>62</v>
      </c>
      <c r="G7442" t="str">
        <f>B7408</f>
        <v>heat, from residential heating system</v>
      </c>
      <c r="K7442" t="str">
        <f>B7403</f>
        <v>heat, residential, by conversion of hydrogen using fuel cell, SOFC, allocated by exergy, transported by pipeline, produced by Electrolysis, SOEC using water and electricity from Solar PV (DE)</v>
      </c>
    </row>
    <row r="7443" spans="1:22" x14ac:dyDescent="0.2">
      <c r="A7443" t="str">
        <f>VLOOKUP(J7443,'dataset mapping'!$A$4:$E$69,2,0)</f>
        <v>fuel cell production, stack solid oxide, 125kW electrical, future</v>
      </c>
      <c r="B7443" s="52">
        <f>(1/(B7432*B7436*B7435*3.6))*B7437</f>
        <v>6.8189834941278219E-9</v>
      </c>
      <c r="C7443" t="str">
        <f>VLOOKUP(J7443,'dataset mapping'!$A$4:$E$69,5,0)</f>
        <v>unit</v>
      </c>
      <c r="E7443" t="str">
        <f>VLOOKUP(J7443,'dataset mapping'!$A$4:$E$69,4,0)</f>
        <v>CH</v>
      </c>
      <c r="F7443" t="s">
        <v>86</v>
      </c>
      <c r="G7443" t="str">
        <f>VLOOKUP(J7443,'dataset mapping'!$A$4:$E$69,3,0)</f>
        <v>fuel cell, stack solid oxide, 125kW electrical, future</v>
      </c>
      <c r="H7443" t="s">
        <v>88</v>
      </c>
      <c r="I7443" t="s">
        <v>277</v>
      </c>
      <c r="J7443" t="s">
        <v>274</v>
      </c>
      <c r="K7443" t="str">
        <f>B7403</f>
        <v>heat, residential, by conversion of hydrogen using fuel cell, SOFC, allocated by exergy, transported by pipeline, produced by Electrolysis, SOEC using water and electricity from Solar PV (DE)</v>
      </c>
      <c r="L7443">
        <f>IF(OR(B7443&lt;0,B7443=0),1,2)</f>
        <v>2</v>
      </c>
      <c r="M7443">
        <f>IF(L7443=2,LN(B7443),"")</f>
        <v>-18.80355542398161</v>
      </c>
      <c r="N7443">
        <v>1</v>
      </c>
      <c r="O7443" s="15">
        <v>1.2</v>
      </c>
      <c r="P7443">
        <v>1</v>
      </c>
      <c r="Q7443">
        <v>1.01</v>
      </c>
      <c r="R7443">
        <v>1.2</v>
      </c>
      <c r="S7443">
        <v>1.2</v>
      </c>
      <c r="T7443">
        <v>3</v>
      </c>
      <c r="U7443">
        <f>LN(SQRT(EXP(
SQRT(
+POWER(LN(N7443),2)
+POWER(LN(O7443),2)
+POWER(LN(P7443),2)
+POWER(LN(Q7443),2)
+POWER(LN(R7443),2)
+POWER(LN(S7443),2)
+POWER(LN(T7443),2)
)
)))</f>
        <v>0.57157051623399524</v>
      </c>
    </row>
    <row r="7444" spans="1:22" x14ac:dyDescent="0.2">
      <c r="A7444" t="s">
        <v>283</v>
      </c>
      <c r="B7444" s="52">
        <f>(1/(B7432*B7436*B7435*3.6))*B7437</f>
        <v>6.8189834941278219E-9</v>
      </c>
      <c r="C7444" t="s">
        <v>55</v>
      </c>
      <c r="E7444" t="s">
        <v>64</v>
      </c>
      <c r="F7444" t="s">
        <v>86</v>
      </c>
      <c r="G7444" t="s">
        <v>284</v>
      </c>
      <c r="H7444" t="s">
        <v>88</v>
      </c>
      <c r="I7444" t="s">
        <v>277</v>
      </c>
      <c r="K7444" t="str">
        <f>B7403</f>
        <v>heat, residential, by conversion of hydrogen using fuel cell, SOFC, allocated by exergy, transported by pipeline, produced by Electrolysis, SOEC using water and electricity from Solar PV (DE)</v>
      </c>
      <c r="L7444">
        <f>IF(OR(B7444&lt;0,B7444=0),1,2)</f>
        <v>2</v>
      </c>
      <c r="M7444">
        <f>IF(L7444=2,LN(B7444),"")</f>
        <v>-18.80355542398161</v>
      </c>
      <c r="N7444">
        <v>1</v>
      </c>
      <c r="O7444" s="15">
        <v>1.2</v>
      </c>
      <c r="P7444">
        <v>1</v>
      </c>
      <c r="Q7444">
        <v>1.01</v>
      </c>
      <c r="R7444">
        <v>1.2</v>
      </c>
      <c r="S7444">
        <v>1.2</v>
      </c>
      <c r="T7444">
        <v>3</v>
      </c>
      <c r="U7444">
        <f>LN(SQRT(EXP(
SQRT(
+POWER(LN(N7444),2)
+POWER(LN(O7444),2)
+POWER(LN(P7444),2)
+POWER(LN(Q7444),2)
+POWER(LN(R7444),2)
+POWER(LN(S7444),2)
+POWER(LN(T7444),2)
)
)))</f>
        <v>0.57157051623399524</v>
      </c>
    </row>
    <row r="7445" spans="1:22" x14ac:dyDescent="0.2">
      <c r="A7445" t="s">
        <v>288</v>
      </c>
      <c r="B7445" s="52">
        <f>0.000024*B7437</f>
        <v>3.2610015624957834E-6</v>
      </c>
      <c r="C7445" t="s">
        <v>56</v>
      </c>
      <c r="E7445" t="s">
        <v>64</v>
      </c>
      <c r="F7445" t="s">
        <v>86</v>
      </c>
      <c r="G7445" t="s">
        <v>287</v>
      </c>
      <c r="H7445" t="s">
        <v>88</v>
      </c>
      <c r="K7445" t="str">
        <f>B7403</f>
        <v>heat, residential, by conversion of hydrogen using fuel cell, SOFC, allocated by exergy, transported by pipeline, produced by Electrolysis, SOEC using water and electricity from Solar PV (DE)</v>
      </c>
      <c r="L7445">
        <f>IF(OR(B7445&lt;0,B7445=0),1,2)</f>
        <v>2</v>
      </c>
      <c r="M7445">
        <f>IF(L7445=2,LN(B7445),"")</f>
        <v>-12.633476182011</v>
      </c>
      <c r="N7445">
        <v>1</v>
      </c>
      <c r="O7445" s="15">
        <v>1.2</v>
      </c>
      <c r="P7445">
        <v>1</v>
      </c>
      <c r="Q7445">
        <v>1.01</v>
      </c>
      <c r="R7445">
        <v>1.2</v>
      </c>
      <c r="S7445">
        <v>1.2</v>
      </c>
      <c r="T7445">
        <v>1.05</v>
      </c>
      <c r="U7445">
        <f>LN(SQRT(EXP(
SQRT(
+POWER(LN(N7445),2)
+POWER(LN(O7445),2)
+POWER(LN(P7445),2)
+POWER(LN(Q7445),2)
+POWER(LN(R7445),2)
+POWER(LN(S7445),2)
+POWER(LN(T7445),2)
)
)))</f>
        <v>0.15984597228197622</v>
      </c>
    </row>
    <row r="7446" spans="1:22" x14ac:dyDescent="0.2">
      <c r="A7446" s="45" t="str">
        <f>"hydrogen supply, transported by "&amp;B7417&amp;", produced by "&amp;B7421&amp;" using "&amp;B7422&amp;" from "&amp;B7423</f>
        <v>hydrogen supply, transported by pipeline, produced by Electrolysis, SOEC using water and electricity from Solar PV (DE)</v>
      </c>
      <c r="B7446" s="53">
        <f>(B7442/B7426)/B7425*B7437</f>
        <v>2.1364003947168392E-3</v>
      </c>
      <c r="C7446" t="s">
        <v>56</v>
      </c>
      <c r="E7446" t="s">
        <v>64</v>
      </c>
      <c r="F7446" t="s">
        <v>86</v>
      </c>
      <c r="G7446" t="str">
        <f>"hydrogen, gaseous, from "&amp;B7417</f>
        <v>hydrogen, gaseous, from pipeline</v>
      </c>
      <c r="H7446" t="s">
        <v>76</v>
      </c>
      <c r="I7446" t="s">
        <v>1054</v>
      </c>
      <c r="J7446" t="s">
        <v>299</v>
      </c>
      <c r="K7446" t="str">
        <f>B7403</f>
        <v>heat, residential, by conversion of hydrogen using fuel cell, SOFC, allocated by exergy, transported by pipeline, produced by Electrolysis, SOEC using water and electricity from Solar PV (DE)</v>
      </c>
      <c r="L7446">
        <f>IF(OR(B7446&lt;0,B7446=0),1,2)</f>
        <v>2</v>
      </c>
      <c r="M7446">
        <f>IF(L7446=2,LN(B7446),"")</f>
        <v>-6.1486329247407472</v>
      </c>
      <c r="N7446">
        <v>1</v>
      </c>
      <c r="O7446" s="15">
        <v>1.2</v>
      </c>
      <c r="P7446">
        <v>1</v>
      </c>
      <c r="Q7446">
        <v>1.01</v>
      </c>
      <c r="R7446">
        <v>1.2</v>
      </c>
      <c r="S7446">
        <v>1.2</v>
      </c>
      <c r="T7446">
        <v>1.05</v>
      </c>
      <c r="U7446">
        <f>LN(SQRT(EXP(
SQRT(
+POWER(LN(N7446),2)
+POWER(LN(O7446),2)
+POWER(LN(P7446),2)
+POWER(LN(Q7446),2)
+POWER(LN(R7446),2)
+POWER(LN(S7446),2)
+POWER(LN(T7446),2)
)
)))</f>
        <v>0.15984597228197622</v>
      </c>
    </row>
    <row r="7447" spans="1:22" x14ac:dyDescent="0.2">
      <c r="A7447" t="s">
        <v>134</v>
      </c>
      <c r="B7447" s="45">
        <f>B7446*9</f>
        <v>1.9227603552451553E-2</v>
      </c>
      <c r="C7447" t="s">
        <v>56</v>
      </c>
      <c r="D7447" t="s">
        <v>100</v>
      </c>
      <c r="F7447" t="s">
        <v>99</v>
      </c>
      <c r="H7447" t="s">
        <v>131</v>
      </c>
      <c r="I7447" t="s">
        <v>1057</v>
      </c>
      <c r="K7447" t="str">
        <f>B7403</f>
        <v>heat, residential, by conversion of hydrogen using fuel cell, SOFC, allocated by exergy, transported by pipeline, produced by Electrolysis, SOEC using water and electricity from Solar PV (DE)</v>
      </c>
      <c r="L7447">
        <f>IF(OR(B7447&lt;0,B7447=0),1,2)</f>
        <v>2</v>
      </c>
      <c r="M7447">
        <f>IF(L7447=2,LN(B7447),"")</f>
        <v>-3.9514083474045276</v>
      </c>
      <c r="N7447">
        <v>1</v>
      </c>
      <c r="O7447" s="15">
        <v>1.2</v>
      </c>
      <c r="P7447">
        <v>1</v>
      </c>
      <c r="Q7447">
        <v>1.01</v>
      </c>
      <c r="R7447">
        <v>1.2</v>
      </c>
      <c r="S7447">
        <v>1.2</v>
      </c>
      <c r="T7447">
        <v>1.05</v>
      </c>
      <c r="U7447">
        <f>LN(SQRT(EXP(
SQRT(
+POWER(LN(N7447),2)
+POWER(LN(O7447),2)
+POWER(LN(P7447),2)
+POWER(LN(Q7447),2)
+POWER(LN(R7447),2)
+POWER(LN(S7447),2)
+POWER(LN(T7447),2)
)
)))</f>
        <v>0.15984597228197622</v>
      </c>
    </row>
    <row r="7449" spans="1:22" x14ac:dyDescent="0.2">
      <c r="A7449" s="2" t="s">
        <v>50</v>
      </c>
      <c r="B7449" s="44" t="str">
        <f>IF(B7455="megajoule","heat","electricity")&amp;", residential, by "&amp;B7460&amp;" of "&amp;B7459&amp;" using "&amp;B7461&amp;IF(B7462&lt;&gt;0,", allocated by "&amp;B7462,"")&amp;", transported by "&amp;B7463&amp;", produced by "&amp;B7467&amp;" using "&amp;B7468&amp;" from "&amp;B7469</f>
        <v>electricity, residential, by combustion of hydrogen using CHP, allocated by exergy, transported by pipeline, produced by Electrolysis, SOEC using water and electricity from Solar PV (DE)</v>
      </c>
    </row>
    <row r="7450" spans="1:22" x14ac:dyDescent="0.2">
      <c r="A7450" t="s">
        <v>51</v>
      </c>
      <c r="B7450" s="45" t="str">
        <f>"This dataset represents the supply of 1 "&amp;IF(B7455="megajoule","megajoule of heat","kilowatt hour of electricity")&amp;" in a residence, by "&amp;B7459&amp;" "&amp;B7460&amp;" in a "&amp;B7461&amp;". "&amp;" The hydrogen is transported by "&amp;B7463&amp;" over "&amp;B7464&amp;" km from regional storage. "&amp;" The "&amp;B7459&amp;" is produced by  "&amp;B7467&amp;", with "&amp;B7468&amp;" from "&amp;B7469&amp;" as feedstock. "&amp;A7471&amp;": "&amp;(B7471*100)&amp;"%. "&amp;A7472&amp;": "&amp;B7472&amp;". "&amp;A7473&amp;": "&amp;B7473&amp;". "&amp;A7474&amp;": "&amp;(B7474*100)&amp;"%. "&amp;A7475&amp;": "&amp;(B7475*100)&amp;"%. "&amp;A7476&amp;": "&amp;(B7476*100)&amp;"%. "&amp;A7477&amp;": "&amp;B7477&amp;". "&amp;A7478&amp;": "&amp;B7478&amp;". "&amp;A7479&amp;": "&amp;(B7479*100)&amp;"%. "&amp;A7480&amp;": "&amp;B7480&amp;". "&amp;A7481&amp;": "&amp;B7481&amp;". "&amp;A7482&amp;": "&amp;B7482&amp;". "&amp;A7483&amp;": "&amp;B7483&amp;".  For more information, refer to: "&amp;B7451</f>
        <v>This dataset represents the supply of 1 kilowatt hour of electricity in a residence, by hydrogen combustion in a CHP.  The hydrogen is transported by pipeline over 1000 km from regional storage.  The hydrogen is produced by  Electrolysis, SOEC,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7451" spans="1:22" x14ac:dyDescent="0.2">
      <c r="A7451" t="s">
        <v>63</v>
      </c>
      <c r="B7451" s="45" t="s">
        <v>1223</v>
      </c>
    </row>
    <row r="7452" spans="1:22" x14ac:dyDescent="0.2">
      <c r="A7452" t="s">
        <v>52</v>
      </c>
      <c r="B7452" s="45" t="s">
        <v>64</v>
      </c>
    </row>
    <row r="7453" spans="1:22" x14ac:dyDescent="0.2">
      <c r="A7453" t="s">
        <v>48</v>
      </c>
      <c r="B7453" s="45" t="s">
        <v>931</v>
      </c>
    </row>
    <row r="7454" spans="1:22" x14ac:dyDescent="0.2">
      <c r="A7454" t="s">
        <v>54</v>
      </c>
      <c r="B7454" s="45" t="str">
        <f>INDEX(overview!$B$4:$R$338,MATCH('hydrogen - electrolysis'!B7453,overview!$A$4:$A$338,0),MATCH('hydrogen - electrolysis'!A7454,overview!$B$3:$R$3,0))</f>
        <v>electricity, from residential heating system</v>
      </c>
    </row>
    <row r="7455" spans="1:22" x14ac:dyDescent="0.2">
      <c r="A7455" t="s">
        <v>55</v>
      </c>
      <c r="B7455" s="45" t="str">
        <f>INDEX(overview!$B$4:$R$338,MATCH('hydrogen - electrolysis'!B7453,overview!$A$4:$A$338,0),MATCH('hydrogen - electrolysis'!A7455,overview!$B$3:$R$3,0))</f>
        <v>kilowatt hour</v>
      </c>
    </row>
    <row r="7456" spans="1:22" x14ac:dyDescent="0.2">
      <c r="A7456" t="s">
        <v>0</v>
      </c>
      <c r="B7456" s="45" t="str">
        <f>INDEX(overview!$B$4:$R$338,MATCH('hydrogen - electrolysis'!B7453,overview!$A$4:$A$338,0),MATCH('hydrogen - electrolysis'!A7456,overview!$B$3:$R$3,0))</f>
        <v>Switzerland</v>
      </c>
    </row>
    <row r="7457" spans="1:2" x14ac:dyDescent="0.2">
      <c r="A7457" t="s">
        <v>1</v>
      </c>
      <c r="B7457" s="45">
        <f>INDEX(overview!$B$4:$R$338,MATCH('hydrogen - electrolysis'!B7453,overview!$A$4:$A$338,0),MATCH('hydrogen - electrolysis'!A7457,overview!$B$3:$R$3,0))</f>
        <v>2020</v>
      </c>
    </row>
    <row r="7458" spans="1:2" x14ac:dyDescent="0.2">
      <c r="A7458" t="s">
        <v>2</v>
      </c>
      <c r="B7458" s="45" t="str">
        <f>INDEX(overview!$B$4:$R$338,MATCH('hydrogen - electrolysis'!B7453,overview!$A$4:$A$338,0),MATCH('hydrogen - electrolysis'!A7458,overview!$B$3:$R$3,0))</f>
        <v>1 kWh electricity</v>
      </c>
    </row>
    <row r="7459" spans="1:2" x14ac:dyDescent="0.2">
      <c r="A7459" t="s">
        <v>5</v>
      </c>
      <c r="B7459" s="45" t="str">
        <f>INDEX(overview!$B$4:$R$338,MATCH('hydrogen - electrolysis'!B7453,overview!$A$4:$A$338,0),MATCH('hydrogen - electrolysis'!A7459,overview!$B$3:$R$3,0))</f>
        <v>hydrogen</v>
      </c>
    </row>
    <row r="7460" spans="1:2" x14ac:dyDescent="0.2">
      <c r="A7460" t="s">
        <v>3</v>
      </c>
      <c r="B7460" s="45" t="str">
        <f>INDEX(overview!$B$4:$R$338,MATCH('hydrogen - electrolysis'!B7453,overview!$A$4:$A$338,0),MATCH('hydrogen - electrolysis'!A7460,overview!$B$3:$R$3,0))</f>
        <v>combustion</v>
      </c>
    </row>
    <row r="7461" spans="1:2" x14ac:dyDescent="0.2">
      <c r="A7461" t="s">
        <v>6</v>
      </c>
      <c r="B7461" s="45" t="str">
        <f>INDEX(overview!$B$4:$R$338,MATCH('hydrogen - electrolysis'!B7453,overview!$A$4:$A$338,0),MATCH('hydrogen - electrolysis'!A7461,overview!$B$3:$R$3,0))</f>
        <v>CHP</v>
      </c>
    </row>
    <row r="7462" spans="1:2" x14ac:dyDescent="0.2">
      <c r="A7462" t="s">
        <v>39</v>
      </c>
      <c r="B7462" s="45" t="str">
        <f>INDEX(overview!$B$4:$R$338,MATCH('hydrogen - electrolysis'!B7453,overview!$A$4:$A$338,0),MATCH('hydrogen - electrolysis'!A7462,overview!$B$3:$R$3,0))</f>
        <v>exergy</v>
      </c>
    </row>
    <row r="7463" spans="1:2" x14ac:dyDescent="0.2">
      <c r="A7463" t="s">
        <v>4</v>
      </c>
      <c r="B7463" s="45" t="str">
        <f>INDEX(overview!$B$4:$R$338,MATCH('hydrogen - electrolysis'!B7453,overview!$A$4:$A$338,0),MATCH('hydrogen - electrolysis'!A7463,overview!$B$3:$R$3,0))</f>
        <v>pipeline</v>
      </c>
    </row>
    <row r="7464" spans="1:2" x14ac:dyDescent="0.2">
      <c r="A7464" t="s">
        <v>38</v>
      </c>
      <c r="B7464" s="45">
        <f>INDEX(overview!$B$4:$R$338,MATCH('hydrogen - electrolysis'!B7453,overview!$A$4:$A$338,0),MATCH('hydrogen - electrolysis'!A7464,overview!$B$3:$R$3,0))</f>
        <v>1000</v>
      </c>
    </row>
    <row r="7465" spans="1:2" x14ac:dyDescent="0.2">
      <c r="A7465" t="s">
        <v>12</v>
      </c>
      <c r="B7465" s="45" t="str">
        <f>INDEX(overview!$B$4:$R$338,MATCH('hydrogen - electrolysis'!B7453,overview!$A$4:$A$338,0),MATCH('hydrogen - electrolysis'!A7465,overview!$B$3:$R$3,0))</f>
        <v>Pressure vessel for stationary storage</v>
      </c>
    </row>
    <row r="7466" spans="1:2" x14ac:dyDescent="0.2">
      <c r="A7466" t="s">
        <v>34</v>
      </c>
      <c r="B7466" s="45">
        <f>INDEX(overview!$B$4:$R$338,MATCH('hydrogen - electrolysis'!B7453,overview!$A$4:$A$338,0),MATCH('hydrogen - electrolysis'!A7466,overview!$B$3:$R$3,0))</f>
        <v>0</v>
      </c>
    </row>
    <row r="7467" spans="1:2" x14ac:dyDescent="0.2">
      <c r="A7467" t="s">
        <v>15</v>
      </c>
      <c r="B7467" s="45" t="str">
        <f>INDEX(overview!$B$4:$R$338,MATCH('hydrogen - electrolysis'!B7453,overview!$A$4:$A$338,0),MATCH('hydrogen - electrolysis'!A7467,overview!$B$3:$R$3,0))</f>
        <v>Electrolysis, SOEC</v>
      </c>
    </row>
    <row r="7468" spans="1:2" x14ac:dyDescent="0.2">
      <c r="A7468" t="s">
        <v>14</v>
      </c>
      <c r="B7468" s="45" t="str">
        <f>INDEX(overview!$B$4:$R$338,MATCH('hydrogen - electrolysis'!B7453,overview!$A$4:$A$338,0),MATCH('hydrogen - electrolysis'!A7468,overview!$B$3:$R$3,0))</f>
        <v>water and electricity</v>
      </c>
    </row>
    <row r="7469" spans="1:2" x14ac:dyDescent="0.2">
      <c r="A7469" t="s">
        <v>26</v>
      </c>
      <c r="B7469" s="45" t="str">
        <f>INDEX(overview!$B$4:$R$338,MATCH('hydrogen - electrolysis'!B7453,overview!$A$4:$A$338,0),MATCH('hydrogen - electrolysis'!A7469,overview!$B$3:$R$3,0))</f>
        <v>Solar PV (DE)</v>
      </c>
    </row>
    <row r="7470" spans="1:2" x14ac:dyDescent="0.2">
      <c r="A7470" t="s">
        <v>29</v>
      </c>
      <c r="B7470" s="45">
        <f>INDEX(overview!$B$4:$R$338,MATCH('hydrogen - electrolysis'!B7453,overview!$A$4:$A$338,0),MATCH('hydrogen - electrolysis'!A7470,overview!$B$3:$R$3,0))</f>
        <v>0</v>
      </c>
    </row>
    <row r="7471" spans="1:2" x14ac:dyDescent="0.2">
      <c r="A7471" t="str">
        <f>IF(B7455="megajoule","Heat","Electricity")&amp;" conversion efficiency [% LHV input]"</f>
        <v>Electricity conversion efficiency [% LHV input]</v>
      </c>
      <c r="B7471" s="46">
        <f>INDEX(parameters!$D$4:$N$20,MATCH('hydrogen - electrolysis'!B7459&amp;'hydrogen - electrolysis'!B7461,parameters!$A$4:$A$20,0),MATCH('hydrogen - electrolysis'!A7471,parameters!$D$3:$N$3,0))</f>
        <v>0.39400000000000002</v>
      </c>
    </row>
    <row r="7472" spans="1:2" x14ac:dyDescent="0.2">
      <c r="A7472" t="str">
        <f>IF(B7455="megajoule","LHV [MJ/kg]","LHV [kWh/kg]")</f>
        <v>LHV [kWh/kg]</v>
      </c>
      <c r="B7472" s="47">
        <f>INDEX(parameters!$D$4:$N$20,MATCH('hydrogen - electrolysis'!B7459&amp;'hydrogen - electrolysis'!B7461,parameters!$A$4:$A$20,0),MATCH('hydrogen - electrolysis'!A7472,parameters!$D$3:$N$3,0))</f>
        <v>33.333333333333336</v>
      </c>
    </row>
    <row r="7473" spans="1:22" x14ac:dyDescent="0.2">
      <c r="A7473" t="s">
        <v>41</v>
      </c>
      <c r="B7473" s="48">
        <f>INDEX(parameters!$D$4:$N$20,MATCH('hydrogen - electrolysis'!B7459&amp;'hydrogen - electrolysis'!B7461,parameters!$A$4:$A$20,0),MATCH('hydrogen - electrolysis'!A7473,parameters!$D$3:$N$3,0))</f>
        <v>2.6666666666666665E-2</v>
      </c>
    </row>
    <row r="7474" spans="1:22" x14ac:dyDescent="0.2">
      <c r="A7474" t="s">
        <v>45</v>
      </c>
      <c r="B7474" s="46">
        <f>INDEX(parameters!$D$4:$N$20,MATCH('hydrogen - electrolysis'!B7459&amp;'hydrogen - electrolysis'!B7461,parameters!$A$4:$A$20,0),MATCH('hydrogen - electrolysis'!A7474,parameters!$D$3:$N$3,0))</f>
        <v>0</v>
      </c>
    </row>
    <row r="7475" spans="1:22" x14ac:dyDescent="0.2">
      <c r="A7475" t="s">
        <v>46</v>
      </c>
      <c r="B7475" s="46">
        <f>INDEX(parameters!$D$4:$N$20,MATCH('hydrogen - electrolysis'!B7459&amp;'hydrogen - electrolysis'!B7461,parameters!$A$4:$A$20,0),MATCH('hydrogen - electrolysis'!A7475,parameters!$D$3:$N$3,0))</f>
        <v>1.4999999999999999E-2</v>
      </c>
    </row>
    <row r="7476" spans="1:22" x14ac:dyDescent="0.2">
      <c r="A7476" t="s">
        <v>43</v>
      </c>
      <c r="B7476" s="46">
        <f>INDEX(parameters!$D$4:$N$20,MATCH('hydrogen - electrolysis'!B7459&amp;'hydrogen - electrolysis'!B7461,parameters!$A$4:$A$20,0),MATCH('hydrogen - electrolysis'!A7476,parameters!$D$3:$N$3,0))</f>
        <v>0</v>
      </c>
    </row>
    <row r="7477" spans="1:22" x14ac:dyDescent="0.2">
      <c r="A7477" t="s">
        <v>44</v>
      </c>
      <c r="B7477" s="46">
        <f>INDEX(parameters!$D$4:$N$20,MATCH('hydrogen - electrolysis'!B7459&amp;'hydrogen - electrolysis'!B7461,parameters!$A$4:$A$20,0),MATCH('hydrogen - electrolysis'!A7477,parameters!$D$3:$N$3,0))</f>
        <v>0</v>
      </c>
    </row>
    <row r="7478" spans="1:22" x14ac:dyDescent="0.2">
      <c r="A7478" t="s">
        <v>634</v>
      </c>
      <c r="B7478" s="51">
        <f>INDEX(parameters!$D$4:$Y$20,MATCH('hydrogen - electrolysis'!B7459&amp;'hydrogen - electrolysis'!B7461,parameters!$A$4:$A$20,0),MATCH('hydrogen - electrolysis'!A7478,parameters!$D$3:$Y$3,0))</f>
        <v>351.41800246609125</v>
      </c>
    </row>
    <row r="7479" spans="1:22" x14ac:dyDescent="0.2">
      <c r="A7479" t="s">
        <v>82</v>
      </c>
      <c r="B7479" s="46">
        <f>IF(B7470&lt;&gt;0,VLOOKUP(B7470,parameters!A4768:B4770,2,0),0)</f>
        <v>0</v>
      </c>
    </row>
    <row r="7480" spans="1:22" x14ac:dyDescent="0.2">
      <c r="A7480" t="s">
        <v>548</v>
      </c>
      <c r="B7480" s="50">
        <f>INDEX(parameters!$D$4:$P$20,MATCH(B7459&amp;B7461,parameters!$A$4:$A$20,0),MATCH(A7480,parameters!$D$3:$P$3,0))</f>
        <v>125</v>
      </c>
    </row>
    <row r="7481" spans="1:22" x14ac:dyDescent="0.2">
      <c r="A7481" t="s">
        <v>547</v>
      </c>
      <c r="B7481" s="51">
        <f>INDEX(parameters!$D$4:$P$20,MATCH(B7459&amp;B7461,parameters!$A$4:$A$20,0),MATCH(A7481,parameters!$D$3:$P$3,0))</f>
        <v>19.512195121951219</v>
      </c>
    </row>
    <row r="7482" spans="1:22" x14ac:dyDescent="0.2">
      <c r="A7482" t="s">
        <v>630</v>
      </c>
      <c r="B7482" s="51">
        <f>INDEX(parameters!$D$4:$T$20,MATCH(B7459&amp;B7461,parameters!$A$4:$A$20,0),MATCH(A7482,parameters!$D$3:$T$3,0))</f>
        <v>4100</v>
      </c>
    </row>
    <row r="7483" spans="1:22" x14ac:dyDescent="0.2">
      <c r="A7483" t="s">
        <v>1005</v>
      </c>
      <c r="B7483" s="50">
        <f>IF(B7455="megajoule",SUMIFS(allocation!$I$4:$I$30,allocation!$B$4:$B$30,B7461,allocation!$C$4:$C$30,B7462),SUMIFS(allocation!$J$4:$J$30,allocation!$B$4:$B$30,B7461,allocation!$C$4:$C$30,B7462))</f>
        <v>0.87139957772704957</v>
      </c>
    </row>
    <row r="7484" spans="1:22" x14ac:dyDescent="0.2">
      <c r="A7484" t="s">
        <v>1050</v>
      </c>
      <c r="B7484" s="51">
        <f>INDEX(parameters!$D$4:$AB$20,MATCH(B7459&amp;B7461,parameters!$A$4:$A$20,0),MATCH(A7484,parameters!$D$3:$AB$3,0))</f>
        <v>2220.7364520822662</v>
      </c>
    </row>
    <row r="7486" spans="1:22" x14ac:dyDescent="0.2">
      <c r="A7486" s="3" t="s">
        <v>57</v>
      </c>
    </row>
    <row r="7487" spans="1:22" x14ac:dyDescent="0.2">
      <c r="A7487" s="2" t="s">
        <v>58</v>
      </c>
      <c r="B7487" s="44" t="s">
        <v>59</v>
      </c>
      <c r="C7487" s="2" t="s">
        <v>55</v>
      </c>
      <c r="D7487" s="2" t="s">
        <v>60</v>
      </c>
      <c r="E7487" s="2" t="s">
        <v>52</v>
      </c>
      <c r="F7487" s="2" t="s">
        <v>61</v>
      </c>
      <c r="G7487" s="2" t="s">
        <v>54</v>
      </c>
      <c r="H7487" s="2" t="s">
        <v>87</v>
      </c>
      <c r="I7487" s="2" t="s">
        <v>51</v>
      </c>
      <c r="J7487" s="2" t="s">
        <v>138</v>
      </c>
      <c r="K7487" s="2" t="s">
        <v>136</v>
      </c>
      <c r="L7487" s="2" t="s">
        <v>221</v>
      </c>
      <c r="M7487" s="2" t="s">
        <v>379</v>
      </c>
      <c r="N7487" s="2" t="s">
        <v>1059</v>
      </c>
      <c r="O7487" s="2" t="s">
        <v>1060</v>
      </c>
      <c r="P7487" s="2" t="s">
        <v>1061</v>
      </c>
      <c r="Q7487" s="2" t="s">
        <v>1062</v>
      </c>
      <c r="R7487" s="2" t="s">
        <v>1063</v>
      </c>
      <c r="S7487" s="2" t="s">
        <v>1064</v>
      </c>
      <c r="T7487" s="2" t="s">
        <v>1065</v>
      </c>
      <c r="U7487" s="2" t="s">
        <v>380</v>
      </c>
      <c r="V7487" s="2" t="s">
        <v>1128</v>
      </c>
    </row>
    <row r="7488" spans="1:22" x14ac:dyDescent="0.2">
      <c r="A7488" t="str">
        <f>B7449</f>
        <v>electricity, residential, by combustion of hydrogen using CHP, allocated by exergy, transported by pipeline, produced by Electrolysis, SOEC using water and electricity from Solar PV (DE)</v>
      </c>
      <c r="B7488" s="45">
        <v>1</v>
      </c>
      <c r="C7488" t="str">
        <f>B7455</f>
        <v>kilowatt hour</v>
      </c>
      <c r="E7488" t="str">
        <f>B7452</f>
        <v>CH</v>
      </c>
      <c r="F7488" t="s">
        <v>62</v>
      </c>
      <c r="G7488" t="str">
        <f>B7454</f>
        <v>electricity, from residential heating system</v>
      </c>
      <c r="K7488" t="str">
        <f>B7449</f>
        <v>electricity, residential, by combustion of hydrogen using CHP, allocated by exergy, transported by pipeline, produced by Electrolysis, SOEC using water and electricity from Solar PV (DE)</v>
      </c>
    </row>
    <row r="7489" spans="1:22" x14ac:dyDescent="0.2">
      <c r="A7489" t="str">
        <f>VLOOKUP(J7489,'dataset mapping'!$A$4:$E$69,2,0)</f>
        <v>heat and power co-generation unit construction, 160kW electrical, common components for heat+electricity</v>
      </c>
      <c r="B7489" s="52">
        <f>(1/(B7478*B7482*B7481))*B7483</f>
        <v>3.0995835856870056E-8</v>
      </c>
      <c r="C7489" t="str">
        <f>VLOOKUP(J7489,'dataset mapping'!$A$4:$E$69,5,0)</f>
        <v>unit</v>
      </c>
      <c r="E7489" t="str">
        <f>VLOOKUP(J7489,'dataset mapping'!$A$4:$E$69,4,0)</f>
        <v>RER</v>
      </c>
      <c r="F7489" t="s">
        <v>86</v>
      </c>
      <c r="G7489" t="str">
        <f>VLOOKUP(J7489,'dataset mapping'!$A$4:$E$69,3,0)</f>
        <v>heat and power co-generation unit, 160kW electrical, common components for heat+electricity</v>
      </c>
      <c r="H7489" t="s">
        <v>88</v>
      </c>
      <c r="J7489" t="s">
        <v>145</v>
      </c>
      <c r="K7489" t="str">
        <f>B7449</f>
        <v>electricity, residential, by combustion of hydrogen using CHP, allocated by exergy, transported by pipeline, produced by Electrolysis, SOEC using water and electricity from Solar PV (DE)</v>
      </c>
      <c r="L7489">
        <f t="shared" ref="L7489:L7496" si="304">IF(OR(B7489&lt;0,B7489=0),1,2)</f>
        <v>2</v>
      </c>
      <c r="M7489">
        <f t="shared" ref="M7489:M7496" si="305">IF(L7489=2,LN(B7489),"")</f>
        <v>-17.28941296868171</v>
      </c>
      <c r="N7489">
        <v>1.05</v>
      </c>
      <c r="O7489" s="15">
        <v>1.2</v>
      </c>
      <c r="P7489">
        <v>1</v>
      </c>
      <c r="Q7489">
        <v>1.01</v>
      </c>
      <c r="R7489">
        <v>1.2</v>
      </c>
      <c r="S7489">
        <v>1.2</v>
      </c>
      <c r="T7489">
        <v>3</v>
      </c>
      <c r="U7489">
        <f t="shared" ref="U7489:U7496" si="306">LN(SQRT(EXP(
SQRT(
+POWER(LN(N7489),2)
+POWER(LN(O7489),2)
+POWER(LN(P7489),2)
+POWER(LN(Q7489),2)
+POWER(LN(R7489),2)
+POWER(LN(S7489),2)
+POWER(LN(T7489),2)
)
)))</f>
        <v>0.57209088006881903</v>
      </c>
    </row>
    <row r="7490" spans="1:22" x14ac:dyDescent="0.2">
      <c r="A7490" t="str">
        <f>VLOOKUP(J7490,'dataset mapping'!$A$4:$E$69,2,0)</f>
        <v>heat and power co-generation unit construction, 160kW electrical, components for electricity only</v>
      </c>
      <c r="B7490" s="52">
        <f>(1/(B7478*B7482*B7481))*B7483</f>
        <v>3.0995835856870056E-8</v>
      </c>
      <c r="C7490" t="str">
        <f>VLOOKUP(J7490,'dataset mapping'!$A$4:$E$69,5,0)</f>
        <v>unit</v>
      </c>
      <c r="E7490" t="str">
        <f>VLOOKUP(J7490,'dataset mapping'!$A$4:$E$69,4,0)</f>
        <v>RER</v>
      </c>
      <c r="F7490" t="s">
        <v>86</v>
      </c>
      <c r="G7490" t="str">
        <f>VLOOKUP(J7490,'dataset mapping'!$A$4:$E$69,3,0)</f>
        <v>heat and power co-generation unit, 160kW electrical, components for electricity only</v>
      </c>
      <c r="H7490" t="s">
        <v>88</v>
      </c>
      <c r="J7490" t="s">
        <v>146</v>
      </c>
      <c r="K7490" t="str">
        <f>B7449</f>
        <v>electricity, residential, by combustion of hydrogen using CHP, allocated by exergy, transported by pipeline, produced by Electrolysis, SOEC using water and electricity from Solar PV (DE)</v>
      </c>
      <c r="L7490">
        <f t="shared" si="304"/>
        <v>2</v>
      </c>
      <c r="M7490">
        <f t="shared" si="305"/>
        <v>-17.28941296868171</v>
      </c>
      <c r="N7490">
        <v>1.05</v>
      </c>
      <c r="O7490" s="15">
        <v>1.2</v>
      </c>
      <c r="P7490">
        <v>1</v>
      </c>
      <c r="Q7490">
        <v>1.01</v>
      </c>
      <c r="R7490">
        <v>1.2</v>
      </c>
      <c r="S7490">
        <v>1.2</v>
      </c>
      <c r="T7490">
        <v>3</v>
      </c>
      <c r="U7490">
        <f t="shared" si="306"/>
        <v>0.57209088006881903</v>
      </c>
    </row>
    <row r="7491" spans="1:22" x14ac:dyDescent="0.2">
      <c r="A7491" t="str">
        <f>VLOOKUP(J7491,'dataset mapping'!$A$4:$E$69,2,0)</f>
        <v>heat and power co-generation unit construction, 160kW electrical, components for heat only</v>
      </c>
      <c r="B7491" s="52">
        <f>(1/(B7478*B7482*B7481))*B7483</f>
        <v>3.0995835856870056E-8</v>
      </c>
      <c r="C7491" t="str">
        <f>VLOOKUP(J7491,'dataset mapping'!$A$4:$E$69,5,0)</f>
        <v>unit</v>
      </c>
      <c r="E7491" t="str">
        <f>VLOOKUP(J7491,'dataset mapping'!$A$4:$E$69,4,0)</f>
        <v>RER</v>
      </c>
      <c r="F7491" t="s">
        <v>86</v>
      </c>
      <c r="G7491" t="str">
        <f>VLOOKUP(J7491,'dataset mapping'!$A$4:$E$69,3,0)</f>
        <v>heat and power co-generation unit, 160kW electrical, components for heat only</v>
      </c>
      <c r="H7491" t="s">
        <v>88</v>
      </c>
      <c r="J7491" t="s">
        <v>147</v>
      </c>
      <c r="K7491" t="str">
        <f>B7449</f>
        <v>electricity, residential, by combustion of hydrogen using CHP, allocated by exergy, transported by pipeline, produced by Electrolysis, SOEC using water and electricity from Solar PV (DE)</v>
      </c>
      <c r="L7491">
        <f t="shared" si="304"/>
        <v>2</v>
      </c>
      <c r="M7491">
        <f t="shared" si="305"/>
        <v>-17.28941296868171</v>
      </c>
      <c r="N7491">
        <v>1.05</v>
      </c>
      <c r="O7491" s="15">
        <v>1.2</v>
      </c>
      <c r="P7491">
        <v>1</v>
      </c>
      <c r="Q7491">
        <v>1.01</v>
      </c>
      <c r="R7491">
        <v>1.2</v>
      </c>
      <c r="S7491">
        <v>1.2</v>
      </c>
      <c r="T7491">
        <v>3</v>
      </c>
      <c r="U7491">
        <f t="shared" si="306"/>
        <v>0.57209088006881903</v>
      </c>
    </row>
    <row r="7492" spans="1:22" x14ac:dyDescent="0.2">
      <c r="A7492" t="s">
        <v>156</v>
      </c>
      <c r="B7492" s="52">
        <f>0.00000011366*B7483</f>
        <v>9.9043276004456456E-8</v>
      </c>
      <c r="C7492" t="s">
        <v>56</v>
      </c>
      <c r="E7492" t="s">
        <v>90</v>
      </c>
      <c r="F7492" t="s">
        <v>86</v>
      </c>
      <c r="G7492" t="s">
        <v>154</v>
      </c>
      <c r="H7492" t="s">
        <v>155</v>
      </c>
      <c r="K7492" t="str">
        <f>B7449</f>
        <v>electricity, residential, by combustion of hydrogen using CHP, allocated by exergy, transported by pipeline, produced by Electrolysis, SOEC using water and electricity from Solar PV (DE)</v>
      </c>
      <c r="L7492">
        <f t="shared" si="304"/>
        <v>2</v>
      </c>
      <c r="M7492">
        <f t="shared" si="305"/>
        <v>-16.127708950967754</v>
      </c>
      <c r="N7492">
        <v>1.05</v>
      </c>
      <c r="O7492" s="15">
        <v>1.2</v>
      </c>
      <c r="P7492">
        <v>1</v>
      </c>
      <c r="Q7492">
        <v>1.01</v>
      </c>
      <c r="R7492">
        <v>1.2</v>
      </c>
      <c r="S7492">
        <v>1.2</v>
      </c>
      <c r="T7492">
        <v>1.05</v>
      </c>
      <c r="U7492">
        <f t="shared" si="306"/>
        <v>0.16169679924070957</v>
      </c>
    </row>
    <row r="7493" spans="1:22" x14ac:dyDescent="0.2">
      <c r="A7493" t="s">
        <v>157</v>
      </c>
      <c r="B7493" s="52">
        <f>0.00000011366*B7483*-1</f>
        <v>-9.9043276004456456E-8</v>
      </c>
      <c r="C7493" t="s">
        <v>56</v>
      </c>
      <c r="E7493" t="s">
        <v>64</v>
      </c>
      <c r="F7493" t="s">
        <v>86</v>
      </c>
      <c r="G7493" t="s">
        <v>158</v>
      </c>
      <c r="H7493" t="s">
        <v>155</v>
      </c>
      <c r="K7493" t="str">
        <f>B7449</f>
        <v>electricity, residential, by combustion of hydrogen using CHP, allocated by exergy, transported by pipeline, produced by Electrolysis, SOEC using water and electricity from Solar PV (DE)</v>
      </c>
      <c r="L7493">
        <v>2</v>
      </c>
      <c r="M7493">
        <f>IF(L7493=2,LN(B7493*-1),"")</f>
        <v>-16.127708950967754</v>
      </c>
      <c r="N7493">
        <v>1.05</v>
      </c>
      <c r="O7493" s="15">
        <v>1.2</v>
      </c>
      <c r="P7493">
        <v>1</v>
      </c>
      <c r="Q7493">
        <v>1.01</v>
      </c>
      <c r="R7493">
        <v>1.2</v>
      </c>
      <c r="S7493">
        <v>1.2</v>
      </c>
      <c r="T7493">
        <v>3</v>
      </c>
      <c r="U7493">
        <f>LN(SQRT(EXP(
SQRT(
+POWER(LN(N7493),2)
+POWER(LN(O7493),2)
+POWER(LN(P7493),2)
+POWER(LN(Q7493),2)
+POWER(LN(R7493),2)
+POWER(LN(S7493),2)
+POWER(LN(T7493),2)
)
)))</f>
        <v>0.57209088006881903</v>
      </c>
      <c r="V7493" t="b">
        <v>1</v>
      </c>
    </row>
    <row r="7494" spans="1:22" x14ac:dyDescent="0.2">
      <c r="A7494" s="45" t="str">
        <f>"hydrogen supply, transported by "&amp;B7463&amp;", produced by "&amp;B7467&amp;" using "&amp;B7468&amp;" from "&amp;B7469</f>
        <v>hydrogen supply, transported by pipeline, produced by Electrolysis, SOEC using water and electricity from Solar PV (DE)</v>
      </c>
      <c r="B7494" s="53">
        <f>(B7488/B7472)/B7471*B7483</f>
        <v>6.6350221654343872E-2</v>
      </c>
      <c r="C7494" t="s">
        <v>56</v>
      </c>
      <c r="E7494" t="s">
        <v>64</v>
      </c>
      <c r="F7494" t="s">
        <v>86</v>
      </c>
      <c r="G7494" t="str">
        <f>"hydrogen, gaseous, from "&amp;B7463</f>
        <v>hydrogen, gaseous, from pipeline</v>
      </c>
      <c r="H7494" t="s">
        <v>76</v>
      </c>
      <c r="I7494" t="s">
        <v>1054</v>
      </c>
      <c r="J7494" t="s">
        <v>299</v>
      </c>
      <c r="K7494" t="str">
        <f>B7449</f>
        <v>electricity, residential, by combustion of hydrogen using CHP, allocated by exergy, transported by pipeline, produced by Electrolysis, SOEC using water and electricity from Solar PV (DE)</v>
      </c>
      <c r="L7494">
        <f t="shared" si="304"/>
        <v>2</v>
      </c>
      <c r="M7494">
        <f t="shared" si="305"/>
        <v>-2.7128081775260964</v>
      </c>
      <c r="N7494">
        <v>1.05</v>
      </c>
      <c r="O7494" s="15">
        <v>1.2</v>
      </c>
      <c r="P7494">
        <v>1</v>
      </c>
      <c r="Q7494">
        <v>1.01</v>
      </c>
      <c r="R7494">
        <v>1.2</v>
      </c>
      <c r="S7494">
        <v>1.2</v>
      </c>
      <c r="T7494">
        <v>1.05</v>
      </c>
      <c r="U7494">
        <f t="shared" si="306"/>
        <v>0.16169679924070957</v>
      </c>
    </row>
    <row r="7495" spans="1:22" x14ac:dyDescent="0.2">
      <c r="A7495" t="s">
        <v>134</v>
      </c>
      <c r="B7495" s="45">
        <f>B7494*9</f>
        <v>0.59715199488909487</v>
      </c>
      <c r="C7495" t="s">
        <v>56</v>
      </c>
      <c r="D7495" t="s">
        <v>100</v>
      </c>
      <c r="F7495" t="s">
        <v>99</v>
      </c>
      <c r="H7495" t="s">
        <v>131</v>
      </c>
      <c r="I7495" t="s">
        <v>1058</v>
      </c>
      <c r="K7495" t="str">
        <f>B7449</f>
        <v>electricity, residential, by combustion of hydrogen using CHP, allocated by exergy, transported by pipeline, produced by Electrolysis, SOEC using water and electricity from Solar PV (DE)</v>
      </c>
      <c r="L7495">
        <f t="shared" si="304"/>
        <v>2</v>
      </c>
      <c r="M7495">
        <f t="shared" si="305"/>
        <v>-0.51558360018987692</v>
      </c>
      <c r="N7495">
        <v>1.05</v>
      </c>
      <c r="O7495" s="15">
        <v>1.2</v>
      </c>
      <c r="P7495">
        <v>1</v>
      </c>
      <c r="Q7495">
        <v>1.01</v>
      </c>
      <c r="R7495">
        <v>1.2</v>
      </c>
      <c r="S7495">
        <v>1.2</v>
      </c>
      <c r="T7495">
        <v>1.05</v>
      </c>
      <c r="U7495">
        <f t="shared" si="306"/>
        <v>0.16169679924070957</v>
      </c>
    </row>
    <row r="7496" spans="1:22" x14ac:dyDescent="0.2">
      <c r="A7496" t="s">
        <v>135</v>
      </c>
      <c r="B7496" s="45">
        <f>912.5/1000000*B7494</f>
        <v>6.0544577259588785E-5</v>
      </c>
      <c r="C7496" t="s">
        <v>56</v>
      </c>
      <c r="D7496" t="s">
        <v>100</v>
      </c>
      <c r="F7496" t="s">
        <v>99</v>
      </c>
      <c r="H7496" t="s">
        <v>131</v>
      </c>
      <c r="I7496" t="s">
        <v>1217</v>
      </c>
      <c r="K7496" t="str">
        <f>B7449</f>
        <v>electricity, residential, by combustion of hydrogen using CHP, allocated by exergy, transported by pipeline, produced by Electrolysis, SOEC using water and electricity from Solar PV (DE)</v>
      </c>
      <c r="L7496">
        <f t="shared" si="304"/>
        <v>2</v>
      </c>
      <c r="M7496">
        <f t="shared" si="305"/>
        <v>-9.712130650033723</v>
      </c>
      <c r="N7496">
        <v>1.05</v>
      </c>
      <c r="O7496" s="15">
        <v>1.2</v>
      </c>
      <c r="P7496">
        <v>1</v>
      </c>
      <c r="Q7496">
        <v>1.01</v>
      </c>
      <c r="R7496">
        <v>1.2</v>
      </c>
      <c r="S7496">
        <v>1.2</v>
      </c>
      <c r="T7496">
        <v>1.5</v>
      </c>
      <c r="U7496">
        <f t="shared" si="306"/>
        <v>0.25816898211842121</v>
      </c>
    </row>
    <row r="7498" spans="1:22" x14ac:dyDescent="0.2">
      <c r="A7498" s="2" t="s">
        <v>50</v>
      </c>
      <c r="B7498" s="44" t="str">
        <f>IF(B7504="megajoule","heat","electricity")&amp;", residential, by "&amp;B7509&amp;" of "&amp;B7508&amp;" using "&amp;B7510&amp;IF(B7511&lt;&gt;0,", allocated by "&amp;B7511,"")&amp;", transported by "&amp;B7512&amp;", produced by "&amp;B7516&amp;" using "&amp;B7517&amp;" from "&amp;B7518</f>
        <v>electricity, residential, by conversion of hydrogen using fuel cell, PEM, allocated by exergy, transported by pipeline, produced by Electrolysis, SOEC using water and electricity from Solar PV (DE)</v>
      </c>
    </row>
    <row r="7499" spans="1:22" x14ac:dyDescent="0.2">
      <c r="A7499" t="s">
        <v>51</v>
      </c>
      <c r="B7499" s="45" t="str">
        <f>"This dataset represents the supply of 1 "&amp;IF(B7504="megajoule","megajoule of heat","kilowatt hour of electricity")&amp;" in a residence, by "&amp;B7508&amp;" "&amp;B7509&amp;" in a "&amp;B7510&amp;". "&amp;" The hydrogen is transported by "&amp;B7512&amp;" over "&amp;B7513&amp;" km from regional storage. "&amp;" The "&amp;B7508&amp;" is produced by  "&amp;B7516&amp;", with "&amp;B7517&amp;" from "&amp;B7518&amp;" as feedstock. "&amp;A7520&amp;": "&amp;(B7520*100)&amp;"%. "&amp;A7521&amp;": "&amp;B7521&amp;". "&amp;A7522&amp;": "&amp;B7522&amp;". "&amp;A7523&amp;": "&amp;(B7523*100)&amp;"%. "&amp;A7524&amp;": "&amp;(B7524*100)&amp;"%. "&amp;A7525&amp;": "&amp;(B7525*100)&amp;"%. "&amp;A7526&amp;": "&amp;B7526&amp;". "&amp;A7527&amp;": "&amp;B7527&amp;". "&amp;A7528&amp;": "&amp;(B7528*100)&amp;"%. "&amp;A7529&amp;": "&amp;B7529&amp;". "&amp;A7530&amp;": "&amp;B7530&amp;". "&amp;A7531&amp;": "&amp;B7531&amp;". "&amp;A7532&amp;": "&amp;B7532&amp;".  For more information, refer to: "&amp;B7500</f>
        <v>This dataset represents the supply of 1 kilowatt hour of electricity in a residence, by hydrogen conversion in a fuel cell, PEM.  The hydrogen is transported by pipeline over 1000 km from regional storage.  The hydrogen is produced by  Electrolysis, SOEC,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7500" spans="1:22" x14ac:dyDescent="0.2">
      <c r="A7500" t="s">
        <v>63</v>
      </c>
      <c r="B7500" s="45" t="s">
        <v>1223</v>
      </c>
    </row>
    <row r="7501" spans="1:22" x14ac:dyDescent="0.2">
      <c r="A7501" t="s">
        <v>52</v>
      </c>
      <c r="B7501" s="45" t="s">
        <v>64</v>
      </c>
    </row>
    <row r="7502" spans="1:22" x14ac:dyDescent="0.2">
      <c r="A7502" t="s">
        <v>48</v>
      </c>
      <c r="B7502" s="45" t="s">
        <v>932</v>
      </c>
    </row>
    <row r="7503" spans="1:22" x14ac:dyDescent="0.2">
      <c r="A7503" t="s">
        <v>54</v>
      </c>
      <c r="B7503" s="45" t="str">
        <f>INDEX(overview!$B$4:$R$338,MATCH('hydrogen - electrolysis'!B7502,overview!$A$4:$A$338,0),MATCH('hydrogen - electrolysis'!A7503,overview!$B$3:$R$3,0))</f>
        <v>electricity, from residential heating system</v>
      </c>
    </row>
    <row r="7504" spans="1:22" x14ac:dyDescent="0.2">
      <c r="A7504" t="s">
        <v>55</v>
      </c>
      <c r="B7504" s="45" t="str">
        <f>INDEX(overview!$B$4:$R$338,MATCH('hydrogen - electrolysis'!B7502,overview!$A$4:$A$338,0),MATCH('hydrogen - electrolysis'!A7504,overview!$B$3:$R$3,0))</f>
        <v>kilowatt hour</v>
      </c>
    </row>
    <row r="7505" spans="1:2" x14ac:dyDescent="0.2">
      <c r="A7505" t="s">
        <v>0</v>
      </c>
      <c r="B7505" s="45" t="str">
        <f>INDEX(overview!$B$4:$R$338,MATCH('hydrogen - electrolysis'!B7502,overview!$A$4:$A$338,0),MATCH('hydrogen - electrolysis'!A7505,overview!$B$3:$R$3,0))</f>
        <v>Switzerland</v>
      </c>
    </row>
    <row r="7506" spans="1:2" x14ac:dyDescent="0.2">
      <c r="A7506" t="s">
        <v>1</v>
      </c>
      <c r="B7506" s="45">
        <f>INDEX(overview!$B$4:$R$338,MATCH('hydrogen - electrolysis'!B7502,overview!$A$4:$A$338,0),MATCH('hydrogen - electrolysis'!A7506,overview!$B$3:$R$3,0))</f>
        <v>2020</v>
      </c>
    </row>
    <row r="7507" spans="1:2" x14ac:dyDescent="0.2">
      <c r="A7507" t="s">
        <v>2</v>
      </c>
      <c r="B7507" s="45" t="str">
        <f>INDEX(overview!$B$4:$R$338,MATCH('hydrogen - electrolysis'!B7502,overview!$A$4:$A$338,0),MATCH('hydrogen - electrolysis'!A7507,overview!$B$3:$R$3,0))</f>
        <v>1 kWh electricity</v>
      </c>
    </row>
    <row r="7508" spans="1:2" x14ac:dyDescent="0.2">
      <c r="A7508" t="s">
        <v>5</v>
      </c>
      <c r="B7508" s="45" t="str">
        <f>INDEX(overview!$B$4:$R$338,MATCH('hydrogen - electrolysis'!B7502,overview!$A$4:$A$338,0),MATCH('hydrogen - electrolysis'!A7508,overview!$B$3:$R$3,0))</f>
        <v>hydrogen</v>
      </c>
    </row>
    <row r="7509" spans="1:2" x14ac:dyDescent="0.2">
      <c r="A7509" t="s">
        <v>3</v>
      </c>
      <c r="B7509" s="45" t="str">
        <f>INDEX(overview!$B$4:$R$338,MATCH('hydrogen - electrolysis'!B7502,overview!$A$4:$A$338,0),MATCH('hydrogen - electrolysis'!A7509,overview!$B$3:$R$3,0))</f>
        <v>conversion</v>
      </c>
    </row>
    <row r="7510" spans="1:2" x14ac:dyDescent="0.2">
      <c r="A7510" t="s">
        <v>6</v>
      </c>
      <c r="B7510" s="45" t="str">
        <f>INDEX(overview!$B$4:$R$338,MATCH('hydrogen - electrolysis'!B7502,overview!$A$4:$A$338,0),MATCH('hydrogen - electrolysis'!A7510,overview!$B$3:$R$3,0))</f>
        <v>fuel cell, PEM</v>
      </c>
    </row>
    <row r="7511" spans="1:2" x14ac:dyDescent="0.2">
      <c r="A7511" t="s">
        <v>39</v>
      </c>
      <c r="B7511" s="45" t="str">
        <f>INDEX(overview!$B$4:$R$338,MATCH('hydrogen - electrolysis'!B7502,overview!$A$4:$A$338,0),MATCH('hydrogen - electrolysis'!A7511,overview!$B$3:$R$3,0))</f>
        <v>exergy</v>
      </c>
    </row>
    <row r="7512" spans="1:2" x14ac:dyDescent="0.2">
      <c r="A7512" t="s">
        <v>4</v>
      </c>
      <c r="B7512" s="45" t="str">
        <f>INDEX(overview!$B$4:$R$338,MATCH('hydrogen - electrolysis'!B7502,overview!$A$4:$A$338,0),MATCH('hydrogen - electrolysis'!A7512,overview!$B$3:$R$3,0))</f>
        <v>pipeline</v>
      </c>
    </row>
    <row r="7513" spans="1:2" x14ac:dyDescent="0.2">
      <c r="A7513" t="s">
        <v>38</v>
      </c>
      <c r="B7513" s="45">
        <f>INDEX(overview!$B$4:$R$338,MATCH('hydrogen - electrolysis'!B7502,overview!$A$4:$A$338,0),MATCH('hydrogen - electrolysis'!A7513,overview!$B$3:$R$3,0))</f>
        <v>1000</v>
      </c>
    </row>
    <row r="7514" spans="1:2" x14ac:dyDescent="0.2">
      <c r="A7514" t="s">
        <v>12</v>
      </c>
      <c r="B7514" s="45" t="str">
        <f>INDEX(overview!$B$4:$R$338,MATCH('hydrogen - electrolysis'!B7502,overview!$A$4:$A$338,0),MATCH('hydrogen - electrolysis'!A7514,overview!$B$3:$R$3,0))</f>
        <v>Pressure vessel for stationary storage</v>
      </c>
    </row>
    <row r="7515" spans="1:2" x14ac:dyDescent="0.2">
      <c r="A7515" t="s">
        <v>34</v>
      </c>
      <c r="B7515" s="45">
        <f>INDEX(overview!$B$4:$R$338,MATCH('hydrogen - electrolysis'!B7502,overview!$A$4:$A$338,0),MATCH('hydrogen - electrolysis'!A7515,overview!$B$3:$R$3,0))</f>
        <v>0</v>
      </c>
    </row>
    <row r="7516" spans="1:2" x14ac:dyDescent="0.2">
      <c r="A7516" t="s">
        <v>15</v>
      </c>
      <c r="B7516" s="45" t="str">
        <f>INDEX(overview!$B$4:$R$338,MATCH('hydrogen - electrolysis'!B7502,overview!$A$4:$A$338,0),MATCH('hydrogen - electrolysis'!A7516,overview!$B$3:$R$3,0))</f>
        <v>Electrolysis, SOEC</v>
      </c>
    </row>
    <row r="7517" spans="1:2" x14ac:dyDescent="0.2">
      <c r="A7517" t="s">
        <v>14</v>
      </c>
      <c r="B7517" s="45" t="str">
        <f>INDEX(overview!$B$4:$R$338,MATCH('hydrogen - electrolysis'!B7502,overview!$A$4:$A$338,0),MATCH('hydrogen - electrolysis'!A7517,overview!$B$3:$R$3,0))</f>
        <v>water and electricity</v>
      </c>
    </row>
    <row r="7518" spans="1:2" x14ac:dyDescent="0.2">
      <c r="A7518" t="s">
        <v>26</v>
      </c>
      <c r="B7518" s="45" t="str">
        <f>INDEX(overview!$B$4:$R$338,MATCH('hydrogen - electrolysis'!B7502,overview!$A$4:$A$338,0),MATCH('hydrogen - electrolysis'!A7518,overview!$B$3:$R$3,0))</f>
        <v>Solar PV (DE)</v>
      </c>
    </row>
    <row r="7519" spans="1:2" x14ac:dyDescent="0.2">
      <c r="A7519" t="s">
        <v>29</v>
      </c>
      <c r="B7519" s="45">
        <f>INDEX(overview!$B$4:$R$338,MATCH('hydrogen - electrolysis'!B7502,overview!$A$4:$A$338,0),MATCH('hydrogen - electrolysis'!A7519,overview!$B$3:$R$3,0))</f>
        <v>0</v>
      </c>
    </row>
    <row r="7520" spans="1:2" x14ac:dyDescent="0.2">
      <c r="A7520" t="str">
        <f>IF(B7504="megajoule","Heat","Electricity")&amp;" conversion efficiency [% LHV input]"</f>
        <v>Electricity conversion efficiency [% LHV input]</v>
      </c>
      <c r="B7520" s="46">
        <f>INDEX(parameters!$D$4:$N$20,MATCH('hydrogen - electrolysis'!B7508&amp;'hydrogen - electrolysis'!B7510,parameters!$A$4:$A$20,0),MATCH('hydrogen - electrolysis'!A7520,parameters!$D$3:$N$3,0))</f>
        <v>0.45</v>
      </c>
    </row>
    <row r="7521" spans="1:22" x14ac:dyDescent="0.2">
      <c r="A7521" t="str">
        <f>IF(B7504="megajoule","LHV [MJ/kg]","LHV [kWh/kg]")</f>
        <v>LHV [kWh/kg]</v>
      </c>
      <c r="B7521" s="47">
        <f>INDEX(parameters!$D$4:$N$20,MATCH('hydrogen - electrolysis'!B7508&amp;'hydrogen - electrolysis'!B7510,parameters!$A$4:$A$20,0),MATCH('hydrogen - electrolysis'!A7521,parameters!$D$3:$N$3,0))</f>
        <v>33.333333333333336</v>
      </c>
    </row>
    <row r="7522" spans="1:22" x14ac:dyDescent="0.2">
      <c r="A7522" t="s">
        <v>41</v>
      </c>
      <c r="B7522" s="48">
        <f>INDEX(parameters!$D$4:$N$20,MATCH('hydrogen - electrolysis'!B7508&amp;'hydrogen - electrolysis'!B7510,parameters!$A$4:$A$20,0),MATCH('hydrogen - electrolysis'!A7522,parameters!$D$3:$N$3,0))</f>
        <v>2.6666666666666665E-2</v>
      </c>
    </row>
    <row r="7523" spans="1:22" x14ac:dyDescent="0.2">
      <c r="A7523" t="s">
        <v>45</v>
      </c>
      <c r="B7523" s="46">
        <f>INDEX(parameters!$D$4:$N$20,MATCH('hydrogen - electrolysis'!B7508&amp;'hydrogen - electrolysis'!B7510,parameters!$A$4:$A$20,0),MATCH('hydrogen - electrolysis'!A7523,parameters!$D$3:$N$3,0))</f>
        <v>0</v>
      </c>
    </row>
    <row r="7524" spans="1:22" x14ac:dyDescent="0.2">
      <c r="A7524" t="s">
        <v>46</v>
      </c>
      <c r="B7524" s="46">
        <f>INDEX(parameters!$D$4:$N$20,MATCH('hydrogen - electrolysis'!B7508&amp;'hydrogen - electrolysis'!B7510,parameters!$A$4:$A$20,0),MATCH('hydrogen - electrolysis'!A7524,parameters!$D$3:$N$3,0))</f>
        <v>1.4999999999999999E-2</v>
      </c>
    </row>
    <row r="7525" spans="1:22" x14ac:dyDescent="0.2">
      <c r="A7525" t="s">
        <v>43</v>
      </c>
      <c r="B7525" s="46">
        <f>INDEX(parameters!$D$4:$N$20,MATCH('hydrogen - electrolysis'!B7508&amp;'hydrogen - electrolysis'!B7510,parameters!$A$4:$A$20,0),MATCH('hydrogen - electrolysis'!A7525,parameters!$D$3:$N$3,0))</f>
        <v>0</v>
      </c>
    </row>
    <row r="7526" spans="1:22" x14ac:dyDescent="0.2">
      <c r="A7526" t="s">
        <v>44</v>
      </c>
      <c r="B7526" s="46">
        <f>INDEX(parameters!$D$4:$N$20,MATCH('hydrogen - electrolysis'!B7508&amp;'hydrogen - electrolysis'!B7510,parameters!$A$4:$A$20,0),MATCH('hydrogen - electrolysis'!A7526,parameters!$D$3:$N$3,0))</f>
        <v>0</v>
      </c>
    </row>
    <row r="7527" spans="1:22" x14ac:dyDescent="0.2">
      <c r="A7527" t="s">
        <v>634</v>
      </c>
      <c r="B7527" s="51">
        <f>INDEX(parameters!$D$4:$Y$20,MATCH('hydrogen - electrolysis'!B7508&amp;'hydrogen - electrolysis'!B7510,parameters!$A$4:$A$20,0),MATCH('hydrogen - electrolysis'!A7527,parameters!$D$3:$Y$3,0))</f>
        <v>1.8947368421052633</v>
      </c>
    </row>
    <row r="7528" spans="1:22" x14ac:dyDescent="0.2">
      <c r="A7528" t="s">
        <v>82</v>
      </c>
      <c r="B7528" s="46">
        <f>IF(B7519&lt;&gt;0,VLOOKUP(B7519,parameters!A4822:B4824,2,0),0)</f>
        <v>0</v>
      </c>
    </row>
    <row r="7529" spans="1:22" x14ac:dyDescent="0.2">
      <c r="A7529" t="s">
        <v>548</v>
      </c>
      <c r="B7529" s="50">
        <f>INDEX(parameters!$D$4:$P$20,MATCH(B7508&amp;B7510,parameters!$A$4:$A$20,0),MATCH(A7529,parameters!$D$3:$P$3,0))</f>
        <v>0.8</v>
      </c>
    </row>
    <row r="7530" spans="1:22" x14ac:dyDescent="0.2">
      <c r="A7530" t="s">
        <v>547</v>
      </c>
      <c r="B7530" s="51">
        <f>INDEX(parameters!$D$4:$P$20,MATCH(B7508&amp;B7510,parameters!$A$4:$A$20,0),MATCH(A7530,parameters!$D$3:$P$3,0))</f>
        <v>4.8780487804878048</v>
      </c>
    </row>
    <row r="7531" spans="1:22" x14ac:dyDescent="0.2">
      <c r="A7531" t="s">
        <v>630</v>
      </c>
      <c r="B7531" s="51">
        <f>INDEX(parameters!$D$4:$T$20,MATCH(B7508&amp;B7510,parameters!$A$4:$A$20,0),MATCH(A7531,parameters!$D$3:$T$3,0))</f>
        <v>4100</v>
      </c>
    </row>
    <row r="7532" spans="1:22" x14ac:dyDescent="0.2">
      <c r="A7532" t="s">
        <v>1005</v>
      </c>
      <c r="B7532" s="50">
        <f>IF(B7504="megajoule",SUMIFS(allocation!$I$4:$I$30,allocation!$B$4:$B$30,B7510,allocation!$C$4:$C$30,B7511),SUMIFS(allocation!$J$4:$J$30,allocation!$B$4:$B$30,B7510,allocation!$C$4:$C$30,B7511))</f>
        <v>0.86066019201025545</v>
      </c>
    </row>
    <row r="7533" spans="1:22" x14ac:dyDescent="0.2">
      <c r="A7533" t="s">
        <v>1050</v>
      </c>
      <c r="B7533" s="51">
        <f>INDEX(parameters!$D$4:$AB$20,MATCH(B7508&amp;B7510,parameters!$A$4:$A$20,0),MATCH(A7533,parameters!$D$3:$AB$3,0))</f>
        <v>10.221606648199446</v>
      </c>
    </row>
    <row r="7535" spans="1:22" x14ac:dyDescent="0.2">
      <c r="A7535" s="3" t="s">
        <v>57</v>
      </c>
    </row>
    <row r="7536" spans="1:22" x14ac:dyDescent="0.2">
      <c r="A7536" s="2" t="s">
        <v>58</v>
      </c>
      <c r="B7536" s="44" t="s">
        <v>59</v>
      </c>
      <c r="C7536" s="2" t="s">
        <v>55</v>
      </c>
      <c r="D7536" s="2" t="s">
        <v>60</v>
      </c>
      <c r="E7536" s="2" t="s">
        <v>52</v>
      </c>
      <c r="F7536" s="2" t="s">
        <v>61</v>
      </c>
      <c r="G7536" s="2" t="s">
        <v>54</v>
      </c>
      <c r="H7536" s="2" t="s">
        <v>87</v>
      </c>
      <c r="I7536" s="2" t="s">
        <v>51</v>
      </c>
      <c r="J7536" s="2" t="s">
        <v>138</v>
      </c>
      <c r="K7536" s="2" t="s">
        <v>136</v>
      </c>
      <c r="L7536" s="2" t="s">
        <v>221</v>
      </c>
      <c r="M7536" s="2" t="s">
        <v>379</v>
      </c>
      <c r="N7536" s="2" t="s">
        <v>1059</v>
      </c>
      <c r="O7536" s="2" t="s">
        <v>1060</v>
      </c>
      <c r="P7536" s="2" t="s">
        <v>1061</v>
      </c>
      <c r="Q7536" s="2" t="s">
        <v>1062</v>
      </c>
      <c r="R7536" s="2" t="s">
        <v>1063</v>
      </c>
      <c r="S7536" s="2" t="s">
        <v>1064</v>
      </c>
      <c r="T7536" s="2" t="s">
        <v>1065</v>
      </c>
      <c r="U7536" s="2" t="s">
        <v>380</v>
      </c>
      <c r="V7536" s="2" t="s">
        <v>1128</v>
      </c>
    </row>
    <row r="7537" spans="1:21" x14ac:dyDescent="0.2">
      <c r="A7537" t="str">
        <f>B7498</f>
        <v>electricity, residential, by conversion of hydrogen using fuel cell, PEM, allocated by exergy, transported by pipeline, produced by Electrolysis, SOEC using water and electricity from Solar PV (DE)</v>
      </c>
      <c r="B7537" s="45">
        <v>1</v>
      </c>
      <c r="C7537" t="str">
        <f>B7504</f>
        <v>kilowatt hour</v>
      </c>
      <c r="E7537" t="str">
        <f>B7501</f>
        <v>CH</v>
      </c>
      <c r="F7537" t="s">
        <v>62</v>
      </c>
      <c r="G7537" t="str">
        <f>B7503</f>
        <v>electricity, from residential heating system</v>
      </c>
      <c r="K7537" t="str">
        <f>B7498</f>
        <v>electricity, residential, by conversion of hydrogen using fuel cell, PEM, allocated by exergy, transported by pipeline, produced by Electrolysis, SOEC using water and electricity from Solar PV (DE)</v>
      </c>
    </row>
    <row r="7538" spans="1:21" x14ac:dyDescent="0.2">
      <c r="A7538" t="str">
        <f>VLOOKUP(J7538,'dataset mapping'!$A$4:$E$69,2,0)</f>
        <v>fuel cell system assembly, 1 kWe, proton exchange membrane (PEM)</v>
      </c>
      <c r="B7538" s="52">
        <f>(1/(B7527*B7531*B7530))*B7532</f>
        <v>2.2711866178048405E-5</v>
      </c>
      <c r="C7538" t="str">
        <f>VLOOKUP(J7538,'dataset mapping'!$A$4:$E$69,5,0)</f>
        <v>unit</v>
      </c>
      <c r="E7538" t="str">
        <f>VLOOKUP(J7538,'dataset mapping'!$A$4:$E$69,4,0)</f>
        <v>GLO</v>
      </c>
      <c r="F7538" t="s">
        <v>86</v>
      </c>
      <c r="G7538" t="str">
        <f>VLOOKUP(J7538,'dataset mapping'!$A$4:$E$69,3,0)</f>
        <v>fuel cell system, 1 kWe, proton exchange membrane (PEM)</v>
      </c>
      <c r="H7538" t="s">
        <v>88</v>
      </c>
      <c r="I7538" t="s">
        <v>272</v>
      </c>
      <c r="J7538" t="s">
        <v>273</v>
      </c>
      <c r="K7538" t="str">
        <f>B7498</f>
        <v>electricity, residential, by conversion of hydrogen using fuel cell, PEM, allocated by exergy, transported by pipeline, produced by Electrolysis, SOEC using water and electricity from Solar PV (DE)</v>
      </c>
      <c r="L7538">
        <f>IF(OR(B7538&lt;0,B7538=0),1,2)</f>
        <v>2</v>
      </c>
      <c r="M7538">
        <f>IF(L7538=2,LN(B7538),"")</f>
        <v>-10.692623030936341</v>
      </c>
      <c r="N7538">
        <v>1</v>
      </c>
      <c r="O7538" s="15">
        <v>1.2</v>
      </c>
      <c r="P7538">
        <v>1</v>
      </c>
      <c r="Q7538">
        <v>1.01</v>
      </c>
      <c r="R7538">
        <v>1.2</v>
      </c>
      <c r="S7538">
        <v>1.2</v>
      </c>
      <c r="T7538">
        <v>3</v>
      </c>
      <c r="U7538">
        <f>LN(SQRT(EXP(
SQRT(
+POWER(LN(N7538),2)
+POWER(LN(O7538),2)
+POWER(LN(P7538),2)
+POWER(LN(Q7538),2)
+POWER(LN(R7538),2)
+POWER(LN(S7538),2)
+POWER(LN(T7538),2)
)
)))</f>
        <v>0.57157051623399524</v>
      </c>
    </row>
    <row r="7539" spans="1:21" x14ac:dyDescent="0.2">
      <c r="A7539" s="45" t="str">
        <f>"hydrogen supply, transported by "&amp;B7512&amp;", produced by "&amp;B7516&amp;" using "&amp;B7517&amp;" from "&amp;B7518</f>
        <v>hydrogen supply, transported by pipeline, produced by Electrolysis, SOEC using water and electricity from Solar PV (DE)</v>
      </c>
      <c r="B7539" s="53">
        <f>(B7537/B7521)/B7520*B7532</f>
        <v>5.7377346134017029E-2</v>
      </c>
      <c r="C7539" t="s">
        <v>56</v>
      </c>
      <c r="E7539" t="s">
        <v>64</v>
      </c>
      <c r="F7539" t="s">
        <v>86</v>
      </c>
      <c r="G7539" t="str">
        <f>"hydrogen, gaseous, from "&amp;B7512</f>
        <v>hydrogen, gaseous, from pipeline</v>
      </c>
      <c r="H7539" t="s">
        <v>76</v>
      </c>
      <c r="I7539" t="s">
        <v>1054</v>
      </c>
      <c r="J7539" t="s">
        <v>299</v>
      </c>
      <c r="K7539" t="str">
        <f>B7498</f>
        <v>electricity, residential, by conversion of hydrogen using fuel cell, PEM, allocated by exergy, transported by pipeline, produced by Electrolysis, SOEC using water and electricity from Solar PV (DE)</v>
      </c>
      <c r="L7539">
        <f>IF(OR(B7539&lt;0,B7539=0),1,2)</f>
        <v>2</v>
      </c>
      <c r="M7539">
        <f>IF(L7539=2,LN(B7539),"")</f>
        <v>-2.8581057202127536</v>
      </c>
      <c r="N7539">
        <v>1</v>
      </c>
      <c r="O7539" s="15">
        <v>1.2</v>
      </c>
      <c r="P7539">
        <v>1</v>
      </c>
      <c r="Q7539">
        <v>1.01</v>
      </c>
      <c r="R7539">
        <v>1.2</v>
      </c>
      <c r="S7539">
        <v>1.2</v>
      </c>
      <c r="T7539">
        <v>1.05</v>
      </c>
      <c r="U7539">
        <f>LN(SQRT(EXP(
SQRT(
+POWER(LN(N7539),2)
+POWER(LN(O7539),2)
+POWER(LN(P7539),2)
+POWER(LN(Q7539),2)
+POWER(LN(R7539),2)
+POWER(LN(S7539),2)
+POWER(LN(T7539),2)
)
)))</f>
        <v>0.15984597228197622</v>
      </c>
    </row>
    <row r="7540" spans="1:21" x14ac:dyDescent="0.2">
      <c r="A7540" t="s">
        <v>134</v>
      </c>
      <c r="B7540" s="53">
        <f>B7539*9</f>
        <v>0.51639611520615325</v>
      </c>
      <c r="C7540" t="s">
        <v>56</v>
      </c>
      <c r="D7540" t="s">
        <v>100</v>
      </c>
      <c r="F7540" t="s">
        <v>99</v>
      </c>
      <c r="H7540" t="s">
        <v>131</v>
      </c>
      <c r="I7540" t="s">
        <v>1057</v>
      </c>
      <c r="K7540" t="str">
        <f>B7498</f>
        <v>electricity, residential, by conversion of hydrogen using fuel cell, PEM, allocated by exergy, transported by pipeline, produced by Electrolysis, SOEC using water and electricity from Solar PV (DE)</v>
      </c>
      <c r="L7540">
        <f>IF(OR(B7540&lt;0,B7540=0),1,2)</f>
        <v>2</v>
      </c>
      <c r="M7540">
        <f>IF(L7540=2,LN(B7540),"")</f>
        <v>-0.6608811428765341</v>
      </c>
      <c r="N7540">
        <v>1</v>
      </c>
      <c r="O7540" s="15">
        <v>1.2</v>
      </c>
      <c r="P7540">
        <v>1</v>
      </c>
      <c r="Q7540">
        <v>1.01</v>
      </c>
      <c r="R7540">
        <v>1.2</v>
      </c>
      <c r="S7540">
        <v>1.2</v>
      </c>
      <c r="T7540">
        <v>1.05</v>
      </c>
      <c r="U7540">
        <f>LN(SQRT(EXP(
SQRT(
+POWER(LN(N7540),2)
+POWER(LN(O7540),2)
+POWER(LN(P7540),2)
+POWER(LN(Q7540),2)
+POWER(LN(R7540),2)
+POWER(LN(S7540),2)
+POWER(LN(T7540),2)
)
)))</f>
        <v>0.15984597228197622</v>
      </c>
    </row>
    <row r="7542" spans="1:21" x14ac:dyDescent="0.2">
      <c r="A7542" s="2" t="s">
        <v>50</v>
      </c>
      <c r="B7542" s="44" t="str">
        <f>IF(B7548="megajoule","heat","electricity")&amp;", residential, by "&amp;B7553&amp;" of "&amp;B7552&amp;" using "&amp;B7554&amp;IF(B7555&lt;&gt;0,", allocated by "&amp;B7555,"")&amp;", transported by "&amp;B7556&amp;", produced by "&amp;B7560&amp;" using "&amp;B7561&amp;" from "&amp;B7562</f>
        <v>electricity, residential, by conversion of hydrogen using fuel cell, SOFC, allocated by exergy, transported by pipeline, produced by Electrolysis, SOEC using water and electricity from Solar PV (DE)</v>
      </c>
    </row>
    <row r="7543" spans="1:21" x14ac:dyDescent="0.2">
      <c r="A7543" t="s">
        <v>51</v>
      </c>
      <c r="B7543" s="45" t="str">
        <f>"This dataset represents the supply of 1 "&amp;IF(B7548="megajoule","megajoule of heat","kilowatt hour of electricity")&amp;" in a residence, by "&amp;B7552&amp;" "&amp;B7553&amp;" in a "&amp;B7554&amp;". "&amp;" The hydrogen is transported by "&amp;B7556&amp;" over "&amp;B7557&amp;" km from regional storage. "&amp;" The "&amp;B7552&amp;" is produced by  "&amp;B7560&amp;", with "&amp;B7561&amp;" from "&amp;B7562&amp;" as feedstock. "&amp;A7564&amp;": "&amp;(B7564*100)&amp;"%. "&amp;A7565&amp;": "&amp;B7565&amp;". "&amp;A7566&amp;": "&amp;B7566&amp;". "&amp;A7567&amp;": "&amp;(B7567*100)&amp;"%. "&amp;A7568&amp;": "&amp;(B7568*100)&amp;"%. "&amp;A7569&amp;": "&amp;(B7569*100)&amp;"%. "&amp;A7570&amp;": "&amp;B7570&amp;". "&amp;A7571&amp;": "&amp;B7571&amp;". "&amp;A7572&amp;": "&amp;(B7572*100)&amp;"%. "&amp;A7573&amp;": "&amp;B7573&amp;". "&amp;A7574&amp;": "&amp;B7574&amp;". "&amp;A7575&amp;": "&amp;B7575&amp;". "&amp;A7576&amp;": "&amp;B7576&amp;".  For more information, refer to: "&amp;B7544</f>
        <v>This dataset represents the supply of 1 kilowatt hour of electricity in a residence, by hydrogen conversion in a fuel cell, SOFC.  The hydrogen is transported by pipeline over 1000 km from regional storage.  The hydrogen is produced by  Electrolysis, SOEC,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7544" spans="1:21" x14ac:dyDescent="0.2">
      <c r="A7544" t="s">
        <v>63</v>
      </c>
      <c r="B7544" s="45" t="s">
        <v>1223</v>
      </c>
    </row>
    <row r="7545" spans="1:21" x14ac:dyDescent="0.2">
      <c r="A7545" t="s">
        <v>52</v>
      </c>
      <c r="B7545" s="45" t="s">
        <v>64</v>
      </c>
    </row>
    <row r="7546" spans="1:21" x14ac:dyDescent="0.2">
      <c r="A7546" t="s">
        <v>48</v>
      </c>
      <c r="B7546" s="45" t="s">
        <v>933</v>
      </c>
    </row>
    <row r="7547" spans="1:21" x14ac:dyDescent="0.2">
      <c r="A7547" t="s">
        <v>54</v>
      </c>
      <c r="B7547" s="45" t="str">
        <f>INDEX(overview!$B$4:$R$338,MATCH('hydrogen - electrolysis'!B7546,overview!$A$4:$A$338,0),MATCH('hydrogen - electrolysis'!A7547,overview!$B$3:$R$3,0))</f>
        <v>electricity, from residential heating system</v>
      </c>
    </row>
    <row r="7548" spans="1:21" x14ac:dyDescent="0.2">
      <c r="A7548" t="s">
        <v>55</v>
      </c>
      <c r="B7548" s="45" t="str">
        <f>INDEX(overview!$B$4:$R$338,MATCH('hydrogen - electrolysis'!B7546,overview!$A$4:$A$338,0),MATCH('hydrogen - electrolysis'!A7548,overview!$B$3:$R$3,0))</f>
        <v>kilowatt hour</v>
      </c>
    </row>
    <row r="7549" spans="1:21" x14ac:dyDescent="0.2">
      <c r="A7549" t="s">
        <v>0</v>
      </c>
      <c r="B7549" s="45" t="str">
        <f>INDEX(overview!$B$4:$R$338,MATCH('hydrogen - electrolysis'!B7546,overview!$A$4:$A$338,0),MATCH('hydrogen - electrolysis'!A7549,overview!$B$3:$R$3,0))</f>
        <v>Switzerland</v>
      </c>
    </row>
    <row r="7550" spans="1:21" x14ac:dyDescent="0.2">
      <c r="A7550" t="s">
        <v>1</v>
      </c>
      <c r="B7550" s="45">
        <f>INDEX(overview!$B$4:$R$338,MATCH('hydrogen - electrolysis'!B7546,overview!$A$4:$A$338,0),MATCH('hydrogen - electrolysis'!A7550,overview!$B$3:$R$3,0))</f>
        <v>2020</v>
      </c>
    </row>
    <row r="7551" spans="1:21" x14ac:dyDescent="0.2">
      <c r="A7551" t="s">
        <v>2</v>
      </c>
      <c r="B7551" s="45" t="str">
        <f>INDEX(overview!$B$4:$R$338,MATCH('hydrogen - electrolysis'!B7546,overview!$A$4:$A$338,0),MATCH('hydrogen - electrolysis'!A7551,overview!$B$3:$R$3,0))</f>
        <v>1 kWh electricity</v>
      </c>
    </row>
    <row r="7552" spans="1:21" x14ac:dyDescent="0.2">
      <c r="A7552" t="s">
        <v>5</v>
      </c>
      <c r="B7552" s="45" t="str">
        <f>INDEX(overview!$B$4:$R$338,MATCH('hydrogen - electrolysis'!B7546,overview!$A$4:$A$338,0),MATCH('hydrogen - electrolysis'!A7552,overview!$B$3:$R$3,0))</f>
        <v>hydrogen</v>
      </c>
    </row>
    <row r="7553" spans="1:2" x14ac:dyDescent="0.2">
      <c r="A7553" t="s">
        <v>3</v>
      </c>
      <c r="B7553" s="45" t="str">
        <f>INDEX(overview!$B$4:$R$338,MATCH('hydrogen - electrolysis'!B7546,overview!$A$4:$A$338,0),MATCH('hydrogen - electrolysis'!A7553,overview!$B$3:$R$3,0))</f>
        <v>conversion</v>
      </c>
    </row>
    <row r="7554" spans="1:2" x14ac:dyDescent="0.2">
      <c r="A7554" t="s">
        <v>6</v>
      </c>
      <c r="B7554" s="45" t="str">
        <f>INDEX(overview!$B$4:$R$338,MATCH('hydrogen - electrolysis'!B7546,overview!$A$4:$A$338,0),MATCH('hydrogen - electrolysis'!A7554,overview!$B$3:$R$3,0))</f>
        <v>fuel cell, SOFC</v>
      </c>
    </row>
    <row r="7555" spans="1:2" x14ac:dyDescent="0.2">
      <c r="A7555" t="s">
        <v>39</v>
      </c>
      <c r="B7555" s="45" t="str">
        <f>INDEX(overview!$B$4:$R$338,MATCH('hydrogen - electrolysis'!B7546,overview!$A$4:$A$338,0),MATCH('hydrogen - electrolysis'!A7555,overview!$B$3:$R$3,0))</f>
        <v>exergy</v>
      </c>
    </row>
    <row r="7556" spans="1:2" x14ac:dyDescent="0.2">
      <c r="A7556" t="s">
        <v>4</v>
      </c>
      <c r="B7556" s="45" t="str">
        <f>INDEX(overview!$B$4:$R$338,MATCH('hydrogen - electrolysis'!B7546,overview!$A$4:$A$338,0),MATCH('hydrogen - electrolysis'!A7556,overview!$B$3:$R$3,0))</f>
        <v>pipeline</v>
      </c>
    </row>
    <row r="7557" spans="1:2" x14ac:dyDescent="0.2">
      <c r="A7557" t="s">
        <v>38</v>
      </c>
      <c r="B7557" s="45">
        <f>INDEX(overview!$B$4:$R$338,MATCH('hydrogen - electrolysis'!B7546,overview!$A$4:$A$338,0),MATCH('hydrogen - electrolysis'!A7557,overview!$B$3:$R$3,0))</f>
        <v>1000</v>
      </c>
    </row>
    <row r="7558" spans="1:2" x14ac:dyDescent="0.2">
      <c r="A7558" t="s">
        <v>12</v>
      </c>
      <c r="B7558" s="45" t="str">
        <f>INDEX(overview!$B$4:$R$338,MATCH('hydrogen - electrolysis'!B7546,overview!$A$4:$A$338,0),MATCH('hydrogen - electrolysis'!A7558,overview!$B$3:$R$3,0))</f>
        <v>Pressure vessel for stationary storage</v>
      </c>
    </row>
    <row r="7559" spans="1:2" x14ac:dyDescent="0.2">
      <c r="A7559" t="s">
        <v>34</v>
      </c>
      <c r="B7559" s="45">
        <f>INDEX(overview!$B$4:$R$338,MATCH('hydrogen - electrolysis'!B7546,overview!$A$4:$A$338,0),MATCH('hydrogen - electrolysis'!A7559,overview!$B$3:$R$3,0))</f>
        <v>0</v>
      </c>
    </row>
    <row r="7560" spans="1:2" x14ac:dyDescent="0.2">
      <c r="A7560" t="s">
        <v>15</v>
      </c>
      <c r="B7560" s="45" t="str">
        <f>INDEX(overview!$B$4:$R$338,MATCH('hydrogen - electrolysis'!B7546,overview!$A$4:$A$338,0),MATCH('hydrogen - electrolysis'!A7560,overview!$B$3:$R$3,0))</f>
        <v>Electrolysis, SOEC</v>
      </c>
    </row>
    <row r="7561" spans="1:2" x14ac:dyDescent="0.2">
      <c r="A7561" t="s">
        <v>14</v>
      </c>
      <c r="B7561" s="45" t="str">
        <f>INDEX(overview!$B$4:$R$338,MATCH('hydrogen - electrolysis'!B7546,overview!$A$4:$A$338,0),MATCH('hydrogen - electrolysis'!A7561,overview!$B$3:$R$3,0))</f>
        <v>water and electricity</v>
      </c>
    </row>
    <row r="7562" spans="1:2" x14ac:dyDescent="0.2">
      <c r="A7562" t="s">
        <v>26</v>
      </c>
      <c r="B7562" s="45" t="str">
        <f>INDEX(overview!$B$4:$R$338,MATCH('hydrogen - electrolysis'!B7546,overview!$A$4:$A$338,0),MATCH('hydrogen - electrolysis'!A7562,overview!$B$3:$R$3,0))</f>
        <v>Solar PV (DE)</v>
      </c>
    </row>
    <row r="7563" spans="1:2" x14ac:dyDescent="0.2">
      <c r="A7563" t="s">
        <v>29</v>
      </c>
      <c r="B7563" s="45">
        <f>INDEX(overview!$B$4:$R$338,MATCH('hydrogen - electrolysis'!B7546,overview!$A$4:$A$338,0),MATCH('hydrogen - electrolysis'!A7563,overview!$B$3:$R$3,0))</f>
        <v>0</v>
      </c>
    </row>
    <row r="7564" spans="1:2" x14ac:dyDescent="0.2">
      <c r="A7564" t="str">
        <f>IF(B7548="megajoule","Heat","Electricity")&amp;" conversion efficiency [% LHV input]"</f>
        <v>Electricity conversion efficiency [% LHV input]</v>
      </c>
      <c r="B7564" s="46">
        <f>INDEX(parameters!$D$4:$N$20,MATCH('hydrogen - electrolysis'!B7552&amp;'hydrogen - electrolysis'!B7554,parameters!$A$4:$A$20,0),MATCH('hydrogen - electrolysis'!A7564,parameters!$D$3:$N$3,0))</f>
        <v>0.47</v>
      </c>
    </row>
    <row r="7565" spans="1:2" x14ac:dyDescent="0.2">
      <c r="A7565" t="str">
        <f>IF(B7548="megajoule","LHV [MJ/kg]","LHV [kWh/kg]")</f>
        <v>LHV [kWh/kg]</v>
      </c>
      <c r="B7565" s="47">
        <f>INDEX(parameters!$D$4:$N$20,MATCH('hydrogen - electrolysis'!B7552&amp;'hydrogen - electrolysis'!B7554,parameters!$A$4:$A$20,0),MATCH('hydrogen - electrolysis'!A7565,parameters!$D$3:$N$3,0))</f>
        <v>33.333333333333336</v>
      </c>
    </row>
    <row r="7566" spans="1:2" x14ac:dyDescent="0.2">
      <c r="A7566" t="s">
        <v>41</v>
      </c>
      <c r="B7566" s="48">
        <f>INDEX(parameters!$D$4:$N$20,MATCH('hydrogen - electrolysis'!B7552&amp;'hydrogen - electrolysis'!B7554,parameters!$A$4:$A$20,0),MATCH('hydrogen - electrolysis'!A7566,parameters!$D$3:$N$3,0))</f>
        <v>2.6666666666666665E-2</v>
      </c>
    </row>
    <row r="7567" spans="1:2" x14ac:dyDescent="0.2">
      <c r="A7567" t="s">
        <v>45</v>
      </c>
      <c r="B7567" s="46">
        <f>INDEX(parameters!$D$4:$N$20,MATCH('hydrogen - electrolysis'!B7552&amp;'hydrogen - electrolysis'!B7554,parameters!$A$4:$A$20,0),MATCH('hydrogen - electrolysis'!A7567,parameters!$D$3:$N$3,0))</f>
        <v>0</v>
      </c>
    </row>
    <row r="7568" spans="1:2" x14ac:dyDescent="0.2">
      <c r="A7568" t="s">
        <v>46</v>
      </c>
      <c r="B7568" s="46">
        <f>INDEX(parameters!$D$4:$N$20,MATCH('hydrogen - electrolysis'!B7552&amp;'hydrogen - electrolysis'!B7554,parameters!$A$4:$A$20,0),MATCH('hydrogen - electrolysis'!A7568,parameters!$D$3:$N$3,0))</f>
        <v>1.4999999999999999E-2</v>
      </c>
    </row>
    <row r="7569" spans="1:22" x14ac:dyDescent="0.2">
      <c r="A7569" t="s">
        <v>43</v>
      </c>
      <c r="B7569" s="46">
        <f>INDEX(parameters!$D$4:$N$20,MATCH('hydrogen - electrolysis'!B7552&amp;'hydrogen - electrolysis'!B7554,parameters!$A$4:$A$20,0),MATCH('hydrogen - electrolysis'!A7569,parameters!$D$3:$N$3,0))</f>
        <v>0</v>
      </c>
    </row>
    <row r="7570" spans="1:22" x14ac:dyDescent="0.2">
      <c r="A7570" t="s">
        <v>44</v>
      </c>
      <c r="B7570" s="46">
        <f>INDEX(parameters!$D$4:$N$20,MATCH('hydrogen - electrolysis'!B7552&amp;'hydrogen - electrolysis'!B7554,parameters!$A$4:$A$20,0),MATCH('hydrogen - electrolysis'!A7570,parameters!$D$3:$N$3,0))</f>
        <v>0</v>
      </c>
    </row>
    <row r="7571" spans="1:22" x14ac:dyDescent="0.2">
      <c r="A7571" t="s">
        <v>634</v>
      </c>
      <c r="B7571" s="51">
        <f>INDEX(parameters!$D$4:$Y$20,MATCH('hydrogen - electrolysis'!B7552&amp;'hydrogen - electrolysis'!B7554,parameters!$A$4:$A$20,0),MATCH('hydrogen - electrolysis'!A7571,parameters!$D$3:$Y$3,0))</f>
        <v>225</v>
      </c>
      <c r="D7571" s="8"/>
    </row>
    <row r="7572" spans="1:22" x14ac:dyDescent="0.2">
      <c r="A7572" t="s">
        <v>82</v>
      </c>
      <c r="B7572" s="46">
        <f>IF(B7563&lt;&gt;0,VLOOKUP(B7563,parameters!A4871:B4873,2,0),0)</f>
        <v>0</v>
      </c>
    </row>
    <row r="7573" spans="1:22" x14ac:dyDescent="0.2">
      <c r="A7573" t="s">
        <v>548</v>
      </c>
      <c r="B7573" s="50">
        <f>INDEX(parameters!$D$4:$P$20,MATCH(B7552&amp;B7554,parameters!$A$4:$A$20,0),MATCH(A7573,parameters!$D$3:$P$3,0))</f>
        <v>100</v>
      </c>
    </row>
    <row r="7574" spans="1:22" x14ac:dyDescent="0.2">
      <c r="A7574" t="s">
        <v>547</v>
      </c>
      <c r="B7574" s="51">
        <f>INDEX(parameters!$D$4:$P$20,MATCH(B7552&amp;B7554,parameters!$A$4:$A$20,0),MATCH(A7574,parameters!$D$3:$P$3,0))</f>
        <v>6</v>
      </c>
    </row>
    <row r="7575" spans="1:22" x14ac:dyDescent="0.2">
      <c r="A7575" t="s">
        <v>630</v>
      </c>
      <c r="B7575" s="51">
        <f>INDEX(parameters!$D$4:$T$20,MATCH(B7552&amp;B7554,parameters!$A$4:$A$20,0),MATCH(A7575,parameters!$D$3:$T$3,0))</f>
        <v>4100</v>
      </c>
    </row>
    <row r="7576" spans="1:22" x14ac:dyDescent="0.2">
      <c r="A7576" t="s">
        <v>1005</v>
      </c>
      <c r="B7576" s="50">
        <f>IF(B7548="megajoule",SUMIFS(allocation!$I$4:$I$30,allocation!$B$4:$B$30,B7554,allocation!$C$4:$C$30,B7555),SUMIFS(allocation!$J$4:$J$30,allocation!$B$4:$B$30,B7554,allocation!$C$4:$C$30,B7555))</f>
        <v>0.86412493489600906</v>
      </c>
    </row>
    <row r="7577" spans="1:22" x14ac:dyDescent="0.2">
      <c r="A7577" t="s">
        <v>1050</v>
      </c>
      <c r="B7577" s="51">
        <f>INDEX(parameters!$D$4:$AB$20,MATCH(B7552&amp;B7554,parameters!$A$4:$A$20,0),MATCH(A7577,parameters!$D$3:$AB$3,0))</f>
        <v>1153.1249999999998</v>
      </c>
    </row>
    <row r="7579" spans="1:22" x14ac:dyDescent="0.2">
      <c r="A7579" s="3" t="s">
        <v>57</v>
      </c>
    </row>
    <row r="7580" spans="1:22" x14ac:dyDescent="0.2">
      <c r="A7580" s="2" t="s">
        <v>58</v>
      </c>
      <c r="B7580" s="44" t="s">
        <v>59</v>
      </c>
      <c r="C7580" s="2" t="s">
        <v>55</v>
      </c>
      <c r="D7580" s="2" t="s">
        <v>60</v>
      </c>
      <c r="E7580" s="2" t="s">
        <v>52</v>
      </c>
      <c r="F7580" s="2" t="s">
        <v>61</v>
      </c>
      <c r="G7580" s="2" t="s">
        <v>54</v>
      </c>
      <c r="H7580" s="2" t="s">
        <v>87</v>
      </c>
      <c r="I7580" s="2" t="s">
        <v>51</v>
      </c>
      <c r="J7580" s="2" t="s">
        <v>138</v>
      </c>
      <c r="K7580" s="2" t="s">
        <v>136</v>
      </c>
      <c r="L7580" s="2" t="s">
        <v>221</v>
      </c>
      <c r="M7580" s="2" t="s">
        <v>379</v>
      </c>
      <c r="N7580" s="2" t="s">
        <v>1059</v>
      </c>
      <c r="O7580" s="2" t="s">
        <v>1060</v>
      </c>
      <c r="P7580" s="2" t="s">
        <v>1061</v>
      </c>
      <c r="Q7580" s="2" t="s">
        <v>1062</v>
      </c>
      <c r="R7580" s="2" t="s">
        <v>1063</v>
      </c>
      <c r="S7580" s="2" t="s">
        <v>1064</v>
      </c>
      <c r="T7580" s="2" t="s">
        <v>1065</v>
      </c>
      <c r="U7580" s="2" t="s">
        <v>380</v>
      </c>
      <c r="V7580" s="2" t="s">
        <v>1128</v>
      </c>
    </row>
    <row r="7581" spans="1:22" x14ac:dyDescent="0.2">
      <c r="A7581" t="str">
        <f>B7542</f>
        <v>electricity, residential, by conversion of hydrogen using fuel cell, SOFC, allocated by exergy, transported by pipeline, produced by Electrolysis, SOEC using water and electricity from Solar PV (DE)</v>
      </c>
      <c r="B7581" s="45">
        <v>1</v>
      </c>
      <c r="C7581" t="str">
        <f>B7548</f>
        <v>kilowatt hour</v>
      </c>
      <c r="E7581" t="str">
        <f>B7545</f>
        <v>CH</v>
      </c>
      <c r="F7581" t="s">
        <v>62</v>
      </c>
      <c r="G7581" t="str">
        <f>B7547</f>
        <v>electricity, from residential heating system</v>
      </c>
      <c r="K7581" t="str">
        <f>B7542</f>
        <v>electricity, residential, by conversion of hydrogen using fuel cell, SOFC, allocated by exergy, transported by pipeline, produced by Electrolysis, SOEC using water and electricity from Solar PV (DE)</v>
      </c>
    </row>
    <row r="7582" spans="1:22" x14ac:dyDescent="0.2">
      <c r="A7582" t="str">
        <f>VLOOKUP(J7582,'dataset mapping'!$A$4:$E$69,2,0)</f>
        <v>fuel cell production, stack solid oxide, 125kW electrical, future</v>
      </c>
      <c r="B7582" s="52">
        <f>(1/(B7571*B7575*B7574))*B7576</f>
        <v>1.5612013277254003E-7</v>
      </c>
      <c r="C7582" t="str">
        <f>VLOOKUP(J7582,'dataset mapping'!$A$4:$E$69,5,0)</f>
        <v>unit</v>
      </c>
      <c r="E7582" t="str">
        <f>VLOOKUP(J7582,'dataset mapping'!$A$4:$E$69,4,0)</f>
        <v>CH</v>
      </c>
      <c r="F7582" t="s">
        <v>86</v>
      </c>
      <c r="G7582" t="str">
        <f>VLOOKUP(J7582,'dataset mapping'!$A$4:$E$69,3,0)</f>
        <v>fuel cell, stack solid oxide, 125kW electrical, future</v>
      </c>
      <c r="H7582" t="s">
        <v>88</v>
      </c>
      <c r="I7582" t="s">
        <v>277</v>
      </c>
      <c r="J7582" t="s">
        <v>274</v>
      </c>
      <c r="K7582" t="str">
        <f>B7542</f>
        <v>electricity, residential, by conversion of hydrogen using fuel cell, SOFC, allocated by exergy, transported by pipeline, produced by Electrolysis, SOEC using water and electricity from Solar PV (DE)</v>
      </c>
      <c r="L7582">
        <f>IF(OR(B7582&lt;0,B7582=0),1,2)</f>
        <v>2</v>
      </c>
      <c r="M7582">
        <f>IF(L7582=2,LN(B7582),"")</f>
        <v>-15.672640044182527</v>
      </c>
      <c r="N7582">
        <v>1</v>
      </c>
      <c r="O7582" s="15">
        <v>1.2</v>
      </c>
      <c r="P7582">
        <v>1</v>
      </c>
      <c r="Q7582">
        <v>1.01</v>
      </c>
      <c r="R7582">
        <v>1.2</v>
      </c>
      <c r="S7582">
        <v>1.2</v>
      </c>
      <c r="T7582">
        <v>3</v>
      </c>
      <c r="U7582">
        <f>LN(SQRT(EXP(
SQRT(
+POWER(LN(N7582),2)
+POWER(LN(O7582),2)
+POWER(LN(P7582),2)
+POWER(LN(Q7582),2)
+POWER(LN(R7582),2)
+POWER(LN(S7582),2)
+POWER(LN(T7582),2)
)
)))</f>
        <v>0.57157051623399524</v>
      </c>
    </row>
    <row r="7583" spans="1:22" x14ac:dyDescent="0.2">
      <c r="A7583" t="s">
        <v>283</v>
      </c>
      <c r="B7583" s="52">
        <f>(1/(B7571*B7575*B7574))*B7576</f>
        <v>1.5612013277254003E-7</v>
      </c>
      <c r="C7583" t="s">
        <v>55</v>
      </c>
      <c r="E7583" t="s">
        <v>64</v>
      </c>
      <c r="F7583" t="s">
        <v>86</v>
      </c>
      <c r="G7583" t="s">
        <v>284</v>
      </c>
      <c r="H7583" t="s">
        <v>88</v>
      </c>
      <c r="I7583" t="s">
        <v>277</v>
      </c>
      <c r="K7583" t="str">
        <f>B7542</f>
        <v>electricity, residential, by conversion of hydrogen using fuel cell, SOFC, allocated by exergy, transported by pipeline, produced by Electrolysis, SOEC using water and electricity from Solar PV (DE)</v>
      </c>
      <c r="L7583">
        <f>IF(OR(B7583&lt;0,B7583=0),1,2)</f>
        <v>2</v>
      </c>
      <c r="M7583">
        <f>IF(L7583=2,LN(B7583),"")</f>
        <v>-15.672640044182527</v>
      </c>
      <c r="N7583">
        <v>1</v>
      </c>
      <c r="O7583" s="15">
        <v>1.2</v>
      </c>
      <c r="P7583">
        <v>1</v>
      </c>
      <c r="Q7583">
        <v>1.01</v>
      </c>
      <c r="R7583">
        <v>1.2</v>
      </c>
      <c r="S7583">
        <v>1.2</v>
      </c>
      <c r="T7583">
        <v>3</v>
      </c>
      <c r="U7583">
        <f>LN(SQRT(EXP(
SQRT(
+POWER(LN(N7583),2)
+POWER(LN(O7583),2)
+POWER(LN(P7583),2)
+POWER(LN(Q7583),2)
+POWER(LN(R7583),2)
+POWER(LN(S7583),2)
+POWER(LN(T7583),2)
)
)))</f>
        <v>0.57157051623399524</v>
      </c>
    </row>
    <row r="7584" spans="1:22" x14ac:dyDescent="0.2">
      <c r="A7584" t="s">
        <v>288</v>
      </c>
      <c r="B7584" s="52">
        <f>0.000024*B7576</f>
        <v>2.0738998437504217E-5</v>
      </c>
      <c r="C7584" t="s">
        <v>56</v>
      </c>
      <c r="E7584" t="s">
        <v>64</v>
      </c>
      <c r="F7584" t="s">
        <v>86</v>
      </c>
      <c r="G7584" t="s">
        <v>287</v>
      </c>
      <c r="H7584" t="s">
        <v>88</v>
      </c>
      <c r="K7584" t="str">
        <f>B7542</f>
        <v>electricity, residential, by conversion of hydrogen using fuel cell, SOFC, allocated by exergy, transported by pipeline, produced by Electrolysis, SOEC using water and electricity from Solar PV (DE)</v>
      </c>
      <c r="L7584">
        <f>IF(OR(B7584&lt;0,B7584=0),1,2)</f>
        <v>2</v>
      </c>
      <c r="M7584">
        <f>IF(L7584=2,LN(B7584),"")</f>
        <v>-10.783494647673981</v>
      </c>
      <c r="N7584">
        <v>1</v>
      </c>
      <c r="O7584" s="15">
        <v>1.2</v>
      </c>
      <c r="P7584">
        <v>1</v>
      </c>
      <c r="Q7584">
        <v>1.01</v>
      </c>
      <c r="R7584">
        <v>1.2</v>
      </c>
      <c r="S7584">
        <v>1.2</v>
      </c>
      <c r="T7584">
        <v>1.05</v>
      </c>
      <c r="U7584">
        <f>LN(SQRT(EXP(
SQRT(
+POWER(LN(N7584),2)
+POWER(LN(O7584),2)
+POWER(LN(P7584),2)
+POWER(LN(Q7584),2)
+POWER(LN(R7584),2)
+POWER(LN(S7584),2)
+POWER(LN(T7584),2)
)
)))</f>
        <v>0.15984597228197622</v>
      </c>
    </row>
    <row r="7585" spans="1:21" x14ac:dyDescent="0.2">
      <c r="A7585" s="45" t="str">
        <f>"hydrogen supply, transported by "&amp;B7556&amp;", produced by "&amp;B7560&amp;" using "&amp;B7561&amp;" from "&amp;B7562</f>
        <v>hydrogen supply, transported by pipeline, produced by Electrolysis, SOEC using water and electricity from Solar PV (DE)</v>
      </c>
      <c r="B7585" s="53">
        <f>(B7581/B7565)/B7564*B7576</f>
        <v>5.515691073804313E-2</v>
      </c>
      <c r="C7585" t="s">
        <v>56</v>
      </c>
      <c r="E7585" t="s">
        <v>64</v>
      </c>
      <c r="F7585" t="s">
        <v>86</v>
      </c>
      <c r="G7585" t="str">
        <f>"hydrogen, gaseous, from "&amp;B7556</f>
        <v>hydrogen, gaseous, from pipeline</v>
      </c>
      <c r="H7585" t="s">
        <v>76</v>
      </c>
      <c r="I7585" t="s">
        <v>1054</v>
      </c>
      <c r="J7585" t="s">
        <v>299</v>
      </c>
      <c r="K7585" t="str">
        <f>B7542</f>
        <v>electricity, residential, by conversion of hydrogen using fuel cell, SOFC, allocated by exergy, transported by pipeline, produced by Electrolysis, SOEC using water and electricity from Solar PV (DE)</v>
      </c>
      <c r="L7585">
        <f>IF(OR(B7585&lt;0,B7585=0),1,2)</f>
        <v>2</v>
      </c>
      <c r="M7585">
        <f>IF(L7585=2,LN(B7585),"")</f>
        <v>-2.8975732330996009</v>
      </c>
      <c r="N7585">
        <v>1</v>
      </c>
      <c r="O7585" s="15">
        <v>1.2</v>
      </c>
      <c r="P7585">
        <v>1</v>
      </c>
      <c r="Q7585">
        <v>1.01</v>
      </c>
      <c r="R7585">
        <v>1.2</v>
      </c>
      <c r="S7585">
        <v>1.2</v>
      </c>
      <c r="T7585">
        <v>1.05</v>
      </c>
      <c r="U7585">
        <f>LN(SQRT(EXP(
SQRT(
+POWER(LN(N7585),2)
+POWER(LN(O7585),2)
+POWER(LN(P7585),2)
+POWER(LN(Q7585),2)
+POWER(LN(R7585),2)
+POWER(LN(S7585),2)
+POWER(LN(T7585),2)
)
)))</f>
        <v>0.15984597228197622</v>
      </c>
    </row>
    <row r="7586" spans="1:21" x14ac:dyDescent="0.2">
      <c r="A7586" t="s">
        <v>134</v>
      </c>
      <c r="B7586" s="45">
        <f>B7585*9</f>
        <v>0.49641219664238817</v>
      </c>
      <c r="C7586" t="s">
        <v>56</v>
      </c>
      <c r="D7586" t="s">
        <v>100</v>
      </c>
      <c r="F7586" t="s">
        <v>99</v>
      </c>
      <c r="H7586" t="s">
        <v>131</v>
      </c>
      <c r="I7586" t="s">
        <v>1057</v>
      </c>
      <c r="K7586" t="str">
        <f>B7542</f>
        <v>electricity, residential, by conversion of hydrogen using fuel cell, SOFC, allocated by exergy, transported by pipeline, produced by Electrolysis, SOEC using water and electricity from Solar PV (DE)</v>
      </c>
      <c r="L7586">
        <f>IF(OR(B7586&lt;0,B7586=0),1,2)</f>
        <v>2</v>
      </c>
      <c r="M7586">
        <f>IF(L7586=2,LN(B7586),"")</f>
        <v>-0.70034865576338168</v>
      </c>
      <c r="N7586">
        <v>1</v>
      </c>
      <c r="O7586" s="15">
        <v>1.2</v>
      </c>
      <c r="P7586">
        <v>1</v>
      </c>
      <c r="Q7586">
        <v>1.01</v>
      </c>
      <c r="R7586">
        <v>1.2</v>
      </c>
      <c r="S7586">
        <v>1.2</v>
      </c>
      <c r="T7586">
        <v>1.05</v>
      </c>
      <c r="U7586">
        <f>LN(SQRT(EXP(
SQRT(
+POWER(LN(N7586),2)
+POWER(LN(O7586),2)
+POWER(LN(P7586),2)
+POWER(LN(Q7586),2)
+POWER(LN(R7586),2)
+POWER(LN(S7586),2)
+POWER(LN(T7586),2)
)
)))</f>
        <v>0.15984597228197622</v>
      </c>
    </row>
    <row r="7588" spans="1:21" x14ac:dyDescent="0.2">
      <c r="A7588" s="2" t="s">
        <v>50</v>
      </c>
      <c r="B7588" s="44" t="str">
        <f>IF(B7594="megajoule","heat","electricity")&amp;", residential, by "&amp;B7599&amp;" of "&amp;B7598&amp;" using "&amp;B7600&amp;IF(B7601&lt;&gt;0,", allocated by "&amp;B7601,"")&amp;", transported by "&amp;B7602&amp;", produced by "&amp;B7606&amp;" using "&amp;B7607&amp;" from "&amp;B7608</f>
        <v>heat, residential, by combustion of hydrogen using boiler, transported by train, produced by Electrolysis, SOEC using water and electricity from Solar PV (DE)</v>
      </c>
    </row>
    <row r="7589" spans="1:21" x14ac:dyDescent="0.2">
      <c r="A7589" t="s">
        <v>51</v>
      </c>
      <c r="B7589" s="45" t="str">
        <f>"This dataset represents the supply of 1 "&amp;IF(B7594="megajoule","megajoule of heat","kilowatt hour of electricity")&amp;" in a residence, by "&amp;B7598&amp;" "&amp;B7599&amp;" in a "&amp;B7600&amp;". "&amp;" The hydrogen is transported by "&amp;B7602&amp;" over "&amp;B7603&amp;" km from regional storage. "&amp;" The "&amp;B7598&amp;" is produced by  "&amp;B7606&amp;", with "&amp;B7607&amp;" from "&amp;B7608&amp;" as feedstock. "&amp;A7610&amp;": "&amp;(B7610*100)&amp;"%. "&amp;A7611&amp;": "&amp;B7611&amp;". "&amp;A7612&amp;": "&amp;B7612&amp;". "&amp;A7613&amp;": "&amp;(B7613*100)&amp;"%. "&amp;A7614&amp;": "&amp;(B7614*100)&amp;"%. "&amp;A7615&amp;": "&amp;(B7615*100)&amp;"%. "&amp;A7616&amp;": "&amp;B7616&amp;". "&amp;A7617&amp;": "&amp;B7617&amp;". "&amp;A7618&amp;": "&amp;(B7618*100)&amp;"%. "&amp;A7619&amp;": "&amp;B7619&amp;". "&amp;A7620&amp;": "&amp;B7620&amp;". "&amp;A7621&amp;": "&amp;B7621&amp;". "&amp;A7622&amp;": "&amp;B7622&amp;".  For more information, refer to: "&amp;B7590</f>
        <v>This dataset represents the supply of 1 megajoule of heat in a residence, by hydrogen combustion in a boiler.  The hydrogen is transported by train over 1000 km from regional storage.  The hydrogen is produced by  Electrolysis, SOEC, with water and electricity from Solar PV (DE)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7590" spans="1:21" x14ac:dyDescent="0.2">
      <c r="A7590" t="s">
        <v>63</v>
      </c>
      <c r="B7590" s="45" t="s">
        <v>1223</v>
      </c>
    </row>
    <row r="7591" spans="1:21" x14ac:dyDescent="0.2">
      <c r="A7591" t="s">
        <v>52</v>
      </c>
      <c r="B7591" s="45" t="s">
        <v>64</v>
      </c>
    </row>
    <row r="7592" spans="1:21" x14ac:dyDescent="0.2">
      <c r="A7592" t="s">
        <v>48</v>
      </c>
      <c r="B7592" s="45">
        <v>93</v>
      </c>
    </row>
    <row r="7593" spans="1:21" x14ac:dyDescent="0.2">
      <c r="A7593" t="s">
        <v>54</v>
      </c>
      <c r="B7593" s="45" t="str">
        <f>INDEX(overview!$B$4:$R$338,MATCH('hydrogen - electrolysis'!B7592,overview!$A$4:$A$338,0),MATCH('hydrogen - electrolysis'!A7593,overview!$B$3:$R$3,0))</f>
        <v>heat, from residential heating system</v>
      </c>
    </row>
    <row r="7594" spans="1:21" x14ac:dyDescent="0.2">
      <c r="A7594" t="s">
        <v>55</v>
      </c>
      <c r="B7594" s="45" t="str">
        <f>INDEX(overview!$B$4:$R$338,MATCH('hydrogen - electrolysis'!B7592,overview!$A$4:$A$338,0),MATCH('hydrogen - electrolysis'!A7594,overview!$B$3:$R$3,0))</f>
        <v>megajoule</v>
      </c>
    </row>
    <row r="7595" spans="1:21" x14ac:dyDescent="0.2">
      <c r="A7595" t="s">
        <v>0</v>
      </c>
      <c r="B7595" s="45" t="str">
        <f>INDEX(overview!$B$4:$R$338,MATCH('hydrogen - electrolysis'!B7592,overview!$A$4:$A$338,0),MATCH('hydrogen - electrolysis'!A7595,overview!$B$3:$R$3,0))</f>
        <v>Switzerland</v>
      </c>
    </row>
    <row r="7596" spans="1:21" x14ac:dyDescent="0.2">
      <c r="A7596" t="s">
        <v>1</v>
      </c>
      <c r="B7596" s="45">
        <f>INDEX(overview!$B$4:$R$338,MATCH('hydrogen - electrolysis'!B7592,overview!$A$4:$A$338,0),MATCH('hydrogen - electrolysis'!A7596,overview!$B$3:$R$3,0))</f>
        <v>2020</v>
      </c>
    </row>
    <row r="7597" spans="1:21" x14ac:dyDescent="0.2">
      <c r="A7597" t="s">
        <v>2</v>
      </c>
      <c r="B7597" s="45" t="str">
        <f>INDEX(overview!$B$4:$R$338,MATCH('hydrogen - electrolysis'!B7592,overview!$A$4:$A$338,0),MATCH('hydrogen - electrolysis'!A7597,overview!$B$3:$R$3,0))</f>
        <v>1 MJ heat</v>
      </c>
    </row>
    <row r="7598" spans="1:21" x14ac:dyDescent="0.2">
      <c r="A7598" t="s">
        <v>5</v>
      </c>
      <c r="B7598" s="45" t="str">
        <f>INDEX(overview!$B$4:$R$338,MATCH('hydrogen - electrolysis'!B7592,overview!$A$4:$A$338,0),MATCH('hydrogen - electrolysis'!A7598,overview!$B$3:$R$3,0))</f>
        <v>hydrogen</v>
      </c>
    </row>
    <row r="7599" spans="1:21" x14ac:dyDescent="0.2">
      <c r="A7599" t="s">
        <v>3</v>
      </c>
      <c r="B7599" s="45" t="str">
        <f>INDEX(overview!$B$4:$R$338,MATCH('hydrogen - electrolysis'!B7592,overview!$A$4:$A$338,0),MATCH('hydrogen - electrolysis'!A7599,overview!$B$3:$R$3,0))</f>
        <v>combustion</v>
      </c>
    </row>
    <row r="7600" spans="1:21" x14ac:dyDescent="0.2">
      <c r="A7600" t="s">
        <v>6</v>
      </c>
      <c r="B7600" s="45" t="str">
        <f>INDEX(overview!$B$4:$R$338,MATCH('hydrogen - electrolysis'!B7592,overview!$A$4:$A$338,0),MATCH('hydrogen - electrolysis'!A7600,overview!$B$3:$R$3,0))</f>
        <v>boiler</v>
      </c>
    </row>
    <row r="7601" spans="1:2" x14ac:dyDescent="0.2">
      <c r="A7601" t="s">
        <v>39</v>
      </c>
      <c r="B7601" s="45">
        <f>INDEX(overview!$B$4:$R$338,MATCH('hydrogen - electrolysis'!B7592,overview!$A$4:$A$338,0),MATCH('hydrogen - electrolysis'!A7601,overview!$B$3:$R$3,0))</f>
        <v>0</v>
      </c>
    </row>
    <row r="7602" spans="1:2" x14ac:dyDescent="0.2">
      <c r="A7602" t="s">
        <v>4</v>
      </c>
      <c r="B7602" s="45" t="str">
        <f>INDEX(overview!$B$4:$R$338,MATCH('hydrogen - electrolysis'!B7592,overview!$A$4:$A$338,0),MATCH('hydrogen - electrolysis'!A7602,overview!$B$3:$R$3,0))</f>
        <v>train</v>
      </c>
    </row>
    <row r="7603" spans="1:2" x14ac:dyDescent="0.2">
      <c r="A7603" t="s">
        <v>38</v>
      </c>
      <c r="B7603" s="45">
        <f>INDEX(overview!$B$4:$R$338,MATCH('hydrogen - electrolysis'!B7592,overview!$A$4:$A$338,0),MATCH('hydrogen - electrolysis'!A7603,overview!$B$3:$R$3,0))</f>
        <v>1000</v>
      </c>
    </row>
    <row r="7604" spans="1:2" x14ac:dyDescent="0.2">
      <c r="A7604" t="s">
        <v>12</v>
      </c>
      <c r="B7604" s="45" t="str">
        <f>INDEX(overview!$B$4:$R$338,MATCH('hydrogen - electrolysis'!B7592,overview!$A$4:$A$338,0),MATCH('hydrogen - electrolysis'!A7604,overview!$B$3:$R$3,0))</f>
        <v>Pressure vessel for stationary storage</v>
      </c>
    </row>
    <row r="7605" spans="1:2" x14ac:dyDescent="0.2">
      <c r="A7605" t="s">
        <v>34</v>
      </c>
      <c r="B7605" s="45">
        <f>INDEX(overview!$B$4:$R$338,MATCH('hydrogen - electrolysis'!B7592,overview!$A$4:$A$338,0),MATCH('hydrogen - electrolysis'!A7605,overview!$B$3:$R$3,0))</f>
        <v>0</v>
      </c>
    </row>
    <row r="7606" spans="1:2" x14ac:dyDescent="0.2">
      <c r="A7606" t="s">
        <v>15</v>
      </c>
      <c r="B7606" s="45" t="str">
        <f>INDEX(overview!$B$4:$R$338,MATCH('hydrogen - electrolysis'!B7592,overview!$A$4:$A$338,0),MATCH('hydrogen - electrolysis'!A7606,overview!$B$3:$R$3,0))</f>
        <v>Electrolysis, SOEC</v>
      </c>
    </row>
    <row r="7607" spans="1:2" x14ac:dyDescent="0.2">
      <c r="A7607" t="s">
        <v>14</v>
      </c>
      <c r="B7607" s="45" t="str">
        <f>INDEX(overview!$B$4:$R$338,MATCH('hydrogen - electrolysis'!B7592,overview!$A$4:$A$338,0),MATCH('hydrogen - electrolysis'!A7607,overview!$B$3:$R$3,0))</f>
        <v>water and electricity</v>
      </c>
    </row>
    <row r="7608" spans="1:2" x14ac:dyDescent="0.2">
      <c r="A7608" t="s">
        <v>26</v>
      </c>
      <c r="B7608" s="45" t="str">
        <f>INDEX(overview!$B$4:$R$338,MATCH('hydrogen - electrolysis'!B7592,overview!$A$4:$A$338,0),MATCH('hydrogen - electrolysis'!A7608,overview!$B$3:$R$3,0))</f>
        <v>Solar PV (DE)</v>
      </c>
    </row>
    <row r="7609" spans="1:2" x14ac:dyDescent="0.2">
      <c r="A7609" t="s">
        <v>29</v>
      </c>
      <c r="B7609" s="45">
        <f>INDEX(overview!$B$4:$R$338,MATCH('hydrogen - electrolysis'!B7592,overview!$A$4:$A$338,0),MATCH('hydrogen - electrolysis'!A7609,overview!$B$3:$R$3,0))</f>
        <v>0</v>
      </c>
    </row>
    <row r="7610" spans="1:2" x14ac:dyDescent="0.2">
      <c r="A7610" t="str">
        <f>IF(B7594="megajoule","Heat","Electricity")&amp;" conversion efficiency [% LHV input]"</f>
        <v>Heat conversion efficiency [% LHV input]</v>
      </c>
      <c r="B7610" s="46">
        <f>INDEX(parameters!$D$4:$N$20,MATCH('hydrogen - electrolysis'!B7598&amp;'hydrogen - electrolysis'!B7600,parameters!$A$4:$A$20,0),MATCH('hydrogen - electrolysis'!A7610,parameters!$D$3:$N$3,0))</f>
        <v>0.94</v>
      </c>
    </row>
    <row r="7611" spans="1:2" x14ac:dyDescent="0.2">
      <c r="A7611" t="str">
        <f>IF(B7594="megajoule","LHV [MJ/kg]","LHV [kWh/kg]")</f>
        <v>LHV [MJ/kg]</v>
      </c>
      <c r="B7611" s="47">
        <f>INDEX(parameters!$D$4:$N$20,MATCH('hydrogen - electrolysis'!B7598&amp;'hydrogen - electrolysis'!B7600,parameters!$A$4:$A$20,0),MATCH('hydrogen - electrolysis'!A7611,parameters!$D$3:$N$3,0))</f>
        <v>120</v>
      </c>
    </row>
    <row r="7612" spans="1:2" x14ac:dyDescent="0.2">
      <c r="A7612" t="s">
        <v>41</v>
      </c>
      <c r="B7612" s="48">
        <f>INDEX(parameters!$D$4:$N$20,MATCH('hydrogen - electrolysis'!B7598&amp;'hydrogen - electrolysis'!B7600,parameters!$A$4:$A$20,0),MATCH('hydrogen - electrolysis'!A7612,parameters!$D$3:$N$3,0))</f>
        <v>2.6666666666666665E-2</v>
      </c>
    </row>
    <row r="7613" spans="1:2" x14ac:dyDescent="0.2">
      <c r="A7613" t="s">
        <v>45</v>
      </c>
      <c r="B7613" s="49">
        <f>INDEX(parameters!$D$4:$N$20,MATCH('hydrogen - electrolysis'!B7598&amp;'hydrogen - electrolysis'!B7600,parameters!$A$4:$A$20,0),MATCH('hydrogen - electrolysis'!A7613,parameters!$D$3:$N$3,0))</f>
        <v>0</v>
      </c>
    </row>
    <row r="7614" spans="1:2" x14ac:dyDescent="0.2">
      <c r="A7614" t="s">
        <v>46</v>
      </c>
      <c r="B7614" s="49">
        <f>INDEX(parameters!$D$4:$N$20,MATCH('hydrogen - electrolysis'!B7598&amp;'hydrogen - electrolysis'!B7600,parameters!$A$4:$A$20,0),MATCH('hydrogen - electrolysis'!A7614,parameters!$D$3:$N$3,0))</f>
        <v>1.4999999999999999E-2</v>
      </c>
    </row>
    <row r="7615" spans="1:2" x14ac:dyDescent="0.2">
      <c r="A7615" t="s">
        <v>43</v>
      </c>
      <c r="B7615" s="49">
        <f>INDEX(parameters!$D$4:$N$20,MATCH('hydrogen - electrolysis'!B7598&amp;'hydrogen - electrolysis'!B7600,parameters!$A$4:$A$20,0),MATCH('hydrogen - electrolysis'!A7615,parameters!$D$3:$N$3,0))</f>
        <v>0</v>
      </c>
    </row>
    <row r="7616" spans="1:2" x14ac:dyDescent="0.2">
      <c r="A7616" t="s">
        <v>44</v>
      </c>
      <c r="B7616" s="49">
        <f>INDEX(parameters!$D$4:$N$20,MATCH('hydrogen - electrolysis'!B7598&amp;'hydrogen - electrolysis'!B7600,parameters!$A$4:$A$20,0),MATCH('hydrogen - electrolysis'!A7616,parameters!$D$3:$N$3,0))</f>
        <v>0</v>
      </c>
    </row>
    <row r="7617" spans="1:22" x14ac:dyDescent="0.2">
      <c r="A7617" t="s">
        <v>634</v>
      </c>
      <c r="B7617" s="51">
        <f>INDEX(parameters!$D$4:$Y$20,MATCH('hydrogen - electrolysis'!B7598&amp;'hydrogen - electrolysis'!B7600,parameters!$A$4:$A$20,0),MATCH('hydrogen - electrolysis'!A7617,parameters!$D$3:$Y$3,0))</f>
        <v>15.957446808510639</v>
      </c>
    </row>
    <row r="7618" spans="1:22" x14ac:dyDescent="0.2">
      <c r="A7618" t="s">
        <v>82</v>
      </c>
      <c r="B7618" s="46">
        <f>IF(B7609&lt;&gt;0,VLOOKUP(B7609,parameters!A4768:B4770,2,0),0)</f>
        <v>0</v>
      </c>
    </row>
    <row r="7619" spans="1:22" x14ac:dyDescent="0.2">
      <c r="A7619" t="s">
        <v>548</v>
      </c>
      <c r="B7619" s="50">
        <f>INDEX(parameters!$D$4:$P$20,MATCH(B7598&amp;B7600,parameters!$A$4:$A$20,0),MATCH(A7619,parameters!$D$3:$P$3,0))</f>
        <v>15</v>
      </c>
    </row>
    <row r="7620" spans="1:22" x14ac:dyDescent="0.2">
      <c r="A7620" t="s">
        <v>547</v>
      </c>
      <c r="B7620" s="51">
        <f>INDEX(parameters!$D$4:$P$20,MATCH(B7598&amp;B7600,parameters!$A$4:$A$20,0),MATCH(A7620,parameters!$D$3:$P$3,0))</f>
        <v>20</v>
      </c>
    </row>
    <row r="7621" spans="1:22" x14ac:dyDescent="0.2">
      <c r="A7621" t="s">
        <v>630</v>
      </c>
      <c r="B7621" s="51">
        <f>INDEX(parameters!$D$4:$T$20,MATCH(B7598&amp;B7600,parameters!$A$4:$A$20,0),MATCH(A7621,parameters!$D$3:$T$3,0))</f>
        <v>2100</v>
      </c>
    </row>
    <row r="7622" spans="1:22" x14ac:dyDescent="0.2">
      <c r="A7622" t="s">
        <v>1005</v>
      </c>
      <c r="B7622" s="50">
        <f>IF(B7594="megajoule",SUMIFS(allocation!$I$4:$I$30,allocation!$B$4:$B$30,B7600,allocation!$C$4:$C$30,B7601),SUMIFS(allocation!$J$4:$J$30,allocation!$B$4:$B$30,B7600,allocation!$C$4:$C$30,B7601))</f>
        <v>0</v>
      </c>
    </row>
    <row r="7623" spans="1:22" x14ac:dyDescent="0.2">
      <c r="A7623" t="s">
        <v>1050</v>
      </c>
      <c r="B7623" s="51">
        <f>INDEX(parameters!$D$4:$AB$20,MATCH(B7598&amp;B7600,parameters!$A$4:$A$20,0),MATCH(A7623,parameters!$D$3:$AB$3,0))</f>
        <v>44.562019013128115</v>
      </c>
    </row>
    <row r="7625" spans="1:22" x14ac:dyDescent="0.2">
      <c r="A7625" s="3" t="s">
        <v>57</v>
      </c>
    </row>
    <row r="7626" spans="1:22" x14ac:dyDescent="0.2">
      <c r="A7626" s="2" t="s">
        <v>58</v>
      </c>
      <c r="B7626" s="44" t="s">
        <v>59</v>
      </c>
      <c r="C7626" s="2" t="s">
        <v>55</v>
      </c>
      <c r="D7626" s="2" t="s">
        <v>60</v>
      </c>
      <c r="E7626" s="2" t="s">
        <v>52</v>
      </c>
      <c r="F7626" s="2" t="s">
        <v>61</v>
      </c>
      <c r="G7626" s="2" t="s">
        <v>54</v>
      </c>
      <c r="H7626" s="2" t="s">
        <v>87</v>
      </c>
      <c r="I7626" s="2" t="s">
        <v>51</v>
      </c>
      <c r="J7626" s="2" t="s">
        <v>138</v>
      </c>
      <c r="K7626" s="2" t="s">
        <v>136</v>
      </c>
      <c r="L7626" s="2" t="s">
        <v>221</v>
      </c>
      <c r="M7626" s="2" t="s">
        <v>379</v>
      </c>
      <c r="N7626" s="2" t="s">
        <v>1059</v>
      </c>
      <c r="O7626" s="2" t="s">
        <v>1060</v>
      </c>
      <c r="P7626" s="2" t="s">
        <v>1061</v>
      </c>
      <c r="Q7626" s="2" t="s">
        <v>1062</v>
      </c>
      <c r="R7626" s="2" t="s">
        <v>1063</v>
      </c>
      <c r="S7626" s="2" t="s">
        <v>1064</v>
      </c>
      <c r="T7626" s="2" t="s">
        <v>1065</v>
      </c>
      <c r="U7626" s="2" t="s">
        <v>380</v>
      </c>
      <c r="V7626" s="2" t="s">
        <v>1128</v>
      </c>
    </row>
    <row r="7627" spans="1:22" x14ac:dyDescent="0.2">
      <c r="A7627" t="str">
        <f>B7588</f>
        <v>heat, residential, by combustion of hydrogen using boiler, transported by train, produced by Electrolysis, SOEC using water and electricity from Solar PV (DE)</v>
      </c>
      <c r="B7627" s="45">
        <v>1</v>
      </c>
      <c r="C7627" t="str">
        <f>B7594</f>
        <v>megajoule</v>
      </c>
      <c r="E7627" t="str">
        <f>B7591</f>
        <v>CH</v>
      </c>
      <c r="F7627" t="s">
        <v>62</v>
      </c>
      <c r="G7627" t="str">
        <f>B7593</f>
        <v>heat, from residential heating system</v>
      </c>
      <c r="K7627" t="str">
        <f>B7588</f>
        <v>heat, residential, by combustion of hydrogen using boiler, transported by train, produced by Electrolysis, SOEC using water and electricity from Solar PV (DE)</v>
      </c>
    </row>
    <row r="7628" spans="1:22" x14ac:dyDescent="0.2">
      <c r="A7628" t="s">
        <v>83</v>
      </c>
      <c r="B7628" s="52">
        <f>1/(B7619*B7621*B7620*3.6)</f>
        <v>4.4091710758377425E-7</v>
      </c>
      <c r="C7628" t="s">
        <v>55</v>
      </c>
      <c r="E7628" t="s">
        <v>85</v>
      </c>
      <c r="F7628" t="s">
        <v>86</v>
      </c>
      <c r="G7628" t="s">
        <v>84</v>
      </c>
      <c r="H7628" t="s">
        <v>88</v>
      </c>
      <c r="K7628" t="str">
        <f>B7588</f>
        <v>heat, residential, by combustion of hydrogen using boiler, transported by train, produced by Electrolysis, SOEC using water and electricity from Solar PV (DE)</v>
      </c>
      <c r="L7628">
        <f t="shared" ref="L7628:L7635" si="307">IF(OR(B7628&lt;0,B7628=0),1,2)</f>
        <v>2</v>
      </c>
      <c r="M7628">
        <f t="shared" ref="M7628:M7635" si="308">IF(L7628=2,LN(B7628),"")</f>
        <v>-14.634408943829779</v>
      </c>
      <c r="N7628">
        <v>1.05</v>
      </c>
      <c r="O7628" s="15">
        <v>1.2</v>
      </c>
      <c r="P7628">
        <v>1</v>
      </c>
      <c r="Q7628">
        <v>1.01</v>
      </c>
      <c r="R7628">
        <v>1.2</v>
      </c>
      <c r="S7628">
        <v>1.2</v>
      </c>
      <c r="T7628">
        <v>3</v>
      </c>
      <c r="U7628">
        <f t="shared" ref="U7628:U7635" si="309">LN(SQRT(EXP(
SQRT(
+POWER(LN(N7628),2)
+POWER(LN(O7628),2)
+POWER(LN(P7628),2)
+POWER(LN(Q7628),2)
+POWER(LN(R7628),2)
+POWER(LN(S7628),2)
+POWER(LN(T7628),2)
)
)))</f>
        <v>0.57209088006881903</v>
      </c>
    </row>
    <row r="7629" spans="1:22" x14ac:dyDescent="0.2">
      <c r="A7629" t="s">
        <v>500</v>
      </c>
      <c r="B7629" s="52">
        <f>B7628*2</f>
        <v>8.8183421516754851E-7</v>
      </c>
      <c r="C7629" t="s">
        <v>267</v>
      </c>
      <c r="E7629" t="s">
        <v>85</v>
      </c>
      <c r="F7629" t="s">
        <v>86</v>
      </c>
      <c r="G7629" t="s">
        <v>501</v>
      </c>
      <c r="H7629" t="s">
        <v>88</v>
      </c>
      <c r="I7629" t="s">
        <v>621</v>
      </c>
      <c r="K7629" t="str">
        <f>B7588</f>
        <v>heat, residential, by combustion of hydrogen using boiler, transported by train, produced by Electrolysis, SOEC using water and electricity from Solar PV (DE)</v>
      </c>
      <c r="L7629">
        <f t="shared" si="307"/>
        <v>2</v>
      </c>
      <c r="M7629">
        <f t="shared" si="308"/>
        <v>-13.941261763269834</v>
      </c>
      <c r="N7629">
        <v>1.05</v>
      </c>
      <c r="O7629" s="15">
        <v>1.2</v>
      </c>
      <c r="P7629">
        <v>1</v>
      </c>
      <c r="Q7629">
        <v>1.01</v>
      </c>
      <c r="R7629">
        <v>1.2</v>
      </c>
      <c r="S7629">
        <v>1.2</v>
      </c>
      <c r="T7629">
        <v>3</v>
      </c>
      <c r="U7629">
        <f t="shared" si="309"/>
        <v>0.57209088006881903</v>
      </c>
    </row>
    <row r="7630" spans="1:22" x14ac:dyDescent="0.2">
      <c r="A7630" t="s">
        <v>130</v>
      </c>
      <c r="B7630" s="52">
        <v>2.64E-3</v>
      </c>
      <c r="C7630" t="s">
        <v>92</v>
      </c>
      <c r="E7630" t="s">
        <v>64</v>
      </c>
      <c r="F7630" t="s">
        <v>86</v>
      </c>
      <c r="G7630" t="s">
        <v>93</v>
      </c>
      <c r="H7630" t="s">
        <v>78</v>
      </c>
      <c r="I7630" t="s">
        <v>270</v>
      </c>
      <c r="J7630" t="s">
        <v>67</v>
      </c>
      <c r="K7630" t="str">
        <f>B7588</f>
        <v>heat, residential, by combustion of hydrogen using boiler, transported by train, produced by Electrolysis, SOEC using water and electricity from Solar PV (DE)</v>
      </c>
      <c r="L7630">
        <f t="shared" si="307"/>
        <v>2</v>
      </c>
      <c r="M7630">
        <f t="shared" si="308"/>
        <v>-5.9369763618239126</v>
      </c>
      <c r="N7630">
        <v>1.05</v>
      </c>
      <c r="O7630" s="15">
        <v>1.2</v>
      </c>
      <c r="P7630">
        <v>1</v>
      </c>
      <c r="Q7630">
        <v>1.01</v>
      </c>
      <c r="R7630">
        <v>1.2</v>
      </c>
      <c r="S7630">
        <v>1.2</v>
      </c>
      <c r="T7630">
        <v>1.05</v>
      </c>
      <c r="U7630">
        <f t="shared" si="309"/>
        <v>0.16169679924070957</v>
      </c>
    </row>
    <row r="7631" spans="1:22" x14ac:dyDescent="0.2">
      <c r="A7631" s="45" t="str">
        <f>"hydrogen supply, transported by "&amp;B7602&amp;", produced by "&amp;B7606&amp;" using "&amp;B7607&amp;" from "&amp;B7608</f>
        <v>hydrogen supply, transported by train, produced by Electrolysis, SOEC using water and electricity from Solar PV (DE)</v>
      </c>
      <c r="B7631" s="53">
        <f>(B7627/B7611)/B7610</f>
        <v>8.8652482269503553E-3</v>
      </c>
      <c r="C7631" t="s">
        <v>56</v>
      </c>
      <c r="E7631" t="s">
        <v>64</v>
      </c>
      <c r="F7631" t="s">
        <v>86</v>
      </c>
      <c r="G7631" t="str">
        <f>"hydrogen, gaseous, from "&amp;B7602</f>
        <v>hydrogen, gaseous, from train</v>
      </c>
      <c r="H7631" t="s">
        <v>76</v>
      </c>
      <c r="I7631" t="s">
        <v>1054</v>
      </c>
      <c r="J7631" t="s">
        <v>299</v>
      </c>
      <c r="K7631" t="str">
        <f>B7588</f>
        <v>heat, residential, by combustion of hydrogen using boiler, transported by train, produced by Electrolysis, SOEC using water and electricity from Solar PV (DE)</v>
      </c>
      <c r="L7631">
        <f t="shared" si="307"/>
        <v>2</v>
      </c>
      <c r="M7631">
        <f t="shared" si="308"/>
        <v>-4.7256163390639587</v>
      </c>
      <c r="N7631">
        <v>1.05</v>
      </c>
      <c r="O7631" s="15">
        <v>1.2</v>
      </c>
      <c r="P7631">
        <v>1</v>
      </c>
      <c r="Q7631">
        <v>1.01</v>
      </c>
      <c r="R7631">
        <v>1.2</v>
      </c>
      <c r="S7631">
        <v>1.2</v>
      </c>
      <c r="T7631">
        <v>1.05</v>
      </c>
      <c r="U7631">
        <f t="shared" si="309"/>
        <v>0.16169679924070957</v>
      </c>
    </row>
    <row r="7632" spans="1:22" x14ac:dyDescent="0.2">
      <c r="A7632" t="str">
        <f>VLOOKUP(J7632,'dataset mapping'!$A$4:$E$69,2,0)</f>
        <v>market for transport, freight train</v>
      </c>
      <c r="B7632" s="45">
        <f>SUM(B7631:B7631)/1000*B7603</f>
        <v>8.8652482269503553E-3</v>
      </c>
      <c r="C7632" t="str">
        <f>VLOOKUP(J7632,'dataset mapping'!$A$4:$E$69,5,0)</f>
        <v>ton kilometer</v>
      </c>
      <c r="E7632" t="str">
        <f>VLOOKUP(J7632,'dataset mapping'!$A$4:$E$69,4,0)</f>
        <v>CH</v>
      </c>
      <c r="F7632" t="s">
        <v>86</v>
      </c>
      <c r="G7632" t="str">
        <f>VLOOKUP(J7632,'dataset mapping'!$A$4:$E$69,3,0)</f>
        <v>transport, freight train</v>
      </c>
      <c r="H7632" t="s">
        <v>88</v>
      </c>
      <c r="I7632" t="s">
        <v>1052</v>
      </c>
      <c r="J7632" t="s">
        <v>295</v>
      </c>
      <c r="K7632" t="str">
        <f>B7588</f>
        <v>heat, residential, by combustion of hydrogen using boiler, transported by train, produced by Electrolysis, SOEC using water and electricity from Solar PV (DE)</v>
      </c>
      <c r="L7632">
        <f t="shared" si="307"/>
        <v>2</v>
      </c>
      <c r="M7632">
        <f t="shared" si="308"/>
        <v>-4.7256163390639587</v>
      </c>
      <c r="N7632">
        <v>1.05</v>
      </c>
      <c r="O7632" s="15">
        <v>1.2</v>
      </c>
      <c r="P7632">
        <v>1</v>
      </c>
      <c r="Q7632">
        <v>1.01</v>
      </c>
      <c r="R7632">
        <v>1.2</v>
      </c>
      <c r="S7632">
        <v>1.2</v>
      </c>
      <c r="T7632">
        <v>2</v>
      </c>
      <c r="U7632">
        <f t="shared" si="309"/>
        <v>0.38165951885721477</v>
      </c>
    </row>
    <row r="7633" spans="1:21" x14ac:dyDescent="0.2">
      <c r="A7633" t="str">
        <f>VLOOKUP(J7633,'dataset mapping'!$A$4:$E$69,2,0)</f>
        <v>high pressure hydrogen storage tank</v>
      </c>
      <c r="B7633" s="52">
        <f>((B7623/10)/(B7621*B7617*20*3.6))*IF(B7622&lt;&gt;0,B7622,1)</f>
        <v>1.8469267139479905E-6</v>
      </c>
      <c r="C7633" t="str">
        <f>VLOOKUP(J7633,'dataset mapping'!$A$4:$E$69,5,0)</f>
        <v>kilogram</v>
      </c>
      <c r="E7633" t="str">
        <f>VLOOKUP(J7633,'dataset mapping'!$A$4:$E$69,4,0)</f>
        <v>GLO</v>
      </c>
      <c r="F7633" t="s">
        <v>86</v>
      </c>
      <c r="G7633" t="str">
        <f>VLOOKUP(J7633,'dataset mapping'!$A$4:$E$69,3,0)</f>
        <v>high pressure hydrogen storage tank</v>
      </c>
      <c r="H7633" t="s">
        <v>88</v>
      </c>
      <c r="I7633" t="s">
        <v>230</v>
      </c>
      <c r="J7633" t="s">
        <v>229</v>
      </c>
      <c r="K7633" t="str">
        <f>B7588</f>
        <v>heat, residential, by combustion of hydrogen using boiler, transported by train, produced by Electrolysis, SOEC using water and electricity from Solar PV (DE)</v>
      </c>
      <c r="L7633">
        <f t="shared" si="307"/>
        <v>2</v>
      </c>
      <c r="M7633">
        <f t="shared" si="308"/>
        <v>-13.20198753595994</v>
      </c>
      <c r="N7633">
        <v>1.05</v>
      </c>
      <c r="O7633" s="15">
        <v>1.2</v>
      </c>
      <c r="P7633">
        <v>1</v>
      </c>
      <c r="Q7633">
        <v>1.01</v>
      </c>
      <c r="R7633">
        <v>1.2</v>
      </c>
      <c r="S7633">
        <v>1.2</v>
      </c>
      <c r="T7633">
        <v>3</v>
      </c>
      <c r="U7633">
        <f t="shared" si="309"/>
        <v>0.57209088006881903</v>
      </c>
    </row>
    <row r="7634" spans="1:21" x14ac:dyDescent="0.2">
      <c r="A7634" t="s">
        <v>134</v>
      </c>
      <c r="B7634" s="45">
        <f>B7631*9</f>
        <v>7.9787234042553196E-2</v>
      </c>
      <c r="C7634" t="s">
        <v>56</v>
      </c>
      <c r="D7634" t="s">
        <v>100</v>
      </c>
      <c r="F7634" t="s">
        <v>99</v>
      </c>
      <c r="H7634" t="s">
        <v>131</v>
      </c>
      <c r="I7634" t="s">
        <v>1058</v>
      </c>
      <c r="K7634" t="str">
        <f>B7588</f>
        <v>heat, residential, by combustion of hydrogen using boiler, transported by train, produced by Electrolysis, SOEC using water and electricity from Solar PV (DE)</v>
      </c>
      <c r="L7634">
        <f t="shared" si="307"/>
        <v>2</v>
      </c>
      <c r="M7634">
        <f t="shared" si="308"/>
        <v>-2.5283917617277392</v>
      </c>
      <c r="N7634">
        <v>1.05</v>
      </c>
      <c r="O7634" s="15">
        <v>1.2</v>
      </c>
      <c r="P7634">
        <v>1</v>
      </c>
      <c r="Q7634">
        <v>1.01</v>
      </c>
      <c r="R7634">
        <v>1.2</v>
      </c>
      <c r="S7634">
        <v>1.2</v>
      </c>
      <c r="T7634">
        <v>1.05</v>
      </c>
      <c r="U7634">
        <f t="shared" si="309"/>
        <v>0.16169679924070957</v>
      </c>
    </row>
    <row r="7635" spans="1:21" x14ac:dyDescent="0.2">
      <c r="A7635" t="s">
        <v>135</v>
      </c>
      <c r="B7635" s="45">
        <f>912.5/1000000*B7632</f>
        <v>8.0895390070921995E-6</v>
      </c>
      <c r="C7635" t="s">
        <v>56</v>
      </c>
      <c r="D7635" t="s">
        <v>100</v>
      </c>
      <c r="F7635" t="s">
        <v>99</v>
      </c>
      <c r="H7635" t="s">
        <v>131</v>
      </c>
      <c r="I7635" t="s">
        <v>1217</v>
      </c>
      <c r="K7635" t="str">
        <f>B7588</f>
        <v>heat, residential, by combustion of hydrogen using boiler, transported by train, produced by Electrolysis, SOEC using water and electricity from Solar PV (DE)</v>
      </c>
      <c r="L7635">
        <f t="shared" si="307"/>
        <v>2</v>
      </c>
      <c r="M7635">
        <f t="shared" si="308"/>
        <v>-11.724938811571587</v>
      </c>
      <c r="N7635">
        <v>1.05</v>
      </c>
      <c r="O7635" s="15">
        <v>1.2</v>
      </c>
      <c r="P7635">
        <v>1</v>
      </c>
      <c r="Q7635">
        <v>1.01</v>
      </c>
      <c r="R7635">
        <v>1.2</v>
      </c>
      <c r="S7635">
        <v>1.2</v>
      </c>
      <c r="T7635">
        <v>1.5</v>
      </c>
      <c r="U7635">
        <f t="shared" si="309"/>
        <v>0.25816898211842121</v>
      </c>
    </row>
    <row r="7637" spans="1:21" x14ac:dyDescent="0.2">
      <c r="A7637" s="2" t="s">
        <v>50</v>
      </c>
      <c r="B7637" s="44" t="str">
        <f>IF(B7643="megajoule","heat","electricity")&amp;", residential, by "&amp;B7648&amp;" of "&amp;B7647&amp;" using "&amp;B7649&amp;IF(B7650&lt;&gt;0,", allocated by "&amp;B7650,"")&amp;", transported by "&amp;B7651&amp;", produced by "&amp;B7655&amp;" using "&amp;B7656&amp;" from "&amp;B7657</f>
        <v>heat, residential, by combustion of hydrogen using CHP, allocated by exergy, transported by train, produced by Electrolysis, SOEC using water and electricity from Solar PV (DE)</v>
      </c>
    </row>
    <row r="7638" spans="1:21" x14ac:dyDescent="0.2">
      <c r="A7638" t="s">
        <v>51</v>
      </c>
      <c r="B7638" s="45" t="str">
        <f>"This dataset represents the supply of 1 "&amp;IF(B7643="megajoule","megajoule of heat","kilowatt hour of electricity")&amp;" in a residence, by "&amp;B7647&amp;" "&amp;B7648&amp;" in a "&amp;B7649&amp;". "&amp;" The hydrogen is transported by "&amp;B7651&amp;" over "&amp;B7652&amp;" km from regional storage. "&amp;" The "&amp;B7647&amp;" is produced by  "&amp;B7655&amp;", with "&amp;B7656&amp;" from "&amp;B7657&amp;" as feedstock. "&amp;A7659&amp;": "&amp;(B7659*100)&amp;"%. "&amp;A7660&amp;": "&amp;B7660&amp;". "&amp;A7661&amp;": "&amp;B7661&amp;". "&amp;A7662&amp;": "&amp;(B7662*100)&amp;"%. "&amp;A7663&amp;": "&amp;(B7663*100)&amp;"%. "&amp;A7664&amp;": "&amp;(B7664*100)&amp;"%. "&amp;A7665&amp;": "&amp;B7665&amp;". "&amp;A7666&amp;": "&amp;B7666&amp;". "&amp;A7667&amp;": "&amp;(B7667*100)&amp;"%. "&amp;A7668&amp;": "&amp;B7668&amp;". "&amp;A7669&amp;": "&amp;B7669&amp;". "&amp;A7670&amp;": "&amp;B7670&amp;". "&amp;A7671&amp;": "&amp;B7671&amp;".  For more information, refer to: "&amp;B7639</f>
        <v>This dataset represents the supply of 1 megajoule of heat in a residence, by hydrogen combustion in a CHP.  The hydrogen is transported by train over 1000 km from regional storage.  The hydrogen is produced by  Electrolysis, SOEC, with water and electricity from Solar PV (DE)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7639" spans="1:21" x14ac:dyDescent="0.2">
      <c r="A7639" t="s">
        <v>63</v>
      </c>
      <c r="B7639" s="45" t="s">
        <v>1223</v>
      </c>
    </row>
    <row r="7640" spans="1:21" x14ac:dyDescent="0.2">
      <c r="A7640" t="s">
        <v>52</v>
      </c>
      <c r="B7640" s="45" t="s">
        <v>64</v>
      </c>
    </row>
    <row r="7641" spans="1:21" x14ac:dyDescent="0.2">
      <c r="A7641" t="s">
        <v>48</v>
      </c>
      <c r="B7641" s="45">
        <v>94</v>
      </c>
    </row>
    <row r="7642" spans="1:21" x14ac:dyDescent="0.2">
      <c r="A7642" t="s">
        <v>54</v>
      </c>
      <c r="B7642" s="45" t="str">
        <f>INDEX(overview!$B$4:$R$338,MATCH('hydrogen - electrolysis'!B7641,overview!$A$4:$A$338,0),MATCH('hydrogen - electrolysis'!A7642,overview!$B$3:$R$3,0))</f>
        <v>heat, from residential heating system</v>
      </c>
    </row>
    <row r="7643" spans="1:21" x14ac:dyDescent="0.2">
      <c r="A7643" t="s">
        <v>55</v>
      </c>
      <c r="B7643" s="45" t="str">
        <f>INDEX(overview!$B$4:$R$338,MATCH('hydrogen - electrolysis'!B7641,overview!$A$4:$A$338,0),MATCH('hydrogen - electrolysis'!A7643,overview!$B$3:$R$3,0))</f>
        <v>megajoule</v>
      </c>
    </row>
    <row r="7644" spans="1:21" x14ac:dyDescent="0.2">
      <c r="A7644" t="s">
        <v>0</v>
      </c>
      <c r="B7644" s="45" t="str">
        <f>INDEX(overview!$B$4:$R$338,MATCH('hydrogen - electrolysis'!B7641,overview!$A$4:$A$338,0),MATCH('hydrogen - electrolysis'!A7644,overview!$B$3:$R$3,0))</f>
        <v>Switzerland</v>
      </c>
    </row>
    <row r="7645" spans="1:21" x14ac:dyDescent="0.2">
      <c r="A7645" t="s">
        <v>1</v>
      </c>
      <c r="B7645" s="45">
        <f>INDEX(overview!$B$4:$R$338,MATCH('hydrogen - electrolysis'!B7641,overview!$A$4:$A$338,0),MATCH('hydrogen - electrolysis'!A7645,overview!$B$3:$R$3,0))</f>
        <v>2020</v>
      </c>
    </row>
    <row r="7646" spans="1:21" x14ac:dyDescent="0.2">
      <c r="A7646" t="s">
        <v>2</v>
      </c>
      <c r="B7646" s="45" t="str">
        <f>INDEX(overview!$B$4:$R$338,MATCH('hydrogen - electrolysis'!B7641,overview!$A$4:$A$338,0),MATCH('hydrogen - electrolysis'!A7646,overview!$B$3:$R$3,0))</f>
        <v>1 MJ heat</v>
      </c>
    </row>
    <row r="7647" spans="1:21" x14ac:dyDescent="0.2">
      <c r="A7647" t="s">
        <v>5</v>
      </c>
      <c r="B7647" s="45" t="str">
        <f>INDEX(overview!$B$4:$R$338,MATCH('hydrogen - electrolysis'!B7641,overview!$A$4:$A$338,0),MATCH('hydrogen - electrolysis'!A7647,overview!$B$3:$R$3,0))</f>
        <v>hydrogen</v>
      </c>
    </row>
    <row r="7648" spans="1:21" x14ac:dyDescent="0.2">
      <c r="A7648" t="s">
        <v>3</v>
      </c>
      <c r="B7648" s="45" t="str">
        <f>INDEX(overview!$B$4:$R$338,MATCH('hydrogen - electrolysis'!B7641,overview!$A$4:$A$338,0),MATCH('hydrogen - electrolysis'!A7648,overview!$B$3:$R$3,0))</f>
        <v>combustion</v>
      </c>
    </row>
    <row r="7649" spans="1:2" x14ac:dyDescent="0.2">
      <c r="A7649" t="s">
        <v>6</v>
      </c>
      <c r="B7649" s="45" t="str">
        <f>INDEX(overview!$B$4:$R$338,MATCH('hydrogen - electrolysis'!B7641,overview!$A$4:$A$338,0),MATCH('hydrogen - electrolysis'!A7649,overview!$B$3:$R$3,0))</f>
        <v>CHP</v>
      </c>
    </row>
    <row r="7650" spans="1:2" x14ac:dyDescent="0.2">
      <c r="A7650" t="s">
        <v>39</v>
      </c>
      <c r="B7650" s="45" t="str">
        <f>INDEX(overview!$B$4:$R$338,MATCH('hydrogen - electrolysis'!B7641,overview!$A$4:$A$338,0),MATCH('hydrogen - electrolysis'!A7650,overview!$B$3:$R$3,0))</f>
        <v>exergy</v>
      </c>
    </row>
    <row r="7651" spans="1:2" x14ac:dyDescent="0.2">
      <c r="A7651" t="s">
        <v>4</v>
      </c>
      <c r="B7651" s="45" t="str">
        <f>INDEX(overview!$B$4:$R$338,MATCH('hydrogen - electrolysis'!B7641,overview!$A$4:$A$338,0),MATCH('hydrogen - electrolysis'!A7651,overview!$B$3:$R$3,0))</f>
        <v>train</v>
      </c>
    </row>
    <row r="7652" spans="1:2" x14ac:dyDescent="0.2">
      <c r="A7652" t="s">
        <v>38</v>
      </c>
      <c r="B7652" s="45">
        <f>INDEX(overview!$B$4:$R$338,MATCH('hydrogen - electrolysis'!B7641,overview!$A$4:$A$338,0),MATCH('hydrogen - electrolysis'!A7652,overview!$B$3:$R$3,0))</f>
        <v>1000</v>
      </c>
    </row>
    <row r="7653" spans="1:2" x14ac:dyDescent="0.2">
      <c r="A7653" t="s">
        <v>12</v>
      </c>
      <c r="B7653" s="45" t="str">
        <f>INDEX(overview!$B$4:$R$338,MATCH('hydrogen - electrolysis'!B7641,overview!$A$4:$A$338,0),MATCH('hydrogen - electrolysis'!A7653,overview!$B$3:$R$3,0))</f>
        <v>Pressure vessel for stationary storage</v>
      </c>
    </row>
    <row r="7654" spans="1:2" x14ac:dyDescent="0.2">
      <c r="A7654" t="s">
        <v>34</v>
      </c>
      <c r="B7654" s="45">
        <f>INDEX(overview!$B$4:$R$338,MATCH('hydrogen - electrolysis'!B7641,overview!$A$4:$A$338,0),MATCH('hydrogen - electrolysis'!A7654,overview!$B$3:$R$3,0))</f>
        <v>0</v>
      </c>
    </row>
    <row r="7655" spans="1:2" x14ac:dyDescent="0.2">
      <c r="A7655" t="s">
        <v>15</v>
      </c>
      <c r="B7655" s="45" t="str">
        <f>INDEX(overview!$B$4:$R$338,MATCH('hydrogen - electrolysis'!B7641,overview!$A$4:$A$338,0),MATCH('hydrogen - electrolysis'!A7655,overview!$B$3:$R$3,0))</f>
        <v>Electrolysis, SOEC</v>
      </c>
    </row>
    <row r="7656" spans="1:2" x14ac:dyDescent="0.2">
      <c r="A7656" t="s">
        <v>14</v>
      </c>
      <c r="B7656" s="45" t="str">
        <f>INDEX(overview!$B$4:$R$338,MATCH('hydrogen - electrolysis'!B7641,overview!$A$4:$A$338,0),MATCH('hydrogen - electrolysis'!A7656,overview!$B$3:$R$3,0))</f>
        <v>water and electricity</v>
      </c>
    </row>
    <row r="7657" spans="1:2" x14ac:dyDescent="0.2">
      <c r="A7657" t="s">
        <v>26</v>
      </c>
      <c r="B7657" s="45" t="str">
        <f>INDEX(overview!$B$4:$R$338,MATCH('hydrogen - electrolysis'!B7641,overview!$A$4:$A$338,0),MATCH('hydrogen - electrolysis'!A7657,overview!$B$3:$R$3,0))</f>
        <v>Solar PV (DE)</v>
      </c>
    </row>
    <row r="7658" spans="1:2" x14ac:dyDescent="0.2">
      <c r="A7658" t="s">
        <v>29</v>
      </c>
      <c r="B7658" s="45">
        <f>INDEX(overview!$B$4:$R$338,MATCH('hydrogen - electrolysis'!B7641,overview!$A$4:$A$338,0),MATCH('hydrogen - electrolysis'!A7658,overview!$B$3:$R$3,0))</f>
        <v>0</v>
      </c>
    </row>
    <row r="7659" spans="1:2" x14ac:dyDescent="0.2">
      <c r="A7659" t="str">
        <f>IF(B7643="megajoule","Heat","Electricity")&amp;" conversion efficiency [% LHV input]"</f>
        <v>Heat conversion efficiency [% LHV input]</v>
      </c>
      <c r="B7659" s="46">
        <f>INDEX(parameters!$D$4:$N$20,MATCH('hydrogen - electrolysis'!B7647&amp;'hydrogen - electrolysis'!B7649,parameters!$A$4:$A$20,0),MATCH('hydrogen - electrolysis'!A7659,parameters!$D$3:$N$3,0))</f>
        <v>0.41699999999999998</v>
      </c>
    </row>
    <row r="7660" spans="1:2" x14ac:dyDescent="0.2">
      <c r="A7660" t="str">
        <f>IF(B7643="megajoule","LHV [MJ/kg]","LHV [kWh/kg]")</f>
        <v>LHV [MJ/kg]</v>
      </c>
      <c r="B7660" s="47">
        <f>INDEX(parameters!$D$4:$N$20,MATCH('hydrogen - electrolysis'!B7647&amp;'hydrogen - electrolysis'!B7649,parameters!$A$4:$A$20,0),MATCH('hydrogen - electrolysis'!A7660,parameters!$D$3:$N$3,0))</f>
        <v>120</v>
      </c>
    </row>
    <row r="7661" spans="1:2" x14ac:dyDescent="0.2">
      <c r="A7661" t="s">
        <v>41</v>
      </c>
      <c r="B7661" s="48">
        <f>INDEX(parameters!$D$4:$N$20,MATCH('hydrogen - electrolysis'!B7647&amp;'hydrogen - electrolysis'!B7649,parameters!$A$4:$A$20,0),MATCH('hydrogen - electrolysis'!A7661,parameters!$D$3:$N$3,0))</f>
        <v>2.6666666666666665E-2</v>
      </c>
    </row>
    <row r="7662" spans="1:2" x14ac:dyDescent="0.2">
      <c r="A7662" t="s">
        <v>45</v>
      </c>
      <c r="B7662" s="46">
        <f>INDEX(parameters!$D$4:$N$20,MATCH('hydrogen - electrolysis'!B7647&amp;'hydrogen - electrolysis'!B7649,parameters!$A$4:$A$20,0),MATCH('hydrogen - electrolysis'!A7662,parameters!$D$3:$N$3,0))</f>
        <v>0</v>
      </c>
    </row>
    <row r="7663" spans="1:2" x14ac:dyDescent="0.2">
      <c r="A7663" t="s">
        <v>46</v>
      </c>
      <c r="B7663" s="46">
        <f>INDEX(parameters!$D$4:$N$20,MATCH('hydrogen - electrolysis'!B7647&amp;'hydrogen - electrolysis'!B7649,parameters!$A$4:$A$20,0),MATCH('hydrogen - electrolysis'!A7663,parameters!$D$3:$N$3,0))</f>
        <v>1.4999999999999999E-2</v>
      </c>
    </row>
    <row r="7664" spans="1:2" x14ac:dyDescent="0.2">
      <c r="A7664" t="s">
        <v>43</v>
      </c>
      <c r="B7664" s="46">
        <f>INDEX(parameters!$D$4:$N$20,MATCH('hydrogen - electrolysis'!B7647&amp;'hydrogen - electrolysis'!B7649,parameters!$A$4:$A$20,0),MATCH('hydrogen - electrolysis'!A7664,parameters!$D$3:$N$3,0))</f>
        <v>0</v>
      </c>
    </row>
    <row r="7665" spans="1:22" x14ac:dyDescent="0.2">
      <c r="A7665" t="s">
        <v>44</v>
      </c>
      <c r="B7665" s="46">
        <f>INDEX(parameters!$D$4:$N$20,MATCH('hydrogen - electrolysis'!B7647&amp;'hydrogen - electrolysis'!B7649,parameters!$A$4:$A$20,0),MATCH('hydrogen - electrolysis'!A7665,parameters!$D$3:$N$3,0))</f>
        <v>0</v>
      </c>
    </row>
    <row r="7666" spans="1:22" x14ac:dyDescent="0.2">
      <c r="A7666" t="s">
        <v>634</v>
      </c>
      <c r="B7666" s="51">
        <f>INDEX(parameters!$D$4:$Y$20,MATCH('hydrogen - electrolysis'!B7647&amp;'hydrogen - electrolysis'!B7649,parameters!$A$4:$A$20,0),MATCH('hydrogen - electrolysis'!A7666,parameters!$D$3:$Y$3,0))</f>
        <v>351.41800246609125</v>
      </c>
    </row>
    <row r="7667" spans="1:22" x14ac:dyDescent="0.2">
      <c r="A7667" t="s">
        <v>82</v>
      </c>
      <c r="B7667" s="46">
        <f>IF(B7658&lt;&gt;0,VLOOKUP(B7658,parameters!A4819:B4821,2,0),0)</f>
        <v>0</v>
      </c>
    </row>
    <row r="7668" spans="1:22" x14ac:dyDescent="0.2">
      <c r="A7668" t="s">
        <v>548</v>
      </c>
      <c r="B7668" s="50">
        <f>INDEX(parameters!$D$4:$P$20,MATCH(B7647&amp;B7649,parameters!$A$4:$A$20,0),MATCH(A7668,parameters!$D$3:$P$3,0))</f>
        <v>125</v>
      </c>
    </row>
    <row r="7669" spans="1:22" x14ac:dyDescent="0.2">
      <c r="A7669" t="s">
        <v>547</v>
      </c>
      <c r="B7669" s="51">
        <f>INDEX(parameters!$D$4:$P$20,MATCH(B7647&amp;B7649,parameters!$A$4:$A$20,0),MATCH(A7669,parameters!$D$3:$P$3,0))</f>
        <v>19.512195121951219</v>
      </c>
    </row>
    <row r="7670" spans="1:22" x14ac:dyDescent="0.2">
      <c r="A7670" t="s">
        <v>630</v>
      </c>
      <c r="B7670" s="51">
        <f>INDEX(parameters!$D$4:$T$20,MATCH(B7647&amp;B7649,parameters!$A$4:$A$20,0),MATCH(A7670,parameters!$D$3:$T$3,0))</f>
        <v>4100</v>
      </c>
    </row>
    <row r="7671" spans="1:22" x14ac:dyDescent="0.2">
      <c r="A7671" t="s">
        <v>1005</v>
      </c>
      <c r="B7671" s="50">
        <f>IF(B7643="megajoule",SUMIFS(allocation!$I$4:$I$30,allocation!$B$4:$B$30,B7649,allocation!$C$4:$C$30,B7650),SUMIFS(allocation!$J$4:$J$30,allocation!$B$4:$B$30,B7649,allocation!$C$4:$C$30,B7650))</f>
        <v>0.12860042227295038</v>
      </c>
    </row>
    <row r="7672" spans="1:22" x14ac:dyDescent="0.2">
      <c r="A7672" t="s">
        <v>1050</v>
      </c>
      <c r="B7672" s="51">
        <f>INDEX(parameters!$D$4:$AB$20,MATCH(B7647&amp;B7649,parameters!$A$4:$A$20,0),MATCH(A7672,parameters!$D$3:$AB$3,0))</f>
        <v>2220.7364520822662</v>
      </c>
    </row>
    <row r="7674" spans="1:22" x14ac:dyDescent="0.2">
      <c r="A7674" s="3" t="s">
        <v>57</v>
      </c>
    </row>
    <row r="7675" spans="1:22" x14ac:dyDescent="0.2">
      <c r="A7675" s="2" t="s">
        <v>58</v>
      </c>
      <c r="B7675" s="44" t="s">
        <v>59</v>
      </c>
      <c r="C7675" s="2" t="s">
        <v>55</v>
      </c>
      <c r="D7675" s="2" t="s">
        <v>60</v>
      </c>
      <c r="E7675" s="2" t="s">
        <v>52</v>
      </c>
      <c r="F7675" s="2" t="s">
        <v>61</v>
      </c>
      <c r="G7675" s="2" t="s">
        <v>54</v>
      </c>
      <c r="H7675" s="2" t="s">
        <v>87</v>
      </c>
      <c r="I7675" s="2" t="s">
        <v>51</v>
      </c>
      <c r="J7675" s="2" t="s">
        <v>138</v>
      </c>
      <c r="K7675" s="2" t="s">
        <v>136</v>
      </c>
      <c r="L7675" s="2" t="s">
        <v>221</v>
      </c>
      <c r="M7675" s="2" t="s">
        <v>379</v>
      </c>
      <c r="N7675" s="2" t="s">
        <v>1059</v>
      </c>
      <c r="O7675" s="2" t="s">
        <v>1060</v>
      </c>
      <c r="P7675" s="2" t="s">
        <v>1061</v>
      </c>
      <c r="Q7675" s="2" t="s">
        <v>1062</v>
      </c>
      <c r="R7675" s="2" t="s">
        <v>1063</v>
      </c>
      <c r="S7675" s="2" t="s">
        <v>1064</v>
      </c>
      <c r="T7675" s="2" t="s">
        <v>1065</v>
      </c>
      <c r="U7675" s="2" t="s">
        <v>380</v>
      </c>
      <c r="V7675" s="2" t="s">
        <v>1128</v>
      </c>
    </row>
    <row r="7676" spans="1:22" x14ac:dyDescent="0.2">
      <c r="A7676" t="str">
        <f>B7637</f>
        <v>heat, residential, by combustion of hydrogen using CHP, allocated by exergy, transported by train, produced by Electrolysis, SOEC using water and electricity from Solar PV (DE)</v>
      </c>
      <c r="B7676" s="45">
        <v>1</v>
      </c>
      <c r="C7676" t="str">
        <f>B7643</f>
        <v>megajoule</v>
      </c>
      <c r="E7676" t="str">
        <f>B7640</f>
        <v>CH</v>
      </c>
      <c r="F7676" t="s">
        <v>62</v>
      </c>
      <c r="G7676" t="str">
        <f>B7642</f>
        <v>heat, from residential heating system</v>
      </c>
      <c r="K7676" t="str">
        <f>B7637</f>
        <v>heat, residential, by combustion of hydrogen using CHP, allocated by exergy, transported by train, produced by Electrolysis, SOEC using water and electricity from Solar PV (DE)</v>
      </c>
    </row>
    <row r="7677" spans="1:22" x14ac:dyDescent="0.2">
      <c r="A7677" t="str">
        <f>VLOOKUP(J7677,'dataset mapping'!$A$4:$E$69,2,0)</f>
        <v>heat and power co-generation unit construction, 160kW electrical, common components for heat+electricity</v>
      </c>
      <c r="B7677" s="52">
        <f>(1/(B7666*B7670*B7669*3.6))*B7671</f>
        <v>1.270649883812899E-9</v>
      </c>
      <c r="C7677" t="str">
        <f>VLOOKUP(J7677,'dataset mapping'!$A$4:$E$69,5,0)</f>
        <v>unit</v>
      </c>
      <c r="E7677" t="str">
        <f>VLOOKUP(J7677,'dataset mapping'!$A$4:$E$69,4,0)</f>
        <v>RER</v>
      </c>
      <c r="F7677" t="s">
        <v>86</v>
      </c>
      <c r="G7677" t="str">
        <f>VLOOKUP(J7677,'dataset mapping'!$A$4:$E$69,3,0)</f>
        <v>heat and power co-generation unit, 160kW electrical, common components for heat+electricity</v>
      </c>
      <c r="H7677" t="s">
        <v>88</v>
      </c>
      <c r="J7677" t="s">
        <v>145</v>
      </c>
      <c r="K7677" t="str">
        <f>B7637</f>
        <v>heat, residential, by combustion of hydrogen using CHP, allocated by exergy, transported by train, produced by Electrolysis, SOEC using water and electricity from Solar PV (DE)</v>
      </c>
      <c r="L7677">
        <f t="shared" ref="L7677:L7686" si="310">IF(OR(B7677&lt;0,B7677=0),1,2)</f>
        <v>2</v>
      </c>
      <c r="M7677">
        <f t="shared" ref="M7677:M7686" si="311">IF(L7677=2,LN(B7677),"")</f>
        <v>-20.48373734782199</v>
      </c>
      <c r="N7677">
        <v>1.05</v>
      </c>
      <c r="O7677" s="15">
        <v>1.2</v>
      </c>
      <c r="P7677">
        <v>1</v>
      </c>
      <c r="Q7677">
        <v>1.01</v>
      </c>
      <c r="R7677">
        <v>1.2</v>
      </c>
      <c r="S7677">
        <v>1.2</v>
      </c>
      <c r="T7677">
        <v>3</v>
      </c>
      <c r="U7677">
        <f t="shared" ref="U7677:U7686" si="312">LN(SQRT(EXP(
SQRT(
+POWER(LN(N7677),2)
+POWER(LN(O7677),2)
+POWER(LN(P7677),2)
+POWER(LN(Q7677),2)
+POWER(LN(R7677),2)
+POWER(LN(S7677),2)
+POWER(LN(T7677),2)
)
)))</f>
        <v>0.57209088006881903</v>
      </c>
    </row>
    <row r="7678" spans="1:22" x14ac:dyDescent="0.2">
      <c r="A7678" t="str">
        <f>VLOOKUP(J7678,'dataset mapping'!$A$4:$E$69,2,0)</f>
        <v>heat and power co-generation unit construction, 160kW electrical, components for electricity only</v>
      </c>
      <c r="B7678" s="52">
        <f>(1/(B7666*B7670*B7669*3.6))*B7671</f>
        <v>1.270649883812899E-9</v>
      </c>
      <c r="C7678" t="str">
        <f>VLOOKUP(J7678,'dataset mapping'!$A$4:$E$69,5,0)</f>
        <v>unit</v>
      </c>
      <c r="E7678" t="str">
        <f>VLOOKUP(J7678,'dataset mapping'!$A$4:$E$69,4,0)</f>
        <v>RER</v>
      </c>
      <c r="F7678" t="s">
        <v>86</v>
      </c>
      <c r="G7678" t="str">
        <f>VLOOKUP(J7678,'dataset mapping'!$A$4:$E$69,3,0)</f>
        <v>heat and power co-generation unit, 160kW electrical, components for electricity only</v>
      </c>
      <c r="H7678" t="s">
        <v>88</v>
      </c>
      <c r="J7678" t="s">
        <v>146</v>
      </c>
      <c r="K7678" t="str">
        <f>B7637</f>
        <v>heat, residential, by combustion of hydrogen using CHP, allocated by exergy, transported by train, produced by Electrolysis, SOEC using water and electricity from Solar PV (DE)</v>
      </c>
      <c r="L7678">
        <f t="shared" si="310"/>
        <v>2</v>
      </c>
      <c r="M7678">
        <f t="shared" si="311"/>
        <v>-20.48373734782199</v>
      </c>
      <c r="N7678">
        <v>1.05</v>
      </c>
      <c r="O7678" s="15">
        <v>1.2</v>
      </c>
      <c r="P7678">
        <v>1</v>
      </c>
      <c r="Q7678">
        <v>1.01</v>
      </c>
      <c r="R7678">
        <v>1.2</v>
      </c>
      <c r="S7678">
        <v>1.2</v>
      </c>
      <c r="T7678">
        <v>3</v>
      </c>
      <c r="U7678">
        <f t="shared" si="312"/>
        <v>0.57209088006881903</v>
      </c>
    </row>
    <row r="7679" spans="1:22" x14ac:dyDescent="0.2">
      <c r="A7679" t="str">
        <f>VLOOKUP(J7679,'dataset mapping'!$A$4:$E$69,2,0)</f>
        <v>heat and power co-generation unit construction, 160kW electrical, components for heat only</v>
      </c>
      <c r="B7679" s="52">
        <f>(1/(B7666*B7670*B7669*3.6))*B7671</f>
        <v>1.270649883812899E-9</v>
      </c>
      <c r="C7679" t="str">
        <f>VLOOKUP(J7679,'dataset mapping'!$A$4:$E$69,5,0)</f>
        <v>unit</v>
      </c>
      <c r="E7679" t="str">
        <f>VLOOKUP(J7679,'dataset mapping'!$A$4:$E$69,4,0)</f>
        <v>RER</v>
      </c>
      <c r="F7679" t="s">
        <v>86</v>
      </c>
      <c r="G7679" t="str">
        <f>VLOOKUP(J7679,'dataset mapping'!$A$4:$E$69,3,0)</f>
        <v>heat and power co-generation unit, 160kW electrical, components for heat only</v>
      </c>
      <c r="H7679" t="s">
        <v>88</v>
      </c>
      <c r="J7679" t="s">
        <v>147</v>
      </c>
      <c r="K7679" t="str">
        <f>B7637</f>
        <v>heat, residential, by combustion of hydrogen using CHP, allocated by exergy, transported by train, produced by Electrolysis, SOEC using water and electricity from Solar PV (DE)</v>
      </c>
      <c r="L7679">
        <f t="shared" si="310"/>
        <v>2</v>
      </c>
      <c r="M7679">
        <f t="shared" si="311"/>
        <v>-20.48373734782199</v>
      </c>
      <c r="N7679">
        <v>1.05</v>
      </c>
      <c r="O7679" s="15">
        <v>1.2</v>
      </c>
      <c r="P7679">
        <v>1</v>
      </c>
      <c r="Q7679">
        <v>1.01</v>
      </c>
      <c r="R7679">
        <v>1.2</v>
      </c>
      <c r="S7679">
        <v>1.2</v>
      </c>
      <c r="T7679">
        <v>3</v>
      </c>
      <c r="U7679">
        <f t="shared" si="312"/>
        <v>0.57209088006881903</v>
      </c>
    </row>
    <row r="7680" spans="1:22" x14ac:dyDescent="0.2">
      <c r="A7680" t="s">
        <v>156</v>
      </c>
      <c r="B7680" s="52">
        <f>0.00000011366*B7671</f>
        <v>1.461672399554354E-8</v>
      </c>
      <c r="C7680" t="s">
        <v>56</v>
      </c>
      <c r="E7680" t="s">
        <v>90</v>
      </c>
      <c r="F7680" t="s">
        <v>86</v>
      </c>
      <c r="G7680" t="s">
        <v>154</v>
      </c>
      <c r="H7680" t="s">
        <v>155</v>
      </c>
      <c r="K7680" t="str">
        <f>B7637</f>
        <v>heat, residential, by combustion of hydrogen using CHP, allocated by exergy, transported by train, produced by Electrolysis, SOEC using water and electricity from Solar PV (DE)</v>
      </c>
      <c r="L7680">
        <f t="shared" si="310"/>
        <v>2</v>
      </c>
      <c r="M7680">
        <f t="shared" si="311"/>
        <v>-18.041099484645969</v>
      </c>
      <c r="N7680">
        <v>1.05</v>
      </c>
      <c r="O7680" s="15">
        <v>1.2</v>
      </c>
      <c r="P7680">
        <v>1</v>
      </c>
      <c r="Q7680">
        <v>1.01</v>
      </c>
      <c r="R7680">
        <v>1.2</v>
      </c>
      <c r="S7680">
        <v>1.2</v>
      </c>
      <c r="T7680">
        <v>1.05</v>
      </c>
      <c r="U7680">
        <f t="shared" si="312"/>
        <v>0.16169679924070957</v>
      </c>
    </row>
    <row r="7681" spans="1:22" x14ac:dyDescent="0.2">
      <c r="A7681" t="s">
        <v>157</v>
      </c>
      <c r="B7681" s="52">
        <f>0.00000011366*B7671*-1</f>
        <v>-1.461672399554354E-8</v>
      </c>
      <c r="C7681" t="s">
        <v>56</v>
      </c>
      <c r="E7681" t="s">
        <v>64</v>
      </c>
      <c r="F7681" t="s">
        <v>86</v>
      </c>
      <c r="G7681" t="s">
        <v>158</v>
      </c>
      <c r="H7681" t="s">
        <v>155</v>
      </c>
      <c r="K7681" t="str">
        <f>B7637</f>
        <v>heat, residential, by combustion of hydrogen using CHP, allocated by exergy, transported by train, produced by Electrolysis, SOEC using water and electricity from Solar PV (DE)</v>
      </c>
      <c r="L7681">
        <v>2</v>
      </c>
      <c r="M7681">
        <f>IF(L7681=2,LN(B7681*-1),"")</f>
        <v>-18.041099484645969</v>
      </c>
      <c r="N7681">
        <v>1.05</v>
      </c>
      <c r="O7681" s="15">
        <v>1.2</v>
      </c>
      <c r="P7681">
        <v>1</v>
      </c>
      <c r="Q7681">
        <v>1.01</v>
      </c>
      <c r="R7681">
        <v>1.2</v>
      </c>
      <c r="S7681">
        <v>1.2</v>
      </c>
      <c r="T7681">
        <v>3</v>
      </c>
      <c r="U7681">
        <f>LN(SQRT(EXP(
SQRT(
+POWER(LN(N7681),2)
+POWER(LN(O7681),2)
+POWER(LN(P7681),2)
+POWER(LN(Q7681),2)
+POWER(LN(R7681),2)
+POWER(LN(S7681),2)
+POWER(LN(T7681),2)
)
)))</f>
        <v>0.57209088006881903</v>
      </c>
      <c r="V7681" t="b">
        <v>1</v>
      </c>
    </row>
    <row r="7682" spans="1:22" x14ac:dyDescent="0.2">
      <c r="A7682" s="45" t="str">
        <f>"hydrogen supply, transported by "&amp;B7651&amp;", produced by "&amp;B7655&amp;" using "&amp;B7656&amp;" from "&amp;B7657</f>
        <v>hydrogen supply, transported by train, produced by Electrolysis, SOEC using water and electricity from Solar PV (DE)</v>
      </c>
      <c r="B7682" s="53">
        <f>(B7676/B7660)/B7659*B7671</f>
        <v>2.56995248347223E-3</v>
      </c>
      <c r="C7682" t="s">
        <v>56</v>
      </c>
      <c r="E7682" t="s">
        <v>64</v>
      </c>
      <c r="F7682" t="s">
        <v>86</v>
      </c>
      <c r="G7682" t="str">
        <f>"hydrogen, gaseous, from "&amp;B7651</f>
        <v>hydrogen, gaseous, from train</v>
      </c>
      <c r="H7682" t="s">
        <v>76</v>
      </c>
      <c r="I7682" t="s">
        <v>1054</v>
      </c>
      <c r="J7682" t="s">
        <v>299</v>
      </c>
      <c r="K7682" t="str">
        <f>B7637</f>
        <v>heat, residential, by combustion of hydrogen using CHP, allocated by exergy, transported by train, produced by Electrolysis, SOEC using water and electricity from Solar PV (DE)</v>
      </c>
      <c r="L7682">
        <f t="shared" si="310"/>
        <v>2</v>
      </c>
      <c r="M7682">
        <f t="shared" si="311"/>
        <v>-5.9638678691672418</v>
      </c>
      <c r="N7682">
        <v>1.05</v>
      </c>
      <c r="O7682" s="15">
        <v>1.2</v>
      </c>
      <c r="P7682">
        <v>1</v>
      </c>
      <c r="Q7682">
        <v>1.01</v>
      </c>
      <c r="R7682">
        <v>1.2</v>
      </c>
      <c r="S7682">
        <v>1.2</v>
      </c>
      <c r="T7682">
        <v>1.05</v>
      </c>
      <c r="U7682">
        <f t="shared" si="312"/>
        <v>0.16169679924070957</v>
      </c>
    </row>
    <row r="7683" spans="1:22" x14ac:dyDescent="0.2">
      <c r="A7683" t="str">
        <f>VLOOKUP(J7683,'dataset mapping'!$A$4:$E$69,2,0)</f>
        <v>market for transport, freight train</v>
      </c>
      <c r="B7683" s="45">
        <f>SUM(B7682:B7682)/1000*B7652</f>
        <v>2.56995248347223E-3</v>
      </c>
      <c r="C7683" t="str">
        <f>VLOOKUP(J7683,'dataset mapping'!$A$4:$E$69,5,0)</f>
        <v>ton kilometer</v>
      </c>
      <c r="E7683" t="str">
        <f>VLOOKUP(J7683,'dataset mapping'!$A$4:$E$69,4,0)</f>
        <v>CH</v>
      </c>
      <c r="F7683" t="s">
        <v>86</v>
      </c>
      <c r="G7683" t="str">
        <f>VLOOKUP(J7683,'dataset mapping'!$A$4:$E$69,3,0)</f>
        <v>transport, freight train</v>
      </c>
      <c r="H7683" t="s">
        <v>88</v>
      </c>
      <c r="I7683" t="s">
        <v>1052</v>
      </c>
      <c r="J7683" t="s">
        <v>295</v>
      </c>
      <c r="K7683" t="str">
        <f>B7637</f>
        <v>heat, residential, by combustion of hydrogen using CHP, allocated by exergy, transported by train, produced by Electrolysis, SOEC using water and electricity from Solar PV (DE)</v>
      </c>
      <c r="L7683">
        <f t="shared" si="310"/>
        <v>2</v>
      </c>
      <c r="M7683">
        <f t="shared" si="311"/>
        <v>-5.9638678691672418</v>
      </c>
      <c r="N7683">
        <v>1.05</v>
      </c>
      <c r="O7683" s="15">
        <v>1.2</v>
      </c>
      <c r="P7683">
        <v>1</v>
      </c>
      <c r="Q7683">
        <v>1.01</v>
      </c>
      <c r="R7683">
        <v>1.2</v>
      </c>
      <c r="S7683">
        <v>1.2</v>
      </c>
      <c r="T7683">
        <v>2</v>
      </c>
      <c r="U7683">
        <f t="shared" si="312"/>
        <v>0.38165951885721477</v>
      </c>
    </row>
    <row r="7684" spans="1:22" x14ac:dyDescent="0.2">
      <c r="A7684" t="str">
        <f>VLOOKUP(J7684,'dataset mapping'!$A$4:$E$69,2,0)</f>
        <v>high pressure hydrogen storage tank</v>
      </c>
      <c r="B7684" s="52">
        <f>((B7672/10)/(B7670*B7666*20*3.6))*IF(B7671&lt;&gt;0,B7671,1)</f>
        <v>2.7529546486023421E-7</v>
      </c>
      <c r="C7684" t="str">
        <f>VLOOKUP(J7684,'dataset mapping'!$A$4:$E$69,5,0)</f>
        <v>kilogram</v>
      </c>
      <c r="E7684" t="str">
        <f>VLOOKUP(J7684,'dataset mapping'!$A$4:$E$69,4,0)</f>
        <v>GLO</v>
      </c>
      <c r="F7684" t="s">
        <v>86</v>
      </c>
      <c r="G7684" t="str">
        <f>VLOOKUP(J7684,'dataset mapping'!$A$4:$E$69,3,0)</f>
        <v>high pressure hydrogen storage tank</v>
      </c>
      <c r="H7684" t="s">
        <v>88</v>
      </c>
      <c r="I7684" t="s">
        <v>279</v>
      </c>
      <c r="J7684" t="s">
        <v>229</v>
      </c>
      <c r="K7684" t="str">
        <f>B7637</f>
        <v>heat, residential, by combustion of hydrogen using CHP, allocated by exergy, transported by train, produced by Electrolysis, SOEC using water and electricity from Solar PV (DE)</v>
      </c>
      <c r="L7684">
        <f t="shared" si="310"/>
        <v>2</v>
      </c>
      <c r="M7684">
        <f t="shared" si="311"/>
        <v>-15.105420898379837</v>
      </c>
      <c r="N7684">
        <v>1.05</v>
      </c>
      <c r="O7684" s="15">
        <v>1.2</v>
      </c>
      <c r="P7684">
        <v>1</v>
      </c>
      <c r="Q7684">
        <v>1.01</v>
      </c>
      <c r="R7684">
        <v>1.2</v>
      </c>
      <c r="S7684">
        <v>1.2</v>
      </c>
      <c r="T7684">
        <v>3</v>
      </c>
      <c r="U7684">
        <f t="shared" si="312"/>
        <v>0.57209088006881903</v>
      </c>
    </row>
    <row r="7685" spans="1:22" x14ac:dyDescent="0.2">
      <c r="A7685" t="s">
        <v>134</v>
      </c>
      <c r="B7685" s="45">
        <f>B7682*9</f>
        <v>2.3129572351250072E-2</v>
      </c>
      <c r="C7685" t="s">
        <v>56</v>
      </c>
      <c r="D7685" t="s">
        <v>100</v>
      </c>
      <c r="F7685" t="s">
        <v>99</v>
      </c>
      <c r="H7685" t="s">
        <v>131</v>
      </c>
      <c r="I7685" t="s">
        <v>1058</v>
      </c>
      <c r="K7685" t="str">
        <f>B7637</f>
        <v>heat, residential, by combustion of hydrogen using CHP, allocated by exergy, transported by train, produced by Electrolysis, SOEC using water and electricity from Solar PV (DE)</v>
      </c>
      <c r="L7685">
        <f t="shared" si="310"/>
        <v>2</v>
      </c>
      <c r="M7685">
        <f t="shared" si="311"/>
        <v>-3.7666432918310226</v>
      </c>
      <c r="N7685">
        <v>1.05</v>
      </c>
      <c r="O7685" s="15">
        <v>1.2</v>
      </c>
      <c r="P7685">
        <v>1</v>
      </c>
      <c r="Q7685">
        <v>1.01</v>
      </c>
      <c r="R7685">
        <v>1.2</v>
      </c>
      <c r="S7685">
        <v>1.2</v>
      </c>
      <c r="T7685">
        <v>1.05</v>
      </c>
      <c r="U7685">
        <f t="shared" si="312"/>
        <v>0.16169679924070957</v>
      </c>
    </row>
    <row r="7686" spans="1:22" x14ac:dyDescent="0.2">
      <c r="A7686" t="s">
        <v>135</v>
      </c>
      <c r="B7686" s="45">
        <f>912.5/1000000*B7683</f>
        <v>2.3450816411684101E-6</v>
      </c>
      <c r="C7686" t="s">
        <v>56</v>
      </c>
      <c r="D7686" t="s">
        <v>100</v>
      </c>
      <c r="F7686" t="s">
        <v>99</v>
      </c>
      <c r="H7686" t="s">
        <v>131</v>
      </c>
      <c r="I7686" t="s">
        <v>1217</v>
      </c>
      <c r="K7686" t="str">
        <f>B7637</f>
        <v>heat, residential, by combustion of hydrogen using CHP, allocated by exergy, transported by train, produced by Electrolysis, SOEC using water and electricity from Solar PV (DE)</v>
      </c>
      <c r="L7686">
        <f t="shared" si="310"/>
        <v>2</v>
      </c>
      <c r="M7686">
        <f t="shared" si="311"/>
        <v>-12.963190341674869</v>
      </c>
      <c r="N7686">
        <v>1.05</v>
      </c>
      <c r="O7686" s="15">
        <v>1.2</v>
      </c>
      <c r="P7686">
        <v>1</v>
      </c>
      <c r="Q7686">
        <v>1.01</v>
      </c>
      <c r="R7686">
        <v>1.2</v>
      </c>
      <c r="S7686">
        <v>1.2</v>
      </c>
      <c r="T7686">
        <v>1.5</v>
      </c>
      <c r="U7686">
        <f t="shared" si="312"/>
        <v>0.25816898211842121</v>
      </c>
    </row>
    <row r="7688" spans="1:22" x14ac:dyDescent="0.2">
      <c r="A7688" s="2" t="s">
        <v>50</v>
      </c>
      <c r="B7688" s="44" t="str">
        <f>IF(B7694="megajoule","heat","electricity")&amp;", residential, by "&amp;B7699&amp;" of "&amp;B7698&amp;" using "&amp;B7700&amp;IF(B7701&lt;&gt;0,", allocated by "&amp;B7701,"")&amp;", transported by "&amp;B7702&amp;", produced by "&amp;B7706&amp;" using "&amp;B7707&amp;" from "&amp;B7708</f>
        <v>heat, residential, by conversion of hydrogen using fuel cell, PEM, allocated by exergy, transported by train, produced by Electrolysis, SOEC using water and electricity from Solar PV (DE)</v>
      </c>
    </row>
    <row r="7689" spans="1:22" x14ac:dyDescent="0.2">
      <c r="A7689" t="s">
        <v>51</v>
      </c>
      <c r="B7689" s="45" t="str">
        <f>"This dataset represents the supply of 1 "&amp;IF(B7694="megajoule","megajoule of heat","kilowatt hour of electricity")&amp;" in a residence, by "&amp;B7698&amp;" "&amp;B7699&amp;" in a "&amp;B7700&amp;". "&amp;" The hydrogen is transported by "&amp;B7702&amp;" over "&amp;B7703&amp;" km from regional storage. "&amp;" The "&amp;B7698&amp;" is produced by  "&amp;B7706&amp;", with "&amp;B7707&amp;" from "&amp;B7708&amp;" as feedstock. "&amp;A7710&amp;": "&amp;(B7710*100)&amp;"%. "&amp;A7711&amp;": "&amp;B7711&amp;". "&amp;A7712&amp;": "&amp;B7712&amp;". "&amp;A7713&amp;": "&amp;(B7713*100)&amp;"%. "&amp;A7714&amp;": "&amp;(B7714*100)&amp;"%. "&amp;A7715&amp;": "&amp;(B7715*100)&amp;"%. "&amp;A7716&amp;": "&amp;B7716&amp;". "&amp;A7717&amp;": "&amp;B7717&amp;". "&amp;A7718&amp;": "&amp;(B7718*100)&amp;"%. "&amp;A7719&amp;": "&amp;B7719&amp;". "&amp;A7720&amp;": "&amp;B7720&amp;". "&amp;A7721&amp;": "&amp;B7721&amp;". "&amp;A7722&amp;": "&amp;B7722&amp;".  For more information, refer to: "&amp;B7690</f>
        <v>This dataset represents the supply of 1 megajoule of heat in a residence, by hydrogen conversion in a fuel cell, PEM.  The hydrogen is transported by train over 1000 km from regional storage.  The hydrogen is produced by  Electrolysis, SOEC, with water and electricity from Solar PV (DE)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7690" spans="1:22" x14ac:dyDescent="0.2">
      <c r="A7690" t="s">
        <v>63</v>
      </c>
      <c r="B7690" s="45" t="s">
        <v>1223</v>
      </c>
    </row>
    <row r="7691" spans="1:22" x14ac:dyDescent="0.2">
      <c r="A7691" t="s">
        <v>52</v>
      </c>
      <c r="B7691" s="45" t="s">
        <v>64</v>
      </c>
    </row>
    <row r="7692" spans="1:22" x14ac:dyDescent="0.2">
      <c r="A7692" t="s">
        <v>48</v>
      </c>
      <c r="B7692" s="45">
        <v>95</v>
      </c>
    </row>
    <row r="7693" spans="1:22" x14ac:dyDescent="0.2">
      <c r="A7693" t="s">
        <v>54</v>
      </c>
      <c r="B7693" s="45" t="str">
        <f>INDEX(overview!$B$4:$R$338,MATCH('hydrogen - electrolysis'!B7692,overview!$A$4:$A$338,0),MATCH('hydrogen - electrolysis'!A7693,overview!$B$3:$R$3,0))</f>
        <v>heat, from residential heating system</v>
      </c>
    </row>
    <row r="7694" spans="1:22" x14ac:dyDescent="0.2">
      <c r="A7694" t="s">
        <v>55</v>
      </c>
      <c r="B7694" s="45" t="str">
        <f>INDEX(overview!$B$4:$R$338,MATCH('hydrogen - electrolysis'!B7692,overview!$A$4:$A$338,0),MATCH('hydrogen - electrolysis'!A7694,overview!$B$3:$R$3,0))</f>
        <v>megajoule</v>
      </c>
    </row>
    <row r="7695" spans="1:22" x14ac:dyDescent="0.2">
      <c r="A7695" t="s">
        <v>0</v>
      </c>
      <c r="B7695" s="45" t="str">
        <f>INDEX(overview!$B$4:$R$338,MATCH('hydrogen - electrolysis'!B7692,overview!$A$4:$A$338,0),MATCH('hydrogen - electrolysis'!A7695,overview!$B$3:$R$3,0))</f>
        <v>Switzerland</v>
      </c>
    </row>
    <row r="7696" spans="1:22" x14ac:dyDescent="0.2">
      <c r="A7696" t="s">
        <v>1</v>
      </c>
      <c r="B7696" s="45">
        <f>INDEX(overview!$B$4:$R$338,MATCH('hydrogen - electrolysis'!B7692,overview!$A$4:$A$338,0),MATCH('hydrogen - electrolysis'!A7696,overview!$B$3:$R$3,0))</f>
        <v>2020</v>
      </c>
    </row>
    <row r="7697" spans="1:2" x14ac:dyDescent="0.2">
      <c r="A7697" t="s">
        <v>2</v>
      </c>
      <c r="B7697" s="45" t="str">
        <f>INDEX(overview!$B$4:$R$338,MATCH('hydrogen - electrolysis'!B7692,overview!$A$4:$A$338,0),MATCH('hydrogen - electrolysis'!A7697,overview!$B$3:$R$3,0))</f>
        <v>1 MJ heat</v>
      </c>
    </row>
    <row r="7698" spans="1:2" x14ac:dyDescent="0.2">
      <c r="A7698" t="s">
        <v>5</v>
      </c>
      <c r="B7698" s="45" t="str">
        <f>INDEX(overview!$B$4:$R$338,MATCH('hydrogen - electrolysis'!B7692,overview!$A$4:$A$338,0),MATCH('hydrogen - electrolysis'!A7698,overview!$B$3:$R$3,0))</f>
        <v>hydrogen</v>
      </c>
    </row>
    <row r="7699" spans="1:2" x14ac:dyDescent="0.2">
      <c r="A7699" t="s">
        <v>3</v>
      </c>
      <c r="B7699" s="45" t="str">
        <f>INDEX(overview!$B$4:$R$338,MATCH('hydrogen - electrolysis'!B7692,overview!$A$4:$A$338,0),MATCH('hydrogen - electrolysis'!A7699,overview!$B$3:$R$3,0))</f>
        <v>conversion</v>
      </c>
    </row>
    <row r="7700" spans="1:2" x14ac:dyDescent="0.2">
      <c r="A7700" t="s">
        <v>6</v>
      </c>
      <c r="B7700" s="45" t="str">
        <f>INDEX(overview!$B$4:$R$338,MATCH('hydrogen - electrolysis'!B7692,overview!$A$4:$A$338,0),MATCH('hydrogen - electrolysis'!A7700,overview!$B$3:$R$3,0))</f>
        <v>fuel cell, PEM</v>
      </c>
    </row>
    <row r="7701" spans="1:2" x14ac:dyDescent="0.2">
      <c r="A7701" t="s">
        <v>39</v>
      </c>
      <c r="B7701" s="45" t="str">
        <f>INDEX(overview!$B$4:$R$338,MATCH('hydrogen - electrolysis'!B7692,overview!$A$4:$A$338,0),MATCH('hydrogen - electrolysis'!A7701,overview!$B$3:$R$3,0))</f>
        <v>exergy</v>
      </c>
    </row>
    <row r="7702" spans="1:2" x14ac:dyDescent="0.2">
      <c r="A7702" t="s">
        <v>4</v>
      </c>
      <c r="B7702" s="45" t="str">
        <f>INDEX(overview!$B$4:$R$338,MATCH('hydrogen - electrolysis'!B7692,overview!$A$4:$A$338,0),MATCH('hydrogen - electrolysis'!A7702,overview!$B$3:$R$3,0))</f>
        <v>train</v>
      </c>
    </row>
    <row r="7703" spans="1:2" x14ac:dyDescent="0.2">
      <c r="A7703" t="s">
        <v>38</v>
      </c>
      <c r="B7703" s="45">
        <f>INDEX(overview!$B$4:$R$338,MATCH('hydrogen - electrolysis'!B7692,overview!$A$4:$A$338,0),MATCH('hydrogen - electrolysis'!A7703,overview!$B$3:$R$3,0))</f>
        <v>1000</v>
      </c>
    </row>
    <row r="7704" spans="1:2" x14ac:dyDescent="0.2">
      <c r="A7704" t="s">
        <v>12</v>
      </c>
      <c r="B7704" s="45" t="str">
        <f>INDEX(overview!$B$4:$R$338,MATCH('hydrogen - electrolysis'!B7692,overview!$A$4:$A$338,0),MATCH('hydrogen - electrolysis'!A7704,overview!$B$3:$R$3,0))</f>
        <v>Pressure vessel for stationary storage</v>
      </c>
    </row>
    <row r="7705" spans="1:2" x14ac:dyDescent="0.2">
      <c r="A7705" t="s">
        <v>34</v>
      </c>
      <c r="B7705" s="45">
        <f>INDEX(overview!$B$4:$R$338,MATCH('hydrogen - electrolysis'!B7692,overview!$A$4:$A$338,0),MATCH('hydrogen - electrolysis'!A7705,overview!$B$3:$R$3,0))</f>
        <v>0</v>
      </c>
    </row>
    <row r="7706" spans="1:2" x14ac:dyDescent="0.2">
      <c r="A7706" t="s">
        <v>15</v>
      </c>
      <c r="B7706" s="45" t="str">
        <f>INDEX(overview!$B$4:$R$338,MATCH('hydrogen - electrolysis'!B7692,overview!$A$4:$A$338,0),MATCH('hydrogen - electrolysis'!A7706,overview!$B$3:$R$3,0))</f>
        <v>Electrolysis, SOEC</v>
      </c>
    </row>
    <row r="7707" spans="1:2" x14ac:dyDescent="0.2">
      <c r="A7707" t="s">
        <v>14</v>
      </c>
      <c r="B7707" s="45" t="str">
        <f>INDEX(overview!$B$4:$R$338,MATCH('hydrogen - electrolysis'!B7692,overview!$A$4:$A$338,0),MATCH('hydrogen - electrolysis'!A7707,overview!$B$3:$R$3,0))</f>
        <v>water and electricity</v>
      </c>
    </row>
    <row r="7708" spans="1:2" x14ac:dyDescent="0.2">
      <c r="A7708" t="s">
        <v>26</v>
      </c>
      <c r="B7708" s="45" t="str">
        <f>INDEX(overview!$B$4:$R$338,MATCH('hydrogen - electrolysis'!B7692,overview!$A$4:$A$338,0),MATCH('hydrogen - electrolysis'!A7708,overview!$B$3:$R$3,0))</f>
        <v>Solar PV (DE)</v>
      </c>
    </row>
    <row r="7709" spans="1:2" x14ac:dyDescent="0.2">
      <c r="A7709" t="s">
        <v>29</v>
      </c>
      <c r="B7709" s="45">
        <f>INDEX(overview!$B$4:$R$338,MATCH('hydrogen - electrolysis'!B7692,overview!$A$4:$A$338,0),MATCH('hydrogen - electrolysis'!A7709,overview!$B$3:$R$3,0))</f>
        <v>0</v>
      </c>
    </row>
    <row r="7710" spans="1:2" x14ac:dyDescent="0.2">
      <c r="A7710" t="str">
        <f>IF(B7694="megajoule","Heat","Electricity")&amp;" conversion efficiency [% LHV input]"</f>
        <v>Heat conversion efficiency [% LHV input]</v>
      </c>
      <c r="B7710" s="46">
        <f>INDEX(parameters!$D$4:$N$20,MATCH('hydrogen - electrolysis'!B7698&amp;'hydrogen - electrolysis'!B7700,parameters!$A$4:$A$20,0),MATCH('hydrogen - electrolysis'!A7710,parameters!$D$3:$N$3,0))</f>
        <v>0.5</v>
      </c>
    </row>
    <row r="7711" spans="1:2" x14ac:dyDescent="0.2">
      <c r="A7711" t="str">
        <f>IF(B7694="megajoule","LHV [MJ/kg]","LHV [kWh/kg]")</f>
        <v>LHV [MJ/kg]</v>
      </c>
      <c r="B7711" s="47">
        <f>INDEX(parameters!$D$4:$N$20,MATCH('hydrogen - electrolysis'!B7698&amp;'hydrogen - electrolysis'!B7700,parameters!$A$4:$A$20,0),MATCH('hydrogen - electrolysis'!A7711,parameters!$D$3:$N$3,0))</f>
        <v>120</v>
      </c>
    </row>
    <row r="7712" spans="1:2" x14ac:dyDescent="0.2">
      <c r="A7712" t="s">
        <v>41</v>
      </c>
      <c r="B7712" s="48">
        <f>INDEX(parameters!$D$4:$N$20,MATCH('hydrogen - electrolysis'!B7698&amp;'hydrogen - electrolysis'!B7700,parameters!$A$4:$A$20,0),MATCH('hydrogen - electrolysis'!A7712,parameters!$D$3:$N$3,0))</f>
        <v>2.6666666666666665E-2</v>
      </c>
    </row>
    <row r="7713" spans="1:22" x14ac:dyDescent="0.2">
      <c r="A7713" t="s">
        <v>45</v>
      </c>
      <c r="B7713" s="46">
        <f>INDEX(parameters!$D$4:$N$20,MATCH('hydrogen - electrolysis'!B7698&amp;'hydrogen - electrolysis'!B7700,parameters!$A$4:$A$20,0),MATCH('hydrogen - electrolysis'!A7713,parameters!$D$3:$N$3,0))</f>
        <v>0</v>
      </c>
    </row>
    <row r="7714" spans="1:22" x14ac:dyDescent="0.2">
      <c r="A7714" t="s">
        <v>46</v>
      </c>
      <c r="B7714" s="46">
        <f>INDEX(parameters!$D$4:$N$20,MATCH('hydrogen - electrolysis'!B7698&amp;'hydrogen - electrolysis'!B7700,parameters!$A$4:$A$20,0),MATCH('hydrogen - electrolysis'!A7714,parameters!$D$3:$N$3,0))</f>
        <v>1.4999999999999999E-2</v>
      </c>
    </row>
    <row r="7715" spans="1:22" x14ac:dyDescent="0.2">
      <c r="A7715" t="s">
        <v>43</v>
      </c>
      <c r="B7715" s="46">
        <f>INDEX(parameters!$D$4:$N$20,MATCH('hydrogen - electrolysis'!B7698&amp;'hydrogen - electrolysis'!B7700,parameters!$A$4:$A$20,0),MATCH('hydrogen - electrolysis'!A7715,parameters!$D$3:$N$3,0))</f>
        <v>0</v>
      </c>
    </row>
    <row r="7716" spans="1:22" x14ac:dyDescent="0.2">
      <c r="A7716" t="s">
        <v>44</v>
      </c>
      <c r="B7716" s="46">
        <f>INDEX(parameters!$D$4:$N$20,MATCH('hydrogen - electrolysis'!B7698&amp;'hydrogen - electrolysis'!B7700,parameters!$A$4:$A$20,0),MATCH('hydrogen - electrolysis'!A7716,parameters!$D$3:$N$3,0))</f>
        <v>0</v>
      </c>
    </row>
    <row r="7717" spans="1:22" x14ac:dyDescent="0.2">
      <c r="A7717" t="s">
        <v>634</v>
      </c>
      <c r="B7717" s="51">
        <f>INDEX(parameters!$D$4:$Y$20,MATCH('hydrogen - electrolysis'!B7698&amp;'hydrogen - electrolysis'!B7700,parameters!$A$4:$A$20,0),MATCH('hydrogen - electrolysis'!A7717,parameters!$D$3:$Y$3,0))</f>
        <v>1.8947368421052633</v>
      </c>
    </row>
    <row r="7718" spans="1:22" x14ac:dyDescent="0.2">
      <c r="A7718" t="s">
        <v>82</v>
      </c>
      <c r="B7718" s="46">
        <f>IF(B7709&lt;&gt;0,VLOOKUP(B7709,parameters!A4872:B4874,2,0),0)</f>
        <v>0</v>
      </c>
    </row>
    <row r="7719" spans="1:22" x14ac:dyDescent="0.2">
      <c r="A7719" t="s">
        <v>548</v>
      </c>
      <c r="B7719" s="50">
        <f>INDEX(parameters!$D$4:$P$20,MATCH(B7698&amp;B7700,parameters!$A$4:$A$20,0),MATCH(A7719,parameters!$D$3:$P$3,0))</f>
        <v>0.8</v>
      </c>
    </row>
    <row r="7720" spans="1:22" x14ac:dyDescent="0.2">
      <c r="A7720" t="s">
        <v>547</v>
      </c>
      <c r="B7720" s="51">
        <f>INDEX(parameters!$D$4:$P$20,MATCH(B7698&amp;B7700,parameters!$A$4:$A$20,0),MATCH(A7720,parameters!$D$3:$P$3,0))</f>
        <v>4.8780487804878048</v>
      </c>
    </row>
    <row r="7721" spans="1:22" x14ac:dyDescent="0.2">
      <c r="A7721" t="s">
        <v>630</v>
      </c>
      <c r="B7721" s="51">
        <f>INDEX(parameters!$D$4:$T$20,MATCH(B7698&amp;B7700,parameters!$A$4:$A$20,0),MATCH(A7721,parameters!$D$3:$T$3,0))</f>
        <v>4100</v>
      </c>
    </row>
    <row r="7722" spans="1:22" x14ac:dyDescent="0.2">
      <c r="A7722" t="s">
        <v>1005</v>
      </c>
      <c r="B7722" s="50">
        <f>IF(B7694="megajoule",SUMIFS(allocation!$I$4:$I$30,allocation!$B$4:$B$30,B7700,allocation!$C$4:$C$30,B7701),SUMIFS(allocation!$J$4:$J$30,allocation!$B$4:$B$30,B7700,allocation!$C$4:$C$30,B7701))</f>
        <v>0.13933980798974457</v>
      </c>
    </row>
    <row r="7723" spans="1:22" x14ac:dyDescent="0.2">
      <c r="A7723" t="s">
        <v>1050</v>
      </c>
      <c r="B7723" s="51">
        <f>INDEX(parameters!$D$4:$AB$20,MATCH(B7698&amp;B7700,parameters!$A$4:$A$20,0),MATCH(A7723,parameters!$D$3:$AB$3,0))</f>
        <v>10.221606648199446</v>
      </c>
    </row>
    <row r="7725" spans="1:22" x14ac:dyDescent="0.2">
      <c r="A7725" s="3" t="s">
        <v>57</v>
      </c>
    </row>
    <row r="7726" spans="1:22" x14ac:dyDescent="0.2">
      <c r="A7726" s="2" t="s">
        <v>58</v>
      </c>
      <c r="B7726" s="44" t="s">
        <v>59</v>
      </c>
      <c r="C7726" s="2" t="s">
        <v>55</v>
      </c>
      <c r="D7726" s="2" t="s">
        <v>60</v>
      </c>
      <c r="E7726" s="2" t="s">
        <v>52</v>
      </c>
      <c r="F7726" s="2" t="s">
        <v>61</v>
      </c>
      <c r="G7726" s="2" t="s">
        <v>54</v>
      </c>
      <c r="H7726" s="2" t="s">
        <v>87</v>
      </c>
      <c r="I7726" s="2" t="s">
        <v>51</v>
      </c>
      <c r="J7726" s="2" t="s">
        <v>138</v>
      </c>
      <c r="K7726" s="2" t="s">
        <v>136</v>
      </c>
      <c r="L7726" s="2" t="s">
        <v>221</v>
      </c>
      <c r="M7726" s="2" t="s">
        <v>379</v>
      </c>
      <c r="N7726" s="2" t="s">
        <v>1059</v>
      </c>
      <c r="O7726" s="2" t="s">
        <v>1060</v>
      </c>
      <c r="P7726" s="2" t="s">
        <v>1061</v>
      </c>
      <c r="Q7726" s="2" t="s">
        <v>1062</v>
      </c>
      <c r="R7726" s="2" t="s">
        <v>1063</v>
      </c>
      <c r="S7726" s="2" t="s">
        <v>1064</v>
      </c>
      <c r="T7726" s="2" t="s">
        <v>1065</v>
      </c>
      <c r="U7726" s="2" t="s">
        <v>380</v>
      </c>
      <c r="V7726" s="2" t="s">
        <v>1128</v>
      </c>
    </row>
    <row r="7727" spans="1:22" x14ac:dyDescent="0.2">
      <c r="A7727" t="str">
        <f>B7688</f>
        <v>heat, residential, by conversion of hydrogen using fuel cell, PEM, allocated by exergy, transported by train, produced by Electrolysis, SOEC using water and electricity from Solar PV (DE)</v>
      </c>
      <c r="B7727" s="45">
        <v>1</v>
      </c>
      <c r="C7727" t="str">
        <f>B7694</f>
        <v>megajoule</v>
      </c>
      <c r="E7727" t="str">
        <f>B7691</f>
        <v>CH</v>
      </c>
      <c r="F7727" t="s">
        <v>62</v>
      </c>
      <c r="G7727" t="str">
        <f>B7693</f>
        <v>heat, from residential heating system</v>
      </c>
      <c r="K7727" t="str">
        <f>B7688</f>
        <v>heat, residential, by conversion of hydrogen using fuel cell, PEM, allocated by exergy, transported by train, produced by Electrolysis, SOEC using water and electricity from Solar PV (DE)</v>
      </c>
    </row>
    <row r="7728" spans="1:22" x14ac:dyDescent="0.2">
      <c r="A7728" t="str">
        <f>VLOOKUP(J7728,'dataset mapping'!$A$4:$E$69,2,0)</f>
        <v>fuel cell system assembly, 1 kWe, proton exchange membrane (PEM)</v>
      </c>
      <c r="B7728" s="52">
        <f>1/(80000*3.6)/0.5*SUMIFS(allocation!$I$4:$I$30,allocation!$B$4:$B$30,'hydrogen - electrolysis'!B7700,allocation!$C$4:$C$30,'hydrogen - electrolysis'!B7701)</f>
        <v>9.6763755548433728E-7</v>
      </c>
      <c r="C7728" t="str">
        <f>VLOOKUP(J7728,'dataset mapping'!$A$4:$E$69,5,0)</f>
        <v>unit</v>
      </c>
      <c r="E7728" t="str">
        <f>VLOOKUP(J7728,'dataset mapping'!$A$4:$E$69,4,0)</f>
        <v>GLO</v>
      </c>
      <c r="F7728" t="s">
        <v>86</v>
      </c>
      <c r="G7728" t="str">
        <f>VLOOKUP(J7728,'dataset mapping'!$A$4:$E$69,3,0)</f>
        <v>fuel cell system, 1 kWe, proton exchange membrane (PEM)</v>
      </c>
      <c r="H7728" t="s">
        <v>88</v>
      </c>
      <c r="I7728" t="s">
        <v>272</v>
      </c>
      <c r="J7728" t="s">
        <v>273</v>
      </c>
      <c r="K7728" t="str">
        <f>B7688</f>
        <v>heat, residential, by conversion of hydrogen using fuel cell, PEM, allocated by exergy, transported by train, produced by Electrolysis, SOEC using water and electricity from Solar PV (DE)</v>
      </c>
      <c r="L7728">
        <f t="shared" ref="L7728:L7732" si="313">IF(OR(B7728&lt;0,B7728=0),1,2)</f>
        <v>2</v>
      </c>
      <c r="M7728">
        <f t="shared" ref="M7728:M7732" si="314">IF(L7728=2,LN(B7728),"")</f>
        <v>-13.848408245937353</v>
      </c>
      <c r="N7728">
        <v>1</v>
      </c>
      <c r="O7728" s="15">
        <v>1.2</v>
      </c>
      <c r="P7728">
        <v>1</v>
      </c>
      <c r="Q7728">
        <v>1.01</v>
      </c>
      <c r="R7728">
        <v>1.2</v>
      </c>
      <c r="S7728">
        <v>1.2</v>
      </c>
      <c r="T7728">
        <v>3</v>
      </c>
      <c r="U7728">
        <f t="shared" ref="U7728:U7732" si="315">LN(SQRT(EXP(
SQRT(
+POWER(LN(N7728),2)
+POWER(LN(O7728),2)
+POWER(LN(P7728),2)
+POWER(LN(Q7728),2)
+POWER(LN(R7728),2)
+POWER(LN(S7728),2)
+POWER(LN(T7728),2)
)
)))</f>
        <v>0.57157051623399524</v>
      </c>
    </row>
    <row r="7729" spans="1:21" x14ac:dyDescent="0.2">
      <c r="A7729" s="45" t="str">
        <f>"hydrogen supply, transported by "&amp;B7702&amp;", produced by "&amp;B7706&amp;" using "&amp;B7707&amp;" from "&amp;B7708</f>
        <v>hydrogen supply, transported by train, produced by Electrolysis, SOEC using water and electricity from Solar PV (DE)</v>
      </c>
      <c r="B7729" s="53">
        <f>(B7727/B7711)/B7710*B7722</f>
        <v>2.3223301331624095E-3</v>
      </c>
      <c r="C7729" t="s">
        <v>56</v>
      </c>
      <c r="E7729" t="s">
        <v>64</v>
      </c>
      <c r="F7729" t="s">
        <v>86</v>
      </c>
      <c r="G7729" t="str">
        <f>"hydrogen, gaseous, from "&amp;B7702</f>
        <v>hydrogen, gaseous, from train</v>
      </c>
      <c r="H7729" t="s">
        <v>76</v>
      </c>
      <c r="I7729" t="s">
        <v>1054</v>
      </c>
      <c r="J7729" t="s">
        <v>299</v>
      </c>
      <c r="K7729" t="str">
        <f>B7688</f>
        <v>heat, residential, by conversion of hydrogen using fuel cell, PEM, allocated by exergy, transported by train, produced by Electrolysis, SOEC using water and electricity from Solar PV (DE)</v>
      </c>
      <c r="L7729">
        <f t="shared" si="313"/>
        <v>2</v>
      </c>
      <c r="M7729">
        <f t="shared" si="314"/>
        <v>-6.0651842296013152</v>
      </c>
      <c r="N7729">
        <v>1</v>
      </c>
      <c r="O7729" s="15">
        <v>1.2</v>
      </c>
      <c r="P7729">
        <v>1</v>
      </c>
      <c r="Q7729">
        <v>1.01</v>
      </c>
      <c r="R7729">
        <v>1.2</v>
      </c>
      <c r="S7729">
        <v>1.2</v>
      </c>
      <c r="T7729">
        <v>1.05</v>
      </c>
      <c r="U7729">
        <f t="shared" si="315"/>
        <v>0.15984597228197622</v>
      </c>
    </row>
    <row r="7730" spans="1:21" x14ac:dyDescent="0.2">
      <c r="A7730" t="str">
        <f>VLOOKUP(J7730,'dataset mapping'!$A$4:$E$69,2,0)</f>
        <v>market for transport, freight train</v>
      </c>
      <c r="B7730" s="45">
        <f>SUM(B7729:B7729)/1000*B7703*SUMIFS(allocation!$I$4:$I$30,allocation!$B$4:$B$30,'hydrogen - electrolysis'!B7700,allocation!$C$4:$C$30,'hydrogen - electrolysis'!B7701)</f>
        <v>3.235930348436481E-4</v>
      </c>
      <c r="C7730" t="str">
        <f>VLOOKUP(J7730,'dataset mapping'!$A$4:$E$69,5,0)</f>
        <v>ton kilometer</v>
      </c>
      <c r="E7730" t="str">
        <f>VLOOKUP(J7730,'dataset mapping'!$A$4:$E$69,4,0)</f>
        <v>CH</v>
      </c>
      <c r="F7730" t="s">
        <v>86</v>
      </c>
      <c r="G7730" t="str">
        <f>VLOOKUP(J7730,'dataset mapping'!$A$4:$E$69,3,0)</f>
        <v>transport, freight train</v>
      </c>
      <c r="H7730" t="s">
        <v>88</v>
      </c>
      <c r="I7730" t="s">
        <v>1052</v>
      </c>
      <c r="J7730" t="s">
        <v>295</v>
      </c>
      <c r="K7730" t="str">
        <f>B7688</f>
        <v>heat, residential, by conversion of hydrogen using fuel cell, PEM, allocated by exergy, transported by train, produced by Electrolysis, SOEC using water and electricity from Solar PV (DE)</v>
      </c>
      <c r="L7730">
        <f t="shared" si="313"/>
        <v>2</v>
      </c>
      <c r="M7730">
        <f t="shared" si="314"/>
        <v>-8.0360238969805309</v>
      </c>
      <c r="N7730">
        <v>1</v>
      </c>
      <c r="O7730" s="15">
        <v>1.2</v>
      </c>
      <c r="P7730">
        <v>1</v>
      </c>
      <c r="Q7730">
        <v>1.01</v>
      </c>
      <c r="R7730">
        <v>1.2</v>
      </c>
      <c r="S7730">
        <v>1.2</v>
      </c>
      <c r="T7730">
        <v>2</v>
      </c>
      <c r="U7730">
        <f t="shared" si="315"/>
        <v>0.38087907307228186</v>
      </c>
    </row>
    <row r="7731" spans="1:21" x14ac:dyDescent="0.2">
      <c r="A7731" t="str">
        <f>VLOOKUP(J7731,'dataset mapping'!$A$4:$E$69,2,0)</f>
        <v>high pressure hydrogen storage tank</v>
      </c>
      <c r="B7731" s="52">
        <f>((B7723/10)/(B7721*B7717*20*3.6))*IF(B7722&lt;&gt;0,B7722,1)</f>
        <v>2.5464146196956242E-7</v>
      </c>
      <c r="C7731" t="str">
        <f>VLOOKUP(J7731,'dataset mapping'!$A$4:$E$69,5,0)</f>
        <v>kilogram</v>
      </c>
      <c r="E7731" t="str">
        <f>VLOOKUP(J7731,'dataset mapping'!$A$4:$E$69,4,0)</f>
        <v>GLO</v>
      </c>
      <c r="F7731" t="s">
        <v>86</v>
      </c>
      <c r="G7731" t="str">
        <f>VLOOKUP(J7731,'dataset mapping'!$A$4:$E$69,3,0)</f>
        <v>high pressure hydrogen storage tank</v>
      </c>
      <c r="H7731" t="s">
        <v>88</v>
      </c>
      <c r="I7731" t="s">
        <v>280</v>
      </c>
      <c r="J7731" t="s">
        <v>229</v>
      </c>
      <c r="K7731" t="str">
        <f>B7688</f>
        <v>heat, residential, by conversion of hydrogen using fuel cell, PEM, allocated by exergy, transported by train, produced by Electrolysis, SOEC using water and electricity from Solar PV (DE)</v>
      </c>
      <c r="L7731">
        <f t="shared" si="313"/>
        <v>2</v>
      </c>
      <c r="M7731">
        <f t="shared" si="314"/>
        <v>-15.183409312669692</v>
      </c>
      <c r="N7731">
        <v>1</v>
      </c>
      <c r="O7731" s="15">
        <v>1.2</v>
      </c>
      <c r="P7731">
        <v>1</v>
      </c>
      <c r="Q7731">
        <v>1.01</v>
      </c>
      <c r="R7731">
        <v>1.2</v>
      </c>
      <c r="S7731">
        <v>1.2</v>
      </c>
      <c r="T7731">
        <v>3</v>
      </c>
      <c r="U7731">
        <f t="shared" si="315"/>
        <v>0.57157051623399524</v>
      </c>
    </row>
    <row r="7732" spans="1:21" x14ac:dyDescent="0.2">
      <c r="A7732" t="s">
        <v>134</v>
      </c>
      <c r="B7732" s="45">
        <f>B7729*9</f>
        <v>2.0900971198461685E-2</v>
      </c>
      <c r="C7732" t="s">
        <v>56</v>
      </c>
      <c r="D7732" t="s">
        <v>100</v>
      </c>
      <c r="F7732" t="s">
        <v>99</v>
      </c>
      <c r="H7732" t="s">
        <v>131</v>
      </c>
      <c r="I7732" t="s">
        <v>1057</v>
      </c>
      <c r="K7732" t="str">
        <f>B7688</f>
        <v>heat, residential, by conversion of hydrogen using fuel cell, PEM, allocated by exergy, transported by train, produced by Electrolysis, SOEC using water and electricity from Solar PV (DE)</v>
      </c>
      <c r="L7732">
        <f t="shared" si="313"/>
        <v>2</v>
      </c>
      <c r="M7732">
        <f t="shared" si="314"/>
        <v>-3.8679596522650961</v>
      </c>
      <c r="N7732">
        <v>1</v>
      </c>
      <c r="O7732" s="15">
        <v>1.2</v>
      </c>
      <c r="P7732">
        <v>1</v>
      </c>
      <c r="Q7732">
        <v>1.01</v>
      </c>
      <c r="R7732">
        <v>1.2</v>
      </c>
      <c r="S7732">
        <v>1.2</v>
      </c>
      <c r="T7732">
        <v>1.05</v>
      </c>
      <c r="U7732">
        <f t="shared" si="315"/>
        <v>0.15984597228197622</v>
      </c>
    </row>
    <row r="7734" spans="1:21" x14ac:dyDescent="0.2">
      <c r="A7734" s="2" t="s">
        <v>50</v>
      </c>
      <c r="B7734" s="44" t="str">
        <f>IF(B7740="megajoule","heat","electricity")&amp;", residential, by "&amp;B7745&amp;" of "&amp;B7744&amp;" using "&amp;B7746&amp;IF(B7747&lt;&gt;0,", allocated by "&amp;B7747,"")&amp;", transported by "&amp;B7748&amp;", produced by "&amp;B7752&amp;" using "&amp;B7753&amp;" from "&amp;B7754</f>
        <v>heat, residential, by conversion of hydrogen using fuel cell, SOFC, allocated by exergy, transported by train, produced by Electrolysis, SOEC using water and electricity from Solar PV (DE)</v>
      </c>
    </row>
    <row r="7735" spans="1:21" x14ac:dyDescent="0.2">
      <c r="A7735" t="s">
        <v>51</v>
      </c>
      <c r="B7735" s="45" t="str">
        <f>"This dataset represents the supply of 1 "&amp;IF(B7740="megajoule","megajoule of heat","kilowatt hour of electricity")&amp;" in a residence, by "&amp;B7744&amp;" "&amp;B7745&amp;" in a "&amp;B7746&amp;". "&amp;" The hydrogen is transported by "&amp;B7748&amp;" over "&amp;B7749&amp;" km from regional storage. "&amp;" The "&amp;B7744&amp;" is produced by  "&amp;B7752&amp;", with "&amp;B7753&amp;" from "&amp;B7754&amp;" as feedstock. "&amp;A7756&amp;": "&amp;(B7756*100)&amp;"%. "&amp;A7757&amp;": "&amp;B7757&amp;". "&amp;A7758&amp;": "&amp;B7758&amp;". "&amp;A7759&amp;": "&amp;(B7759*100)&amp;"%. "&amp;A7760&amp;": "&amp;(B7760*100)&amp;"%. "&amp;A7761&amp;": "&amp;(B7761*100)&amp;"%. "&amp;A7762&amp;": "&amp;B7762&amp;". "&amp;A7763&amp;": "&amp;B7763&amp;". "&amp;A7764&amp;": "&amp;(B7764*100)&amp;"%. "&amp;A7765&amp;": "&amp;B7765&amp;". "&amp;A7766&amp;": "&amp;B7766&amp;". "&amp;A7767&amp;": "&amp;B7767&amp;". "&amp;A7768&amp;": "&amp;B7768&amp;".  For more information, refer to: "&amp;B7736</f>
        <v>This dataset represents the supply of 1 megajoule of heat in a residence, by hydrogen conversion in a fuel cell, SOFC.  The hydrogen is transported by train over 1000 km from regional storage.  The hydrogen is produced by  Electrolysis, SOEC, with water and electricity from Solar PV (DE)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7736" spans="1:21" x14ac:dyDescent="0.2">
      <c r="A7736" t="s">
        <v>63</v>
      </c>
      <c r="B7736" s="45" t="s">
        <v>1223</v>
      </c>
    </row>
    <row r="7737" spans="1:21" x14ac:dyDescent="0.2">
      <c r="A7737" t="s">
        <v>52</v>
      </c>
      <c r="B7737" s="45" t="s">
        <v>64</v>
      </c>
    </row>
    <row r="7738" spans="1:21" x14ac:dyDescent="0.2">
      <c r="A7738" t="s">
        <v>48</v>
      </c>
      <c r="B7738" s="45">
        <v>96</v>
      </c>
    </row>
    <row r="7739" spans="1:21" x14ac:dyDescent="0.2">
      <c r="A7739" t="s">
        <v>54</v>
      </c>
      <c r="B7739" s="45" t="str">
        <f>INDEX(overview!$B$4:$R$338,MATCH('hydrogen - electrolysis'!B7738,overview!$A$4:$A$338,0),MATCH('hydrogen - electrolysis'!A7739,overview!$B$3:$R$3,0))</f>
        <v>heat, from residential heating system</v>
      </c>
    </row>
    <row r="7740" spans="1:21" x14ac:dyDescent="0.2">
      <c r="A7740" t="s">
        <v>55</v>
      </c>
      <c r="B7740" s="45" t="str">
        <f>INDEX(overview!$B$4:$R$338,MATCH('hydrogen - electrolysis'!B7738,overview!$A$4:$A$338,0),MATCH('hydrogen - electrolysis'!A7740,overview!$B$3:$R$3,0))</f>
        <v>megajoule</v>
      </c>
    </row>
    <row r="7741" spans="1:21" x14ac:dyDescent="0.2">
      <c r="A7741" t="s">
        <v>0</v>
      </c>
      <c r="B7741" s="45" t="str">
        <f>INDEX(overview!$B$4:$R$338,MATCH('hydrogen - electrolysis'!B7738,overview!$A$4:$A$338,0),MATCH('hydrogen - electrolysis'!A7741,overview!$B$3:$R$3,0))</f>
        <v>Switzerland</v>
      </c>
    </row>
    <row r="7742" spans="1:21" x14ac:dyDescent="0.2">
      <c r="A7742" t="s">
        <v>1</v>
      </c>
      <c r="B7742" s="45">
        <f>INDEX(overview!$B$4:$R$338,MATCH('hydrogen - electrolysis'!B7738,overview!$A$4:$A$338,0),MATCH('hydrogen - electrolysis'!A7742,overview!$B$3:$R$3,0))</f>
        <v>2020</v>
      </c>
    </row>
    <row r="7743" spans="1:21" x14ac:dyDescent="0.2">
      <c r="A7743" t="s">
        <v>2</v>
      </c>
      <c r="B7743" s="45" t="str">
        <f>INDEX(overview!$B$4:$R$338,MATCH('hydrogen - electrolysis'!B7738,overview!$A$4:$A$338,0),MATCH('hydrogen - electrolysis'!A7743,overview!$B$3:$R$3,0))</f>
        <v>1 MJ heat</v>
      </c>
    </row>
    <row r="7744" spans="1:21" x14ac:dyDescent="0.2">
      <c r="A7744" t="s">
        <v>5</v>
      </c>
      <c r="B7744" s="45" t="str">
        <f>INDEX(overview!$B$4:$R$338,MATCH('hydrogen - electrolysis'!B7738,overview!$A$4:$A$338,0),MATCH('hydrogen - electrolysis'!A7744,overview!$B$3:$R$3,0))</f>
        <v>hydrogen</v>
      </c>
    </row>
    <row r="7745" spans="1:2" x14ac:dyDescent="0.2">
      <c r="A7745" t="s">
        <v>3</v>
      </c>
      <c r="B7745" s="45" t="str">
        <f>INDEX(overview!$B$4:$R$338,MATCH('hydrogen - electrolysis'!B7738,overview!$A$4:$A$338,0),MATCH('hydrogen - electrolysis'!A7745,overview!$B$3:$R$3,0))</f>
        <v>conversion</v>
      </c>
    </row>
    <row r="7746" spans="1:2" x14ac:dyDescent="0.2">
      <c r="A7746" t="s">
        <v>6</v>
      </c>
      <c r="B7746" s="45" t="str">
        <f>INDEX(overview!$B$4:$R$338,MATCH('hydrogen - electrolysis'!B7738,overview!$A$4:$A$338,0),MATCH('hydrogen - electrolysis'!A7746,overview!$B$3:$R$3,0))</f>
        <v>fuel cell, SOFC</v>
      </c>
    </row>
    <row r="7747" spans="1:2" x14ac:dyDescent="0.2">
      <c r="A7747" t="s">
        <v>39</v>
      </c>
      <c r="B7747" s="45" t="str">
        <f>INDEX(overview!$B$4:$R$338,MATCH('hydrogen - electrolysis'!B7738,overview!$A$4:$A$338,0),MATCH('hydrogen - electrolysis'!A7747,overview!$B$3:$R$3,0))</f>
        <v>exergy</v>
      </c>
    </row>
    <row r="7748" spans="1:2" x14ac:dyDescent="0.2">
      <c r="A7748" t="s">
        <v>4</v>
      </c>
      <c r="B7748" s="45" t="str">
        <f>INDEX(overview!$B$4:$R$338,MATCH('hydrogen - electrolysis'!B7738,overview!$A$4:$A$338,0),MATCH('hydrogen - electrolysis'!A7748,overview!$B$3:$R$3,0))</f>
        <v>train</v>
      </c>
    </row>
    <row r="7749" spans="1:2" x14ac:dyDescent="0.2">
      <c r="A7749" t="s">
        <v>38</v>
      </c>
      <c r="B7749" s="45">
        <f>INDEX(overview!$B$4:$R$338,MATCH('hydrogen - electrolysis'!B7738,overview!$A$4:$A$338,0),MATCH('hydrogen - electrolysis'!A7749,overview!$B$3:$R$3,0))</f>
        <v>1000</v>
      </c>
    </row>
    <row r="7750" spans="1:2" x14ac:dyDescent="0.2">
      <c r="A7750" t="s">
        <v>12</v>
      </c>
      <c r="B7750" s="45" t="str">
        <f>INDEX(overview!$B$4:$R$338,MATCH('hydrogen - electrolysis'!B7738,overview!$A$4:$A$338,0),MATCH('hydrogen - electrolysis'!A7750,overview!$B$3:$R$3,0))</f>
        <v>Pressure vessel for stationary storage</v>
      </c>
    </row>
    <row r="7751" spans="1:2" x14ac:dyDescent="0.2">
      <c r="A7751" t="s">
        <v>34</v>
      </c>
      <c r="B7751" s="45">
        <f>INDEX(overview!$B$4:$R$338,MATCH('hydrogen - electrolysis'!B7738,overview!$A$4:$A$338,0),MATCH('hydrogen - electrolysis'!A7751,overview!$B$3:$R$3,0))</f>
        <v>0</v>
      </c>
    </row>
    <row r="7752" spans="1:2" x14ac:dyDescent="0.2">
      <c r="A7752" t="s">
        <v>15</v>
      </c>
      <c r="B7752" s="45" t="str">
        <f>INDEX(overview!$B$4:$R$338,MATCH('hydrogen - electrolysis'!B7738,overview!$A$4:$A$338,0),MATCH('hydrogen - electrolysis'!A7752,overview!$B$3:$R$3,0))</f>
        <v>Electrolysis, SOEC</v>
      </c>
    </row>
    <row r="7753" spans="1:2" x14ac:dyDescent="0.2">
      <c r="A7753" t="s">
        <v>14</v>
      </c>
      <c r="B7753" s="45" t="str">
        <f>INDEX(overview!$B$4:$R$338,MATCH('hydrogen - electrolysis'!B7738,overview!$A$4:$A$338,0),MATCH('hydrogen - electrolysis'!A7753,overview!$B$3:$R$3,0))</f>
        <v>water and electricity</v>
      </c>
    </row>
    <row r="7754" spans="1:2" x14ac:dyDescent="0.2">
      <c r="A7754" t="s">
        <v>26</v>
      </c>
      <c r="B7754" s="45" t="str">
        <f>INDEX(overview!$B$4:$R$338,MATCH('hydrogen - electrolysis'!B7738,overview!$A$4:$A$338,0),MATCH('hydrogen - electrolysis'!A7754,overview!$B$3:$R$3,0))</f>
        <v>Solar PV (DE)</v>
      </c>
    </row>
    <row r="7755" spans="1:2" x14ac:dyDescent="0.2">
      <c r="A7755" t="s">
        <v>29</v>
      </c>
      <c r="B7755" s="45">
        <f>INDEX(overview!$B$4:$R$338,MATCH('hydrogen - electrolysis'!B7738,overview!$A$4:$A$338,0),MATCH('hydrogen - electrolysis'!A7755,overview!$B$3:$R$3,0))</f>
        <v>0</v>
      </c>
    </row>
    <row r="7756" spans="1:2" x14ac:dyDescent="0.2">
      <c r="A7756" t="str">
        <f>IF(B7740="megajoule","Heat","Electricity")&amp;" conversion efficiency [% LHV input]"</f>
        <v>Heat conversion efficiency [% LHV input]</v>
      </c>
      <c r="B7756" s="46">
        <f>INDEX(parameters!$D$4:$N$20,MATCH('hydrogen - electrolysis'!B7744&amp;'hydrogen - electrolysis'!B7746,parameters!$A$4:$A$20,0),MATCH('hydrogen - electrolysis'!A7756,parameters!$D$3:$N$3,0))</f>
        <v>0.53</v>
      </c>
    </row>
    <row r="7757" spans="1:2" x14ac:dyDescent="0.2">
      <c r="A7757" t="str">
        <f>IF(B7740="megajoule","LHV [MJ/kg]","LHV [kWh/kg]")</f>
        <v>LHV [MJ/kg]</v>
      </c>
      <c r="B7757" s="47">
        <f>INDEX(parameters!$D$4:$N$20,MATCH('hydrogen - electrolysis'!B7744&amp;'hydrogen - electrolysis'!B7746,parameters!$A$4:$A$20,0),MATCH('hydrogen - electrolysis'!A7757,parameters!$D$3:$N$3,0))</f>
        <v>120</v>
      </c>
    </row>
    <row r="7758" spans="1:2" x14ac:dyDescent="0.2">
      <c r="A7758" t="s">
        <v>41</v>
      </c>
      <c r="B7758" s="48">
        <f>INDEX(parameters!$D$4:$N$20,MATCH('hydrogen - electrolysis'!B7744&amp;'hydrogen - electrolysis'!B7746,parameters!$A$4:$A$20,0),MATCH('hydrogen - electrolysis'!A7758,parameters!$D$3:$N$3,0))</f>
        <v>2.6666666666666665E-2</v>
      </c>
    </row>
    <row r="7759" spans="1:2" x14ac:dyDescent="0.2">
      <c r="A7759" t="s">
        <v>45</v>
      </c>
      <c r="B7759" s="46">
        <f>INDEX(parameters!$D$4:$N$20,MATCH('hydrogen - electrolysis'!B7744&amp;'hydrogen - electrolysis'!B7746,parameters!$A$4:$A$20,0),MATCH('hydrogen - electrolysis'!A7759,parameters!$D$3:$N$3,0))</f>
        <v>0</v>
      </c>
    </row>
    <row r="7760" spans="1:2" x14ac:dyDescent="0.2">
      <c r="A7760" t="s">
        <v>46</v>
      </c>
      <c r="B7760" s="46">
        <f>INDEX(parameters!$D$4:$N$20,MATCH('hydrogen - electrolysis'!B7744&amp;'hydrogen - electrolysis'!B7746,parameters!$A$4:$A$20,0),MATCH('hydrogen - electrolysis'!A7760,parameters!$D$3:$N$3,0))</f>
        <v>1.4999999999999999E-2</v>
      </c>
    </row>
    <row r="7761" spans="1:22" x14ac:dyDescent="0.2">
      <c r="A7761" t="s">
        <v>43</v>
      </c>
      <c r="B7761" s="46">
        <f>INDEX(parameters!$D$4:$N$20,MATCH('hydrogen - electrolysis'!B7744&amp;'hydrogen - electrolysis'!B7746,parameters!$A$4:$A$20,0),MATCH('hydrogen - electrolysis'!A7761,parameters!$D$3:$N$3,0))</f>
        <v>0</v>
      </c>
    </row>
    <row r="7762" spans="1:22" x14ac:dyDescent="0.2">
      <c r="A7762" t="s">
        <v>44</v>
      </c>
      <c r="B7762" s="46">
        <f>INDEX(parameters!$D$4:$N$20,MATCH('hydrogen - electrolysis'!B7744&amp;'hydrogen - electrolysis'!B7746,parameters!$A$4:$A$20,0),MATCH('hydrogen - electrolysis'!A7762,parameters!$D$3:$N$3,0))</f>
        <v>0</v>
      </c>
    </row>
    <row r="7763" spans="1:22" x14ac:dyDescent="0.2">
      <c r="A7763" t="s">
        <v>634</v>
      </c>
      <c r="B7763" s="51">
        <f>INDEX(parameters!$D$4:$Y$20,MATCH('hydrogen - electrolysis'!B7744&amp;'hydrogen - electrolysis'!B7746,parameters!$A$4:$A$20,0),MATCH('hydrogen - electrolysis'!A7763,parameters!$D$3:$Y$3,0))</f>
        <v>225</v>
      </c>
      <c r="D7763" s="8"/>
    </row>
    <row r="7764" spans="1:22" x14ac:dyDescent="0.2">
      <c r="A7764" t="s">
        <v>82</v>
      </c>
      <c r="B7764" s="46">
        <f>IF(B7755&lt;&gt;0,VLOOKUP(B7755,parameters!A4920:B4922,2,0),0)</f>
        <v>0</v>
      </c>
    </row>
    <row r="7765" spans="1:22" x14ac:dyDescent="0.2">
      <c r="A7765" t="s">
        <v>548</v>
      </c>
      <c r="B7765" s="50">
        <f>INDEX(parameters!$D$4:$P$20,MATCH(B7744&amp;B7746,parameters!$A$4:$A$20,0),MATCH(A7765,parameters!$D$3:$P$3,0))</f>
        <v>100</v>
      </c>
    </row>
    <row r="7766" spans="1:22" x14ac:dyDescent="0.2">
      <c r="A7766" t="s">
        <v>547</v>
      </c>
      <c r="B7766" s="51">
        <f>INDEX(parameters!$D$4:$P$20,MATCH(B7744&amp;B7746,parameters!$A$4:$A$20,0),MATCH(A7766,parameters!$D$3:$P$3,0))</f>
        <v>6</v>
      </c>
    </row>
    <row r="7767" spans="1:22" x14ac:dyDescent="0.2">
      <c r="A7767" t="s">
        <v>630</v>
      </c>
      <c r="B7767" s="51">
        <f>INDEX(parameters!$D$4:$T$20,MATCH(B7744&amp;B7746,parameters!$A$4:$A$20,0),MATCH(A7767,parameters!$D$3:$T$3,0))</f>
        <v>4100</v>
      </c>
    </row>
    <row r="7768" spans="1:22" x14ac:dyDescent="0.2">
      <c r="A7768" t="s">
        <v>1005</v>
      </c>
      <c r="B7768" s="50">
        <f>IF(B7740="megajoule",SUMIFS(allocation!$I$4:$I$30,allocation!$B$4:$B$30,B7746,allocation!$C$4:$C$30,B7747),SUMIFS(allocation!$J$4:$J$30,allocation!$B$4:$B$30,B7746,allocation!$C$4:$C$30,B7747))</f>
        <v>0.13587506510399097</v>
      </c>
    </row>
    <row r="7769" spans="1:22" x14ac:dyDescent="0.2">
      <c r="A7769" t="s">
        <v>1050</v>
      </c>
      <c r="B7769" s="51">
        <f>INDEX(parameters!$D$4:$AB$20,MATCH(B7744&amp;B7746,parameters!$A$4:$A$20,0),MATCH(A7769,parameters!$D$3:$AB$3,0))</f>
        <v>1153.1249999999998</v>
      </c>
    </row>
    <row r="7771" spans="1:22" x14ac:dyDescent="0.2">
      <c r="A7771" s="3" t="s">
        <v>57</v>
      </c>
    </row>
    <row r="7772" spans="1:22" x14ac:dyDescent="0.2">
      <c r="A7772" s="2" t="s">
        <v>58</v>
      </c>
      <c r="B7772" s="44" t="s">
        <v>59</v>
      </c>
      <c r="C7772" s="2" t="s">
        <v>55</v>
      </c>
      <c r="D7772" s="2" t="s">
        <v>60</v>
      </c>
      <c r="E7772" s="2" t="s">
        <v>52</v>
      </c>
      <c r="F7772" s="2" t="s">
        <v>61</v>
      </c>
      <c r="G7772" s="2" t="s">
        <v>54</v>
      </c>
      <c r="H7772" s="2" t="s">
        <v>87</v>
      </c>
      <c r="I7772" s="2" t="s">
        <v>51</v>
      </c>
      <c r="J7772" s="2" t="s">
        <v>138</v>
      </c>
      <c r="K7772" s="2" t="s">
        <v>136</v>
      </c>
      <c r="L7772" s="2" t="s">
        <v>221</v>
      </c>
      <c r="M7772" s="2" t="s">
        <v>379</v>
      </c>
      <c r="N7772" s="2" t="s">
        <v>1059</v>
      </c>
      <c r="O7772" s="2" t="s">
        <v>1060</v>
      </c>
      <c r="P7772" s="2" t="s">
        <v>1061</v>
      </c>
      <c r="Q7772" s="2" t="s">
        <v>1062</v>
      </c>
      <c r="R7772" s="2" t="s">
        <v>1063</v>
      </c>
      <c r="S7772" s="2" t="s">
        <v>1064</v>
      </c>
      <c r="T7772" s="2" t="s">
        <v>1065</v>
      </c>
      <c r="U7772" s="2" t="s">
        <v>380</v>
      </c>
      <c r="V7772" s="2" t="s">
        <v>1128</v>
      </c>
    </row>
    <row r="7773" spans="1:22" x14ac:dyDescent="0.2">
      <c r="A7773" t="str">
        <f>B7734</f>
        <v>heat, residential, by conversion of hydrogen using fuel cell, SOFC, allocated by exergy, transported by train, produced by Electrolysis, SOEC using water and electricity from Solar PV (DE)</v>
      </c>
      <c r="B7773" s="45">
        <v>1</v>
      </c>
      <c r="C7773" t="str">
        <f>B7740</f>
        <v>megajoule</v>
      </c>
      <c r="E7773" t="str">
        <f>B7737</f>
        <v>CH</v>
      </c>
      <c r="F7773" t="s">
        <v>62</v>
      </c>
      <c r="G7773" t="str">
        <f>B7739</f>
        <v>heat, from residential heating system</v>
      </c>
      <c r="K7773" t="str">
        <f>B7734</f>
        <v>heat, residential, by conversion of hydrogen using fuel cell, SOFC, allocated by exergy, transported by train, produced by Electrolysis, SOEC using water and electricity from Solar PV (DE)</v>
      </c>
    </row>
    <row r="7774" spans="1:22" x14ac:dyDescent="0.2">
      <c r="A7774" t="str">
        <f>VLOOKUP(J7774,'dataset mapping'!$A$4:$E$69,2,0)</f>
        <v>fuel cell production, stack solid oxide, 125kW electrical, future</v>
      </c>
      <c r="B7774" s="52">
        <f>(1/(B7763*B7767*B7766*3.6))*B7768</f>
        <v>6.8189834941278219E-9</v>
      </c>
      <c r="C7774" t="str">
        <f>VLOOKUP(J7774,'dataset mapping'!$A$4:$E$69,5,0)</f>
        <v>unit</v>
      </c>
      <c r="E7774" t="str">
        <f>VLOOKUP(J7774,'dataset mapping'!$A$4:$E$69,4,0)</f>
        <v>CH</v>
      </c>
      <c r="F7774" t="s">
        <v>86</v>
      </c>
      <c r="G7774" t="str">
        <f>VLOOKUP(J7774,'dataset mapping'!$A$4:$E$69,3,0)</f>
        <v>fuel cell, stack solid oxide, 125kW electrical, future</v>
      </c>
      <c r="H7774" t="s">
        <v>88</v>
      </c>
      <c r="I7774" t="s">
        <v>277</v>
      </c>
      <c r="J7774" t="s">
        <v>274</v>
      </c>
      <c r="K7774" t="str">
        <f>B7734</f>
        <v>heat, residential, by conversion of hydrogen using fuel cell, SOFC, allocated by exergy, transported by train, produced by Electrolysis, SOEC using water and electricity from Solar PV (DE)</v>
      </c>
      <c r="L7774">
        <f t="shared" ref="L7774:L7780" si="316">IF(OR(B7774&lt;0,B7774=0),1,2)</f>
        <v>2</v>
      </c>
      <c r="M7774">
        <f t="shared" ref="M7774:M7780" si="317">IF(L7774=2,LN(B7774),"")</f>
        <v>-18.80355542398161</v>
      </c>
      <c r="N7774">
        <v>1</v>
      </c>
      <c r="O7774" s="15">
        <v>1.2</v>
      </c>
      <c r="P7774">
        <v>1</v>
      </c>
      <c r="Q7774">
        <v>1.01</v>
      </c>
      <c r="R7774">
        <v>1.2</v>
      </c>
      <c r="S7774">
        <v>1.2</v>
      </c>
      <c r="T7774">
        <v>3</v>
      </c>
      <c r="U7774">
        <f t="shared" ref="U7774:U7780" si="318">LN(SQRT(EXP(
SQRT(
+POWER(LN(N7774),2)
+POWER(LN(O7774),2)
+POWER(LN(P7774),2)
+POWER(LN(Q7774),2)
+POWER(LN(R7774),2)
+POWER(LN(S7774),2)
+POWER(LN(T7774),2)
)
)))</f>
        <v>0.57157051623399524</v>
      </c>
    </row>
    <row r="7775" spans="1:22" x14ac:dyDescent="0.2">
      <c r="A7775" t="s">
        <v>283</v>
      </c>
      <c r="B7775" s="52">
        <f>(1/(B7763*B7767*B7766*3.6))*B7768</f>
        <v>6.8189834941278219E-9</v>
      </c>
      <c r="C7775" t="s">
        <v>55</v>
      </c>
      <c r="E7775" t="s">
        <v>64</v>
      </c>
      <c r="F7775" t="s">
        <v>86</v>
      </c>
      <c r="G7775" t="s">
        <v>284</v>
      </c>
      <c r="H7775" t="s">
        <v>88</v>
      </c>
      <c r="I7775" t="s">
        <v>277</v>
      </c>
      <c r="K7775" t="str">
        <f>B7734</f>
        <v>heat, residential, by conversion of hydrogen using fuel cell, SOFC, allocated by exergy, transported by train, produced by Electrolysis, SOEC using water and electricity from Solar PV (DE)</v>
      </c>
      <c r="L7775">
        <f t="shared" si="316"/>
        <v>2</v>
      </c>
      <c r="M7775">
        <f t="shared" si="317"/>
        <v>-18.80355542398161</v>
      </c>
      <c r="N7775">
        <v>1</v>
      </c>
      <c r="O7775" s="15">
        <v>1.2</v>
      </c>
      <c r="P7775">
        <v>1</v>
      </c>
      <c r="Q7775">
        <v>1.01</v>
      </c>
      <c r="R7775">
        <v>1.2</v>
      </c>
      <c r="S7775">
        <v>1.2</v>
      </c>
      <c r="T7775">
        <v>3</v>
      </c>
      <c r="U7775">
        <f t="shared" si="318"/>
        <v>0.57157051623399524</v>
      </c>
    </row>
    <row r="7776" spans="1:22" x14ac:dyDescent="0.2">
      <c r="A7776" t="s">
        <v>288</v>
      </c>
      <c r="B7776" s="52">
        <f>0.000024*B7768</f>
        <v>3.2610015624957834E-6</v>
      </c>
      <c r="C7776" t="s">
        <v>56</v>
      </c>
      <c r="E7776" t="s">
        <v>64</v>
      </c>
      <c r="F7776" t="s">
        <v>86</v>
      </c>
      <c r="G7776" t="s">
        <v>287</v>
      </c>
      <c r="H7776" t="s">
        <v>88</v>
      </c>
      <c r="K7776" t="str">
        <f>B7734</f>
        <v>heat, residential, by conversion of hydrogen using fuel cell, SOFC, allocated by exergy, transported by train, produced by Electrolysis, SOEC using water and electricity from Solar PV (DE)</v>
      </c>
      <c r="L7776">
        <f t="shared" si="316"/>
        <v>2</v>
      </c>
      <c r="M7776">
        <f t="shared" si="317"/>
        <v>-12.633476182011</v>
      </c>
      <c r="N7776">
        <v>1</v>
      </c>
      <c r="O7776" s="15">
        <v>1.2</v>
      </c>
      <c r="P7776">
        <v>1</v>
      </c>
      <c r="Q7776">
        <v>1.01</v>
      </c>
      <c r="R7776">
        <v>1.2</v>
      </c>
      <c r="S7776">
        <v>1.2</v>
      </c>
      <c r="T7776">
        <v>1.05</v>
      </c>
      <c r="U7776">
        <f t="shared" si="318"/>
        <v>0.15984597228197622</v>
      </c>
    </row>
    <row r="7777" spans="1:21" x14ac:dyDescent="0.2">
      <c r="A7777" s="45" t="str">
        <f>"hydrogen supply, transported by "&amp;B7748&amp;", produced by "&amp;B7752&amp;" using "&amp;B7753&amp;" from "&amp;B7754</f>
        <v>hydrogen supply, transported by train, produced by Electrolysis, SOEC using water and electricity from Solar PV (DE)</v>
      </c>
      <c r="B7777" s="53">
        <f>(B7773/B7757)/B7756*B7768</f>
        <v>2.1364003947168392E-3</v>
      </c>
      <c r="C7777" t="s">
        <v>56</v>
      </c>
      <c r="E7777" t="s">
        <v>64</v>
      </c>
      <c r="F7777" t="s">
        <v>86</v>
      </c>
      <c r="G7777" t="str">
        <f>"hydrogen, gaseous, from "&amp;B7748</f>
        <v>hydrogen, gaseous, from train</v>
      </c>
      <c r="H7777" t="s">
        <v>76</v>
      </c>
      <c r="I7777" t="s">
        <v>1054</v>
      </c>
      <c r="J7777" t="s">
        <v>299</v>
      </c>
      <c r="K7777" t="str">
        <f>B7734</f>
        <v>heat, residential, by conversion of hydrogen using fuel cell, SOFC, allocated by exergy, transported by train, produced by Electrolysis, SOEC using water and electricity from Solar PV (DE)</v>
      </c>
      <c r="L7777">
        <f t="shared" si="316"/>
        <v>2</v>
      </c>
      <c r="M7777">
        <f t="shared" si="317"/>
        <v>-6.1486329247407472</v>
      </c>
      <c r="N7777">
        <v>1</v>
      </c>
      <c r="O7777" s="15">
        <v>1.2</v>
      </c>
      <c r="P7777">
        <v>1</v>
      </c>
      <c r="Q7777">
        <v>1.01</v>
      </c>
      <c r="R7777">
        <v>1.2</v>
      </c>
      <c r="S7777">
        <v>1.2</v>
      </c>
      <c r="T7777">
        <v>1.05</v>
      </c>
      <c r="U7777">
        <f t="shared" si="318"/>
        <v>0.15984597228197622</v>
      </c>
    </row>
    <row r="7778" spans="1:21" x14ac:dyDescent="0.2">
      <c r="A7778" t="str">
        <f>VLOOKUP(J7778,'dataset mapping'!$A$4:$E$69,2,0)</f>
        <v>market for transport, freight train</v>
      </c>
      <c r="B7778" s="45">
        <f>SUM(B7777:B7777)/1000*B7749</f>
        <v>2.1364003947168392E-3</v>
      </c>
      <c r="C7778" t="str">
        <f>VLOOKUP(J7778,'dataset mapping'!$A$4:$E$69,5,0)</f>
        <v>ton kilometer</v>
      </c>
      <c r="E7778" t="str">
        <f>VLOOKUP(J7778,'dataset mapping'!$A$4:$E$69,4,0)</f>
        <v>CH</v>
      </c>
      <c r="F7778" t="s">
        <v>86</v>
      </c>
      <c r="G7778" t="str">
        <f>VLOOKUP(J7778,'dataset mapping'!$A$4:$E$69,3,0)</f>
        <v>transport, freight train</v>
      </c>
      <c r="H7778" t="s">
        <v>88</v>
      </c>
      <c r="I7778" t="s">
        <v>1052</v>
      </c>
      <c r="J7778" t="s">
        <v>295</v>
      </c>
      <c r="K7778" t="str">
        <f>B7734</f>
        <v>heat, residential, by conversion of hydrogen using fuel cell, SOFC, allocated by exergy, transported by train, produced by Electrolysis, SOEC using water and electricity from Solar PV (DE)</v>
      </c>
      <c r="L7778">
        <f t="shared" si="316"/>
        <v>2</v>
      </c>
      <c r="M7778">
        <f t="shared" si="317"/>
        <v>-6.1486329247407472</v>
      </c>
      <c r="N7778">
        <v>1</v>
      </c>
      <c r="O7778" s="15">
        <v>1.2</v>
      </c>
      <c r="P7778">
        <v>1</v>
      </c>
      <c r="Q7778">
        <v>1.01</v>
      </c>
      <c r="R7778">
        <v>1.2</v>
      </c>
      <c r="S7778">
        <v>1.2</v>
      </c>
      <c r="T7778">
        <v>2</v>
      </c>
      <c r="U7778">
        <f t="shared" si="318"/>
        <v>0.38087907307228186</v>
      </c>
    </row>
    <row r="7779" spans="1:21" x14ac:dyDescent="0.2">
      <c r="A7779" t="str">
        <f>VLOOKUP(J7779,'dataset mapping'!$A$4:$E$69,2,0)</f>
        <v>high pressure hydrogen storage tank</v>
      </c>
      <c r="B7779" s="52">
        <f>((B7769/10)/(B7767*B7763*20*3.6))*IF(B7768&lt;&gt;0,B7768,1)</f>
        <v>2.3589421024998428E-7</v>
      </c>
      <c r="C7779" t="str">
        <f>VLOOKUP(J7779,'dataset mapping'!$A$4:$E$69,5,0)</f>
        <v>kilogram</v>
      </c>
      <c r="E7779" t="str">
        <f>VLOOKUP(J7779,'dataset mapping'!$A$4:$E$69,4,0)</f>
        <v>GLO</v>
      </c>
      <c r="F7779" t="s">
        <v>86</v>
      </c>
      <c r="G7779" t="str">
        <f>VLOOKUP(J7779,'dataset mapping'!$A$4:$E$69,3,0)</f>
        <v>high pressure hydrogen storage tank</v>
      </c>
      <c r="H7779" t="s">
        <v>88</v>
      </c>
      <c r="I7779" t="s">
        <v>230</v>
      </c>
      <c r="J7779" t="s">
        <v>229</v>
      </c>
      <c r="K7779" t="str">
        <f>B7734</f>
        <v>heat, residential, by conversion of hydrogen using fuel cell, SOFC, allocated by exergy, transported by train, produced by Electrolysis, SOEC using water and electricity from Solar PV (DE)</v>
      </c>
      <c r="L7779">
        <f t="shared" si="316"/>
        <v>2</v>
      </c>
      <c r="M7779">
        <f t="shared" si="317"/>
        <v>-15.259882394072699</v>
      </c>
      <c r="N7779">
        <v>1</v>
      </c>
      <c r="O7779" s="15">
        <v>1.2</v>
      </c>
      <c r="P7779">
        <v>1</v>
      </c>
      <c r="Q7779">
        <v>1.01</v>
      </c>
      <c r="R7779">
        <v>1.2</v>
      </c>
      <c r="S7779">
        <v>1.2</v>
      </c>
      <c r="T7779">
        <v>3</v>
      </c>
      <c r="U7779">
        <f t="shared" si="318"/>
        <v>0.57157051623399524</v>
      </c>
    </row>
    <row r="7780" spans="1:21" x14ac:dyDescent="0.2">
      <c r="A7780" t="s">
        <v>134</v>
      </c>
      <c r="B7780" s="45">
        <f>B7777*9</f>
        <v>1.9227603552451553E-2</v>
      </c>
      <c r="C7780" t="s">
        <v>56</v>
      </c>
      <c r="D7780" t="s">
        <v>100</v>
      </c>
      <c r="F7780" t="s">
        <v>99</v>
      </c>
      <c r="H7780" t="s">
        <v>131</v>
      </c>
      <c r="I7780" t="s">
        <v>1057</v>
      </c>
      <c r="K7780" t="str">
        <f>B7734</f>
        <v>heat, residential, by conversion of hydrogen using fuel cell, SOFC, allocated by exergy, transported by train, produced by Electrolysis, SOEC using water and electricity from Solar PV (DE)</v>
      </c>
      <c r="L7780">
        <f t="shared" si="316"/>
        <v>2</v>
      </c>
      <c r="M7780">
        <f t="shared" si="317"/>
        <v>-3.9514083474045276</v>
      </c>
      <c r="N7780">
        <v>1</v>
      </c>
      <c r="O7780" s="15">
        <v>1.2</v>
      </c>
      <c r="P7780">
        <v>1</v>
      </c>
      <c r="Q7780">
        <v>1.01</v>
      </c>
      <c r="R7780">
        <v>1.2</v>
      </c>
      <c r="S7780">
        <v>1.2</v>
      </c>
      <c r="T7780">
        <v>1.05</v>
      </c>
      <c r="U7780">
        <f t="shared" si="318"/>
        <v>0.15984597228197622</v>
      </c>
    </row>
    <row r="7782" spans="1:21" x14ac:dyDescent="0.2">
      <c r="A7782" s="2" t="s">
        <v>50</v>
      </c>
      <c r="B7782" s="44" t="str">
        <f>IF(B7788="megajoule","heat","electricity")&amp;", residential, by "&amp;B7793&amp;" of "&amp;B7792&amp;" using "&amp;B7794&amp;IF(B7795&lt;&gt;0,", allocated by "&amp;B7795,"")&amp;", transported by "&amp;B7796&amp;", produced by "&amp;B7800&amp;" using "&amp;B7801&amp;" from "&amp;B7802</f>
        <v>electricity, residential, by combustion of hydrogen using CHP, allocated by exergy, transported by train, produced by Electrolysis, SOEC using water and electricity from Solar PV (DE)</v>
      </c>
    </row>
    <row r="7783" spans="1:21" x14ac:dyDescent="0.2">
      <c r="A7783" t="s">
        <v>51</v>
      </c>
      <c r="B7783" s="45" t="str">
        <f>"This dataset represents the supply of 1 "&amp;IF(B7788="megajoule","megajoule of heat","kilowatt hour of electricity")&amp;" in a residence, by "&amp;B7792&amp;" "&amp;B7793&amp;" in a "&amp;B7794&amp;". "&amp;" The hydrogen is transported by "&amp;B7796&amp;" over "&amp;B7797&amp;" km from regional storage. "&amp;" The "&amp;B7792&amp;" is produced by  "&amp;B7800&amp;", with "&amp;B7801&amp;" from "&amp;B7802&amp;" as feedstock. "&amp;A7804&amp;": "&amp;(B7804*100)&amp;"%. "&amp;A7805&amp;": "&amp;B7805&amp;". "&amp;A7806&amp;": "&amp;B7806&amp;". "&amp;A7807&amp;": "&amp;(B7807*100)&amp;"%. "&amp;A7808&amp;": "&amp;(B7808*100)&amp;"%. "&amp;A7809&amp;": "&amp;(B7809*100)&amp;"%. "&amp;A7810&amp;": "&amp;B7810&amp;". "&amp;A7811&amp;": "&amp;B7811&amp;". "&amp;A7812&amp;": "&amp;(B7812*100)&amp;"%. "&amp;A7813&amp;": "&amp;B7813&amp;". "&amp;A7814&amp;": "&amp;B7814&amp;". "&amp;A7815&amp;": "&amp;B7815&amp;". "&amp;A7816&amp;": "&amp;B7816&amp;".  For more information, refer to: "&amp;B7784</f>
        <v>This dataset represents the supply of 1 kilowatt hour of electricity in a residence, by hydrogen combustion in a CHP.  The hydrogen is transported by train over 1000 km from regional storage.  The hydrogen is produced by  Electrolysis, SOEC, with water and electricity from Solar PV (DE)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7784" spans="1:21" x14ac:dyDescent="0.2">
      <c r="A7784" t="s">
        <v>63</v>
      </c>
      <c r="B7784" s="45" t="s">
        <v>1223</v>
      </c>
    </row>
    <row r="7785" spans="1:21" x14ac:dyDescent="0.2">
      <c r="A7785" t="s">
        <v>52</v>
      </c>
      <c r="B7785" s="45" t="s">
        <v>64</v>
      </c>
    </row>
    <row r="7786" spans="1:21" x14ac:dyDescent="0.2">
      <c r="A7786" t="s">
        <v>48</v>
      </c>
      <c r="B7786" s="45" t="s">
        <v>934</v>
      </c>
    </row>
    <row r="7787" spans="1:21" x14ac:dyDescent="0.2">
      <c r="A7787" t="s">
        <v>54</v>
      </c>
      <c r="B7787" s="45" t="str">
        <f>INDEX(overview!$B$4:$R$338,MATCH('hydrogen - electrolysis'!B7786,overview!$A$4:$A$338,0),MATCH('hydrogen - electrolysis'!A7787,overview!$B$3:$R$3,0))</f>
        <v>electricity, from residential heating system</v>
      </c>
    </row>
    <row r="7788" spans="1:21" x14ac:dyDescent="0.2">
      <c r="A7788" t="s">
        <v>55</v>
      </c>
      <c r="B7788" s="45" t="str">
        <f>INDEX(overview!$B$4:$R$338,MATCH('hydrogen - electrolysis'!B7786,overview!$A$4:$A$338,0),MATCH('hydrogen - electrolysis'!A7788,overview!$B$3:$R$3,0))</f>
        <v>kilowatt hour</v>
      </c>
    </row>
    <row r="7789" spans="1:21" x14ac:dyDescent="0.2">
      <c r="A7789" t="s">
        <v>0</v>
      </c>
      <c r="B7789" s="45" t="str">
        <f>INDEX(overview!$B$4:$R$338,MATCH('hydrogen - electrolysis'!B7786,overview!$A$4:$A$338,0),MATCH('hydrogen - electrolysis'!A7789,overview!$B$3:$R$3,0))</f>
        <v>Switzerland</v>
      </c>
    </row>
    <row r="7790" spans="1:21" x14ac:dyDescent="0.2">
      <c r="A7790" t="s">
        <v>1</v>
      </c>
      <c r="B7790" s="45">
        <f>INDEX(overview!$B$4:$R$338,MATCH('hydrogen - electrolysis'!B7786,overview!$A$4:$A$338,0),MATCH('hydrogen - electrolysis'!A7790,overview!$B$3:$R$3,0))</f>
        <v>2020</v>
      </c>
    </row>
    <row r="7791" spans="1:21" x14ac:dyDescent="0.2">
      <c r="A7791" t="s">
        <v>2</v>
      </c>
      <c r="B7791" s="45" t="str">
        <f>INDEX(overview!$B$4:$R$338,MATCH('hydrogen - electrolysis'!B7786,overview!$A$4:$A$338,0),MATCH('hydrogen - electrolysis'!A7791,overview!$B$3:$R$3,0))</f>
        <v>1 kWh electricity</v>
      </c>
    </row>
    <row r="7792" spans="1:21" x14ac:dyDescent="0.2">
      <c r="A7792" t="s">
        <v>5</v>
      </c>
      <c r="B7792" s="45" t="str">
        <f>INDEX(overview!$B$4:$R$338,MATCH('hydrogen - electrolysis'!B7786,overview!$A$4:$A$338,0),MATCH('hydrogen - electrolysis'!A7792,overview!$B$3:$R$3,0))</f>
        <v>hydrogen</v>
      </c>
    </row>
    <row r="7793" spans="1:2" x14ac:dyDescent="0.2">
      <c r="A7793" t="s">
        <v>3</v>
      </c>
      <c r="B7793" s="45" t="str">
        <f>INDEX(overview!$B$4:$R$338,MATCH('hydrogen - electrolysis'!B7786,overview!$A$4:$A$338,0),MATCH('hydrogen - electrolysis'!A7793,overview!$B$3:$R$3,0))</f>
        <v>combustion</v>
      </c>
    </row>
    <row r="7794" spans="1:2" x14ac:dyDescent="0.2">
      <c r="A7794" t="s">
        <v>6</v>
      </c>
      <c r="B7794" s="45" t="str">
        <f>INDEX(overview!$B$4:$R$338,MATCH('hydrogen - electrolysis'!B7786,overview!$A$4:$A$338,0),MATCH('hydrogen - electrolysis'!A7794,overview!$B$3:$R$3,0))</f>
        <v>CHP</v>
      </c>
    </row>
    <row r="7795" spans="1:2" x14ac:dyDescent="0.2">
      <c r="A7795" t="s">
        <v>39</v>
      </c>
      <c r="B7795" s="45" t="str">
        <f>INDEX(overview!$B$4:$R$338,MATCH('hydrogen - electrolysis'!B7786,overview!$A$4:$A$338,0),MATCH('hydrogen - electrolysis'!A7795,overview!$B$3:$R$3,0))</f>
        <v>exergy</v>
      </c>
    </row>
    <row r="7796" spans="1:2" x14ac:dyDescent="0.2">
      <c r="A7796" t="s">
        <v>4</v>
      </c>
      <c r="B7796" s="45" t="str">
        <f>INDEX(overview!$B$4:$R$338,MATCH('hydrogen - electrolysis'!B7786,overview!$A$4:$A$338,0),MATCH('hydrogen - electrolysis'!A7796,overview!$B$3:$R$3,0))</f>
        <v>train</v>
      </c>
    </row>
    <row r="7797" spans="1:2" x14ac:dyDescent="0.2">
      <c r="A7797" t="s">
        <v>38</v>
      </c>
      <c r="B7797" s="45">
        <f>INDEX(overview!$B$4:$R$338,MATCH('hydrogen - electrolysis'!B7786,overview!$A$4:$A$338,0),MATCH('hydrogen - electrolysis'!A7797,overview!$B$3:$R$3,0))</f>
        <v>1000</v>
      </c>
    </row>
    <row r="7798" spans="1:2" x14ac:dyDescent="0.2">
      <c r="A7798" t="s">
        <v>12</v>
      </c>
      <c r="B7798" s="45" t="str">
        <f>INDEX(overview!$B$4:$R$338,MATCH('hydrogen - electrolysis'!B7786,overview!$A$4:$A$338,0),MATCH('hydrogen - electrolysis'!A7798,overview!$B$3:$R$3,0))</f>
        <v>Pressure vessel for stationary storage</v>
      </c>
    </row>
    <row r="7799" spans="1:2" x14ac:dyDescent="0.2">
      <c r="A7799" t="s">
        <v>34</v>
      </c>
      <c r="B7799" s="45">
        <f>INDEX(overview!$B$4:$R$338,MATCH('hydrogen - electrolysis'!B7786,overview!$A$4:$A$338,0),MATCH('hydrogen - electrolysis'!A7799,overview!$B$3:$R$3,0))</f>
        <v>0</v>
      </c>
    </row>
    <row r="7800" spans="1:2" x14ac:dyDescent="0.2">
      <c r="A7800" t="s">
        <v>15</v>
      </c>
      <c r="B7800" s="45" t="str">
        <f>INDEX(overview!$B$4:$R$338,MATCH('hydrogen - electrolysis'!B7786,overview!$A$4:$A$338,0),MATCH('hydrogen - electrolysis'!A7800,overview!$B$3:$R$3,0))</f>
        <v>Electrolysis, SOEC</v>
      </c>
    </row>
    <row r="7801" spans="1:2" x14ac:dyDescent="0.2">
      <c r="A7801" t="s">
        <v>14</v>
      </c>
      <c r="B7801" s="45" t="str">
        <f>INDEX(overview!$B$4:$R$338,MATCH('hydrogen - electrolysis'!B7786,overview!$A$4:$A$338,0),MATCH('hydrogen - electrolysis'!A7801,overview!$B$3:$R$3,0))</f>
        <v>water and electricity</v>
      </c>
    </row>
    <row r="7802" spans="1:2" x14ac:dyDescent="0.2">
      <c r="A7802" t="s">
        <v>26</v>
      </c>
      <c r="B7802" s="45" t="str">
        <f>INDEX(overview!$B$4:$R$338,MATCH('hydrogen - electrolysis'!B7786,overview!$A$4:$A$338,0),MATCH('hydrogen - electrolysis'!A7802,overview!$B$3:$R$3,0))</f>
        <v>Solar PV (DE)</v>
      </c>
    </row>
    <row r="7803" spans="1:2" x14ac:dyDescent="0.2">
      <c r="A7803" t="s">
        <v>29</v>
      </c>
      <c r="B7803" s="45">
        <f>INDEX(overview!$B$4:$R$338,MATCH('hydrogen - electrolysis'!B7786,overview!$A$4:$A$338,0),MATCH('hydrogen - electrolysis'!A7803,overview!$B$3:$R$3,0))</f>
        <v>0</v>
      </c>
    </row>
    <row r="7804" spans="1:2" x14ac:dyDescent="0.2">
      <c r="A7804" t="str">
        <f>IF(B7788="megajoule","Heat","Electricity")&amp;" conversion efficiency [% LHV input]"</f>
        <v>Electricity conversion efficiency [% LHV input]</v>
      </c>
      <c r="B7804" s="46">
        <f>INDEX(parameters!$D$4:$N$20,MATCH('hydrogen - electrolysis'!B7792&amp;'hydrogen - electrolysis'!B7794,parameters!$A$4:$A$20,0),MATCH('hydrogen - electrolysis'!A7804,parameters!$D$3:$N$3,0))</f>
        <v>0.39400000000000002</v>
      </c>
    </row>
    <row r="7805" spans="1:2" x14ac:dyDescent="0.2">
      <c r="A7805" t="str">
        <f>IF(B7788="megajoule","LHV [MJ/kg]","LHV [kWh/kg]")</f>
        <v>LHV [kWh/kg]</v>
      </c>
      <c r="B7805" s="47">
        <f>INDEX(parameters!$D$4:$N$20,MATCH('hydrogen - electrolysis'!B7792&amp;'hydrogen - electrolysis'!B7794,parameters!$A$4:$A$20,0),MATCH('hydrogen - electrolysis'!A7805,parameters!$D$3:$N$3,0))</f>
        <v>33.333333333333336</v>
      </c>
    </row>
    <row r="7806" spans="1:2" x14ac:dyDescent="0.2">
      <c r="A7806" t="s">
        <v>41</v>
      </c>
      <c r="B7806" s="48">
        <f>INDEX(parameters!$D$4:$N$20,MATCH('hydrogen - electrolysis'!B7792&amp;'hydrogen - electrolysis'!B7794,parameters!$A$4:$A$20,0),MATCH('hydrogen - electrolysis'!A7806,parameters!$D$3:$N$3,0))</f>
        <v>2.6666666666666665E-2</v>
      </c>
    </row>
    <row r="7807" spans="1:2" x14ac:dyDescent="0.2">
      <c r="A7807" t="s">
        <v>45</v>
      </c>
      <c r="B7807" s="46">
        <f>INDEX(parameters!$D$4:$N$20,MATCH('hydrogen - electrolysis'!B7792&amp;'hydrogen - electrolysis'!B7794,parameters!$A$4:$A$20,0),MATCH('hydrogen - electrolysis'!A7807,parameters!$D$3:$N$3,0))</f>
        <v>0</v>
      </c>
    </row>
    <row r="7808" spans="1:2" x14ac:dyDescent="0.2">
      <c r="A7808" t="s">
        <v>46</v>
      </c>
      <c r="B7808" s="46">
        <f>INDEX(parameters!$D$4:$N$20,MATCH('hydrogen - electrolysis'!B7792&amp;'hydrogen - electrolysis'!B7794,parameters!$A$4:$A$20,0),MATCH('hydrogen - electrolysis'!A7808,parameters!$D$3:$N$3,0))</f>
        <v>1.4999999999999999E-2</v>
      </c>
    </row>
    <row r="7809" spans="1:22" x14ac:dyDescent="0.2">
      <c r="A7809" t="s">
        <v>43</v>
      </c>
      <c r="B7809" s="46">
        <f>INDEX(parameters!$D$4:$N$20,MATCH('hydrogen - electrolysis'!B7792&amp;'hydrogen - electrolysis'!B7794,parameters!$A$4:$A$20,0),MATCH('hydrogen - electrolysis'!A7809,parameters!$D$3:$N$3,0))</f>
        <v>0</v>
      </c>
    </row>
    <row r="7810" spans="1:22" x14ac:dyDescent="0.2">
      <c r="A7810" t="s">
        <v>44</v>
      </c>
      <c r="B7810" s="46">
        <f>INDEX(parameters!$D$4:$N$20,MATCH('hydrogen - electrolysis'!B7792&amp;'hydrogen - electrolysis'!B7794,parameters!$A$4:$A$20,0),MATCH('hydrogen - electrolysis'!A7810,parameters!$D$3:$N$3,0))</f>
        <v>0</v>
      </c>
    </row>
    <row r="7811" spans="1:22" x14ac:dyDescent="0.2">
      <c r="A7811" t="s">
        <v>634</v>
      </c>
      <c r="B7811" s="51">
        <f>INDEX(parameters!$D$4:$Y$20,MATCH('hydrogen - electrolysis'!B7792&amp;'hydrogen - electrolysis'!B7794,parameters!$A$4:$A$20,0),MATCH('hydrogen - electrolysis'!A7811,parameters!$D$3:$Y$3,0))</f>
        <v>351.41800246609125</v>
      </c>
    </row>
    <row r="7812" spans="1:22" x14ac:dyDescent="0.2">
      <c r="A7812" t="s">
        <v>82</v>
      </c>
      <c r="B7812" s="46">
        <f>IF(B7803&lt;&gt;0,VLOOKUP(B7803,parameters!A4971:B4973,2,0),0)</f>
        <v>0</v>
      </c>
    </row>
    <row r="7813" spans="1:22" x14ac:dyDescent="0.2">
      <c r="A7813" t="s">
        <v>548</v>
      </c>
      <c r="B7813" s="50">
        <f>INDEX(parameters!$D$4:$P$20,MATCH(B7792&amp;B7794,parameters!$A$4:$A$20,0),MATCH(A7813,parameters!$D$3:$P$3,0))</f>
        <v>125</v>
      </c>
    </row>
    <row r="7814" spans="1:22" x14ac:dyDescent="0.2">
      <c r="A7814" t="s">
        <v>547</v>
      </c>
      <c r="B7814" s="51">
        <f>INDEX(parameters!$D$4:$P$20,MATCH(B7792&amp;B7794,parameters!$A$4:$A$20,0),MATCH(A7814,parameters!$D$3:$P$3,0))</f>
        <v>19.512195121951219</v>
      </c>
    </row>
    <row r="7815" spans="1:22" x14ac:dyDescent="0.2">
      <c r="A7815" t="s">
        <v>630</v>
      </c>
      <c r="B7815" s="51">
        <f>INDEX(parameters!$D$4:$T$20,MATCH(B7792&amp;B7794,parameters!$A$4:$A$20,0),MATCH(A7815,parameters!$D$3:$T$3,0))</f>
        <v>4100</v>
      </c>
    </row>
    <row r="7816" spans="1:22" x14ac:dyDescent="0.2">
      <c r="A7816" t="s">
        <v>1005</v>
      </c>
      <c r="B7816" s="50">
        <f>IF(B7788="megajoule",SUMIFS(allocation!$I$4:$I$30,allocation!$B$4:$B$30,B7794,allocation!$C$4:$C$30,B7795),SUMIFS(allocation!$J$4:$J$30,allocation!$B$4:$B$30,B7794,allocation!$C$4:$C$30,B7795))</f>
        <v>0.87139957772704957</v>
      </c>
    </row>
    <row r="7817" spans="1:22" x14ac:dyDescent="0.2">
      <c r="A7817" t="s">
        <v>1050</v>
      </c>
      <c r="B7817" s="51">
        <f>INDEX(parameters!$D$4:$AB$20,MATCH(B7792&amp;B7794,parameters!$A$4:$A$20,0),MATCH(A7817,parameters!$D$3:$AB$3,0))</f>
        <v>2220.7364520822662</v>
      </c>
    </row>
    <row r="7819" spans="1:22" x14ac:dyDescent="0.2">
      <c r="A7819" s="3" t="s">
        <v>57</v>
      </c>
    </row>
    <row r="7820" spans="1:22" x14ac:dyDescent="0.2">
      <c r="A7820" s="2" t="s">
        <v>58</v>
      </c>
      <c r="B7820" s="44" t="s">
        <v>59</v>
      </c>
      <c r="C7820" s="2" t="s">
        <v>55</v>
      </c>
      <c r="D7820" s="2" t="s">
        <v>60</v>
      </c>
      <c r="E7820" s="2" t="s">
        <v>52</v>
      </c>
      <c r="F7820" s="2" t="s">
        <v>61</v>
      </c>
      <c r="G7820" s="2" t="s">
        <v>54</v>
      </c>
      <c r="H7820" s="2" t="s">
        <v>87</v>
      </c>
      <c r="I7820" s="2" t="s">
        <v>51</v>
      </c>
      <c r="J7820" s="2" t="s">
        <v>138</v>
      </c>
      <c r="K7820" s="2" t="s">
        <v>136</v>
      </c>
      <c r="L7820" s="2" t="s">
        <v>221</v>
      </c>
      <c r="M7820" s="2" t="s">
        <v>379</v>
      </c>
      <c r="N7820" s="2" t="s">
        <v>1059</v>
      </c>
      <c r="O7820" s="2" t="s">
        <v>1060</v>
      </c>
      <c r="P7820" s="2" t="s">
        <v>1061</v>
      </c>
      <c r="Q7820" s="2" t="s">
        <v>1062</v>
      </c>
      <c r="R7820" s="2" t="s">
        <v>1063</v>
      </c>
      <c r="S7820" s="2" t="s">
        <v>1064</v>
      </c>
      <c r="T7820" s="2" t="s">
        <v>1065</v>
      </c>
      <c r="U7820" s="2" t="s">
        <v>380</v>
      </c>
      <c r="V7820" s="2" t="s">
        <v>1128</v>
      </c>
    </row>
    <row r="7821" spans="1:22" x14ac:dyDescent="0.2">
      <c r="A7821" t="str">
        <f>B7782</f>
        <v>electricity, residential, by combustion of hydrogen using CHP, allocated by exergy, transported by train, produced by Electrolysis, SOEC using water and electricity from Solar PV (DE)</v>
      </c>
      <c r="B7821" s="45">
        <v>1</v>
      </c>
      <c r="C7821" t="str">
        <f>B7788</f>
        <v>kilowatt hour</v>
      </c>
      <c r="E7821" t="str">
        <f>B7785</f>
        <v>CH</v>
      </c>
      <c r="F7821" t="s">
        <v>62</v>
      </c>
      <c r="G7821" t="str">
        <f>B7787</f>
        <v>electricity, from residential heating system</v>
      </c>
      <c r="K7821" t="str">
        <f>B7782</f>
        <v>electricity, residential, by combustion of hydrogen using CHP, allocated by exergy, transported by train, produced by Electrolysis, SOEC using water and electricity from Solar PV (DE)</v>
      </c>
    </row>
    <row r="7822" spans="1:22" x14ac:dyDescent="0.2">
      <c r="A7822" t="str">
        <f>VLOOKUP(J7822,'dataset mapping'!$A$4:$E$69,2,0)</f>
        <v>heat and power co-generation unit construction, 160kW electrical, common components for heat+electricity</v>
      </c>
      <c r="B7822" s="52">
        <f>(1/(B7811*B7815*B7814))*B7816</f>
        <v>3.0995835856870056E-8</v>
      </c>
      <c r="C7822" t="str">
        <f>VLOOKUP(J7822,'dataset mapping'!$A$4:$E$69,5,0)</f>
        <v>unit</v>
      </c>
      <c r="E7822" t="str">
        <f>VLOOKUP(J7822,'dataset mapping'!$A$4:$E$69,4,0)</f>
        <v>RER</v>
      </c>
      <c r="F7822" t="s">
        <v>86</v>
      </c>
      <c r="G7822" t="str">
        <f>VLOOKUP(J7822,'dataset mapping'!$A$4:$E$69,3,0)</f>
        <v>heat and power co-generation unit, 160kW electrical, common components for heat+electricity</v>
      </c>
      <c r="H7822" t="s">
        <v>88</v>
      </c>
      <c r="J7822" t="s">
        <v>145</v>
      </c>
      <c r="K7822" t="str">
        <f>B7782</f>
        <v>electricity, residential, by combustion of hydrogen using CHP, allocated by exergy, transported by train, produced by Electrolysis, SOEC using water and electricity from Solar PV (DE)</v>
      </c>
      <c r="L7822">
        <f t="shared" ref="L7822:L7831" si="319">IF(OR(B7822&lt;0,B7822=0),1,2)</f>
        <v>2</v>
      </c>
      <c r="M7822">
        <f t="shared" ref="M7822:M7831" si="320">IF(L7822=2,LN(B7822),"")</f>
        <v>-17.28941296868171</v>
      </c>
      <c r="N7822">
        <v>1.05</v>
      </c>
      <c r="O7822" s="15">
        <v>1.2</v>
      </c>
      <c r="P7822">
        <v>1</v>
      </c>
      <c r="Q7822">
        <v>1.01</v>
      </c>
      <c r="R7822">
        <v>1.2</v>
      </c>
      <c r="S7822">
        <v>1.2</v>
      </c>
      <c r="T7822">
        <v>3</v>
      </c>
      <c r="U7822">
        <f t="shared" ref="U7822:U7831" si="321">LN(SQRT(EXP(
SQRT(
+POWER(LN(N7822),2)
+POWER(LN(O7822),2)
+POWER(LN(P7822),2)
+POWER(LN(Q7822),2)
+POWER(LN(R7822),2)
+POWER(LN(S7822),2)
+POWER(LN(T7822),2)
)
)))</f>
        <v>0.57209088006881903</v>
      </c>
    </row>
    <row r="7823" spans="1:22" x14ac:dyDescent="0.2">
      <c r="A7823" t="str">
        <f>VLOOKUP(J7823,'dataset mapping'!$A$4:$E$69,2,0)</f>
        <v>heat and power co-generation unit construction, 160kW electrical, components for electricity only</v>
      </c>
      <c r="B7823" s="52">
        <f>(1/(B7811*B7815*B7814))*B7816</f>
        <v>3.0995835856870056E-8</v>
      </c>
      <c r="C7823" t="str">
        <f>VLOOKUP(J7823,'dataset mapping'!$A$4:$E$69,5,0)</f>
        <v>unit</v>
      </c>
      <c r="E7823" t="str">
        <f>VLOOKUP(J7823,'dataset mapping'!$A$4:$E$69,4,0)</f>
        <v>RER</v>
      </c>
      <c r="F7823" t="s">
        <v>86</v>
      </c>
      <c r="G7823" t="str">
        <f>VLOOKUP(J7823,'dataset mapping'!$A$4:$E$69,3,0)</f>
        <v>heat and power co-generation unit, 160kW electrical, components for electricity only</v>
      </c>
      <c r="H7823" t="s">
        <v>88</v>
      </c>
      <c r="J7823" t="s">
        <v>146</v>
      </c>
      <c r="K7823" t="str">
        <f>B7782</f>
        <v>electricity, residential, by combustion of hydrogen using CHP, allocated by exergy, transported by train, produced by Electrolysis, SOEC using water and electricity from Solar PV (DE)</v>
      </c>
      <c r="L7823">
        <f t="shared" si="319"/>
        <v>2</v>
      </c>
      <c r="M7823">
        <f t="shared" si="320"/>
        <v>-17.28941296868171</v>
      </c>
      <c r="N7823">
        <v>1.05</v>
      </c>
      <c r="O7823" s="15">
        <v>1.2</v>
      </c>
      <c r="P7823">
        <v>1</v>
      </c>
      <c r="Q7823">
        <v>1.01</v>
      </c>
      <c r="R7823">
        <v>1.2</v>
      </c>
      <c r="S7823">
        <v>1.2</v>
      </c>
      <c r="T7823">
        <v>3</v>
      </c>
      <c r="U7823">
        <f t="shared" si="321"/>
        <v>0.57209088006881903</v>
      </c>
    </row>
    <row r="7824" spans="1:22" x14ac:dyDescent="0.2">
      <c r="A7824" t="str">
        <f>VLOOKUP(J7824,'dataset mapping'!$A$4:$E$69,2,0)</f>
        <v>heat and power co-generation unit construction, 160kW electrical, components for heat only</v>
      </c>
      <c r="B7824" s="52">
        <f>(1/(B7811*B7815*B7814))*B7816</f>
        <v>3.0995835856870056E-8</v>
      </c>
      <c r="C7824" t="str">
        <f>VLOOKUP(J7824,'dataset mapping'!$A$4:$E$69,5,0)</f>
        <v>unit</v>
      </c>
      <c r="E7824" t="str">
        <f>VLOOKUP(J7824,'dataset mapping'!$A$4:$E$69,4,0)</f>
        <v>RER</v>
      </c>
      <c r="F7824" t="s">
        <v>86</v>
      </c>
      <c r="G7824" t="str">
        <f>VLOOKUP(J7824,'dataset mapping'!$A$4:$E$69,3,0)</f>
        <v>heat and power co-generation unit, 160kW electrical, components for heat only</v>
      </c>
      <c r="H7824" t="s">
        <v>88</v>
      </c>
      <c r="J7824" t="s">
        <v>147</v>
      </c>
      <c r="K7824" t="str">
        <f>B7782</f>
        <v>electricity, residential, by combustion of hydrogen using CHP, allocated by exergy, transported by train, produced by Electrolysis, SOEC using water and electricity from Solar PV (DE)</v>
      </c>
      <c r="L7824">
        <f t="shared" si="319"/>
        <v>2</v>
      </c>
      <c r="M7824">
        <f t="shared" si="320"/>
        <v>-17.28941296868171</v>
      </c>
      <c r="N7824">
        <v>1.05</v>
      </c>
      <c r="O7824" s="15">
        <v>1.2</v>
      </c>
      <c r="P7824">
        <v>1</v>
      </c>
      <c r="Q7824">
        <v>1.01</v>
      </c>
      <c r="R7824">
        <v>1.2</v>
      </c>
      <c r="S7824">
        <v>1.2</v>
      </c>
      <c r="T7824">
        <v>3</v>
      </c>
      <c r="U7824">
        <f t="shared" si="321"/>
        <v>0.57209088006881903</v>
      </c>
    </row>
    <row r="7825" spans="1:22" x14ac:dyDescent="0.2">
      <c r="A7825" t="s">
        <v>156</v>
      </c>
      <c r="B7825" s="52">
        <f>0.00000011366*B7816</f>
        <v>9.9043276004456456E-8</v>
      </c>
      <c r="C7825" t="s">
        <v>56</v>
      </c>
      <c r="E7825" t="s">
        <v>90</v>
      </c>
      <c r="F7825" t="s">
        <v>86</v>
      </c>
      <c r="G7825" t="s">
        <v>154</v>
      </c>
      <c r="H7825" t="s">
        <v>155</v>
      </c>
      <c r="K7825" t="str">
        <f>B7782</f>
        <v>electricity, residential, by combustion of hydrogen using CHP, allocated by exergy, transported by train, produced by Electrolysis, SOEC using water and electricity from Solar PV (DE)</v>
      </c>
      <c r="L7825">
        <f t="shared" si="319"/>
        <v>2</v>
      </c>
      <c r="M7825">
        <f t="shared" si="320"/>
        <v>-16.127708950967754</v>
      </c>
      <c r="N7825">
        <v>1.05</v>
      </c>
      <c r="O7825" s="15">
        <v>1.2</v>
      </c>
      <c r="P7825">
        <v>1</v>
      </c>
      <c r="Q7825">
        <v>1.01</v>
      </c>
      <c r="R7825">
        <v>1.2</v>
      </c>
      <c r="S7825">
        <v>1.2</v>
      </c>
      <c r="T7825">
        <v>1.05</v>
      </c>
      <c r="U7825">
        <f t="shared" si="321"/>
        <v>0.16169679924070957</v>
      </c>
    </row>
    <row r="7826" spans="1:22" x14ac:dyDescent="0.2">
      <c r="A7826" t="s">
        <v>157</v>
      </c>
      <c r="B7826" s="52">
        <f>0.00000011366*B7816*-1</f>
        <v>-9.9043276004456456E-8</v>
      </c>
      <c r="C7826" t="s">
        <v>56</v>
      </c>
      <c r="E7826" t="s">
        <v>64</v>
      </c>
      <c r="F7826" t="s">
        <v>86</v>
      </c>
      <c r="G7826" t="s">
        <v>158</v>
      </c>
      <c r="H7826" t="s">
        <v>155</v>
      </c>
      <c r="K7826" t="str">
        <f>B7782</f>
        <v>electricity, residential, by combustion of hydrogen using CHP, allocated by exergy, transported by train, produced by Electrolysis, SOEC using water and electricity from Solar PV (DE)</v>
      </c>
      <c r="L7826">
        <v>2</v>
      </c>
      <c r="M7826">
        <f>IF(L7826=2,LN(B7826*-1),"")</f>
        <v>-16.127708950967754</v>
      </c>
      <c r="N7826">
        <v>1.05</v>
      </c>
      <c r="O7826" s="15">
        <v>1.2</v>
      </c>
      <c r="P7826">
        <v>1</v>
      </c>
      <c r="Q7826">
        <v>1.01</v>
      </c>
      <c r="R7826">
        <v>1.2</v>
      </c>
      <c r="S7826">
        <v>1.2</v>
      </c>
      <c r="T7826">
        <v>3</v>
      </c>
      <c r="U7826">
        <f>LN(SQRT(EXP(
SQRT(
+POWER(LN(N7826),2)
+POWER(LN(O7826),2)
+POWER(LN(P7826),2)
+POWER(LN(Q7826),2)
+POWER(LN(R7826),2)
+POWER(LN(S7826),2)
+POWER(LN(T7826),2)
)
)))</f>
        <v>0.57209088006881903</v>
      </c>
      <c r="V7826" t="b">
        <v>1</v>
      </c>
    </row>
    <row r="7827" spans="1:22" x14ac:dyDescent="0.2">
      <c r="A7827" s="45" t="str">
        <f>"hydrogen supply, transported by "&amp;B7796&amp;", produced by "&amp;B7800&amp;" using "&amp;B7801&amp;" from "&amp;B7802</f>
        <v>hydrogen supply, transported by train, produced by Electrolysis, SOEC using water and electricity from Solar PV (DE)</v>
      </c>
      <c r="B7827" s="53">
        <f>(B7821/B7805)/B7804*B7816</f>
        <v>6.6350221654343872E-2</v>
      </c>
      <c r="C7827" t="s">
        <v>56</v>
      </c>
      <c r="E7827" t="s">
        <v>64</v>
      </c>
      <c r="F7827" t="s">
        <v>86</v>
      </c>
      <c r="G7827" t="str">
        <f>"hydrogen, gaseous, from "&amp;B7796</f>
        <v>hydrogen, gaseous, from train</v>
      </c>
      <c r="H7827" t="s">
        <v>76</v>
      </c>
      <c r="I7827" t="s">
        <v>1054</v>
      </c>
      <c r="J7827" t="s">
        <v>299</v>
      </c>
      <c r="K7827" t="str">
        <f>B7782</f>
        <v>electricity, residential, by combustion of hydrogen using CHP, allocated by exergy, transported by train, produced by Electrolysis, SOEC using water and electricity from Solar PV (DE)</v>
      </c>
      <c r="L7827">
        <f t="shared" si="319"/>
        <v>2</v>
      </c>
      <c r="M7827">
        <f t="shared" si="320"/>
        <v>-2.7128081775260964</v>
      </c>
      <c r="N7827">
        <v>1.05</v>
      </c>
      <c r="O7827" s="15">
        <v>1.2</v>
      </c>
      <c r="P7827">
        <v>1</v>
      </c>
      <c r="Q7827">
        <v>1.01</v>
      </c>
      <c r="R7827">
        <v>1.2</v>
      </c>
      <c r="S7827">
        <v>1.2</v>
      </c>
      <c r="T7827">
        <v>1.05</v>
      </c>
      <c r="U7827">
        <f t="shared" si="321"/>
        <v>0.16169679924070957</v>
      </c>
    </row>
    <row r="7828" spans="1:22" x14ac:dyDescent="0.2">
      <c r="A7828" t="str">
        <f>VLOOKUP(J7828,'dataset mapping'!$A$4:$E$69,2,0)</f>
        <v>market for transport, freight train</v>
      </c>
      <c r="B7828" s="45">
        <f>SUM(B7827:B7827)/1000*B7797</f>
        <v>6.6350221654343872E-2</v>
      </c>
      <c r="C7828" t="str">
        <f>VLOOKUP(J7828,'dataset mapping'!$A$4:$E$69,5,0)</f>
        <v>ton kilometer</v>
      </c>
      <c r="E7828" t="str">
        <f>VLOOKUP(J7828,'dataset mapping'!$A$4:$E$69,4,0)</f>
        <v>CH</v>
      </c>
      <c r="F7828" t="s">
        <v>86</v>
      </c>
      <c r="G7828" t="str">
        <f>VLOOKUP(J7828,'dataset mapping'!$A$4:$E$69,3,0)</f>
        <v>transport, freight train</v>
      </c>
      <c r="H7828" t="s">
        <v>88</v>
      </c>
      <c r="I7828" t="s">
        <v>1052</v>
      </c>
      <c r="J7828" t="s">
        <v>295</v>
      </c>
      <c r="K7828" t="str">
        <f>B7782</f>
        <v>electricity, residential, by combustion of hydrogen using CHP, allocated by exergy, transported by train, produced by Electrolysis, SOEC using water and electricity from Solar PV (DE)</v>
      </c>
      <c r="L7828">
        <f t="shared" si="319"/>
        <v>2</v>
      </c>
      <c r="M7828">
        <f t="shared" si="320"/>
        <v>-2.7128081775260964</v>
      </c>
      <c r="N7828">
        <v>1.05</v>
      </c>
      <c r="O7828" s="15">
        <v>1.2</v>
      </c>
      <c r="P7828">
        <v>1</v>
      </c>
      <c r="Q7828">
        <v>1.01</v>
      </c>
      <c r="R7828">
        <v>1.2</v>
      </c>
      <c r="S7828">
        <v>1.2</v>
      </c>
      <c r="T7828">
        <v>2</v>
      </c>
      <c r="U7828">
        <f t="shared" si="321"/>
        <v>0.38165951885721477</v>
      </c>
    </row>
    <row r="7829" spans="1:22" x14ac:dyDescent="0.2">
      <c r="A7829" t="str">
        <f>VLOOKUP(J7829,'dataset mapping'!$A$4:$E$69,2,0)</f>
        <v>high pressure hydrogen storage tank</v>
      </c>
      <c r="B7829" s="52">
        <f>((B7817/10)/(B7815*B7811*20))*IF(B7816&lt;&gt;0,B7816,1)</f>
        <v>6.7154714683034044E-6</v>
      </c>
      <c r="C7829" t="str">
        <f>VLOOKUP(J7829,'dataset mapping'!$A$4:$E$69,5,0)</f>
        <v>kilogram</v>
      </c>
      <c r="E7829" t="str">
        <f>VLOOKUP(J7829,'dataset mapping'!$A$4:$E$69,4,0)</f>
        <v>GLO</v>
      </c>
      <c r="F7829" t="s">
        <v>86</v>
      </c>
      <c r="G7829" t="str">
        <f>VLOOKUP(J7829,'dataset mapping'!$A$4:$E$69,3,0)</f>
        <v>high pressure hydrogen storage tank</v>
      </c>
      <c r="H7829" t="s">
        <v>88</v>
      </c>
      <c r="I7829" t="s">
        <v>279</v>
      </c>
      <c r="J7829" t="s">
        <v>229</v>
      </c>
      <c r="K7829" t="str">
        <f>B7782</f>
        <v>electricity, residential, by combustion of hydrogen using CHP, allocated by exergy, transported by train, produced by Electrolysis, SOEC using water and electricity from Solar PV (DE)</v>
      </c>
      <c r="L7829">
        <f t="shared" si="319"/>
        <v>2</v>
      </c>
      <c r="M7829">
        <f t="shared" si="320"/>
        <v>-11.911096519239557</v>
      </c>
      <c r="N7829">
        <v>1.05</v>
      </c>
      <c r="O7829" s="15">
        <v>1.2</v>
      </c>
      <c r="P7829">
        <v>1</v>
      </c>
      <c r="Q7829">
        <v>1.01</v>
      </c>
      <c r="R7829">
        <v>1.2</v>
      </c>
      <c r="S7829">
        <v>1.2</v>
      </c>
      <c r="T7829">
        <v>3</v>
      </c>
      <c r="U7829">
        <f t="shared" si="321"/>
        <v>0.57209088006881903</v>
      </c>
    </row>
    <row r="7830" spans="1:22" x14ac:dyDescent="0.2">
      <c r="A7830" t="s">
        <v>134</v>
      </c>
      <c r="B7830" s="45">
        <f>B7827*9</f>
        <v>0.59715199488909487</v>
      </c>
      <c r="C7830" t="s">
        <v>56</v>
      </c>
      <c r="D7830" t="s">
        <v>100</v>
      </c>
      <c r="F7830" t="s">
        <v>99</v>
      </c>
      <c r="H7830" t="s">
        <v>131</v>
      </c>
      <c r="I7830" t="s">
        <v>1058</v>
      </c>
      <c r="K7830" t="str">
        <f>B7782</f>
        <v>electricity, residential, by combustion of hydrogen using CHP, allocated by exergy, transported by train, produced by Electrolysis, SOEC using water and electricity from Solar PV (DE)</v>
      </c>
      <c r="L7830">
        <f t="shared" si="319"/>
        <v>2</v>
      </c>
      <c r="M7830">
        <f t="shared" si="320"/>
        <v>-0.51558360018987692</v>
      </c>
      <c r="N7830">
        <v>1.05</v>
      </c>
      <c r="O7830" s="15">
        <v>1.2</v>
      </c>
      <c r="P7830">
        <v>1</v>
      </c>
      <c r="Q7830">
        <v>1.01</v>
      </c>
      <c r="R7830">
        <v>1.2</v>
      </c>
      <c r="S7830">
        <v>1.2</v>
      </c>
      <c r="T7830">
        <v>1.05</v>
      </c>
      <c r="U7830">
        <f t="shared" si="321"/>
        <v>0.16169679924070957</v>
      </c>
    </row>
    <row r="7831" spans="1:22" x14ac:dyDescent="0.2">
      <c r="A7831" t="s">
        <v>135</v>
      </c>
      <c r="B7831" s="45">
        <f>912.5/1000000*B7828</f>
        <v>6.0544577259588785E-5</v>
      </c>
      <c r="C7831" t="s">
        <v>56</v>
      </c>
      <c r="D7831" t="s">
        <v>100</v>
      </c>
      <c r="F7831" t="s">
        <v>99</v>
      </c>
      <c r="H7831" t="s">
        <v>131</v>
      </c>
      <c r="I7831" t="s">
        <v>1217</v>
      </c>
      <c r="K7831" t="str">
        <f>B7782</f>
        <v>electricity, residential, by combustion of hydrogen using CHP, allocated by exergy, transported by train, produced by Electrolysis, SOEC using water and electricity from Solar PV (DE)</v>
      </c>
      <c r="L7831">
        <f t="shared" si="319"/>
        <v>2</v>
      </c>
      <c r="M7831">
        <f t="shared" si="320"/>
        <v>-9.712130650033723</v>
      </c>
      <c r="N7831">
        <v>1.05</v>
      </c>
      <c r="O7831" s="15">
        <v>1.2</v>
      </c>
      <c r="P7831">
        <v>1</v>
      </c>
      <c r="Q7831">
        <v>1.01</v>
      </c>
      <c r="R7831">
        <v>1.2</v>
      </c>
      <c r="S7831">
        <v>1.2</v>
      </c>
      <c r="T7831">
        <v>1.5</v>
      </c>
      <c r="U7831">
        <f t="shared" si="321"/>
        <v>0.25816898211842121</v>
      </c>
    </row>
    <row r="7833" spans="1:22" x14ac:dyDescent="0.2">
      <c r="A7833" s="2" t="s">
        <v>50</v>
      </c>
      <c r="B7833" s="44" t="str">
        <f>IF(B7839="megajoule","heat","electricity")&amp;", residential, by "&amp;B7844&amp;" of "&amp;B7843&amp;" using "&amp;B7845&amp;IF(B7846&lt;&gt;0,", allocated by "&amp;B7846,"")&amp;", transported by "&amp;B7847&amp;", produced by "&amp;B7851&amp;" using "&amp;B7852&amp;" from "&amp;B7853</f>
        <v>electricity, residential, by conversion of hydrogen using fuel cell, PEM, allocated by exergy, transported by train, produced by Electrolysis, SOEC using water and electricity from Solar PV (DE)</v>
      </c>
    </row>
    <row r="7834" spans="1:22" x14ac:dyDescent="0.2">
      <c r="A7834" t="s">
        <v>51</v>
      </c>
      <c r="B7834" s="45" t="str">
        <f>"This dataset represents the supply of 1 "&amp;IF(B7839="megajoule","megajoule of heat","kilowatt hour of electricity")&amp;" in a residence, by "&amp;B7843&amp;" "&amp;B7844&amp;" in a "&amp;B7845&amp;". "&amp;" The hydrogen is transported by "&amp;B7847&amp;" over "&amp;B7848&amp;" km from regional storage. "&amp;" The "&amp;B7843&amp;" is produced by  "&amp;B7851&amp;", with "&amp;B7852&amp;" from "&amp;B7853&amp;" as feedstock. "&amp;A7855&amp;": "&amp;(B7855*100)&amp;"%. "&amp;A7856&amp;": "&amp;B7856&amp;". "&amp;A7857&amp;": "&amp;B7857&amp;". "&amp;A7858&amp;": "&amp;(B7858*100)&amp;"%. "&amp;A7859&amp;": "&amp;(B7859*100)&amp;"%. "&amp;A7860&amp;": "&amp;(B7860*100)&amp;"%. "&amp;A7861&amp;": "&amp;B7861&amp;". "&amp;A7862&amp;": "&amp;B7862&amp;". "&amp;A7863&amp;": "&amp;(B7863*100)&amp;"%. "&amp;A7864&amp;": "&amp;B7864&amp;". "&amp;A7865&amp;": "&amp;B7865&amp;". "&amp;A7866&amp;": "&amp;B7866&amp;". "&amp;A7867&amp;": "&amp;B7867&amp;".  For more information, refer to: "&amp;B7835</f>
        <v>This dataset represents the supply of 1 kilowatt hour of electricity in a residence, by hydrogen conversion in a fuel cell, PEM.  The hydrogen is transported by train over 1000 km from regional storage.  The hydrogen is produced by  Electrolysis, SOEC, with water and electricity from Solar PV (DE)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7835" spans="1:22" x14ac:dyDescent="0.2">
      <c r="A7835" t="s">
        <v>63</v>
      </c>
      <c r="B7835" s="45" t="s">
        <v>1223</v>
      </c>
    </row>
    <row r="7836" spans="1:22" x14ac:dyDescent="0.2">
      <c r="A7836" t="s">
        <v>52</v>
      </c>
      <c r="B7836" s="45" t="s">
        <v>64</v>
      </c>
    </row>
    <row r="7837" spans="1:22" x14ac:dyDescent="0.2">
      <c r="A7837" t="s">
        <v>48</v>
      </c>
      <c r="B7837" s="45" t="s">
        <v>935</v>
      </c>
    </row>
    <row r="7838" spans="1:22" x14ac:dyDescent="0.2">
      <c r="A7838" t="s">
        <v>54</v>
      </c>
      <c r="B7838" s="45" t="str">
        <f>INDEX(overview!$B$4:$R$338,MATCH('hydrogen - electrolysis'!B7837,overview!$A$4:$A$338,0),MATCH('hydrogen - electrolysis'!A7838,overview!$B$3:$R$3,0))</f>
        <v>electricity, from residential heating system</v>
      </c>
    </row>
    <row r="7839" spans="1:22" x14ac:dyDescent="0.2">
      <c r="A7839" t="s">
        <v>55</v>
      </c>
      <c r="B7839" s="45" t="str">
        <f>INDEX(overview!$B$4:$R$338,MATCH('hydrogen - electrolysis'!B7837,overview!$A$4:$A$338,0),MATCH('hydrogen - electrolysis'!A7839,overview!$B$3:$R$3,0))</f>
        <v>kilowatt hour</v>
      </c>
    </row>
    <row r="7840" spans="1:22" x14ac:dyDescent="0.2">
      <c r="A7840" t="s">
        <v>0</v>
      </c>
      <c r="B7840" s="45" t="str">
        <f>INDEX(overview!$B$4:$R$338,MATCH('hydrogen - electrolysis'!B7837,overview!$A$4:$A$338,0),MATCH('hydrogen - electrolysis'!A7840,overview!$B$3:$R$3,0))</f>
        <v>Switzerland</v>
      </c>
    </row>
    <row r="7841" spans="1:2" x14ac:dyDescent="0.2">
      <c r="A7841" t="s">
        <v>1</v>
      </c>
      <c r="B7841" s="45">
        <f>INDEX(overview!$B$4:$R$338,MATCH('hydrogen - electrolysis'!B7837,overview!$A$4:$A$338,0),MATCH('hydrogen - electrolysis'!A7841,overview!$B$3:$R$3,0))</f>
        <v>2020</v>
      </c>
    </row>
    <row r="7842" spans="1:2" x14ac:dyDescent="0.2">
      <c r="A7842" t="s">
        <v>2</v>
      </c>
      <c r="B7842" s="45" t="str">
        <f>INDEX(overview!$B$4:$R$338,MATCH('hydrogen - electrolysis'!B7837,overview!$A$4:$A$338,0),MATCH('hydrogen - electrolysis'!A7842,overview!$B$3:$R$3,0))</f>
        <v>1 kWh electricity</v>
      </c>
    </row>
    <row r="7843" spans="1:2" x14ac:dyDescent="0.2">
      <c r="A7843" t="s">
        <v>5</v>
      </c>
      <c r="B7843" s="45" t="str">
        <f>INDEX(overview!$B$4:$R$338,MATCH('hydrogen - electrolysis'!B7837,overview!$A$4:$A$338,0),MATCH('hydrogen - electrolysis'!A7843,overview!$B$3:$R$3,0))</f>
        <v>hydrogen</v>
      </c>
    </row>
    <row r="7844" spans="1:2" x14ac:dyDescent="0.2">
      <c r="A7844" t="s">
        <v>3</v>
      </c>
      <c r="B7844" s="45" t="str">
        <f>INDEX(overview!$B$4:$R$338,MATCH('hydrogen - electrolysis'!B7837,overview!$A$4:$A$338,0),MATCH('hydrogen - electrolysis'!A7844,overview!$B$3:$R$3,0))</f>
        <v>conversion</v>
      </c>
    </row>
    <row r="7845" spans="1:2" x14ac:dyDescent="0.2">
      <c r="A7845" t="s">
        <v>6</v>
      </c>
      <c r="B7845" s="45" t="str">
        <f>INDEX(overview!$B$4:$R$338,MATCH('hydrogen - electrolysis'!B7837,overview!$A$4:$A$338,0),MATCH('hydrogen - electrolysis'!A7845,overview!$B$3:$R$3,0))</f>
        <v>fuel cell, PEM</v>
      </c>
    </row>
    <row r="7846" spans="1:2" x14ac:dyDescent="0.2">
      <c r="A7846" t="s">
        <v>39</v>
      </c>
      <c r="B7846" s="45" t="str">
        <f>INDEX(overview!$B$4:$R$338,MATCH('hydrogen - electrolysis'!B7837,overview!$A$4:$A$338,0),MATCH('hydrogen - electrolysis'!A7846,overview!$B$3:$R$3,0))</f>
        <v>exergy</v>
      </c>
    </row>
    <row r="7847" spans="1:2" x14ac:dyDescent="0.2">
      <c r="A7847" t="s">
        <v>4</v>
      </c>
      <c r="B7847" s="45" t="str">
        <f>INDEX(overview!$B$4:$R$338,MATCH('hydrogen - electrolysis'!B7837,overview!$A$4:$A$338,0),MATCH('hydrogen - electrolysis'!A7847,overview!$B$3:$R$3,0))</f>
        <v>train</v>
      </c>
    </row>
    <row r="7848" spans="1:2" x14ac:dyDescent="0.2">
      <c r="A7848" t="s">
        <v>38</v>
      </c>
      <c r="B7848" s="45">
        <f>INDEX(overview!$B$4:$R$338,MATCH('hydrogen - electrolysis'!B7837,overview!$A$4:$A$338,0),MATCH('hydrogen - electrolysis'!A7848,overview!$B$3:$R$3,0))</f>
        <v>1000</v>
      </c>
    </row>
    <row r="7849" spans="1:2" x14ac:dyDescent="0.2">
      <c r="A7849" t="s">
        <v>12</v>
      </c>
      <c r="B7849" s="45" t="str">
        <f>INDEX(overview!$B$4:$R$338,MATCH('hydrogen - electrolysis'!B7837,overview!$A$4:$A$338,0),MATCH('hydrogen - electrolysis'!A7849,overview!$B$3:$R$3,0))</f>
        <v>Pressure vessel for stationary storage</v>
      </c>
    </row>
    <row r="7850" spans="1:2" x14ac:dyDescent="0.2">
      <c r="A7850" t="s">
        <v>34</v>
      </c>
      <c r="B7850" s="45">
        <f>INDEX(overview!$B$4:$R$338,MATCH('hydrogen - electrolysis'!B7837,overview!$A$4:$A$338,0),MATCH('hydrogen - electrolysis'!A7850,overview!$B$3:$R$3,0))</f>
        <v>0</v>
      </c>
    </row>
    <row r="7851" spans="1:2" x14ac:dyDescent="0.2">
      <c r="A7851" t="s">
        <v>15</v>
      </c>
      <c r="B7851" s="45" t="str">
        <f>INDEX(overview!$B$4:$R$338,MATCH('hydrogen - electrolysis'!B7837,overview!$A$4:$A$338,0),MATCH('hydrogen - electrolysis'!A7851,overview!$B$3:$R$3,0))</f>
        <v>Electrolysis, SOEC</v>
      </c>
    </row>
    <row r="7852" spans="1:2" x14ac:dyDescent="0.2">
      <c r="A7852" t="s">
        <v>14</v>
      </c>
      <c r="B7852" s="45" t="str">
        <f>INDEX(overview!$B$4:$R$338,MATCH('hydrogen - electrolysis'!B7837,overview!$A$4:$A$338,0),MATCH('hydrogen - electrolysis'!A7852,overview!$B$3:$R$3,0))</f>
        <v>water and electricity</v>
      </c>
    </row>
    <row r="7853" spans="1:2" x14ac:dyDescent="0.2">
      <c r="A7853" t="s">
        <v>26</v>
      </c>
      <c r="B7853" s="45" t="str">
        <f>INDEX(overview!$B$4:$R$338,MATCH('hydrogen - electrolysis'!B7837,overview!$A$4:$A$338,0),MATCH('hydrogen - electrolysis'!A7853,overview!$B$3:$R$3,0))</f>
        <v>Solar PV (DE)</v>
      </c>
    </row>
    <row r="7854" spans="1:2" x14ac:dyDescent="0.2">
      <c r="A7854" t="s">
        <v>29</v>
      </c>
      <c r="B7854" s="45">
        <f>INDEX(overview!$B$4:$R$338,MATCH('hydrogen - electrolysis'!B7837,overview!$A$4:$A$338,0),MATCH('hydrogen - electrolysis'!A7854,overview!$B$3:$R$3,0))</f>
        <v>0</v>
      </c>
    </row>
    <row r="7855" spans="1:2" x14ac:dyDescent="0.2">
      <c r="A7855" t="str">
        <f>IF(B7839="megajoule","Heat","Electricity")&amp;" conversion efficiency [% LHV input]"</f>
        <v>Electricity conversion efficiency [% LHV input]</v>
      </c>
      <c r="B7855" s="46">
        <f>INDEX(parameters!$D$4:$N$20,MATCH('hydrogen - electrolysis'!B7843&amp;'hydrogen - electrolysis'!B7845,parameters!$A$4:$A$20,0),MATCH('hydrogen - electrolysis'!A7855,parameters!$D$3:$N$3,0))</f>
        <v>0.45</v>
      </c>
    </row>
    <row r="7856" spans="1:2" x14ac:dyDescent="0.2">
      <c r="A7856" t="str">
        <f>IF(B7839="megajoule","LHV [MJ/kg]","LHV [kWh/kg]")</f>
        <v>LHV [kWh/kg]</v>
      </c>
      <c r="B7856" s="47">
        <f>INDEX(parameters!$D$4:$N$20,MATCH('hydrogen - electrolysis'!B7843&amp;'hydrogen - electrolysis'!B7845,parameters!$A$4:$A$20,0),MATCH('hydrogen - electrolysis'!A7856,parameters!$D$3:$N$3,0))</f>
        <v>33.333333333333336</v>
      </c>
    </row>
    <row r="7857" spans="1:22" x14ac:dyDescent="0.2">
      <c r="A7857" t="s">
        <v>41</v>
      </c>
      <c r="B7857" s="48">
        <f>INDEX(parameters!$D$4:$N$20,MATCH('hydrogen - electrolysis'!B7843&amp;'hydrogen - electrolysis'!B7845,parameters!$A$4:$A$20,0),MATCH('hydrogen - electrolysis'!A7857,parameters!$D$3:$N$3,0))</f>
        <v>2.6666666666666665E-2</v>
      </c>
    </row>
    <row r="7858" spans="1:22" x14ac:dyDescent="0.2">
      <c r="A7858" t="s">
        <v>45</v>
      </c>
      <c r="B7858" s="46">
        <f>INDEX(parameters!$D$4:$N$20,MATCH('hydrogen - electrolysis'!B7843&amp;'hydrogen - electrolysis'!B7845,parameters!$A$4:$A$20,0),MATCH('hydrogen - electrolysis'!A7858,parameters!$D$3:$N$3,0))</f>
        <v>0</v>
      </c>
    </row>
    <row r="7859" spans="1:22" x14ac:dyDescent="0.2">
      <c r="A7859" t="s">
        <v>46</v>
      </c>
      <c r="B7859" s="46">
        <f>INDEX(parameters!$D$4:$N$20,MATCH('hydrogen - electrolysis'!B7843&amp;'hydrogen - electrolysis'!B7845,parameters!$A$4:$A$20,0),MATCH('hydrogen - electrolysis'!A7859,parameters!$D$3:$N$3,0))</f>
        <v>1.4999999999999999E-2</v>
      </c>
    </row>
    <row r="7860" spans="1:22" x14ac:dyDescent="0.2">
      <c r="A7860" t="s">
        <v>43</v>
      </c>
      <c r="B7860" s="46">
        <f>INDEX(parameters!$D$4:$N$20,MATCH('hydrogen - electrolysis'!B7843&amp;'hydrogen - electrolysis'!B7845,parameters!$A$4:$A$20,0),MATCH('hydrogen - electrolysis'!A7860,parameters!$D$3:$N$3,0))</f>
        <v>0</v>
      </c>
    </row>
    <row r="7861" spans="1:22" x14ac:dyDescent="0.2">
      <c r="A7861" t="s">
        <v>44</v>
      </c>
      <c r="B7861" s="46">
        <f>INDEX(parameters!$D$4:$N$20,MATCH('hydrogen - electrolysis'!B7843&amp;'hydrogen - electrolysis'!B7845,parameters!$A$4:$A$20,0),MATCH('hydrogen - electrolysis'!A7861,parameters!$D$3:$N$3,0))</f>
        <v>0</v>
      </c>
    </row>
    <row r="7862" spans="1:22" x14ac:dyDescent="0.2">
      <c r="A7862" t="s">
        <v>634</v>
      </c>
      <c r="B7862" s="51">
        <f>INDEX(parameters!$D$4:$Y$20,MATCH('hydrogen - electrolysis'!B7843&amp;'hydrogen - electrolysis'!B7845,parameters!$A$4:$A$20,0),MATCH('hydrogen - electrolysis'!A7862,parameters!$D$3:$Y$3,0))</f>
        <v>1.8947368421052633</v>
      </c>
    </row>
    <row r="7863" spans="1:22" x14ac:dyDescent="0.2">
      <c r="A7863" t="s">
        <v>82</v>
      </c>
      <c r="B7863" s="46">
        <f>IF(B7854&lt;&gt;0,VLOOKUP(B7854,parameters!A5024:B5026,2,0),0)</f>
        <v>0</v>
      </c>
    </row>
    <row r="7864" spans="1:22" x14ac:dyDescent="0.2">
      <c r="A7864" t="s">
        <v>548</v>
      </c>
      <c r="B7864" s="50">
        <f>INDEX(parameters!$D$4:$P$20,MATCH(B7843&amp;B7845,parameters!$A$4:$A$20,0),MATCH(A7864,parameters!$D$3:$P$3,0))</f>
        <v>0.8</v>
      </c>
    </row>
    <row r="7865" spans="1:22" x14ac:dyDescent="0.2">
      <c r="A7865" t="s">
        <v>547</v>
      </c>
      <c r="B7865" s="51">
        <f>INDEX(parameters!$D$4:$P$20,MATCH(B7843&amp;B7845,parameters!$A$4:$A$20,0),MATCH(A7865,parameters!$D$3:$P$3,0))</f>
        <v>4.8780487804878048</v>
      </c>
    </row>
    <row r="7866" spans="1:22" x14ac:dyDescent="0.2">
      <c r="A7866" t="s">
        <v>630</v>
      </c>
      <c r="B7866" s="51">
        <f>INDEX(parameters!$D$4:$T$20,MATCH(B7843&amp;B7845,parameters!$A$4:$A$20,0),MATCH(A7866,parameters!$D$3:$T$3,0))</f>
        <v>4100</v>
      </c>
    </row>
    <row r="7867" spans="1:22" x14ac:dyDescent="0.2">
      <c r="A7867" t="s">
        <v>1005</v>
      </c>
      <c r="B7867" s="50">
        <f>IF(B7839="megajoule",SUMIFS(allocation!$I$4:$I$30,allocation!$B$4:$B$30,B7845,allocation!$C$4:$C$30,B7846),SUMIFS(allocation!$J$4:$J$30,allocation!$B$4:$B$30,B7845,allocation!$C$4:$C$30,B7846))</f>
        <v>0.86066019201025545</v>
      </c>
    </row>
    <row r="7868" spans="1:22" x14ac:dyDescent="0.2">
      <c r="A7868" t="s">
        <v>1050</v>
      </c>
      <c r="B7868" s="51">
        <f>INDEX(parameters!$D$4:$AB$20,MATCH(B7843&amp;B7845,parameters!$A$4:$A$20,0),MATCH(A7868,parameters!$D$3:$AB$3,0))</f>
        <v>10.221606648199446</v>
      </c>
    </row>
    <row r="7870" spans="1:22" x14ac:dyDescent="0.2">
      <c r="A7870" s="3" t="s">
        <v>57</v>
      </c>
    </row>
    <row r="7871" spans="1:22" x14ac:dyDescent="0.2">
      <c r="A7871" s="2" t="s">
        <v>58</v>
      </c>
      <c r="B7871" s="44" t="s">
        <v>59</v>
      </c>
      <c r="C7871" s="2" t="s">
        <v>55</v>
      </c>
      <c r="D7871" s="2" t="s">
        <v>60</v>
      </c>
      <c r="E7871" s="2" t="s">
        <v>52</v>
      </c>
      <c r="F7871" s="2" t="s">
        <v>61</v>
      </c>
      <c r="G7871" s="2" t="s">
        <v>54</v>
      </c>
      <c r="H7871" s="2" t="s">
        <v>87</v>
      </c>
      <c r="I7871" s="2" t="s">
        <v>51</v>
      </c>
      <c r="J7871" s="2" t="s">
        <v>138</v>
      </c>
      <c r="K7871" s="2" t="s">
        <v>136</v>
      </c>
      <c r="L7871" s="2" t="s">
        <v>221</v>
      </c>
      <c r="M7871" s="2" t="s">
        <v>379</v>
      </c>
      <c r="N7871" s="2" t="s">
        <v>1059</v>
      </c>
      <c r="O7871" s="2" t="s">
        <v>1060</v>
      </c>
      <c r="P7871" s="2" t="s">
        <v>1061</v>
      </c>
      <c r="Q7871" s="2" t="s">
        <v>1062</v>
      </c>
      <c r="R7871" s="2" t="s">
        <v>1063</v>
      </c>
      <c r="S7871" s="2" t="s">
        <v>1064</v>
      </c>
      <c r="T7871" s="2" t="s">
        <v>1065</v>
      </c>
      <c r="U7871" s="2" t="s">
        <v>380</v>
      </c>
      <c r="V7871" s="2" t="s">
        <v>1128</v>
      </c>
    </row>
    <row r="7872" spans="1:22" x14ac:dyDescent="0.2">
      <c r="A7872" t="str">
        <f>B7833</f>
        <v>electricity, residential, by conversion of hydrogen using fuel cell, PEM, allocated by exergy, transported by train, produced by Electrolysis, SOEC using water and electricity from Solar PV (DE)</v>
      </c>
      <c r="B7872" s="45">
        <v>1</v>
      </c>
      <c r="C7872" t="str">
        <f>B7839</f>
        <v>kilowatt hour</v>
      </c>
      <c r="E7872" t="str">
        <f>B7836</f>
        <v>CH</v>
      </c>
      <c r="F7872" t="s">
        <v>62</v>
      </c>
      <c r="G7872" t="str">
        <f>B7838</f>
        <v>electricity, from residential heating system</v>
      </c>
      <c r="K7872" t="str">
        <f>B7833</f>
        <v>electricity, residential, by conversion of hydrogen using fuel cell, PEM, allocated by exergy, transported by train, produced by Electrolysis, SOEC using water and electricity from Solar PV (DE)</v>
      </c>
    </row>
    <row r="7873" spans="1:21" x14ac:dyDescent="0.2">
      <c r="A7873" t="str">
        <f>VLOOKUP(J7873,'dataset mapping'!$A$4:$E$69,2,0)</f>
        <v>fuel cell system assembly, 1 kWe, proton exchange membrane (PEM)</v>
      </c>
      <c r="B7873" s="52">
        <f>1/(80000)/0.5*SUMIFS(allocation!$I$4:$I$30,allocation!$B$4:$B$30,'hydrogen - electrolysis'!B7845,allocation!$C$4:$C$30,'hydrogen - electrolysis'!B7846)</f>
        <v>3.4834951997436147E-6</v>
      </c>
      <c r="C7873" t="str">
        <f>VLOOKUP(J7873,'dataset mapping'!$A$4:$E$69,5,0)</f>
        <v>unit</v>
      </c>
      <c r="E7873" t="str">
        <f>VLOOKUP(J7873,'dataset mapping'!$A$4:$E$69,4,0)</f>
        <v>GLO</v>
      </c>
      <c r="F7873" t="s">
        <v>86</v>
      </c>
      <c r="G7873" t="str">
        <f>VLOOKUP(J7873,'dataset mapping'!$A$4:$E$69,3,0)</f>
        <v>fuel cell system, 1 kWe, proton exchange membrane (PEM)</v>
      </c>
      <c r="H7873" t="s">
        <v>88</v>
      </c>
      <c r="I7873" t="s">
        <v>272</v>
      </c>
      <c r="J7873" t="s">
        <v>273</v>
      </c>
      <c r="K7873" t="str">
        <f>B7833</f>
        <v>electricity, residential, by conversion of hydrogen using fuel cell, PEM, allocated by exergy, transported by train, produced by Electrolysis, SOEC using water and electricity from Solar PV (DE)</v>
      </c>
      <c r="L7873">
        <f t="shared" ref="L7873:L7877" si="322">IF(OR(B7873&lt;0,B7873=0),1,2)</f>
        <v>2</v>
      </c>
      <c r="M7873">
        <f t="shared" ref="M7873:M7877" si="323">IF(L7873=2,LN(B7873),"")</f>
        <v>-12.567474400475287</v>
      </c>
      <c r="N7873">
        <v>1</v>
      </c>
      <c r="O7873" s="15">
        <v>1.2</v>
      </c>
      <c r="P7873">
        <v>1</v>
      </c>
      <c r="Q7873">
        <v>1.01</v>
      </c>
      <c r="R7873">
        <v>1.2</v>
      </c>
      <c r="S7873">
        <v>1.2</v>
      </c>
      <c r="T7873">
        <v>3</v>
      </c>
      <c r="U7873">
        <f t="shared" ref="U7873:U7877" si="324">LN(SQRT(EXP(
SQRT(
+POWER(LN(N7873),2)
+POWER(LN(O7873),2)
+POWER(LN(P7873),2)
+POWER(LN(Q7873),2)
+POWER(LN(R7873),2)
+POWER(LN(S7873),2)
+POWER(LN(T7873),2)
)
)))</f>
        <v>0.57157051623399524</v>
      </c>
    </row>
    <row r="7874" spans="1:21" x14ac:dyDescent="0.2">
      <c r="A7874" s="45" t="str">
        <f>"hydrogen supply, transported by "&amp;B7847&amp;", produced by "&amp;B7851&amp;" using "&amp;B7852&amp;" from "&amp;B7853</f>
        <v>hydrogen supply, transported by train, produced by Electrolysis, SOEC using water and electricity from Solar PV (DE)</v>
      </c>
      <c r="B7874" s="53">
        <f>(B7872/B7856)/B7855*B7867</f>
        <v>5.7377346134017029E-2</v>
      </c>
      <c r="C7874" t="s">
        <v>56</v>
      </c>
      <c r="E7874" t="s">
        <v>64</v>
      </c>
      <c r="F7874" t="s">
        <v>86</v>
      </c>
      <c r="G7874" t="str">
        <f>"hydrogen, gaseous, from "&amp;B7847</f>
        <v>hydrogen, gaseous, from train</v>
      </c>
      <c r="H7874" t="s">
        <v>76</v>
      </c>
      <c r="I7874" t="s">
        <v>1054</v>
      </c>
      <c r="J7874" t="s">
        <v>299</v>
      </c>
      <c r="K7874" t="str">
        <f>B7833</f>
        <v>electricity, residential, by conversion of hydrogen using fuel cell, PEM, allocated by exergy, transported by train, produced by Electrolysis, SOEC using water and electricity from Solar PV (DE)</v>
      </c>
      <c r="L7874">
        <f t="shared" si="322"/>
        <v>2</v>
      </c>
      <c r="M7874">
        <f t="shared" si="323"/>
        <v>-2.8581057202127536</v>
      </c>
      <c r="N7874">
        <v>1</v>
      </c>
      <c r="O7874" s="15">
        <v>1.2</v>
      </c>
      <c r="P7874">
        <v>1</v>
      </c>
      <c r="Q7874">
        <v>1.01</v>
      </c>
      <c r="R7874">
        <v>1.2</v>
      </c>
      <c r="S7874">
        <v>1.2</v>
      </c>
      <c r="T7874">
        <v>1.05</v>
      </c>
      <c r="U7874">
        <f t="shared" si="324"/>
        <v>0.15984597228197622</v>
      </c>
    </row>
    <row r="7875" spans="1:21" x14ac:dyDescent="0.2">
      <c r="A7875" t="str">
        <f>VLOOKUP(J7875,'dataset mapping'!$A$4:$E$69,2,0)</f>
        <v>market for transport, freight train</v>
      </c>
      <c r="B7875" s="45">
        <f>SUM(B7874:B7874)/1000*B7848*SUMIFS(allocation!$I$4:$I$30,allocation!$B$4:$B$30,'hydrogen - electrolysis'!B7845,allocation!$C$4:$C$30,'hydrogen - electrolysis'!B7846)</f>
        <v>7.9949483932750462E-3</v>
      </c>
      <c r="C7875" t="str">
        <f>VLOOKUP(J7875,'dataset mapping'!$A$4:$E$69,5,0)</f>
        <v>ton kilometer</v>
      </c>
      <c r="E7875" t="str">
        <f>VLOOKUP(J7875,'dataset mapping'!$A$4:$E$69,4,0)</f>
        <v>CH</v>
      </c>
      <c r="F7875" t="s">
        <v>86</v>
      </c>
      <c r="G7875" t="str">
        <f>VLOOKUP(J7875,'dataset mapping'!$A$4:$E$69,3,0)</f>
        <v>transport, freight train</v>
      </c>
      <c r="H7875" t="s">
        <v>88</v>
      </c>
      <c r="I7875" t="s">
        <v>1052</v>
      </c>
      <c r="J7875" t="s">
        <v>295</v>
      </c>
      <c r="K7875" t="str">
        <f>B7833</f>
        <v>electricity, residential, by conversion of hydrogen using fuel cell, PEM, allocated by exergy, transported by train, produced by Electrolysis, SOEC using water and electricity from Solar PV (DE)</v>
      </c>
      <c r="L7875">
        <f t="shared" si="322"/>
        <v>2</v>
      </c>
      <c r="M7875">
        <f t="shared" si="323"/>
        <v>-4.8289453875919683</v>
      </c>
      <c r="N7875">
        <v>1</v>
      </c>
      <c r="O7875" s="15">
        <v>1.2</v>
      </c>
      <c r="P7875">
        <v>1</v>
      </c>
      <c r="Q7875">
        <v>1.01</v>
      </c>
      <c r="R7875">
        <v>1.2</v>
      </c>
      <c r="S7875">
        <v>1.2</v>
      </c>
      <c r="T7875">
        <v>2</v>
      </c>
      <c r="U7875">
        <f t="shared" si="324"/>
        <v>0.38087907307228186</v>
      </c>
    </row>
    <row r="7876" spans="1:21" x14ac:dyDescent="0.2">
      <c r="A7876" t="str">
        <f>VLOOKUP(J7876,'dataset mapping'!$A$4:$E$69,2,0)</f>
        <v>high pressure hydrogen storage tank</v>
      </c>
      <c r="B7876" s="52">
        <f>((B7868/10)/(B7866*B7862*20))*IF(B7867&lt;&gt;0,B7867,1)</f>
        <v>5.6622381053306285E-6</v>
      </c>
      <c r="C7876" t="str">
        <f>VLOOKUP(J7876,'dataset mapping'!$A$4:$E$69,5,0)</f>
        <v>kilogram</v>
      </c>
      <c r="E7876" t="str">
        <f>VLOOKUP(J7876,'dataset mapping'!$A$4:$E$69,4,0)</f>
        <v>GLO</v>
      </c>
      <c r="F7876" t="s">
        <v>86</v>
      </c>
      <c r="G7876" t="str">
        <f>VLOOKUP(J7876,'dataset mapping'!$A$4:$E$69,3,0)</f>
        <v>high pressure hydrogen storage tank</v>
      </c>
      <c r="H7876" t="s">
        <v>88</v>
      </c>
      <c r="I7876" t="s">
        <v>280</v>
      </c>
      <c r="J7876" t="s">
        <v>229</v>
      </c>
      <c r="K7876" t="str">
        <f>B7833</f>
        <v>electricity, residential, by conversion of hydrogen using fuel cell, PEM, allocated by exergy, transported by train, produced by Electrolysis, SOEC using water and electricity from Solar PV (DE)</v>
      </c>
      <c r="L7876">
        <f t="shared" si="322"/>
        <v>2</v>
      </c>
      <c r="M7876">
        <f t="shared" si="323"/>
        <v>-12.081691318938956</v>
      </c>
      <c r="N7876">
        <v>1</v>
      </c>
      <c r="O7876" s="15">
        <v>1.2</v>
      </c>
      <c r="P7876">
        <v>1</v>
      </c>
      <c r="Q7876">
        <v>1.01</v>
      </c>
      <c r="R7876">
        <v>1.2</v>
      </c>
      <c r="S7876">
        <v>1.2</v>
      </c>
      <c r="T7876">
        <v>3</v>
      </c>
      <c r="U7876">
        <f t="shared" si="324"/>
        <v>0.57157051623399524</v>
      </c>
    </row>
    <row r="7877" spans="1:21" x14ac:dyDescent="0.2">
      <c r="A7877" t="s">
        <v>134</v>
      </c>
      <c r="B7877" s="45">
        <f>B7874*9</f>
        <v>0.51639611520615325</v>
      </c>
      <c r="C7877" t="s">
        <v>56</v>
      </c>
      <c r="D7877" t="s">
        <v>100</v>
      </c>
      <c r="F7877" t="s">
        <v>99</v>
      </c>
      <c r="H7877" t="s">
        <v>131</v>
      </c>
      <c r="I7877" t="s">
        <v>1057</v>
      </c>
      <c r="K7877" t="str">
        <f>B7833</f>
        <v>electricity, residential, by conversion of hydrogen using fuel cell, PEM, allocated by exergy, transported by train, produced by Electrolysis, SOEC using water and electricity from Solar PV (DE)</v>
      </c>
      <c r="L7877">
        <f t="shared" si="322"/>
        <v>2</v>
      </c>
      <c r="M7877">
        <f t="shared" si="323"/>
        <v>-0.6608811428765341</v>
      </c>
      <c r="N7877">
        <v>1</v>
      </c>
      <c r="O7877" s="15">
        <v>1.2</v>
      </c>
      <c r="P7877">
        <v>1</v>
      </c>
      <c r="Q7877">
        <v>1.01</v>
      </c>
      <c r="R7877">
        <v>1.2</v>
      </c>
      <c r="S7877">
        <v>1.2</v>
      </c>
      <c r="T7877">
        <v>1.05</v>
      </c>
      <c r="U7877">
        <f t="shared" si="324"/>
        <v>0.15984597228197622</v>
      </c>
    </row>
    <row r="7879" spans="1:21" x14ac:dyDescent="0.2">
      <c r="A7879" s="2" t="s">
        <v>50</v>
      </c>
      <c r="B7879" s="44" t="str">
        <f>IF(B7885="megajoule","heat","electricity")&amp;", residential, by "&amp;B7890&amp;" of "&amp;B7889&amp;" using "&amp;B7891&amp;IF(B7892&lt;&gt;0,", allocated by "&amp;B7892,"")&amp;", transported by "&amp;B7893&amp;", produced by "&amp;B7897&amp;" using "&amp;B7898&amp;" from "&amp;B7899</f>
        <v>electricity, residential, by conversion of hydrogen using fuel cell, SOFC, allocated by exergy, transported by train, produced by Electrolysis, SOEC using water and electricity from Solar PV (DE)</v>
      </c>
    </row>
    <row r="7880" spans="1:21" x14ac:dyDescent="0.2">
      <c r="A7880" t="s">
        <v>51</v>
      </c>
      <c r="B7880" s="45" t="str">
        <f>"This dataset represents the supply of 1 "&amp;IF(B7885="megajoule","megajoule of heat","kilowatt hour of electricity")&amp;" in a residence, by "&amp;B7889&amp;" "&amp;B7890&amp;" in a "&amp;B7891&amp;". "&amp;" The hydrogen is transported by "&amp;B7893&amp;" over "&amp;B7894&amp;" km from regional storage. "&amp;" The "&amp;B7889&amp;" is produced by  "&amp;B7897&amp;", with "&amp;B7898&amp;" from "&amp;B7899&amp;" as feedstock. "&amp;A7901&amp;": "&amp;(B7901*100)&amp;"%. "&amp;A7902&amp;": "&amp;B7902&amp;". "&amp;A7903&amp;": "&amp;B7903&amp;". "&amp;A7904&amp;": "&amp;(B7904*100)&amp;"%. "&amp;A7905&amp;": "&amp;(B7905*100)&amp;"%. "&amp;A7906&amp;": "&amp;(B7906*100)&amp;"%. "&amp;A7907&amp;": "&amp;B7907&amp;". "&amp;A7908&amp;": "&amp;B7908&amp;". "&amp;A7909&amp;": "&amp;(B7909*100)&amp;"%. "&amp;A7910&amp;": "&amp;B7910&amp;". "&amp;A7911&amp;": "&amp;B7911&amp;". "&amp;A7912&amp;": "&amp;B7912&amp;". "&amp;A7913&amp;": "&amp;B7913&amp;".  For more information, refer to: "&amp;B7881</f>
        <v>This dataset represents the supply of 1 kilowatt hour of electricity in a residence, by hydrogen conversion in a fuel cell, SOFC.  The hydrogen is transported by train over 1000 km from regional storage.  The hydrogen is produced by  Electrolysis, SOEC, with water and electricity from Solar PV (DE)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7881" spans="1:21" x14ac:dyDescent="0.2">
      <c r="A7881" t="s">
        <v>63</v>
      </c>
      <c r="B7881" s="45" t="s">
        <v>1223</v>
      </c>
    </row>
    <row r="7882" spans="1:21" x14ac:dyDescent="0.2">
      <c r="A7882" t="s">
        <v>52</v>
      </c>
      <c r="B7882" s="45" t="s">
        <v>64</v>
      </c>
    </row>
    <row r="7883" spans="1:21" x14ac:dyDescent="0.2">
      <c r="A7883" t="s">
        <v>48</v>
      </c>
      <c r="B7883" s="45" t="s">
        <v>936</v>
      </c>
    </row>
    <row r="7884" spans="1:21" x14ac:dyDescent="0.2">
      <c r="A7884" t="s">
        <v>54</v>
      </c>
      <c r="B7884" s="45" t="str">
        <f>INDEX(overview!$B$4:$R$338,MATCH('hydrogen - electrolysis'!B7883,overview!$A$4:$A$338,0),MATCH('hydrogen - electrolysis'!A7884,overview!$B$3:$R$3,0))</f>
        <v>electricity, from residential heating system</v>
      </c>
    </row>
    <row r="7885" spans="1:21" x14ac:dyDescent="0.2">
      <c r="A7885" t="s">
        <v>55</v>
      </c>
      <c r="B7885" s="45" t="str">
        <f>INDEX(overview!$B$4:$R$338,MATCH('hydrogen - electrolysis'!B7883,overview!$A$4:$A$338,0),MATCH('hydrogen - electrolysis'!A7885,overview!$B$3:$R$3,0))</f>
        <v>kilowatt hour</v>
      </c>
    </row>
    <row r="7886" spans="1:21" x14ac:dyDescent="0.2">
      <c r="A7886" t="s">
        <v>0</v>
      </c>
      <c r="B7886" s="45" t="str">
        <f>INDEX(overview!$B$4:$R$338,MATCH('hydrogen - electrolysis'!B7883,overview!$A$4:$A$338,0),MATCH('hydrogen - electrolysis'!A7886,overview!$B$3:$R$3,0))</f>
        <v>Switzerland</v>
      </c>
    </row>
    <row r="7887" spans="1:21" x14ac:dyDescent="0.2">
      <c r="A7887" t="s">
        <v>1</v>
      </c>
      <c r="B7887" s="45">
        <f>INDEX(overview!$B$4:$R$338,MATCH('hydrogen - electrolysis'!B7883,overview!$A$4:$A$338,0),MATCH('hydrogen - electrolysis'!A7887,overview!$B$3:$R$3,0))</f>
        <v>2020</v>
      </c>
    </row>
    <row r="7888" spans="1:21" x14ac:dyDescent="0.2">
      <c r="A7888" t="s">
        <v>2</v>
      </c>
      <c r="B7888" s="45" t="str">
        <f>INDEX(overview!$B$4:$R$338,MATCH('hydrogen - electrolysis'!B7883,overview!$A$4:$A$338,0),MATCH('hydrogen - electrolysis'!A7888,overview!$B$3:$R$3,0))</f>
        <v>1 kWh electricity</v>
      </c>
    </row>
    <row r="7889" spans="1:2" x14ac:dyDescent="0.2">
      <c r="A7889" t="s">
        <v>5</v>
      </c>
      <c r="B7889" s="45" t="str">
        <f>INDEX(overview!$B$4:$R$338,MATCH('hydrogen - electrolysis'!B7883,overview!$A$4:$A$338,0),MATCH('hydrogen - electrolysis'!A7889,overview!$B$3:$R$3,0))</f>
        <v>hydrogen</v>
      </c>
    </row>
    <row r="7890" spans="1:2" x14ac:dyDescent="0.2">
      <c r="A7890" t="s">
        <v>3</v>
      </c>
      <c r="B7890" s="45" t="str">
        <f>INDEX(overview!$B$4:$R$338,MATCH('hydrogen - electrolysis'!B7883,overview!$A$4:$A$338,0),MATCH('hydrogen - electrolysis'!A7890,overview!$B$3:$R$3,0))</f>
        <v>conversion</v>
      </c>
    </row>
    <row r="7891" spans="1:2" x14ac:dyDescent="0.2">
      <c r="A7891" t="s">
        <v>6</v>
      </c>
      <c r="B7891" s="45" t="str">
        <f>INDEX(overview!$B$4:$R$338,MATCH('hydrogen - electrolysis'!B7883,overview!$A$4:$A$338,0),MATCH('hydrogen - electrolysis'!A7891,overview!$B$3:$R$3,0))</f>
        <v>fuel cell, SOFC</v>
      </c>
    </row>
    <row r="7892" spans="1:2" x14ac:dyDescent="0.2">
      <c r="A7892" t="s">
        <v>39</v>
      </c>
      <c r="B7892" s="45" t="str">
        <f>INDEX(overview!$B$4:$R$338,MATCH('hydrogen - electrolysis'!B7883,overview!$A$4:$A$338,0),MATCH('hydrogen - electrolysis'!A7892,overview!$B$3:$R$3,0))</f>
        <v>exergy</v>
      </c>
    </row>
    <row r="7893" spans="1:2" x14ac:dyDescent="0.2">
      <c r="A7893" t="s">
        <v>4</v>
      </c>
      <c r="B7893" s="45" t="str">
        <f>INDEX(overview!$B$4:$R$338,MATCH('hydrogen - electrolysis'!B7883,overview!$A$4:$A$338,0),MATCH('hydrogen - electrolysis'!A7893,overview!$B$3:$R$3,0))</f>
        <v>train</v>
      </c>
    </row>
    <row r="7894" spans="1:2" x14ac:dyDescent="0.2">
      <c r="A7894" t="s">
        <v>38</v>
      </c>
      <c r="B7894" s="45">
        <f>INDEX(overview!$B$4:$R$338,MATCH('hydrogen - electrolysis'!B7883,overview!$A$4:$A$338,0),MATCH('hydrogen - electrolysis'!A7894,overview!$B$3:$R$3,0))</f>
        <v>1000</v>
      </c>
    </row>
    <row r="7895" spans="1:2" x14ac:dyDescent="0.2">
      <c r="A7895" t="s">
        <v>12</v>
      </c>
      <c r="B7895" s="45" t="str">
        <f>INDEX(overview!$B$4:$R$338,MATCH('hydrogen - electrolysis'!B7883,overview!$A$4:$A$338,0),MATCH('hydrogen - electrolysis'!A7895,overview!$B$3:$R$3,0))</f>
        <v>Pressure vessel for stationary storage</v>
      </c>
    </row>
    <row r="7896" spans="1:2" x14ac:dyDescent="0.2">
      <c r="A7896" t="s">
        <v>34</v>
      </c>
      <c r="B7896" s="45">
        <f>INDEX(overview!$B$4:$R$338,MATCH('hydrogen - electrolysis'!B7883,overview!$A$4:$A$338,0),MATCH('hydrogen - electrolysis'!A7896,overview!$B$3:$R$3,0))</f>
        <v>0</v>
      </c>
    </row>
    <row r="7897" spans="1:2" x14ac:dyDescent="0.2">
      <c r="A7897" t="s">
        <v>15</v>
      </c>
      <c r="B7897" s="45" t="str">
        <f>INDEX(overview!$B$4:$R$338,MATCH('hydrogen - electrolysis'!B7883,overview!$A$4:$A$338,0),MATCH('hydrogen - electrolysis'!A7897,overview!$B$3:$R$3,0))</f>
        <v>Electrolysis, SOEC</v>
      </c>
    </row>
    <row r="7898" spans="1:2" x14ac:dyDescent="0.2">
      <c r="A7898" t="s">
        <v>14</v>
      </c>
      <c r="B7898" s="45" t="str">
        <f>INDEX(overview!$B$4:$R$338,MATCH('hydrogen - electrolysis'!B7883,overview!$A$4:$A$338,0),MATCH('hydrogen - electrolysis'!A7898,overview!$B$3:$R$3,0))</f>
        <v>water and electricity</v>
      </c>
    </row>
    <row r="7899" spans="1:2" x14ac:dyDescent="0.2">
      <c r="A7899" t="s">
        <v>26</v>
      </c>
      <c r="B7899" s="45" t="str">
        <f>INDEX(overview!$B$4:$R$338,MATCH('hydrogen - electrolysis'!B7883,overview!$A$4:$A$338,0),MATCH('hydrogen - electrolysis'!A7899,overview!$B$3:$R$3,0))</f>
        <v>Solar PV (DE)</v>
      </c>
    </row>
    <row r="7900" spans="1:2" x14ac:dyDescent="0.2">
      <c r="A7900" t="s">
        <v>29</v>
      </c>
      <c r="B7900" s="45">
        <f>INDEX(overview!$B$4:$R$338,MATCH('hydrogen - electrolysis'!B7883,overview!$A$4:$A$338,0),MATCH('hydrogen - electrolysis'!A7900,overview!$B$3:$R$3,0))</f>
        <v>0</v>
      </c>
    </row>
    <row r="7901" spans="1:2" x14ac:dyDescent="0.2">
      <c r="A7901" t="str">
        <f>IF(B7885="megajoule","Heat","Electricity")&amp;" conversion efficiency [% LHV input]"</f>
        <v>Electricity conversion efficiency [% LHV input]</v>
      </c>
      <c r="B7901" s="46">
        <f>INDEX(parameters!$D$4:$N$20,MATCH('hydrogen - electrolysis'!B7889&amp;'hydrogen - electrolysis'!B7891,parameters!$A$4:$A$20,0),MATCH('hydrogen - electrolysis'!A7901,parameters!$D$3:$N$3,0))</f>
        <v>0.47</v>
      </c>
    </row>
    <row r="7902" spans="1:2" x14ac:dyDescent="0.2">
      <c r="A7902" t="str">
        <f>IF(B7885="megajoule","LHV [MJ/kg]","LHV [kWh/kg]")</f>
        <v>LHV [kWh/kg]</v>
      </c>
      <c r="B7902" s="47">
        <f>INDEX(parameters!$D$4:$N$20,MATCH('hydrogen - electrolysis'!B7889&amp;'hydrogen - electrolysis'!B7891,parameters!$A$4:$A$20,0),MATCH('hydrogen - electrolysis'!A7902,parameters!$D$3:$N$3,0))</f>
        <v>33.333333333333336</v>
      </c>
    </row>
    <row r="7903" spans="1:2" x14ac:dyDescent="0.2">
      <c r="A7903" t="s">
        <v>41</v>
      </c>
      <c r="B7903" s="48">
        <f>INDEX(parameters!$D$4:$N$20,MATCH('hydrogen - electrolysis'!B7889&amp;'hydrogen - electrolysis'!B7891,parameters!$A$4:$A$20,0),MATCH('hydrogen - electrolysis'!A7903,parameters!$D$3:$N$3,0))</f>
        <v>2.6666666666666665E-2</v>
      </c>
    </row>
    <row r="7904" spans="1:2" x14ac:dyDescent="0.2">
      <c r="A7904" t="s">
        <v>45</v>
      </c>
      <c r="B7904" s="46">
        <f>INDEX(parameters!$D$4:$N$20,MATCH('hydrogen - electrolysis'!B7889&amp;'hydrogen - electrolysis'!B7891,parameters!$A$4:$A$20,0),MATCH('hydrogen - electrolysis'!A7904,parameters!$D$3:$N$3,0))</f>
        <v>0</v>
      </c>
    </row>
    <row r="7905" spans="1:22" x14ac:dyDescent="0.2">
      <c r="A7905" t="s">
        <v>46</v>
      </c>
      <c r="B7905" s="46">
        <f>INDEX(parameters!$D$4:$N$20,MATCH('hydrogen - electrolysis'!B7889&amp;'hydrogen - electrolysis'!B7891,parameters!$A$4:$A$20,0),MATCH('hydrogen - electrolysis'!A7905,parameters!$D$3:$N$3,0))</f>
        <v>1.4999999999999999E-2</v>
      </c>
    </row>
    <row r="7906" spans="1:22" x14ac:dyDescent="0.2">
      <c r="A7906" t="s">
        <v>43</v>
      </c>
      <c r="B7906" s="46">
        <f>INDEX(parameters!$D$4:$N$20,MATCH('hydrogen - electrolysis'!B7889&amp;'hydrogen - electrolysis'!B7891,parameters!$A$4:$A$20,0),MATCH('hydrogen - electrolysis'!A7906,parameters!$D$3:$N$3,0))</f>
        <v>0</v>
      </c>
    </row>
    <row r="7907" spans="1:22" x14ac:dyDescent="0.2">
      <c r="A7907" t="s">
        <v>44</v>
      </c>
      <c r="B7907" s="46">
        <f>INDEX(parameters!$D$4:$N$20,MATCH('hydrogen - electrolysis'!B7889&amp;'hydrogen - electrolysis'!B7891,parameters!$A$4:$A$20,0),MATCH('hydrogen - electrolysis'!A7907,parameters!$D$3:$N$3,0))</f>
        <v>0</v>
      </c>
    </row>
    <row r="7908" spans="1:22" x14ac:dyDescent="0.2">
      <c r="A7908" t="s">
        <v>634</v>
      </c>
      <c r="B7908" s="51">
        <f>INDEX(parameters!$D$4:$Y$20,MATCH('hydrogen - electrolysis'!B7889&amp;'hydrogen - electrolysis'!B7891,parameters!$A$4:$A$20,0),MATCH('hydrogen - electrolysis'!A7908,parameters!$D$3:$Y$3,0))</f>
        <v>225</v>
      </c>
      <c r="D7908" s="8"/>
    </row>
    <row r="7909" spans="1:22" x14ac:dyDescent="0.2">
      <c r="A7909" t="s">
        <v>82</v>
      </c>
      <c r="B7909" s="46">
        <f>IF(B7900&lt;&gt;0,VLOOKUP(B7900,parameters!A5072:B5074,2,0),0)</f>
        <v>0</v>
      </c>
    </row>
    <row r="7910" spans="1:22" x14ac:dyDescent="0.2">
      <c r="A7910" t="s">
        <v>548</v>
      </c>
      <c r="B7910" s="50">
        <f>INDEX(parameters!$D$4:$P$20,MATCH(B7889&amp;B7891,parameters!$A$4:$A$20,0),MATCH(A7910,parameters!$D$3:$P$3,0))</f>
        <v>100</v>
      </c>
    </row>
    <row r="7911" spans="1:22" x14ac:dyDescent="0.2">
      <c r="A7911" t="s">
        <v>547</v>
      </c>
      <c r="B7911" s="51">
        <f>INDEX(parameters!$D$4:$P$20,MATCH(B7889&amp;B7891,parameters!$A$4:$A$20,0),MATCH(A7911,parameters!$D$3:$P$3,0))</f>
        <v>6</v>
      </c>
    </row>
    <row r="7912" spans="1:22" x14ac:dyDescent="0.2">
      <c r="A7912" t="s">
        <v>630</v>
      </c>
      <c r="B7912" s="51">
        <f>INDEX(parameters!$D$4:$T$20,MATCH(B7889&amp;B7891,parameters!$A$4:$A$20,0),MATCH(A7912,parameters!$D$3:$T$3,0))</f>
        <v>4100</v>
      </c>
    </row>
    <row r="7913" spans="1:22" x14ac:dyDescent="0.2">
      <c r="A7913" t="s">
        <v>1005</v>
      </c>
      <c r="B7913" s="50">
        <f>IF(B7885="megajoule",SUMIFS(allocation!$I$4:$I$30,allocation!$B$4:$B$30,B7891,allocation!$C$4:$C$30,B7892),SUMIFS(allocation!$J$4:$J$30,allocation!$B$4:$B$30,B7891,allocation!$C$4:$C$30,B7892))</f>
        <v>0.86412493489600906</v>
      </c>
    </row>
    <row r="7914" spans="1:22" x14ac:dyDescent="0.2">
      <c r="A7914" t="s">
        <v>1050</v>
      </c>
      <c r="B7914" s="51">
        <f>INDEX(parameters!$D$4:$AB$20,MATCH(B7889&amp;B7891,parameters!$A$4:$A$20,0),MATCH(A7914,parameters!$D$3:$AB$3,0))</f>
        <v>1153.1249999999998</v>
      </c>
    </row>
    <row r="7916" spans="1:22" x14ac:dyDescent="0.2">
      <c r="A7916" s="3" t="s">
        <v>57</v>
      </c>
    </row>
    <row r="7917" spans="1:22" x14ac:dyDescent="0.2">
      <c r="A7917" s="2" t="s">
        <v>58</v>
      </c>
      <c r="B7917" s="44" t="s">
        <v>59</v>
      </c>
      <c r="C7917" s="2" t="s">
        <v>55</v>
      </c>
      <c r="D7917" s="2" t="s">
        <v>60</v>
      </c>
      <c r="E7917" s="2" t="s">
        <v>52</v>
      </c>
      <c r="F7917" s="2" t="s">
        <v>61</v>
      </c>
      <c r="G7917" s="2" t="s">
        <v>54</v>
      </c>
      <c r="H7917" s="2" t="s">
        <v>87</v>
      </c>
      <c r="I7917" s="2" t="s">
        <v>51</v>
      </c>
      <c r="J7917" s="2" t="s">
        <v>138</v>
      </c>
      <c r="K7917" s="2" t="s">
        <v>136</v>
      </c>
      <c r="L7917" s="2" t="s">
        <v>221</v>
      </c>
      <c r="M7917" s="2" t="s">
        <v>379</v>
      </c>
      <c r="N7917" s="2" t="s">
        <v>1059</v>
      </c>
      <c r="O7917" s="2" t="s">
        <v>1060</v>
      </c>
      <c r="P7917" s="2" t="s">
        <v>1061</v>
      </c>
      <c r="Q7917" s="2" t="s">
        <v>1062</v>
      </c>
      <c r="R7917" s="2" t="s">
        <v>1063</v>
      </c>
      <c r="S7917" s="2" t="s">
        <v>1064</v>
      </c>
      <c r="T7917" s="2" t="s">
        <v>1065</v>
      </c>
      <c r="U7917" s="2" t="s">
        <v>380</v>
      </c>
      <c r="V7917" s="2" t="s">
        <v>1128</v>
      </c>
    </row>
    <row r="7918" spans="1:22" x14ac:dyDescent="0.2">
      <c r="A7918" t="str">
        <f>B7879</f>
        <v>electricity, residential, by conversion of hydrogen using fuel cell, SOFC, allocated by exergy, transported by train, produced by Electrolysis, SOEC using water and electricity from Solar PV (DE)</v>
      </c>
      <c r="B7918" s="45">
        <v>1</v>
      </c>
      <c r="C7918" t="str">
        <f>B7885</f>
        <v>kilowatt hour</v>
      </c>
      <c r="E7918" t="str">
        <f>B7882</f>
        <v>CH</v>
      </c>
      <c r="F7918" t="s">
        <v>62</v>
      </c>
      <c r="G7918" t="str">
        <f>B7884</f>
        <v>electricity, from residential heating system</v>
      </c>
      <c r="K7918" t="str">
        <f>B7879</f>
        <v>electricity, residential, by conversion of hydrogen using fuel cell, SOFC, allocated by exergy, transported by train, produced by Electrolysis, SOEC using water and electricity from Solar PV (DE)</v>
      </c>
    </row>
    <row r="7919" spans="1:22" x14ac:dyDescent="0.2">
      <c r="A7919" t="str">
        <f>VLOOKUP(J7919,'dataset mapping'!$A$4:$E$69,2,0)</f>
        <v>fuel cell production, stack solid oxide, 125kW electrical, future</v>
      </c>
      <c r="B7919" s="52">
        <f>(1/(B7908*B7912*B7911))*B7913</f>
        <v>1.5612013277254003E-7</v>
      </c>
      <c r="C7919" t="str">
        <f>VLOOKUP(J7919,'dataset mapping'!$A$4:$E$69,5,0)</f>
        <v>unit</v>
      </c>
      <c r="E7919" t="str">
        <f>VLOOKUP(J7919,'dataset mapping'!$A$4:$E$69,4,0)</f>
        <v>CH</v>
      </c>
      <c r="F7919" t="s">
        <v>86</v>
      </c>
      <c r="G7919" t="str">
        <f>VLOOKUP(J7919,'dataset mapping'!$A$4:$E$69,3,0)</f>
        <v>fuel cell, stack solid oxide, 125kW electrical, future</v>
      </c>
      <c r="H7919" t="s">
        <v>88</v>
      </c>
      <c r="I7919" t="s">
        <v>277</v>
      </c>
      <c r="J7919" t="s">
        <v>274</v>
      </c>
      <c r="K7919" t="str">
        <f>B7879</f>
        <v>electricity, residential, by conversion of hydrogen using fuel cell, SOFC, allocated by exergy, transported by train, produced by Electrolysis, SOEC using water and electricity from Solar PV (DE)</v>
      </c>
      <c r="L7919">
        <f t="shared" ref="L7919:L7925" si="325">IF(OR(B7919&lt;0,B7919=0),1,2)</f>
        <v>2</v>
      </c>
      <c r="M7919">
        <f t="shared" ref="M7919:M7925" si="326">IF(L7919=2,LN(B7919),"")</f>
        <v>-15.672640044182527</v>
      </c>
      <c r="N7919">
        <v>1</v>
      </c>
      <c r="O7919" s="15">
        <v>1.2</v>
      </c>
      <c r="P7919">
        <v>1</v>
      </c>
      <c r="Q7919">
        <v>1.01</v>
      </c>
      <c r="R7919">
        <v>1.2</v>
      </c>
      <c r="S7919">
        <v>1.2</v>
      </c>
      <c r="T7919">
        <v>3</v>
      </c>
      <c r="U7919">
        <f t="shared" ref="U7919:U7925" si="327">LN(SQRT(EXP(
SQRT(
+POWER(LN(N7919),2)
+POWER(LN(O7919),2)
+POWER(LN(P7919),2)
+POWER(LN(Q7919),2)
+POWER(LN(R7919),2)
+POWER(LN(S7919),2)
+POWER(LN(T7919),2)
)
)))</f>
        <v>0.57157051623399524</v>
      </c>
    </row>
    <row r="7920" spans="1:22" x14ac:dyDescent="0.2">
      <c r="A7920" t="s">
        <v>283</v>
      </c>
      <c r="B7920" s="52">
        <f>(1/(B7908*B7912*B7911))*B7913</f>
        <v>1.5612013277254003E-7</v>
      </c>
      <c r="C7920" t="s">
        <v>55</v>
      </c>
      <c r="E7920" t="s">
        <v>64</v>
      </c>
      <c r="F7920" t="s">
        <v>86</v>
      </c>
      <c r="G7920" t="s">
        <v>284</v>
      </c>
      <c r="H7920" t="s">
        <v>88</v>
      </c>
      <c r="I7920" t="s">
        <v>277</v>
      </c>
      <c r="K7920" t="str">
        <f>B7879</f>
        <v>electricity, residential, by conversion of hydrogen using fuel cell, SOFC, allocated by exergy, transported by train, produced by Electrolysis, SOEC using water and electricity from Solar PV (DE)</v>
      </c>
      <c r="L7920">
        <f t="shared" si="325"/>
        <v>2</v>
      </c>
      <c r="M7920">
        <f t="shared" si="326"/>
        <v>-15.672640044182527</v>
      </c>
      <c r="N7920">
        <v>1</v>
      </c>
      <c r="O7920" s="15">
        <v>1.2</v>
      </c>
      <c r="P7920">
        <v>1</v>
      </c>
      <c r="Q7920">
        <v>1.01</v>
      </c>
      <c r="R7920">
        <v>1.2</v>
      </c>
      <c r="S7920">
        <v>1.2</v>
      </c>
      <c r="T7920">
        <v>3</v>
      </c>
      <c r="U7920">
        <f t="shared" si="327"/>
        <v>0.57157051623399524</v>
      </c>
    </row>
    <row r="7921" spans="1:21" x14ac:dyDescent="0.2">
      <c r="A7921" t="s">
        <v>288</v>
      </c>
      <c r="B7921" s="52">
        <f>0.000024*B7913</f>
        <v>2.0738998437504217E-5</v>
      </c>
      <c r="C7921" t="s">
        <v>56</v>
      </c>
      <c r="E7921" t="s">
        <v>64</v>
      </c>
      <c r="F7921" t="s">
        <v>86</v>
      </c>
      <c r="G7921" t="s">
        <v>287</v>
      </c>
      <c r="H7921" t="s">
        <v>88</v>
      </c>
      <c r="K7921" t="str">
        <f>B7879</f>
        <v>electricity, residential, by conversion of hydrogen using fuel cell, SOFC, allocated by exergy, transported by train, produced by Electrolysis, SOEC using water and electricity from Solar PV (DE)</v>
      </c>
      <c r="L7921">
        <f t="shared" si="325"/>
        <v>2</v>
      </c>
      <c r="M7921">
        <f t="shared" si="326"/>
        <v>-10.783494647673981</v>
      </c>
      <c r="N7921">
        <v>1</v>
      </c>
      <c r="O7921" s="15">
        <v>1.2</v>
      </c>
      <c r="P7921">
        <v>1</v>
      </c>
      <c r="Q7921">
        <v>1.01</v>
      </c>
      <c r="R7921">
        <v>1.2</v>
      </c>
      <c r="S7921">
        <v>1.2</v>
      </c>
      <c r="T7921">
        <v>1.05</v>
      </c>
      <c r="U7921">
        <f t="shared" si="327"/>
        <v>0.15984597228197622</v>
      </c>
    </row>
    <row r="7922" spans="1:21" x14ac:dyDescent="0.2">
      <c r="A7922" s="45" t="str">
        <f>"hydrogen supply, transported by "&amp;B7893&amp;", produced by "&amp;B7897&amp;" using "&amp;B7898&amp;" from "&amp;B7899</f>
        <v>hydrogen supply, transported by train, produced by Electrolysis, SOEC using water and electricity from Solar PV (DE)</v>
      </c>
      <c r="B7922" s="53">
        <f>(B7918/B7902)/B7901*B7913</f>
        <v>5.515691073804313E-2</v>
      </c>
      <c r="C7922" t="s">
        <v>56</v>
      </c>
      <c r="E7922" t="s">
        <v>64</v>
      </c>
      <c r="F7922" t="s">
        <v>86</v>
      </c>
      <c r="G7922" t="str">
        <f>"hydrogen, gaseous, from "&amp;B7893</f>
        <v>hydrogen, gaseous, from train</v>
      </c>
      <c r="H7922" t="s">
        <v>76</v>
      </c>
      <c r="I7922" t="s">
        <v>1054</v>
      </c>
      <c r="J7922" t="s">
        <v>299</v>
      </c>
      <c r="K7922" t="str">
        <f>B7879</f>
        <v>electricity, residential, by conversion of hydrogen using fuel cell, SOFC, allocated by exergy, transported by train, produced by Electrolysis, SOEC using water and electricity from Solar PV (DE)</v>
      </c>
      <c r="L7922">
        <f t="shared" si="325"/>
        <v>2</v>
      </c>
      <c r="M7922">
        <f t="shared" si="326"/>
        <v>-2.8975732330996009</v>
      </c>
      <c r="N7922">
        <v>1</v>
      </c>
      <c r="O7922" s="15">
        <v>1.2</v>
      </c>
      <c r="P7922">
        <v>1</v>
      </c>
      <c r="Q7922">
        <v>1.01</v>
      </c>
      <c r="R7922">
        <v>1.2</v>
      </c>
      <c r="S7922">
        <v>1.2</v>
      </c>
      <c r="T7922">
        <v>1.05</v>
      </c>
      <c r="U7922">
        <f t="shared" si="327"/>
        <v>0.15984597228197622</v>
      </c>
    </row>
    <row r="7923" spans="1:21" x14ac:dyDescent="0.2">
      <c r="A7923" t="str">
        <f>VLOOKUP(J7923,'dataset mapping'!$A$4:$E$69,2,0)</f>
        <v>market for transport, freight train</v>
      </c>
      <c r="B7923" s="45">
        <f>SUM(B7922:B7922)/1000*B7894</f>
        <v>5.515691073804313E-2</v>
      </c>
      <c r="C7923" t="str">
        <f>VLOOKUP(J7923,'dataset mapping'!$A$4:$E$69,5,0)</f>
        <v>ton kilometer</v>
      </c>
      <c r="E7923" t="str">
        <f>VLOOKUP(J7923,'dataset mapping'!$A$4:$E$69,4,0)</f>
        <v>CH</v>
      </c>
      <c r="F7923" t="s">
        <v>86</v>
      </c>
      <c r="G7923" t="str">
        <f>VLOOKUP(J7923,'dataset mapping'!$A$4:$E$69,3,0)</f>
        <v>transport, freight train</v>
      </c>
      <c r="H7923" t="s">
        <v>88</v>
      </c>
      <c r="I7923" t="s">
        <v>1052</v>
      </c>
      <c r="J7923" t="s">
        <v>295</v>
      </c>
      <c r="K7923" t="str">
        <f>B7879</f>
        <v>electricity, residential, by conversion of hydrogen using fuel cell, SOFC, allocated by exergy, transported by train, produced by Electrolysis, SOEC using water and electricity from Solar PV (DE)</v>
      </c>
      <c r="L7923">
        <f t="shared" si="325"/>
        <v>2</v>
      </c>
      <c r="M7923">
        <f t="shared" si="326"/>
        <v>-2.8975732330996009</v>
      </c>
      <c r="N7923">
        <v>1</v>
      </c>
      <c r="O7923" s="15">
        <v>1.2</v>
      </c>
      <c r="P7923">
        <v>1</v>
      </c>
      <c r="Q7923">
        <v>1.01</v>
      </c>
      <c r="R7923">
        <v>1.2</v>
      </c>
      <c r="S7923">
        <v>1.2</v>
      </c>
      <c r="T7923">
        <v>2</v>
      </c>
      <c r="U7923">
        <f t="shared" si="327"/>
        <v>0.38087907307228186</v>
      </c>
    </row>
    <row r="7924" spans="1:21" x14ac:dyDescent="0.2">
      <c r="A7924" t="str">
        <f>VLOOKUP(J7924,'dataset mapping'!$A$4:$E$69,2,0)</f>
        <v>high pressure hydrogen storage tank</v>
      </c>
      <c r="B7924" s="52">
        <f>((B7914/10)/(B7912*B7908*20))*IF(B7913&lt;&gt;0,B7913,1)</f>
        <v>5.400780843100055E-6</v>
      </c>
      <c r="C7924" t="str">
        <f>VLOOKUP(J7924,'dataset mapping'!$A$4:$E$69,5,0)</f>
        <v>kilogram</v>
      </c>
      <c r="E7924" t="str">
        <f>VLOOKUP(J7924,'dataset mapping'!$A$4:$E$69,4,0)</f>
        <v>GLO</v>
      </c>
      <c r="F7924" t="s">
        <v>86</v>
      </c>
      <c r="G7924" t="str">
        <f>VLOOKUP(J7924,'dataset mapping'!$A$4:$E$69,3,0)</f>
        <v>high pressure hydrogen storage tank</v>
      </c>
      <c r="H7924" t="s">
        <v>88</v>
      </c>
      <c r="I7924" t="s">
        <v>230</v>
      </c>
      <c r="J7924" t="s">
        <v>229</v>
      </c>
      <c r="K7924" t="str">
        <f>B7879</f>
        <v>electricity, residential, by conversion of hydrogen using fuel cell, SOFC, allocated by exergy, transported by train, produced by Electrolysis, SOEC using water and electricity from Solar PV (DE)</v>
      </c>
      <c r="L7924">
        <f t="shared" si="325"/>
        <v>2</v>
      </c>
      <c r="M7924">
        <f t="shared" si="326"/>
        <v>-12.128967014273616</v>
      </c>
      <c r="N7924">
        <v>1</v>
      </c>
      <c r="O7924" s="15">
        <v>1.2</v>
      </c>
      <c r="P7924">
        <v>1</v>
      </c>
      <c r="Q7924">
        <v>1.01</v>
      </c>
      <c r="R7924">
        <v>1.2</v>
      </c>
      <c r="S7924">
        <v>1.2</v>
      </c>
      <c r="T7924">
        <v>3</v>
      </c>
      <c r="U7924">
        <f t="shared" si="327"/>
        <v>0.57157051623399524</v>
      </c>
    </row>
    <row r="7925" spans="1:21" x14ac:dyDescent="0.2">
      <c r="A7925" t="s">
        <v>134</v>
      </c>
      <c r="B7925" s="45">
        <f>B7922*9</f>
        <v>0.49641219664238817</v>
      </c>
      <c r="C7925" t="s">
        <v>56</v>
      </c>
      <c r="D7925" t="s">
        <v>100</v>
      </c>
      <c r="F7925" t="s">
        <v>99</v>
      </c>
      <c r="H7925" t="s">
        <v>131</v>
      </c>
      <c r="I7925" t="s">
        <v>1057</v>
      </c>
      <c r="K7925" t="str">
        <f>B7879</f>
        <v>electricity, residential, by conversion of hydrogen using fuel cell, SOFC, allocated by exergy, transported by train, produced by Electrolysis, SOEC using water and electricity from Solar PV (DE)</v>
      </c>
      <c r="L7925">
        <f t="shared" si="325"/>
        <v>2</v>
      </c>
      <c r="M7925">
        <f t="shared" si="326"/>
        <v>-0.70034865576338168</v>
      </c>
      <c r="N7925">
        <v>1</v>
      </c>
      <c r="O7925" s="15">
        <v>1.2</v>
      </c>
      <c r="P7925">
        <v>1</v>
      </c>
      <c r="Q7925">
        <v>1.01</v>
      </c>
      <c r="R7925">
        <v>1.2</v>
      </c>
      <c r="S7925">
        <v>1.2</v>
      </c>
      <c r="T7925">
        <v>1.05</v>
      </c>
      <c r="U7925">
        <f t="shared" si="327"/>
        <v>0.15984597228197622</v>
      </c>
    </row>
    <row r="7927" spans="1:21" x14ac:dyDescent="0.2">
      <c r="A7927" s="2" t="s">
        <v>50</v>
      </c>
      <c r="B7927" s="44" t="str">
        <f>IF(B7933="megajoule","heat","electricity")&amp;", residential, by "&amp;B7938&amp;" of "&amp;B7937&amp;" using "&amp;B7939&amp;IF(B7940&lt;&gt;0,", allocated by "&amp;B7940,"")&amp;", transported by "&amp;B7941&amp;", produced by "&amp;B7945&amp;" using "&amp;B7946&amp;" from "&amp;B7947</f>
        <v>heat, residential, by combustion of hydrogen using boiler, transported by pipeline, produced by Electrolysis, Alkaline using water and electricity from Wind (DK)</v>
      </c>
    </row>
    <row r="7928" spans="1:21" x14ac:dyDescent="0.2">
      <c r="A7928" t="s">
        <v>51</v>
      </c>
      <c r="B7928" s="45" t="str">
        <f>"This dataset represents the supply of 1 "&amp;IF(B7933="megajoule","megajoule of heat","kilowatt hour of electricity")&amp;" in a residence, by "&amp;B7937&amp;" "&amp;B7938&amp;" in a "&amp;B7939&amp;". "&amp;" The hydrogen is transported by "&amp;B7941&amp;" over "&amp;B7942&amp;" km from regional storage. "&amp;" The "&amp;B7937&amp;" is produced by  "&amp;B7945&amp;", with "&amp;B7946&amp;" from "&amp;B7947&amp;" as feedstock. "&amp;A7949&amp;": "&amp;(B7949*100)&amp;"%. "&amp;A7950&amp;": "&amp;B7950&amp;". "&amp;A7951&amp;": "&amp;B7951&amp;". "&amp;A7952&amp;": "&amp;(B7952*100)&amp;"%. "&amp;A7953&amp;": "&amp;(B7953*100)&amp;"%. "&amp;A7954&amp;": "&amp;(B7954*100)&amp;"%. "&amp;A7955&amp;": "&amp;B7955&amp;". "&amp;A7956&amp;": "&amp;B7956&amp;". "&amp;A7957&amp;": "&amp;(B7957*100)&amp;"%. "&amp;A7958&amp;": "&amp;B7958&amp;". "&amp;A7959&amp;": "&amp;B7959&amp;". "&amp;A7960&amp;": "&amp;B7960&amp;". "&amp;A7961&amp;": "&amp;B7961&amp;".  For more information, refer to: "&amp;B7929</f>
        <v>This dataset represents the supply of 1 megajoule of heat in a residence, by hydrogen combustion in a boiler.  The hydrogen is transported by pipeline over 1300 km from regional storage.  The hydrogen is produced by  Electrolysis, Alkaline,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7929" spans="1:21" x14ac:dyDescent="0.2">
      <c r="A7929" t="s">
        <v>63</v>
      </c>
      <c r="B7929" s="45" t="s">
        <v>1223</v>
      </c>
    </row>
    <row r="7930" spans="1:21" x14ac:dyDescent="0.2">
      <c r="A7930" t="s">
        <v>52</v>
      </c>
      <c r="B7930" s="45" t="s">
        <v>64</v>
      </c>
    </row>
    <row r="7931" spans="1:21" x14ac:dyDescent="0.2">
      <c r="A7931" t="s">
        <v>48</v>
      </c>
      <c r="B7931" s="45">
        <v>97</v>
      </c>
    </row>
    <row r="7932" spans="1:21" x14ac:dyDescent="0.2">
      <c r="A7932" t="s">
        <v>54</v>
      </c>
      <c r="B7932" s="45" t="str">
        <f>INDEX(overview!$B$4:$R$338,MATCH('hydrogen - electrolysis'!B7931,overview!$A$4:$A$338,0),MATCH('hydrogen - electrolysis'!A7932,overview!$B$3:$R$3,0))</f>
        <v>heat, from residential heating system</v>
      </c>
    </row>
    <row r="7933" spans="1:21" x14ac:dyDescent="0.2">
      <c r="A7933" t="s">
        <v>55</v>
      </c>
      <c r="B7933" s="45" t="str">
        <f>INDEX(overview!$B$4:$R$338,MATCH('hydrogen - electrolysis'!B7931,overview!$A$4:$A$338,0),MATCH('hydrogen - electrolysis'!A7933,overview!$B$3:$R$3,0))</f>
        <v>megajoule</v>
      </c>
    </row>
    <row r="7934" spans="1:21" x14ac:dyDescent="0.2">
      <c r="A7934" t="s">
        <v>0</v>
      </c>
      <c r="B7934" s="45" t="str">
        <f>INDEX(overview!$B$4:$R$338,MATCH('hydrogen - electrolysis'!B7931,overview!$A$4:$A$338,0),MATCH('hydrogen - electrolysis'!A7934,overview!$B$3:$R$3,0))</f>
        <v>Switzerland</v>
      </c>
    </row>
    <row r="7935" spans="1:21" x14ac:dyDescent="0.2">
      <c r="A7935" t="s">
        <v>1</v>
      </c>
      <c r="B7935" s="45">
        <f>INDEX(overview!$B$4:$R$338,MATCH('hydrogen - electrolysis'!B7931,overview!$A$4:$A$338,0),MATCH('hydrogen - electrolysis'!A7935,overview!$B$3:$R$3,0))</f>
        <v>2020</v>
      </c>
    </row>
    <row r="7936" spans="1:21" x14ac:dyDescent="0.2">
      <c r="A7936" t="s">
        <v>2</v>
      </c>
      <c r="B7936" s="45" t="str">
        <f>INDEX(overview!$B$4:$R$338,MATCH('hydrogen - electrolysis'!B7931,overview!$A$4:$A$338,0),MATCH('hydrogen - electrolysis'!A7936,overview!$B$3:$R$3,0))</f>
        <v>1 MJ heat</v>
      </c>
    </row>
    <row r="7937" spans="1:2" x14ac:dyDescent="0.2">
      <c r="A7937" t="s">
        <v>5</v>
      </c>
      <c r="B7937" s="45" t="str">
        <f>INDEX(overview!$B$4:$R$338,MATCH('hydrogen - electrolysis'!B7931,overview!$A$4:$A$338,0),MATCH('hydrogen - electrolysis'!A7937,overview!$B$3:$R$3,0))</f>
        <v>hydrogen</v>
      </c>
    </row>
    <row r="7938" spans="1:2" x14ac:dyDescent="0.2">
      <c r="A7938" t="s">
        <v>3</v>
      </c>
      <c r="B7938" s="45" t="str">
        <f>INDEX(overview!$B$4:$R$338,MATCH('hydrogen - electrolysis'!B7931,overview!$A$4:$A$338,0),MATCH('hydrogen - electrolysis'!A7938,overview!$B$3:$R$3,0))</f>
        <v>combustion</v>
      </c>
    </row>
    <row r="7939" spans="1:2" x14ac:dyDescent="0.2">
      <c r="A7939" t="s">
        <v>6</v>
      </c>
      <c r="B7939" s="45" t="str">
        <f>INDEX(overview!$B$4:$R$338,MATCH('hydrogen - electrolysis'!B7931,overview!$A$4:$A$338,0),MATCH('hydrogen - electrolysis'!A7939,overview!$B$3:$R$3,0))</f>
        <v>boiler</v>
      </c>
    </row>
    <row r="7940" spans="1:2" x14ac:dyDescent="0.2">
      <c r="A7940" t="s">
        <v>39</v>
      </c>
      <c r="B7940" s="45">
        <f>INDEX(overview!$B$4:$R$338,MATCH('hydrogen - electrolysis'!B7931,overview!$A$4:$A$338,0),MATCH('hydrogen - electrolysis'!A7940,overview!$B$3:$R$3,0))</f>
        <v>0</v>
      </c>
    </row>
    <row r="7941" spans="1:2" x14ac:dyDescent="0.2">
      <c r="A7941" t="s">
        <v>4</v>
      </c>
      <c r="B7941" s="45" t="str">
        <f>INDEX(overview!$B$4:$R$338,MATCH('hydrogen - electrolysis'!B7931,overview!$A$4:$A$338,0),MATCH('hydrogen - electrolysis'!A7941,overview!$B$3:$R$3,0))</f>
        <v>pipeline</v>
      </c>
    </row>
    <row r="7942" spans="1:2" x14ac:dyDescent="0.2">
      <c r="A7942" t="s">
        <v>38</v>
      </c>
      <c r="B7942" s="45">
        <f>INDEX(overview!$B$4:$R$338,MATCH('hydrogen - electrolysis'!B7931,overview!$A$4:$A$338,0),MATCH('hydrogen - electrolysis'!A7942,overview!$B$3:$R$3,0))</f>
        <v>1300</v>
      </c>
    </row>
    <row r="7943" spans="1:2" x14ac:dyDescent="0.2">
      <c r="A7943" t="s">
        <v>12</v>
      </c>
      <c r="B7943" s="45" t="str">
        <f>INDEX(overview!$B$4:$R$338,MATCH('hydrogen - electrolysis'!B7931,overview!$A$4:$A$338,0),MATCH('hydrogen - electrolysis'!A7943,overview!$B$3:$R$3,0))</f>
        <v>Pressure vessel for stationary storage</v>
      </c>
    </row>
    <row r="7944" spans="1:2" x14ac:dyDescent="0.2">
      <c r="A7944" t="s">
        <v>34</v>
      </c>
      <c r="B7944" s="45">
        <f>INDEX(overview!$B$4:$R$338,MATCH('hydrogen - electrolysis'!B7931,overview!$A$4:$A$338,0),MATCH('hydrogen - electrolysis'!A7944,overview!$B$3:$R$3,0))</f>
        <v>0</v>
      </c>
    </row>
    <row r="7945" spans="1:2" x14ac:dyDescent="0.2">
      <c r="A7945" t="s">
        <v>15</v>
      </c>
      <c r="B7945" s="45" t="str">
        <f>INDEX(overview!$B$4:$R$338,MATCH('hydrogen - electrolysis'!B7931,overview!$A$4:$A$338,0),MATCH('hydrogen - electrolysis'!A7945,overview!$B$3:$R$3,0))</f>
        <v>Electrolysis, Alkaline</v>
      </c>
    </row>
    <row r="7946" spans="1:2" x14ac:dyDescent="0.2">
      <c r="A7946" t="s">
        <v>14</v>
      </c>
      <c r="B7946" s="45" t="str">
        <f>INDEX(overview!$B$4:$R$338,MATCH('hydrogen - electrolysis'!B7931,overview!$A$4:$A$338,0),MATCH('hydrogen - electrolysis'!A7946,overview!$B$3:$R$3,0))</f>
        <v>water and electricity</v>
      </c>
    </row>
    <row r="7947" spans="1:2" x14ac:dyDescent="0.2">
      <c r="A7947" t="s">
        <v>26</v>
      </c>
      <c r="B7947" s="45" t="str">
        <f>INDEX(overview!$B$4:$R$338,MATCH('hydrogen - electrolysis'!B7931,overview!$A$4:$A$338,0),MATCH('hydrogen - electrolysis'!A7947,overview!$B$3:$R$3,0))</f>
        <v>Wind (DK)</v>
      </c>
    </row>
    <row r="7948" spans="1:2" x14ac:dyDescent="0.2">
      <c r="A7948" t="s">
        <v>29</v>
      </c>
      <c r="B7948" s="45">
        <f>INDEX(overview!$B$4:$R$338,MATCH('hydrogen - electrolysis'!B7931,overview!$A$4:$A$338,0),MATCH('hydrogen - electrolysis'!A7948,overview!$B$3:$R$3,0))</f>
        <v>0</v>
      </c>
    </row>
    <row r="7949" spans="1:2" x14ac:dyDescent="0.2">
      <c r="A7949" t="str">
        <f>IF(B7933="megajoule","Heat","Electricity")&amp;" conversion efficiency [% LHV input]"</f>
        <v>Heat conversion efficiency [% LHV input]</v>
      </c>
      <c r="B7949" s="46">
        <f>INDEX(parameters!$D$4:$N$20,MATCH('hydrogen - electrolysis'!B7937&amp;'hydrogen - electrolysis'!B7939,parameters!$A$4:$A$20,0),MATCH('hydrogen - electrolysis'!A7949,parameters!$D$3:$N$3,0))</f>
        <v>0.94</v>
      </c>
    </row>
    <row r="7950" spans="1:2" x14ac:dyDescent="0.2">
      <c r="A7950" t="str">
        <f>IF(B7933="megajoule","LHV [MJ/kg]","LHV [kWh/kg]")</f>
        <v>LHV [MJ/kg]</v>
      </c>
      <c r="B7950" s="47">
        <f>INDEX(parameters!$D$4:$N$20,MATCH('hydrogen - electrolysis'!B7937&amp;'hydrogen - electrolysis'!B7939,parameters!$A$4:$A$20,0),MATCH('hydrogen - electrolysis'!A7950,parameters!$D$3:$N$3,0))</f>
        <v>120</v>
      </c>
    </row>
    <row r="7951" spans="1:2" x14ac:dyDescent="0.2">
      <c r="A7951" t="s">
        <v>41</v>
      </c>
      <c r="B7951" s="48">
        <f>INDEX(parameters!$D$4:$N$20,MATCH('hydrogen - electrolysis'!B7937&amp;'hydrogen - electrolysis'!B7939,parameters!$A$4:$A$20,0),MATCH('hydrogen - electrolysis'!A7951,parameters!$D$3:$N$3,0))</f>
        <v>2.6666666666666665E-2</v>
      </c>
    </row>
    <row r="7952" spans="1:2" x14ac:dyDescent="0.2">
      <c r="A7952" t="s">
        <v>45</v>
      </c>
      <c r="B7952" s="49">
        <f>INDEX(parameters!$D$4:$N$20,MATCH('hydrogen - electrolysis'!B7937&amp;'hydrogen - electrolysis'!B7939,parameters!$A$4:$A$20,0),MATCH('hydrogen - electrolysis'!A7952,parameters!$D$3:$N$3,0))</f>
        <v>0</v>
      </c>
    </row>
    <row r="7953" spans="1:22" x14ac:dyDescent="0.2">
      <c r="A7953" t="s">
        <v>46</v>
      </c>
      <c r="B7953" s="49">
        <f>INDEX(parameters!$D$4:$N$20,MATCH('hydrogen - electrolysis'!B7937&amp;'hydrogen - electrolysis'!B7939,parameters!$A$4:$A$20,0),MATCH('hydrogen - electrolysis'!A7953,parameters!$D$3:$N$3,0))</f>
        <v>1.4999999999999999E-2</v>
      </c>
    </row>
    <row r="7954" spans="1:22" x14ac:dyDescent="0.2">
      <c r="A7954" t="s">
        <v>43</v>
      </c>
      <c r="B7954" s="49">
        <f>INDEX(parameters!$D$4:$N$20,MATCH('hydrogen - electrolysis'!B7937&amp;'hydrogen - electrolysis'!B7939,parameters!$A$4:$A$20,0),MATCH('hydrogen - electrolysis'!A7954,parameters!$D$3:$N$3,0))</f>
        <v>0</v>
      </c>
    </row>
    <row r="7955" spans="1:22" x14ac:dyDescent="0.2">
      <c r="A7955" t="s">
        <v>44</v>
      </c>
      <c r="B7955" s="49">
        <f>INDEX(parameters!$D$4:$N$20,MATCH('hydrogen - electrolysis'!B7937&amp;'hydrogen - electrolysis'!B7939,parameters!$A$4:$A$20,0),MATCH('hydrogen - electrolysis'!A7955,parameters!$D$3:$N$3,0))</f>
        <v>0</v>
      </c>
    </row>
    <row r="7956" spans="1:22" x14ac:dyDescent="0.2">
      <c r="A7956" t="s">
        <v>634</v>
      </c>
      <c r="B7956" s="51">
        <f>INDEX(parameters!$D$4:$Y$20,MATCH('hydrogen - electrolysis'!B7937&amp;'hydrogen - electrolysis'!B7939,parameters!$A$4:$A$20,0),MATCH('hydrogen - electrolysis'!A7956,parameters!$D$3:$Y$3,0))</f>
        <v>15.957446808510639</v>
      </c>
    </row>
    <row r="7957" spans="1:22" x14ac:dyDescent="0.2">
      <c r="A7957" t="s">
        <v>82</v>
      </c>
      <c r="B7957" s="46">
        <f>IF(B7948&lt;&gt;0,VLOOKUP(B7948,parameters!A4971:B4973,2,0),0)</f>
        <v>0</v>
      </c>
    </row>
    <row r="7958" spans="1:22" x14ac:dyDescent="0.2">
      <c r="A7958" t="s">
        <v>548</v>
      </c>
      <c r="B7958" s="50">
        <f>INDEX(parameters!$D$4:$P$20,MATCH(B7937&amp;B7939,parameters!$A$4:$A$20,0),MATCH(A7958,parameters!$D$3:$P$3,0))</f>
        <v>15</v>
      </c>
    </row>
    <row r="7959" spans="1:22" x14ac:dyDescent="0.2">
      <c r="A7959" t="s">
        <v>547</v>
      </c>
      <c r="B7959" s="51">
        <f>INDEX(parameters!$D$4:$P$20,MATCH(B7937&amp;B7939,parameters!$A$4:$A$20,0),MATCH(A7959,parameters!$D$3:$P$3,0))</f>
        <v>20</v>
      </c>
    </row>
    <row r="7960" spans="1:22" x14ac:dyDescent="0.2">
      <c r="A7960" t="s">
        <v>630</v>
      </c>
      <c r="B7960" s="51">
        <f>INDEX(parameters!$D$4:$T$20,MATCH(B7937&amp;B7939,parameters!$A$4:$A$20,0),MATCH(A7960,parameters!$D$3:$T$3,0))</f>
        <v>2100</v>
      </c>
    </row>
    <row r="7961" spans="1:22" x14ac:dyDescent="0.2">
      <c r="A7961" t="s">
        <v>1005</v>
      </c>
      <c r="B7961" s="50">
        <f>IF(B7933="megajoule",SUMIFS(allocation!$I$4:$I$30,allocation!$B$4:$B$30,B7939,allocation!$C$4:$C$30,B7940),SUMIFS(allocation!$J$4:$J$30,allocation!$B$4:$B$30,B7939,allocation!$C$4:$C$30,B7940))</f>
        <v>0</v>
      </c>
    </row>
    <row r="7962" spans="1:22" x14ac:dyDescent="0.2">
      <c r="A7962" t="s">
        <v>1050</v>
      </c>
      <c r="B7962" s="51">
        <f>INDEX(parameters!$D$4:$AB$20,MATCH(B7937&amp;B7939,parameters!$A$4:$A$20,0),MATCH(A7962,parameters!$D$3:$AB$3,0))</f>
        <v>44.562019013128115</v>
      </c>
    </row>
    <row r="7964" spans="1:22" x14ac:dyDescent="0.2">
      <c r="A7964" s="3" t="s">
        <v>57</v>
      </c>
    </row>
    <row r="7965" spans="1:22" x14ac:dyDescent="0.2">
      <c r="A7965" s="2" t="s">
        <v>58</v>
      </c>
      <c r="B7965" s="44" t="s">
        <v>59</v>
      </c>
      <c r="C7965" s="2" t="s">
        <v>55</v>
      </c>
      <c r="D7965" s="2" t="s">
        <v>60</v>
      </c>
      <c r="E7965" s="2" t="s">
        <v>52</v>
      </c>
      <c r="F7965" s="2" t="s">
        <v>61</v>
      </c>
      <c r="G7965" s="2" t="s">
        <v>54</v>
      </c>
      <c r="H7965" s="2" t="s">
        <v>87</v>
      </c>
      <c r="I7965" s="2" t="s">
        <v>51</v>
      </c>
      <c r="J7965" s="2" t="s">
        <v>138</v>
      </c>
      <c r="K7965" s="2" t="s">
        <v>136</v>
      </c>
      <c r="L7965" s="2" t="s">
        <v>221</v>
      </c>
      <c r="M7965" s="2" t="s">
        <v>379</v>
      </c>
      <c r="N7965" s="2" t="s">
        <v>1059</v>
      </c>
      <c r="O7965" s="2" t="s">
        <v>1060</v>
      </c>
      <c r="P7965" s="2" t="s">
        <v>1061</v>
      </c>
      <c r="Q7965" s="2" t="s">
        <v>1062</v>
      </c>
      <c r="R7965" s="2" t="s">
        <v>1063</v>
      </c>
      <c r="S7965" s="2" t="s">
        <v>1064</v>
      </c>
      <c r="T7965" s="2" t="s">
        <v>1065</v>
      </c>
      <c r="U7965" s="2" t="s">
        <v>380</v>
      </c>
      <c r="V7965" s="2" t="s">
        <v>1128</v>
      </c>
    </row>
    <row r="7966" spans="1:22" x14ac:dyDescent="0.2">
      <c r="A7966" t="str">
        <f>B7927</f>
        <v>heat, residential, by combustion of hydrogen using boiler, transported by pipeline, produced by Electrolysis, Alkaline using water and electricity from Wind (DK)</v>
      </c>
      <c r="B7966" s="45">
        <v>1</v>
      </c>
      <c r="C7966" t="str">
        <f>B7933</f>
        <v>megajoule</v>
      </c>
      <c r="E7966" t="str">
        <f>B7930</f>
        <v>CH</v>
      </c>
      <c r="F7966" t="s">
        <v>62</v>
      </c>
      <c r="G7966" t="str">
        <f>B7932</f>
        <v>heat, from residential heating system</v>
      </c>
      <c r="K7966" t="str">
        <f>B7927</f>
        <v>heat, residential, by combustion of hydrogen using boiler, transported by pipeline, produced by Electrolysis, Alkaline using water and electricity from Wind (DK)</v>
      </c>
    </row>
    <row r="7967" spans="1:22" x14ac:dyDescent="0.2">
      <c r="A7967" t="s">
        <v>83</v>
      </c>
      <c r="B7967" s="52">
        <f>1/(B7958*B7960*B7959*3.6)</f>
        <v>4.4091710758377425E-7</v>
      </c>
      <c r="C7967" t="s">
        <v>55</v>
      </c>
      <c r="E7967" t="s">
        <v>85</v>
      </c>
      <c r="F7967" t="s">
        <v>86</v>
      </c>
      <c r="G7967" t="s">
        <v>84</v>
      </c>
      <c r="H7967" t="s">
        <v>88</v>
      </c>
      <c r="K7967" t="str">
        <f>B7927</f>
        <v>heat, residential, by combustion of hydrogen using boiler, transported by pipeline, produced by Electrolysis, Alkaline using water and electricity from Wind (DK)</v>
      </c>
      <c r="L7967">
        <f t="shared" ref="L7967:L7972" si="328">IF(OR(B7967&lt;0,B7967=0),1,2)</f>
        <v>2</v>
      </c>
      <c r="M7967">
        <f t="shared" ref="M7967:M7972" si="329">IF(L7967=2,LN(B7967),"")</f>
        <v>-14.634408943829779</v>
      </c>
      <c r="N7967">
        <v>1.05</v>
      </c>
      <c r="O7967" s="15">
        <v>1.2</v>
      </c>
      <c r="P7967">
        <v>1</v>
      </c>
      <c r="Q7967">
        <v>1.01</v>
      </c>
      <c r="R7967">
        <v>1.2</v>
      </c>
      <c r="S7967">
        <v>1.2</v>
      </c>
      <c r="T7967">
        <v>3</v>
      </c>
      <c r="U7967">
        <f t="shared" ref="U7967:U7972" si="330">LN(SQRT(EXP(
SQRT(
+POWER(LN(N7967),2)
+POWER(LN(O7967),2)
+POWER(LN(P7967),2)
+POWER(LN(Q7967),2)
+POWER(LN(R7967),2)
+POWER(LN(S7967),2)
+POWER(LN(T7967),2)
)
)))</f>
        <v>0.57209088006881903</v>
      </c>
    </row>
    <row r="7968" spans="1:22" x14ac:dyDescent="0.2">
      <c r="A7968" t="s">
        <v>500</v>
      </c>
      <c r="B7968" s="52">
        <f>B7967*2</f>
        <v>8.8183421516754851E-7</v>
      </c>
      <c r="C7968" t="s">
        <v>267</v>
      </c>
      <c r="E7968" t="s">
        <v>85</v>
      </c>
      <c r="F7968" t="s">
        <v>86</v>
      </c>
      <c r="G7968" t="s">
        <v>501</v>
      </c>
      <c r="H7968" t="s">
        <v>88</v>
      </c>
      <c r="I7968" t="s">
        <v>621</v>
      </c>
      <c r="K7968" t="str">
        <f>B7927</f>
        <v>heat, residential, by combustion of hydrogen using boiler, transported by pipeline, produced by Electrolysis, Alkaline using water and electricity from Wind (DK)</v>
      </c>
      <c r="L7968">
        <f t="shared" si="328"/>
        <v>2</v>
      </c>
      <c r="M7968">
        <f t="shared" si="329"/>
        <v>-13.941261763269834</v>
      </c>
      <c r="N7968">
        <v>1.05</v>
      </c>
      <c r="O7968" s="15">
        <v>1.2</v>
      </c>
      <c r="P7968">
        <v>1</v>
      </c>
      <c r="Q7968">
        <v>1.01</v>
      </c>
      <c r="R7968">
        <v>1.2</v>
      </c>
      <c r="S7968">
        <v>1.2</v>
      </c>
      <c r="T7968">
        <v>3</v>
      </c>
      <c r="U7968">
        <f t="shared" si="330"/>
        <v>0.57209088006881903</v>
      </c>
    </row>
    <row r="7969" spans="1:21" x14ac:dyDescent="0.2">
      <c r="A7969" t="s">
        <v>130</v>
      </c>
      <c r="B7969" s="52">
        <v>2.64E-3</v>
      </c>
      <c r="C7969" t="s">
        <v>92</v>
      </c>
      <c r="E7969" t="s">
        <v>64</v>
      </c>
      <c r="F7969" t="s">
        <v>86</v>
      </c>
      <c r="G7969" t="s">
        <v>93</v>
      </c>
      <c r="H7969" t="s">
        <v>78</v>
      </c>
      <c r="I7969" t="s">
        <v>270</v>
      </c>
      <c r="J7969" t="s">
        <v>67</v>
      </c>
      <c r="K7969" t="str">
        <f>B7927</f>
        <v>heat, residential, by combustion of hydrogen using boiler, transported by pipeline, produced by Electrolysis, Alkaline using water and electricity from Wind (DK)</v>
      </c>
      <c r="L7969">
        <f t="shared" si="328"/>
        <v>2</v>
      </c>
      <c r="M7969">
        <f t="shared" si="329"/>
        <v>-5.9369763618239126</v>
      </c>
      <c r="N7969">
        <v>1.05</v>
      </c>
      <c r="O7969" s="15">
        <v>1.2</v>
      </c>
      <c r="P7969">
        <v>1</v>
      </c>
      <c r="Q7969">
        <v>1.01</v>
      </c>
      <c r="R7969">
        <v>1.2</v>
      </c>
      <c r="S7969">
        <v>1.2</v>
      </c>
      <c r="T7969">
        <v>1.05</v>
      </c>
      <c r="U7969">
        <f t="shared" si="330"/>
        <v>0.16169679924070957</v>
      </c>
    </row>
    <row r="7970" spans="1:21" x14ac:dyDescent="0.2">
      <c r="A7970" s="45" t="str">
        <f>"hydrogen supply, transported by "&amp;B7941&amp;", produced by "&amp;B7945&amp;" using "&amp;B7946&amp;" from "&amp;B7947</f>
        <v>hydrogen supply, transported by pipeline, produced by Electrolysis, Alkaline using water and electricity from Wind (DK)</v>
      </c>
      <c r="B7970" s="53">
        <f>(B7966/B7950)/B7949</f>
        <v>8.8652482269503553E-3</v>
      </c>
      <c r="C7970" t="s">
        <v>56</v>
      </c>
      <c r="E7970" t="s">
        <v>64</v>
      </c>
      <c r="F7970" t="s">
        <v>86</v>
      </c>
      <c r="G7970" t="str">
        <f>"hydrogen, gaseous, from "&amp;B7941</f>
        <v>hydrogen, gaseous, from pipeline</v>
      </c>
      <c r="H7970" t="s">
        <v>76</v>
      </c>
      <c r="I7970" t="s">
        <v>1054</v>
      </c>
      <c r="J7970" t="s">
        <v>302</v>
      </c>
      <c r="K7970" t="str">
        <f>B7927</f>
        <v>heat, residential, by combustion of hydrogen using boiler, transported by pipeline, produced by Electrolysis, Alkaline using water and electricity from Wind (DK)</v>
      </c>
      <c r="L7970">
        <f t="shared" si="328"/>
        <v>2</v>
      </c>
      <c r="M7970">
        <f t="shared" si="329"/>
        <v>-4.7256163390639587</v>
      </c>
      <c r="N7970">
        <v>1.05</v>
      </c>
      <c r="O7970" s="15">
        <v>1.2</v>
      </c>
      <c r="P7970">
        <v>1</v>
      </c>
      <c r="Q7970">
        <v>1.01</v>
      </c>
      <c r="R7970">
        <v>1.2</v>
      </c>
      <c r="S7970">
        <v>1.2</v>
      </c>
      <c r="T7970">
        <v>1.05</v>
      </c>
      <c r="U7970">
        <f t="shared" si="330"/>
        <v>0.16169679924070957</v>
      </c>
    </row>
    <row r="7971" spans="1:21" x14ac:dyDescent="0.2">
      <c r="A7971" t="s">
        <v>134</v>
      </c>
      <c r="B7971" s="45">
        <f>B7970*9</f>
        <v>7.9787234042553196E-2</v>
      </c>
      <c r="C7971" t="s">
        <v>56</v>
      </c>
      <c r="D7971" t="s">
        <v>100</v>
      </c>
      <c r="F7971" t="s">
        <v>99</v>
      </c>
      <c r="H7971" t="s">
        <v>131</v>
      </c>
      <c r="I7971" t="s">
        <v>1058</v>
      </c>
      <c r="K7971" t="str">
        <f>B7927</f>
        <v>heat, residential, by combustion of hydrogen using boiler, transported by pipeline, produced by Electrolysis, Alkaline using water and electricity from Wind (DK)</v>
      </c>
      <c r="L7971">
        <f t="shared" si="328"/>
        <v>2</v>
      </c>
      <c r="M7971">
        <f t="shared" si="329"/>
        <v>-2.5283917617277392</v>
      </c>
      <c r="N7971">
        <v>1.05</v>
      </c>
      <c r="O7971" s="15">
        <v>1.2</v>
      </c>
      <c r="P7971">
        <v>1</v>
      </c>
      <c r="Q7971">
        <v>1.01</v>
      </c>
      <c r="R7971">
        <v>1.2</v>
      </c>
      <c r="S7971">
        <v>1.2</v>
      </c>
      <c r="T7971">
        <v>1.05</v>
      </c>
      <c r="U7971">
        <f t="shared" si="330"/>
        <v>0.16169679924070957</v>
      </c>
    </row>
    <row r="7972" spans="1:21" x14ac:dyDescent="0.2">
      <c r="A7972" t="s">
        <v>135</v>
      </c>
      <c r="B7972" s="45">
        <f>912.5/1000000*B7970</f>
        <v>8.0895390070921995E-6</v>
      </c>
      <c r="C7972" t="s">
        <v>56</v>
      </c>
      <c r="D7972" t="s">
        <v>100</v>
      </c>
      <c r="F7972" t="s">
        <v>99</v>
      </c>
      <c r="H7972" t="s">
        <v>131</v>
      </c>
      <c r="I7972" t="s">
        <v>1217</v>
      </c>
      <c r="K7972" t="str">
        <f>B7927</f>
        <v>heat, residential, by combustion of hydrogen using boiler, transported by pipeline, produced by Electrolysis, Alkaline using water and electricity from Wind (DK)</v>
      </c>
      <c r="L7972">
        <f t="shared" si="328"/>
        <v>2</v>
      </c>
      <c r="M7972">
        <f t="shared" si="329"/>
        <v>-11.724938811571587</v>
      </c>
      <c r="N7972">
        <v>1.05</v>
      </c>
      <c r="O7972" s="15">
        <v>1.2</v>
      </c>
      <c r="P7972">
        <v>1</v>
      </c>
      <c r="Q7972">
        <v>1.01</v>
      </c>
      <c r="R7972">
        <v>1.2</v>
      </c>
      <c r="S7972">
        <v>1.2</v>
      </c>
      <c r="T7972">
        <v>1.5</v>
      </c>
      <c r="U7972">
        <f t="shared" si="330"/>
        <v>0.25816898211842121</v>
      </c>
    </row>
    <row r="7974" spans="1:21" x14ac:dyDescent="0.2">
      <c r="A7974" s="2" t="s">
        <v>50</v>
      </c>
      <c r="B7974" s="44" t="str">
        <f>IF(B7980="megajoule","heat","electricity")&amp;", residential, by "&amp;B7985&amp;" of "&amp;B7984&amp;" using "&amp;B7986&amp;IF(B7987&lt;&gt;0,", allocated by "&amp;B7987,"")&amp;", transported by "&amp;B7988&amp;", produced by "&amp;B7992&amp;" using "&amp;B7993&amp;" from "&amp;B7994</f>
        <v>heat, residential, by combustion of hydrogen using CHP, allocated by exergy, transported by pipeline, produced by Electrolysis, Alkaline using water and electricity from Wind (DK)</v>
      </c>
    </row>
    <row r="7975" spans="1:21" x14ac:dyDescent="0.2">
      <c r="A7975" t="s">
        <v>51</v>
      </c>
      <c r="B7975" s="45" t="str">
        <f>"This dataset represents the supply of 1 "&amp;IF(B7980="megajoule","megajoule of heat","kilowatt hour of electricity")&amp;" in a residence, by "&amp;B7984&amp;" "&amp;B7985&amp;" in a "&amp;B7986&amp;". "&amp;" The hydrogen is transported by "&amp;B7988&amp;" over "&amp;B7989&amp;" km from regional storage. "&amp;" The "&amp;B7984&amp;" is produced by  "&amp;B7992&amp;", with "&amp;B7993&amp;" from "&amp;B7994&amp;" as feedstock. "&amp;A7996&amp;": "&amp;(B7996*100)&amp;"%. "&amp;A7997&amp;": "&amp;B7997&amp;". "&amp;A7998&amp;": "&amp;B7998&amp;". "&amp;A7999&amp;": "&amp;(B7999*100)&amp;"%. "&amp;A8000&amp;": "&amp;(B8000*100)&amp;"%. "&amp;A8001&amp;": "&amp;(B8001*100)&amp;"%. "&amp;A8002&amp;": "&amp;B8002&amp;". "&amp;A8003&amp;": "&amp;B8003&amp;". "&amp;A8004&amp;": "&amp;(B8004*100)&amp;"%. "&amp;A8005&amp;": "&amp;B8005&amp;". "&amp;A8006&amp;": "&amp;B8006&amp;". "&amp;A8007&amp;": "&amp;B8007&amp;". "&amp;A8008&amp;": "&amp;B8008&amp;".  For more information, refer to: "&amp;B7976</f>
        <v>This dataset represents the supply of 1 megajoule of heat in a residence, by hydrogen combustion in a CHP.  The hydrogen is transported by pipeline over 1300 km from regional storage.  The hydrogen is produced by  Electrolysis, Alkaline,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7976" spans="1:21" x14ac:dyDescent="0.2">
      <c r="A7976" t="s">
        <v>63</v>
      </c>
      <c r="B7976" s="45" t="s">
        <v>1223</v>
      </c>
    </row>
    <row r="7977" spans="1:21" x14ac:dyDescent="0.2">
      <c r="A7977" t="s">
        <v>52</v>
      </c>
      <c r="B7977" s="45" t="s">
        <v>64</v>
      </c>
    </row>
    <row r="7978" spans="1:21" x14ac:dyDescent="0.2">
      <c r="A7978" t="s">
        <v>48</v>
      </c>
      <c r="B7978" s="45">
        <v>98</v>
      </c>
    </row>
    <row r="7979" spans="1:21" x14ac:dyDescent="0.2">
      <c r="A7979" t="s">
        <v>54</v>
      </c>
      <c r="B7979" s="45" t="str">
        <f>INDEX(overview!$B$4:$R$338,MATCH('hydrogen - electrolysis'!B7978,overview!$A$4:$A$338,0),MATCH('hydrogen - electrolysis'!A7979,overview!$B$3:$R$3,0))</f>
        <v>heat, from residential heating system</v>
      </c>
    </row>
    <row r="7980" spans="1:21" x14ac:dyDescent="0.2">
      <c r="A7980" t="s">
        <v>55</v>
      </c>
      <c r="B7980" s="45" t="str">
        <f>INDEX(overview!$B$4:$R$338,MATCH('hydrogen - electrolysis'!B7978,overview!$A$4:$A$338,0),MATCH('hydrogen - electrolysis'!A7980,overview!$B$3:$R$3,0))</f>
        <v>megajoule</v>
      </c>
    </row>
    <row r="7981" spans="1:21" x14ac:dyDescent="0.2">
      <c r="A7981" t="s">
        <v>0</v>
      </c>
      <c r="B7981" s="45" t="str">
        <f>INDEX(overview!$B$4:$R$338,MATCH('hydrogen - electrolysis'!B7978,overview!$A$4:$A$338,0),MATCH('hydrogen - electrolysis'!A7981,overview!$B$3:$R$3,0))</f>
        <v>Switzerland</v>
      </c>
    </row>
    <row r="7982" spans="1:21" x14ac:dyDescent="0.2">
      <c r="A7982" t="s">
        <v>1</v>
      </c>
      <c r="B7982" s="45">
        <f>INDEX(overview!$B$4:$R$338,MATCH('hydrogen - electrolysis'!B7978,overview!$A$4:$A$338,0),MATCH('hydrogen - electrolysis'!A7982,overview!$B$3:$R$3,0))</f>
        <v>2020</v>
      </c>
    </row>
    <row r="7983" spans="1:21" x14ac:dyDescent="0.2">
      <c r="A7983" t="s">
        <v>2</v>
      </c>
      <c r="B7983" s="45" t="str">
        <f>INDEX(overview!$B$4:$R$338,MATCH('hydrogen - electrolysis'!B7978,overview!$A$4:$A$338,0),MATCH('hydrogen - electrolysis'!A7983,overview!$B$3:$R$3,0))</f>
        <v>1 MJ heat</v>
      </c>
    </row>
    <row r="7984" spans="1:21" x14ac:dyDescent="0.2">
      <c r="A7984" t="s">
        <v>5</v>
      </c>
      <c r="B7984" s="45" t="str">
        <f>INDEX(overview!$B$4:$R$338,MATCH('hydrogen - electrolysis'!B7978,overview!$A$4:$A$338,0),MATCH('hydrogen - electrolysis'!A7984,overview!$B$3:$R$3,0))</f>
        <v>hydrogen</v>
      </c>
    </row>
    <row r="7985" spans="1:2" x14ac:dyDescent="0.2">
      <c r="A7985" t="s">
        <v>3</v>
      </c>
      <c r="B7985" s="45" t="str">
        <f>INDEX(overview!$B$4:$R$338,MATCH('hydrogen - electrolysis'!B7978,overview!$A$4:$A$338,0),MATCH('hydrogen - electrolysis'!A7985,overview!$B$3:$R$3,0))</f>
        <v>combustion</v>
      </c>
    </row>
    <row r="7986" spans="1:2" x14ac:dyDescent="0.2">
      <c r="A7986" t="s">
        <v>6</v>
      </c>
      <c r="B7986" s="45" t="str">
        <f>INDEX(overview!$B$4:$R$338,MATCH('hydrogen - electrolysis'!B7978,overview!$A$4:$A$338,0),MATCH('hydrogen - electrolysis'!A7986,overview!$B$3:$R$3,0))</f>
        <v>CHP</v>
      </c>
    </row>
    <row r="7987" spans="1:2" x14ac:dyDescent="0.2">
      <c r="A7987" t="s">
        <v>39</v>
      </c>
      <c r="B7987" s="45" t="str">
        <f>INDEX(overview!$B$4:$R$338,MATCH('hydrogen - electrolysis'!B7978,overview!$A$4:$A$338,0),MATCH('hydrogen - electrolysis'!A7987,overview!$B$3:$R$3,0))</f>
        <v>exergy</v>
      </c>
    </row>
    <row r="7988" spans="1:2" x14ac:dyDescent="0.2">
      <c r="A7988" t="s">
        <v>4</v>
      </c>
      <c r="B7988" s="45" t="str">
        <f>INDEX(overview!$B$4:$R$338,MATCH('hydrogen - electrolysis'!B7978,overview!$A$4:$A$338,0),MATCH('hydrogen - electrolysis'!A7988,overview!$B$3:$R$3,0))</f>
        <v>pipeline</v>
      </c>
    </row>
    <row r="7989" spans="1:2" x14ac:dyDescent="0.2">
      <c r="A7989" t="s">
        <v>38</v>
      </c>
      <c r="B7989" s="45">
        <f>INDEX(overview!$B$4:$R$338,MATCH('hydrogen - electrolysis'!B7978,overview!$A$4:$A$338,0),MATCH('hydrogen - electrolysis'!A7989,overview!$B$3:$R$3,0))</f>
        <v>1300</v>
      </c>
    </row>
    <row r="7990" spans="1:2" x14ac:dyDescent="0.2">
      <c r="A7990" t="s">
        <v>12</v>
      </c>
      <c r="B7990" s="45" t="str">
        <f>INDEX(overview!$B$4:$R$338,MATCH('hydrogen - electrolysis'!B7978,overview!$A$4:$A$338,0),MATCH('hydrogen - electrolysis'!A7990,overview!$B$3:$R$3,0))</f>
        <v>Pressure vessel for stationary storage</v>
      </c>
    </row>
    <row r="7991" spans="1:2" x14ac:dyDescent="0.2">
      <c r="A7991" t="s">
        <v>34</v>
      </c>
      <c r="B7991" s="45">
        <f>INDEX(overview!$B$4:$R$338,MATCH('hydrogen - electrolysis'!B7978,overview!$A$4:$A$338,0),MATCH('hydrogen - electrolysis'!A7991,overview!$B$3:$R$3,0))</f>
        <v>0</v>
      </c>
    </row>
    <row r="7992" spans="1:2" x14ac:dyDescent="0.2">
      <c r="A7992" t="s">
        <v>15</v>
      </c>
      <c r="B7992" s="45" t="str">
        <f>INDEX(overview!$B$4:$R$338,MATCH('hydrogen - electrolysis'!B7978,overview!$A$4:$A$338,0),MATCH('hydrogen - electrolysis'!A7992,overview!$B$3:$R$3,0))</f>
        <v>Electrolysis, Alkaline</v>
      </c>
    </row>
    <row r="7993" spans="1:2" x14ac:dyDescent="0.2">
      <c r="A7993" t="s">
        <v>14</v>
      </c>
      <c r="B7993" s="45" t="str">
        <f>INDEX(overview!$B$4:$R$338,MATCH('hydrogen - electrolysis'!B7978,overview!$A$4:$A$338,0),MATCH('hydrogen - electrolysis'!A7993,overview!$B$3:$R$3,0))</f>
        <v>water and electricity</v>
      </c>
    </row>
    <row r="7994" spans="1:2" x14ac:dyDescent="0.2">
      <c r="A7994" t="s">
        <v>26</v>
      </c>
      <c r="B7994" s="45" t="str">
        <f>INDEX(overview!$B$4:$R$338,MATCH('hydrogen - electrolysis'!B7978,overview!$A$4:$A$338,0),MATCH('hydrogen - electrolysis'!A7994,overview!$B$3:$R$3,0))</f>
        <v>Wind (DK)</v>
      </c>
    </row>
    <row r="7995" spans="1:2" x14ac:dyDescent="0.2">
      <c r="A7995" t="s">
        <v>29</v>
      </c>
      <c r="B7995" s="45">
        <f>INDEX(overview!$B$4:$R$338,MATCH('hydrogen - electrolysis'!B7978,overview!$A$4:$A$338,0),MATCH('hydrogen - electrolysis'!A7995,overview!$B$3:$R$3,0))</f>
        <v>0</v>
      </c>
    </row>
    <row r="7996" spans="1:2" x14ac:dyDescent="0.2">
      <c r="A7996" t="str">
        <f>IF(B7980="megajoule","Heat","Electricity")&amp;" conversion efficiency [% LHV input]"</f>
        <v>Heat conversion efficiency [% LHV input]</v>
      </c>
      <c r="B7996" s="46">
        <f>INDEX(parameters!$D$4:$N$20,MATCH('hydrogen - electrolysis'!B7984&amp;'hydrogen - electrolysis'!B7986,parameters!$A$4:$A$20,0),MATCH('hydrogen - electrolysis'!A7996,parameters!$D$3:$N$3,0))</f>
        <v>0.41699999999999998</v>
      </c>
    </row>
    <row r="7997" spans="1:2" x14ac:dyDescent="0.2">
      <c r="A7997" t="str">
        <f>IF(B7980="megajoule","LHV [MJ/kg]","LHV [kWh/kg]")</f>
        <v>LHV [MJ/kg]</v>
      </c>
      <c r="B7997" s="47">
        <f>INDEX(parameters!$D$4:$N$20,MATCH('hydrogen - electrolysis'!B7984&amp;'hydrogen - electrolysis'!B7986,parameters!$A$4:$A$20,0),MATCH('hydrogen - electrolysis'!A7997,parameters!$D$3:$N$3,0))</f>
        <v>120</v>
      </c>
    </row>
    <row r="7998" spans="1:2" x14ac:dyDescent="0.2">
      <c r="A7998" t="s">
        <v>41</v>
      </c>
      <c r="B7998" s="48">
        <f>INDEX(parameters!$D$4:$N$20,MATCH('hydrogen - electrolysis'!B7984&amp;'hydrogen - electrolysis'!B7986,parameters!$A$4:$A$20,0),MATCH('hydrogen - electrolysis'!A7998,parameters!$D$3:$N$3,0))</f>
        <v>2.6666666666666665E-2</v>
      </c>
    </row>
    <row r="7999" spans="1:2" x14ac:dyDescent="0.2">
      <c r="A7999" t="s">
        <v>45</v>
      </c>
      <c r="B7999" s="46">
        <f>INDEX(parameters!$D$4:$N$20,MATCH('hydrogen - electrolysis'!B7984&amp;'hydrogen - electrolysis'!B7986,parameters!$A$4:$A$20,0),MATCH('hydrogen - electrolysis'!A7999,parameters!$D$3:$N$3,0))</f>
        <v>0</v>
      </c>
    </row>
    <row r="8000" spans="1:2" x14ac:dyDescent="0.2">
      <c r="A8000" t="s">
        <v>46</v>
      </c>
      <c r="B8000" s="46">
        <f>INDEX(parameters!$D$4:$N$20,MATCH('hydrogen - electrolysis'!B7984&amp;'hydrogen - electrolysis'!B7986,parameters!$A$4:$A$20,0),MATCH('hydrogen - electrolysis'!A8000,parameters!$D$3:$N$3,0))</f>
        <v>1.4999999999999999E-2</v>
      </c>
    </row>
    <row r="8001" spans="1:22" x14ac:dyDescent="0.2">
      <c r="A8001" t="s">
        <v>43</v>
      </c>
      <c r="B8001" s="46">
        <f>INDEX(parameters!$D$4:$N$20,MATCH('hydrogen - electrolysis'!B7984&amp;'hydrogen - electrolysis'!B7986,parameters!$A$4:$A$20,0),MATCH('hydrogen - electrolysis'!A8001,parameters!$D$3:$N$3,0))</f>
        <v>0</v>
      </c>
    </row>
    <row r="8002" spans="1:22" x14ac:dyDescent="0.2">
      <c r="A8002" t="s">
        <v>44</v>
      </c>
      <c r="B8002" s="46">
        <f>INDEX(parameters!$D$4:$N$20,MATCH('hydrogen - electrolysis'!B7984&amp;'hydrogen - electrolysis'!B7986,parameters!$A$4:$A$20,0),MATCH('hydrogen - electrolysis'!A8002,parameters!$D$3:$N$3,0))</f>
        <v>0</v>
      </c>
    </row>
    <row r="8003" spans="1:22" x14ac:dyDescent="0.2">
      <c r="A8003" t="s">
        <v>634</v>
      </c>
      <c r="B8003" s="51">
        <f>INDEX(parameters!$D$4:$Y$20,MATCH('hydrogen - electrolysis'!B7984&amp;'hydrogen - electrolysis'!B7986,parameters!$A$4:$A$20,0),MATCH('hydrogen - electrolysis'!A8003,parameters!$D$3:$Y$3,0))</f>
        <v>351.41800246609125</v>
      </c>
    </row>
    <row r="8004" spans="1:22" x14ac:dyDescent="0.2">
      <c r="A8004" t="s">
        <v>82</v>
      </c>
      <c r="B8004" s="46">
        <f>IF(B7995&lt;&gt;0,VLOOKUP(B7995,parameters!A5023:B5025,2,0),0)</f>
        <v>0</v>
      </c>
    </row>
    <row r="8005" spans="1:22" x14ac:dyDescent="0.2">
      <c r="A8005" t="s">
        <v>548</v>
      </c>
      <c r="B8005" s="50">
        <f>INDEX(parameters!$D$4:$P$20,MATCH(B7984&amp;B7986,parameters!$A$4:$A$20,0),MATCH(A8005,parameters!$D$3:$P$3,0))</f>
        <v>125</v>
      </c>
    </row>
    <row r="8006" spans="1:22" x14ac:dyDescent="0.2">
      <c r="A8006" t="s">
        <v>547</v>
      </c>
      <c r="B8006" s="51">
        <f>INDEX(parameters!$D$4:$P$20,MATCH(B7984&amp;B7986,parameters!$A$4:$A$20,0),MATCH(A8006,parameters!$D$3:$P$3,0))</f>
        <v>19.512195121951219</v>
      </c>
    </row>
    <row r="8007" spans="1:22" x14ac:dyDescent="0.2">
      <c r="A8007" t="s">
        <v>630</v>
      </c>
      <c r="B8007" s="51">
        <f>INDEX(parameters!$D$4:$T$20,MATCH(B7984&amp;B7986,parameters!$A$4:$A$20,0),MATCH(A8007,parameters!$D$3:$T$3,0))</f>
        <v>4100</v>
      </c>
    </row>
    <row r="8008" spans="1:22" x14ac:dyDescent="0.2">
      <c r="A8008" t="s">
        <v>1005</v>
      </c>
      <c r="B8008" s="50">
        <f>IF(B7980="megajoule",SUMIFS(allocation!$I$4:$I$30,allocation!$B$4:$B$30,B7986,allocation!$C$4:$C$30,B7987),SUMIFS(allocation!$J$4:$J$30,allocation!$B$4:$B$30,B7986,allocation!$C$4:$C$30,B7987))</f>
        <v>0.12860042227295038</v>
      </c>
    </row>
    <row r="8009" spans="1:22" x14ac:dyDescent="0.2">
      <c r="A8009" t="s">
        <v>1050</v>
      </c>
      <c r="B8009" s="51">
        <f>INDEX(parameters!$D$4:$AB$20,MATCH(B7984&amp;B7986,parameters!$A$4:$A$20,0),MATCH(A8009,parameters!$D$3:$AB$3,0))</f>
        <v>2220.7364520822662</v>
      </c>
    </row>
    <row r="8011" spans="1:22" x14ac:dyDescent="0.2">
      <c r="A8011" s="3" t="s">
        <v>57</v>
      </c>
    </row>
    <row r="8012" spans="1:22" x14ac:dyDescent="0.2">
      <c r="A8012" s="2" t="s">
        <v>58</v>
      </c>
      <c r="B8012" s="44" t="s">
        <v>59</v>
      </c>
      <c r="C8012" s="2" t="s">
        <v>55</v>
      </c>
      <c r="D8012" s="2" t="s">
        <v>60</v>
      </c>
      <c r="E8012" s="2" t="s">
        <v>52</v>
      </c>
      <c r="F8012" s="2" t="s">
        <v>61</v>
      </c>
      <c r="G8012" s="2" t="s">
        <v>54</v>
      </c>
      <c r="H8012" s="2" t="s">
        <v>87</v>
      </c>
      <c r="I8012" s="2" t="s">
        <v>51</v>
      </c>
      <c r="J8012" s="2" t="s">
        <v>138</v>
      </c>
      <c r="K8012" s="2" t="s">
        <v>136</v>
      </c>
      <c r="L8012" s="2" t="s">
        <v>221</v>
      </c>
      <c r="M8012" s="2" t="s">
        <v>379</v>
      </c>
      <c r="N8012" s="2" t="s">
        <v>1059</v>
      </c>
      <c r="O8012" s="2" t="s">
        <v>1060</v>
      </c>
      <c r="P8012" s="2" t="s">
        <v>1061</v>
      </c>
      <c r="Q8012" s="2" t="s">
        <v>1062</v>
      </c>
      <c r="R8012" s="2" t="s">
        <v>1063</v>
      </c>
      <c r="S8012" s="2" t="s">
        <v>1064</v>
      </c>
      <c r="T8012" s="2" t="s">
        <v>1065</v>
      </c>
      <c r="U8012" s="2" t="s">
        <v>380</v>
      </c>
      <c r="V8012" s="2" t="s">
        <v>1128</v>
      </c>
    </row>
    <row r="8013" spans="1:22" x14ac:dyDescent="0.2">
      <c r="A8013" t="str">
        <f>B7974</f>
        <v>heat, residential, by combustion of hydrogen using CHP, allocated by exergy, transported by pipeline, produced by Electrolysis, Alkaline using water and electricity from Wind (DK)</v>
      </c>
      <c r="B8013" s="45">
        <v>1</v>
      </c>
      <c r="C8013" t="str">
        <f>B7980</f>
        <v>megajoule</v>
      </c>
      <c r="E8013" t="str">
        <f>B7977</f>
        <v>CH</v>
      </c>
      <c r="F8013" t="s">
        <v>62</v>
      </c>
      <c r="G8013" t="str">
        <f>B7979</f>
        <v>heat, from residential heating system</v>
      </c>
      <c r="K8013" t="str">
        <f>B7974</f>
        <v>heat, residential, by combustion of hydrogen using CHP, allocated by exergy, transported by pipeline, produced by Electrolysis, Alkaline using water and electricity from Wind (DK)</v>
      </c>
    </row>
    <row r="8014" spans="1:22" x14ac:dyDescent="0.2">
      <c r="A8014" t="str">
        <f>VLOOKUP(J8014,'dataset mapping'!$A$4:$E$69,2,0)</f>
        <v>heat and power co-generation unit construction, 160kW electrical, common components for heat+electricity</v>
      </c>
      <c r="B8014" s="52">
        <f>(1/(B8003*B8007*B8006*3.6))*B8008</f>
        <v>1.270649883812899E-9</v>
      </c>
      <c r="C8014" t="str">
        <f>VLOOKUP(J8014,'dataset mapping'!$A$4:$E$69,5,0)</f>
        <v>unit</v>
      </c>
      <c r="E8014" t="str">
        <f>VLOOKUP(J8014,'dataset mapping'!$A$4:$E$69,4,0)</f>
        <v>RER</v>
      </c>
      <c r="F8014" t="s">
        <v>86</v>
      </c>
      <c r="G8014" t="str">
        <f>VLOOKUP(J8014,'dataset mapping'!$A$4:$E$69,3,0)</f>
        <v>heat and power co-generation unit, 160kW electrical, common components for heat+electricity</v>
      </c>
      <c r="H8014" t="s">
        <v>88</v>
      </c>
      <c r="J8014" t="s">
        <v>145</v>
      </c>
      <c r="K8014" t="str">
        <f>B7974</f>
        <v>heat, residential, by combustion of hydrogen using CHP, allocated by exergy, transported by pipeline, produced by Electrolysis, Alkaline using water and electricity from Wind (DK)</v>
      </c>
      <c r="L8014">
        <f t="shared" ref="L8014:L8021" si="331">IF(OR(B8014&lt;0,B8014=0),1,2)</f>
        <v>2</v>
      </c>
      <c r="M8014">
        <f t="shared" ref="M8014:M8021" si="332">IF(L8014=2,LN(B8014),"")</f>
        <v>-20.48373734782199</v>
      </c>
      <c r="N8014">
        <v>1.05</v>
      </c>
      <c r="O8014" s="15">
        <v>1.2</v>
      </c>
      <c r="P8014">
        <v>1</v>
      </c>
      <c r="Q8014">
        <v>1.01</v>
      </c>
      <c r="R8014">
        <v>1.2</v>
      </c>
      <c r="S8014">
        <v>1.2</v>
      </c>
      <c r="T8014">
        <v>3</v>
      </c>
      <c r="U8014">
        <f t="shared" ref="U8014:U8021" si="333">LN(SQRT(EXP(
SQRT(
+POWER(LN(N8014),2)
+POWER(LN(O8014),2)
+POWER(LN(P8014),2)
+POWER(LN(Q8014),2)
+POWER(LN(R8014),2)
+POWER(LN(S8014),2)
+POWER(LN(T8014),2)
)
)))</f>
        <v>0.57209088006881903</v>
      </c>
    </row>
    <row r="8015" spans="1:22" x14ac:dyDescent="0.2">
      <c r="A8015" t="str">
        <f>VLOOKUP(J8015,'dataset mapping'!$A$4:$E$69,2,0)</f>
        <v>heat and power co-generation unit construction, 160kW electrical, components for electricity only</v>
      </c>
      <c r="B8015" s="52">
        <f>(1/(B8003*B8007*B8006*3.6))*B8008</f>
        <v>1.270649883812899E-9</v>
      </c>
      <c r="C8015" t="str">
        <f>VLOOKUP(J8015,'dataset mapping'!$A$4:$E$69,5,0)</f>
        <v>unit</v>
      </c>
      <c r="E8015" t="str">
        <f>VLOOKUP(J8015,'dataset mapping'!$A$4:$E$69,4,0)</f>
        <v>RER</v>
      </c>
      <c r="F8015" t="s">
        <v>86</v>
      </c>
      <c r="G8015" t="str">
        <f>VLOOKUP(J8015,'dataset mapping'!$A$4:$E$69,3,0)</f>
        <v>heat and power co-generation unit, 160kW electrical, components for electricity only</v>
      </c>
      <c r="H8015" t="s">
        <v>88</v>
      </c>
      <c r="J8015" t="s">
        <v>146</v>
      </c>
      <c r="K8015" t="str">
        <f>B7974</f>
        <v>heat, residential, by combustion of hydrogen using CHP, allocated by exergy, transported by pipeline, produced by Electrolysis, Alkaline using water and electricity from Wind (DK)</v>
      </c>
      <c r="L8015">
        <f t="shared" si="331"/>
        <v>2</v>
      </c>
      <c r="M8015">
        <f t="shared" si="332"/>
        <v>-20.48373734782199</v>
      </c>
      <c r="N8015">
        <v>1.05</v>
      </c>
      <c r="O8015" s="15">
        <v>1.2</v>
      </c>
      <c r="P8015">
        <v>1</v>
      </c>
      <c r="Q8015">
        <v>1.01</v>
      </c>
      <c r="R8015">
        <v>1.2</v>
      </c>
      <c r="S8015">
        <v>1.2</v>
      </c>
      <c r="T8015">
        <v>3</v>
      </c>
      <c r="U8015">
        <f t="shared" si="333"/>
        <v>0.57209088006881903</v>
      </c>
    </row>
    <row r="8016" spans="1:22" x14ac:dyDescent="0.2">
      <c r="A8016" t="str">
        <f>VLOOKUP(J8016,'dataset mapping'!$A$4:$E$69,2,0)</f>
        <v>heat and power co-generation unit construction, 160kW electrical, components for heat only</v>
      </c>
      <c r="B8016" s="52">
        <f>(1/(B8003*B8007*B8006*3.6))*B8008</f>
        <v>1.270649883812899E-9</v>
      </c>
      <c r="C8016" t="str">
        <f>VLOOKUP(J8016,'dataset mapping'!$A$4:$E$69,5,0)</f>
        <v>unit</v>
      </c>
      <c r="E8016" t="str">
        <f>VLOOKUP(J8016,'dataset mapping'!$A$4:$E$69,4,0)</f>
        <v>RER</v>
      </c>
      <c r="F8016" t="s">
        <v>86</v>
      </c>
      <c r="G8016" t="str">
        <f>VLOOKUP(J8016,'dataset mapping'!$A$4:$E$69,3,0)</f>
        <v>heat and power co-generation unit, 160kW electrical, components for heat only</v>
      </c>
      <c r="H8016" t="s">
        <v>88</v>
      </c>
      <c r="J8016" t="s">
        <v>147</v>
      </c>
      <c r="K8016" t="str">
        <f>B7974</f>
        <v>heat, residential, by combustion of hydrogen using CHP, allocated by exergy, transported by pipeline, produced by Electrolysis, Alkaline using water and electricity from Wind (DK)</v>
      </c>
      <c r="L8016">
        <f t="shared" si="331"/>
        <v>2</v>
      </c>
      <c r="M8016">
        <f t="shared" si="332"/>
        <v>-20.48373734782199</v>
      </c>
      <c r="N8016">
        <v>1.05</v>
      </c>
      <c r="O8016" s="15">
        <v>1.2</v>
      </c>
      <c r="P8016">
        <v>1</v>
      </c>
      <c r="Q8016">
        <v>1.01</v>
      </c>
      <c r="R8016">
        <v>1.2</v>
      </c>
      <c r="S8016">
        <v>1.2</v>
      </c>
      <c r="T8016">
        <v>3</v>
      </c>
      <c r="U8016">
        <f t="shared" si="333"/>
        <v>0.57209088006881903</v>
      </c>
    </row>
    <row r="8017" spans="1:22" x14ac:dyDescent="0.2">
      <c r="A8017" t="s">
        <v>156</v>
      </c>
      <c r="B8017" s="52">
        <f>0.00000011366*B8008</f>
        <v>1.461672399554354E-8</v>
      </c>
      <c r="C8017" t="s">
        <v>56</v>
      </c>
      <c r="E8017" t="s">
        <v>90</v>
      </c>
      <c r="F8017" t="s">
        <v>86</v>
      </c>
      <c r="G8017" t="s">
        <v>154</v>
      </c>
      <c r="H8017" t="s">
        <v>155</v>
      </c>
      <c r="K8017" t="str">
        <f>B7974</f>
        <v>heat, residential, by combustion of hydrogen using CHP, allocated by exergy, transported by pipeline, produced by Electrolysis, Alkaline using water and electricity from Wind (DK)</v>
      </c>
      <c r="L8017">
        <f t="shared" si="331"/>
        <v>2</v>
      </c>
      <c r="M8017">
        <f t="shared" si="332"/>
        <v>-18.041099484645969</v>
      </c>
      <c r="N8017">
        <v>1.05</v>
      </c>
      <c r="O8017" s="15">
        <v>1.2</v>
      </c>
      <c r="P8017">
        <v>1</v>
      </c>
      <c r="Q8017">
        <v>1.01</v>
      </c>
      <c r="R8017">
        <v>1.2</v>
      </c>
      <c r="S8017">
        <v>1.2</v>
      </c>
      <c r="T8017">
        <v>1.05</v>
      </c>
      <c r="U8017">
        <f t="shared" si="333"/>
        <v>0.16169679924070957</v>
      </c>
    </row>
    <row r="8018" spans="1:22" x14ac:dyDescent="0.2">
      <c r="A8018" t="s">
        <v>157</v>
      </c>
      <c r="B8018" s="52">
        <f>0.00000011366*B8008*-1</f>
        <v>-1.461672399554354E-8</v>
      </c>
      <c r="C8018" t="s">
        <v>56</v>
      </c>
      <c r="E8018" t="s">
        <v>64</v>
      </c>
      <c r="F8018" t="s">
        <v>86</v>
      </c>
      <c r="G8018" t="s">
        <v>158</v>
      </c>
      <c r="H8018" t="s">
        <v>155</v>
      </c>
      <c r="K8018" t="str">
        <f>B7974</f>
        <v>heat, residential, by combustion of hydrogen using CHP, allocated by exergy, transported by pipeline, produced by Electrolysis, Alkaline using water and electricity from Wind (DK)</v>
      </c>
      <c r="L8018">
        <v>2</v>
      </c>
      <c r="M8018">
        <f>IF(L8018=2,LN(B8018*-1),"")</f>
        <v>-18.041099484645969</v>
      </c>
      <c r="N8018">
        <v>1.05</v>
      </c>
      <c r="O8018" s="15">
        <v>1.2</v>
      </c>
      <c r="P8018">
        <v>1</v>
      </c>
      <c r="Q8018">
        <v>1.01</v>
      </c>
      <c r="R8018">
        <v>1.2</v>
      </c>
      <c r="S8018">
        <v>1.2</v>
      </c>
      <c r="T8018">
        <v>3</v>
      </c>
      <c r="U8018">
        <f>LN(SQRT(EXP(
SQRT(
+POWER(LN(N8018),2)
+POWER(LN(O8018),2)
+POWER(LN(P8018),2)
+POWER(LN(Q8018),2)
+POWER(LN(R8018),2)
+POWER(LN(S8018),2)
+POWER(LN(T8018),2)
)
)))</f>
        <v>0.57209088006881903</v>
      </c>
      <c r="V8018" t="b">
        <v>1</v>
      </c>
    </row>
    <row r="8019" spans="1:22" x14ac:dyDescent="0.2">
      <c r="A8019" s="45" t="str">
        <f>"hydrogen supply, transported by "&amp;B7988&amp;", produced by "&amp;B7992&amp;" using "&amp;B7993&amp;" from "&amp;B7994</f>
        <v>hydrogen supply, transported by pipeline, produced by Electrolysis, Alkaline using water and electricity from Wind (DK)</v>
      </c>
      <c r="B8019" s="53">
        <f>(B8013/B7997)/B7996*B8008</f>
        <v>2.56995248347223E-3</v>
      </c>
      <c r="C8019" t="s">
        <v>56</v>
      </c>
      <c r="E8019" t="s">
        <v>64</v>
      </c>
      <c r="F8019" t="s">
        <v>86</v>
      </c>
      <c r="G8019" t="str">
        <f>"hydrogen, gaseous, from "&amp;B7988</f>
        <v>hydrogen, gaseous, from pipeline</v>
      </c>
      <c r="H8019" t="s">
        <v>76</v>
      </c>
      <c r="I8019" t="s">
        <v>1054</v>
      </c>
      <c r="J8019" t="s">
        <v>302</v>
      </c>
      <c r="K8019" t="str">
        <f>B7974</f>
        <v>heat, residential, by combustion of hydrogen using CHP, allocated by exergy, transported by pipeline, produced by Electrolysis, Alkaline using water and electricity from Wind (DK)</v>
      </c>
      <c r="L8019">
        <f t="shared" si="331"/>
        <v>2</v>
      </c>
      <c r="M8019">
        <f t="shared" si="332"/>
        <v>-5.9638678691672418</v>
      </c>
      <c r="N8019">
        <v>1.05</v>
      </c>
      <c r="O8019" s="15">
        <v>1.2</v>
      </c>
      <c r="P8019">
        <v>1</v>
      </c>
      <c r="Q8019">
        <v>1.01</v>
      </c>
      <c r="R8019">
        <v>1.2</v>
      </c>
      <c r="S8019">
        <v>1.2</v>
      </c>
      <c r="T8019">
        <v>1.05</v>
      </c>
      <c r="U8019">
        <f t="shared" si="333"/>
        <v>0.16169679924070957</v>
      </c>
    </row>
    <row r="8020" spans="1:22" x14ac:dyDescent="0.2">
      <c r="A8020" t="s">
        <v>134</v>
      </c>
      <c r="B8020" s="45">
        <f>B8019*9</f>
        <v>2.3129572351250072E-2</v>
      </c>
      <c r="C8020" t="s">
        <v>56</v>
      </c>
      <c r="D8020" t="s">
        <v>100</v>
      </c>
      <c r="F8020" t="s">
        <v>99</v>
      </c>
      <c r="H8020" t="s">
        <v>131</v>
      </c>
      <c r="I8020" t="s">
        <v>1058</v>
      </c>
      <c r="K8020" t="str">
        <f>B7974</f>
        <v>heat, residential, by combustion of hydrogen using CHP, allocated by exergy, transported by pipeline, produced by Electrolysis, Alkaline using water and electricity from Wind (DK)</v>
      </c>
      <c r="L8020">
        <f t="shared" si="331"/>
        <v>2</v>
      </c>
      <c r="M8020">
        <f t="shared" si="332"/>
        <v>-3.7666432918310226</v>
      </c>
      <c r="N8020">
        <v>1.05</v>
      </c>
      <c r="O8020" s="15">
        <v>1.2</v>
      </c>
      <c r="P8020">
        <v>1</v>
      </c>
      <c r="Q8020">
        <v>1.01</v>
      </c>
      <c r="R8020">
        <v>1.2</v>
      </c>
      <c r="S8020">
        <v>1.2</v>
      </c>
      <c r="T8020">
        <v>1.05</v>
      </c>
      <c r="U8020">
        <f t="shared" si="333"/>
        <v>0.16169679924070957</v>
      </c>
    </row>
    <row r="8021" spans="1:22" x14ac:dyDescent="0.2">
      <c r="A8021" t="s">
        <v>135</v>
      </c>
      <c r="B8021" s="45">
        <f>912.5/1000000*B8019</f>
        <v>2.3450816411684101E-6</v>
      </c>
      <c r="C8021" t="s">
        <v>56</v>
      </c>
      <c r="D8021" t="s">
        <v>100</v>
      </c>
      <c r="F8021" t="s">
        <v>99</v>
      </c>
      <c r="H8021" t="s">
        <v>131</v>
      </c>
      <c r="I8021" t="s">
        <v>1217</v>
      </c>
      <c r="K8021" t="str">
        <f>B7974</f>
        <v>heat, residential, by combustion of hydrogen using CHP, allocated by exergy, transported by pipeline, produced by Electrolysis, Alkaline using water and electricity from Wind (DK)</v>
      </c>
      <c r="L8021">
        <f t="shared" si="331"/>
        <v>2</v>
      </c>
      <c r="M8021">
        <f t="shared" si="332"/>
        <v>-12.963190341674869</v>
      </c>
      <c r="N8021">
        <v>1.05</v>
      </c>
      <c r="O8021" s="15">
        <v>1.2</v>
      </c>
      <c r="P8021">
        <v>1</v>
      </c>
      <c r="Q8021">
        <v>1.01</v>
      </c>
      <c r="R8021">
        <v>1.2</v>
      </c>
      <c r="S8021">
        <v>1.2</v>
      </c>
      <c r="T8021">
        <v>1.5</v>
      </c>
      <c r="U8021">
        <f t="shared" si="333"/>
        <v>0.25816898211842121</v>
      </c>
    </row>
    <row r="8023" spans="1:22" x14ac:dyDescent="0.2">
      <c r="A8023" s="2" t="s">
        <v>50</v>
      </c>
      <c r="B8023" s="44" t="str">
        <f>IF(B8029="megajoule","heat","electricity")&amp;", residential, by "&amp;B8034&amp;" of "&amp;B8033&amp;" using "&amp;B8035&amp;IF(B8036&lt;&gt;0,", allocated by "&amp;B8036,"")&amp;", transported by "&amp;B8037&amp;", produced by "&amp;B8041&amp;" using "&amp;B8042&amp;" from "&amp;B8043</f>
        <v>heat, residential, by conversion of hydrogen using fuel cell, PEM, allocated by exergy, transported by pipeline, produced by Electrolysis, Alkaline using water and electricity from Wind (DK)</v>
      </c>
    </row>
    <row r="8024" spans="1:22" x14ac:dyDescent="0.2">
      <c r="A8024" t="s">
        <v>51</v>
      </c>
      <c r="B8024" s="45" t="str">
        <f>"This dataset represents the supply of 1 "&amp;IF(B8029="megajoule","megajoule of heat","kilowatt hour of electricity")&amp;" in a residence, by "&amp;B8033&amp;" "&amp;B8034&amp;" in a "&amp;B8035&amp;". "&amp;" The hydrogen is transported by "&amp;B8037&amp;" over "&amp;B8038&amp;" km from regional storage. "&amp;" The "&amp;B8033&amp;" is produced by  "&amp;B8041&amp;", with "&amp;B8042&amp;" from "&amp;B8043&amp;" as feedstock. "&amp;A8045&amp;": "&amp;(B8045*100)&amp;"%. "&amp;A8046&amp;": "&amp;B8046&amp;". "&amp;A8047&amp;": "&amp;B8047&amp;". "&amp;A8048&amp;": "&amp;(B8048*100)&amp;"%. "&amp;A8049&amp;": "&amp;(B8049*100)&amp;"%. "&amp;A8050&amp;": "&amp;(B8050*100)&amp;"%. "&amp;A8051&amp;": "&amp;B8051&amp;". "&amp;A8052&amp;": "&amp;B8052&amp;". "&amp;A8053&amp;": "&amp;(B8053*100)&amp;"%. "&amp;A8054&amp;": "&amp;B8054&amp;". "&amp;A8055&amp;": "&amp;B8055&amp;". "&amp;A8056&amp;": "&amp;B8056&amp;". "&amp;A8057&amp;": "&amp;B8057&amp;".  For more information, refer to: "&amp;B8025</f>
        <v>This dataset represents the supply of 1 megajoule of heat in a residence, by hydrogen conversion in a fuel cell, PEM.  The hydrogen is transported by pipeline over 1300 km from regional storage.  The hydrogen is produced by  Electrolysis, Alkaline,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8025" spans="1:22" x14ac:dyDescent="0.2">
      <c r="A8025" t="s">
        <v>63</v>
      </c>
      <c r="B8025" s="45" t="s">
        <v>1223</v>
      </c>
    </row>
    <row r="8026" spans="1:22" x14ac:dyDescent="0.2">
      <c r="A8026" t="s">
        <v>52</v>
      </c>
      <c r="B8026" s="45" t="s">
        <v>64</v>
      </c>
    </row>
    <row r="8027" spans="1:22" x14ac:dyDescent="0.2">
      <c r="A8027" t="s">
        <v>48</v>
      </c>
      <c r="B8027" s="45">
        <v>99</v>
      </c>
    </row>
    <row r="8028" spans="1:22" x14ac:dyDescent="0.2">
      <c r="A8028" t="s">
        <v>54</v>
      </c>
      <c r="B8028" s="45" t="str">
        <f>INDEX(overview!$B$4:$R$338,MATCH('hydrogen - electrolysis'!B8027,overview!$A$4:$A$338,0),MATCH('hydrogen - electrolysis'!A8028,overview!$B$3:$R$3,0))</f>
        <v>heat, from residential heating system</v>
      </c>
    </row>
    <row r="8029" spans="1:22" x14ac:dyDescent="0.2">
      <c r="A8029" t="s">
        <v>55</v>
      </c>
      <c r="B8029" s="45" t="str">
        <f>INDEX(overview!$B$4:$R$338,MATCH('hydrogen - electrolysis'!B8027,overview!$A$4:$A$338,0),MATCH('hydrogen - electrolysis'!A8029,overview!$B$3:$R$3,0))</f>
        <v>megajoule</v>
      </c>
    </row>
    <row r="8030" spans="1:22" x14ac:dyDescent="0.2">
      <c r="A8030" t="s">
        <v>0</v>
      </c>
      <c r="B8030" s="45" t="str">
        <f>INDEX(overview!$B$4:$R$338,MATCH('hydrogen - electrolysis'!B8027,overview!$A$4:$A$338,0),MATCH('hydrogen - electrolysis'!A8030,overview!$B$3:$R$3,0))</f>
        <v>Switzerland</v>
      </c>
    </row>
    <row r="8031" spans="1:22" x14ac:dyDescent="0.2">
      <c r="A8031" t="s">
        <v>1</v>
      </c>
      <c r="B8031" s="45">
        <f>INDEX(overview!$B$4:$R$338,MATCH('hydrogen - electrolysis'!B8027,overview!$A$4:$A$338,0),MATCH('hydrogen - electrolysis'!A8031,overview!$B$3:$R$3,0))</f>
        <v>2020</v>
      </c>
    </row>
    <row r="8032" spans="1:22" x14ac:dyDescent="0.2">
      <c r="A8032" t="s">
        <v>2</v>
      </c>
      <c r="B8032" s="45" t="str">
        <f>INDEX(overview!$B$4:$R$338,MATCH('hydrogen - electrolysis'!B8027,overview!$A$4:$A$338,0),MATCH('hydrogen - electrolysis'!A8032,overview!$B$3:$R$3,0))</f>
        <v>1 MJ heat</v>
      </c>
    </row>
    <row r="8033" spans="1:2" x14ac:dyDescent="0.2">
      <c r="A8033" t="s">
        <v>5</v>
      </c>
      <c r="B8033" s="45" t="str">
        <f>INDEX(overview!$B$4:$R$338,MATCH('hydrogen - electrolysis'!B8027,overview!$A$4:$A$338,0),MATCH('hydrogen - electrolysis'!A8033,overview!$B$3:$R$3,0))</f>
        <v>hydrogen</v>
      </c>
    </row>
    <row r="8034" spans="1:2" x14ac:dyDescent="0.2">
      <c r="A8034" t="s">
        <v>3</v>
      </c>
      <c r="B8034" s="45" t="str">
        <f>INDEX(overview!$B$4:$R$338,MATCH('hydrogen - electrolysis'!B8027,overview!$A$4:$A$338,0),MATCH('hydrogen - electrolysis'!A8034,overview!$B$3:$R$3,0))</f>
        <v>conversion</v>
      </c>
    </row>
    <row r="8035" spans="1:2" x14ac:dyDescent="0.2">
      <c r="A8035" t="s">
        <v>6</v>
      </c>
      <c r="B8035" s="45" t="str">
        <f>INDEX(overview!$B$4:$R$338,MATCH('hydrogen - electrolysis'!B8027,overview!$A$4:$A$338,0),MATCH('hydrogen - electrolysis'!A8035,overview!$B$3:$R$3,0))</f>
        <v>fuel cell, PEM</v>
      </c>
    </row>
    <row r="8036" spans="1:2" x14ac:dyDescent="0.2">
      <c r="A8036" t="s">
        <v>39</v>
      </c>
      <c r="B8036" s="45" t="str">
        <f>INDEX(overview!$B$4:$R$338,MATCH('hydrogen - electrolysis'!B8027,overview!$A$4:$A$338,0),MATCH('hydrogen - electrolysis'!A8036,overview!$B$3:$R$3,0))</f>
        <v>exergy</v>
      </c>
    </row>
    <row r="8037" spans="1:2" x14ac:dyDescent="0.2">
      <c r="A8037" t="s">
        <v>4</v>
      </c>
      <c r="B8037" s="45" t="str">
        <f>INDEX(overview!$B$4:$R$338,MATCH('hydrogen - electrolysis'!B8027,overview!$A$4:$A$338,0),MATCH('hydrogen - electrolysis'!A8037,overview!$B$3:$R$3,0))</f>
        <v>pipeline</v>
      </c>
    </row>
    <row r="8038" spans="1:2" x14ac:dyDescent="0.2">
      <c r="A8038" t="s">
        <v>38</v>
      </c>
      <c r="B8038" s="45">
        <f>INDEX(overview!$B$4:$R$338,MATCH('hydrogen - electrolysis'!B8027,overview!$A$4:$A$338,0),MATCH('hydrogen - electrolysis'!A8038,overview!$B$3:$R$3,0))</f>
        <v>1300</v>
      </c>
    </row>
    <row r="8039" spans="1:2" x14ac:dyDescent="0.2">
      <c r="A8039" t="s">
        <v>12</v>
      </c>
      <c r="B8039" s="45" t="str">
        <f>INDEX(overview!$B$4:$R$338,MATCH('hydrogen - electrolysis'!B8027,overview!$A$4:$A$338,0),MATCH('hydrogen - electrolysis'!A8039,overview!$B$3:$R$3,0))</f>
        <v>Pressure vessel for stationary storage</v>
      </c>
    </row>
    <row r="8040" spans="1:2" x14ac:dyDescent="0.2">
      <c r="A8040" t="s">
        <v>34</v>
      </c>
      <c r="B8040" s="45">
        <f>INDEX(overview!$B$4:$R$338,MATCH('hydrogen - electrolysis'!B8027,overview!$A$4:$A$338,0),MATCH('hydrogen - electrolysis'!A8040,overview!$B$3:$R$3,0))</f>
        <v>0</v>
      </c>
    </row>
    <row r="8041" spans="1:2" x14ac:dyDescent="0.2">
      <c r="A8041" t="s">
        <v>15</v>
      </c>
      <c r="B8041" s="45" t="str">
        <f>INDEX(overview!$B$4:$R$338,MATCH('hydrogen - electrolysis'!B8027,overview!$A$4:$A$338,0),MATCH('hydrogen - electrolysis'!A8041,overview!$B$3:$R$3,0))</f>
        <v>Electrolysis, Alkaline</v>
      </c>
    </row>
    <row r="8042" spans="1:2" x14ac:dyDescent="0.2">
      <c r="A8042" t="s">
        <v>14</v>
      </c>
      <c r="B8042" s="45" t="str">
        <f>INDEX(overview!$B$4:$R$338,MATCH('hydrogen - electrolysis'!B8027,overview!$A$4:$A$338,0),MATCH('hydrogen - electrolysis'!A8042,overview!$B$3:$R$3,0))</f>
        <v>water and electricity</v>
      </c>
    </row>
    <row r="8043" spans="1:2" x14ac:dyDescent="0.2">
      <c r="A8043" t="s">
        <v>26</v>
      </c>
      <c r="B8043" s="45" t="str">
        <f>INDEX(overview!$B$4:$R$338,MATCH('hydrogen - electrolysis'!B8027,overview!$A$4:$A$338,0),MATCH('hydrogen - electrolysis'!A8043,overview!$B$3:$R$3,0))</f>
        <v>Wind (DK)</v>
      </c>
    </row>
    <row r="8044" spans="1:2" x14ac:dyDescent="0.2">
      <c r="A8044" t="s">
        <v>29</v>
      </c>
      <c r="B8044" s="45">
        <f>INDEX(overview!$B$4:$R$338,MATCH('hydrogen - electrolysis'!B8027,overview!$A$4:$A$338,0),MATCH('hydrogen - electrolysis'!A8044,overview!$B$3:$R$3,0))</f>
        <v>0</v>
      </c>
    </row>
    <row r="8045" spans="1:2" x14ac:dyDescent="0.2">
      <c r="A8045" t="str">
        <f>IF(B8029="megajoule","Heat","Electricity")&amp;" conversion efficiency [% LHV input]"</f>
        <v>Heat conversion efficiency [% LHV input]</v>
      </c>
      <c r="B8045" s="46">
        <f>INDEX(parameters!$D$4:$N$20,MATCH('hydrogen - electrolysis'!B8033&amp;'hydrogen - electrolysis'!B8035,parameters!$A$4:$A$20,0),MATCH('hydrogen - electrolysis'!A8045,parameters!$D$3:$N$3,0))</f>
        <v>0.5</v>
      </c>
    </row>
    <row r="8046" spans="1:2" x14ac:dyDescent="0.2">
      <c r="A8046" t="str">
        <f>IF(B8029="megajoule","LHV [MJ/kg]","LHV [kWh/kg]")</f>
        <v>LHV [MJ/kg]</v>
      </c>
      <c r="B8046" s="47">
        <f>INDEX(parameters!$D$4:$N$20,MATCH('hydrogen - electrolysis'!B8033&amp;'hydrogen - electrolysis'!B8035,parameters!$A$4:$A$20,0),MATCH('hydrogen - electrolysis'!A8046,parameters!$D$3:$N$3,0))</f>
        <v>120</v>
      </c>
    </row>
    <row r="8047" spans="1:2" x14ac:dyDescent="0.2">
      <c r="A8047" t="s">
        <v>41</v>
      </c>
      <c r="B8047" s="48">
        <f>INDEX(parameters!$D$4:$N$20,MATCH('hydrogen - electrolysis'!B8033&amp;'hydrogen - electrolysis'!B8035,parameters!$A$4:$A$20,0),MATCH('hydrogen - electrolysis'!A8047,parameters!$D$3:$N$3,0))</f>
        <v>2.6666666666666665E-2</v>
      </c>
    </row>
    <row r="8048" spans="1:2" x14ac:dyDescent="0.2">
      <c r="A8048" t="s">
        <v>45</v>
      </c>
      <c r="B8048" s="46">
        <f>INDEX(parameters!$D$4:$N$20,MATCH('hydrogen - electrolysis'!B8033&amp;'hydrogen - electrolysis'!B8035,parameters!$A$4:$A$20,0),MATCH('hydrogen - electrolysis'!A8048,parameters!$D$3:$N$3,0))</f>
        <v>0</v>
      </c>
    </row>
    <row r="8049" spans="1:22" x14ac:dyDescent="0.2">
      <c r="A8049" t="s">
        <v>46</v>
      </c>
      <c r="B8049" s="46">
        <f>INDEX(parameters!$D$4:$N$20,MATCH('hydrogen - electrolysis'!B8033&amp;'hydrogen - electrolysis'!B8035,parameters!$A$4:$A$20,0),MATCH('hydrogen - electrolysis'!A8049,parameters!$D$3:$N$3,0))</f>
        <v>1.4999999999999999E-2</v>
      </c>
    </row>
    <row r="8050" spans="1:22" x14ac:dyDescent="0.2">
      <c r="A8050" t="s">
        <v>43</v>
      </c>
      <c r="B8050" s="46">
        <f>INDEX(parameters!$D$4:$N$20,MATCH('hydrogen - electrolysis'!B8033&amp;'hydrogen - electrolysis'!B8035,parameters!$A$4:$A$20,0),MATCH('hydrogen - electrolysis'!A8050,parameters!$D$3:$N$3,0))</f>
        <v>0</v>
      </c>
    </row>
    <row r="8051" spans="1:22" x14ac:dyDescent="0.2">
      <c r="A8051" t="s">
        <v>44</v>
      </c>
      <c r="B8051" s="46">
        <f>INDEX(parameters!$D$4:$N$20,MATCH('hydrogen - electrolysis'!B8033&amp;'hydrogen - electrolysis'!B8035,parameters!$A$4:$A$20,0),MATCH('hydrogen - electrolysis'!A8051,parameters!$D$3:$N$3,0))</f>
        <v>0</v>
      </c>
    </row>
    <row r="8052" spans="1:22" x14ac:dyDescent="0.2">
      <c r="A8052" t="s">
        <v>634</v>
      </c>
      <c r="B8052" s="51">
        <f>INDEX(parameters!$D$4:$Y$20,MATCH('hydrogen - electrolysis'!B8033&amp;'hydrogen - electrolysis'!B8035,parameters!$A$4:$A$20,0),MATCH('hydrogen - electrolysis'!A8052,parameters!$D$3:$Y$3,0))</f>
        <v>1.8947368421052633</v>
      </c>
    </row>
    <row r="8053" spans="1:22" x14ac:dyDescent="0.2">
      <c r="A8053" t="s">
        <v>82</v>
      </c>
      <c r="B8053" s="46">
        <f>IF(B8044&lt;&gt;0,VLOOKUP(B8044,parameters!A5077:B5079,2,0),0)</f>
        <v>0</v>
      </c>
    </row>
    <row r="8054" spans="1:22" x14ac:dyDescent="0.2">
      <c r="A8054" t="s">
        <v>548</v>
      </c>
      <c r="B8054" s="50">
        <f>INDEX(parameters!$D$4:$P$20,MATCH(B8033&amp;B8035,parameters!$A$4:$A$20,0),MATCH(A8054,parameters!$D$3:$P$3,0))</f>
        <v>0.8</v>
      </c>
    </row>
    <row r="8055" spans="1:22" x14ac:dyDescent="0.2">
      <c r="A8055" t="s">
        <v>547</v>
      </c>
      <c r="B8055" s="51">
        <f>INDEX(parameters!$D$4:$P$20,MATCH(B8033&amp;B8035,parameters!$A$4:$A$20,0),MATCH(A8055,parameters!$D$3:$P$3,0))</f>
        <v>4.8780487804878048</v>
      </c>
    </row>
    <row r="8056" spans="1:22" x14ac:dyDescent="0.2">
      <c r="A8056" t="s">
        <v>630</v>
      </c>
      <c r="B8056" s="51">
        <f>INDEX(parameters!$D$4:$T$20,MATCH(B8033&amp;B8035,parameters!$A$4:$A$20,0),MATCH(A8056,parameters!$D$3:$T$3,0))</f>
        <v>4100</v>
      </c>
    </row>
    <row r="8057" spans="1:22" x14ac:dyDescent="0.2">
      <c r="A8057" t="s">
        <v>1005</v>
      </c>
      <c r="B8057" s="50">
        <f>IF(B8029="megajoule",SUMIFS(allocation!$I$4:$I$30,allocation!$B$4:$B$30,B8035,allocation!$C$4:$C$30,B8036),SUMIFS(allocation!$J$4:$J$30,allocation!$B$4:$B$30,B8035,allocation!$C$4:$C$30,B8036))</f>
        <v>0.13933980798974457</v>
      </c>
    </row>
    <row r="8058" spans="1:22" x14ac:dyDescent="0.2">
      <c r="A8058" t="s">
        <v>1050</v>
      </c>
      <c r="B8058" s="51">
        <f>INDEX(parameters!$D$4:$AB$20,MATCH(B8033&amp;B8035,parameters!$A$4:$A$20,0),MATCH(A8058,parameters!$D$3:$AB$3,0))</f>
        <v>10.221606648199446</v>
      </c>
    </row>
    <row r="8060" spans="1:22" x14ac:dyDescent="0.2">
      <c r="A8060" s="3" t="s">
        <v>57</v>
      </c>
    </row>
    <row r="8061" spans="1:22" x14ac:dyDescent="0.2">
      <c r="A8061" s="2" t="s">
        <v>58</v>
      </c>
      <c r="B8061" s="44" t="s">
        <v>59</v>
      </c>
      <c r="C8061" s="2" t="s">
        <v>55</v>
      </c>
      <c r="D8061" s="2" t="s">
        <v>60</v>
      </c>
      <c r="E8061" s="2" t="s">
        <v>52</v>
      </c>
      <c r="F8061" s="2" t="s">
        <v>61</v>
      </c>
      <c r="G8061" s="2" t="s">
        <v>54</v>
      </c>
      <c r="H8061" s="2" t="s">
        <v>87</v>
      </c>
      <c r="I8061" s="2" t="s">
        <v>51</v>
      </c>
      <c r="J8061" s="2" t="s">
        <v>138</v>
      </c>
      <c r="K8061" s="2" t="s">
        <v>136</v>
      </c>
      <c r="L8061" s="2" t="s">
        <v>221</v>
      </c>
      <c r="M8061" s="2" t="s">
        <v>379</v>
      </c>
      <c r="N8061" s="2" t="s">
        <v>1059</v>
      </c>
      <c r="O8061" s="2" t="s">
        <v>1060</v>
      </c>
      <c r="P8061" s="2" t="s">
        <v>1061</v>
      </c>
      <c r="Q8061" s="2" t="s">
        <v>1062</v>
      </c>
      <c r="R8061" s="2" t="s">
        <v>1063</v>
      </c>
      <c r="S8061" s="2" t="s">
        <v>1064</v>
      </c>
      <c r="T8061" s="2" t="s">
        <v>1065</v>
      </c>
      <c r="U8061" s="2" t="s">
        <v>380</v>
      </c>
      <c r="V8061" s="2" t="s">
        <v>1128</v>
      </c>
    </row>
    <row r="8062" spans="1:22" x14ac:dyDescent="0.2">
      <c r="A8062" t="str">
        <f>B8023</f>
        <v>heat, residential, by conversion of hydrogen using fuel cell, PEM, allocated by exergy, transported by pipeline, produced by Electrolysis, Alkaline using water and electricity from Wind (DK)</v>
      </c>
      <c r="B8062" s="45">
        <v>1</v>
      </c>
      <c r="C8062" t="str">
        <f>B8029</f>
        <v>megajoule</v>
      </c>
      <c r="E8062" t="str">
        <f>B8026</f>
        <v>CH</v>
      </c>
      <c r="F8062" t="s">
        <v>62</v>
      </c>
      <c r="G8062" t="str">
        <f>B8028</f>
        <v>heat, from residential heating system</v>
      </c>
      <c r="K8062" t="str">
        <f>B8023</f>
        <v>heat, residential, by conversion of hydrogen using fuel cell, PEM, allocated by exergy, transported by pipeline, produced by Electrolysis, Alkaline using water and electricity from Wind (DK)</v>
      </c>
    </row>
    <row r="8063" spans="1:22" x14ac:dyDescent="0.2">
      <c r="A8063" t="str">
        <f>VLOOKUP(J8063,'dataset mapping'!$A$4:$E$69,2,0)</f>
        <v>fuel cell system assembly, 1 kWe, proton exchange membrane (PEM)</v>
      </c>
      <c r="B8063" s="52">
        <f>(1/(B8052*B8056*B8055*3.6))*B8057</f>
        <v>1.0213951974556892E-6</v>
      </c>
      <c r="C8063" t="str">
        <f>VLOOKUP(J8063,'dataset mapping'!$A$4:$E$69,5,0)</f>
        <v>unit</v>
      </c>
      <c r="E8063" t="str">
        <f>VLOOKUP(J8063,'dataset mapping'!$A$4:$E$69,4,0)</f>
        <v>GLO</v>
      </c>
      <c r="F8063" t="s">
        <v>86</v>
      </c>
      <c r="G8063" t="str">
        <f>VLOOKUP(J8063,'dataset mapping'!$A$4:$E$69,3,0)</f>
        <v>fuel cell system, 1 kWe, proton exchange membrane (PEM)</v>
      </c>
      <c r="H8063" t="s">
        <v>88</v>
      </c>
      <c r="I8063" t="s">
        <v>272</v>
      </c>
      <c r="J8063" t="s">
        <v>273</v>
      </c>
      <c r="K8063" t="str">
        <f>B8023</f>
        <v>heat, residential, by conversion of hydrogen using fuel cell, PEM, allocated by exergy, transported by pipeline, produced by Electrolysis, Alkaline using water and electricity from Wind (DK)</v>
      </c>
      <c r="L8063">
        <f>IF(OR(B8063&lt;0,B8063=0),1,2)</f>
        <v>2</v>
      </c>
      <c r="M8063">
        <f>IF(L8063=2,LN(B8063),"")</f>
        <v>-13.794341024667077</v>
      </c>
      <c r="N8063">
        <v>1</v>
      </c>
      <c r="O8063" s="15">
        <v>1.2</v>
      </c>
      <c r="P8063">
        <v>1</v>
      </c>
      <c r="Q8063">
        <v>1.01</v>
      </c>
      <c r="R8063">
        <v>1.2</v>
      </c>
      <c r="S8063">
        <v>1.2</v>
      </c>
      <c r="T8063">
        <v>3</v>
      </c>
      <c r="U8063">
        <f>LN(SQRT(EXP(
SQRT(
+POWER(LN(N8063),2)
+POWER(LN(O8063),2)
+POWER(LN(P8063),2)
+POWER(LN(Q8063),2)
+POWER(LN(R8063),2)
+POWER(LN(S8063),2)
+POWER(LN(T8063),2)
)
)))</f>
        <v>0.57157051623399524</v>
      </c>
    </row>
    <row r="8064" spans="1:22" x14ac:dyDescent="0.2">
      <c r="A8064" s="45" t="str">
        <f>"hydrogen supply, transported by "&amp;B8037&amp;", produced by "&amp;B8041&amp;" using "&amp;B8042&amp;" from "&amp;B8043</f>
        <v>hydrogen supply, transported by pipeline, produced by Electrolysis, Alkaline using water and electricity from Wind (DK)</v>
      </c>
      <c r="B8064" s="53">
        <f>(B8062/B8046)/B8045*B8057</f>
        <v>2.3223301331624095E-3</v>
      </c>
      <c r="C8064" t="s">
        <v>56</v>
      </c>
      <c r="E8064" t="s">
        <v>64</v>
      </c>
      <c r="F8064" t="s">
        <v>86</v>
      </c>
      <c r="G8064" t="str">
        <f>"hydrogen, gaseous, from "&amp;B8037</f>
        <v>hydrogen, gaseous, from pipeline</v>
      </c>
      <c r="H8064" t="s">
        <v>76</v>
      </c>
      <c r="I8064" t="s">
        <v>1054</v>
      </c>
      <c r="J8064" t="s">
        <v>302</v>
      </c>
      <c r="K8064" t="str">
        <f>B8023</f>
        <v>heat, residential, by conversion of hydrogen using fuel cell, PEM, allocated by exergy, transported by pipeline, produced by Electrolysis, Alkaline using water and electricity from Wind (DK)</v>
      </c>
      <c r="L8064">
        <f>IF(OR(B8064&lt;0,B8064=0),1,2)</f>
        <v>2</v>
      </c>
      <c r="M8064">
        <f>IF(L8064=2,LN(B8064),"")</f>
        <v>-6.0651842296013152</v>
      </c>
      <c r="N8064">
        <v>1</v>
      </c>
      <c r="O8064" s="15">
        <v>1.2</v>
      </c>
      <c r="P8064">
        <v>1</v>
      </c>
      <c r="Q8064">
        <v>1.01</v>
      </c>
      <c r="R8064">
        <v>1.2</v>
      </c>
      <c r="S8064">
        <v>1.2</v>
      </c>
      <c r="T8064">
        <v>1.05</v>
      </c>
      <c r="U8064">
        <f>LN(SQRT(EXP(
SQRT(
+POWER(LN(N8064),2)
+POWER(LN(O8064),2)
+POWER(LN(P8064),2)
+POWER(LN(Q8064),2)
+POWER(LN(R8064),2)
+POWER(LN(S8064),2)
+POWER(LN(T8064),2)
)
)))</f>
        <v>0.15984597228197622</v>
      </c>
    </row>
    <row r="8065" spans="1:21" x14ac:dyDescent="0.2">
      <c r="A8065" t="s">
        <v>134</v>
      </c>
      <c r="B8065" s="53">
        <f>B8064*9</f>
        <v>2.0900971198461685E-2</v>
      </c>
      <c r="C8065" t="s">
        <v>56</v>
      </c>
      <c r="D8065" t="s">
        <v>100</v>
      </c>
      <c r="F8065" t="s">
        <v>99</v>
      </c>
      <c r="H8065" t="s">
        <v>131</v>
      </c>
      <c r="I8065" t="s">
        <v>1057</v>
      </c>
      <c r="K8065" t="str">
        <f>B8023</f>
        <v>heat, residential, by conversion of hydrogen using fuel cell, PEM, allocated by exergy, transported by pipeline, produced by Electrolysis, Alkaline using water and electricity from Wind (DK)</v>
      </c>
      <c r="L8065">
        <f>IF(OR(B8065&lt;0,B8065=0),1,2)</f>
        <v>2</v>
      </c>
      <c r="M8065">
        <f>IF(L8065=2,LN(B8065),"")</f>
        <v>-3.8679596522650961</v>
      </c>
      <c r="N8065">
        <v>1</v>
      </c>
      <c r="O8065" s="15">
        <v>1.2</v>
      </c>
      <c r="P8065">
        <v>1</v>
      </c>
      <c r="Q8065">
        <v>1.01</v>
      </c>
      <c r="R8065">
        <v>1.2</v>
      </c>
      <c r="S8065">
        <v>1.2</v>
      </c>
      <c r="T8065">
        <v>1.05</v>
      </c>
      <c r="U8065">
        <f>LN(SQRT(EXP(
SQRT(
+POWER(LN(N8065),2)
+POWER(LN(O8065),2)
+POWER(LN(P8065),2)
+POWER(LN(Q8065),2)
+POWER(LN(R8065),2)
+POWER(LN(S8065),2)
+POWER(LN(T8065),2)
)
)))</f>
        <v>0.15984597228197622</v>
      </c>
    </row>
    <row r="8067" spans="1:21" x14ac:dyDescent="0.2">
      <c r="A8067" s="2" t="s">
        <v>50</v>
      </c>
      <c r="B8067" s="44" t="str">
        <f>IF(B8073="megajoule","heat","electricity")&amp;", residential, by "&amp;B8078&amp;" of "&amp;B8077&amp;" using "&amp;B8079&amp;IF(B8080&lt;&gt;0,", allocated by "&amp;B8080,"")&amp;", transported by "&amp;B8081&amp;", produced by "&amp;B8085&amp;" using "&amp;B8086&amp;" from "&amp;B8087</f>
        <v>heat, residential, by conversion of hydrogen using fuel cell, SOFC, allocated by exergy, transported by pipeline, produced by Electrolysis, Alkaline using water and electricity from Wind (DK)</v>
      </c>
    </row>
    <row r="8068" spans="1:21" x14ac:dyDescent="0.2">
      <c r="A8068" t="s">
        <v>51</v>
      </c>
      <c r="B8068" s="45" t="str">
        <f>"This dataset represents the supply of 1 "&amp;IF(B8073="megajoule","megajoule of heat","kilowatt hour of electricity")&amp;" in a residence, by "&amp;B8077&amp;" "&amp;B8078&amp;" in a "&amp;B8079&amp;". "&amp;" The hydrogen is transported by "&amp;B8081&amp;" over "&amp;B8082&amp;" km from regional storage. "&amp;" The "&amp;B8077&amp;" is produced by  "&amp;B8085&amp;", with "&amp;B8086&amp;" from "&amp;B8087&amp;" as feedstock. "&amp;A8089&amp;": "&amp;(B8089*100)&amp;"%. "&amp;A8090&amp;": "&amp;B8090&amp;". "&amp;A8091&amp;": "&amp;B8091&amp;". "&amp;A8092&amp;": "&amp;(B8092*100)&amp;"%. "&amp;A8093&amp;": "&amp;(B8093*100)&amp;"%. "&amp;A8094&amp;": "&amp;(B8094*100)&amp;"%. "&amp;A8095&amp;": "&amp;B8095&amp;". "&amp;A8096&amp;": "&amp;B8096&amp;". "&amp;A8097&amp;": "&amp;(B8097*100)&amp;"%. "&amp;A8098&amp;": "&amp;B8098&amp;". "&amp;A8099&amp;": "&amp;B8099&amp;". "&amp;A8100&amp;": "&amp;B8100&amp;". "&amp;A8101&amp;": "&amp;B8101&amp;".  For more information, refer to: "&amp;B8069</f>
        <v>This dataset represents the supply of 1 megajoule of heat in a residence, by hydrogen conversion in a fuel cell, SOFC.  The hydrogen is transported by pipeline over 1300 km from regional storage.  The hydrogen is produced by  Electrolysis, Alkaline,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8069" spans="1:21" x14ac:dyDescent="0.2">
      <c r="A8069" t="s">
        <v>63</v>
      </c>
      <c r="B8069" s="45" t="s">
        <v>1223</v>
      </c>
    </row>
    <row r="8070" spans="1:21" x14ac:dyDescent="0.2">
      <c r="A8070" t="s">
        <v>52</v>
      </c>
      <c r="B8070" s="45" t="s">
        <v>64</v>
      </c>
    </row>
    <row r="8071" spans="1:21" x14ac:dyDescent="0.2">
      <c r="A8071" t="s">
        <v>48</v>
      </c>
      <c r="B8071" s="45">
        <v>100</v>
      </c>
    </row>
    <row r="8072" spans="1:21" x14ac:dyDescent="0.2">
      <c r="A8072" t="s">
        <v>54</v>
      </c>
      <c r="B8072" s="45" t="str">
        <f>INDEX(overview!$B$4:$R$338,MATCH('hydrogen - electrolysis'!B8071,overview!$A$4:$A$338,0),MATCH('hydrogen - electrolysis'!A8072,overview!$B$3:$R$3,0))</f>
        <v>heat, from residential heating system</v>
      </c>
    </row>
    <row r="8073" spans="1:21" x14ac:dyDescent="0.2">
      <c r="A8073" t="s">
        <v>55</v>
      </c>
      <c r="B8073" s="45" t="str">
        <f>INDEX(overview!$B$4:$R$338,MATCH('hydrogen - electrolysis'!B8071,overview!$A$4:$A$338,0),MATCH('hydrogen - electrolysis'!A8073,overview!$B$3:$R$3,0))</f>
        <v>megajoule</v>
      </c>
    </row>
    <row r="8074" spans="1:21" x14ac:dyDescent="0.2">
      <c r="A8074" t="s">
        <v>0</v>
      </c>
      <c r="B8074" s="45" t="str">
        <f>INDEX(overview!$B$4:$R$338,MATCH('hydrogen - electrolysis'!B8071,overview!$A$4:$A$338,0),MATCH('hydrogen - electrolysis'!A8074,overview!$B$3:$R$3,0))</f>
        <v>Switzerland</v>
      </c>
    </row>
    <row r="8075" spans="1:21" x14ac:dyDescent="0.2">
      <c r="A8075" t="s">
        <v>1</v>
      </c>
      <c r="B8075" s="45">
        <f>INDEX(overview!$B$4:$R$338,MATCH('hydrogen - electrolysis'!B8071,overview!$A$4:$A$338,0),MATCH('hydrogen - electrolysis'!A8075,overview!$B$3:$R$3,0))</f>
        <v>2020</v>
      </c>
    </row>
    <row r="8076" spans="1:21" x14ac:dyDescent="0.2">
      <c r="A8076" t="s">
        <v>2</v>
      </c>
      <c r="B8076" s="45" t="str">
        <f>INDEX(overview!$B$4:$R$338,MATCH('hydrogen - electrolysis'!B8071,overview!$A$4:$A$338,0),MATCH('hydrogen - electrolysis'!A8076,overview!$B$3:$R$3,0))</f>
        <v>1 MJ heat</v>
      </c>
    </row>
    <row r="8077" spans="1:21" x14ac:dyDescent="0.2">
      <c r="A8077" t="s">
        <v>5</v>
      </c>
      <c r="B8077" s="45" t="str">
        <f>INDEX(overview!$B$4:$R$338,MATCH('hydrogen - electrolysis'!B8071,overview!$A$4:$A$338,0),MATCH('hydrogen - electrolysis'!A8077,overview!$B$3:$R$3,0))</f>
        <v>hydrogen</v>
      </c>
    </row>
    <row r="8078" spans="1:21" x14ac:dyDescent="0.2">
      <c r="A8078" t="s">
        <v>3</v>
      </c>
      <c r="B8078" s="45" t="str">
        <f>INDEX(overview!$B$4:$R$338,MATCH('hydrogen - electrolysis'!B8071,overview!$A$4:$A$338,0),MATCH('hydrogen - electrolysis'!A8078,overview!$B$3:$R$3,0))</f>
        <v>conversion</v>
      </c>
    </row>
    <row r="8079" spans="1:21" x14ac:dyDescent="0.2">
      <c r="A8079" t="s">
        <v>6</v>
      </c>
      <c r="B8079" s="45" t="str">
        <f>INDEX(overview!$B$4:$R$338,MATCH('hydrogen - electrolysis'!B8071,overview!$A$4:$A$338,0),MATCH('hydrogen - electrolysis'!A8079,overview!$B$3:$R$3,0))</f>
        <v>fuel cell, SOFC</v>
      </c>
    </row>
    <row r="8080" spans="1:21" x14ac:dyDescent="0.2">
      <c r="A8080" t="s">
        <v>39</v>
      </c>
      <c r="B8080" s="45" t="str">
        <f>INDEX(overview!$B$4:$R$338,MATCH('hydrogen - electrolysis'!B8071,overview!$A$4:$A$338,0),MATCH('hydrogen - electrolysis'!A8080,overview!$B$3:$R$3,0))</f>
        <v>exergy</v>
      </c>
    </row>
    <row r="8081" spans="1:4" x14ac:dyDescent="0.2">
      <c r="A8081" t="s">
        <v>4</v>
      </c>
      <c r="B8081" s="45" t="str">
        <f>INDEX(overview!$B$4:$R$338,MATCH('hydrogen - electrolysis'!B8071,overview!$A$4:$A$338,0),MATCH('hydrogen - electrolysis'!A8081,overview!$B$3:$R$3,0))</f>
        <v>pipeline</v>
      </c>
    </row>
    <row r="8082" spans="1:4" x14ac:dyDescent="0.2">
      <c r="A8082" t="s">
        <v>38</v>
      </c>
      <c r="B8082" s="45">
        <f>INDEX(overview!$B$4:$R$338,MATCH('hydrogen - electrolysis'!B8071,overview!$A$4:$A$338,0),MATCH('hydrogen - electrolysis'!A8082,overview!$B$3:$R$3,0))</f>
        <v>1300</v>
      </c>
    </row>
    <row r="8083" spans="1:4" x14ac:dyDescent="0.2">
      <c r="A8083" t="s">
        <v>12</v>
      </c>
      <c r="B8083" s="45" t="str">
        <f>INDEX(overview!$B$4:$R$338,MATCH('hydrogen - electrolysis'!B8071,overview!$A$4:$A$338,0),MATCH('hydrogen - electrolysis'!A8083,overview!$B$3:$R$3,0))</f>
        <v>Pressure vessel for stationary storage</v>
      </c>
    </row>
    <row r="8084" spans="1:4" x14ac:dyDescent="0.2">
      <c r="A8084" t="s">
        <v>34</v>
      </c>
      <c r="B8084" s="45">
        <f>INDEX(overview!$B$4:$R$338,MATCH('hydrogen - electrolysis'!B8071,overview!$A$4:$A$338,0),MATCH('hydrogen - electrolysis'!A8084,overview!$B$3:$R$3,0))</f>
        <v>0</v>
      </c>
    </row>
    <row r="8085" spans="1:4" x14ac:dyDescent="0.2">
      <c r="A8085" t="s">
        <v>15</v>
      </c>
      <c r="B8085" s="45" t="str">
        <f>INDEX(overview!$B$4:$R$338,MATCH('hydrogen - electrolysis'!B8071,overview!$A$4:$A$338,0),MATCH('hydrogen - electrolysis'!A8085,overview!$B$3:$R$3,0))</f>
        <v>Electrolysis, Alkaline</v>
      </c>
    </row>
    <row r="8086" spans="1:4" x14ac:dyDescent="0.2">
      <c r="A8086" t="s">
        <v>14</v>
      </c>
      <c r="B8086" s="45" t="str">
        <f>INDEX(overview!$B$4:$R$338,MATCH('hydrogen - electrolysis'!B8071,overview!$A$4:$A$338,0),MATCH('hydrogen - electrolysis'!A8086,overview!$B$3:$R$3,0))</f>
        <v>water and electricity</v>
      </c>
    </row>
    <row r="8087" spans="1:4" x14ac:dyDescent="0.2">
      <c r="A8087" t="s">
        <v>26</v>
      </c>
      <c r="B8087" s="45" t="str">
        <f>INDEX(overview!$B$4:$R$338,MATCH('hydrogen - electrolysis'!B8071,overview!$A$4:$A$338,0),MATCH('hydrogen - electrolysis'!A8087,overview!$B$3:$R$3,0))</f>
        <v>Wind (DK)</v>
      </c>
    </row>
    <row r="8088" spans="1:4" x14ac:dyDescent="0.2">
      <c r="A8088" t="s">
        <v>29</v>
      </c>
      <c r="B8088" s="45">
        <f>INDEX(overview!$B$4:$R$338,MATCH('hydrogen - electrolysis'!B8071,overview!$A$4:$A$338,0),MATCH('hydrogen - electrolysis'!A8088,overview!$B$3:$R$3,0))</f>
        <v>0</v>
      </c>
    </row>
    <row r="8089" spans="1:4" x14ac:dyDescent="0.2">
      <c r="A8089" t="str">
        <f>IF(B8073="megajoule","Heat","Electricity")&amp;" conversion efficiency [% LHV input]"</f>
        <v>Heat conversion efficiency [% LHV input]</v>
      </c>
      <c r="B8089" s="46">
        <f>INDEX(parameters!$D$4:$N$20,MATCH('hydrogen - electrolysis'!B8077&amp;'hydrogen - electrolysis'!B8079,parameters!$A$4:$A$20,0),MATCH('hydrogen - electrolysis'!A8089,parameters!$D$3:$N$3,0))</f>
        <v>0.53</v>
      </c>
    </row>
    <row r="8090" spans="1:4" x14ac:dyDescent="0.2">
      <c r="A8090" t="str">
        <f>IF(B8073="megajoule","LHV [MJ/kg]","LHV [kWh/kg]")</f>
        <v>LHV [MJ/kg]</v>
      </c>
      <c r="B8090" s="47">
        <f>INDEX(parameters!$D$4:$N$20,MATCH('hydrogen - electrolysis'!B8077&amp;'hydrogen - electrolysis'!B8079,parameters!$A$4:$A$20,0),MATCH('hydrogen - electrolysis'!A8090,parameters!$D$3:$N$3,0))</f>
        <v>120</v>
      </c>
    </row>
    <row r="8091" spans="1:4" x14ac:dyDescent="0.2">
      <c r="A8091" t="s">
        <v>41</v>
      </c>
      <c r="B8091" s="48">
        <f>INDEX(parameters!$D$4:$N$20,MATCH('hydrogen - electrolysis'!B8077&amp;'hydrogen - electrolysis'!B8079,parameters!$A$4:$A$20,0),MATCH('hydrogen - electrolysis'!A8091,parameters!$D$3:$N$3,0))</f>
        <v>2.6666666666666665E-2</v>
      </c>
    </row>
    <row r="8092" spans="1:4" x14ac:dyDescent="0.2">
      <c r="A8092" t="s">
        <v>45</v>
      </c>
      <c r="B8092" s="46">
        <f>INDEX(parameters!$D$4:$N$20,MATCH('hydrogen - electrolysis'!B8077&amp;'hydrogen - electrolysis'!B8079,parameters!$A$4:$A$20,0),MATCH('hydrogen - electrolysis'!A8092,parameters!$D$3:$N$3,0))</f>
        <v>0</v>
      </c>
    </row>
    <row r="8093" spans="1:4" x14ac:dyDescent="0.2">
      <c r="A8093" t="s">
        <v>46</v>
      </c>
      <c r="B8093" s="46">
        <f>INDEX(parameters!$D$4:$N$20,MATCH('hydrogen - electrolysis'!B8077&amp;'hydrogen - electrolysis'!B8079,parameters!$A$4:$A$20,0),MATCH('hydrogen - electrolysis'!A8093,parameters!$D$3:$N$3,0))</f>
        <v>1.4999999999999999E-2</v>
      </c>
    </row>
    <row r="8094" spans="1:4" x14ac:dyDescent="0.2">
      <c r="A8094" t="s">
        <v>43</v>
      </c>
      <c r="B8094" s="46">
        <f>INDEX(parameters!$D$4:$N$20,MATCH('hydrogen - electrolysis'!B8077&amp;'hydrogen - electrolysis'!B8079,parameters!$A$4:$A$20,0),MATCH('hydrogen - electrolysis'!A8094,parameters!$D$3:$N$3,0))</f>
        <v>0</v>
      </c>
    </row>
    <row r="8095" spans="1:4" x14ac:dyDescent="0.2">
      <c r="A8095" t="s">
        <v>44</v>
      </c>
      <c r="B8095" s="46">
        <f>INDEX(parameters!$D$4:$N$20,MATCH('hydrogen - electrolysis'!B8077&amp;'hydrogen - electrolysis'!B8079,parameters!$A$4:$A$20,0),MATCH('hydrogen - electrolysis'!A8095,parameters!$D$3:$N$3,0))</f>
        <v>0</v>
      </c>
    </row>
    <row r="8096" spans="1:4" x14ac:dyDescent="0.2">
      <c r="A8096" t="s">
        <v>634</v>
      </c>
      <c r="B8096" s="51">
        <f>INDEX(parameters!$D$4:$Y$20,MATCH('hydrogen - electrolysis'!B8077&amp;'hydrogen - electrolysis'!B8079,parameters!$A$4:$A$20,0),MATCH('hydrogen - electrolysis'!A8096,parameters!$D$3:$Y$3,0))</f>
        <v>225</v>
      </c>
      <c r="D8096" s="8"/>
    </row>
    <row r="8097" spans="1:22" x14ac:dyDescent="0.2">
      <c r="A8097" t="s">
        <v>82</v>
      </c>
      <c r="B8097" s="46">
        <f>IF(B8088&lt;&gt;0,VLOOKUP(B8088,parameters!A5126:B5128,2,0),0)</f>
        <v>0</v>
      </c>
    </row>
    <row r="8098" spans="1:22" x14ac:dyDescent="0.2">
      <c r="A8098" t="s">
        <v>548</v>
      </c>
      <c r="B8098" s="50">
        <f>INDEX(parameters!$D$4:$P$20,MATCH(B8077&amp;B8079,parameters!$A$4:$A$20,0),MATCH(A8098,parameters!$D$3:$P$3,0))</f>
        <v>100</v>
      </c>
    </row>
    <row r="8099" spans="1:22" x14ac:dyDescent="0.2">
      <c r="A8099" t="s">
        <v>547</v>
      </c>
      <c r="B8099" s="51">
        <f>INDEX(parameters!$D$4:$P$20,MATCH(B8077&amp;B8079,parameters!$A$4:$A$20,0),MATCH(A8099,parameters!$D$3:$P$3,0))</f>
        <v>6</v>
      </c>
    </row>
    <row r="8100" spans="1:22" x14ac:dyDescent="0.2">
      <c r="A8100" t="s">
        <v>630</v>
      </c>
      <c r="B8100" s="51">
        <f>INDEX(parameters!$D$4:$T$20,MATCH(B8077&amp;B8079,parameters!$A$4:$A$20,0),MATCH(A8100,parameters!$D$3:$T$3,0))</f>
        <v>4100</v>
      </c>
    </row>
    <row r="8101" spans="1:22" x14ac:dyDescent="0.2">
      <c r="A8101" t="s">
        <v>1005</v>
      </c>
      <c r="B8101" s="50">
        <f>IF(B8073="megajoule",SUMIFS(allocation!$I$4:$I$30,allocation!$B$4:$B$30,B8079,allocation!$C$4:$C$30,B8080),SUMIFS(allocation!$J$4:$J$30,allocation!$B$4:$B$30,B8079,allocation!$C$4:$C$30,B8080))</f>
        <v>0.13587506510399097</v>
      </c>
    </row>
    <row r="8102" spans="1:22" x14ac:dyDescent="0.2">
      <c r="A8102" t="s">
        <v>1050</v>
      </c>
      <c r="B8102" s="51">
        <f>INDEX(parameters!$D$4:$AB$20,MATCH(B8077&amp;B8079,parameters!$A$4:$A$20,0),MATCH(A8102,parameters!$D$3:$AB$3,0))</f>
        <v>1153.1249999999998</v>
      </c>
    </row>
    <row r="8104" spans="1:22" x14ac:dyDescent="0.2">
      <c r="A8104" s="3" t="s">
        <v>57</v>
      </c>
    </row>
    <row r="8105" spans="1:22" x14ac:dyDescent="0.2">
      <c r="A8105" s="2" t="s">
        <v>58</v>
      </c>
      <c r="B8105" s="44" t="s">
        <v>59</v>
      </c>
      <c r="C8105" s="2" t="s">
        <v>55</v>
      </c>
      <c r="D8105" s="2" t="s">
        <v>60</v>
      </c>
      <c r="E8105" s="2" t="s">
        <v>52</v>
      </c>
      <c r="F8105" s="2" t="s">
        <v>61</v>
      </c>
      <c r="G8105" s="2" t="s">
        <v>54</v>
      </c>
      <c r="H8105" s="2" t="s">
        <v>87</v>
      </c>
      <c r="I8105" s="2" t="s">
        <v>51</v>
      </c>
      <c r="J8105" s="2" t="s">
        <v>138</v>
      </c>
      <c r="K8105" s="2" t="s">
        <v>136</v>
      </c>
      <c r="L8105" s="2" t="s">
        <v>221</v>
      </c>
      <c r="M8105" s="2" t="s">
        <v>379</v>
      </c>
      <c r="N8105" s="2" t="s">
        <v>1059</v>
      </c>
      <c r="O8105" s="2" t="s">
        <v>1060</v>
      </c>
      <c r="P8105" s="2" t="s">
        <v>1061</v>
      </c>
      <c r="Q8105" s="2" t="s">
        <v>1062</v>
      </c>
      <c r="R8105" s="2" t="s">
        <v>1063</v>
      </c>
      <c r="S8105" s="2" t="s">
        <v>1064</v>
      </c>
      <c r="T8105" s="2" t="s">
        <v>1065</v>
      </c>
      <c r="U8105" s="2" t="s">
        <v>380</v>
      </c>
      <c r="V8105" s="2" t="s">
        <v>1128</v>
      </c>
    </row>
    <row r="8106" spans="1:22" x14ac:dyDescent="0.2">
      <c r="A8106" t="str">
        <f>B8067</f>
        <v>heat, residential, by conversion of hydrogen using fuel cell, SOFC, allocated by exergy, transported by pipeline, produced by Electrolysis, Alkaline using water and electricity from Wind (DK)</v>
      </c>
      <c r="B8106" s="45">
        <v>1</v>
      </c>
      <c r="C8106" t="str">
        <f>B8073</f>
        <v>megajoule</v>
      </c>
      <c r="E8106" t="str">
        <f>B8070</f>
        <v>CH</v>
      </c>
      <c r="F8106" t="s">
        <v>62</v>
      </c>
      <c r="G8106" t="str">
        <f>B8072</f>
        <v>heat, from residential heating system</v>
      </c>
      <c r="K8106" t="str">
        <f>B8067</f>
        <v>heat, residential, by conversion of hydrogen using fuel cell, SOFC, allocated by exergy, transported by pipeline, produced by Electrolysis, Alkaline using water and electricity from Wind (DK)</v>
      </c>
    </row>
    <row r="8107" spans="1:22" x14ac:dyDescent="0.2">
      <c r="A8107" t="str">
        <f>VLOOKUP(J8107,'dataset mapping'!$A$4:$E$69,2,0)</f>
        <v>fuel cell production, stack solid oxide, 125kW electrical, future</v>
      </c>
      <c r="B8107" s="52">
        <f>(1/(B8096*B8100*B8099*3.6))*B8101</f>
        <v>6.8189834941278219E-9</v>
      </c>
      <c r="C8107" t="str">
        <f>VLOOKUP(J8107,'dataset mapping'!$A$4:$E$69,5,0)</f>
        <v>unit</v>
      </c>
      <c r="E8107" t="str">
        <f>VLOOKUP(J8107,'dataset mapping'!$A$4:$E$69,4,0)</f>
        <v>CH</v>
      </c>
      <c r="F8107" t="s">
        <v>86</v>
      </c>
      <c r="G8107" t="str">
        <f>VLOOKUP(J8107,'dataset mapping'!$A$4:$E$69,3,0)</f>
        <v>fuel cell, stack solid oxide, 125kW electrical, future</v>
      </c>
      <c r="H8107" t="s">
        <v>88</v>
      </c>
      <c r="I8107" t="s">
        <v>277</v>
      </c>
      <c r="J8107" t="s">
        <v>274</v>
      </c>
      <c r="K8107" t="str">
        <f>B8067</f>
        <v>heat, residential, by conversion of hydrogen using fuel cell, SOFC, allocated by exergy, transported by pipeline, produced by Electrolysis, Alkaline using water and electricity from Wind (DK)</v>
      </c>
      <c r="L8107">
        <f>IF(OR(B8107&lt;0,B8107=0),1,2)</f>
        <v>2</v>
      </c>
      <c r="M8107">
        <f>IF(L8107=2,LN(B8107),"")</f>
        <v>-18.80355542398161</v>
      </c>
      <c r="N8107">
        <v>1</v>
      </c>
      <c r="O8107" s="15">
        <v>1.2</v>
      </c>
      <c r="P8107">
        <v>1</v>
      </c>
      <c r="Q8107">
        <v>1.01</v>
      </c>
      <c r="R8107">
        <v>1.2</v>
      </c>
      <c r="S8107">
        <v>1.2</v>
      </c>
      <c r="T8107">
        <v>3</v>
      </c>
      <c r="U8107">
        <f>LN(SQRT(EXP(
SQRT(
+POWER(LN(N8107),2)
+POWER(LN(O8107),2)
+POWER(LN(P8107),2)
+POWER(LN(Q8107),2)
+POWER(LN(R8107),2)
+POWER(LN(S8107),2)
+POWER(LN(T8107),2)
)
)))</f>
        <v>0.57157051623399524</v>
      </c>
    </row>
    <row r="8108" spans="1:22" x14ac:dyDescent="0.2">
      <c r="A8108" t="s">
        <v>283</v>
      </c>
      <c r="B8108" s="52">
        <f>(1/(B8096*B8100*B8099*3.6))*B8101</f>
        <v>6.8189834941278219E-9</v>
      </c>
      <c r="C8108" t="s">
        <v>55</v>
      </c>
      <c r="E8108" t="s">
        <v>64</v>
      </c>
      <c r="F8108" t="s">
        <v>86</v>
      </c>
      <c r="G8108" t="s">
        <v>284</v>
      </c>
      <c r="H8108" t="s">
        <v>88</v>
      </c>
      <c r="I8108" t="s">
        <v>277</v>
      </c>
      <c r="K8108" t="str">
        <f>B8067</f>
        <v>heat, residential, by conversion of hydrogen using fuel cell, SOFC, allocated by exergy, transported by pipeline, produced by Electrolysis, Alkaline using water and electricity from Wind (DK)</v>
      </c>
      <c r="L8108">
        <f>IF(OR(B8108&lt;0,B8108=0),1,2)</f>
        <v>2</v>
      </c>
      <c r="M8108">
        <f>IF(L8108=2,LN(B8108),"")</f>
        <v>-18.80355542398161</v>
      </c>
      <c r="N8108">
        <v>1</v>
      </c>
      <c r="O8108" s="15">
        <v>1.2</v>
      </c>
      <c r="P8108">
        <v>1</v>
      </c>
      <c r="Q8108">
        <v>1.01</v>
      </c>
      <c r="R8108">
        <v>1.2</v>
      </c>
      <c r="S8108">
        <v>1.2</v>
      </c>
      <c r="T8108">
        <v>3</v>
      </c>
      <c r="U8108">
        <f>LN(SQRT(EXP(
SQRT(
+POWER(LN(N8108),2)
+POWER(LN(O8108),2)
+POWER(LN(P8108),2)
+POWER(LN(Q8108),2)
+POWER(LN(R8108),2)
+POWER(LN(S8108),2)
+POWER(LN(T8108),2)
)
)))</f>
        <v>0.57157051623399524</v>
      </c>
    </row>
    <row r="8109" spans="1:22" x14ac:dyDescent="0.2">
      <c r="A8109" t="s">
        <v>288</v>
      </c>
      <c r="B8109" s="52">
        <f>0.000024*B8101</f>
        <v>3.2610015624957834E-6</v>
      </c>
      <c r="C8109" t="s">
        <v>56</v>
      </c>
      <c r="E8109" t="s">
        <v>64</v>
      </c>
      <c r="F8109" t="s">
        <v>86</v>
      </c>
      <c r="G8109" t="s">
        <v>287</v>
      </c>
      <c r="H8109" t="s">
        <v>88</v>
      </c>
      <c r="K8109" t="str">
        <f>B8067</f>
        <v>heat, residential, by conversion of hydrogen using fuel cell, SOFC, allocated by exergy, transported by pipeline, produced by Electrolysis, Alkaline using water and electricity from Wind (DK)</v>
      </c>
      <c r="L8109">
        <f>IF(OR(B8109&lt;0,B8109=0),1,2)</f>
        <v>2</v>
      </c>
      <c r="M8109">
        <f>IF(L8109=2,LN(B8109),"")</f>
        <v>-12.633476182011</v>
      </c>
      <c r="N8109">
        <v>1</v>
      </c>
      <c r="O8109" s="15">
        <v>1.2</v>
      </c>
      <c r="P8109">
        <v>1</v>
      </c>
      <c r="Q8109">
        <v>1.01</v>
      </c>
      <c r="R8109">
        <v>1.2</v>
      </c>
      <c r="S8109">
        <v>1.2</v>
      </c>
      <c r="T8109">
        <v>1.05</v>
      </c>
      <c r="U8109">
        <f>LN(SQRT(EXP(
SQRT(
+POWER(LN(N8109),2)
+POWER(LN(O8109),2)
+POWER(LN(P8109),2)
+POWER(LN(Q8109),2)
+POWER(LN(R8109),2)
+POWER(LN(S8109),2)
+POWER(LN(T8109),2)
)
)))</f>
        <v>0.15984597228197622</v>
      </c>
    </row>
    <row r="8110" spans="1:22" x14ac:dyDescent="0.2">
      <c r="A8110" s="45" t="str">
        <f>"hydrogen supply, transported by "&amp;B8081&amp;", produced by "&amp;B8085&amp;" using "&amp;B8086&amp;" from "&amp;B8087</f>
        <v>hydrogen supply, transported by pipeline, produced by Electrolysis, Alkaline using water and electricity from Wind (DK)</v>
      </c>
      <c r="B8110" s="53">
        <f>(B8106/B8090)/B8089*B8101</f>
        <v>2.1364003947168392E-3</v>
      </c>
      <c r="C8110" t="s">
        <v>56</v>
      </c>
      <c r="E8110" t="s">
        <v>64</v>
      </c>
      <c r="F8110" t="s">
        <v>86</v>
      </c>
      <c r="G8110" t="str">
        <f>"hydrogen, gaseous, from "&amp;B8081</f>
        <v>hydrogen, gaseous, from pipeline</v>
      </c>
      <c r="H8110" t="s">
        <v>76</v>
      </c>
      <c r="I8110" t="s">
        <v>1054</v>
      </c>
      <c r="J8110" t="s">
        <v>302</v>
      </c>
      <c r="K8110" t="str">
        <f>B8067</f>
        <v>heat, residential, by conversion of hydrogen using fuel cell, SOFC, allocated by exergy, transported by pipeline, produced by Electrolysis, Alkaline using water and electricity from Wind (DK)</v>
      </c>
      <c r="L8110">
        <f>IF(OR(B8110&lt;0,B8110=0),1,2)</f>
        <v>2</v>
      </c>
      <c r="M8110">
        <f>IF(L8110=2,LN(B8110),"")</f>
        <v>-6.1486329247407472</v>
      </c>
      <c r="N8110">
        <v>1</v>
      </c>
      <c r="O8110" s="15">
        <v>1.2</v>
      </c>
      <c r="P8110">
        <v>1</v>
      </c>
      <c r="Q8110">
        <v>1.01</v>
      </c>
      <c r="R8110">
        <v>1.2</v>
      </c>
      <c r="S8110">
        <v>1.2</v>
      </c>
      <c r="T8110">
        <v>1.05</v>
      </c>
      <c r="U8110">
        <f>LN(SQRT(EXP(
SQRT(
+POWER(LN(N8110),2)
+POWER(LN(O8110),2)
+POWER(LN(P8110),2)
+POWER(LN(Q8110),2)
+POWER(LN(R8110),2)
+POWER(LN(S8110),2)
+POWER(LN(T8110),2)
)
)))</f>
        <v>0.15984597228197622</v>
      </c>
    </row>
    <row r="8111" spans="1:22" x14ac:dyDescent="0.2">
      <c r="A8111" t="s">
        <v>134</v>
      </c>
      <c r="B8111" s="45">
        <f>B8110*9</f>
        <v>1.9227603552451553E-2</v>
      </c>
      <c r="C8111" t="s">
        <v>56</v>
      </c>
      <c r="D8111" t="s">
        <v>100</v>
      </c>
      <c r="F8111" t="s">
        <v>99</v>
      </c>
      <c r="H8111" t="s">
        <v>131</v>
      </c>
      <c r="I8111" t="s">
        <v>1057</v>
      </c>
      <c r="K8111" t="str">
        <f>B8067</f>
        <v>heat, residential, by conversion of hydrogen using fuel cell, SOFC, allocated by exergy, transported by pipeline, produced by Electrolysis, Alkaline using water and electricity from Wind (DK)</v>
      </c>
      <c r="L8111">
        <f>IF(OR(B8111&lt;0,B8111=0),1,2)</f>
        <v>2</v>
      </c>
      <c r="M8111">
        <f>IF(L8111=2,LN(B8111),"")</f>
        <v>-3.9514083474045276</v>
      </c>
      <c r="N8111">
        <v>1</v>
      </c>
      <c r="O8111" s="15">
        <v>1.2</v>
      </c>
      <c r="P8111">
        <v>1</v>
      </c>
      <c r="Q8111">
        <v>1.01</v>
      </c>
      <c r="R8111">
        <v>1.2</v>
      </c>
      <c r="S8111">
        <v>1.2</v>
      </c>
      <c r="T8111">
        <v>1.05</v>
      </c>
      <c r="U8111">
        <f>LN(SQRT(EXP(
SQRT(
+POWER(LN(N8111),2)
+POWER(LN(O8111),2)
+POWER(LN(P8111),2)
+POWER(LN(Q8111),2)
+POWER(LN(R8111),2)
+POWER(LN(S8111),2)
+POWER(LN(T8111),2)
)
)))</f>
        <v>0.15984597228197622</v>
      </c>
    </row>
    <row r="8113" spans="1:2" x14ac:dyDescent="0.2">
      <c r="A8113" s="2" t="s">
        <v>50</v>
      </c>
      <c r="B8113" s="44" t="str">
        <f>IF(B8119="megajoule","heat","electricity")&amp;", residential, by "&amp;B8124&amp;" of "&amp;B8123&amp;" using "&amp;B8125&amp;IF(B8126&lt;&gt;0,", allocated by "&amp;B8126,"")&amp;", transported by "&amp;B8127&amp;", produced by "&amp;B8131&amp;" using "&amp;B8132&amp;" from "&amp;B8133</f>
        <v>electricity, residential, by combustion of hydrogen using CHP, allocated by exergy, transported by pipeline, produced by Electrolysis, Alkaline using water and electricity from Wind (DK)</v>
      </c>
    </row>
    <row r="8114" spans="1:2" x14ac:dyDescent="0.2">
      <c r="A8114" t="s">
        <v>51</v>
      </c>
      <c r="B8114" s="45" t="str">
        <f>"This dataset represents the supply of 1 "&amp;IF(B8119="megajoule","megajoule of heat","kilowatt hour of electricity")&amp;" in a residence, by "&amp;B8123&amp;" "&amp;B8124&amp;" in a "&amp;B8125&amp;". "&amp;" The hydrogen is transported by "&amp;B8127&amp;" over "&amp;B8128&amp;" km from regional storage. "&amp;" The "&amp;B8123&amp;" is produced by  "&amp;B8131&amp;", with "&amp;B8132&amp;" from "&amp;B8133&amp;" as feedstock. "&amp;A8135&amp;": "&amp;(B8135*100)&amp;"%. "&amp;A8136&amp;": "&amp;B8136&amp;". "&amp;A8137&amp;": "&amp;B8137&amp;". "&amp;A8138&amp;": "&amp;(B8138*100)&amp;"%. "&amp;A8139&amp;": "&amp;(B8139*100)&amp;"%. "&amp;A8140&amp;": "&amp;(B8140*100)&amp;"%. "&amp;A8141&amp;": "&amp;B8141&amp;". "&amp;A8142&amp;": "&amp;B8142&amp;". "&amp;A8143&amp;": "&amp;(B8143*100)&amp;"%. "&amp;A8144&amp;": "&amp;B8144&amp;". "&amp;A8145&amp;": "&amp;B8145&amp;". "&amp;A8146&amp;": "&amp;B8146&amp;". "&amp;A8147&amp;": "&amp;B8147&amp;".  For more information, refer to: "&amp;B8115</f>
        <v>This dataset represents the supply of 1 kilowatt hour of electricity in a residence, by hydrogen combustion in a CHP.  The hydrogen is transported by pipeline over 1300 km from regional storage.  The hydrogen is produced by  Electrolysis, Alkaline,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8115" spans="1:2" x14ac:dyDescent="0.2">
      <c r="A8115" t="s">
        <v>63</v>
      </c>
      <c r="B8115" s="45" t="s">
        <v>1223</v>
      </c>
    </row>
    <row r="8116" spans="1:2" x14ac:dyDescent="0.2">
      <c r="A8116" t="s">
        <v>52</v>
      </c>
      <c r="B8116" s="45" t="s">
        <v>64</v>
      </c>
    </row>
    <row r="8117" spans="1:2" x14ac:dyDescent="0.2">
      <c r="A8117" t="s">
        <v>48</v>
      </c>
      <c r="B8117" s="45" t="s">
        <v>937</v>
      </c>
    </row>
    <row r="8118" spans="1:2" x14ac:dyDescent="0.2">
      <c r="A8118" t="s">
        <v>54</v>
      </c>
      <c r="B8118" s="45" t="str">
        <f>INDEX(overview!$B$4:$R$338,MATCH('hydrogen - electrolysis'!B8117,overview!$A$4:$A$338,0),MATCH('hydrogen - electrolysis'!A8118,overview!$B$3:$R$3,0))</f>
        <v>electricity, from residential heating system</v>
      </c>
    </row>
    <row r="8119" spans="1:2" x14ac:dyDescent="0.2">
      <c r="A8119" t="s">
        <v>55</v>
      </c>
      <c r="B8119" s="45" t="str">
        <f>INDEX(overview!$B$4:$R$338,MATCH('hydrogen - electrolysis'!B8117,overview!$A$4:$A$338,0),MATCH('hydrogen - electrolysis'!A8119,overview!$B$3:$R$3,0))</f>
        <v>kilowatt hour</v>
      </c>
    </row>
    <row r="8120" spans="1:2" x14ac:dyDescent="0.2">
      <c r="A8120" t="s">
        <v>0</v>
      </c>
      <c r="B8120" s="45" t="str">
        <f>INDEX(overview!$B$4:$R$338,MATCH('hydrogen - electrolysis'!B8117,overview!$A$4:$A$338,0),MATCH('hydrogen - electrolysis'!A8120,overview!$B$3:$R$3,0))</f>
        <v>Switzerland</v>
      </c>
    </row>
    <row r="8121" spans="1:2" x14ac:dyDescent="0.2">
      <c r="A8121" t="s">
        <v>1</v>
      </c>
      <c r="B8121" s="45">
        <f>INDEX(overview!$B$4:$R$338,MATCH('hydrogen - electrolysis'!B8117,overview!$A$4:$A$338,0),MATCH('hydrogen - electrolysis'!A8121,overview!$B$3:$R$3,0))</f>
        <v>2020</v>
      </c>
    </row>
    <row r="8122" spans="1:2" x14ac:dyDescent="0.2">
      <c r="A8122" t="s">
        <v>2</v>
      </c>
      <c r="B8122" s="45" t="str">
        <f>INDEX(overview!$B$4:$R$338,MATCH('hydrogen - electrolysis'!B8117,overview!$A$4:$A$338,0),MATCH('hydrogen - electrolysis'!A8122,overview!$B$3:$R$3,0))</f>
        <v>1 kWh electricity</v>
      </c>
    </row>
    <row r="8123" spans="1:2" x14ac:dyDescent="0.2">
      <c r="A8123" t="s">
        <v>5</v>
      </c>
      <c r="B8123" s="45" t="str">
        <f>INDEX(overview!$B$4:$R$338,MATCH('hydrogen - electrolysis'!B8117,overview!$A$4:$A$338,0),MATCH('hydrogen - electrolysis'!A8123,overview!$B$3:$R$3,0))</f>
        <v>hydrogen</v>
      </c>
    </row>
    <row r="8124" spans="1:2" x14ac:dyDescent="0.2">
      <c r="A8124" t="s">
        <v>3</v>
      </c>
      <c r="B8124" s="45" t="str">
        <f>INDEX(overview!$B$4:$R$338,MATCH('hydrogen - electrolysis'!B8117,overview!$A$4:$A$338,0),MATCH('hydrogen - electrolysis'!A8124,overview!$B$3:$R$3,0))</f>
        <v>combustion</v>
      </c>
    </row>
    <row r="8125" spans="1:2" x14ac:dyDescent="0.2">
      <c r="A8125" t="s">
        <v>6</v>
      </c>
      <c r="B8125" s="45" t="str">
        <f>INDEX(overview!$B$4:$R$338,MATCH('hydrogen - electrolysis'!B8117,overview!$A$4:$A$338,0),MATCH('hydrogen - electrolysis'!A8125,overview!$B$3:$R$3,0))</f>
        <v>CHP</v>
      </c>
    </row>
    <row r="8126" spans="1:2" x14ac:dyDescent="0.2">
      <c r="A8126" t="s">
        <v>39</v>
      </c>
      <c r="B8126" s="45" t="str">
        <f>INDEX(overview!$B$4:$R$338,MATCH('hydrogen - electrolysis'!B8117,overview!$A$4:$A$338,0),MATCH('hydrogen - electrolysis'!A8126,overview!$B$3:$R$3,0))</f>
        <v>exergy</v>
      </c>
    </row>
    <row r="8127" spans="1:2" x14ac:dyDescent="0.2">
      <c r="A8127" t="s">
        <v>4</v>
      </c>
      <c r="B8127" s="45" t="str">
        <f>INDEX(overview!$B$4:$R$338,MATCH('hydrogen - electrolysis'!B8117,overview!$A$4:$A$338,0),MATCH('hydrogen - electrolysis'!A8127,overview!$B$3:$R$3,0))</f>
        <v>pipeline</v>
      </c>
    </row>
    <row r="8128" spans="1:2" x14ac:dyDescent="0.2">
      <c r="A8128" t="s">
        <v>38</v>
      </c>
      <c r="B8128" s="45">
        <f>INDEX(overview!$B$4:$R$338,MATCH('hydrogen - electrolysis'!B8117,overview!$A$4:$A$338,0),MATCH('hydrogen - electrolysis'!A8128,overview!$B$3:$R$3,0))</f>
        <v>1300</v>
      </c>
    </row>
    <row r="8129" spans="1:2" x14ac:dyDescent="0.2">
      <c r="A8129" t="s">
        <v>12</v>
      </c>
      <c r="B8129" s="45" t="str">
        <f>INDEX(overview!$B$4:$R$338,MATCH('hydrogen - electrolysis'!B8117,overview!$A$4:$A$338,0),MATCH('hydrogen - electrolysis'!A8129,overview!$B$3:$R$3,0))</f>
        <v>Pressure vessel for stationary storage</v>
      </c>
    </row>
    <row r="8130" spans="1:2" x14ac:dyDescent="0.2">
      <c r="A8130" t="s">
        <v>34</v>
      </c>
      <c r="B8130" s="45">
        <f>INDEX(overview!$B$4:$R$338,MATCH('hydrogen - electrolysis'!B8117,overview!$A$4:$A$338,0),MATCH('hydrogen - electrolysis'!A8130,overview!$B$3:$R$3,0))</f>
        <v>0</v>
      </c>
    </row>
    <row r="8131" spans="1:2" x14ac:dyDescent="0.2">
      <c r="A8131" t="s">
        <v>15</v>
      </c>
      <c r="B8131" s="45" t="str">
        <f>INDEX(overview!$B$4:$R$338,MATCH('hydrogen - electrolysis'!B8117,overview!$A$4:$A$338,0),MATCH('hydrogen - electrolysis'!A8131,overview!$B$3:$R$3,0))</f>
        <v>Electrolysis, Alkaline</v>
      </c>
    </row>
    <row r="8132" spans="1:2" x14ac:dyDescent="0.2">
      <c r="A8132" t="s">
        <v>14</v>
      </c>
      <c r="B8132" s="45" t="str">
        <f>INDEX(overview!$B$4:$R$338,MATCH('hydrogen - electrolysis'!B8117,overview!$A$4:$A$338,0),MATCH('hydrogen - electrolysis'!A8132,overview!$B$3:$R$3,0))</f>
        <v>water and electricity</v>
      </c>
    </row>
    <row r="8133" spans="1:2" x14ac:dyDescent="0.2">
      <c r="A8133" t="s">
        <v>26</v>
      </c>
      <c r="B8133" s="45" t="str">
        <f>INDEX(overview!$B$4:$R$338,MATCH('hydrogen - electrolysis'!B8117,overview!$A$4:$A$338,0),MATCH('hydrogen - electrolysis'!A8133,overview!$B$3:$R$3,0))</f>
        <v>Wind (DK)</v>
      </c>
    </row>
    <row r="8134" spans="1:2" x14ac:dyDescent="0.2">
      <c r="A8134" t="s">
        <v>29</v>
      </c>
      <c r="B8134" s="45">
        <f>INDEX(overview!$B$4:$R$338,MATCH('hydrogen - electrolysis'!B8117,overview!$A$4:$A$338,0),MATCH('hydrogen - electrolysis'!A8134,overview!$B$3:$R$3,0))</f>
        <v>0</v>
      </c>
    </row>
    <row r="8135" spans="1:2" x14ac:dyDescent="0.2">
      <c r="A8135" t="str">
        <f>IF(B8119="megajoule","Heat","Electricity")&amp;" conversion efficiency [% LHV input]"</f>
        <v>Electricity conversion efficiency [% LHV input]</v>
      </c>
      <c r="B8135" s="46">
        <f>INDEX(parameters!$D$4:$N$20,MATCH('hydrogen - electrolysis'!B8123&amp;'hydrogen - electrolysis'!B8125,parameters!$A$4:$A$20,0),MATCH('hydrogen - electrolysis'!A8135,parameters!$D$3:$N$3,0))</f>
        <v>0.39400000000000002</v>
      </c>
    </row>
    <row r="8136" spans="1:2" x14ac:dyDescent="0.2">
      <c r="A8136" t="str">
        <f>IF(B8119="megajoule","LHV [MJ/kg]","LHV [kWh/kg]")</f>
        <v>LHV [kWh/kg]</v>
      </c>
      <c r="B8136" s="47">
        <f>INDEX(parameters!$D$4:$N$20,MATCH('hydrogen - electrolysis'!B8123&amp;'hydrogen - electrolysis'!B8125,parameters!$A$4:$A$20,0),MATCH('hydrogen - electrolysis'!A8136,parameters!$D$3:$N$3,0))</f>
        <v>33.333333333333336</v>
      </c>
    </row>
    <row r="8137" spans="1:2" x14ac:dyDescent="0.2">
      <c r="A8137" t="s">
        <v>41</v>
      </c>
      <c r="B8137" s="48">
        <f>INDEX(parameters!$D$4:$N$20,MATCH('hydrogen - electrolysis'!B8123&amp;'hydrogen - electrolysis'!B8125,parameters!$A$4:$A$20,0),MATCH('hydrogen - electrolysis'!A8137,parameters!$D$3:$N$3,0))</f>
        <v>2.6666666666666665E-2</v>
      </c>
    </row>
    <row r="8138" spans="1:2" x14ac:dyDescent="0.2">
      <c r="A8138" t="s">
        <v>45</v>
      </c>
      <c r="B8138" s="46">
        <f>INDEX(parameters!$D$4:$N$20,MATCH('hydrogen - electrolysis'!B8123&amp;'hydrogen - electrolysis'!B8125,parameters!$A$4:$A$20,0),MATCH('hydrogen - electrolysis'!A8138,parameters!$D$3:$N$3,0))</f>
        <v>0</v>
      </c>
    </row>
    <row r="8139" spans="1:2" x14ac:dyDescent="0.2">
      <c r="A8139" t="s">
        <v>46</v>
      </c>
      <c r="B8139" s="46">
        <f>INDEX(parameters!$D$4:$N$20,MATCH('hydrogen - electrolysis'!B8123&amp;'hydrogen - electrolysis'!B8125,parameters!$A$4:$A$20,0),MATCH('hydrogen - electrolysis'!A8139,parameters!$D$3:$N$3,0))</f>
        <v>1.4999999999999999E-2</v>
      </c>
    </row>
    <row r="8140" spans="1:2" x14ac:dyDescent="0.2">
      <c r="A8140" t="s">
        <v>43</v>
      </c>
      <c r="B8140" s="46">
        <f>INDEX(parameters!$D$4:$N$20,MATCH('hydrogen - electrolysis'!B8123&amp;'hydrogen - electrolysis'!B8125,parameters!$A$4:$A$20,0),MATCH('hydrogen - electrolysis'!A8140,parameters!$D$3:$N$3,0))</f>
        <v>0</v>
      </c>
    </row>
    <row r="8141" spans="1:2" x14ac:dyDescent="0.2">
      <c r="A8141" t="s">
        <v>44</v>
      </c>
      <c r="B8141" s="46">
        <f>INDEX(parameters!$D$4:$N$20,MATCH('hydrogen - electrolysis'!B8123&amp;'hydrogen - electrolysis'!B8125,parameters!$A$4:$A$20,0),MATCH('hydrogen - electrolysis'!A8141,parameters!$D$3:$N$3,0))</f>
        <v>0</v>
      </c>
    </row>
    <row r="8142" spans="1:2" x14ac:dyDescent="0.2">
      <c r="A8142" t="s">
        <v>634</v>
      </c>
      <c r="B8142" s="51">
        <f>INDEX(parameters!$D$4:$Y$20,MATCH('hydrogen - electrolysis'!B8123&amp;'hydrogen - electrolysis'!B8125,parameters!$A$4:$A$20,0),MATCH('hydrogen - electrolysis'!A8142,parameters!$D$3:$Y$3,0))</f>
        <v>351.41800246609125</v>
      </c>
    </row>
    <row r="8143" spans="1:2" x14ac:dyDescent="0.2">
      <c r="A8143" t="s">
        <v>82</v>
      </c>
      <c r="B8143" s="46">
        <f>IF(B8134&lt;&gt;0,VLOOKUP(B8134,parameters!A5178:B5180,2,0),0)</f>
        <v>0</v>
      </c>
    </row>
    <row r="8144" spans="1:2" x14ac:dyDescent="0.2">
      <c r="A8144" t="s">
        <v>548</v>
      </c>
      <c r="B8144" s="50">
        <f>INDEX(parameters!$D$4:$P$20,MATCH(B8123&amp;B8125,parameters!$A$4:$A$20,0),MATCH(A8144,parameters!$D$3:$P$3,0))</f>
        <v>125</v>
      </c>
    </row>
    <row r="8145" spans="1:22" x14ac:dyDescent="0.2">
      <c r="A8145" t="s">
        <v>547</v>
      </c>
      <c r="B8145" s="51">
        <f>INDEX(parameters!$D$4:$P$20,MATCH(B8123&amp;B8125,parameters!$A$4:$A$20,0),MATCH(A8145,parameters!$D$3:$P$3,0))</f>
        <v>19.512195121951219</v>
      </c>
    </row>
    <row r="8146" spans="1:22" x14ac:dyDescent="0.2">
      <c r="A8146" t="s">
        <v>630</v>
      </c>
      <c r="B8146" s="51">
        <f>INDEX(parameters!$D$4:$T$20,MATCH(B8123&amp;B8125,parameters!$A$4:$A$20,0),MATCH(A8146,parameters!$D$3:$T$3,0))</f>
        <v>4100</v>
      </c>
    </row>
    <row r="8147" spans="1:22" x14ac:dyDescent="0.2">
      <c r="A8147" t="s">
        <v>1005</v>
      </c>
      <c r="B8147" s="50">
        <f>IF(B8119="megajoule",SUMIFS(allocation!$I$4:$I$30,allocation!$B$4:$B$30,B8125,allocation!$C$4:$C$30,B8126),SUMIFS(allocation!$J$4:$J$30,allocation!$B$4:$B$30,B8125,allocation!$C$4:$C$30,B8126))</f>
        <v>0.87139957772704957</v>
      </c>
    </row>
    <row r="8148" spans="1:22" x14ac:dyDescent="0.2">
      <c r="A8148" t="s">
        <v>1050</v>
      </c>
      <c r="B8148" s="51">
        <f>INDEX(parameters!$D$4:$AB$20,MATCH(B8123&amp;B8125,parameters!$A$4:$A$20,0),MATCH(A8148,parameters!$D$3:$AB$3,0))</f>
        <v>2220.7364520822662</v>
      </c>
    </row>
    <row r="8150" spans="1:22" x14ac:dyDescent="0.2">
      <c r="A8150" s="3" t="s">
        <v>57</v>
      </c>
    </row>
    <row r="8151" spans="1:22" x14ac:dyDescent="0.2">
      <c r="A8151" s="2" t="s">
        <v>58</v>
      </c>
      <c r="B8151" s="44" t="s">
        <v>59</v>
      </c>
      <c r="C8151" s="2" t="s">
        <v>55</v>
      </c>
      <c r="D8151" s="2" t="s">
        <v>60</v>
      </c>
      <c r="E8151" s="2" t="s">
        <v>52</v>
      </c>
      <c r="F8151" s="2" t="s">
        <v>61</v>
      </c>
      <c r="G8151" s="2" t="s">
        <v>54</v>
      </c>
      <c r="H8151" s="2" t="s">
        <v>87</v>
      </c>
      <c r="I8151" s="2" t="s">
        <v>51</v>
      </c>
      <c r="J8151" s="2" t="s">
        <v>138</v>
      </c>
      <c r="K8151" s="2" t="s">
        <v>136</v>
      </c>
      <c r="L8151" s="2" t="s">
        <v>221</v>
      </c>
      <c r="M8151" s="2" t="s">
        <v>379</v>
      </c>
      <c r="N8151" s="2" t="s">
        <v>1059</v>
      </c>
      <c r="O8151" s="2" t="s">
        <v>1060</v>
      </c>
      <c r="P8151" s="2" t="s">
        <v>1061</v>
      </c>
      <c r="Q8151" s="2" t="s">
        <v>1062</v>
      </c>
      <c r="R8151" s="2" t="s">
        <v>1063</v>
      </c>
      <c r="S8151" s="2" t="s">
        <v>1064</v>
      </c>
      <c r="T8151" s="2" t="s">
        <v>1065</v>
      </c>
      <c r="U8151" s="2" t="s">
        <v>380</v>
      </c>
      <c r="V8151" s="2" t="s">
        <v>1128</v>
      </c>
    </row>
    <row r="8152" spans="1:22" x14ac:dyDescent="0.2">
      <c r="A8152" t="str">
        <f>B8113</f>
        <v>electricity, residential, by combustion of hydrogen using CHP, allocated by exergy, transported by pipeline, produced by Electrolysis, Alkaline using water and electricity from Wind (DK)</v>
      </c>
      <c r="B8152" s="45">
        <v>1</v>
      </c>
      <c r="C8152" t="str">
        <f>B8119</f>
        <v>kilowatt hour</v>
      </c>
      <c r="E8152" t="str">
        <f>B8116</f>
        <v>CH</v>
      </c>
      <c r="F8152" t="s">
        <v>62</v>
      </c>
      <c r="G8152" t="str">
        <f>B8118</f>
        <v>electricity, from residential heating system</v>
      </c>
      <c r="K8152" t="str">
        <f>B8113</f>
        <v>electricity, residential, by combustion of hydrogen using CHP, allocated by exergy, transported by pipeline, produced by Electrolysis, Alkaline using water and electricity from Wind (DK)</v>
      </c>
    </row>
    <row r="8153" spans="1:22" x14ac:dyDescent="0.2">
      <c r="A8153" t="str">
        <f>VLOOKUP(J8153,'dataset mapping'!$A$4:$E$69,2,0)</f>
        <v>heat and power co-generation unit construction, 160kW electrical, common components for heat+electricity</v>
      </c>
      <c r="B8153" s="52">
        <f>(1/(B8142*B8146*B8145))*B8147</f>
        <v>3.0995835856870056E-8</v>
      </c>
      <c r="C8153" t="str">
        <f>VLOOKUP(J8153,'dataset mapping'!$A$4:$E$69,5,0)</f>
        <v>unit</v>
      </c>
      <c r="E8153" t="str">
        <f>VLOOKUP(J8153,'dataset mapping'!$A$4:$E$69,4,0)</f>
        <v>RER</v>
      </c>
      <c r="F8153" t="s">
        <v>86</v>
      </c>
      <c r="G8153" t="str">
        <f>VLOOKUP(J8153,'dataset mapping'!$A$4:$E$69,3,0)</f>
        <v>heat and power co-generation unit, 160kW electrical, common components for heat+electricity</v>
      </c>
      <c r="H8153" t="s">
        <v>88</v>
      </c>
      <c r="J8153" t="s">
        <v>145</v>
      </c>
      <c r="K8153" t="str">
        <f>B8113</f>
        <v>electricity, residential, by combustion of hydrogen using CHP, allocated by exergy, transported by pipeline, produced by Electrolysis, Alkaline using water and electricity from Wind (DK)</v>
      </c>
      <c r="L8153">
        <f t="shared" ref="L8153:L8160" si="334">IF(OR(B8153&lt;0,B8153=0),1,2)</f>
        <v>2</v>
      </c>
      <c r="M8153">
        <f t="shared" ref="M8153:M8160" si="335">IF(L8153=2,LN(B8153),"")</f>
        <v>-17.28941296868171</v>
      </c>
      <c r="N8153">
        <v>1.05</v>
      </c>
      <c r="O8153" s="15">
        <v>1.2</v>
      </c>
      <c r="P8153">
        <v>1</v>
      </c>
      <c r="Q8153">
        <v>1.01</v>
      </c>
      <c r="R8153">
        <v>1.2</v>
      </c>
      <c r="S8153">
        <v>1.2</v>
      </c>
      <c r="T8153">
        <v>3</v>
      </c>
      <c r="U8153">
        <f t="shared" ref="U8153:U8160" si="336">LN(SQRT(EXP(
SQRT(
+POWER(LN(N8153),2)
+POWER(LN(O8153),2)
+POWER(LN(P8153),2)
+POWER(LN(Q8153),2)
+POWER(LN(R8153),2)
+POWER(LN(S8153),2)
+POWER(LN(T8153),2)
)
)))</f>
        <v>0.57209088006881903</v>
      </c>
    </row>
    <row r="8154" spans="1:22" x14ac:dyDescent="0.2">
      <c r="A8154" t="str">
        <f>VLOOKUP(J8154,'dataset mapping'!$A$4:$E$69,2,0)</f>
        <v>heat and power co-generation unit construction, 160kW electrical, components for electricity only</v>
      </c>
      <c r="B8154" s="52">
        <f>(1/(B8142*B8146*B8145))*B8147</f>
        <v>3.0995835856870056E-8</v>
      </c>
      <c r="C8154" t="str">
        <f>VLOOKUP(J8154,'dataset mapping'!$A$4:$E$69,5,0)</f>
        <v>unit</v>
      </c>
      <c r="E8154" t="str">
        <f>VLOOKUP(J8154,'dataset mapping'!$A$4:$E$69,4,0)</f>
        <v>RER</v>
      </c>
      <c r="F8154" t="s">
        <v>86</v>
      </c>
      <c r="G8154" t="str">
        <f>VLOOKUP(J8154,'dataset mapping'!$A$4:$E$69,3,0)</f>
        <v>heat and power co-generation unit, 160kW electrical, components for electricity only</v>
      </c>
      <c r="H8154" t="s">
        <v>88</v>
      </c>
      <c r="J8154" t="s">
        <v>146</v>
      </c>
      <c r="K8154" t="str">
        <f>B8113</f>
        <v>electricity, residential, by combustion of hydrogen using CHP, allocated by exergy, transported by pipeline, produced by Electrolysis, Alkaline using water and electricity from Wind (DK)</v>
      </c>
      <c r="L8154">
        <f t="shared" si="334"/>
        <v>2</v>
      </c>
      <c r="M8154">
        <f t="shared" si="335"/>
        <v>-17.28941296868171</v>
      </c>
      <c r="N8154">
        <v>1.05</v>
      </c>
      <c r="O8154" s="15">
        <v>1.2</v>
      </c>
      <c r="P8154">
        <v>1</v>
      </c>
      <c r="Q8154">
        <v>1.01</v>
      </c>
      <c r="R8154">
        <v>1.2</v>
      </c>
      <c r="S8154">
        <v>1.2</v>
      </c>
      <c r="T8154">
        <v>3</v>
      </c>
      <c r="U8154">
        <f t="shared" si="336"/>
        <v>0.57209088006881903</v>
      </c>
    </row>
    <row r="8155" spans="1:22" x14ac:dyDescent="0.2">
      <c r="A8155" t="str">
        <f>VLOOKUP(J8155,'dataset mapping'!$A$4:$E$69,2,0)</f>
        <v>heat and power co-generation unit construction, 160kW electrical, components for heat only</v>
      </c>
      <c r="B8155" s="52">
        <f>(1/(B8142*B8146*B8145))*B8147</f>
        <v>3.0995835856870056E-8</v>
      </c>
      <c r="C8155" t="str">
        <f>VLOOKUP(J8155,'dataset mapping'!$A$4:$E$69,5,0)</f>
        <v>unit</v>
      </c>
      <c r="E8155" t="str">
        <f>VLOOKUP(J8155,'dataset mapping'!$A$4:$E$69,4,0)</f>
        <v>RER</v>
      </c>
      <c r="F8155" t="s">
        <v>86</v>
      </c>
      <c r="G8155" t="str">
        <f>VLOOKUP(J8155,'dataset mapping'!$A$4:$E$69,3,0)</f>
        <v>heat and power co-generation unit, 160kW electrical, components for heat only</v>
      </c>
      <c r="H8155" t="s">
        <v>88</v>
      </c>
      <c r="J8155" t="s">
        <v>147</v>
      </c>
      <c r="K8155" t="str">
        <f>B8113</f>
        <v>electricity, residential, by combustion of hydrogen using CHP, allocated by exergy, transported by pipeline, produced by Electrolysis, Alkaline using water and electricity from Wind (DK)</v>
      </c>
      <c r="L8155">
        <f t="shared" si="334"/>
        <v>2</v>
      </c>
      <c r="M8155">
        <f t="shared" si="335"/>
        <v>-17.28941296868171</v>
      </c>
      <c r="N8155">
        <v>1.05</v>
      </c>
      <c r="O8155" s="15">
        <v>1.2</v>
      </c>
      <c r="P8155">
        <v>1</v>
      </c>
      <c r="Q8155">
        <v>1.01</v>
      </c>
      <c r="R8155">
        <v>1.2</v>
      </c>
      <c r="S8155">
        <v>1.2</v>
      </c>
      <c r="T8155">
        <v>3</v>
      </c>
      <c r="U8155">
        <f t="shared" si="336"/>
        <v>0.57209088006881903</v>
      </c>
    </row>
    <row r="8156" spans="1:22" x14ac:dyDescent="0.2">
      <c r="A8156" t="s">
        <v>156</v>
      </c>
      <c r="B8156" s="52">
        <f>0.00000011366*B8147</f>
        <v>9.9043276004456456E-8</v>
      </c>
      <c r="C8156" t="s">
        <v>56</v>
      </c>
      <c r="E8156" t="s">
        <v>90</v>
      </c>
      <c r="F8156" t="s">
        <v>86</v>
      </c>
      <c r="G8156" t="s">
        <v>154</v>
      </c>
      <c r="H8156" t="s">
        <v>155</v>
      </c>
      <c r="K8156" t="str">
        <f>B8113</f>
        <v>electricity, residential, by combustion of hydrogen using CHP, allocated by exergy, transported by pipeline, produced by Electrolysis, Alkaline using water and electricity from Wind (DK)</v>
      </c>
      <c r="L8156">
        <f t="shared" si="334"/>
        <v>2</v>
      </c>
      <c r="M8156">
        <f t="shared" si="335"/>
        <v>-16.127708950967754</v>
      </c>
      <c r="N8156">
        <v>1.05</v>
      </c>
      <c r="O8156" s="15">
        <v>1.2</v>
      </c>
      <c r="P8156">
        <v>1</v>
      </c>
      <c r="Q8156">
        <v>1.01</v>
      </c>
      <c r="R8156">
        <v>1.2</v>
      </c>
      <c r="S8156">
        <v>1.2</v>
      </c>
      <c r="T8156">
        <v>1.05</v>
      </c>
      <c r="U8156">
        <f t="shared" si="336"/>
        <v>0.16169679924070957</v>
      </c>
    </row>
    <row r="8157" spans="1:22" x14ac:dyDescent="0.2">
      <c r="A8157" t="s">
        <v>157</v>
      </c>
      <c r="B8157" s="52">
        <f>0.00000011366*B8147*-1</f>
        <v>-9.9043276004456456E-8</v>
      </c>
      <c r="C8157" t="s">
        <v>56</v>
      </c>
      <c r="E8157" t="s">
        <v>64</v>
      </c>
      <c r="F8157" t="s">
        <v>86</v>
      </c>
      <c r="G8157" t="s">
        <v>158</v>
      </c>
      <c r="H8157" t="s">
        <v>155</v>
      </c>
      <c r="K8157" t="str">
        <f>B8113</f>
        <v>electricity, residential, by combustion of hydrogen using CHP, allocated by exergy, transported by pipeline, produced by Electrolysis, Alkaline using water and electricity from Wind (DK)</v>
      </c>
      <c r="L8157">
        <v>2</v>
      </c>
      <c r="M8157">
        <f>IF(L8157=2,LN(B8157*-1),"")</f>
        <v>-16.127708950967754</v>
      </c>
      <c r="N8157">
        <v>1.05</v>
      </c>
      <c r="O8157" s="15">
        <v>1.2</v>
      </c>
      <c r="P8157">
        <v>1</v>
      </c>
      <c r="Q8157">
        <v>1.01</v>
      </c>
      <c r="R8157">
        <v>1.2</v>
      </c>
      <c r="S8157">
        <v>1.2</v>
      </c>
      <c r="T8157">
        <v>3</v>
      </c>
      <c r="U8157">
        <f>LN(SQRT(EXP(
SQRT(
+POWER(LN(N8157),2)
+POWER(LN(O8157),2)
+POWER(LN(P8157),2)
+POWER(LN(Q8157),2)
+POWER(LN(R8157),2)
+POWER(LN(S8157),2)
+POWER(LN(T8157),2)
)
)))</f>
        <v>0.57209088006881903</v>
      </c>
      <c r="V8157" t="b">
        <v>1</v>
      </c>
    </row>
    <row r="8158" spans="1:22" x14ac:dyDescent="0.2">
      <c r="A8158" s="45" t="str">
        <f>"hydrogen supply, transported by "&amp;B8127&amp;", produced by "&amp;B8131&amp;" using "&amp;B8132&amp;" from "&amp;B8133</f>
        <v>hydrogen supply, transported by pipeline, produced by Electrolysis, Alkaline using water and electricity from Wind (DK)</v>
      </c>
      <c r="B8158" s="53">
        <f>(B8152/B8136)/B8135*B8147</f>
        <v>6.6350221654343872E-2</v>
      </c>
      <c r="C8158" t="s">
        <v>56</v>
      </c>
      <c r="E8158" t="s">
        <v>64</v>
      </c>
      <c r="F8158" t="s">
        <v>86</v>
      </c>
      <c r="G8158" t="str">
        <f>"hydrogen, gaseous, from "&amp;B8127</f>
        <v>hydrogen, gaseous, from pipeline</v>
      </c>
      <c r="H8158" t="s">
        <v>76</v>
      </c>
      <c r="I8158" t="s">
        <v>1054</v>
      </c>
      <c r="J8158" t="s">
        <v>302</v>
      </c>
      <c r="K8158" t="str">
        <f>B8113</f>
        <v>electricity, residential, by combustion of hydrogen using CHP, allocated by exergy, transported by pipeline, produced by Electrolysis, Alkaline using water and electricity from Wind (DK)</v>
      </c>
      <c r="L8158">
        <f t="shared" si="334"/>
        <v>2</v>
      </c>
      <c r="M8158">
        <f t="shared" si="335"/>
        <v>-2.7128081775260964</v>
      </c>
      <c r="N8158">
        <v>1.05</v>
      </c>
      <c r="O8158" s="15">
        <v>1.2</v>
      </c>
      <c r="P8158">
        <v>1</v>
      </c>
      <c r="Q8158">
        <v>1.01</v>
      </c>
      <c r="R8158">
        <v>1.2</v>
      </c>
      <c r="S8158">
        <v>1.2</v>
      </c>
      <c r="T8158">
        <v>1.05</v>
      </c>
      <c r="U8158">
        <f t="shared" si="336"/>
        <v>0.16169679924070957</v>
      </c>
    </row>
    <row r="8159" spans="1:22" x14ac:dyDescent="0.2">
      <c r="A8159" t="s">
        <v>134</v>
      </c>
      <c r="B8159" s="45">
        <f>B8158*9</f>
        <v>0.59715199488909487</v>
      </c>
      <c r="C8159" t="s">
        <v>56</v>
      </c>
      <c r="D8159" t="s">
        <v>100</v>
      </c>
      <c r="F8159" t="s">
        <v>99</v>
      </c>
      <c r="H8159" t="s">
        <v>131</v>
      </c>
      <c r="I8159" t="s">
        <v>1058</v>
      </c>
      <c r="K8159" t="str">
        <f>B8113</f>
        <v>electricity, residential, by combustion of hydrogen using CHP, allocated by exergy, transported by pipeline, produced by Electrolysis, Alkaline using water and electricity from Wind (DK)</v>
      </c>
      <c r="L8159">
        <f t="shared" si="334"/>
        <v>2</v>
      </c>
      <c r="M8159">
        <f t="shared" si="335"/>
        <v>-0.51558360018987692</v>
      </c>
      <c r="N8159">
        <v>1.05</v>
      </c>
      <c r="O8159" s="15">
        <v>1.2</v>
      </c>
      <c r="P8159">
        <v>1</v>
      </c>
      <c r="Q8159">
        <v>1.01</v>
      </c>
      <c r="R8159">
        <v>1.2</v>
      </c>
      <c r="S8159">
        <v>1.2</v>
      </c>
      <c r="T8159">
        <v>1.05</v>
      </c>
      <c r="U8159">
        <f t="shared" si="336"/>
        <v>0.16169679924070957</v>
      </c>
    </row>
    <row r="8160" spans="1:22" x14ac:dyDescent="0.2">
      <c r="A8160" t="s">
        <v>135</v>
      </c>
      <c r="B8160" s="45">
        <f>912.5/1000000*B8158</f>
        <v>6.0544577259588785E-5</v>
      </c>
      <c r="C8160" t="s">
        <v>56</v>
      </c>
      <c r="D8160" t="s">
        <v>100</v>
      </c>
      <c r="F8160" t="s">
        <v>99</v>
      </c>
      <c r="H8160" t="s">
        <v>131</v>
      </c>
      <c r="I8160" t="s">
        <v>1217</v>
      </c>
      <c r="K8160" t="str">
        <f>B8113</f>
        <v>electricity, residential, by combustion of hydrogen using CHP, allocated by exergy, transported by pipeline, produced by Electrolysis, Alkaline using water and electricity from Wind (DK)</v>
      </c>
      <c r="L8160">
        <f t="shared" si="334"/>
        <v>2</v>
      </c>
      <c r="M8160">
        <f t="shared" si="335"/>
        <v>-9.712130650033723</v>
      </c>
      <c r="N8160">
        <v>1.05</v>
      </c>
      <c r="O8160" s="15">
        <v>1.2</v>
      </c>
      <c r="P8160">
        <v>1</v>
      </c>
      <c r="Q8160">
        <v>1.01</v>
      </c>
      <c r="R8160">
        <v>1.2</v>
      </c>
      <c r="S8160">
        <v>1.2</v>
      </c>
      <c r="T8160">
        <v>1.5</v>
      </c>
      <c r="U8160">
        <f t="shared" si="336"/>
        <v>0.25816898211842121</v>
      </c>
    </row>
    <row r="8162" spans="1:2" x14ac:dyDescent="0.2">
      <c r="A8162" s="2" t="s">
        <v>50</v>
      </c>
      <c r="B8162" s="44" t="str">
        <f>IF(B8168="megajoule","heat","electricity")&amp;", residential, by "&amp;B8173&amp;" of "&amp;B8172&amp;" using "&amp;B8174&amp;IF(B8175&lt;&gt;0,", allocated by "&amp;B8175,"")&amp;", transported by "&amp;B8176&amp;", produced by "&amp;B8180&amp;" using "&amp;B8181&amp;" from "&amp;B8182</f>
        <v>electricity, residential, by conversion of hydrogen using fuel cell, PEM, allocated by exergy, transported by pipeline, produced by Electrolysis, Alkaline using water and electricity from Wind (DK)</v>
      </c>
    </row>
    <row r="8163" spans="1:2" x14ac:dyDescent="0.2">
      <c r="A8163" t="s">
        <v>51</v>
      </c>
      <c r="B8163" s="45" t="str">
        <f>"This dataset represents the supply of 1 "&amp;IF(B8168="megajoule","megajoule of heat","kilowatt hour of electricity")&amp;" in a residence, by "&amp;B8172&amp;" "&amp;B8173&amp;" in a "&amp;B8174&amp;". "&amp;" The hydrogen is transported by "&amp;B8176&amp;" over "&amp;B8177&amp;" km from regional storage. "&amp;" The "&amp;B8172&amp;" is produced by  "&amp;B8180&amp;", with "&amp;B8181&amp;" from "&amp;B8182&amp;" as feedstock. "&amp;A8184&amp;": "&amp;(B8184*100)&amp;"%. "&amp;A8185&amp;": "&amp;B8185&amp;". "&amp;A8186&amp;": "&amp;B8186&amp;". "&amp;A8187&amp;": "&amp;(B8187*100)&amp;"%. "&amp;A8188&amp;": "&amp;(B8188*100)&amp;"%. "&amp;A8189&amp;": "&amp;(B8189*100)&amp;"%. "&amp;A8190&amp;": "&amp;B8190&amp;". "&amp;A8191&amp;": "&amp;B8191&amp;". "&amp;A8192&amp;": "&amp;(B8192*100)&amp;"%. "&amp;A8193&amp;": "&amp;B8193&amp;". "&amp;A8194&amp;": "&amp;B8194&amp;". "&amp;A8195&amp;": "&amp;B8195&amp;". "&amp;A8196&amp;": "&amp;B8196&amp;".  For more information, refer to: "&amp;B8164</f>
        <v>This dataset represents the supply of 1 kilowatt hour of electricity in a residence, by hydrogen conversion in a fuel cell, PEM.  The hydrogen is transported by pipeline over 1300 km from regional storage.  The hydrogen is produced by  Electrolysis, Alkaline,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8164" spans="1:2" x14ac:dyDescent="0.2">
      <c r="A8164" t="s">
        <v>63</v>
      </c>
      <c r="B8164" s="45" t="s">
        <v>1223</v>
      </c>
    </row>
    <row r="8165" spans="1:2" x14ac:dyDescent="0.2">
      <c r="A8165" t="s">
        <v>52</v>
      </c>
      <c r="B8165" s="45" t="s">
        <v>64</v>
      </c>
    </row>
    <row r="8166" spans="1:2" x14ac:dyDescent="0.2">
      <c r="A8166" t="s">
        <v>48</v>
      </c>
      <c r="B8166" s="45" t="s">
        <v>938</v>
      </c>
    </row>
    <row r="8167" spans="1:2" x14ac:dyDescent="0.2">
      <c r="A8167" t="s">
        <v>54</v>
      </c>
      <c r="B8167" s="45" t="str">
        <f>INDEX(overview!$B$4:$R$338,MATCH('hydrogen - electrolysis'!B8166,overview!$A$4:$A$338,0),MATCH('hydrogen - electrolysis'!A8167,overview!$B$3:$R$3,0))</f>
        <v>electricity, from residential heating system</v>
      </c>
    </row>
    <row r="8168" spans="1:2" x14ac:dyDescent="0.2">
      <c r="A8168" t="s">
        <v>55</v>
      </c>
      <c r="B8168" s="45" t="str">
        <f>INDEX(overview!$B$4:$R$338,MATCH('hydrogen - electrolysis'!B8166,overview!$A$4:$A$338,0),MATCH('hydrogen - electrolysis'!A8168,overview!$B$3:$R$3,0))</f>
        <v>kilowatt hour</v>
      </c>
    </row>
    <row r="8169" spans="1:2" x14ac:dyDescent="0.2">
      <c r="A8169" t="s">
        <v>0</v>
      </c>
      <c r="B8169" s="45" t="str">
        <f>INDEX(overview!$B$4:$R$338,MATCH('hydrogen - electrolysis'!B8166,overview!$A$4:$A$338,0),MATCH('hydrogen - electrolysis'!A8169,overview!$B$3:$R$3,0))</f>
        <v>Switzerland</v>
      </c>
    </row>
    <row r="8170" spans="1:2" x14ac:dyDescent="0.2">
      <c r="A8170" t="s">
        <v>1</v>
      </c>
      <c r="B8170" s="45">
        <f>INDEX(overview!$B$4:$R$338,MATCH('hydrogen - electrolysis'!B8166,overview!$A$4:$A$338,0),MATCH('hydrogen - electrolysis'!A8170,overview!$B$3:$R$3,0))</f>
        <v>2020</v>
      </c>
    </row>
    <row r="8171" spans="1:2" x14ac:dyDescent="0.2">
      <c r="A8171" t="s">
        <v>2</v>
      </c>
      <c r="B8171" s="45" t="str">
        <f>INDEX(overview!$B$4:$R$338,MATCH('hydrogen - electrolysis'!B8166,overview!$A$4:$A$338,0),MATCH('hydrogen - electrolysis'!A8171,overview!$B$3:$R$3,0))</f>
        <v>1 kWh electricity</v>
      </c>
    </row>
    <row r="8172" spans="1:2" x14ac:dyDescent="0.2">
      <c r="A8172" t="s">
        <v>5</v>
      </c>
      <c r="B8172" s="45" t="str">
        <f>INDEX(overview!$B$4:$R$338,MATCH('hydrogen - electrolysis'!B8166,overview!$A$4:$A$338,0),MATCH('hydrogen - electrolysis'!A8172,overview!$B$3:$R$3,0))</f>
        <v>hydrogen</v>
      </c>
    </row>
    <row r="8173" spans="1:2" x14ac:dyDescent="0.2">
      <c r="A8173" t="s">
        <v>3</v>
      </c>
      <c r="B8173" s="45" t="str">
        <f>INDEX(overview!$B$4:$R$338,MATCH('hydrogen - electrolysis'!B8166,overview!$A$4:$A$338,0),MATCH('hydrogen - electrolysis'!A8173,overview!$B$3:$R$3,0))</f>
        <v>conversion</v>
      </c>
    </row>
    <row r="8174" spans="1:2" x14ac:dyDescent="0.2">
      <c r="A8174" t="s">
        <v>6</v>
      </c>
      <c r="B8174" s="45" t="str">
        <f>INDEX(overview!$B$4:$R$338,MATCH('hydrogen - electrolysis'!B8166,overview!$A$4:$A$338,0),MATCH('hydrogen - electrolysis'!A8174,overview!$B$3:$R$3,0))</f>
        <v>fuel cell, PEM</v>
      </c>
    </row>
    <row r="8175" spans="1:2" x14ac:dyDescent="0.2">
      <c r="A8175" t="s">
        <v>39</v>
      </c>
      <c r="B8175" s="45" t="str">
        <f>INDEX(overview!$B$4:$R$338,MATCH('hydrogen - electrolysis'!B8166,overview!$A$4:$A$338,0),MATCH('hydrogen - electrolysis'!A8175,overview!$B$3:$R$3,0))</f>
        <v>exergy</v>
      </c>
    </row>
    <row r="8176" spans="1:2" x14ac:dyDescent="0.2">
      <c r="A8176" t="s">
        <v>4</v>
      </c>
      <c r="B8176" s="45" t="str">
        <f>INDEX(overview!$B$4:$R$338,MATCH('hydrogen - electrolysis'!B8166,overview!$A$4:$A$338,0),MATCH('hydrogen - electrolysis'!A8176,overview!$B$3:$R$3,0))</f>
        <v>pipeline</v>
      </c>
    </row>
    <row r="8177" spans="1:2" x14ac:dyDescent="0.2">
      <c r="A8177" t="s">
        <v>38</v>
      </c>
      <c r="B8177" s="45">
        <f>INDEX(overview!$B$4:$R$338,MATCH('hydrogen - electrolysis'!B8166,overview!$A$4:$A$338,0),MATCH('hydrogen - electrolysis'!A8177,overview!$B$3:$R$3,0))</f>
        <v>1300</v>
      </c>
    </row>
    <row r="8178" spans="1:2" x14ac:dyDescent="0.2">
      <c r="A8178" t="s">
        <v>12</v>
      </c>
      <c r="B8178" s="45" t="str">
        <f>INDEX(overview!$B$4:$R$338,MATCH('hydrogen - electrolysis'!B8166,overview!$A$4:$A$338,0),MATCH('hydrogen - electrolysis'!A8178,overview!$B$3:$R$3,0))</f>
        <v>Pressure vessel for stationary storage</v>
      </c>
    </row>
    <row r="8179" spans="1:2" x14ac:dyDescent="0.2">
      <c r="A8179" t="s">
        <v>34</v>
      </c>
      <c r="B8179" s="45">
        <f>INDEX(overview!$B$4:$R$338,MATCH('hydrogen - electrolysis'!B8166,overview!$A$4:$A$338,0),MATCH('hydrogen - electrolysis'!A8179,overview!$B$3:$R$3,0))</f>
        <v>0</v>
      </c>
    </row>
    <row r="8180" spans="1:2" x14ac:dyDescent="0.2">
      <c r="A8180" t="s">
        <v>15</v>
      </c>
      <c r="B8180" s="45" t="str">
        <f>INDEX(overview!$B$4:$R$338,MATCH('hydrogen - electrolysis'!B8166,overview!$A$4:$A$338,0),MATCH('hydrogen - electrolysis'!A8180,overview!$B$3:$R$3,0))</f>
        <v>Electrolysis, Alkaline</v>
      </c>
    </row>
    <row r="8181" spans="1:2" x14ac:dyDescent="0.2">
      <c r="A8181" t="s">
        <v>14</v>
      </c>
      <c r="B8181" s="45" t="str">
        <f>INDEX(overview!$B$4:$R$338,MATCH('hydrogen - electrolysis'!B8166,overview!$A$4:$A$338,0),MATCH('hydrogen - electrolysis'!A8181,overview!$B$3:$R$3,0))</f>
        <v>water and electricity</v>
      </c>
    </row>
    <row r="8182" spans="1:2" x14ac:dyDescent="0.2">
      <c r="A8182" t="s">
        <v>26</v>
      </c>
      <c r="B8182" s="45" t="str">
        <f>INDEX(overview!$B$4:$R$338,MATCH('hydrogen - electrolysis'!B8166,overview!$A$4:$A$338,0),MATCH('hydrogen - electrolysis'!A8182,overview!$B$3:$R$3,0))</f>
        <v>Wind (DK)</v>
      </c>
    </row>
    <row r="8183" spans="1:2" x14ac:dyDescent="0.2">
      <c r="A8183" t="s">
        <v>29</v>
      </c>
      <c r="B8183" s="45">
        <f>INDEX(overview!$B$4:$R$338,MATCH('hydrogen - electrolysis'!B8166,overview!$A$4:$A$338,0),MATCH('hydrogen - electrolysis'!A8183,overview!$B$3:$R$3,0))</f>
        <v>0</v>
      </c>
    </row>
    <row r="8184" spans="1:2" x14ac:dyDescent="0.2">
      <c r="A8184" t="str">
        <f>IF(B8168="megajoule","Heat","Electricity")&amp;" conversion efficiency [% LHV input]"</f>
        <v>Electricity conversion efficiency [% LHV input]</v>
      </c>
      <c r="B8184" s="46">
        <f>INDEX(parameters!$D$4:$N$20,MATCH('hydrogen - electrolysis'!B8172&amp;'hydrogen - electrolysis'!B8174,parameters!$A$4:$A$20,0),MATCH('hydrogen - electrolysis'!A8184,parameters!$D$3:$N$3,0))</f>
        <v>0.45</v>
      </c>
    </row>
    <row r="8185" spans="1:2" x14ac:dyDescent="0.2">
      <c r="A8185" t="str">
        <f>IF(B8168="megajoule","LHV [MJ/kg]","LHV [kWh/kg]")</f>
        <v>LHV [kWh/kg]</v>
      </c>
      <c r="B8185" s="47">
        <f>INDEX(parameters!$D$4:$N$20,MATCH('hydrogen - electrolysis'!B8172&amp;'hydrogen - electrolysis'!B8174,parameters!$A$4:$A$20,0),MATCH('hydrogen - electrolysis'!A8185,parameters!$D$3:$N$3,0))</f>
        <v>33.333333333333336</v>
      </c>
    </row>
    <row r="8186" spans="1:2" x14ac:dyDescent="0.2">
      <c r="A8186" t="s">
        <v>41</v>
      </c>
      <c r="B8186" s="48">
        <f>INDEX(parameters!$D$4:$N$20,MATCH('hydrogen - electrolysis'!B8172&amp;'hydrogen - electrolysis'!B8174,parameters!$A$4:$A$20,0),MATCH('hydrogen - electrolysis'!A8186,parameters!$D$3:$N$3,0))</f>
        <v>2.6666666666666665E-2</v>
      </c>
    </row>
    <row r="8187" spans="1:2" x14ac:dyDescent="0.2">
      <c r="A8187" t="s">
        <v>45</v>
      </c>
      <c r="B8187" s="46">
        <f>INDEX(parameters!$D$4:$N$20,MATCH('hydrogen - electrolysis'!B8172&amp;'hydrogen - electrolysis'!B8174,parameters!$A$4:$A$20,0),MATCH('hydrogen - electrolysis'!A8187,parameters!$D$3:$N$3,0))</f>
        <v>0</v>
      </c>
    </row>
    <row r="8188" spans="1:2" x14ac:dyDescent="0.2">
      <c r="A8188" t="s">
        <v>46</v>
      </c>
      <c r="B8188" s="46">
        <f>INDEX(parameters!$D$4:$N$20,MATCH('hydrogen - electrolysis'!B8172&amp;'hydrogen - electrolysis'!B8174,parameters!$A$4:$A$20,0),MATCH('hydrogen - electrolysis'!A8188,parameters!$D$3:$N$3,0))</f>
        <v>1.4999999999999999E-2</v>
      </c>
    </row>
    <row r="8189" spans="1:2" x14ac:dyDescent="0.2">
      <c r="A8189" t="s">
        <v>43</v>
      </c>
      <c r="B8189" s="46">
        <f>INDEX(parameters!$D$4:$N$20,MATCH('hydrogen - electrolysis'!B8172&amp;'hydrogen - electrolysis'!B8174,parameters!$A$4:$A$20,0),MATCH('hydrogen - electrolysis'!A8189,parameters!$D$3:$N$3,0))</f>
        <v>0</v>
      </c>
    </row>
    <row r="8190" spans="1:2" x14ac:dyDescent="0.2">
      <c r="A8190" t="s">
        <v>44</v>
      </c>
      <c r="B8190" s="46">
        <f>INDEX(parameters!$D$4:$N$20,MATCH('hydrogen - electrolysis'!B8172&amp;'hydrogen - electrolysis'!B8174,parameters!$A$4:$A$20,0),MATCH('hydrogen - electrolysis'!A8190,parameters!$D$3:$N$3,0))</f>
        <v>0</v>
      </c>
    </row>
    <row r="8191" spans="1:2" x14ac:dyDescent="0.2">
      <c r="A8191" t="s">
        <v>634</v>
      </c>
      <c r="B8191" s="51">
        <f>INDEX(parameters!$D$4:$Y$20,MATCH('hydrogen - electrolysis'!B8172&amp;'hydrogen - electrolysis'!B8174,parameters!$A$4:$A$20,0),MATCH('hydrogen - electrolysis'!A8191,parameters!$D$3:$Y$3,0))</f>
        <v>1.8947368421052633</v>
      </c>
    </row>
    <row r="8192" spans="1:2" x14ac:dyDescent="0.2">
      <c r="A8192" t="s">
        <v>82</v>
      </c>
      <c r="B8192" s="46">
        <f>IF(B8183&lt;&gt;0,VLOOKUP(B8183,parameters!A5232:B5234,2,0),0)</f>
        <v>0</v>
      </c>
    </row>
    <row r="8193" spans="1:22" x14ac:dyDescent="0.2">
      <c r="A8193" t="s">
        <v>548</v>
      </c>
      <c r="B8193" s="50">
        <f>INDEX(parameters!$D$4:$P$20,MATCH(B8172&amp;B8174,parameters!$A$4:$A$20,0),MATCH(A8193,parameters!$D$3:$P$3,0))</f>
        <v>0.8</v>
      </c>
    </row>
    <row r="8194" spans="1:22" x14ac:dyDescent="0.2">
      <c r="A8194" t="s">
        <v>547</v>
      </c>
      <c r="B8194" s="51">
        <f>INDEX(parameters!$D$4:$P$20,MATCH(B8172&amp;B8174,parameters!$A$4:$A$20,0),MATCH(A8194,parameters!$D$3:$P$3,0))</f>
        <v>4.8780487804878048</v>
      </c>
    </row>
    <row r="8195" spans="1:22" x14ac:dyDescent="0.2">
      <c r="A8195" t="s">
        <v>630</v>
      </c>
      <c r="B8195" s="51">
        <f>INDEX(parameters!$D$4:$T$20,MATCH(B8172&amp;B8174,parameters!$A$4:$A$20,0),MATCH(A8195,parameters!$D$3:$T$3,0))</f>
        <v>4100</v>
      </c>
    </row>
    <row r="8196" spans="1:22" x14ac:dyDescent="0.2">
      <c r="A8196" t="s">
        <v>1005</v>
      </c>
      <c r="B8196" s="50">
        <f>IF(B8168="megajoule",SUMIFS(allocation!$I$4:$I$30,allocation!$B$4:$B$30,B8174,allocation!$C$4:$C$30,B8175),SUMIFS(allocation!$J$4:$J$30,allocation!$B$4:$B$30,B8174,allocation!$C$4:$C$30,B8175))</f>
        <v>0.86066019201025545</v>
      </c>
    </row>
    <row r="8197" spans="1:22" x14ac:dyDescent="0.2">
      <c r="A8197" t="s">
        <v>1050</v>
      </c>
      <c r="B8197" s="51">
        <f>INDEX(parameters!$D$4:$AB$20,MATCH(B8172&amp;B8174,parameters!$A$4:$A$20,0),MATCH(A8197,parameters!$D$3:$AB$3,0))</f>
        <v>10.221606648199446</v>
      </c>
    </row>
    <row r="8199" spans="1:22" x14ac:dyDescent="0.2">
      <c r="A8199" s="3" t="s">
        <v>57</v>
      </c>
    </row>
    <row r="8200" spans="1:22" x14ac:dyDescent="0.2">
      <c r="A8200" s="2" t="s">
        <v>58</v>
      </c>
      <c r="B8200" s="44" t="s">
        <v>59</v>
      </c>
      <c r="C8200" s="2" t="s">
        <v>55</v>
      </c>
      <c r="D8200" s="2" t="s">
        <v>60</v>
      </c>
      <c r="E8200" s="2" t="s">
        <v>52</v>
      </c>
      <c r="F8200" s="2" t="s">
        <v>61</v>
      </c>
      <c r="G8200" s="2" t="s">
        <v>54</v>
      </c>
      <c r="H8200" s="2" t="s">
        <v>87</v>
      </c>
      <c r="I8200" s="2" t="s">
        <v>51</v>
      </c>
      <c r="J8200" s="2" t="s">
        <v>138</v>
      </c>
      <c r="K8200" s="2" t="s">
        <v>136</v>
      </c>
      <c r="L8200" s="2" t="s">
        <v>221</v>
      </c>
      <c r="M8200" s="2" t="s">
        <v>379</v>
      </c>
      <c r="N8200" s="2" t="s">
        <v>1059</v>
      </c>
      <c r="O8200" s="2" t="s">
        <v>1060</v>
      </c>
      <c r="P8200" s="2" t="s">
        <v>1061</v>
      </c>
      <c r="Q8200" s="2" t="s">
        <v>1062</v>
      </c>
      <c r="R8200" s="2" t="s">
        <v>1063</v>
      </c>
      <c r="S8200" s="2" t="s">
        <v>1064</v>
      </c>
      <c r="T8200" s="2" t="s">
        <v>1065</v>
      </c>
      <c r="U8200" s="2" t="s">
        <v>380</v>
      </c>
      <c r="V8200" s="2" t="s">
        <v>1128</v>
      </c>
    </row>
    <row r="8201" spans="1:22" x14ac:dyDescent="0.2">
      <c r="A8201" t="str">
        <f>B8162</f>
        <v>electricity, residential, by conversion of hydrogen using fuel cell, PEM, allocated by exergy, transported by pipeline, produced by Electrolysis, Alkaline using water and electricity from Wind (DK)</v>
      </c>
      <c r="B8201" s="45">
        <v>1</v>
      </c>
      <c r="C8201" t="str">
        <f>B8168</f>
        <v>kilowatt hour</v>
      </c>
      <c r="E8201" t="str">
        <f>B8165</f>
        <v>CH</v>
      </c>
      <c r="F8201" t="s">
        <v>62</v>
      </c>
      <c r="G8201" t="str">
        <f>B8167</f>
        <v>electricity, from residential heating system</v>
      </c>
      <c r="K8201" t="str">
        <f>B8162</f>
        <v>electricity, residential, by conversion of hydrogen using fuel cell, PEM, allocated by exergy, transported by pipeline, produced by Electrolysis, Alkaline using water and electricity from Wind (DK)</v>
      </c>
    </row>
    <row r="8202" spans="1:22" x14ac:dyDescent="0.2">
      <c r="A8202" t="str">
        <f>VLOOKUP(J8202,'dataset mapping'!$A$4:$E$69,2,0)</f>
        <v>fuel cell system assembly, 1 kWe, proton exchange membrane (PEM)</v>
      </c>
      <c r="B8202" s="52">
        <f>(1/(B8191*B8195*B8194))*B8196</f>
        <v>2.2711866178048405E-5</v>
      </c>
      <c r="C8202" t="str">
        <f>VLOOKUP(J8202,'dataset mapping'!$A$4:$E$69,5,0)</f>
        <v>unit</v>
      </c>
      <c r="E8202" t="str">
        <f>VLOOKUP(J8202,'dataset mapping'!$A$4:$E$69,4,0)</f>
        <v>GLO</v>
      </c>
      <c r="F8202" t="s">
        <v>86</v>
      </c>
      <c r="G8202" t="str">
        <f>VLOOKUP(J8202,'dataset mapping'!$A$4:$E$69,3,0)</f>
        <v>fuel cell system, 1 kWe, proton exchange membrane (PEM)</v>
      </c>
      <c r="H8202" t="s">
        <v>88</v>
      </c>
      <c r="I8202" t="s">
        <v>272</v>
      </c>
      <c r="J8202" t="s">
        <v>273</v>
      </c>
      <c r="K8202" t="str">
        <f>B8162</f>
        <v>electricity, residential, by conversion of hydrogen using fuel cell, PEM, allocated by exergy, transported by pipeline, produced by Electrolysis, Alkaline using water and electricity from Wind (DK)</v>
      </c>
      <c r="L8202">
        <f>IF(OR(B8202&lt;0,B8202=0),1,2)</f>
        <v>2</v>
      </c>
      <c r="M8202">
        <f>IF(L8202=2,LN(B8202),"")</f>
        <v>-10.692623030936341</v>
      </c>
      <c r="N8202">
        <v>1</v>
      </c>
      <c r="O8202" s="15">
        <v>1.2</v>
      </c>
      <c r="P8202">
        <v>1</v>
      </c>
      <c r="Q8202">
        <v>1.01</v>
      </c>
      <c r="R8202">
        <v>1.2</v>
      </c>
      <c r="S8202">
        <v>1.2</v>
      </c>
      <c r="T8202">
        <v>3</v>
      </c>
      <c r="U8202">
        <f>LN(SQRT(EXP(
SQRT(
+POWER(LN(N8202),2)
+POWER(LN(O8202),2)
+POWER(LN(P8202),2)
+POWER(LN(Q8202),2)
+POWER(LN(R8202),2)
+POWER(LN(S8202),2)
+POWER(LN(T8202),2)
)
)))</f>
        <v>0.57157051623399524</v>
      </c>
    </row>
    <row r="8203" spans="1:22" x14ac:dyDescent="0.2">
      <c r="A8203" s="45" t="str">
        <f>"hydrogen supply, transported by "&amp;B8176&amp;", produced by "&amp;B8180&amp;" using "&amp;B8181&amp;" from "&amp;B8182</f>
        <v>hydrogen supply, transported by pipeline, produced by Electrolysis, Alkaline using water and electricity from Wind (DK)</v>
      </c>
      <c r="B8203" s="53">
        <f>(B8201/B8185)/B8184*B8196</f>
        <v>5.7377346134017029E-2</v>
      </c>
      <c r="C8203" t="s">
        <v>56</v>
      </c>
      <c r="E8203" t="s">
        <v>64</v>
      </c>
      <c r="F8203" t="s">
        <v>86</v>
      </c>
      <c r="G8203" t="str">
        <f>"hydrogen, gaseous, from "&amp;B8176</f>
        <v>hydrogen, gaseous, from pipeline</v>
      </c>
      <c r="H8203" t="s">
        <v>76</v>
      </c>
      <c r="I8203" t="s">
        <v>1054</v>
      </c>
      <c r="J8203" t="s">
        <v>302</v>
      </c>
      <c r="K8203" t="str">
        <f>B8162</f>
        <v>electricity, residential, by conversion of hydrogen using fuel cell, PEM, allocated by exergy, transported by pipeline, produced by Electrolysis, Alkaline using water and electricity from Wind (DK)</v>
      </c>
      <c r="L8203">
        <f>IF(OR(B8203&lt;0,B8203=0),1,2)</f>
        <v>2</v>
      </c>
      <c r="M8203">
        <f>IF(L8203=2,LN(B8203),"")</f>
        <v>-2.8581057202127536</v>
      </c>
      <c r="N8203">
        <v>1</v>
      </c>
      <c r="O8203" s="15">
        <v>1.2</v>
      </c>
      <c r="P8203">
        <v>1</v>
      </c>
      <c r="Q8203">
        <v>1.01</v>
      </c>
      <c r="R8203">
        <v>1.2</v>
      </c>
      <c r="S8203">
        <v>1.2</v>
      </c>
      <c r="T8203">
        <v>1.05</v>
      </c>
      <c r="U8203">
        <f>LN(SQRT(EXP(
SQRT(
+POWER(LN(N8203),2)
+POWER(LN(O8203),2)
+POWER(LN(P8203),2)
+POWER(LN(Q8203),2)
+POWER(LN(R8203),2)
+POWER(LN(S8203),2)
+POWER(LN(T8203),2)
)
)))</f>
        <v>0.15984597228197622</v>
      </c>
    </row>
    <row r="8204" spans="1:22" x14ac:dyDescent="0.2">
      <c r="A8204" t="s">
        <v>134</v>
      </c>
      <c r="B8204" s="53">
        <f>B8203*9</f>
        <v>0.51639611520615325</v>
      </c>
      <c r="C8204" t="s">
        <v>56</v>
      </c>
      <c r="D8204" t="s">
        <v>100</v>
      </c>
      <c r="F8204" t="s">
        <v>99</v>
      </c>
      <c r="H8204" t="s">
        <v>131</v>
      </c>
      <c r="I8204" t="s">
        <v>1057</v>
      </c>
      <c r="K8204" t="str">
        <f>B8162</f>
        <v>electricity, residential, by conversion of hydrogen using fuel cell, PEM, allocated by exergy, transported by pipeline, produced by Electrolysis, Alkaline using water and electricity from Wind (DK)</v>
      </c>
      <c r="L8204">
        <f>IF(OR(B8204&lt;0,B8204=0),1,2)</f>
        <v>2</v>
      </c>
      <c r="M8204">
        <f>IF(L8204=2,LN(B8204),"")</f>
        <v>-0.6608811428765341</v>
      </c>
      <c r="N8204">
        <v>1</v>
      </c>
      <c r="O8204" s="15">
        <v>1.2</v>
      </c>
      <c r="P8204">
        <v>1</v>
      </c>
      <c r="Q8204">
        <v>1.01</v>
      </c>
      <c r="R8204">
        <v>1.2</v>
      </c>
      <c r="S8204">
        <v>1.2</v>
      </c>
      <c r="T8204">
        <v>1.05</v>
      </c>
      <c r="U8204">
        <f>LN(SQRT(EXP(
SQRT(
+POWER(LN(N8204),2)
+POWER(LN(O8204),2)
+POWER(LN(P8204),2)
+POWER(LN(Q8204),2)
+POWER(LN(R8204),2)
+POWER(LN(S8204),2)
+POWER(LN(T8204),2)
)
)))</f>
        <v>0.15984597228197622</v>
      </c>
    </row>
    <row r="8206" spans="1:22" x14ac:dyDescent="0.2">
      <c r="A8206" s="2" t="s">
        <v>50</v>
      </c>
      <c r="B8206" s="44" t="str">
        <f>IF(B8212="megajoule","heat","electricity")&amp;", residential, by "&amp;B8217&amp;" of "&amp;B8216&amp;" using "&amp;B8218&amp;IF(B8219&lt;&gt;0,", allocated by "&amp;B8219,"")&amp;", transported by "&amp;B8220&amp;", produced by "&amp;B8224&amp;" using "&amp;B8225&amp;" from "&amp;B8226</f>
        <v>electricity, residential, by conversion of hydrogen using fuel cell, SOFC, allocated by exergy, transported by pipeline, produced by Electrolysis, Alkaline using water and electricity from Wind (DK)</v>
      </c>
    </row>
    <row r="8207" spans="1:22" x14ac:dyDescent="0.2">
      <c r="A8207" t="s">
        <v>51</v>
      </c>
      <c r="B8207" s="45" t="str">
        <f>"This dataset represents the supply of 1 "&amp;IF(B8212="megajoule","megajoule of heat","kilowatt hour of electricity")&amp;" in a residence, by "&amp;B8216&amp;" "&amp;B8217&amp;" in a "&amp;B8218&amp;". "&amp;" The hydrogen is transported by "&amp;B8220&amp;" over "&amp;B8221&amp;" km from regional storage. "&amp;" The "&amp;B8216&amp;" is produced by  "&amp;B8224&amp;", with "&amp;B8225&amp;" from "&amp;B8226&amp;" as feedstock. "&amp;A8228&amp;": "&amp;(B8228*100)&amp;"%. "&amp;A8229&amp;": "&amp;B8229&amp;". "&amp;A8230&amp;": "&amp;B8230&amp;". "&amp;A8231&amp;": "&amp;(B8231*100)&amp;"%. "&amp;A8232&amp;": "&amp;(B8232*100)&amp;"%. "&amp;A8233&amp;": "&amp;(B8233*100)&amp;"%. "&amp;A8234&amp;": "&amp;B8234&amp;". "&amp;A8235&amp;": "&amp;B8235&amp;". "&amp;A8236&amp;": "&amp;(B8236*100)&amp;"%. "&amp;A8237&amp;": "&amp;B8237&amp;". "&amp;A8238&amp;": "&amp;B8238&amp;". "&amp;A8239&amp;": "&amp;B8239&amp;". "&amp;A8240&amp;": "&amp;B8240&amp;".  For more information, refer to: "&amp;B8208</f>
        <v>This dataset represents the supply of 1 kilowatt hour of electricity in a residence, by hydrogen conversion in a fuel cell, SOFC.  The hydrogen is transported by pipeline over 1300 km from regional storage.  The hydrogen is produced by  Electrolysis, Alkaline,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8208" spans="1:22" x14ac:dyDescent="0.2">
      <c r="A8208" t="s">
        <v>63</v>
      </c>
      <c r="B8208" s="45" t="s">
        <v>1223</v>
      </c>
    </row>
    <row r="8209" spans="1:2" x14ac:dyDescent="0.2">
      <c r="A8209" t="s">
        <v>52</v>
      </c>
      <c r="B8209" s="45" t="s">
        <v>64</v>
      </c>
    </row>
    <row r="8210" spans="1:2" x14ac:dyDescent="0.2">
      <c r="A8210" t="s">
        <v>48</v>
      </c>
      <c r="B8210" s="45" t="s">
        <v>939</v>
      </c>
    </row>
    <row r="8211" spans="1:2" x14ac:dyDescent="0.2">
      <c r="A8211" t="s">
        <v>54</v>
      </c>
      <c r="B8211" s="45" t="str">
        <f>INDEX(overview!$B$4:$R$338,MATCH('hydrogen - electrolysis'!B8210,overview!$A$4:$A$338,0),MATCH('hydrogen - electrolysis'!A8211,overview!$B$3:$R$3,0))</f>
        <v>electricity, from residential heating system</v>
      </c>
    </row>
    <row r="8212" spans="1:2" x14ac:dyDescent="0.2">
      <c r="A8212" t="s">
        <v>55</v>
      </c>
      <c r="B8212" s="45" t="str">
        <f>INDEX(overview!$B$4:$R$338,MATCH('hydrogen - electrolysis'!B8210,overview!$A$4:$A$338,0),MATCH('hydrogen - electrolysis'!A8212,overview!$B$3:$R$3,0))</f>
        <v>kilowatt hour</v>
      </c>
    </row>
    <row r="8213" spans="1:2" x14ac:dyDescent="0.2">
      <c r="A8213" t="s">
        <v>0</v>
      </c>
      <c r="B8213" s="45" t="str">
        <f>INDEX(overview!$B$4:$R$338,MATCH('hydrogen - electrolysis'!B8210,overview!$A$4:$A$338,0),MATCH('hydrogen - electrolysis'!A8213,overview!$B$3:$R$3,0))</f>
        <v>Switzerland</v>
      </c>
    </row>
    <row r="8214" spans="1:2" x14ac:dyDescent="0.2">
      <c r="A8214" t="s">
        <v>1</v>
      </c>
      <c r="B8214" s="45">
        <f>INDEX(overview!$B$4:$R$338,MATCH('hydrogen - electrolysis'!B8210,overview!$A$4:$A$338,0),MATCH('hydrogen - electrolysis'!A8214,overview!$B$3:$R$3,0))</f>
        <v>2020</v>
      </c>
    </row>
    <row r="8215" spans="1:2" x14ac:dyDescent="0.2">
      <c r="A8215" t="s">
        <v>2</v>
      </c>
      <c r="B8215" s="45" t="str">
        <f>INDEX(overview!$B$4:$R$338,MATCH('hydrogen - electrolysis'!B8210,overview!$A$4:$A$338,0),MATCH('hydrogen - electrolysis'!A8215,overview!$B$3:$R$3,0))</f>
        <v>1 kWh electricity</v>
      </c>
    </row>
    <row r="8216" spans="1:2" x14ac:dyDescent="0.2">
      <c r="A8216" t="s">
        <v>5</v>
      </c>
      <c r="B8216" s="45" t="str">
        <f>INDEX(overview!$B$4:$R$338,MATCH('hydrogen - electrolysis'!B8210,overview!$A$4:$A$338,0),MATCH('hydrogen - electrolysis'!A8216,overview!$B$3:$R$3,0))</f>
        <v>hydrogen</v>
      </c>
    </row>
    <row r="8217" spans="1:2" x14ac:dyDescent="0.2">
      <c r="A8217" t="s">
        <v>3</v>
      </c>
      <c r="B8217" s="45" t="str">
        <f>INDEX(overview!$B$4:$R$338,MATCH('hydrogen - electrolysis'!B8210,overview!$A$4:$A$338,0),MATCH('hydrogen - electrolysis'!A8217,overview!$B$3:$R$3,0))</f>
        <v>conversion</v>
      </c>
    </row>
    <row r="8218" spans="1:2" x14ac:dyDescent="0.2">
      <c r="A8218" t="s">
        <v>6</v>
      </c>
      <c r="B8218" s="45" t="str">
        <f>INDEX(overview!$B$4:$R$338,MATCH('hydrogen - electrolysis'!B8210,overview!$A$4:$A$338,0),MATCH('hydrogen - electrolysis'!A8218,overview!$B$3:$R$3,0))</f>
        <v>fuel cell, SOFC</v>
      </c>
    </row>
    <row r="8219" spans="1:2" x14ac:dyDescent="0.2">
      <c r="A8219" t="s">
        <v>39</v>
      </c>
      <c r="B8219" s="45" t="str">
        <f>INDEX(overview!$B$4:$R$338,MATCH('hydrogen - electrolysis'!B8210,overview!$A$4:$A$338,0),MATCH('hydrogen - electrolysis'!A8219,overview!$B$3:$R$3,0))</f>
        <v>exergy</v>
      </c>
    </row>
    <row r="8220" spans="1:2" x14ac:dyDescent="0.2">
      <c r="A8220" t="s">
        <v>4</v>
      </c>
      <c r="B8220" s="45" t="str">
        <f>INDEX(overview!$B$4:$R$338,MATCH('hydrogen - electrolysis'!B8210,overview!$A$4:$A$338,0),MATCH('hydrogen - electrolysis'!A8220,overview!$B$3:$R$3,0))</f>
        <v>pipeline</v>
      </c>
    </row>
    <row r="8221" spans="1:2" x14ac:dyDescent="0.2">
      <c r="A8221" t="s">
        <v>38</v>
      </c>
      <c r="B8221" s="45">
        <f>INDEX(overview!$B$4:$R$338,MATCH('hydrogen - electrolysis'!B8210,overview!$A$4:$A$338,0),MATCH('hydrogen - electrolysis'!A8221,overview!$B$3:$R$3,0))</f>
        <v>1300</v>
      </c>
    </row>
    <row r="8222" spans="1:2" x14ac:dyDescent="0.2">
      <c r="A8222" t="s">
        <v>12</v>
      </c>
      <c r="B8222" s="45" t="str">
        <f>INDEX(overview!$B$4:$R$338,MATCH('hydrogen - electrolysis'!B8210,overview!$A$4:$A$338,0),MATCH('hydrogen - electrolysis'!A8222,overview!$B$3:$R$3,0))</f>
        <v>Pressure vessel for stationary storage</v>
      </c>
    </row>
    <row r="8223" spans="1:2" x14ac:dyDescent="0.2">
      <c r="A8223" t="s">
        <v>34</v>
      </c>
      <c r="B8223" s="45">
        <f>INDEX(overview!$B$4:$R$338,MATCH('hydrogen - electrolysis'!B8210,overview!$A$4:$A$338,0),MATCH('hydrogen - electrolysis'!A8223,overview!$B$3:$R$3,0))</f>
        <v>0</v>
      </c>
    </row>
    <row r="8224" spans="1:2" x14ac:dyDescent="0.2">
      <c r="A8224" t="s">
        <v>15</v>
      </c>
      <c r="B8224" s="45" t="str">
        <f>INDEX(overview!$B$4:$R$338,MATCH('hydrogen - electrolysis'!B8210,overview!$A$4:$A$338,0),MATCH('hydrogen - electrolysis'!A8224,overview!$B$3:$R$3,0))</f>
        <v>Electrolysis, Alkaline</v>
      </c>
    </row>
    <row r="8225" spans="1:4" x14ac:dyDescent="0.2">
      <c r="A8225" t="s">
        <v>14</v>
      </c>
      <c r="B8225" s="45" t="str">
        <f>INDEX(overview!$B$4:$R$338,MATCH('hydrogen - electrolysis'!B8210,overview!$A$4:$A$338,0),MATCH('hydrogen - electrolysis'!A8225,overview!$B$3:$R$3,0))</f>
        <v>water and electricity</v>
      </c>
    </row>
    <row r="8226" spans="1:4" x14ac:dyDescent="0.2">
      <c r="A8226" t="s">
        <v>26</v>
      </c>
      <c r="B8226" s="45" t="str">
        <f>INDEX(overview!$B$4:$R$338,MATCH('hydrogen - electrolysis'!B8210,overview!$A$4:$A$338,0),MATCH('hydrogen - electrolysis'!A8226,overview!$B$3:$R$3,0))</f>
        <v>Wind (DK)</v>
      </c>
    </row>
    <row r="8227" spans="1:4" x14ac:dyDescent="0.2">
      <c r="A8227" t="s">
        <v>29</v>
      </c>
      <c r="B8227" s="45">
        <f>INDEX(overview!$B$4:$R$338,MATCH('hydrogen - electrolysis'!B8210,overview!$A$4:$A$338,0),MATCH('hydrogen - electrolysis'!A8227,overview!$B$3:$R$3,0))</f>
        <v>0</v>
      </c>
    </row>
    <row r="8228" spans="1:4" x14ac:dyDescent="0.2">
      <c r="A8228" t="str">
        <f>IF(B8212="megajoule","Heat","Electricity")&amp;" conversion efficiency [% LHV input]"</f>
        <v>Electricity conversion efficiency [% LHV input]</v>
      </c>
      <c r="B8228" s="46">
        <f>INDEX(parameters!$D$4:$N$20,MATCH('hydrogen - electrolysis'!B8216&amp;'hydrogen - electrolysis'!B8218,parameters!$A$4:$A$20,0),MATCH('hydrogen - electrolysis'!A8228,parameters!$D$3:$N$3,0))</f>
        <v>0.47</v>
      </c>
    </row>
    <row r="8229" spans="1:4" x14ac:dyDescent="0.2">
      <c r="A8229" t="str">
        <f>IF(B8212="megajoule","LHV [MJ/kg]","LHV [kWh/kg]")</f>
        <v>LHV [kWh/kg]</v>
      </c>
      <c r="B8229" s="47">
        <f>INDEX(parameters!$D$4:$N$20,MATCH('hydrogen - electrolysis'!B8216&amp;'hydrogen - electrolysis'!B8218,parameters!$A$4:$A$20,0),MATCH('hydrogen - electrolysis'!A8229,parameters!$D$3:$N$3,0))</f>
        <v>33.333333333333336</v>
      </c>
    </row>
    <row r="8230" spans="1:4" x14ac:dyDescent="0.2">
      <c r="A8230" t="s">
        <v>41</v>
      </c>
      <c r="B8230" s="48">
        <f>INDEX(parameters!$D$4:$N$20,MATCH('hydrogen - electrolysis'!B8216&amp;'hydrogen - electrolysis'!B8218,parameters!$A$4:$A$20,0),MATCH('hydrogen - electrolysis'!A8230,parameters!$D$3:$N$3,0))</f>
        <v>2.6666666666666665E-2</v>
      </c>
    </row>
    <row r="8231" spans="1:4" x14ac:dyDescent="0.2">
      <c r="A8231" t="s">
        <v>45</v>
      </c>
      <c r="B8231" s="46">
        <f>INDEX(parameters!$D$4:$N$20,MATCH('hydrogen - electrolysis'!B8216&amp;'hydrogen - electrolysis'!B8218,parameters!$A$4:$A$20,0),MATCH('hydrogen - electrolysis'!A8231,parameters!$D$3:$N$3,0))</f>
        <v>0</v>
      </c>
    </row>
    <row r="8232" spans="1:4" x14ac:dyDescent="0.2">
      <c r="A8232" t="s">
        <v>46</v>
      </c>
      <c r="B8232" s="46">
        <f>INDEX(parameters!$D$4:$N$20,MATCH('hydrogen - electrolysis'!B8216&amp;'hydrogen - electrolysis'!B8218,parameters!$A$4:$A$20,0),MATCH('hydrogen - electrolysis'!A8232,parameters!$D$3:$N$3,0))</f>
        <v>1.4999999999999999E-2</v>
      </c>
    </row>
    <row r="8233" spans="1:4" x14ac:dyDescent="0.2">
      <c r="A8233" t="s">
        <v>43</v>
      </c>
      <c r="B8233" s="46">
        <f>INDEX(parameters!$D$4:$N$20,MATCH('hydrogen - electrolysis'!B8216&amp;'hydrogen - electrolysis'!B8218,parameters!$A$4:$A$20,0),MATCH('hydrogen - electrolysis'!A8233,parameters!$D$3:$N$3,0))</f>
        <v>0</v>
      </c>
    </row>
    <row r="8234" spans="1:4" x14ac:dyDescent="0.2">
      <c r="A8234" t="s">
        <v>44</v>
      </c>
      <c r="B8234" s="46">
        <f>INDEX(parameters!$D$4:$N$20,MATCH('hydrogen - electrolysis'!B8216&amp;'hydrogen - electrolysis'!B8218,parameters!$A$4:$A$20,0),MATCH('hydrogen - electrolysis'!A8234,parameters!$D$3:$N$3,0))</f>
        <v>0</v>
      </c>
    </row>
    <row r="8235" spans="1:4" x14ac:dyDescent="0.2">
      <c r="A8235" t="s">
        <v>634</v>
      </c>
      <c r="B8235" s="51">
        <f>INDEX(parameters!$D$4:$Y$20,MATCH('hydrogen - electrolysis'!B8216&amp;'hydrogen - electrolysis'!B8218,parameters!$A$4:$A$20,0),MATCH('hydrogen - electrolysis'!A8235,parameters!$D$3:$Y$3,0))</f>
        <v>225</v>
      </c>
      <c r="D8235" s="8"/>
    </row>
    <row r="8236" spans="1:4" x14ac:dyDescent="0.2">
      <c r="A8236" t="s">
        <v>82</v>
      </c>
      <c r="B8236" s="46">
        <f>IF(B8227&lt;&gt;0,VLOOKUP(B8227,parameters!A5281:B5283,2,0),0)</f>
        <v>0</v>
      </c>
    </row>
    <row r="8237" spans="1:4" x14ac:dyDescent="0.2">
      <c r="A8237" t="s">
        <v>548</v>
      </c>
      <c r="B8237" s="50">
        <f>INDEX(parameters!$D$4:$P$20,MATCH(B8216&amp;B8218,parameters!$A$4:$A$20,0),MATCH(A8237,parameters!$D$3:$P$3,0))</f>
        <v>100</v>
      </c>
    </row>
    <row r="8238" spans="1:4" x14ac:dyDescent="0.2">
      <c r="A8238" t="s">
        <v>547</v>
      </c>
      <c r="B8238" s="51">
        <f>INDEX(parameters!$D$4:$P$20,MATCH(B8216&amp;B8218,parameters!$A$4:$A$20,0),MATCH(A8238,parameters!$D$3:$P$3,0))</f>
        <v>6</v>
      </c>
    </row>
    <row r="8239" spans="1:4" x14ac:dyDescent="0.2">
      <c r="A8239" t="s">
        <v>630</v>
      </c>
      <c r="B8239" s="51">
        <f>INDEX(parameters!$D$4:$T$20,MATCH(B8216&amp;B8218,parameters!$A$4:$A$20,0),MATCH(A8239,parameters!$D$3:$T$3,0))</f>
        <v>4100</v>
      </c>
    </row>
    <row r="8240" spans="1:4" x14ac:dyDescent="0.2">
      <c r="A8240" t="s">
        <v>1005</v>
      </c>
      <c r="B8240" s="50">
        <f>IF(B8212="megajoule",SUMIFS(allocation!$I$4:$I$30,allocation!$B$4:$B$30,B8218,allocation!$C$4:$C$30,B8219),SUMIFS(allocation!$J$4:$J$30,allocation!$B$4:$B$30,B8218,allocation!$C$4:$C$30,B8219))</f>
        <v>0.86412493489600906</v>
      </c>
    </row>
    <row r="8241" spans="1:22" x14ac:dyDescent="0.2">
      <c r="A8241" t="s">
        <v>1050</v>
      </c>
      <c r="B8241" s="51">
        <f>INDEX(parameters!$D$4:$AB$20,MATCH(B8216&amp;B8218,parameters!$A$4:$A$20,0),MATCH(A8241,parameters!$D$3:$AB$3,0))</f>
        <v>1153.1249999999998</v>
      </c>
    </row>
    <row r="8243" spans="1:22" x14ac:dyDescent="0.2">
      <c r="A8243" s="3" t="s">
        <v>57</v>
      </c>
    </row>
    <row r="8244" spans="1:22" x14ac:dyDescent="0.2">
      <c r="A8244" s="2" t="s">
        <v>58</v>
      </c>
      <c r="B8244" s="44" t="s">
        <v>59</v>
      </c>
      <c r="C8244" s="2" t="s">
        <v>55</v>
      </c>
      <c r="D8244" s="2" t="s">
        <v>60</v>
      </c>
      <c r="E8244" s="2" t="s">
        <v>52</v>
      </c>
      <c r="F8244" s="2" t="s">
        <v>61</v>
      </c>
      <c r="G8244" s="2" t="s">
        <v>54</v>
      </c>
      <c r="H8244" s="2" t="s">
        <v>87</v>
      </c>
      <c r="I8244" s="2" t="s">
        <v>51</v>
      </c>
      <c r="J8244" s="2" t="s">
        <v>138</v>
      </c>
      <c r="K8244" s="2" t="s">
        <v>136</v>
      </c>
      <c r="L8244" s="2" t="s">
        <v>221</v>
      </c>
      <c r="M8244" s="2" t="s">
        <v>379</v>
      </c>
      <c r="N8244" s="2" t="s">
        <v>1059</v>
      </c>
      <c r="O8244" s="2" t="s">
        <v>1060</v>
      </c>
      <c r="P8244" s="2" t="s">
        <v>1061</v>
      </c>
      <c r="Q8244" s="2" t="s">
        <v>1062</v>
      </c>
      <c r="R8244" s="2" t="s">
        <v>1063</v>
      </c>
      <c r="S8244" s="2" t="s">
        <v>1064</v>
      </c>
      <c r="T8244" s="2" t="s">
        <v>1065</v>
      </c>
      <c r="U8244" s="2" t="s">
        <v>380</v>
      </c>
      <c r="V8244" s="2" t="s">
        <v>1128</v>
      </c>
    </row>
    <row r="8245" spans="1:22" x14ac:dyDescent="0.2">
      <c r="A8245" t="str">
        <f>B8206</f>
        <v>electricity, residential, by conversion of hydrogen using fuel cell, SOFC, allocated by exergy, transported by pipeline, produced by Electrolysis, Alkaline using water and electricity from Wind (DK)</v>
      </c>
      <c r="B8245" s="45">
        <v>1</v>
      </c>
      <c r="C8245" t="str">
        <f>B8212</f>
        <v>kilowatt hour</v>
      </c>
      <c r="E8245" t="str">
        <f>B8209</f>
        <v>CH</v>
      </c>
      <c r="F8245" t="s">
        <v>62</v>
      </c>
      <c r="G8245" t="str">
        <f>B8211</f>
        <v>electricity, from residential heating system</v>
      </c>
      <c r="K8245" t="str">
        <f>B8206</f>
        <v>electricity, residential, by conversion of hydrogen using fuel cell, SOFC, allocated by exergy, transported by pipeline, produced by Electrolysis, Alkaline using water and electricity from Wind (DK)</v>
      </c>
    </row>
    <row r="8246" spans="1:22" x14ac:dyDescent="0.2">
      <c r="A8246" t="str">
        <f>VLOOKUP(J8246,'dataset mapping'!$A$4:$E$69,2,0)</f>
        <v>fuel cell production, stack solid oxide, 125kW electrical, future</v>
      </c>
      <c r="B8246" s="52">
        <f>(1/(B8235*B8239*B8238))*B8240</f>
        <v>1.5612013277254003E-7</v>
      </c>
      <c r="C8246" t="str">
        <f>VLOOKUP(J8246,'dataset mapping'!$A$4:$E$69,5,0)</f>
        <v>unit</v>
      </c>
      <c r="E8246" t="str">
        <f>VLOOKUP(J8246,'dataset mapping'!$A$4:$E$69,4,0)</f>
        <v>CH</v>
      </c>
      <c r="F8246" t="s">
        <v>86</v>
      </c>
      <c r="G8246" t="str">
        <f>VLOOKUP(J8246,'dataset mapping'!$A$4:$E$69,3,0)</f>
        <v>fuel cell, stack solid oxide, 125kW electrical, future</v>
      </c>
      <c r="H8246" t="s">
        <v>88</v>
      </c>
      <c r="I8246" t="s">
        <v>277</v>
      </c>
      <c r="J8246" t="s">
        <v>274</v>
      </c>
      <c r="K8246" t="str">
        <f>B8206</f>
        <v>electricity, residential, by conversion of hydrogen using fuel cell, SOFC, allocated by exergy, transported by pipeline, produced by Electrolysis, Alkaline using water and electricity from Wind (DK)</v>
      </c>
      <c r="L8246">
        <f>IF(OR(B8246&lt;0,B8246=0),1,2)</f>
        <v>2</v>
      </c>
      <c r="M8246">
        <f>IF(L8246=2,LN(B8246),"")</f>
        <v>-15.672640044182527</v>
      </c>
      <c r="N8246">
        <v>1</v>
      </c>
      <c r="O8246" s="15">
        <v>1.2</v>
      </c>
      <c r="P8246">
        <v>1</v>
      </c>
      <c r="Q8246">
        <v>1.01</v>
      </c>
      <c r="R8246">
        <v>1.2</v>
      </c>
      <c r="S8246">
        <v>1.2</v>
      </c>
      <c r="T8246">
        <v>3</v>
      </c>
      <c r="U8246">
        <f>LN(SQRT(EXP(
SQRT(
+POWER(LN(N8246),2)
+POWER(LN(O8246),2)
+POWER(LN(P8246),2)
+POWER(LN(Q8246),2)
+POWER(LN(R8246),2)
+POWER(LN(S8246),2)
+POWER(LN(T8246),2)
)
)))</f>
        <v>0.57157051623399524</v>
      </c>
    </row>
    <row r="8247" spans="1:22" x14ac:dyDescent="0.2">
      <c r="A8247" t="s">
        <v>283</v>
      </c>
      <c r="B8247" s="52">
        <f>(1/(B8235*B8239*B8238))*B8240</f>
        <v>1.5612013277254003E-7</v>
      </c>
      <c r="C8247" t="s">
        <v>55</v>
      </c>
      <c r="E8247" t="s">
        <v>64</v>
      </c>
      <c r="F8247" t="s">
        <v>86</v>
      </c>
      <c r="G8247" t="s">
        <v>284</v>
      </c>
      <c r="H8247" t="s">
        <v>88</v>
      </c>
      <c r="I8247" t="s">
        <v>277</v>
      </c>
      <c r="K8247" t="str">
        <f>B8206</f>
        <v>electricity, residential, by conversion of hydrogen using fuel cell, SOFC, allocated by exergy, transported by pipeline, produced by Electrolysis, Alkaline using water and electricity from Wind (DK)</v>
      </c>
      <c r="L8247">
        <f>IF(OR(B8247&lt;0,B8247=0),1,2)</f>
        <v>2</v>
      </c>
      <c r="M8247">
        <f>IF(L8247=2,LN(B8247),"")</f>
        <v>-15.672640044182527</v>
      </c>
      <c r="N8247">
        <v>1</v>
      </c>
      <c r="O8247" s="15">
        <v>1.2</v>
      </c>
      <c r="P8247">
        <v>1</v>
      </c>
      <c r="Q8247">
        <v>1.01</v>
      </c>
      <c r="R8247">
        <v>1.2</v>
      </c>
      <c r="S8247">
        <v>1.2</v>
      </c>
      <c r="T8247">
        <v>3</v>
      </c>
      <c r="U8247">
        <f>LN(SQRT(EXP(
SQRT(
+POWER(LN(N8247),2)
+POWER(LN(O8247),2)
+POWER(LN(P8247),2)
+POWER(LN(Q8247),2)
+POWER(LN(R8247),2)
+POWER(LN(S8247),2)
+POWER(LN(T8247),2)
)
)))</f>
        <v>0.57157051623399524</v>
      </c>
    </row>
    <row r="8248" spans="1:22" x14ac:dyDescent="0.2">
      <c r="A8248" t="s">
        <v>288</v>
      </c>
      <c r="B8248" s="52">
        <f>0.000024*B8240</f>
        <v>2.0738998437504217E-5</v>
      </c>
      <c r="C8248" t="s">
        <v>56</v>
      </c>
      <c r="E8248" t="s">
        <v>64</v>
      </c>
      <c r="F8248" t="s">
        <v>86</v>
      </c>
      <c r="G8248" t="s">
        <v>287</v>
      </c>
      <c r="H8248" t="s">
        <v>88</v>
      </c>
      <c r="K8248" t="str">
        <f>B8206</f>
        <v>electricity, residential, by conversion of hydrogen using fuel cell, SOFC, allocated by exergy, transported by pipeline, produced by Electrolysis, Alkaline using water and electricity from Wind (DK)</v>
      </c>
      <c r="L8248">
        <f>IF(OR(B8248&lt;0,B8248=0),1,2)</f>
        <v>2</v>
      </c>
      <c r="M8248">
        <f>IF(L8248=2,LN(B8248),"")</f>
        <v>-10.783494647673981</v>
      </c>
      <c r="N8248">
        <v>1</v>
      </c>
      <c r="O8248" s="15">
        <v>1.2</v>
      </c>
      <c r="P8248">
        <v>1</v>
      </c>
      <c r="Q8248">
        <v>1.01</v>
      </c>
      <c r="R8248">
        <v>1.2</v>
      </c>
      <c r="S8248">
        <v>1.2</v>
      </c>
      <c r="T8248">
        <v>1.05</v>
      </c>
      <c r="U8248">
        <f>LN(SQRT(EXP(
SQRT(
+POWER(LN(N8248),2)
+POWER(LN(O8248),2)
+POWER(LN(P8248),2)
+POWER(LN(Q8248),2)
+POWER(LN(R8248),2)
+POWER(LN(S8248),2)
+POWER(LN(T8248),2)
)
)))</f>
        <v>0.15984597228197622</v>
      </c>
    </row>
    <row r="8249" spans="1:22" x14ac:dyDescent="0.2">
      <c r="A8249" s="45" t="str">
        <f>"hydrogen supply, transported by "&amp;B8220&amp;", produced by "&amp;B8224&amp;" using "&amp;B8225&amp;" from "&amp;B8226</f>
        <v>hydrogen supply, transported by pipeline, produced by Electrolysis, Alkaline using water and electricity from Wind (DK)</v>
      </c>
      <c r="B8249" s="53">
        <f>(B8245/B8229)/B8228*B8240</f>
        <v>5.515691073804313E-2</v>
      </c>
      <c r="C8249" t="s">
        <v>56</v>
      </c>
      <c r="E8249" t="s">
        <v>64</v>
      </c>
      <c r="F8249" t="s">
        <v>86</v>
      </c>
      <c r="G8249" t="str">
        <f>"hydrogen, gaseous, from "&amp;B8220</f>
        <v>hydrogen, gaseous, from pipeline</v>
      </c>
      <c r="H8249" t="s">
        <v>76</v>
      </c>
      <c r="I8249" t="s">
        <v>1054</v>
      </c>
      <c r="J8249" t="s">
        <v>302</v>
      </c>
      <c r="K8249" t="str">
        <f>B8206</f>
        <v>electricity, residential, by conversion of hydrogen using fuel cell, SOFC, allocated by exergy, transported by pipeline, produced by Electrolysis, Alkaline using water and electricity from Wind (DK)</v>
      </c>
      <c r="L8249">
        <f>IF(OR(B8249&lt;0,B8249=0),1,2)</f>
        <v>2</v>
      </c>
      <c r="M8249">
        <f>IF(L8249=2,LN(B8249),"")</f>
        <v>-2.8975732330996009</v>
      </c>
      <c r="N8249">
        <v>1</v>
      </c>
      <c r="O8249" s="15">
        <v>1.2</v>
      </c>
      <c r="P8249">
        <v>1</v>
      </c>
      <c r="Q8249">
        <v>1.01</v>
      </c>
      <c r="R8249">
        <v>1.2</v>
      </c>
      <c r="S8249">
        <v>1.2</v>
      </c>
      <c r="T8249">
        <v>1.05</v>
      </c>
      <c r="U8249">
        <f>LN(SQRT(EXP(
SQRT(
+POWER(LN(N8249),2)
+POWER(LN(O8249),2)
+POWER(LN(P8249),2)
+POWER(LN(Q8249),2)
+POWER(LN(R8249),2)
+POWER(LN(S8249),2)
+POWER(LN(T8249),2)
)
)))</f>
        <v>0.15984597228197622</v>
      </c>
    </row>
    <row r="8250" spans="1:22" x14ac:dyDescent="0.2">
      <c r="A8250" t="s">
        <v>134</v>
      </c>
      <c r="B8250" s="45">
        <f>B8249*9</f>
        <v>0.49641219664238817</v>
      </c>
      <c r="C8250" t="s">
        <v>56</v>
      </c>
      <c r="D8250" t="s">
        <v>100</v>
      </c>
      <c r="F8250" t="s">
        <v>99</v>
      </c>
      <c r="H8250" t="s">
        <v>131</v>
      </c>
      <c r="I8250" t="s">
        <v>1057</v>
      </c>
      <c r="K8250" t="str">
        <f>B8206</f>
        <v>electricity, residential, by conversion of hydrogen using fuel cell, SOFC, allocated by exergy, transported by pipeline, produced by Electrolysis, Alkaline using water and electricity from Wind (DK)</v>
      </c>
      <c r="L8250">
        <f>IF(OR(B8250&lt;0,B8250=0),1,2)</f>
        <v>2</v>
      </c>
      <c r="M8250">
        <f>IF(L8250=2,LN(B8250),"")</f>
        <v>-0.70034865576338168</v>
      </c>
      <c r="N8250">
        <v>1</v>
      </c>
      <c r="O8250" s="15">
        <v>1.2</v>
      </c>
      <c r="P8250">
        <v>1</v>
      </c>
      <c r="Q8250">
        <v>1.01</v>
      </c>
      <c r="R8250">
        <v>1.2</v>
      </c>
      <c r="S8250">
        <v>1.2</v>
      </c>
      <c r="T8250">
        <v>1.05</v>
      </c>
      <c r="U8250">
        <f>LN(SQRT(EXP(
SQRT(
+POWER(LN(N8250),2)
+POWER(LN(O8250),2)
+POWER(LN(P8250),2)
+POWER(LN(Q8250),2)
+POWER(LN(R8250),2)
+POWER(LN(S8250),2)
+POWER(LN(T8250),2)
)
)))</f>
        <v>0.15984597228197622</v>
      </c>
    </row>
    <row r="8252" spans="1:22" x14ac:dyDescent="0.2">
      <c r="A8252" s="2" t="s">
        <v>50</v>
      </c>
      <c r="B8252" s="44" t="str">
        <f>IF(B8258="megajoule","heat","electricity")&amp;", residential, by "&amp;B8263&amp;" of "&amp;B8262&amp;" using "&amp;B8264&amp;IF(B8265&lt;&gt;0,", allocated by "&amp;B8265,"")&amp;", transported by "&amp;B8266&amp;", produced by "&amp;B8270&amp;" using "&amp;B8271&amp;" from "&amp;B8272</f>
        <v>heat, residential, by combustion of hydrogen using boiler, transported by train, produced by Electrolysis, Alkaline using water and electricity from Wind (DK)</v>
      </c>
    </row>
    <row r="8253" spans="1:22" x14ac:dyDescent="0.2">
      <c r="A8253" t="s">
        <v>51</v>
      </c>
      <c r="B8253" s="45" t="str">
        <f>"This dataset represents the supply of 1 "&amp;IF(B8258="megajoule","megajoule of heat","kilowatt hour of electricity")&amp;" in a residence, by "&amp;B8262&amp;" "&amp;B8263&amp;" in a "&amp;B8264&amp;". "&amp;" The hydrogen is transported by "&amp;B8266&amp;" over "&amp;B8267&amp;" km from regional storage. "&amp;" The "&amp;B8262&amp;" is produced by  "&amp;B8270&amp;", with "&amp;B8271&amp;" from "&amp;B8272&amp;" as feedstock. "&amp;A8274&amp;": "&amp;(B8274*100)&amp;"%. "&amp;A8275&amp;": "&amp;B8275&amp;". "&amp;A8276&amp;": "&amp;B8276&amp;". "&amp;A8277&amp;": "&amp;(B8277*100)&amp;"%. "&amp;A8278&amp;": "&amp;(B8278*100)&amp;"%. "&amp;A8279&amp;": "&amp;(B8279*100)&amp;"%. "&amp;A8280&amp;": "&amp;B8280&amp;". "&amp;A8281&amp;": "&amp;B8281&amp;". "&amp;A8282&amp;": "&amp;(B8282*100)&amp;"%. "&amp;A8283&amp;": "&amp;B8283&amp;". "&amp;A8284&amp;": "&amp;B8284&amp;". "&amp;A8285&amp;": "&amp;B8285&amp;". "&amp;A8286&amp;": "&amp;B8286&amp;".  For more information, refer to: "&amp;B8254</f>
        <v>This dataset represents the supply of 1 megajoule of heat in a residence, by hydrogen combustion in a boiler.  The hydrogen is transported by train over 1300 km from regional storage.  The hydrogen is produced by  Electrolysis, Alkaline,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8254" spans="1:22" x14ac:dyDescent="0.2">
      <c r="A8254" t="s">
        <v>63</v>
      </c>
      <c r="B8254" s="45" t="s">
        <v>1223</v>
      </c>
    </row>
    <row r="8255" spans="1:22" x14ac:dyDescent="0.2">
      <c r="A8255" t="s">
        <v>52</v>
      </c>
      <c r="B8255" s="45" t="s">
        <v>64</v>
      </c>
    </row>
    <row r="8256" spans="1:22" x14ac:dyDescent="0.2">
      <c r="A8256" t="s">
        <v>48</v>
      </c>
      <c r="B8256" s="45">
        <v>101</v>
      </c>
    </row>
    <row r="8257" spans="1:2" x14ac:dyDescent="0.2">
      <c r="A8257" t="s">
        <v>54</v>
      </c>
      <c r="B8257" s="45" t="str">
        <f>INDEX(overview!$B$4:$R$338,MATCH('hydrogen - electrolysis'!B8256,overview!$A$4:$A$338,0),MATCH('hydrogen - electrolysis'!A8257,overview!$B$3:$R$3,0))</f>
        <v>heat, from residential heating system</v>
      </c>
    </row>
    <row r="8258" spans="1:2" x14ac:dyDescent="0.2">
      <c r="A8258" t="s">
        <v>55</v>
      </c>
      <c r="B8258" s="45" t="str">
        <f>INDEX(overview!$B$4:$R$338,MATCH('hydrogen - electrolysis'!B8256,overview!$A$4:$A$338,0),MATCH('hydrogen - electrolysis'!A8258,overview!$B$3:$R$3,0))</f>
        <v>megajoule</v>
      </c>
    </row>
    <row r="8259" spans="1:2" x14ac:dyDescent="0.2">
      <c r="A8259" t="s">
        <v>0</v>
      </c>
      <c r="B8259" s="45" t="str">
        <f>INDEX(overview!$B$4:$R$338,MATCH('hydrogen - electrolysis'!B8256,overview!$A$4:$A$338,0),MATCH('hydrogen - electrolysis'!A8259,overview!$B$3:$R$3,0))</f>
        <v>Switzerland</v>
      </c>
    </row>
    <row r="8260" spans="1:2" x14ac:dyDescent="0.2">
      <c r="A8260" t="s">
        <v>1</v>
      </c>
      <c r="B8260" s="45">
        <f>INDEX(overview!$B$4:$R$338,MATCH('hydrogen - electrolysis'!B8256,overview!$A$4:$A$338,0),MATCH('hydrogen - electrolysis'!A8260,overview!$B$3:$R$3,0))</f>
        <v>2020</v>
      </c>
    </row>
    <row r="8261" spans="1:2" x14ac:dyDescent="0.2">
      <c r="A8261" t="s">
        <v>2</v>
      </c>
      <c r="B8261" s="45" t="str">
        <f>INDEX(overview!$B$4:$R$338,MATCH('hydrogen - electrolysis'!B8256,overview!$A$4:$A$338,0),MATCH('hydrogen - electrolysis'!A8261,overview!$B$3:$R$3,0))</f>
        <v>1 MJ heat</v>
      </c>
    </row>
    <row r="8262" spans="1:2" x14ac:dyDescent="0.2">
      <c r="A8262" t="s">
        <v>5</v>
      </c>
      <c r="B8262" s="45" t="str">
        <f>INDEX(overview!$B$4:$R$338,MATCH('hydrogen - electrolysis'!B8256,overview!$A$4:$A$338,0),MATCH('hydrogen - electrolysis'!A8262,overview!$B$3:$R$3,0))</f>
        <v>hydrogen</v>
      </c>
    </row>
    <row r="8263" spans="1:2" x14ac:dyDescent="0.2">
      <c r="A8263" t="s">
        <v>3</v>
      </c>
      <c r="B8263" s="45" t="str">
        <f>INDEX(overview!$B$4:$R$338,MATCH('hydrogen - electrolysis'!B8256,overview!$A$4:$A$338,0),MATCH('hydrogen - electrolysis'!A8263,overview!$B$3:$R$3,0))</f>
        <v>combustion</v>
      </c>
    </row>
    <row r="8264" spans="1:2" x14ac:dyDescent="0.2">
      <c r="A8264" t="s">
        <v>6</v>
      </c>
      <c r="B8264" s="45" t="str">
        <f>INDEX(overview!$B$4:$R$338,MATCH('hydrogen - electrolysis'!B8256,overview!$A$4:$A$338,0),MATCH('hydrogen - electrolysis'!A8264,overview!$B$3:$R$3,0))</f>
        <v>boiler</v>
      </c>
    </row>
    <row r="8265" spans="1:2" x14ac:dyDescent="0.2">
      <c r="A8265" t="s">
        <v>39</v>
      </c>
      <c r="B8265" s="45">
        <f>INDEX(overview!$B$4:$R$338,MATCH('hydrogen - electrolysis'!B8256,overview!$A$4:$A$338,0),MATCH('hydrogen - electrolysis'!A8265,overview!$B$3:$R$3,0))</f>
        <v>0</v>
      </c>
    </row>
    <row r="8266" spans="1:2" x14ac:dyDescent="0.2">
      <c r="A8266" t="s">
        <v>4</v>
      </c>
      <c r="B8266" s="45" t="str">
        <f>INDEX(overview!$B$4:$R$338,MATCH('hydrogen - electrolysis'!B8256,overview!$A$4:$A$338,0),MATCH('hydrogen - electrolysis'!A8266,overview!$B$3:$R$3,0))</f>
        <v>train</v>
      </c>
    </row>
    <row r="8267" spans="1:2" x14ac:dyDescent="0.2">
      <c r="A8267" t="s">
        <v>38</v>
      </c>
      <c r="B8267" s="45">
        <f>INDEX(overview!$B$4:$R$338,MATCH('hydrogen - electrolysis'!B8256,overview!$A$4:$A$338,0),MATCH('hydrogen - electrolysis'!A8267,overview!$B$3:$R$3,0))</f>
        <v>1300</v>
      </c>
    </row>
    <row r="8268" spans="1:2" x14ac:dyDescent="0.2">
      <c r="A8268" t="s">
        <v>12</v>
      </c>
      <c r="B8268" s="45" t="str">
        <f>INDEX(overview!$B$4:$R$338,MATCH('hydrogen - electrolysis'!B8256,overview!$A$4:$A$338,0),MATCH('hydrogen - electrolysis'!A8268,overview!$B$3:$R$3,0))</f>
        <v>Pressure vessel for stationary storage</v>
      </c>
    </row>
    <row r="8269" spans="1:2" x14ac:dyDescent="0.2">
      <c r="A8269" t="s">
        <v>34</v>
      </c>
      <c r="B8269" s="45">
        <f>INDEX(overview!$B$4:$R$338,MATCH('hydrogen - electrolysis'!B8256,overview!$A$4:$A$338,0),MATCH('hydrogen - electrolysis'!A8269,overview!$B$3:$R$3,0))</f>
        <v>0</v>
      </c>
    </row>
    <row r="8270" spans="1:2" x14ac:dyDescent="0.2">
      <c r="A8270" t="s">
        <v>15</v>
      </c>
      <c r="B8270" s="45" t="str">
        <f>INDEX(overview!$B$4:$R$338,MATCH('hydrogen - electrolysis'!B8256,overview!$A$4:$A$338,0),MATCH('hydrogen - electrolysis'!A8270,overview!$B$3:$R$3,0))</f>
        <v>Electrolysis, Alkaline</v>
      </c>
    </row>
    <row r="8271" spans="1:2" x14ac:dyDescent="0.2">
      <c r="A8271" t="s">
        <v>14</v>
      </c>
      <c r="B8271" s="45" t="str">
        <f>INDEX(overview!$B$4:$R$338,MATCH('hydrogen - electrolysis'!B8256,overview!$A$4:$A$338,0),MATCH('hydrogen - electrolysis'!A8271,overview!$B$3:$R$3,0))</f>
        <v>water and electricity</v>
      </c>
    </row>
    <row r="8272" spans="1:2" x14ac:dyDescent="0.2">
      <c r="A8272" t="s">
        <v>26</v>
      </c>
      <c r="B8272" s="45" t="str">
        <f>INDEX(overview!$B$4:$R$338,MATCH('hydrogen - electrolysis'!B8256,overview!$A$4:$A$338,0),MATCH('hydrogen - electrolysis'!A8272,overview!$B$3:$R$3,0))</f>
        <v>Wind (DK)</v>
      </c>
    </row>
    <row r="8273" spans="1:2" x14ac:dyDescent="0.2">
      <c r="A8273" t="s">
        <v>29</v>
      </c>
      <c r="B8273" s="45">
        <f>INDEX(overview!$B$4:$R$338,MATCH('hydrogen - electrolysis'!B8256,overview!$A$4:$A$338,0),MATCH('hydrogen - electrolysis'!A8273,overview!$B$3:$R$3,0))</f>
        <v>0</v>
      </c>
    </row>
    <row r="8274" spans="1:2" x14ac:dyDescent="0.2">
      <c r="A8274" t="str">
        <f>IF(B8258="megajoule","Heat","Electricity")&amp;" conversion efficiency [% LHV input]"</f>
        <v>Heat conversion efficiency [% LHV input]</v>
      </c>
      <c r="B8274" s="46">
        <f>INDEX(parameters!$D$4:$N$20,MATCH('hydrogen - electrolysis'!B8262&amp;'hydrogen - electrolysis'!B8264,parameters!$A$4:$A$20,0),MATCH('hydrogen - electrolysis'!A8274,parameters!$D$3:$N$3,0))</f>
        <v>0.94</v>
      </c>
    </row>
    <row r="8275" spans="1:2" x14ac:dyDescent="0.2">
      <c r="A8275" t="str">
        <f>IF(B8258="megajoule","LHV [MJ/kg]","LHV [kWh/kg]")</f>
        <v>LHV [MJ/kg]</v>
      </c>
      <c r="B8275" s="47">
        <f>INDEX(parameters!$D$4:$N$20,MATCH('hydrogen - electrolysis'!B8262&amp;'hydrogen - electrolysis'!B8264,parameters!$A$4:$A$20,0),MATCH('hydrogen - electrolysis'!A8275,parameters!$D$3:$N$3,0))</f>
        <v>120</v>
      </c>
    </row>
    <row r="8276" spans="1:2" x14ac:dyDescent="0.2">
      <c r="A8276" t="s">
        <v>41</v>
      </c>
      <c r="B8276" s="48">
        <f>INDEX(parameters!$D$4:$N$20,MATCH('hydrogen - electrolysis'!B8262&amp;'hydrogen - electrolysis'!B8264,parameters!$A$4:$A$20,0),MATCH('hydrogen - electrolysis'!A8276,parameters!$D$3:$N$3,0))</f>
        <v>2.6666666666666665E-2</v>
      </c>
    </row>
    <row r="8277" spans="1:2" x14ac:dyDescent="0.2">
      <c r="A8277" t="s">
        <v>45</v>
      </c>
      <c r="B8277" s="49">
        <f>INDEX(parameters!$D$4:$N$20,MATCH('hydrogen - electrolysis'!B8262&amp;'hydrogen - electrolysis'!B8264,parameters!$A$4:$A$20,0),MATCH('hydrogen - electrolysis'!A8277,parameters!$D$3:$N$3,0))</f>
        <v>0</v>
      </c>
    </row>
    <row r="8278" spans="1:2" x14ac:dyDescent="0.2">
      <c r="A8278" t="s">
        <v>46</v>
      </c>
      <c r="B8278" s="49">
        <f>INDEX(parameters!$D$4:$N$20,MATCH('hydrogen - electrolysis'!B8262&amp;'hydrogen - electrolysis'!B8264,parameters!$A$4:$A$20,0),MATCH('hydrogen - electrolysis'!A8278,parameters!$D$3:$N$3,0))</f>
        <v>1.4999999999999999E-2</v>
      </c>
    </row>
    <row r="8279" spans="1:2" x14ac:dyDescent="0.2">
      <c r="A8279" t="s">
        <v>43</v>
      </c>
      <c r="B8279" s="49">
        <f>INDEX(parameters!$D$4:$N$20,MATCH('hydrogen - electrolysis'!B8262&amp;'hydrogen - electrolysis'!B8264,parameters!$A$4:$A$20,0),MATCH('hydrogen - electrolysis'!A8279,parameters!$D$3:$N$3,0))</f>
        <v>0</v>
      </c>
    </row>
    <row r="8280" spans="1:2" x14ac:dyDescent="0.2">
      <c r="A8280" t="s">
        <v>44</v>
      </c>
      <c r="B8280" s="49">
        <f>INDEX(parameters!$D$4:$N$20,MATCH('hydrogen - electrolysis'!B8262&amp;'hydrogen - electrolysis'!B8264,parameters!$A$4:$A$20,0),MATCH('hydrogen - electrolysis'!A8280,parameters!$D$3:$N$3,0))</f>
        <v>0</v>
      </c>
    </row>
    <row r="8281" spans="1:2" x14ac:dyDescent="0.2">
      <c r="A8281" t="s">
        <v>634</v>
      </c>
      <c r="B8281" s="51">
        <f>INDEX(parameters!$D$4:$Y$20,MATCH('hydrogen - electrolysis'!B8262&amp;'hydrogen - electrolysis'!B8264,parameters!$A$4:$A$20,0),MATCH('hydrogen - electrolysis'!A8281,parameters!$D$3:$Y$3,0))</f>
        <v>15.957446808510639</v>
      </c>
    </row>
    <row r="8282" spans="1:2" x14ac:dyDescent="0.2">
      <c r="A8282" t="s">
        <v>82</v>
      </c>
      <c r="B8282" s="46">
        <f>IF(B8273&lt;&gt;0,VLOOKUP(B8273,parameters!A5178:B5180,2,0),0)</f>
        <v>0</v>
      </c>
    </row>
    <row r="8283" spans="1:2" x14ac:dyDescent="0.2">
      <c r="A8283" t="s">
        <v>548</v>
      </c>
      <c r="B8283" s="50">
        <f>INDEX(parameters!$D$4:$P$20,MATCH(B8262&amp;B8264,parameters!$A$4:$A$20,0),MATCH(A8283,parameters!$D$3:$P$3,0))</f>
        <v>15</v>
      </c>
    </row>
    <row r="8284" spans="1:2" x14ac:dyDescent="0.2">
      <c r="A8284" t="s">
        <v>547</v>
      </c>
      <c r="B8284" s="51">
        <f>INDEX(parameters!$D$4:$P$20,MATCH(B8262&amp;B8264,parameters!$A$4:$A$20,0),MATCH(A8284,parameters!$D$3:$P$3,0))</f>
        <v>20</v>
      </c>
    </row>
    <row r="8285" spans="1:2" x14ac:dyDescent="0.2">
      <c r="A8285" t="s">
        <v>630</v>
      </c>
      <c r="B8285" s="51">
        <f>INDEX(parameters!$D$4:$T$20,MATCH(B8262&amp;B8264,parameters!$A$4:$A$20,0),MATCH(A8285,parameters!$D$3:$T$3,0))</f>
        <v>2100</v>
      </c>
    </row>
    <row r="8286" spans="1:2" x14ac:dyDescent="0.2">
      <c r="A8286" t="s">
        <v>1005</v>
      </c>
      <c r="B8286" s="50">
        <f>IF(B8258="megajoule",SUMIFS(allocation!$I$4:$I$30,allocation!$B$4:$B$30,B8264,allocation!$C$4:$C$30,B8265),SUMIFS(allocation!$J$4:$J$30,allocation!$B$4:$B$30,B8264,allocation!$C$4:$C$30,B8265))</f>
        <v>0</v>
      </c>
    </row>
    <row r="8287" spans="1:2" x14ac:dyDescent="0.2">
      <c r="A8287" t="s">
        <v>1050</v>
      </c>
      <c r="B8287" s="51">
        <f>INDEX(parameters!$D$4:$AB$20,MATCH(B8262&amp;B8264,parameters!$A$4:$A$20,0),MATCH(A8287,parameters!$D$3:$AB$3,0))</f>
        <v>44.562019013128115</v>
      </c>
    </row>
    <row r="8289" spans="1:22" x14ac:dyDescent="0.2">
      <c r="A8289" s="3" t="s">
        <v>57</v>
      </c>
    </row>
    <row r="8290" spans="1:22" x14ac:dyDescent="0.2">
      <c r="A8290" s="2" t="s">
        <v>58</v>
      </c>
      <c r="B8290" s="44" t="s">
        <v>59</v>
      </c>
      <c r="C8290" s="2" t="s">
        <v>55</v>
      </c>
      <c r="D8290" s="2" t="s">
        <v>60</v>
      </c>
      <c r="E8290" s="2" t="s">
        <v>52</v>
      </c>
      <c r="F8290" s="2" t="s">
        <v>61</v>
      </c>
      <c r="G8290" s="2" t="s">
        <v>54</v>
      </c>
      <c r="H8290" s="2" t="s">
        <v>87</v>
      </c>
      <c r="I8290" s="2" t="s">
        <v>51</v>
      </c>
      <c r="J8290" s="2" t="s">
        <v>138</v>
      </c>
      <c r="K8290" s="2" t="s">
        <v>136</v>
      </c>
      <c r="L8290" s="2" t="s">
        <v>221</v>
      </c>
      <c r="M8290" s="2" t="s">
        <v>379</v>
      </c>
      <c r="N8290" s="2" t="s">
        <v>1059</v>
      </c>
      <c r="O8290" s="2" t="s">
        <v>1060</v>
      </c>
      <c r="P8290" s="2" t="s">
        <v>1061</v>
      </c>
      <c r="Q8290" s="2" t="s">
        <v>1062</v>
      </c>
      <c r="R8290" s="2" t="s">
        <v>1063</v>
      </c>
      <c r="S8290" s="2" t="s">
        <v>1064</v>
      </c>
      <c r="T8290" s="2" t="s">
        <v>1065</v>
      </c>
      <c r="U8290" s="2" t="s">
        <v>380</v>
      </c>
      <c r="V8290" s="2" t="s">
        <v>1128</v>
      </c>
    </row>
    <row r="8291" spans="1:22" x14ac:dyDescent="0.2">
      <c r="A8291" t="str">
        <f>B8252</f>
        <v>heat, residential, by combustion of hydrogen using boiler, transported by train, produced by Electrolysis, Alkaline using water and electricity from Wind (DK)</v>
      </c>
      <c r="B8291" s="45">
        <v>1</v>
      </c>
      <c r="C8291" t="str">
        <f>B8258</f>
        <v>megajoule</v>
      </c>
      <c r="E8291" t="str">
        <f>B8255</f>
        <v>CH</v>
      </c>
      <c r="F8291" t="s">
        <v>62</v>
      </c>
      <c r="G8291" t="str">
        <f>B8257</f>
        <v>heat, from residential heating system</v>
      </c>
      <c r="K8291" t="str">
        <f>B8252</f>
        <v>heat, residential, by combustion of hydrogen using boiler, transported by train, produced by Electrolysis, Alkaline using water and electricity from Wind (DK)</v>
      </c>
    </row>
    <row r="8292" spans="1:22" x14ac:dyDescent="0.2">
      <c r="A8292" t="s">
        <v>83</v>
      </c>
      <c r="B8292" s="52">
        <f>1/(B8283*B8285*B8284*3.6)</f>
        <v>4.4091710758377425E-7</v>
      </c>
      <c r="C8292" t="s">
        <v>55</v>
      </c>
      <c r="E8292" t="s">
        <v>85</v>
      </c>
      <c r="F8292" t="s">
        <v>86</v>
      </c>
      <c r="G8292" t="s">
        <v>84</v>
      </c>
      <c r="H8292" t="s">
        <v>88</v>
      </c>
      <c r="K8292" t="str">
        <f>B8252</f>
        <v>heat, residential, by combustion of hydrogen using boiler, transported by train, produced by Electrolysis, Alkaline using water and electricity from Wind (DK)</v>
      </c>
      <c r="L8292">
        <f t="shared" ref="L8292:L8299" si="337">IF(OR(B8292&lt;0,B8292=0),1,2)</f>
        <v>2</v>
      </c>
      <c r="M8292">
        <f t="shared" ref="M8292:M8299" si="338">IF(L8292=2,LN(B8292),"")</f>
        <v>-14.634408943829779</v>
      </c>
      <c r="N8292">
        <v>1.05</v>
      </c>
      <c r="O8292" s="15">
        <v>1.2</v>
      </c>
      <c r="P8292">
        <v>1</v>
      </c>
      <c r="Q8292">
        <v>1.01</v>
      </c>
      <c r="R8292">
        <v>1.2</v>
      </c>
      <c r="S8292">
        <v>1.2</v>
      </c>
      <c r="T8292">
        <v>3</v>
      </c>
      <c r="U8292">
        <f t="shared" ref="U8292:U8299" si="339">LN(SQRT(EXP(
SQRT(
+POWER(LN(N8292),2)
+POWER(LN(O8292),2)
+POWER(LN(P8292),2)
+POWER(LN(Q8292),2)
+POWER(LN(R8292),2)
+POWER(LN(S8292),2)
+POWER(LN(T8292),2)
)
)))</f>
        <v>0.57209088006881903</v>
      </c>
    </row>
    <row r="8293" spans="1:22" x14ac:dyDescent="0.2">
      <c r="A8293" t="s">
        <v>500</v>
      </c>
      <c r="B8293" s="52">
        <f>B8292*2</f>
        <v>8.8183421516754851E-7</v>
      </c>
      <c r="C8293" t="s">
        <v>267</v>
      </c>
      <c r="E8293" t="s">
        <v>85</v>
      </c>
      <c r="F8293" t="s">
        <v>86</v>
      </c>
      <c r="G8293" t="s">
        <v>501</v>
      </c>
      <c r="H8293" t="s">
        <v>88</v>
      </c>
      <c r="I8293" t="s">
        <v>621</v>
      </c>
      <c r="K8293" t="str">
        <f>B8252</f>
        <v>heat, residential, by combustion of hydrogen using boiler, transported by train, produced by Electrolysis, Alkaline using water and electricity from Wind (DK)</v>
      </c>
      <c r="L8293">
        <f t="shared" si="337"/>
        <v>2</v>
      </c>
      <c r="M8293">
        <f t="shared" si="338"/>
        <v>-13.941261763269834</v>
      </c>
      <c r="N8293">
        <v>1.05</v>
      </c>
      <c r="O8293" s="15">
        <v>1.2</v>
      </c>
      <c r="P8293">
        <v>1</v>
      </c>
      <c r="Q8293">
        <v>1.01</v>
      </c>
      <c r="R8293">
        <v>1.2</v>
      </c>
      <c r="S8293">
        <v>1.2</v>
      </c>
      <c r="T8293">
        <v>3</v>
      </c>
      <c r="U8293">
        <f t="shared" si="339"/>
        <v>0.57209088006881903</v>
      </c>
    </row>
    <row r="8294" spans="1:22" x14ac:dyDescent="0.2">
      <c r="A8294" t="s">
        <v>130</v>
      </c>
      <c r="B8294" s="52">
        <v>2.64E-3</v>
      </c>
      <c r="C8294" t="s">
        <v>92</v>
      </c>
      <c r="E8294" t="s">
        <v>64</v>
      </c>
      <c r="F8294" t="s">
        <v>86</v>
      </c>
      <c r="G8294" t="s">
        <v>93</v>
      </c>
      <c r="H8294" t="s">
        <v>78</v>
      </c>
      <c r="I8294" t="s">
        <v>270</v>
      </c>
      <c r="J8294" t="s">
        <v>67</v>
      </c>
      <c r="K8294" t="str">
        <f>B8252</f>
        <v>heat, residential, by combustion of hydrogen using boiler, transported by train, produced by Electrolysis, Alkaline using water and electricity from Wind (DK)</v>
      </c>
      <c r="L8294">
        <f t="shared" si="337"/>
        <v>2</v>
      </c>
      <c r="M8294">
        <f t="shared" si="338"/>
        <v>-5.9369763618239126</v>
      </c>
      <c r="N8294">
        <v>1.05</v>
      </c>
      <c r="O8294" s="15">
        <v>1.2</v>
      </c>
      <c r="P8294">
        <v>1</v>
      </c>
      <c r="Q8294">
        <v>1.01</v>
      </c>
      <c r="R8294">
        <v>1.2</v>
      </c>
      <c r="S8294">
        <v>1.2</v>
      </c>
      <c r="T8294">
        <v>1.05</v>
      </c>
      <c r="U8294">
        <f t="shared" si="339"/>
        <v>0.16169679924070957</v>
      </c>
    </row>
    <row r="8295" spans="1:22" x14ac:dyDescent="0.2">
      <c r="A8295" s="45" t="str">
        <f>"hydrogen supply, transported by "&amp;B8266&amp;", produced by "&amp;B8270&amp;" using "&amp;B8271&amp;" from "&amp;B8272</f>
        <v>hydrogen supply, transported by train, produced by Electrolysis, Alkaline using water and electricity from Wind (DK)</v>
      </c>
      <c r="B8295" s="53">
        <f>(B8291/B8275)/B8274</f>
        <v>8.8652482269503553E-3</v>
      </c>
      <c r="C8295" t="s">
        <v>56</v>
      </c>
      <c r="E8295" t="s">
        <v>64</v>
      </c>
      <c r="F8295" t="s">
        <v>86</v>
      </c>
      <c r="G8295" t="str">
        <f>"hydrogen, gaseous, from "&amp;B8266</f>
        <v>hydrogen, gaseous, from train</v>
      </c>
      <c r="H8295" t="s">
        <v>76</v>
      </c>
      <c r="I8295" t="s">
        <v>1054</v>
      </c>
      <c r="J8295" t="s">
        <v>302</v>
      </c>
      <c r="K8295" t="str">
        <f>B8252</f>
        <v>heat, residential, by combustion of hydrogen using boiler, transported by train, produced by Electrolysis, Alkaline using water and electricity from Wind (DK)</v>
      </c>
      <c r="L8295">
        <f t="shared" si="337"/>
        <v>2</v>
      </c>
      <c r="M8295">
        <f t="shared" si="338"/>
        <v>-4.7256163390639587</v>
      </c>
      <c r="N8295">
        <v>1.05</v>
      </c>
      <c r="O8295" s="15">
        <v>1.2</v>
      </c>
      <c r="P8295">
        <v>1</v>
      </c>
      <c r="Q8295">
        <v>1.01</v>
      </c>
      <c r="R8295">
        <v>1.2</v>
      </c>
      <c r="S8295">
        <v>1.2</v>
      </c>
      <c r="T8295">
        <v>1.05</v>
      </c>
      <c r="U8295">
        <f t="shared" si="339"/>
        <v>0.16169679924070957</v>
      </c>
    </row>
    <row r="8296" spans="1:22" x14ac:dyDescent="0.2">
      <c r="A8296" t="str">
        <f>VLOOKUP(J8296,'dataset mapping'!$A$4:$E$69,2,0)</f>
        <v>market for transport, freight train</v>
      </c>
      <c r="B8296" s="45">
        <f>SUM(B8295:B8295)/1000*B8267</f>
        <v>1.152482269503546E-2</v>
      </c>
      <c r="C8296" t="str">
        <f>VLOOKUP(J8296,'dataset mapping'!$A$4:$E$69,5,0)</f>
        <v>ton kilometer</v>
      </c>
      <c r="E8296" t="str">
        <f>VLOOKUP(J8296,'dataset mapping'!$A$4:$E$69,4,0)</f>
        <v>CH</v>
      </c>
      <c r="F8296" t="s">
        <v>86</v>
      </c>
      <c r="G8296" t="str">
        <f>VLOOKUP(J8296,'dataset mapping'!$A$4:$E$69,3,0)</f>
        <v>transport, freight train</v>
      </c>
      <c r="H8296" t="s">
        <v>88</v>
      </c>
      <c r="I8296" t="s">
        <v>1052</v>
      </c>
      <c r="J8296" t="s">
        <v>295</v>
      </c>
      <c r="K8296" t="str">
        <f>B8252</f>
        <v>heat, residential, by combustion of hydrogen using boiler, transported by train, produced by Electrolysis, Alkaline using water and electricity from Wind (DK)</v>
      </c>
      <c r="L8296">
        <f t="shared" si="337"/>
        <v>2</v>
      </c>
      <c r="M8296">
        <f t="shared" si="338"/>
        <v>-4.4632520745964674</v>
      </c>
      <c r="N8296">
        <v>1.05</v>
      </c>
      <c r="O8296" s="15">
        <v>1.2</v>
      </c>
      <c r="P8296">
        <v>1</v>
      </c>
      <c r="Q8296">
        <v>1.01</v>
      </c>
      <c r="R8296">
        <v>1.2</v>
      </c>
      <c r="S8296">
        <v>1.2</v>
      </c>
      <c r="T8296">
        <v>2</v>
      </c>
      <c r="U8296">
        <f t="shared" si="339"/>
        <v>0.38165951885721477</v>
      </c>
    </row>
    <row r="8297" spans="1:22" x14ac:dyDescent="0.2">
      <c r="A8297" t="str">
        <f>VLOOKUP(J8297,'dataset mapping'!$A$4:$E$69,2,0)</f>
        <v>high pressure hydrogen storage tank</v>
      </c>
      <c r="B8297" s="52">
        <f>((B8287/10)/(B8285*B8281*20*3.6))*IF(B8286&lt;&gt;0,B8286,1)</f>
        <v>1.8469267139479905E-6</v>
      </c>
      <c r="C8297" t="str">
        <f>VLOOKUP(J8297,'dataset mapping'!$A$4:$E$69,5,0)</f>
        <v>kilogram</v>
      </c>
      <c r="E8297" t="str">
        <f>VLOOKUP(J8297,'dataset mapping'!$A$4:$E$69,4,0)</f>
        <v>GLO</v>
      </c>
      <c r="F8297" t="s">
        <v>86</v>
      </c>
      <c r="G8297" t="str">
        <f>VLOOKUP(J8297,'dataset mapping'!$A$4:$E$69,3,0)</f>
        <v>high pressure hydrogen storage tank</v>
      </c>
      <c r="H8297" t="s">
        <v>88</v>
      </c>
      <c r="I8297" t="s">
        <v>230</v>
      </c>
      <c r="J8297" t="s">
        <v>229</v>
      </c>
      <c r="K8297" t="str">
        <f>B8252</f>
        <v>heat, residential, by combustion of hydrogen using boiler, transported by train, produced by Electrolysis, Alkaline using water and electricity from Wind (DK)</v>
      </c>
      <c r="L8297">
        <f t="shared" si="337"/>
        <v>2</v>
      </c>
      <c r="M8297">
        <f t="shared" si="338"/>
        <v>-13.20198753595994</v>
      </c>
      <c r="N8297">
        <v>1.05</v>
      </c>
      <c r="O8297" s="15">
        <v>1.2</v>
      </c>
      <c r="P8297">
        <v>1</v>
      </c>
      <c r="Q8297">
        <v>1.01</v>
      </c>
      <c r="R8297">
        <v>1.2</v>
      </c>
      <c r="S8297">
        <v>1.2</v>
      </c>
      <c r="T8297">
        <v>3</v>
      </c>
      <c r="U8297">
        <f t="shared" si="339"/>
        <v>0.57209088006881903</v>
      </c>
    </row>
    <row r="8298" spans="1:22" x14ac:dyDescent="0.2">
      <c r="A8298" t="s">
        <v>134</v>
      </c>
      <c r="B8298" s="45">
        <f>B8295*9</f>
        <v>7.9787234042553196E-2</v>
      </c>
      <c r="C8298" t="s">
        <v>56</v>
      </c>
      <c r="D8298" t="s">
        <v>100</v>
      </c>
      <c r="F8298" t="s">
        <v>99</v>
      </c>
      <c r="H8298" t="s">
        <v>131</v>
      </c>
      <c r="I8298" t="s">
        <v>1058</v>
      </c>
      <c r="K8298" t="str">
        <f>B8252</f>
        <v>heat, residential, by combustion of hydrogen using boiler, transported by train, produced by Electrolysis, Alkaline using water and electricity from Wind (DK)</v>
      </c>
      <c r="L8298">
        <f t="shared" si="337"/>
        <v>2</v>
      </c>
      <c r="M8298">
        <f t="shared" si="338"/>
        <v>-2.5283917617277392</v>
      </c>
      <c r="N8298">
        <v>1.05</v>
      </c>
      <c r="O8298" s="15">
        <v>1.2</v>
      </c>
      <c r="P8298">
        <v>1</v>
      </c>
      <c r="Q8298">
        <v>1.01</v>
      </c>
      <c r="R8298">
        <v>1.2</v>
      </c>
      <c r="S8298">
        <v>1.2</v>
      </c>
      <c r="T8298">
        <v>1.05</v>
      </c>
      <c r="U8298">
        <f t="shared" si="339"/>
        <v>0.16169679924070957</v>
      </c>
    </row>
    <row r="8299" spans="1:22" x14ac:dyDescent="0.2">
      <c r="A8299" t="s">
        <v>135</v>
      </c>
      <c r="B8299" s="45">
        <f>912.5/1000000*B8295</f>
        <v>8.0895390070921995E-6</v>
      </c>
      <c r="C8299" t="s">
        <v>56</v>
      </c>
      <c r="D8299" t="s">
        <v>100</v>
      </c>
      <c r="F8299" t="s">
        <v>99</v>
      </c>
      <c r="H8299" t="s">
        <v>131</v>
      </c>
      <c r="I8299" t="s">
        <v>1217</v>
      </c>
      <c r="K8299" t="str">
        <f>B8252</f>
        <v>heat, residential, by combustion of hydrogen using boiler, transported by train, produced by Electrolysis, Alkaline using water and electricity from Wind (DK)</v>
      </c>
      <c r="L8299">
        <f t="shared" si="337"/>
        <v>2</v>
      </c>
      <c r="M8299">
        <f t="shared" si="338"/>
        <v>-11.724938811571587</v>
      </c>
      <c r="N8299">
        <v>1.05</v>
      </c>
      <c r="O8299" s="15">
        <v>1.2</v>
      </c>
      <c r="P8299">
        <v>1</v>
      </c>
      <c r="Q8299">
        <v>1.01</v>
      </c>
      <c r="R8299">
        <v>1.2</v>
      </c>
      <c r="S8299">
        <v>1.2</v>
      </c>
      <c r="T8299">
        <v>1.5</v>
      </c>
      <c r="U8299">
        <f t="shared" si="339"/>
        <v>0.25816898211842121</v>
      </c>
    </row>
    <row r="8301" spans="1:22" x14ac:dyDescent="0.2">
      <c r="A8301" s="2" t="s">
        <v>50</v>
      </c>
      <c r="B8301" s="44" t="str">
        <f>IF(B8307="megajoule","heat","electricity")&amp;", residential, by "&amp;B8312&amp;" of "&amp;B8311&amp;" using "&amp;B8313&amp;IF(B8314&lt;&gt;0,", allocated by "&amp;B8314,"")&amp;", transported by "&amp;B8315&amp;", produced by "&amp;B8319&amp;" using "&amp;B8320&amp;" from "&amp;B8321</f>
        <v>heat, residential, by combustion of hydrogen using CHP, allocated by exergy, transported by train, produced by Electrolysis, Alkaline using water and electricity from Wind (DK)</v>
      </c>
    </row>
    <row r="8302" spans="1:22" x14ac:dyDescent="0.2">
      <c r="A8302" t="s">
        <v>51</v>
      </c>
      <c r="B8302" s="45" t="str">
        <f>"This dataset represents the supply of 1 "&amp;IF(B8307="megajoule","megajoule of heat","kilowatt hour of electricity")&amp;" in a residence, by "&amp;B8311&amp;" "&amp;B8312&amp;" in a "&amp;B8313&amp;". "&amp;" The hydrogen is transported by "&amp;B8315&amp;" over "&amp;B8316&amp;" km from regional storage. "&amp;" The "&amp;B8311&amp;" is produced by  "&amp;B8319&amp;", with "&amp;B8320&amp;" from "&amp;B8321&amp;" as feedstock. "&amp;A8323&amp;": "&amp;(B8323*100)&amp;"%. "&amp;A8324&amp;": "&amp;B8324&amp;". "&amp;A8325&amp;": "&amp;B8325&amp;". "&amp;A8326&amp;": "&amp;(B8326*100)&amp;"%. "&amp;A8327&amp;": "&amp;(B8327*100)&amp;"%. "&amp;A8328&amp;": "&amp;(B8328*100)&amp;"%. "&amp;A8329&amp;": "&amp;B8329&amp;". "&amp;A8330&amp;": "&amp;B8330&amp;". "&amp;A8331&amp;": "&amp;(B8331*100)&amp;"%. "&amp;A8332&amp;": "&amp;B8332&amp;". "&amp;A8333&amp;": "&amp;B8333&amp;". "&amp;A8334&amp;": "&amp;B8334&amp;". "&amp;A8335&amp;": "&amp;B8335&amp;".  For more information, refer to: "&amp;B8303</f>
        <v>This dataset represents the supply of 1 megajoule of heat in a residence, by hydrogen combustion in a CHP.  The hydrogen is transported by train over 1300 km from regional storage.  The hydrogen is produced by  Electrolysis, Alkaline,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8303" spans="1:22" x14ac:dyDescent="0.2">
      <c r="A8303" t="s">
        <v>63</v>
      </c>
      <c r="B8303" s="45" t="s">
        <v>1223</v>
      </c>
    </row>
    <row r="8304" spans="1:22" x14ac:dyDescent="0.2">
      <c r="A8304" t="s">
        <v>52</v>
      </c>
      <c r="B8304" s="45" t="s">
        <v>64</v>
      </c>
    </row>
    <row r="8305" spans="1:2" x14ac:dyDescent="0.2">
      <c r="A8305" t="s">
        <v>48</v>
      </c>
      <c r="B8305" s="45">
        <v>102</v>
      </c>
    </row>
    <row r="8306" spans="1:2" x14ac:dyDescent="0.2">
      <c r="A8306" t="s">
        <v>54</v>
      </c>
      <c r="B8306" s="45" t="str">
        <f>INDEX(overview!$B$4:$R$338,MATCH('hydrogen - electrolysis'!B8305,overview!$A$4:$A$338,0),MATCH('hydrogen - electrolysis'!A8306,overview!$B$3:$R$3,0))</f>
        <v>heat, from residential heating system</v>
      </c>
    </row>
    <row r="8307" spans="1:2" x14ac:dyDescent="0.2">
      <c r="A8307" t="s">
        <v>55</v>
      </c>
      <c r="B8307" s="45" t="str">
        <f>INDEX(overview!$B$4:$R$338,MATCH('hydrogen - electrolysis'!B8305,overview!$A$4:$A$338,0),MATCH('hydrogen - electrolysis'!A8307,overview!$B$3:$R$3,0))</f>
        <v>megajoule</v>
      </c>
    </row>
    <row r="8308" spans="1:2" x14ac:dyDescent="0.2">
      <c r="A8308" t="s">
        <v>0</v>
      </c>
      <c r="B8308" s="45" t="str">
        <f>INDEX(overview!$B$4:$R$338,MATCH('hydrogen - electrolysis'!B8305,overview!$A$4:$A$338,0),MATCH('hydrogen - electrolysis'!A8308,overview!$B$3:$R$3,0))</f>
        <v>Switzerland</v>
      </c>
    </row>
    <row r="8309" spans="1:2" x14ac:dyDescent="0.2">
      <c r="A8309" t="s">
        <v>1</v>
      </c>
      <c r="B8309" s="45">
        <f>INDEX(overview!$B$4:$R$338,MATCH('hydrogen - electrolysis'!B8305,overview!$A$4:$A$338,0),MATCH('hydrogen - electrolysis'!A8309,overview!$B$3:$R$3,0))</f>
        <v>2020</v>
      </c>
    </row>
    <row r="8310" spans="1:2" x14ac:dyDescent="0.2">
      <c r="A8310" t="s">
        <v>2</v>
      </c>
      <c r="B8310" s="45" t="str">
        <f>INDEX(overview!$B$4:$R$338,MATCH('hydrogen - electrolysis'!B8305,overview!$A$4:$A$338,0),MATCH('hydrogen - electrolysis'!A8310,overview!$B$3:$R$3,0))</f>
        <v>1 MJ heat</v>
      </c>
    </row>
    <row r="8311" spans="1:2" x14ac:dyDescent="0.2">
      <c r="A8311" t="s">
        <v>5</v>
      </c>
      <c r="B8311" s="45" t="str">
        <f>INDEX(overview!$B$4:$R$338,MATCH('hydrogen - electrolysis'!B8305,overview!$A$4:$A$338,0),MATCH('hydrogen - electrolysis'!A8311,overview!$B$3:$R$3,0))</f>
        <v>hydrogen</v>
      </c>
    </row>
    <row r="8312" spans="1:2" x14ac:dyDescent="0.2">
      <c r="A8312" t="s">
        <v>3</v>
      </c>
      <c r="B8312" s="45" t="str">
        <f>INDEX(overview!$B$4:$R$338,MATCH('hydrogen - electrolysis'!B8305,overview!$A$4:$A$338,0),MATCH('hydrogen - electrolysis'!A8312,overview!$B$3:$R$3,0))</f>
        <v>combustion</v>
      </c>
    </row>
    <row r="8313" spans="1:2" x14ac:dyDescent="0.2">
      <c r="A8313" t="s">
        <v>6</v>
      </c>
      <c r="B8313" s="45" t="str">
        <f>INDEX(overview!$B$4:$R$338,MATCH('hydrogen - electrolysis'!B8305,overview!$A$4:$A$338,0),MATCH('hydrogen - electrolysis'!A8313,overview!$B$3:$R$3,0))</f>
        <v>CHP</v>
      </c>
    </row>
    <row r="8314" spans="1:2" x14ac:dyDescent="0.2">
      <c r="A8314" t="s">
        <v>39</v>
      </c>
      <c r="B8314" s="45" t="str">
        <f>INDEX(overview!$B$4:$R$338,MATCH('hydrogen - electrolysis'!B8305,overview!$A$4:$A$338,0),MATCH('hydrogen - electrolysis'!A8314,overview!$B$3:$R$3,0))</f>
        <v>exergy</v>
      </c>
    </row>
    <row r="8315" spans="1:2" x14ac:dyDescent="0.2">
      <c r="A8315" t="s">
        <v>4</v>
      </c>
      <c r="B8315" s="45" t="str">
        <f>INDEX(overview!$B$4:$R$338,MATCH('hydrogen - electrolysis'!B8305,overview!$A$4:$A$338,0),MATCH('hydrogen - electrolysis'!A8315,overview!$B$3:$R$3,0))</f>
        <v>train</v>
      </c>
    </row>
    <row r="8316" spans="1:2" x14ac:dyDescent="0.2">
      <c r="A8316" t="s">
        <v>38</v>
      </c>
      <c r="B8316" s="45">
        <f>INDEX(overview!$B$4:$R$338,MATCH('hydrogen - electrolysis'!B8305,overview!$A$4:$A$338,0),MATCH('hydrogen - electrolysis'!A8316,overview!$B$3:$R$3,0))</f>
        <v>1300</v>
      </c>
    </row>
    <row r="8317" spans="1:2" x14ac:dyDescent="0.2">
      <c r="A8317" t="s">
        <v>12</v>
      </c>
      <c r="B8317" s="45" t="str">
        <f>INDEX(overview!$B$4:$R$338,MATCH('hydrogen - electrolysis'!B8305,overview!$A$4:$A$338,0),MATCH('hydrogen - electrolysis'!A8317,overview!$B$3:$R$3,0))</f>
        <v>Pressure vessel for stationary storage</v>
      </c>
    </row>
    <row r="8318" spans="1:2" x14ac:dyDescent="0.2">
      <c r="A8318" t="s">
        <v>34</v>
      </c>
      <c r="B8318" s="45">
        <f>INDEX(overview!$B$4:$R$338,MATCH('hydrogen - electrolysis'!B8305,overview!$A$4:$A$338,0),MATCH('hydrogen - electrolysis'!A8318,overview!$B$3:$R$3,0))</f>
        <v>0</v>
      </c>
    </row>
    <row r="8319" spans="1:2" x14ac:dyDescent="0.2">
      <c r="A8319" t="s">
        <v>15</v>
      </c>
      <c r="B8319" s="45" t="str">
        <f>INDEX(overview!$B$4:$R$338,MATCH('hydrogen - electrolysis'!B8305,overview!$A$4:$A$338,0),MATCH('hydrogen - electrolysis'!A8319,overview!$B$3:$R$3,0))</f>
        <v>Electrolysis, Alkaline</v>
      </c>
    </row>
    <row r="8320" spans="1:2" x14ac:dyDescent="0.2">
      <c r="A8320" t="s">
        <v>14</v>
      </c>
      <c r="B8320" s="45" t="str">
        <f>INDEX(overview!$B$4:$R$338,MATCH('hydrogen - electrolysis'!B8305,overview!$A$4:$A$338,0),MATCH('hydrogen - electrolysis'!A8320,overview!$B$3:$R$3,0))</f>
        <v>water and electricity</v>
      </c>
    </row>
    <row r="8321" spans="1:2" x14ac:dyDescent="0.2">
      <c r="A8321" t="s">
        <v>26</v>
      </c>
      <c r="B8321" s="45" t="str">
        <f>INDEX(overview!$B$4:$R$338,MATCH('hydrogen - electrolysis'!B8305,overview!$A$4:$A$338,0),MATCH('hydrogen - electrolysis'!A8321,overview!$B$3:$R$3,0))</f>
        <v>Wind (DK)</v>
      </c>
    </row>
    <row r="8322" spans="1:2" x14ac:dyDescent="0.2">
      <c r="A8322" t="s">
        <v>29</v>
      </c>
      <c r="B8322" s="45">
        <f>INDEX(overview!$B$4:$R$338,MATCH('hydrogen - electrolysis'!B8305,overview!$A$4:$A$338,0),MATCH('hydrogen - electrolysis'!A8322,overview!$B$3:$R$3,0))</f>
        <v>0</v>
      </c>
    </row>
    <row r="8323" spans="1:2" x14ac:dyDescent="0.2">
      <c r="A8323" t="str">
        <f>IF(B8307="megajoule","Heat","Electricity")&amp;" conversion efficiency [% LHV input]"</f>
        <v>Heat conversion efficiency [% LHV input]</v>
      </c>
      <c r="B8323" s="46">
        <f>INDEX(parameters!$D$4:$N$20,MATCH('hydrogen - electrolysis'!B8311&amp;'hydrogen - electrolysis'!B8313,parameters!$A$4:$A$20,0),MATCH('hydrogen - electrolysis'!A8323,parameters!$D$3:$N$3,0))</f>
        <v>0.41699999999999998</v>
      </c>
    </row>
    <row r="8324" spans="1:2" x14ac:dyDescent="0.2">
      <c r="A8324" t="str">
        <f>IF(B8307="megajoule","LHV [MJ/kg]","LHV [kWh/kg]")</f>
        <v>LHV [MJ/kg]</v>
      </c>
      <c r="B8324" s="47">
        <f>INDEX(parameters!$D$4:$N$20,MATCH('hydrogen - electrolysis'!B8311&amp;'hydrogen - electrolysis'!B8313,parameters!$A$4:$A$20,0),MATCH('hydrogen - electrolysis'!A8324,parameters!$D$3:$N$3,0))</f>
        <v>120</v>
      </c>
    </row>
    <row r="8325" spans="1:2" x14ac:dyDescent="0.2">
      <c r="A8325" t="s">
        <v>41</v>
      </c>
      <c r="B8325" s="48">
        <f>INDEX(parameters!$D$4:$N$20,MATCH('hydrogen - electrolysis'!B8311&amp;'hydrogen - electrolysis'!B8313,parameters!$A$4:$A$20,0),MATCH('hydrogen - electrolysis'!A8325,parameters!$D$3:$N$3,0))</f>
        <v>2.6666666666666665E-2</v>
      </c>
    </row>
    <row r="8326" spans="1:2" x14ac:dyDescent="0.2">
      <c r="A8326" t="s">
        <v>45</v>
      </c>
      <c r="B8326" s="46">
        <f>INDEX(parameters!$D$4:$N$20,MATCH('hydrogen - electrolysis'!B8311&amp;'hydrogen - electrolysis'!B8313,parameters!$A$4:$A$20,0),MATCH('hydrogen - electrolysis'!A8326,parameters!$D$3:$N$3,0))</f>
        <v>0</v>
      </c>
    </row>
    <row r="8327" spans="1:2" x14ac:dyDescent="0.2">
      <c r="A8327" t="s">
        <v>46</v>
      </c>
      <c r="B8327" s="46">
        <f>INDEX(parameters!$D$4:$N$20,MATCH('hydrogen - electrolysis'!B8311&amp;'hydrogen - electrolysis'!B8313,parameters!$A$4:$A$20,0),MATCH('hydrogen - electrolysis'!A8327,parameters!$D$3:$N$3,0))</f>
        <v>1.4999999999999999E-2</v>
      </c>
    </row>
    <row r="8328" spans="1:2" x14ac:dyDescent="0.2">
      <c r="A8328" t="s">
        <v>43</v>
      </c>
      <c r="B8328" s="46">
        <f>INDEX(parameters!$D$4:$N$20,MATCH('hydrogen - electrolysis'!B8311&amp;'hydrogen - electrolysis'!B8313,parameters!$A$4:$A$20,0),MATCH('hydrogen - electrolysis'!A8328,parameters!$D$3:$N$3,0))</f>
        <v>0</v>
      </c>
    </row>
    <row r="8329" spans="1:2" x14ac:dyDescent="0.2">
      <c r="A8329" t="s">
        <v>44</v>
      </c>
      <c r="B8329" s="46">
        <f>INDEX(parameters!$D$4:$N$20,MATCH('hydrogen - electrolysis'!B8311&amp;'hydrogen - electrolysis'!B8313,parameters!$A$4:$A$20,0),MATCH('hydrogen - electrolysis'!A8329,parameters!$D$3:$N$3,0))</f>
        <v>0</v>
      </c>
    </row>
    <row r="8330" spans="1:2" x14ac:dyDescent="0.2">
      <c r="A8330" t="s">
        <v>634</v>
      </c>
      <c r="B8330" s="51">
        <f>INDEX(parameters!$D$4:$Y$20,MATCH('hydrogen - electrolysis'!B8311&amp;'hydrogen - electrolysis'!B8313,parameters!$A$4:$A$20,0),MATCH('hydrogen - electrolysis'!A8330,parameters!$D$3:$Y$3,0))</f>
        <v>351.41800246609125</v>
      </c>
    </row>
    <row r="8331" spans="1:2" x14ac:dyDescent="0.2">
      <c r="A8331" t="s">
        <v>82</v>
      </c>
      <c r="B8331" s="46">
        <f>IF(B8322&lt;&gt;0,VLOOKUP(B8322,parameters!A5229:B5231,2,0),0)</f>
        <v>0</v>
      </c>
    </row>
    <row r="8332" spans="1:2" x14ac:dyDescent="0.2">
      <c r="A8332" t="s">
        <v>548</v>
      </c>
      <c r="B8332" s="50">
        <f>INDEX(parameters!$D$4:$P$20,MATCH(B8311&amp;B8313,parameters!$A$4:$A$20,0),MATCH(A8332,parameters!$D$3:$P$3,0))</f>
        <v>125</v>
      </c>
    </row>
    <row r="8333" spans="1:2" x14ac:dyDescent="0.2">
      <c r="A8333" t="s">
        <v>547</v>
      </c>
      <c r="B8333" s="51">
        <f>INDEX(parameters!$D$4:$P$20,MATCH(B8311&amp;B8313,parameters!$A$4:$A$20,0),MATCH(A8333,parameters!$D$3:$P$3,0))</f>
        <v>19.512195121951219</v>
      </c>
    </row>
    <row r="8334" spans="1:2" x14ac:dyDescent="0.2">
      <c r="A8334" t="s">
        <v>630</v>
      </c>
      <c r="B8334" s="51">
        <f>INDEX(parameters!$D$4:$T$20,MATCH(B8311&amp;B8313,parameters!$A$4:$A$20,0),MATCH(A8334,parameters!$D$3:$T$3,0))</f>
        <v>4100</v>
      </c>
    </row>
    <row r="8335" spans="1:2" x14ac:dyDescent="0.2">
      <c r="A8335" t="s">
        <v>1005</v>
      </c>
      <c r="B8335" s="50">
        <f>IF(B8307="megajoule",SUMIFS(allocation!$I$4:$I$30,allocation!$B$4:$B$30,B8313,allocation!$C$4:$C$30,B8314),SUMIFS(allocation!$J$4:$J$30,allocation!$B$4:$B$30,B8313,allocation!$C$4:$C$30,B8314))</f>
        <v>0.12860042227295038</v>
      </c>
    </row>
    <row r="8336" spans="1:2" x14ac:dyDescent="0.2">
      <c r="A8336" t="s">
        <v>1050</v>
      </c>
      <c r="B8336" s="51">
        <f>INDEX(parameters!$D$4:$AB$20,MATCH(B8311&amp;B8313,parameters!$A$4:$A$20,0),MATCH(A8336,parameters!$D$3:$AB$3,0))</f>
        <v>2220.7364520822662</v>
      </c>
    </row>
    <row r="8338" spans="1:22" x14ac:dyDescent="0.2">
      <c r="A8338" s="3" t="s">
        <v>57</v>
      </c>
    </row>
    <row r="8339" spans="1:22" x14ac:dyDescent="0.2">
      <c r="A8339" s="2" t="s">
        <v>58</v>
      </c>
      <c r="B8339" s="44" t="s">
        <v>59</v>
      </c>
      <c r="C8339" s="2" t="s">
        <v>55</v>
      </c>
      <c r="D8339" s="2" t="s">
        <v>60</v>
      </c>
      <c r="E8339" s="2" t="s">
        <v>52</v>
      </c>
      <c r="F8339" s="2" t="s">
        <v>61</v>
      </c>
      <c r="G8339" s="2" t="s">
        <v>54</v>
      </c>
      <c r="H8339" s="2" t="s">
        <v>87</v>
      </c>
      <c r="I8339" s="2" t="s">
        <v>51</v>
      </c>
      <c r="J8339" s="2" t="s">
        <v>138</v>
      </c>
      <c r="K8339" s="2" t="s">
        <v>136</v>
      </c>
      <c r="L8339" s="2" t="s">
        <v>221</v>
      </c>
      <c r="M8339" s="2" t="s">
        <v>379</v>
      </c>
      <c r="N8339" s="2" t="s">
        <v>1059</v>
      </c>
      <c r="O8339" s="2" t="s">
        <v>1060</v>
      </c>
      <c r="P8339" s="2" t="s">
        <v>1061</v>
      </c>
      <c r="Q8339" s="2" t="s">
        <v>1062</v>
      </c>
      <c r="R8339" s="2" t="s">
        <v>1063</v>
      </c>
      <c r="S8339" s="2" t="s">
        <v>1064</v>
      </c>
      <c r="T8339" s="2" t="s">
        <v>1065</v>
      </c>
      <c r="U8339" s="2" t="s">
        <v>380</v>
      </c>
      <c r="V8339" s="2" t="s">
        <v>1128</v>
      </c>
    </row>
    <row r="8340" spans="1:22" x14ac:dyDescent="0.2">
      <c r="A8340" t="str">
        <f>B8301</f>
        <v>heat, residential, by combustion of hydrogen using CHP, allocated by exergy, transported by train, produced by Electrolysis, Alkaline using water and electricity from Wind (DK)</v>
      </c>
      <c r="B8340" s="45">
        <v>1</v>
      </c>
      <c r="C8340" t="str">
        <f>B8307</f>
        <v>megajoule</v>
      </c>
      <c r="E8340" t="str">
        <f>B8304</f>
        <v>CH</v>
      </c>
      <c r="F8340" t="s">
        <v>62</v>
      </c>
      <c r="G8340" t="str">
        <f>B8306</f>
        <v>heat, from residential heating system</v>
      </c>
      <c r="K8340" t="str">
        <f>B8301</f>
        <v>heat, residential, by combustion of hydrogen using CHP, allocated by exergy, transported by train, produced by Electrolysis, Alkaline using water and electricity from Wind (DK)</v>
      </c>
    </row>
    <row r="8341" spans="1:22" x14ac:dyDescent="0.2">
      <c r="A8341" t="str">
        <f>VLOOKUP(J8341,'dataset mapping'!$A$4:$E$69,2,0)</f>
        <v>heat and power co-generation unit construction, 160kW electrical, common components for heat+electricity</v>
      </c>
      <c r="B8341" s="52">
        <f>(1/(B8330*B8334*B8333*3.6))*B8335</f>
        <v>1.270649883812899E-9</v>
      </c>
      <c r="C8341" t="str">
        <f>VLOOKUP(J8341,'dataset mapping'!$A$4:$E$69,5,0)</f>
        <v>unit</v>
      </c>
      <c r="E8341" t="str">
        <f>VLOOKUP(J8341,'dataset mapping'!$A$4:$E$69,4,0)</f>
        <v>RER</v>
      </c>
      <c r="F8341" t="s">
        <v>86</v>
      </c>
      <c r="G8341" t="str">
        <f>VLOOKUP(J8341,'dataset mapping'!$A$4:$E$69,3,0)</f>
        <v>heat and power co-generation unit, 160kW electrical, common components for heat+electricity</v>
      </c>
      <c r="H8341" t="s">
        <v>88</v>
      </c>
      <c r="J8341" t="s">
        <v>145</v>
      </c>
      <c r="K8341" t="str">
        <f>B8301</f>
        <v>heat, residential, by combustion of hydrogen using CHP, allocated by exergy, transported by train, produced by Electrolysis, Alkaline using water and electricity from Wind (DK)</v>
      </c>
      <c r="L8341">
        <f t="shared" ref="L8341:L8350" si="340">IF(OR(B8341&lt;0,B8341=0),1,2)</f>
        <v>2</v>
      </c>
      <c r="M8341">
        <f t="shared" ref="M8341:M8350" si="341">IF(L8341=2,LN(B8341),"")</f>
        <v>-20.48373734782199</v>
      </c>
      <c r="N8341">
        <v>1.05</v>
      </c>
      <c r="O8341" s="15">
        <v>1.2</v>
      </c>
      <c r="P8341">
        <v>1</v>
      </c>
      <c r="Q8341">
        <v>1.01</v>
      </c>
      <c r="R8341">
        <v>1.2</v>
      </c>
      <c r="S8341">
        <v>1.2</v>
      </c>
      <c r="T8341">
        <v>3</v>
      </c>
      <c r="U8341">
        <f t="shared" ref="U8341:U8350" si="342">LN(SQRT(EXP(
SQRT(
+POWER(LN(N8341),2)
+POWER(LN(O8341),2)
+POWER(LN(P8341),2)
+POWER(LN(Q8341),2)
+POWER(LN(R8341),2)
+POWER(LN(S8341),2)
+POWER(LN(T8341),2)
)
)))</f>
        <v>0.57209088006881903</v>
      </c>
    </row>
    <row r="8342" spans="1:22" x14ac:dyDescent="0.2">
      <c r="A8342" t="str">
        <f>VLOOKUP(J8342,'dataset mapping'!$A$4:$E$69,2,0)</f>
        <v>heat and power co-generation unit construction, 160kW electrical, components for electricity only</v>
      </c>
      <c r="B8342" s="52">
        <f>(1/(B8330*B8334*B8333*3.6))*B8335</f>
        <v>1.270649883812899E-9</v>
      </c>
      <c r="C8342" t="str">
        <f>VLOOKUP(J8342,'dataset mapping'!$A$4:$E$69,5,0)</f>
        <v>unit</v>
      </c>
      <c r="E8342" t="str">
        <f>VLOOKUP(J8342,'dataset mapping'!$A$4:$E$69,4,0)</f>
        <v>RER</v>
      </c>
      <c r="F8342" t="s">
        <v>86</v>
      </c>
      <c r="G8342" t="str">
        <f>VLOOKUP(J8342,'dataset mapping'!$A$4:$E$69,3,0)</f>
        <v>heat and power co-generation unit, 160kW electrical, components for electricity only</v>
      </c>
      <c r="H8342" t="s">
        <v>88</v>
      </c>
      <c r="J8342" t="s">
        <v>146</v>
      </c>
      <c r="K8342" t="str">
        <f>B8301</f>
        <v>heat, residential, by combustion of hydrogen using CHP, allocated by exergy, transported by train, produced by Electrolysis, Alkaline using water and electricity from Wind (DK)</v>
      </c>
      <c r="L8342">
        <f t="shared" si="340"/>
        <v>2</v>
      </c>
      <c r="M8342">
        <f t="shared" si="341"/>
        <v>-20.48373734782199</v>
      </c>
      <c r="N8342">
        <v>1.05</v>
      </c>
      <c r="O8342" s="15">
        <v>1.2</v>
      </c>
      <c r="P8342">
        <v>1</v>
      </c>
      <c r="Q8342">
        <v>1.01</v>
      </c>
      <c r="R8342">
        <v>1.2</v>
      </c>
      <c r="S8342">
        <v>1.2</v>
      </c>
      <c r="T8342">
        <v>3</v>
      </c>
      <c r="U8342">
        <f t="shared" si="342"/>
        <v>0.57209088006881903</v>
      </c>
    </row>
    <row r="8343" spans="1:22" x14ac:dyDescent="0.2">
      <c r="A8343" t="str">
        <f>VLOOKUP(J8343,'dataset mapping'!$A$4:$E$69,2,0)</f>
        <v>heat and power co-generation unit construction, 160kW electrical, components for heat only</v>
      </c>
      <c r="B8343" s="52">
        <f>(1/(B8330*B8334*B8333*3.6))*B8335</f>
        <v>1.270649883812899E-9</v>
      </c>
      <c r="C8343" t="str">
        <f>VLOOKUP(J8343,'dataset mapping'!$A$4:$E$69,5,0)</f>
        <v>unit</v>
      </c>
      <c r="E8343" t="str">
        <f>VLOOKUP(J8343,'dataset mapping'!$A$4:$E$69,4,0)</f>
        <v>RER</v>
      </c>
      <c r="F8343" t="s">
        <v>86</v>
      </c>
      <c r="G8343" t="str">
        <f>VLOOKUP(J8343,'dataset mapping'!$A$4:$E$69,3,0)</f>
        <v>heat and power co-generation unit, 160kW electrical, components for heat only</v>
      </c>
      <c r="H8343" t="s">
        <v>88</v>
      </c>
      <c r="J8343" t="s">
        <v>147</v>
      </c>
      <c r="K8343" t="str">
        <f>B8301</f>
        <v>heat, residential, by combustion of hydrogen using CHP, allocated by exergy, transported by train, produced by Electrolysis, Alkaline using water and electricity from Wind (DK)</v>
      </c>
      <c r="L8343">
        <f t="shared" si="340"/>
        <v>2</v>
      </c>
      <c r="M8343">
        <f t="shared" si="341"/>
        <v>-20.48373734782199</v>
      </c>
      <c r="N8343">
        <v>1.05</v>
      </c>
      <c r="O8343" s="15">
        <v>1.2</v>
      </c>
      <c r="P8343">
        <v>1</v>
      </c>
      <c r="Q8343">
        <v>1.01</v>
      </c>
      <c r="R8343">
        <v>1.2</v>
      </c>
      <c r="S8343">
        <v>1.2</v>
      </c>
      <c r="T8343">
        <v>3</v>
      </c>
      <c r="U8343">
        <f t="shared" si="342"/>
        <v>0.57209088006881903</v>
      </c>
    </row>
    <row r="8344" spans="1:22" x14ac:dyDescent="0.2">
      <c r="A8344" t="s">
        <v>156</v>
      </c>
      <c r="B8344" s="52">
        <f>0.00000011366*B8335</f>
        <v>1.461672399554354E-8</v>
      </c>
      <c r="C8344" t="s">
        <v>56</v>
      </c>
      <c r="E8344" t="s">
        <v>90</v>
      </c>
      <c r="F8344" t="s">
        <v>86</v>
      </c>
      <c r="G8344" t="s">
        <v>154</v>
      </c>
      <c r="H8344" t="s">
        <v>155</v>
      </c>
      <c r="K8344" t="str">
        <f>B8301</f>
        <v>heat, residential, by combustion of hydrogen using CHP, allocated by exergy, transported by train, produced by Electrolysis, Alkaline using water and electricity from Wind (DK)</v>
      </c>
      <c r="L8344">
        <f t="shared" si="340"/>
        <v>2</v>
      </c>
      <c r="M8344">
        <f t="shared" si="341"/>
        <v>-18.041099484645969</v>
      </c>
      <c r="N8344">
        <v>1.05</v>
      </c>
      <c r="O8344" s="15">
        <v>1.2</v>
      </c>
      <c r="P8344">
        <v>1</v>
      </c>
      <c r="Q8344">
        <v>1.01</v>
      </c>
      <c r="R8344">
        <v>1.2</v>
      </c>
      <c r="S8344">
        <v>1.2</v>
      </c>
      <c r="T8344">
        <v>1.05</v>
      </c>
      <c r="U8344">
        <f t="shared" si="342"/>
        <v>0.16169679924070957</v>
      </c>
    </row>
    <row r="8345" spans="1:22" x14ac:dyDescent="0.2">
      <c r="A8345" t="s">
        <v>157</v>
      </c>
      <c r="B8345" s="52">
        <f>0.00000011366*B8335*-1</f>
        <v>-1.461672399554354E-8</v>
      </c>
      <c r="C8345" t="s">
        <v>56</v>
      </c>
      <c r="E8345" t="s">
        <v>64</v>
      </c>
      <c r="F8345" t="s">
        <v>86</v>
      </c>
      <c r="G8345" t="s">
        <v>158</v>
      </c>
      <c r="H8345" t="s">
        <v>155</v>
      </c>
      <c r="K8345" t="str">
        <f>B8301</f>
        <v>heat, residential, by combustion of hydrogen using CHP, allocated by exergy, transported by train, produced by Electrolysis, Alkaline using water and electricity from Wind (DK)</v>
      </c>
      <c r="L8345">
        <v>2</v>
      </c>
      <c r="M8345">
        <f>IF(L8345=2,LN(B8345*-1),"")</f>
        <v>-18.041099484645969</v>
      </c>
      <c r="N8345">
        <v>1.05</v>
      </c>
      <c r="O8345" s="15">
        <v>1.2</v>
      </c>
      <c r="P8345">
        <v>1</v>
      </c>
      <c r="Q8345">
        <v>1.01</v>
      </c>
      <c r="R8345">
        <v>1.2</v>
      </c>
      <c r="S8345">
        <v>1.2</v>
      </c>
      <c r="T8345">
        <v>3</v>
      </c>
      <c r="U8345">
        <f>LN(SQRT(EXP(
SQRT(
+POWER(LN(N8345),2)
+POWER(LN(O8345),2)
+POWER(LN(P8345),2)
+POWER(LN(Q8345),2)
+POWER(LN(R8345),2)
+POWER(LN(S8345),2)
+POWER(LN(T8345),2)
)
)))</f>
        <v>0.57209088006881903</v>
      </c>
      <c r="V8345" t="b">
        <v>1</v>
      </c>
    </row>
    <row r="8346" spans="1:22" x14ac:dyDescent="0.2">
      <c r="A8346" s="45" t="str">
        <f>"hydrogen supply, transported by "&amp;B8315&amp;", produced by "&amp;B8319&amp;" using "&amp;B8320&amp;" from "&amp;B8321</f>
        <v>hydrogen supply, transported by train, produced by Electrolysis, Alkaline using water and electricity from Wind (DK)</v>
      </c>
      <c r="B8346" s="53">
        <f>(B8340/B8324)/B8323*B8335</f>
        <v>2.56995248347223E-3</v>
      </c>
      <c r="C8346" t="s">
        <v>56</v>
      </c>
      <c r="E8346" t="s">
        <v>64</v>
      </c>
      <c r="F8346" t="s">
        <v>86</v>
      </c>
      <c r="G8346" t="str">
        <f>"hydrogen, gaseous, from "&amp;B8315</f>
        <v>hydrogen, gaseous, from train</v>
      </c>
      <c r="H8346" t="s">
        <v>76</v>
      </c>
      <c r="I8346" t="s">
        <v>1054</v>
      </c>
      <c r="J8346" t="s">
        <v>302</v>
      </c>
      <c r="K8346" t="str">
        <f>B8301</f>
        <v>heat, residential, by combustion of hydrogen using CHP, allocated by exergy, transported by train, produced by Electrolysis, Alkaline using water and electricity from Wind (DK)</v>
      </c>
      <c r="L8346">
        <f t="shared" si="340"/>
        <v>2</v>
      </c>
      <c r="M8346">
        <f t="shared" si="341"/>
        <v>-5.9638678691672418</v>
      </c>
      <c r="N8346">
        <v>1.05</v>
      </c>
      <c r="O8346" s="15">
        <v>1.2</v>
      </c>
      <c r="P8346">
        <v>1</v>
      </c>
      <c r="Q8346">
        <v>1.01</v>
      </c>
      <c r="R8346">
        <v>1.2</v>
      </c>
      <c r="S8346">
        <v>1.2</v>
      </c>
      <c r="T8346">
        <v>1.05</v>
      </c>
      <c r="U8346">
        <f t="shared" si="342"/>
        <v>0.16169679924070957</v>
      </c>
    </row>
    <row r="8347" spans="1:22" x14ac:dyDescent="0.2">
      <c r="A8347" t="str">
        <f>VLOOKUP(J8347,'dataset mapping'!$A$4:$E$69,2,0)</f>
        <v>market for transport, freight train</v>
      </c>
      <c r="B8347" s="45">
        <f>SUM(B8346:B8346)/1000*B8316</f>
        <v>3.3409382285138995E-3</v>
      </c>
      <c r="C8347" t="str">
        <f>VLOOKUP(J8347,'dataset mapping'!$A$4:$E$69,5,0)</f>
        <v>ton kilometer</v>
      </c>
      <c r="E8347" t="str">
        <f>VLOOKUP(J8347,'dataset mapping'!$A$4:$E$69,4,0)</f>
        <v>CH</v>
      </c>
      <c r="F8347" t="s">
        <v>86</v>
      </c>
      <c r="G8347" t="str">
        <f>VLOOKUP(J8347,'dataset mapping'!$A$4:$E$69,3,0)</f>
        <v>transport, freight train</v>
      </c>
      <c r="H8347" t="s">
        <v>88</v>
      </c>
      <c r="I8347" t="s">
        <v>1052</v>
      </c>
      <c r="J8347" t="s">
        <v>295</v>
      </c>
      <c r="K8347" t="str">
        <f>B8301</f>
        <v>heat, residential, by combustion of hydrogen using CHP, allocated by exergy, transported by train, produced by Electrolysis, Alkaline using water and electricity from Wind (DK)</v>
      </c>
      <c r="L8347">
        <f t="shared" si="340"/>
        <v>2</v>
      </c>
      <c r="M8347">
        <f t="shared" si="341"/>
        <v>-5.7015036046997505</v>
      </c>
      <c r="N8347">
        <v>1.05</v>
      </c>
      <c r="O8347" s="15">
        <v>1.2</v>
      </c>
      <c r="P8347">
        <v>1</v>
      </c>
      <c r="Q8347">
        <v>1.01</v>
      </c>
      <c r="R8347">
        <v>1.2</v>
      </c>
      <c r="S8347">
        <v>1.2</v>
      </c>
      <c r="T8347">
        <v>2</v>
      </c>
      <c r="U8347">
        <f t="shared" si="342"/>
        <v>0.38165951885721477</v>
      </c>
    </row>
    <row r="8348" spans="1:22" x14ac:dyDescent="0.2">
      <c r="A8348" t="str">
        <f>VLOOKUP(J8348,'dataset mapping'!$A$4:$E$69,2,0)</f>
        <v>high pressure hydrogen storage tank</v>
      </c>
      <c r="B8348" s="52">
        <f>((B8336/10)/(B8334*B8330*20*3.6))*IF(B8335&lt;&gt;0,B8335,1)</f>
        <v>2.7529546486023421E-7</v>
      </c>
      <c r="C8348" t="str">
        <f>VLOOKUP(J8348,'dataset mapping'!$A$4:$E$69,5,0)</f>
        <v>kilogram</v>
      </c>
      <c r="E8348" t="str">
        <f>VLOOKUP(J8348,'dataset mapping'!$A$4:$E$69,4,0)</f>
        <v>GLO</v>
      </c>
      <c r="F8348" t="s">
        <v>86</v>
      </c>
      <c r="G8348" t="str">
        <f>VLOOKUP(J8348,'dataset mapping'!$A$4:$E$69,3,0)</f>
        <v>high pressure hydrogen storage tank</v>
      </c>
      <c r="H8348" t="s">
        <v>88</v>
      </c>
      <c r="I8348" t="s">
        <v>279</v>
      </c>
      <c r="J8348" t="s">
        <v>229</v>
      </c>
      <c r="K8348" t="str">
        <f>B8301</f>
        <v>heat, residential, by combustion of hydrogen using CHP, allocated by exergy, transported by train, produced by Electrolysis, Alkaline using water and electricity from Wind (DK)</v>
      </c>
      <c r="L8348">
        <f t="shared" si="340"/>
        <v>2</v>
      </c>
      <c r="M8348">
        <f t="shared" si="341"/>
        <v>-15.105420898379837</v>
      </c>
      <c r="N8348">
        <v>1.05</v>
      </c>
      <c r="O8348" s="15">
        <v>1.2</v>
      </c>
      <c r="P8348">
        <v>1</v>
      </c>
      <c r="Q8348">
        <v>1.01</v>
      </c>
      <c r="R8348">
        <v>1.2</v>
      </c>
      <c r="S8348">
        <v>1.2</v>
      </c>
      <c r="T8348">
        <v>3</v>
      </c>
      <c r="U8348">
        <f t="shared" si="342"/>
        <v>0.57209088006881903</v>
      </c>
    </row>
    <row r="8349" spans="1:22" x14ac:dyDescent="0.2">
      <c r="A8349" t="s">
        <v>134</v>
      </c>
      <c r="B8349" s="45">
        <f>B8346*9</f>
        <v>2.3129572351250072E-2</v>
      </c>
      <c r="C8349" t="s">
        <v>56</v>
      </c>
      <c r="D8349" t="s">
        <v>100</v>
      </c>
      <c r="F8349" t="s">
        <v>99</v>
      </c>
      <c r="H8349" t="s">
        <v>131</v>
      </c>
      <c r="I8349" t="s">
        <v>1058</v>
      </c>
      <c r="K8349" t="str">
        <f>B8301</f>
        <v>heat, residential, by combustion of hydrogen using CHP, allocated by exergy, transported by train, produced by Electrolysis, Alkaline using water and electricity from Wind (DK)</v>
      </c>
      <c r="L8349">
        <f t="shared" si="340"/>
        <v>2</v>
      </c>
      <c r="M8349">
        <f t="shared" si="341"/>
        <v>-3.7666432918310226</v>
      </c>
      <c r="N8349">
        <v>1.05</v>
      </c>
      <c r="O8349" s="15">
        <v>1.2</v>
      </c>
      <c r="P8349">
        <v>1</v>
      </c>
      <c r="Q8349">
        <v>1.01</v>
      </c>
      <c r="R8349">
        <v>1.2</v>
      </c>
      <c r="S8349">
        <v>1.2</v>
      </c>
      <c r="T8349">
        <v>1.05</v>
      </c>
      <c r="U8349">
        <f t="shared" si="342"/>
        <v>0.16169679924070957</v>
      </c>
    </row>
    <row r="8350" spans="1:22" x14ac:dyDescent="0.2">
      <c r="A8350" t="s">
        <v>135</v>
      </c>
      <c r="B8350" s="45">
        <f>912.5/1000000*B8347</f>
        <v>3.0486061335189335E-6</v>
      </c>
      <c r="C8350" t="s">
        <v>56</v>
      </c>
      <c r="D8350" t="s">
        <v>100</v>
      </c>
      <c r="F8350" t="s">
        <v>99</v>
      </c>
      <c r="H8350" t="s">
        <v>131</v>
      </c>
      <c r="I8350" t="s">
        <v>1217</v>
      </c>
      <c r="K8350" t="str">
        <f>B8301</f>
        <v>heat, residential, by combustion of hydrogen using CHP, allocated by exergy, transported by train, produced by Electrolysis, Alkaline using water and electricity from Wind (DK)</v>
      </c>
      <c r="L8350">
        <f t="shared" si="340"/>
        <v>2</v>
      </c>
      <c r="M8350">
        <f t="shared" si="341"/>
        <v>-12.700826077207378</v>
      </c>
      <c r="N8350">
        <v>1.05</v>
      </c>
      <c r="O8350" s="15">
        <v>1.2</v>
      </c>
      <c r="P8350">
        <v>1</v>
      </c>
      <c r="Q8350">
        <v>1.01</v>
      </c>
      <c r="R8350">
        <v>1.2</v>
      </c>
      <c r="S8350">
        <v>1.2</v>
      </c>
      <c r="T8350">
        <v>1.5</v>
      </c>
      <c r="U8350">
        <f t="shared" si="342"/>
        <v>0.25816898211842121</v>
      </c>
    </row>
    <row r="8352" spans="1:22" x14ac:dyDescent="0.2">
      <c r="A8352" s="2" t="s">
        <v>50</v>
      </c>
      <c r="B8352" s="44" t="str">
        <f>IF(B8358="megajoule","heat","electricity")&amp;", residential, by "&amp;B8363&amp;" of "&amp;B8362&amp;" using "&amp;B8364&amp;IF(B8365&lt;&gt;0,", allocated by "&amp;B8365,"")&amp;", transported by "&amp;B8366&amp;", produced by "&amp;B8370&amp;" using "&amp;B8371&amp;" from "&amp;B8372</f>
        <v>heat, residential, by conversion of hydrogen using fuel cell, PEM, allocated by exergy, transported by train, produced by Electrolysis, Alkaline using water and electricity from Wind (DK)</v>
      </c>
    </row>
    <row r="8353" spans="1:2" x14ac:dyDescent="0.2">
      <c r="A8353" t="s">
        <v>51</v>
      </c>
      <c r="B8353" s="45" t="str">
        <f>"This dataset represents the supply of 1 "&amp;IF(B8358="megajoule","megajoule of heat","kilowatt hour of electricity")&amp;" in a residence, by "&amp;B8362&amp;" "&amp;B8363&amp;" in a "&amp;B8364&amp;". "&amp;" The hydrogen is transported by "&amp;B8366&amp;" over "&amp;B8367&amp;" km from regional storage. "&amp;" The "&amp;B8362&amp;" is produced by  "&amp;B8370&amp;", with "&amp;B8371&amp;" from "&amp;B8372&amp;" as feedstock. "&amp;A8374&amp;": "&amp;(B8374*100)&amp;"%. "&amp;A8375&amp;": "&amp;B8375&amp;". "&amp;A8376&amp;": "&amp;B8376&amp;". "&amp;A8377&amp;": "&amp;(B8377*100)&amp;"%. "&amp;A8378&amp;": "&amp;(B8378*100)&amp;"%. "&amp;A8379&amp;": "&amp;(B8379*100)&amp;"%. "&amp;A8380&amp;": "&amp;B8380&amp;". "&amp;A8381&amp;": "&amp;B8381&amp;". "&amp;A8382&amp;": "&amp;(B8382*100)&amp;"%. "&amp;A8383&amp;": "&amp;B8383&amp;". "&amp;A8384&amp;": "&amp;B8384&amp;". "&amp;A8385&amp;": "&amp;B8385&amp;". "&amp;A8386&amp;": "&amp;B8386&amp;".  For more information, refer to: "&amp;B8354</f>
        <v>This dataset represents the supply of 1 megajoule of heat in a residence, by hydrogen conversion in a fuel cell, PEM.  The hydrogen is transported by train over 1300 km from regional storage.  The hydrogen is produced by  Electrolysis, Alkaline,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8354" spans="1:2" x14ac:dyDescent="0.2">
      <c r="A8354" t="s">
        <v>63</v>
      </c>
      <c r="B8354" s="45" t="s">
        <v>1223</v>
      </c>
    </row>
    <row r="8355" spans="1:2" x14ac:dyDescent="0.2">
      <c r="A8355" t="s">
        <v>52</v>
      </c>
      <c r="B8355" s="45" t="s">
        <v>64</v>
      </c>
    </row>
    <row r="8356" spans="1:2" x14ac:dyDescent="0.2">
      <c r="A8356" t="s">
        <v>48</v>
      </c>
      <c r="B8356" s="45">
        <v>103</v>
      </c>
    </row>
    <row r="8357" spans="1:2" x14ac:dyDescent="0.2">
      <c r="A8357" t="s">
        <v>54</v>
      </c>
      <c r="B8357" s="45" t="str">
        <f>INDEX(overview!$B$4:$R$338,MATCH('hydrogen - electrolysis'!B8356,overview!$A$4:$A$338,0),MATCH('hydrogen - electrolysis'!A8357,overview!$B$3:$R$3,0))</f>
        <v>heat, from residential heating system</v>
      </c>
    </row>
    <row r="8358" spans="1:2" x14ac:dyDescent="0.2">
      <c r="A8358" t="s">
        <v>55</v>
      </c>
      <c r="B8358" s="45" t="str">
        <f>INDEX(overview!$B$4:$R$338,MATCH('hydrogen - electrolysis'!B8356,overview!$A$4:$A$338,0),MATCH('hydrogen - electrolysis'!A8358,overview!$B$3:$R$3,0))</f>
        <v>megajoule</v>
      </c>
    </row>
    <row r="8359" spans="1:2" x14ac:dyDescent="0.2">
      <c r="A8359" t="s">
        <v>0</v>
      </c>
      <c r="B8359" s="45" t="str">
        <f>INDEX(overview!$B$4:$R$338,MATCH('hydrogen - electrolysis'!B8356,overview!$A$4:$A$338,0),MATCH('hydrogen - electrolysis'!A8359,overview!$B$3:$R$3,0))</f>
        <v>Switzerland</v>
      </c>
    </row>
    <row r="8360" spans="1:2" x14ac:dyDescent="0.2">
      <c r="A8360" t="s">
        <v>1</v>
      </c>
      <c r="B8360" s="45">
        <f>INDEX(overview!$B$4:$R$338,MATCH('hydrogen - electrolysis'!B8356,overview!$A$4:$A$338,0),MATCH('hydrogen - electrolysis'!A8360,overview!$B$3:$R$3,0))</f>
        <v>2020</v>
      </c>
    </row>
    <row r="8361" spans="1:2" x14ac:dyDescent="0.2">
      <c r="A8361" t="s">
        <v>2</v>
      </c>
      <c r="B8361" s="45" t="str">
        <f>INDEX(overview!$B$4:$R$338,MATCH('hydrogen - electrolysis'!B8356,overview!$A$4:$A$338,0),MATCH('hydrogen - electrolysis'!A8361,overview!$B$3:$R$3,0))</f>
        <v>1 MJ heat</v>
      </c>
    </row>
    <row r="8362" spans="1:2" x14ac:dyDescent="0.2">
      <c r="A8362" t="s">
        <v>5</v>
      </c>
      <c r="B8362" s="45" t="str">
        <f>INDEX(overview!$B$4:$R$338,MATCH('hydrogen - electrolysis'!B8356,overview!$A$4:$A$338,0),MATCH('hydrogen - electrolysis'!A8362,overview!$B$3:$R$3,0))</f>
        <v>hydrogen</v>
      </c>
    </row>
    <row r="8363" spans="1:2" x14ac:dyDescent="0.2">
      <c r="A8363" t="s">
        <v>3</v>
      </c>
      <c r="B8363" s="45" t="str">
        <f>INDEX(overview!$B$4:$R$338,MATCH('hydrogen - electrolysis'!B8356,overview!$A$4:$A$338,0),MATCH('hydrogen - electrolysis'!A8363,overview!$B$3:$R$3,0))</f>
        <v>conversion</v>
      </c>
    </row>
    <row r="8364" spans="1:2" x14ac:dyDescent="0.2">
      <c r="A8364" t="s">
        <v>6</v>
      </c>
      <c r="B8364" s="45" t="str">
        <f>INDEX(overview!$B$4:$R$338,MATCH('hydrogen - electrolysis'!B8356,overview!$A$4:$A$338,0),MATCH('hydrogen - electrolysis'!A8364,overview!$B$3:$R$3,0))</f>
        <v>fuel cell, PEM</v>
      </c>
    </row>
    <row r="8365" spans="1:2" x14ac:dyDescent="0.2">
      <c r="A8365" t="s">
        <v>39</v>
      </c>
      <c r="B8365" s="45" t="str">
        <f>INDEX(overview!$B$4:$R$338,MATCH('hydrogen - electrolysis'!B8356,overview!$A$4:$A$338,0),MATCH('hydrogen - electrolysis'!A8365,overview!$B$3:$R$3,0))</f>
        <v>exergy</v>
      </c>
    </row>
    <row r="8366" spans="1:2" x14ac:dyDescent="0.2">
      <c r="A8366" t="s">
        <v>4</v>
      </c>
      <c r="B8366" s="45" t="str">
        <f>INDEX(overview!$B$4:$R$338,MATCH('hydrogen - electrolysis'!B8356,overview!$A$4:$A$338,0),MATCH('hydrogen - electrolysis'!A8366,overview!$B$3:$R$3,0))</f>
        <v>train</v>
      </c>
    </row>
    <row r="8367" spans="1:2" x14ac:dyDescent="0.2">
      <c r="A8367" t="s">
        <v>38</v>
      </c>
      <c r="B8367" s="45">
        <f>INDEX(overview!$B$4:$R$338,MATCH('hydrogen - electrolysis'!B8356,overview!$A$4:$A$338,0),MATCH('hydrogen - electrolysis'!A8367,overview!$B$3:$R$3,0))</f>
        <v>1300</v>
      </c>
    </row>
    <row r="8368" spans="1:2" x14ac:dyDescent="0.2">
      <c r="A8368" t="s">
        <v>12</v>
      </c>
      <c r="B8368" s="45" t="str">
        <f>INDEX(overview!$B$4:$R$338,MATCH('hydrogen - electrolysis'!B8356,overview!$A$4:$A$338,0),MATCH('hydrogen - electrolysis'!A8368,overview!$B$3:$R$3,0))</f>
        <v>Pressure vessel for stationary storage</v>
      </c>
    </row>
    <row r="8369" spans="1:2" x14ac:dyDescent="0.2">
      <c r="A8369" t="s">
        <v>34</v>
      </c>
      <c r="B8369" s="45">
        <f>INDEX(overview!$B$4:$R$338,MATCH('hydrogen - electrolysis'!B8356,overview!$A$4:$A$338,0),MATCH('hydrogen - electrolysis'!A8369,overview!$B$3:$R$3,0))</f>
        <v>0</v>
      </c>
    </row>
    <row r="8370" spans="1:2" x14ac:dyDescent="0.2">
      <c r="A8370" t="s">
        <v>15</v>
      </c>
      <c r="B8370" s="45" t="str">
        <f>INDEX(overview!$B$4:$R$338,MATCH('hydrogen - electrolysis'!B8356,overview!$A$4:$A$338,0),MATCH('hydrogen - electrolysis'!A8370,overview!$B$3:$R$3,0))</f>
        <v>Electrolysis, Alkaline</v>
      </c>
    </row>
    <row r="8371" spans="1:2" x14ac:dyDescent="0.2">
      <c r="A8371" t="s">
        <v>14</v>
      </c>
      <c r="B8371" s="45" t="str">
        <f>INDEX(overview!$B$4:$R$338,MATCH('hydrogen - electrolysis'!B8356,overview!$A$4:$A$338,0),MATCH('hydrogen - electrolysis'!A8371,overview!$B$3:$R$3,0))</f>
        <v>water and electricity</v>
      </c>
    </row>
    <row r="8372" spans="1:2" x14ac:dyDescent="0.2">
      <c r="A8372" t="s">
        <v>26</v>
      </c>
      <c r="B8372" s="45" t="str">
        <f>INDEX(overview!$B$4:$R$338,MATCH('hydrogen - electrolysis'!B8356,overview!$A$4:$A$338,0),MATCH('hydrogen - electrolysis'!A8372,overview!$B$3:$R$3,0))</f>
        <v>Wind (DK)</v>
      </c>
    </row>
    <row r="8373" spans="1:2" x14ac:dyDescent="0.2">
      <c r="A8373" t="s">
        <v>29</v>
      </c>
      <c r="B8373" s="45">
        <f>INDEX(overview!$B$4:$R$338,MATCH('hydrogen - electrolysis'!B8356,overview!$A$4:$A$338,0),MATCH('hydrogen - electrolysis'!A8373,overview!$B$3:$R$3,0))</f>
        <v>0</v>
      </c>
    </row>
    <row r="8374" spans="1:2" x14ac:dyDescent="0.2">
      <c r="A8374" t="str">
        <f>IF(B8358="megajoule","Heat","Electricity")&amp;" conversion efficiency [% LHV input]"</f>
        <v>Heat conversion efficiency [% LHV input]</v>
      </c>
      <c r="B8374" s="46">
        <f>INDEX(parameters!$D$4:$N$20,MATCH('hydrogen - electrolysis'!B8362&amp;'hydrogen - electrolysis'!B8364,parameters!$A$4:$A$20,0),MATCH('hydrogen - electrolysis'!A8374,parameters!$D$3:$N$3,0))</f>
        <v>0.5</v>
      </c>
    </row>
    <row r="8375" spans="1:2" x14ac:dyDescent="0.2">
      <c r="A8375" t="str">
        <f>IF(B8358="megajoule","LHV [MJ/kg]","LHV [kWh/kg]")</f>
        <v>LHV [MJ/kg]</v>
      </c>
      <c r="B8375" s="47">
        <f>INDEX(parameters!$D$4:$N$20,MATCH('hydrogen - electrolysis'!B8362&amp;'hydrogen - electrolysis'!B8364,parameters!$A$4:$A$20,0),MATCH('hydrogen - electrolysis'!A8375,parameters!$D$3:$N$3,0))</f>
        <v>120</v>
      </c>
    </row>
    <row r="8376" spans="1:2" x14ac:dyDescent="0.2">
      <c r="A8376" t="s">
        <v>41</v>
      </c>
      <c r="B8376" s="48">
        <f>INDEX(parameters!$D$4:$N$20,MATCH('hydrogen - electrolysis'!B8362&amp;'hydrogen - electrolysis'!B8364,parameters!$A$4:$A$20,0),MATCH('hydrogen - electrolysis'!A8376,parameters!$D$3:$N$3,0))</f>
        <v>2.6666666666666665E-2</v>
      </c>
    </row>
    <row r="8377" spans="1:2" x14ac:dyDescent="0.2">
      <c r="A8377" t="s">
        <v>45</v>
      </c>
      <c r="B8377" s="46">
        <f>INDEX(parameters!$D$4:$N$20,MATCH('hydrogen - electrolysis'!B8362&amp;'hydrogen - electrolysis'!B8364,parameters!$A$4:$A$20,0),MATCH('hydrogen - electrolysis'!A8377,parameters!$D$3:$N$3,0))</f>
        <v>0</v>
      </c>
    </row>
    <row r="8378" spans="1:2" x14ac:dyDescent="0.2">
      <c r="A8378" t="s">
        <v>46</v>
      </c>
      <c r="B8378" s="46">
        <f>INDEX(parameters!$D$4:$N$20,MATCH('hydrogen - electrolysis'!B8362&amp;'hydrogen - electrolysis'!B8364,parameters!$A$4:$A$20,0),MATCH('hydrogen - electrolysis'!A8378,parameters!$D$3:$N$3,0))</f>
        <v>1.4999999999999999E-2</v>
      </c>
    </row>
    <row r="8379" spans="1:2" x14ac:dyDescent="0.2">
      <c r="A8379" t="s">
        <v>43</v>
      </c>
      <c r="B8379" s="46">
        <f>INDEX(parameters!$D$4:$N$20,MATCH('hydrogen - electrolysis'!B8362&amp;'hydrogen - electrolysis'!B8364,parameters!$A$4:$A$20,0),MATCH('hydrogen - electrolysis'!A8379,parameters!$D$3:$N$3,0))</f>
        <v>0</v>
      </c>
    </row>
    <row r="8380" spans="1:2" x14ac:dyDescent="0.2">
      <c r="A8380" t="s">
        <v>44</v>
      </c>
      <c r="B8380" s="46">
        <f>INDEX(parameters!$D$4:$N$20,MATCH('hydrogen - electrolysis'!B8362&amp;'hydrogen - electrolysis'!B8364,parameters!$A$4:$A$20,0),MATCH('hydrogen - electrolysis'!A8380,parameters!$D$3:$N$3,0))</f>
        <v>0</v>
      </c>
    </row>
    <row r="8381" spans="1:2" x14ac:dyDescent="0.2">
      <c r="A8381" t="s">
        <v>634</v>
      </c>
      <c r="B8381" s="51">
        <f>INDEX(parameters!$D$4:$Y$20,MATCH('hydrogen - electrolysis'!B8362&amp;'hydrogen - electrolysis'!B8364,parameters!$A$4:$A$20,0),MATCH('hydrogen - electrolysis'!A8381,parameters!$D$3:$Y$3,0))</f>
        <v>1.8947368421052633</v>
      </c>
    </row>
    <row r="8382" spans="1:2" x14ac:dyDescent="0.2">
      <c r="A8382" t="s">
        <v>82</v>
      </c>
      <c r="B8382" s="46">
        <f>IF(B8373&lt;&gt;0,VLOOKUP(B8373,parameters!A5282:B5284,2,0),0)</f>
        <v>0</v>
      </c>
    </row>
    <row r="8383" spans="1:2" x14ac:dyDescent="0.2">
      <c r="A8383" t="s">
        <v>548</v>
      </c>
      <c r="B8383" s="50">
        <f>INDEX(parameters!$D$4:$P$20,MATCH(B8362&amp;B8364,parameters!$A$4:$A$20,0),MATCH(A8383,parameters!$D$3:$P$3,0))</f>
        <v>0.8</v>
      </c>
    </row>
    <row r="8384" spans="1:2" x14ac:dyDescent="0.2">
      <c r="A8384" t="s">
        <v>547</v>
      </c>
      <c r="B8384" s="51">
        <f>INDEX(parameters!$D$4:$P$20,MATCH(B8362&amp;B8364,parameters!$A$4:$A$20,0),MATCH(A8384,parameters!$D$3:$P$3,0))</f>
        <v>4.8780487804878048</v>
      </c>
    </row>
    <row r="8385" spans="1:22" x14ac:dyDescent="0.2">
      <c r="A8385" t="s">
        <v>630</v>
      </c>
      <c r="B8385" s="51">
        <f>INDEX(parameters!$D$4:$T$20,MATCH(B8362&amp;B8364,parameters!$A$4:$A$20,0),MATCH(A8385,parameters!$D$3:$T$3,0))</f>
        <v>4100</v>
      </c>
    </row>
    <row r="8386" spans="1:22" x14ac:dyDescent="0.2">
      <c r="A8386" t="s">
        <v>1005</v>
      </c>
      <c r="B8386" s="50">
        <f>IF(B8358="megajoule",SUMIFS(allocation!$I$4:$I$30,allocation!$B$4:$B$30,B8364,allocation!$C$4:$C$30,B8365),SUMIFS(allocation!$J$4:$J$30,allocation!$B$4:$B$30,B8364,allocation!$C$4:$C$30,B8365))</f>
        <v>0.13933980798974457</v>
      </c>
    </row>
    <row r="8387" spans="1:22" x14ac:dyDescent="0.2">
      <c r="A8387" t="s">
        <v>1050</v>
      </c>
      <c r="B8387" s="51">
        <f>INDEX(parameters!$D$4:$AB$20,MATCH(B8362&amp;B8364,parameters!$A$4:$A$20,0),MATCH(A8387,parameters!$D$3:$AB$3,0))</f>
        <v>10.221606648199446</v>
      </c>
    </row>
    <row r="8389" spans="1:22" x14ac:dyDescent="0.2">
      <c r="A8389" s="3" t="s">
        <v>57</v>
      </c>
    </row>
    <row r="8390" spans="1:22" x14ac:dyDescent="0.2">
      <c r="A8390" s="2" t="s">
        <v>58</v>
      </c>
      <c r="B8390" s="44" t="s">
        <v>59</v>
      </c>
      <c r="C8390" s="2" t="s">
        <v>55</v>
      </c>
      <c r="D8390" s="2" t="s">
        <v>60</v>
      </c>
      <c r="E8390" s="2" t="s">
        <v>52</v>
      </c>
      <c r="F8390" s="2" t="s">
        <v>61</v>
      </c>
      <c r="G8390" s="2" t="s">
        <v>54</v>
      </c>
      <c r="H8390" s="2" t="s">
        <v>87</v>
      </c>
      <c r="I8390" s="2" t="s">
        <v>51</v>
      </c>
      <c r="J8390" s="2" t="s">
        <v>138</v>
      </c>
      <c r="K8390" s="2" t="s">
        <v>136</v>
      </c>
      <c r="L8390" s="2" t="s">
        <v>221</v>
      </c>
      <c r="M8390" s="2" t="s">
        <v>379</v>
      </c>
      <c r="N8390" s="2" t="s">
        <v>1059</v>
      </c>
      <c r="O8390" s="2" t="s">
        <v>1060</v>
      </c>
      <c r="P8390" s="2" t="s">
        <v>1061</v>
      </c>
      <c r="Q8390" s="2" t="s">
        <v>1062</v>
      </c>
      <c r="R8390" s="2" t="s">
        <v>1063</v>
      </c>
      <c r="S8390" s="2" t="s">
        <v>1064</v>
      </c>
      <c r="T8390" s="2" t="s">
        <v>1065</v>
      </c>
      <c r="U8390" s="2" t="s">
        <v>380</v>
      </c>
      <c r="V8390" s="2" t="s">
        <v>1128</v>
      </c>
    </row>
    <row r="8391" spans="1:22" x14ac:dyDescent="0.2">
      <c r="A8391" t="str">
        <f>B8352</f>
        <v>heat, residential, by conversion of hydrogen using fuel cell, PEM, allocated by exergy, transported by train, produced by Electrolysis, Alkaline using water and electricity from Wind (DK)</v>
      </c>
      <c r="B8391" s="45">
        <v>1</v>
      </c>
      <c r="C8391" t="str">
        <f>B8358</f>
        <v>megajoule</v>
      </c>
      <c r="E8391" t="str">
        <f>B8355</f>
        <v>CH</v>
      </c>
      <c r="F8391" t="s">
        <v>62</v>
      </c>
      <c r="G8391" t="str">
        <f>B8357</f>
        <v>heat, from residential heating system</v>
      </c>
      <c r="K8391" t="str">
        <f>B8352</f>
        <v>heat, residential, by conversion of hydrogen using fuel cell, PEM, allocated by exergy, transported by train, produced by Electrolysis, Alkaline using water and electricity from Wind (DK)</v>
      </c>
    </row>
    <row r="8392" spans="1:22" x14ac:dyDescent="0.2">
      <c r="A8392" t="str">
        <f>VLOOKUP(J8392,'dataset mapping'!$A$4:$E$69,2,0)</f>
        <v>fuel cell system assembly, 1 kWe, proton exchange membrane (PEM)</v>
      </c>
      <c r="B8392" s="52">
        <f>1/(80000*3.6)/0.5*SUMIFS(allocation!$I$4:$I$30,allocation!$B$4:$B$30,'hydrogen - electrolysis'!B8364,allocation!$C$4:$C$30,'hydrogen - electrolysis'!B8365)</f>
        <v>9.6763755548433728E-7</v>
      </c>
      <c r="C8392" t="str">
        <f>VLOOKUP(J8392,'dataset mapping'!$A$4:$E$69,5,0)</f>
        <v>unit</v>
      </c>
      <c r="E8392" t="str">
        <f>VLOOKUP(J8392,'dataset mapping'!$A$4:$E$69,4,0)</f>
        <v>GLO</v>
      </c>
      <c r="F8392" t="s">
        <v>86</v>
      </c>
      <c r="G8392" t="str">
        <f>VLOOKUP(J8392,'dataset mapping'!$A$4:$E$69,3,0)</f>
        <v>fuel cell system, 1 kWe, proton exchange membrane (PEM)</v>
      </c>
      <c r="H8392" t="s">
        <v>88</v>
      </c>
      <c r="I8392" t="s">
        <v>272</v>
      </c>
      <c r="J8392" t="s">
        <v>273</v>
      </c>
      <c r="K8392" t="str">
        <f>B8352</f>
        <v>heat, residential, by conversion of hydrogen using fuel cell, PEM, allocated by exergy, transported by train, produced by Electrolysis, Alkaline using water and electricity from Wind (DK)</v>
      </c>
      <c r="L8392">
        <f t="shared" ref="L8392:L8396" si="343">IF(OR(B8392&lt;0,B8392=0),1,2)</f>
        <v>2</v>
      </c>
      <c r="M8392">
        <f t="shared" ref="M8392:M8396" si="344">IF(L8392=2,LN(B8392),"")</f>
        <v>-13.848408245937353</v>
      </c>
      <c r="N8392">
        <v>1</v>
      </c>
      <c r="O8392" s="15">
        <v>1.2</v>
      </c>
      <c r="P8392">
        <v>1</v>
      </c>
      <c r="Q8392">
        <v>1.01</v>
      </c>
      <c r="R8392">
        <v>1.2</v>
      </c>
      <c r="S8392">
        <v>1.2</v>
      </c>
      <c r="T8392">
        <v>3</v>
      </c>
      <c r="U8392">
        <f t="shared" ref="U8392:U8396" si="345">LN(SQRT(EXP(
SQRT(
+POWER(LN(N8392),2)
+POWER(LN(O8392),2)
+POWER(LN(P8392),2)
+POWER(LN(Q8392),2)
+POWER(LN(R8392),2)
+POWER(LN(S8392),2)
+POWER(LN(T8392),2)
)
)))</f>
        <v>0.57157051623399524</v>
      </c>
    </row>
    <row r="8393" spans="1:22" x14ac:dyDescent="0.2">
      <c r="A8393" s="45" t="str">
        <f>"hydrogen supply, transported by "&amp;B8366&amp;", produced by "&amp;B8370&amp;" using "&amp;B8371&amp;" from "&amp;B8372</f>
        <v>hydrogen supply, transported by train, produced by Electrolysis, Alkaline using water and electricity from Wind (DK)</v>
      </c>
      <c r="B8393" s="53">
        <f>(B8391/B8375)/B8374*B8386</f>
        <v>2.3223301331624095E-3</v>
      </c>
      <c r="C8393" t="s">
        <v>56</v>
      </c>
      <c r="E8393" t="s">
        <v>64</v>
      </c>
      <c r="F8393" t="s">
        <v>86</v>
      </c>
      <c r="G8393" t="str">
        <f>"hydrogen, gaseous, from "&amp;B8366</f>
        <v>hydrogen, gaseous, from train</v>
      </c>
      <c r="H8393" t="s">
        <v>76</v>
      </c>
      <c r="I8393" t="s">
        <v>1054</v>
      </c>
      <c r="J8393" t="s">
        <v>302</v>
      </c>
      <c r="K8393" t="str">
        <f>B8352</f>
        <v>heat, residential, by conversion of hydrogen using fuel cell, PEM, allocated by exergy, transported by train, produced by Electrolysis, Alkaline using water and electricity from Wind (DK)</v>
      </c>
      <c r="L8393">
        <f t="shared" si="343"/>
        <v>2</v>
      </c>
      <c r="M8393">
        <f t="shared" si="344"/>
        <v>-6.0651842296013152</v>
      </c>
      <c r="N8393">
        <v>1</v>
      </c>
      <c r="O8393" s="15">
        <v>1.2</v>
      </c>
      <c r="P8393">
        <v>1</v>
      </c>
      <c r="Q8393">
        <v>1.01</v>
      </c>
      <c r="R8393">
        <v>1.2</v>
      </c>
      <c r="S8393">
        <v>1.2</v>
      </c>
      <c r="T8393">
        <v>1.05</v>
      </c>
      <c r="U8393">
        <f t="shared" si="345"/>
        <v>0.15984597228197622</v>
      </c>
    </row>
    <row r="8394" spans="1:22" x14ac:dyDescent="0.2">
      <c r="A8394" t="str">
        <f>VLOOKUP(J8394,'dataset mapping'!$A$4:$E$69,2,0)</f>
        <v>market for transport, freight train</v>
      </c>
      <c r="B8394" s="45">
        <f>SUM(B8393:B8393)/1000*B8367*SUMIFS(allocation!$I$4:$I$30,allocation!$B$4:$B$30,'hydrogen - electrolysis'!B8364,allocation!$C$4:$C$30,'hydrogen - electrolysis'!B8365)</f>
        <v>4.2067094529674246E-4</v>
      </c>
      <c r="C8394" t="str">
        <f>VLOOKUP(J8394,'dataset mapping'!$A$4:$E$69,5,0)</f>
        <v>ton kilometer</v>
      </c>
      <c r="E8394" t="str">
        <f>VLOOKUP(J8394,'dataset mapping'!$A$4:$E$69,4,0)</f>
        <v>CH</v>
      </c>
      <c r="F8394" t="s">
        <v>86</v>
      </c>
      <c r="G8394" t="str">
        <f>VLOOKUP(J8394,'dataset mapping'!$A$4:$E$69,3,0)</f>
        <v>transport, freight train</v>
      </c>
      <c r="H8394" t="s">
        <v>88</v>
      </c>
      <c r="I8394" t="s">
        <v>1052</v>
      </c>
      <c r="J8394" t="s">
        <v>295</v>
      </c>
      <c r="K8394" t="str">
        <f>B8352</f>
        <v>heat, residential, by conversion of hydrogen using fuel cell, PEM, allocated by exergy, transported by train, produced by Electrolysis, Alkaline using water and electricity from Wind (DK)</v>
      </c>
      <c r="L8394">
        <f t="shared" si="343"/>
        <v>2</v>
      </c>
      <c r="M8394">
        <f t="shared" si="344"/>
        <v>-7.7736596325130396</v>
      </c>
      <c r="N8394">
        <v>1</v>
      </c>
      <c r="O8394" s="15">
        <v>1.2</v>
      </c>
      <c r="P8394">
        <v>1</v>
      </c>
      <c r="Q8394">
        <v>1.01</v>
      </c>
      <c r="R8394">
        <v>1.2</v>
      </c>
      <c r="S8394">
        <v>1.2</v>
      </c>
      <c r="T8394">
        <v>2</v>
      </c>
      <c r="U8394">
        <f t="shared" si="345"/>
        <v>0.38087907307228186</v>
      </c>
    </row>
    <row r="8395" spans="1:22" x14ac:dyDescent="0.2">
      <c r="A8395" t="str">
        <f>VLOOKUP(J8395,'dataset mapping'!$A$4:$E$69,2,0)</f>
        <v>high pressure hydrogen storage tank</v>
      </c>
      <c r="B8395" s="52">
        <f>((B8387/10)/(B8385*B8381*20*3.6))*IF(B8386&lt;&gt;0,B8386,1)</f>
        <v>2.5464146196956242E-7</v>
      </c>
      <c r="C8395" t="str">
        <f>VLOOKUP(J8395,'dataset mapping'!$A$4:$E$69,5,0)</f>
        <v>kilogram</v>
      </c>
      <c r="E8395" t="str">
        <f>VLOOKUP(J8395,'dataset mapping'!$A$4:$E$69,4,0)</f>
        <v>GLO</v>
      </c>
      <c r="F8395" t="s">
        <v>86</v>
      </c>
      <c r="G8395" t="str">
        <f>VLOOKUP(J8395,'dataset mapping'!$A$4:$E$69,3,0)</f>
        <v>high pressure hydrogen storage tank</v>
      </c>
      <c r="H8395" t="s">
        <v>88</v>
      </c>
      <c r="I8395" t="s">
        <v>280</v>
      </c>
      <c r="J8395" t="s">
        <v>229</v>
      </c>
      <c r="K8395" t="str">
        <f>B8352</f>
        <v>heat, residential, by conversion of hydrogen using fuel cell, PEM, allocated by exergy, transported by train, produced by Electrolysis, Alkaline using water and electricity from Wind (DK)</v>
      </c>
      <c r="L8395">
        <f t="shared" si="343"/>
        <v>2</v>
      </c>
      <c r="M8395">
        <f t="shared" si="344"/>
        <v>-15.183409312669692</v>
      </c>
      <c r="N8395">
        <v>1</v>
      </c>
      <c r="O8395" s="15">
        <v>1.2</v>
      </c>
      <c r="P8395">
        <v>1</v>
      </c>
      <c r="Q8395">
        <v>1.01</v>
      </c>
      <c r="R8395">
        <v>1.2</v>
      </c>
      <c r="S8395">
        <v>1.2</v>
      </c>
      <c r="T8395">
        <v>3</v>
      </c>
      <c r="U8395">
        <f t="shared" si="345"/>
        <v>0.57157051623399524</v>
      </c>
    </row>
    <row r="8396" spans="1:22" x14ac:dyDescent="0.2">
      <c r="A8396" t="s">
        <v>134</v>
      </c>
      <c r="B8396" s="45">
        <f>B8393*9</f>
        <v>2.0900971198461685E-2</v>
      </c>
      <c r="C8396" t="s">
        <v>56</v>
      </c>
      <c r="D8396" t="s">
        <v>100</v>
      </c>
      <c r="F8396" t="s">
        <v>99</v>
      </c>
      <c r="H8396" t="s">
        <v>131</v>
      </c>
      <c r="I8396" t="s">
        <v>1057</v>
      </c>
      <c r="K8396" t="str">
        <f>B8352</f>
        <v>heat, residential, by conversion of hydrogen using fuel cell, PEM, allocated by exergy, transported by train, produced by Electrolysis, Alkaline using water and electricity from Wind (DK)</v>
      </c>
      <c r="L8396">
        <f t="shared" si="343"/>
        <v>2</v>
      </c>
      <c r="M8396">
        <f t="shared" si="344"/>
        <v>-3.8679596522650961</v>
      </c>
      <c r="N8396">
        <v>1</v>
      </c>
      <c r="O8396" s="15">
        <v>1.2</v>
      </c>
      <c r="P8396">
        <v>1</v>
      </c>
      <c r="Q8396">
        <v>1.01</v>
      </c>
      <c r="R8396">
        <v>1.2</v>
      </c>
      <c r="S8396">
        <v>1.2</v>
      </c>
      <c r="T8396">
        <v>1.05</v>
      </c>
      <c r="U8396">
        <f t="shared" si="345"/>
        <v>0.15984597228197622</v>
      </c>
    </row>
    <row r="8398" spans="1:22" x14ac:dyDescent="0.2">
      <c r="A8398" s="2" t="s">
        <v>50</v>
      </c>
      <c r="B8398" s="44" t="str">
        <f>IF(B8404="megajoule","heat","electricity")&amp;", residential, by "&amp;B8409&amp;" of "&amp;B8408&amp;" using "&amp;B8410&amp;IF(B8411&lt;&gt;0,", allocated by "&amp;B8411,"")&amp;", transported by "&amp;B8412&amp;", produced by "&amp;B8416&amp;" using "&amp;B8417&amp;" from "&amp;B8418</f>
        <v>heat, residential, by conversion of hydrogen using fuel cell, SOFC, allocated by exergy, transported by train, produced by Electrolysis, Alkaline using water and electricity from Wind (DK)</v>
      </c>
    </row>
    <row r="8399" spans="1:22" x14ac:dyDescent="0.2">
      <c r="A8399" t="s">
        <v>51</v>
      </c>
      <c r="B8399" s="45" t="str">
        <f>"This dataset represents the supply of 1 "&amp;IF(B8404="megajoule","megajoule of heat","kilowatt hour of electricity")&amp;" in a residence, by "&amp;B8408&amp;" "&amp;B8409&amp;" in a "&amp;B8410&amp;". "&amp;" The hydrogen is transported by "&amp;B8412&amp;" over "&amp;B8413&amp;" km from regional storage. "&amp;" The "&amp;B8408&amp;" is produced by  "&amp;B8416&amp;", with "&amp;B8417&amp;" from "&amp;B8418&amp;" as feedstock. "&amp;A8420&amp;": "&amp;(B8420*100)&amp;"%. "&amp;A8421&amp;": "&amp;B8421&amp;". "&amp;A8422&amp;": "&amp;B8422&amp;". "&amp;A8423&amp;": "&amp;(B8423*100)&amp;"%. "&amp;A8424&amp;": "&amp;(B8424*100)&amp;"%. "&amp;A8425&amp;": "&amp;(B8425*100)&amp;"%. "&amp;A8426&amp;": "&amp;B8426&amp;". "&amp;A8427&amp;": "&amp;B8427&amp;". "&amp;A8428&amp;": "&amp;(B8428*100)&amp;"%. "&amp;A8429&amp;": "&amp;B8429&amp;". "&amp;A8430&amp;": "&amp;B8430&amp;". "&amp;A8431&amp;": "&amp;B8431&amp;". "&amp;A8432&amp;": "&amp;B8432&amp;".  For more information, refer to: "&amp;B8400</f>
        <v>This dataset represents the supply of 1 megajoule of heat in a residence, by hydrogen conversion in a fuel cell, SOFC.  The hydrogen is transported by train over 1300 km from regional storage.  The hydrogen is produced by  Electrolysis, Alkaline,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8400" spans="1:22" x14ac:dyDescent="0.2">
      <c r="A8400" t="s">
        <v>63</v>
      </c>
      <c r="B8400" s="45" t="s">
        <v>1223</v>
      </c>
    </row>
    <row r="8401" spans="1:2" x14ac:dyDescent="0.2">
      <c r="A8401" t="s">
        <v>52</v>
      </c>
      <c r="B8401" s="45" t="s">
        <v>64</v>
      </c>
    </row>
    <row r="8402" spans="1:2" x14ac:dyDescent="0.2">
      <c r="A8402" t="s">
        <v>48</v>
      </c>
      <c r="B8402" s="45">
        <v>104</v>
      </c>
    </row>
    <row r="8403" spans="1:2" x14ac:dyDescent="0.2">
      <c r="A8403" t="s">
        <v>54</v>
      </c>
      <c r="B8403" s="45" t="str">
        <f>INDEX(overview!$B$4:$R$338,MATCH('hydrogen - electrolysis'!B8402,overview!$A$4:$A$338,0),MATCH('hydrogen - electrolysis'!A8403,overview!$B$3:$R$3,0))</f>
        <v>heat, from residential heating system</v>
      </c>
    </row>
    <row r="8404" spans="1:2" x14ac:dyDescent="0.2">
      <c r="A8404" t="s">
        <v>55</v>
      </c>
      <c r="B8404" s="45" t="str">
        <f>INDEX(overview!$B$4:$R$338,MATCH('hydrogen - electrolysis'!B8402,overview!$A$4:$A$338,0),MATCH('hydrogen - electrolysis'!A8404,overview!$B$3:$R$3,0))</f>
        <v>megajoule</v>
      </c>
    </row>
    <row r="8405" spans="1:2" x14ac:dyDescent="0.2">
      <c r="A8405" t="s">
        <v>0</v>
      </c>
      <c r="B8405" s="45" t="str">
        <f>INDEX(overview!$B$4:$R$338,MATCH('hydrogen - electrolysis'!B8402,overview!$A$4:$A$338,0),MATCH('hydrogen - electrolysis'!A8405,overview!$B$3:$R$3,0))</f>
        <v>Switzerland</v>
      </c>
    </row>
    <row r="8406" spans="1:2" x14ac:dyDescent="0.2">
      <c r="A8406" t="s">
        <v>1</v>
      </c>
      <c r="B8406" s="45">
        <f>INDEX(overview!$B$4:$R$338,MATCH('hydrogen - electrolysis'!B8402,overview!$A$4:$A$338,0),MATCH('hydrogen - electrolysis'!A8406,overview!$B$3:$R$3,0))</f>
        <v>2020</v>
      </c>
    </row>
    <row r="8407" spans="1:2" x14ac:dyDescent="0.2">
      <c r="A8407" t="s">
        <v>2</v>
      </c>
      <c r="B8407" s="45" t="str">
        <f>INDEX(overview!$B$4:$R$338,MATCH('hydrogen - electrolysis'!B8402,overview!$A$4:$A$338,0),MATCH('hydrogen - electrolysis'!A8407,overview!$B$3:$R$3,0))</f>
        <v>1 MJ heat</v>
      </c>
    </row>
    <row r="8408" spans="1:2" x14ac:dyDescent="0.2">
      <c r="A8408" t="s">
        <v>5</v>
      </c>
      <c r="B8408" s="45" t="str">
        <f>INDEX(overview!$B$4:$R$338,MATCH('hydrogen - electrolysis'!B8402,overview!$A$4:$A$338,0),MATCH('hydrogen - electrolysis'!A8408,overview!$B$3:$R$3,0))</f>
        <v>hydrogen</v>
      </c>
    </row>
    <row r="8409" spans="1:2" x14ac:dyDescent="0.2">
      <c r="A8409" t="s">
        <v>3</v>
      </c>
      <c r="B8409" s="45" t="str">
        <f>INDEX(overview!$B$4:$R$338,MATCH('hydrogen - electrolysis'!B8402,overview!$A$4:$A$338,0),MATCH('hydrogen - electrolysis'!A8409,overview!$B$3:$R$3,0))</f>
        <v>conversion</v>
      </c>
    </row>
    <row r="8410" spans="1:2" x14ac:dyDescent="0.2">
      <c r="A8410" t="s">
        <v>6</v>
      </c>
      <c r="B8410" s="45" t="str">
        <f>INDEX(overview!$B$4:$R$338,MATCH('hydrogen - electrolysis'!B8402,overview!$A$4:$A$338,0),MATCH('hydrogen - electrolysis'!A8410,overview!$B$3:$R$3,0))</f>
        <v>fuel cell, SOFC</v>
      </c>
    </row>
    <row r="8411" spans="1:2" x14ac:dyDescent="0.2">
      <c r="A8411" t="s">
        <v>39</v>
      </c>
      <c r="B8411" s="45" t="str">
        <f>INDEX(overview!$B$4:$R$338,MATCH('hydrogen - electrolysis'!B8402,overview!$A$4:$A$338,0),MATCH('hydrogen - electrolysis'!A8411,overview!$B$3:$R$3,0))</f>
        <v>exergy</v>
      </c>
    </row>
    <row r="8412" spans="1:2" x14ac:dyDescent="0.2">
      <c r="A8412" t="s">
        <v>4</v>
      </c>
      <c r="B8412" s="45" t="str">
        <f>INDEX(overview!$B$4:$R$338,MATCH('hydrogen - electrolysis'!B8402,overview!$A$4:$A$338,0),MATCH('hydrogen - electrolysis'!A8412,overview!$B$3:$R$3,0))</f>
        <v>train</v>
      </c>
    </row>
    <row r="8413" spans="1:2" x14ac:dyDescent="0.2">
      <c r="A8413" t="s">
        <v>38</v>
      </c>
      <c r="B8413" s="45">
        <f>INDEX(overview!$B$4:$R$338,MATCH('hydrogen - electrolysis'!B8402,overview!$A$4:$A$338,0),MATCH('hydrogen - electrolysis'!A8413,overview!$B$3:$R$3,0))</f>
        <v>1300</v>
      </c>
    </row>
    <row r="8414" spans="1:2" x14ac:dyDescent="0.2">
      <c r="A8414" t="s">
        <v>12</v>
      </c>
      <c r="B8414" s="45" t="str">
        <f>INDEX(overview!$B$4:$R$338,MATCH('hydrogen - electrolysis'!B8402,overview!$A$4:$A$338,0),MATCH('hydrogen - electrolysis'!A8414,overview!$B$3:$R$3,0))</f>
        <v>Pressure vessel for stationary storage</v>
      </c>
    </row>
    <row r="8415" spans="1:2" x14ac:dyDescent="0.2">
      <c r="A8415" t="s">
        <v>34</v>
      </c>
      <c r="B8415" s="45">
        <f>INDEX(overview!$B$4:$R$338,MATCH('hydrogen - electrolysis'!B8402,overview!$A$4:$A$338,0),MATCH('hydrogen - electrolysis'!A8415,overview!$B$3:$R$3,0))</f>
        <v>0</v>
      </c>
    </row>
    <row r="8416" spans="1:2" x14ac:dyDescent="0.2">
      <c r="A8416" t="s">
        <v>15</v>
      </c>
      <c r="B8416" s="45" t="str">
        <f>INDEX(overview!$B$4:$R$338,MATCH('hydrogen - electrolysis'!B8402,overview!$A$4:$A$338,0),MATCH('hydrogen - electrolysis'!A8416,overview!$B$3:$R$3,0))</f>
        <v>Electrolysis, Alkaline</v>
      </c>
    </row>
    <row r="8417" spans="1:4" x14ac:dyDescent="0.2">
      <c r="A8417" t="s">
        <v>14</v>
      </c>
      <c r="B8417" s="45" t="str">
        <f>INDEX(overview!$B$4:$R$338,MATCH('hydrogen - electrolysis'!B8402,overview!$A$4:$A$338,0),MATCH('hydrogen - electrolysis'!A8417,overview!$B$3:$R$3,0))</f>
        <v>water and electricity</v>
      </c>
    </row>
    <row r="8418" spans="1:4" x14ac:dyDescent="0.2">
      <c r="A8418" t="s">
        <v>26</v>
      </c>
      <c r="B8418" s="45" t="str">
        <f>INDEX(overview!$B$4:$R$338,MATCH('hydrogen - electrolysis'!B8402,overview!$A$4:$A$338,0),MATCH('hydrogen - electrolysis'!A8418,overview!$B$3:$R$3,0))</f>
        <v>Wind (DK)</v>
      </c>
    </row>
    <row r="8419" spans="1:4" x14ac:dyDescent="0.2">
      <c r="A8419" t="s">
        <v>29</v>
      </c>
      <c r="B8419" s="45">
        <f>INDEX(overview!$B$4:$R$338,MATCH('hydrogen - electrolysis'!B8402,overview!$A$4:$A$338,0),MATCH('hydrogen - electrolysis'!A8419,overview!$B$3:$R$3,0))</f>
        <v>0</v>
      </c>
    </row>
    <row r="8420" spans="1:4" x14ac:dyDescent="0.2">
      <c r="A8420" t="str">
        <f>IF(B8404="megajoule","Heat","Electricity")&amp;" conversion efficiency [% LHV input]"</f>
        <v>Heat conversion efficiency [% LHV input]</v>
      </c>
      <c r="B8420" s="46">
        <f>INDEX(parameters!$D$4:$N$20,MATCH('hydrogen - electrolysis'!B8408&amp;'hydrogen - electrolysis'!B8410,parameters!$A$4:$A$20,0),MATCH('hydrogen - electrolysis'!A8420,parameters!$D$3:$N$3,0))</f>
        <v>0.53</v>
      </c>
    </row>
    <row r="8421" spans="1:4" x14ac:dyDescent="0.2">
      <c r="A8421" t="str">
        <f>IF(B8404="megajoule","LHV [MJ/kg]","LHV [kWh/kg]")</f>
        <v>LHV [MJ/kg]</v>
      </c>
      <c r="B8421" s="47">
        <f>INDEX(parameters!$D$4:$N$20,MATCH('hydrogen - electrolysis'!B8408&amp;'hydrogen - electrolysis'!B8410,parameters!$A$4:$A$20,0),MATCH('hydrogen - electrolysis'!A8421,parameters!$D$3:$N$3,0))</f>
        <v>120</v>
      </c>
    </row>
    <row r="8422" spans="1:4" x14ac:dyDescent="0.2">
      <c r="A8422" t="s">
        <v>41</v>
      </c>
      <c r="B8422" s="48">
        <f>INDEX(parameters!$D$4:$N$20,MATCH('hydrogen - electrolysis'!B8408&amp;'hydrogen - electrolysis'!B8410,parameters!$A$4:$A$20,0),MATCH('hydrogen - electrolysis'!A8422,parameters!$D$3:$N$3,0))</f>
        <v>2.6666666666666665E-2</v>
      </c>
    </row>
    <row r="8423" spans="1:4" x14ac:dyDescent="0.2">
      <c r="A8423" t="s">
        <v>45</v>
      </c>
      <c r="B8423" s="46">
        <f>INDEX(parameters!$D$4:$N$20,MATCH('hydrogen - electrolysis'!B8408&amp;'hydrogen - electrolysis'!B8410,parameters!$A$4:$A$20,0),MATCH('hydrogen - electrolysis'!A8423,parameters!$D$3:$N$3,0))</f>
        <v>0</v>
      </c>
    </row>
    <row r="8424" spans="1:4" x14ac:dyDescent="0.2">
      <c r="A8424" t="s">
        <v>46</v>
      </c>
      <c r="B8424" s="46">
        <f>INDEX(parameters!$D$4:$N$20,MATCH('hydrogen - electrolysis'!B8408&amp;'hydrogen - electrolysis'!B8410,parameters!$A$4:$A$20,0),MATCH('hydrogen - electrolysis'!A8424,parameters!$D$3:$N$3,0))</f>
        <v>1.4999999999999999E-2</v>
      </c>
    </row>
    <row r="8425" spans="1:4" x14ac:dyDescent="0.2">
      <c r="A8425" t="s">
        <v>43</v>
      </c>
      <c r="B8425" s="46">
        <f>INDEX(parameters!$D$4:$N$20,MATCH('hydrogen - electrolysis'!B8408&amp;'hydrogen - electrolysis'!B8410,parameters!$A$4:$A$20,0),MATCH('hydrogen - electrolysis'!A8425,parameters!$D$3:$N$3,0))</f>
        <v>0</v>
      </c>
    </row>
    <row r="8426" spans="1:4" x14ac:dyDescent="0.2">
      <c r="A8426" t="s">
        <v>44</v>
      </c>
      <c r="B8426" s="46">
        <f>INDEX(parameters!$D$4:$N$20,MATCH('hydrogen - electrolysis'!B8408&amp;'hydrogen - electrolysis'!B8410,parameters!$A$4:$A$20,0),MATCH('hydrogen - electrolysis'!A8426,parameters!$D$3:$N$3,0))</f>
        <v>0</v>
      </c>
    </row>
    <row r="8427" spans="1:4" x14ac:dyDescent="0.2">
      <c r="A8427" t="s">
        <v>634</v>
      </c>
      <c r="B8427" s="51">
        <f>INDEX(parameters!$D$4:$Y$20,MATCH('hydrogen - electrolysis'!B8408&amp;'hydrogen - electrolysis'!B8410,parameters!$A$4:$A$20,0),MATCH('hydrogen - electrolysis'!A8427,parameters!$D$3:$Y$3,0))</f>
        <v>225</v>
      </c>
      <c r="D8427" s="8"/>
    </row>
    <row r="8428" spans="1:4" x14ac:dyDescent="0.2">
      <c r="A8428" t="s">
        <v>82</v>
      </c>
      <c r="B8428" s="46">
        <f>IF(B8419&lt;&gt;0,VLOOKUP(B8419,parameters!A5330:B5332,2,0),0)</f>
        <v>0</v>
      </c>
    </row>
    <row r="8429" spans="1:4" x14ac:dyDescent="0.2">
      <c r="A8429" t="s">
        <v>548</v>
      </c>
      <c r="B8429" s="50">
        <f>INDEX(parameters!$D$4:$P$20,MATCH(B8408&amp;B8410,parameters!$A$4:$A$20,0),MATCH(A8429,parameters!$D$3:$P$3,0))</f>
        <v>100</v>
      </c>
    </row>
    <row r="8430" spans="1:4" x14ac:dyDescent="0.2">
      <c r="A8430" t="s">
        <v>547</v>
      </c>
      <c r="B8430" s="51">
        <f>INDEX(parameters!$D$4:$P$20,MATCH(B8408&amp;B8410,parameters!$A$4:$A$20,0),MATCH(A8430,parameters!$D$3:$P$3,0))</f>
        <v>6</v>
      </c>
    </row>
    <row r="8431" spans="1:4" x14ac:dyDescent="0.2">
      <c r="A8431" t="s">
        <v>630</v>
      </c>
      <c r="B8431" s="51">
        <f>INDEX(parameters!$D$4:$T$20,MATCH(B8408&amp;B8410,parameters!$A$4:$A$20,0),MATCH(A8431,parameters!$D$3:$T$3,0))</f>
        <v>4100</v>
      </c>
    </row>
    <row r="8432" spans="1:4" x14ac:dyDescent="0.2">
      <c r="A8432" t="s">
        <v>1005</v>
      </c>
      <c r="B8432" s="50">
        <f>IF(B8404="megajoule",SUMIFS(allocation!$I$4:$I$30,allocation!$B$4:$B$30,B8410,allocation!$C$4:$C$30,B8411),SUMIFS(allocation!$J$4:$J$30,allocation!$B$4:$B$30,B8410,allocation!$C$4:$C$30,B8411))</f>
        <v>0.13587506510399097</v>
      </c>
    </row>
    <row r="8433" spans="1:22" x14ac:dyDescent="0.2">
      <c r="A8433" t="s">
        <v>1050</v>
      </c>
      <c r="B8433" s="51">
        <f>INDEX(parameters!$D$4:$AB$20,MATCH(B8408&amp;B8410,parameters!$A$4:$A$20,0),MATCH(A8433,parameters!$D$3:$AB$3,0))</f>
        <v>1153.1249999999998</v>
      </c>
    </row>
    <row r="8435" spans="1:22" x14ac:dyDescent="0.2">
      <c r="A8435" s="3" t="s">
        <v>57</v>
      </c>
    </row>
    <row r="8436" spans="1:22" x14ac:dyDescent="0.2">
      <c r="A8436" s="2" t="s">
        <v>58</v>
      </c>
      <c r="B8436" s="44" t="s">
        <v>59</v>
      </c>
      <c r="C8436" s="2" t="s">
        <v>55</v>
      </c>
      <c r="D8436" s="2" t="s">
        <v>60</v>
      </c>
      <c r="E8436" s="2" t="s">
        <v>52</v>
      </c>
      <c r="F8436" s="2" t="s">
        <v>61</v>
      </c>
      <c r="G8436" s="2" t="s">
        <v>54</v>
      </c>
      <c r="H8436" s="2" t="s">
        <v>87</v>
      </c>
      <c r="I8436" s="2" t="s">
        <v>51</v>
      </c>
      <c r="J8436" s="2" t="s">
        <v>138</v>
      </c>
      <c r="K8436" s="2" t="s">
        <v>136</v>
      </c>
      <c r="L8436" s="2" t="s">
        <v>221</v>
      </c>
      <c r="M8436" s="2" t="s">
        <v>379</v>
      </c>
      <c r="N8436" s="2" t="s">
        <v>1059</v>
      </c>
      <c r="O8436" s="2" t="s">
        <v>1060</v>
      </c>
      <c r="P8436" s="2" t="s">
        <v>1061</v>
      </c>
      <c r="Q8436" s="2" t="s">
        <v>1062</v>
      </c>
      <c r="R8436" s="2" t="s">
        <v>1063</v>
      </c>
      <c r="S8436" s="2" t="s">
        <v>1064</v>
      </c>
      <c r="T8436" s="2" t="s">
        <v>1065</v>
      </c>
      <c r="U8436" s="2" t="s">
        <v>380</v>
      </c>
      <c r="V8436" s="2" t="s">
        <v>1128</v>
      </c>
    </row>
    <row r="8437" spans="1:22" x14ac:dyDescent="0.2">
      <c r="A8437" t="str">
        <f>B8398</f>
        <v>heat, residential, by conversion of hydrogen using fuel cell, SOFC, allocated by exergy, transported by train, produced by Electrolysis, Alkaline using water and electricity from Wind (DK)</v>
      </c>
      <c r="B8437" s="45">
        <v>1</v>
      </c>
      <c r="C8437" t="str">
        <f>B8404</f>
        <v>megajoule</v>
      </c>
      <c r="E8437" t="str">
        <f>B8401</f>
        <v>CH</v>
      </c>
      <c r="F8437" t="s">
        <v>62</v>
      </c>
      <c r="G8437" t="str">
        <f>B8403</f>
        <v>heat, from residential heating system</v>
      </c>
      <c r="K8437" t="str">
        <f>B8398</f>
        <v>heat, residential, by conversion of hydrogen using fuel cell, SOFC, allocated by exergy, transported by train, produced by Electrolysis, Alkaline using water and electricity from Wind (DK)</v>
      </c>
    </row>
    <row r="8438" spans="1:22" x14ac:dyDescent="0.2">
      <c r="A8438" t="str">
        <f>VLOOKUP(J8438,'dataset mapping'!$A$4:$E$69,2,0)</f>
        <v>fuel cell production, stack solid oxide, 125kW electrical, future</v>
      </c>
      <c r="B8438" s="52">
        <f>(1/(B8427*B8431*B8430*3.6))*B8432</f>
        <v>6.8189834941278219E-9</v>
      </c>
      <c r="C8438" t="str">
        <f>VLOOKUP(J8438,'dataset mapping'!$A$4:$E$69,5,0)</f>
        <v>unit</v>
      </c>
      <c r="E8438" t="str">
        <f>VLOOKUP(J8438,'dataset mapping'!$A$4:$E$69,4,0)</f>
        <v>CH</v>
      </c>
      <c r="F8438" t="s">
        <v>86</v>
      </c>
      <c r="G8438" t="str">
        <f>VLOOKUP(J8438,'dataset mapping'!$A$4:$E$69,3,0)</f>
        <v>fuel cell, stack solid oxide, 125kW electrical, future</v>
      </c>
      <c r="H8438" t="s">
        <v>88</v>
      </c>
      <c r="I8438" t="s">
        <v>277</v>
      </c>
      <c r="J8438" t="s">
        <v>274</v>
      </c>
      <c r="K8438" t="str">
        <f>B8398</f>
        <v>heat, residential, by conversion of hydrogen using fuel cell, SOFC, allocated by exergy, transported by train, produced by Electrolysis, Alkaline using water and electricity from Wind (DK)</v>
      </c>
      <c r="L8438">
        <f t="shared" ref="L8438:L8444" si="346">IF(OR(B8438&lt;0,B8438=0),1,2)</f>
        <v>2</v>
      </c>
      <c r="M8438">
        <f t="shared" ref="M8438:M8444" si="347">IF(L8438=2,LN(B8438),"")</f>
        <v>-18.80355542398161</v>
      </c>
      <c r="N8438">
        <v>1</v>
      </c>
      <c r="O8438" s="15">
        <v>1.2</v>
      </c>
      <c r="P8438">
        <v>1</v>
      </c>
      <c r="Q8438">
        <v>1.01</v>
      </c>
      <c r="R8438">
        <v>1.2</v>
      </c>
      <c r="S8438">
        <v>1.2</v>
      </c>
      <c r="T8438">
        <v>3</v>
      </c>
      <c r="U8438">
        <f t="shared" ref="U8438:U8444" si="348">LN(SQRT(EXP(
SQRT(
+POWER(LN(N8438),2)
+POWER(LN(O8438),2)
+POWER(LN(P8438),2)
+POWER(LN(Q8438),2)
+POWER(LN(R8438),2)
+POWER(LN(S8438),2)
+POWER(LN(T8438),2)
)
)))</f>
        <v>0.57157051623399524</v>
      </c>
    </row>
    <row r="8439" spans="1:22" x14ac:dyDescent="0.2">
      <c r="A8439" t="s">
        <v>283</v>
      </c>
      <c r="B8439" s="52">
        <f>(1/(B8427*B8431*B8430*3.6))*B8432</f>
        <v>6.8189834941278219E-9</v>
      </c>
      <c r="C8439" t="s">
        <v>55</v>
      </c>
      <c r="E8439" t="s">
        <v>64</v>
      </c>
      <c r="F8439" t="s">
        <v>86</v>
      </c>
      <c r="G8439" t="s">
        <v>284</v>
      </c>
      <c r="H8439" t="s">
        <v>88</v>
      </c>
      <c r="I8439" t="s">
        <v>277</v>
      </c>
      <c r="K8439" t="str">
        <f>B8398</f>
        <v>heat, residential, by conversion of hydrogen using fuel cell, SOFC, allocated by exergy, transported by train, produced by Electrolysis, Alkaline using water and electricity from Wind (DK)</v>
      </c>
      <c r="L8439">
        <f t="shared" si="346"/>
        <v>2</v>
      </c>
      <c r="M8439">
        <f t="shared" si="347"/>
        <v>-18.80355542398161</v>
      </c>
      <c r="N8439">
        <v>1</v>
      </c>
      <c r="O8439" s="15">
        <v>1.2</v>
      </c>
      <c r="P8439">
        <v>1</v>
      </c>
      <c r="Q8439">
        <v>1.01</v>
      </c>
      <c r="R8439">
        <v>1.2</v>
      </c>
      <c r="S8439">
        <v>1.2</v>
      </c>
      <c r="T8439">
        <v>3</v>
      </c>
      <c r="U8439">
        <f t="shared" si="348"/>
        <v>0.57157051623399524</v>
      </c>
    </row>
    <row r="8440" spans="1:22" x14ac:dyDescent="0.2">
      <c r="A8440" t="s">
        <v>288</v>
      </c>
      <c r="B8440" s="52">
        <f>0.000024*B8432</f>
        <v>3.2610015624957834E-6</v>
      </c>
      <c r="C8440" t="s">
        <v>56</v>
      </c>
      <c r="E8440" t="s">
        <v>64</v>
      </c>
      <c r="F8440" t="s">
        <v>86</v>
      </c>
      <c r="G8440" t="s">
        <v>287</v>
      </c>
      <c r="H8440" t="s">
        <v>88</v>
      </c>
      <c r="K8440" t="str">
        <f>B8398</f>
        <v>heat, residential, by conversion of hydrogen using fuel cell, SOFC, allocated by exergy, transported by train, produced by Electrolysis, Alkaline using water and electricity from Wind (DK)</v>
      </c>
      <c r="L8440">
        <f t="shared" si="346"/>
        <v>2</v>
      </c>
      <c r="M8440">
        <f t="shared" si="347"/>
        <v>-12.633476182011</v>
      </c>
      <c r="N8440">
        <v>1</v>
      </c>
      <c r="O8440" s="15">
        <v>1.2</v>
      </c>
      <c r="P8440">
        <v>1</v>
      </c>
      <c r="Q8440">
        <v>1.01</v>
      </c>
      <c r="R8440">
        <v>1.2</v>
      </c>
      <c r="S8440">
        <v>1.2</v>
      </c>
      <c r="T8440">
        <v>1.05</v>
      </c>
      <c r="U8440">
        <f t="shared" si="348"/>
        <v>0.15984597228197622</v>
      </c>
    </row>
    <row r="8441" spans="1:22" x14ac:dyDescent="0.2">
      <c r="A8441" s="45" t="str">
        <f>"hydrogen supply, transported by "&amp;B8412&amp;", produced by "&amp;B8416&amp;" using "&amp;B8417&amp;" from "&amp;B8418</f>
        <v>hydrogen supply, transported by train, produced by Electrolysis, Alkaline using water and electricity from Wind (DK)</v>
      </c>
      <c r="B8441" s="53">
        <f>(B8437/B8421)/B8420*B8432</f>
        <v>2.1364003947168392E-3</v>
      </c>
      <c r="C8441" t="s">
        <v>56</v>
      </c>
      <c r="E8441" t="s">
        <v>64</v>
      </c>
      <c r="F8441" t="s">
        <v>86</v>
      </c>
      <c r="G8441" t="str">
        <f>"hydrogen, gaseous, from "&amp;B8412</f>
        <v>hydrogen, gaseous, from train</v>
      </c>
      <c r="H8441" t="s">
        <v>76</v>
      </c>
      <c r="I8441" t="s">
        <v>1054</v>
      </c>
      <c r="J8441" t="s">
        <v>302</v>
      </c>
      <c r="K8441" t="str">
        <f>B8398</f>
        <v>heat, residential, by conversion of hydrogen using fuel cell, SOFC, allocated by exergy, transported by train, produced by Electrolysis, Alkaline using water and electricity from Wind (DK)</v>
      </c>
      <c r="L8441">
        <f t="shared" si="346"/>
        <v>2</v>
      </c>
      <c r="M8441">
        <f t="shared" si="347"/>
        <v>-6.1486329247407472</v>
      </c>
      <c r="N8441">
        <v>1</v>
      </c>
      <c r="O8441" s="15">
        <v>1.2</v>
      </c>
      <c r="P8441">
        <v>1</v>
      </c>
      <c r="Q8441">
        <v>1.01</v>
      </c>
      <c r="R8441">
        <v>1.2</v>
      </c>
      <c r="S8441">
        <v>1.2</v>
      </c>
      <c r="T8441">
        <v>1.05</v>
      </c>
      <c r="U8441">
        <f t="shared" si="348"/>
        <v>0.15984597228197622</v>
      </c>
    </row>
    <row r="8442" spans="1:22" x14ac:dyDescent="0.2">
      <c r="A8442" t="str">
        <f>VLOOKUP(J8442,'dataset mapping'!$A$4:$E$69,2,0)</f>
        <v>market for transport, freight train</v>
      </c>
      <c r="B8442" s="45">
        <f>SUM(B8441:B8441)/1000*B8413</f>
        <v>2.7773205131318909E-3</v>
      </c>
      <c r="C8442" t="str">
        <f>VLOOKUP(J8442,'dataset mapping'!$A$4:$E$69,5,0)</f>
        <v>ton kilometer</v>
      </c>
      <c r="E8442" t="str">
        <f>VLOOKUP(J8442,'dataset mapping'!$A$4:$E$69,4,0)</f>
        <v>CH</v>
      </c>
      <c r="F8442" t="s">
        <v>86</v>
      </c>
      <c r="G8442" t="str">
        <f>VLOOKUP(J8442,'dataset mapping'!$A$4:$E$69,3,0)</f>
        <v>transport, freight train</v>
      </c>
      <c r="H8442" t="s">
        <v>88</v>
      </c>
      <c r="I8442" t="s">
        <v>1052</v>
      </c>
      <c r="J8442" t="s">
        <v>295</v>
      </c>
      <c r="K8442" t="str">
        <f>B8398</f>
        <v>heat, residential, by conversion of hydrogen using fuel cell, SOFC, allocated by exergy, transported by train, produced by Electrolysis, Alkaline using water and electricity from Wind (DK)</v>
      </c>
      <c r="L8442">
        <f t="shared" si="346"/>
        <v>2</v>
      </c>
      <c r="M8442">
        <f t="shared" si="347"/>
        <v>-5.8862686602732559</v>
      </c>
      <c r="N8442">
        <v>1</v>
      </c>
      <c r="O8442" s="15">
        <v>1.2</v>
      </c>
      <c r="P8442">
        <v>1</v>
      </c>
      <c r="Q8442">
        <v>1.01</v>
      </c>
      <c r="R8442">
        <v>1.2</v>
      </c>
      <c r="S8442">
        <v>1.2</v>
      </c>
      <c r="T8442">
        <v>2</v>
      </c>
      <c r="U8442">
        <f t="shared" si="348"/>
        <v>0.38087907307228186</v>
      </c>
    </row>
    <row r="8443" spans="1:22" x14ac:dyDescent="0.2">
      <c r="A8443" t="str">
        <f>VLOOKUP(J8443,'dataset mapping'!$A$4:$E$69,2,0)</f>
        <v>high pressure hydrogen storage tank</v>
      </c>
      <c r="B8443" s="52">
        <f>((B8433/10)/(B8431*B8427*20*3.6))*IF(B8432&lt;&gt;0,B8432,1)</f>
        <v>2.3589421024998428E-7</v>
      </c>
      <c r="C8443" t="str">
        <f>VLOOKUP(J8443,'dataset mapping'!$A$4:$E$69,5,0)</f>
        <v>kilogram</v>
      </c>
      <c r="E8443" t="str">
        <f>VLOOKUP(J8443,'dataset mapping'!$A$4:$E$69,4,0)</f>
        <v>GLO</v>
      </c>
      <c r="F8443" t="s">
        <v>86</v>
      </c>
      <c r="G8443" t="str">
        <f>VLOOKUP(J8443,'dataset mapping'!$A$4:$E$69,3,0)</f>
        <v>high pressure hydrogen storage tank</v>
      </c>
      <c r="H8443" t="s">
        <v>88</v>
      </c>
      <c r="I8443" t="s">
        <v>230</v>
      </c>
      <c r="J8443" t="s">
        <v>229</v>
      </c>
      <c r="K8443" t="str">
        <f>B8398</f>
        <v>heat, residential, by conversion of hydrogen using fuel cell, SOFC, allocated by exergy, transported by train, produced by Electrolysis, Alkaline using water and electricity from Wind (DK)</v>
      </c>
      <c r="L8443">
        <f t="shared" si="346"/>
        <v>2</v>
      </c>
      <c r="M8443">
        <f t="shared" si="347"/>
        <v>-15.259882394072699</v>
      </c>
      <c r="N8443">
        <v>1</v>
      </c>
      <c r="O8443" s="15">
        <v>1.2</v>
      </c>
      <c r="P8443">
        <v>1</v>
      </c>
      <c r="Q8443">
        <v>1.01</v>
      </c>
      <c r="R8443">
        <v>1.2</v>
      </c>
      <c r="S8443">
        <v>1.2</v>
      </c>
      <c r="T8443">
        <v>3</v>
      </c>
      <c r="U8443">
        <f t="shared" si="348"/>
        <v>0.57157051623399524</v>
      </c>
    </row>
    <row r="8444" spans="1:22" x14ac:dyDescent="0.2">
      <c r="A8444" t="s">
        <v>134</v>
      </c>
      <c r="B8444" s="45">
        <f>B8441*9</f>
        <v>1.9227603552451553E-2</v>
      </c>
      <c r="C8444" t="s">
        <v>56</v>
      </c>
      <c r="D8444" t="s">
        <v>100</v>
      </c>
      <c r="F8444" t="s">
        <v>99</v>
      </c>
      <c r="H8444" t="s">
        <v>131</v>
      </c>
      <c r="I8444" t="s">
        <v>1057</v>
      </c>
      <c r="K8444" t="str">
        <f>B8398</f>
        <v>heat, residential, by conversion of hydrogen using fuel cell, SOFC, allocated by exergy, transported by train, produced by Electrolysis, Alkaline using water and electricity from Wind (DK)</v>
      </c>
      <c r="L8444">
        <f t="shared" si="346"/>
        <v>2</v>
      </c>
      <c r="M8444">
        <f t="shared" si="347"/>
        <v>-3.9514083474045276</v>
      </c>
      <c r="N8444">
        <v>1</v>
      </c>
      <c r="O8444" s="15">
        <v>1.2</v>
      </c>
      <c r="P8444">
        <v>1</v>
      </c>
      <c r="Q8444">
        <v>1.01</v>
      </c>
      <c r="R8444">
        <v>1.2</v>
      </c>
      <c r="S8444">
        <v>1.2</v>
      </c>
      <c r="T8444">
        <v>1.05</v>
      </c>
      <c r="U8444">
        <f t="shared" si="348"/>
        <v>0.15984597228197622</v>
      </c>
    </row>
    <row r="8446" spans="1:22" x14ac:dyDescent="0.2">
      <c r="A8446" s="2" t="s">
        <v>50</v>
      </c>
      <c r="B8446" s="44" t="str">
        <f>IF(B8452="megajoule","heat","electricity")&amp;", residential, by "&amp;B8457&amp;" of "&amp;B8456&amp;" using "&amp;B8458&amp;IF(B8459&lt;&gt;0,", allocated by "&amp;B8459,"")&amp;", transported by "&amp;B8460&amp;", produced by "&amp;B8464&amp;" using "&amp;B8465&amp;" from "&amp;B8466</f>
        <v>electricity, residential, by combustion of hydrogen using CHP, allocated by exergy, transported by train, produced by Electrolysis, Alkaline using water and electricity from Wind (DK)</v>
      </c>
    </row>
    <row r="8447" spans="1:22" x14ac:dyDescent="0.2">
      <c r="A8447" t="s">
        <v>51</v>
      </c>
      <c r="B8447" s="45" t="str">
        <f>"This dataset represents the supply of 1 "&amp;IF(B8452="megajoule","megajoule of heat","kilowatt hour of electricity")&amp;" in a residence, by "&amp;B8456&amp;" "&amp;B8457&amp;" in a "&amp;B8458&amp;". "&amp;" The hydrogen is transported by "&amp;B8460&amp;" over "&amp;B8461&amp;" km from regional storage. "&amp;" The "&amp;B8456&amp;" is produced by  "&amp;B8464&amp;", with "&amp;B8465&amp;" from "&amp;B8466&amp;" as feedstock. "&amp;A8468&amp;": "&amp;(B8468*100)&amp;"%. "&amp;A8469&amp;": "&amp;B8469&amp;". "&amp;A8470&amp;": "&amp;B8470&amp;". "&amp;A8471&amp;": "&amp;(B8471*100)&amp;"%. "&amp;A8472&amp;": "&amp;(B8472*100)&amp;"%. "&amp;A8473&amp;": "&amp;(B8473*100)&amp;"%. "&amp;A8474&amp;": "&amp;B8474&amp;". "&amp;A8475&amp;": "&amp;B8475&amp;". "&amp;A8476&amp;": "&amp;(B8476*100)&amp;"%. "&amp;A8477&amp;": "&amp;B8477&amp;". "&amp;A8478&amp;": "&amp;B8478&amp;". "&amp;A8479&amp;": "&amp;B8479&amp;". "&amp;A8480&amp;": "&amp;B8480&amp;".  For more information, refer to: "&amp;B8448</f>
        <v>This dataset represents the supply of 1 kilowatt hour of electricity in a residence, by hydrogen combustion in a CHP.  The hydrogen is transported by train over 1300 km from regional storage.  The hydrogen is produced by  Electrolysis, Alkaline,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8448" spans="1:22" x14ac:dyDescent="0.2">
      <c r="A8448" t="s">
        <v>63</v>
      </c>
      <c r="B8448" s="45" t="s">
        <v>1223</v>
      </c>
    </row>
    <row r="8449" spans="1:2" x14ac:dyDescent="0.2">
      <c r="A8449" t="s">
        <v>52</v>
      </c>
      <c r="B8449" s="45" t="s">
        <v>64</v>
      </c>
    </row>
    <row r="8450" spans="1:2" x14ac:dyDescent="0.2">
      <c r="A8450" t="s">
        <v>48</v>
      </c>
      <c r="B8450" s="45" t="s">
        <v>940</v>
      </c>
    </row>
    <row r="8451" spans="1:2" x14ac:dyDescent="0.2">
      <c r="A8451" t="s">
        <v>54</v>
      </c>
      <c r="B8451" s="45" t="str">
        <f>INDEX(overview!$B$4:$R$338,MATCH('hydrogen - electrolysis'!B8450,overview!$A$4:$A$338,0),MATCH('hydrogen - electrolysis'!A8451,overview!$B$3:$R$3,0))</f>
        <v>electricity, from residential heating system</v>
      </c>
    </row>
    <row r="8452" spans="1:2" x14ac:dyDescent="0.2">
      <c r="A8452" t="s">
        <v>55</v>
      </c>
      <c r="B8452" s="45" t="str">
        <f>INDEX(overview!$B$4:$R$338,MATCH('hydrogen - electrolysis'!B8450,overview!$A$4:$A$338,0),MATCH('hydrogen - electrolysis'!A8452,overview!$B$3:$R$3,0))</f>
        <v>kilowatt hour</v>
      </c>
    </row>
    <row r="8453" spans="1:2" x14ac:dyDescent="0.2">
      <c r="A8453" t="s">
        <v>0</v>
      </c>
      <c r="B8453" s="45" t="str">
        <f>INDEX(overview!$B$4:$R$338,MATCH('hydrogen - electrolysis'!B8450,overview!$A$4:$A$338,0),MATCH('hydrogen - electrolysis'!A8453,overview!$B$3:$R$3,0))</f>
        <v>Switzerland</v>
      </c>
    </row>
    <row r="8454" spans="1:2" x14ac:dyDescent="0.2">
      <c r="A8454" t="s">
        <v>1</v>
      </c>
      <c r="B8454" s="45">
        <f>INDEX(overview!$B$4:$R$338,MATCH('hydrogen - electrolysis'!B8450,overview!$A$4:$A$338,0),MATCH('hydrogen - electrolysis'!A8454,overview!$B$3:$R$3,0))</f>
        <v>2020</v>
      </c>
    </row>
    <row r="8455" spans="1:2" x14ac:dyDescent="0.2">
      <c r="A8455" t="s">
        <v>2</v>
      </c>
      <c r="B8455" s="45" t="str">
        <f>INDEX(overview!$B$4:$R$338,MATCH('hydrogen - electrolysis'!B8450,overview!$A$4:$A$338,0),MATCH('hydrogen - electrolysis'!A8455,overview!$B$3:$R$3,0))</f>
        <v>1 kWh electricity</v>
      </c>
    </row>
    <row r="8456" spans="1:2" x14ac:dyDescent="0.2">
      <c r="A8456" t="s">
        <v>5</v>
      </c>
      <c r="B8456" s="45" t="str">
        <f>INDEX(overview!$B$4:$R$338,MATCH('hydrogen - electrolysis'!B8450,overview!$A$4:$A$338,0),MATCH('hydrogen - electrolysis'!A8456,overview!$B$3:$R$3,0))</f>
        <v>hydrogen</v>
      </c>
    </row>
    <row r="8457" spans="1:2" x14ac:dyDescent="0.2">
      <c r="A8457" t="s">
        <v>3</v>
      </c>
      <c r="B8457" s="45" t="str">
        <f>INDEX(overview!$B$4:$R$338,MATCH('hydrogen - electrolysis'!B8450,overview!$A$4:$A$338,0),MATCH('hydrogen - electrolysis'!A8457,overview!$B$3:$R$3,0))</f>
        <v>combustion</v>
      </c>
    </row>
    <row r="8458" spans="1:2" x14ac:dyDescent="0.2">
      <c r="A8458" t="s">
        <v>6</v>
      </c>
      <c r="B8458" s="45" t="str">
        <f>INDEX(overview!$B$4:$R$338,MATCH('hydrogen - electrolysis'!B8450,overview!$A$4:$A$338,0),MATCH('hydrogen - electrolysis'!A8458,overview!$B$3:$R$3,0))</f>
        <v>CHP</v>
      </c>
    </row>
    <row r="8459" spans="1:2" x14ac:dyDescent="0.2">
      <c r="A8459" t="s">
        <v>39</v>
      </c>
      <c r="B8459" s="45" t="str">
        <f>INDEX(overview!$B$4:$R$338,MATCH('hydrogen - electrolysis'!B8450,overview!$A$4:$A$338,0),MATCH('hydrogen - electrolysis'!A8459,overview!$B$3:$R$3,0))</f>
        <v>exergy</v>
      </c>
    </row>
    <row r="8460" spans="1:2" x14ac:dyDescent="0.2">
      <c r="A8460" t="s">
        <v>4</v>
      </c>
      <c r="B8460" s="45" t="str">
        <f>INDEX(overview!$B$4:$R$338,MATCH('hydrogen - electrolysis'!B8450,overview!$A$4:$A$338,0),MATCH('hydrogen - electrolysis'!A8460,overview!$B$3:$R$3,0))</f>
        <v>train</v>
      </c>
    </row>
    <row r="8461" spans="1:2" x14ac:dyDescent="0.2">
      <c r="A8461" t="s">
        <v>38</v>
      </c>
      <c r="B8461" s="45">
        <f>INDEX(overview!$B$4:$R$338,MATCH('hydrogen - electrolysis'!B8450,overview!$A$4:$A$338,0),MATCH('hydrogen - electrolysis'!A8461,overview!$B$3:$R$3,0))</f>
        <v>1300</v>
      </c>
    </row>
    <row r="8462" spans="1:2" x14ac:dyDescent="0.2">
      <c r="A8462" t="s">
        <v>12</v>
      </c>
      <c r="B8462" s="45" t="str">
        <f>INDEX(overview!$B$4:$R$338,MATCH('hydrogen - electrolysis'!B8450,overview!$A$4:$A$338,0),MATCH('hydrogen - electrolysis'!A8462,overview!$B$3:$R$3,0))</f>
        <v>Pressure vessel for stationary storage</v>
      </c>
    </row>
    <row r="8463" spans="1:2" x14ac:dyDescent="0.2">
      <c r="A8463" t="s">
        <v>34</v>
      </c>
      <c r="B8463" s="45">
        <f>INDEX(overview!$B$4:$R$338,MATCH('hydrogen - electrolysis'!B8450,overview!$A$4:$A$338,0),MATCH('hydrogen - electrolysis'!A8463,overview!$B$3:$R$3,0))</f>
        <v>0</v>
      </c>
    </row>
    <row r="8464" spans="1:2" x14ac:dyDescent="0.2">
      <c r="A8464" t="s">
        <v>15</v>
      </c>
      <c r="B8464" s="45" t="str">
        <f>INDEX(overview!$B$4:$R$338,MATCH('hydrogen - electrolysis'!B8450,overview!$A$4:$A$338,0),MATCH('hydrogen - electrolysis'!A8464,overview!$B$3:$R$3,0))</f>
        <v>Electrolysis, Alkaline</v>
      </c>
    </row>
    <row r="8465" spans="1:2" x14ac:dyDescent="0.2">
      <c r="A8465" t="s">
        <v>14</v>
      </c>
      <c r="B8465" s="45" t="str">
        <f>INDEX(overview!$B$4:$R$338,MATCH('hydrogen - electrolysis'!B8450,overview!$A$4:$A$338,0),MATCH('hydrogen - electrolysis'!A8465,overview!$B$3:$R$3,0))</f>
        <v>water and electricity</v>
      </c>
    </row>
    <row r="8466" spans="1:2" x14ac:dyDescent="0.2">
      <c r="A8466" t="s">
        <v>26</v>
      </c>
      <c r="B8466" s="45" t="str">
        <f>INDEX(overview!$B$4:$R$338,MATCH('hydrogen - electrolysis'!B8450,overview!$A$4:$A$338,0),MATCH('hydrogen - electrolysis'!A8466,overview!$B$3:$R$3,0))</f>
        <v>Wind (DK)</v>
      </c>
    </row>
    <row r="8467" spans="1:2" x14ac:dyDescent="0.2">
      <c r="A8467" t="s">
        <v>29</v>
      </c>
      <c r="B8467" s="45">
        <f>INDEX(overview!$B$4:$R$338,MATCH('hydrogen - electrolysis'!B8450,overview!$A$4:$A$338,0),MATCH('hydrogen - electrolysis'!A8467,overview!$B$3:$R$3,0))</f>
        <v>0</v>
      </c>
    </row>
    <row r="8468" spans="1:2" x14ac:dyDescent="0.2">
      <c r="A8468" t="str">
        <f>IF(B8452="megajoule","Heat","Electricity")&amp;" conversion efficiency [% LHV input]"</f>
        <v>Electricity conversion efficiency [% LHV input]</v>
      </c>
      <c r="B8468" s="46">
        <f>INDEX(parameters!$D$4:$N$20,MATCH('hydrogen - electrolysis'!B8456&amp;'hydrogen - electrolysis'!B8458,parameters!$A$4:$A$20,0),MATCH('hydrogen - electrolysis'!A8468,parameters!$D$3:$N$3,0))</f>
        <v>0.39400000000000002</v>
      </c>
    </row>
    <row r="8469" spans="1:2" x14ac:dyDescent="0.2">
      <c r="A8469" t="str">
        <f>IF(B8452="megajoule","LHV [MJ/kg]","LHV [kWh/kg]")</f>
        <v>LHV [kWh/kg]</v>
      </c>
      <c r="B8469" s="47">
        <f>INDEX(parameters!$D$4:$N$20,MATCH('hydrogen - electrolysis'!B8456&amp;'hydrogen - electrolysis'!B8458,parameters!$A$4:$A$20,0),MATCH('hydrogen - electrolysis'!A8469,parameters!$D$3:$N$3,0))</f>
        <v>33.333333333333336</v>
      </c>
    </row>
    <row r="8470" spans="1:2" x14ac:dyDescent="0.2">
      <c r="A8470" t="s">
        <v>41</v>
      </c>
      <c r="B8470" s="48">
        <f>INDEX(parameters!$D$4:$N$20,MATCH('hydrogen - electrolysis'!B8456&amp;'hydrogen - electrolysis'!B8458,parameters!$A$4:$A$20,0),MATCH('hydrogen - electrolysis'!A8470,parameters!$D$3:$N$3,0))</f>
        <v>2.6666666666666665E-2</v>
      </c>
    </row>
    <row r="8471" spans="1:2" x14ac:dyDescent="0.2">
      <c r="A8471" t="s">
        <v>45</v>
      </c>
      <c r="B8471" s="46">
        <f>INDEX(parameters!$D$4:$N$20,MATCH('hydrogen - electrolysis'!B8456&amp;'hydrogen - electrolysis'!B8458,parameters!$A$4:$A$20,0),MATCH('hydrogen - electrolysis'!A8471,parameters!$D$3:$N$3,0))</f>
        <v>0</v>
      </c>
    </row>
    <row r="8472" spans="1:2" x14ac:dyDescent="0.2">
      <c r="A8472" t="s">
        <v>46</v>
      </c>
      <c r="B8472" s="46">
        <f>INDEX(parameters!$D$4:$N$20,MATCH('hydrogen - electrolysis'!B8456&amp;'hydrogen - electrolysis'!B8458,parameters!$A$4:$A$20,0),MATCH('hydrogen - electrolysis'!A8472,parameters!$D$3:$N$3,0))</f>
        <v>1.4999999999999999E-2</v>
      </c>
    </row>
    <row r="8473" spans="1:2" x14ac:dyDescent="0.2">
      <c r="A8473" t="s">
        <v>43</v>
      </c>
      <c r="B8473" s="46">
        <f>INDEX(parameters!$D$4:$N$20,MATCH('hydrogen - electrolysis'!B8456&amp;'hydrogen - electrolysis'!B8458,parameters!$A$4:$A$20,0),MATCH('hydrogen - electrolysis'!A8473,parameters!$D$3:$N$3,0))</f>
        <v>0</v>
      </c>
    </row>
    <row r="8474" spans="1:2" x14ac:dyDescent="0.2">
      <c r="A8474" t="s">
        <v>44</v>
      </c>
      <c r="B8474" s="46">
        <f>INDEX(parameters!$D$4:$N$20,MATCH('hydrogen - electrolysis'!B8456&amp;'hydrogen - electrolysis'!B8458,parameters!$A$4:$A$20,0),MATCH('hydrogen - electrolysis'!A8474,parameters!$D$3:$N$3,0))</f>
        <v>0</v>
      </c>
    </row>
    <row r="8475" spans="1:2" x14ac:dyDescent="0.2">
      <c r="A8475" t="s">
        <v>634</v>
      </c>
      <c r="B8475" s="51">
        <f>INDEX(parameters!$D$4:$Y$20,MATCH('hydrogen - electrolysis'!B8456&amp;'hydrogen - electrolysis'!B8458,parameters!$A$4:$A$20,0),MATCH('hydrogen - electrolysis'!A8475,parameters!$D$3:$Y$3,0))</f>
        <v>351.41800246609125</v>
      </c>
    </row>
    <row r="8476" spans="1:2" x14ac:dyDescent="0.2">
      <c r="A8476" t="s">
        <v>82</v>
      </c>
      <c r="B8476" s="46">
        <f>IF(B8467&lt;&gt;0,VLOOKUP(B8467,parameters!A5381:B5383,2,0),0)</f>
        <v>0</v>
      </c>
    </row>
    <row r="8477" spans="1:2" x14ac:dyDescent="0.2">
      <c r="A8477" t="s">
        <v>548</v>
      </c>
      <c r="B8477" s="50">
        <f>INDEX(parameters!$D$4:$P$20,MATCH(B8456&amp;B8458,parameters!$A$4:$A$20,0),MATCH(A8477,parameters!$D$3:$P$3,0))</f>
        <v>125</v>
      </c>
    </row>
    <row r="8478" spans="1:2" x14ac:dyDescent="0.2">
      <c r="A8478" t="s">
        <v>547</v>
      </c>
      <c r="B8478" s="51">
        <f>INDEX(parameters!$D$4:$P$20,MATCH(B8456&amp;B8458,parameters!$A$4:$A$20,0),MATCH(A8478,parameters!$D$3:$P$3,0))</f>
        <v>19.512195121951219</v>
      </c>
    </row>
    <row r="8479" spans="1:2" x14ac:dyDescent="0.2">
      <c r="A8479" t="s">
        <v>630</v>
      </c>
      <c r="B8479" s="51">
        <f>INDEX(parameters!$D$4:$T$20,MATCH(B8456&amp;B8458,parameters!$A$4:$A$20,0),MATCH(A8479,parameters!$D$3:$T$3,0))</f>
        <v>4100</v>
      </c>
    </row>
    <row r="8480" spans="1:2" x14ac:dyDescent="0.2">
      <c r="A8480" t="s">
        <v>1005</v>
      </c>
      <c r="B8480" s="50">
        <f>IF(B8452="megajoule",SUMIFS(allocation!$I$4:$I$30,allocation!$B$4:$B$30,B8458,allocation!$C$4:$C$30,B8459),SUMIFS(allocation!$J$4:$J$30,allocation!$B$4:$B$30,B8458,allocation!$C$4:$C$30,B8459))</f>
        <v>0.87139957772704957</v>
      </c>
    </row>
    <row r="8481" spans="1:22" x14ac:dyDescent="0.2">
      <c r="A8481" t="s">
        <v>1050</v>
      </c>
      <c r="B8481" s="51">
        <f>INDEX(parameters!$D$4:$AB$20,MATCH(B8456&amp;B8458,parameters!$A$4:$A$20,0),MATCH(A8481,parameters!$D$3:$AB$3,0))</f>
        <v>2220.7364520822662</v>
      </c>
    </row>
    <row r="8483" spans="1:22" x14ac:dyDescent="0.2">
      <c r="A8483" s="3" t="s">
        <v>57</v>
      </c>
    </row>
    <row r="8484" spans="1:22" x14ac:dyDescent="0.2">
      <c r="A8484" s="2" t="s">
        <v>58</v>
      </c>
      <c r="B8484" s="44" t="s">
        <v>59</v>
      </c>
      <c r="C8484" s="2" t="s">
        <v>55</v>
      </c>
      <c r="D8484" s="2" t="s">
        <v>60</v>
      </c>
      <c r="E8484" s="2" t="s">
        <v>52</v>
      </c>
      <c r="F8484" s="2" t="s">
        <v>61</v>
      </c>
      <c r="G8484" s="2" t="s">
        <v>54</v>
      </c>
      <c r="H8484" s="2" t="s">
        <v>87</v>
      </c>
      <c r="I8484" s="2" t="s">
        <v>51</v>
      </c>
      <c r="J8484" s="2" t="s">
        <v>138</v>
      </c>
      <c r="K8484" s="2" t="s">
        <v>136</v>
      </c>
      <c r="L8484" s="2" t="s">
        <v>221</v>
      </c>
      <c r="M8484" s="2" t="s">
        <v>379</v>
      </c>
      <c r="N8484" s="2" t="s">
        <v>1059</v>
      </c>
      <c r="O8484" s="2" t="s">
        <v>1060</v>
      </c>
      <c r="P8484" s="2" t="s">
        <v>1061</v>
      </c>
      <c r="Q8484" s="2" t="s">
        <v>1062</v>
      </c>
      <c r="R8484" s="2" t="s">
        <v>1063</v>
      </c>
      <c r="S8484" s="2" t="s">
        <v>1064</v>
      </c>
      <c r="T8484" s="2" t="s">
        <v>1065</v>
      </c>
      <c r="U8484" s="2" t="s">
        <v>380</v>
      </c>
      <c r="V8484" s="2" t="s">
        <v>1128</v>
      </c>
    </row>
    <row r="8485" spans="1:22" x14ac:dyDescent="0.2">
      <c r="A8485" t="str">
        <f>B8446</f>
        <v>electricity, residential, by combustion of hydrogen using CHP, allocated by exergy, transported by train, produced by Electrolysis, Alkaline using water and electricity from Wind (DK)</v>
      </c>
      <c r="B8485" s="45">
        <v>1</v>
      </c>
      <c r="C8485" t="str">
        <f>B8452</f>
        <v>kilowatt hour</v>
      </c>
      <c r="E8485" t="str">
        <f>B8449</f>
        <v>CH</v>
      </c>
      <c r="F8485" t="s">
        <v>62</v>
      </c>
      <c r="G8485" t="str">
        <f>B8451</f>
        <v>electricity, from residential heating system</v>
      </c>
      <c r="K8485" t="str">
        <f>B8446</f>
        <v>electricity, residential, by combustion of hydrogen using CHP, allocated by exergy, transported by train, produced by Electrolysis, Alkaline using water and electricity from Wind (DK)</v>
      </c>
    </row>
    <row r="8486" spans="1:22" x14ac:dyDescent="0.2">
      <c r="A8486" t="str">
        <f>VLOOKUP(J8486,'dataset mapping'!$A$4:$E$69,2,0)</f>
        <v>heat and power co-generation unit construction, 160kW electrical, common components for heat+electricity</v>
      </c>
      <c r="B8486" s="52">
        <f>(1/(B8475*B8479*B8478))*B8480</f>
        <v>3.0995835856870056E-8</v>
      </c>
      <c r="C8486" t="str">
        <f>VLOOKUP(J8486,'dataset mapping'!$A$4:$E$69,5,0)</f>
        <v>unit</v>
      </c>
      <c r="E8486" t="str">
        <f>VLOOKUP(J8486,'dataset mapping'!$A$4:$E$69,4,0)</f>
        <v>RER</v>
      </c>
      <c r="F8486" t="s">
        <v>86</v>
      </c>
      <c r="G8486" t="str">
        <f>VLOOKUP(J8486,'dataset mapping'!$A$4:$E$69,3,0)</f>
        <v>heat and power co-generation unit, 160kW electrical, common components for heat+electricity</v>
      </c>
      <c r="H8486" t="s">
        <v>88</v>
      </c>
      <c r="J8486" t="s">
        <v>145</v>
      </c>
      <c r="K8486" t="str">
        <f>B8446</f>
        <v>electricity, residential, by combustion of hydrogen using CHP, allocated by exergy, transported by train, produced by Electrolysis, Alkaline using water and electricity from Wind (DK)</v>
      </c>
      <c r="L8486">
        <f t="shared" ref="L8486:L8495" si="349">IF(OR(B8486&lt;0,B8486=0),1,2)</f>
        <v>2</v>
      </c>
      <c r="M8486">
        <f t="shared" ref="M8486:M8495" si="350">IF(L8486=2,LN(B8486),"")</f>
        <v>-17.28941296868171</v>
      </c>
      <c r="N8486">
        <v>1.05</v>
      </c>
      <c r="O8486" s="15">
        <v>1.2</v>
      </c>
      <c r="P8486">
        <v>1</v>
      </c>
      <c r="Q8486">
        <v>1.01</v>
      </c>
      <c r="R8486">
        <v>1.2</v>
      </c>
      <c r="S8486">
        <v>1.2</v>
      </c>
      <c r="T8486">
        <v>3</v>
      </c>
      <c r="U8486">
        <f t="shared" ref="U8486:U8495" si="351">LN(SQRT(EXP(
SQRT(
+POWER(LN(N8486),2)
+POWER(LN(O8486),2)
+POWER(LN(P8486),2)
+POWER(LN(Q8486),2)
+POWER(LN(R8486),2)
+POWER(LN(S8486),2)
+POWER(LN(T8486),2)
)
)))</f>
        <v>0.57209088006881903</v>
      </c>
    </row>
    <row r="8487" spans="1:22" x14ac:dyDescent="0.2">
      <c r="A8487" t="str">
        <f>VLOOKUP(J8487,'dataset mapping'!$A$4:$E$69,2,0)</f>
        <v>heat and power co-generation unit construction, 160kW electrical, components for electricity only</v>
      </c>
      <c r="B8487" s="52">
        <f>(1/(B8475*B8479*B8478))*B8480</f>
        <v>3.0995835856870056E-8</v>
      </c>
      <c r="C8487" t="str">
        <f>VLOOKUP(J8487,'dataset mapping'!$A$4:$E$69,5,0)</f>
        <v>unit</v>
      </c>
      <c r="E8487" t="str">
        <f>VLOOKUP(J8487,'dataset mapping'!$A$4:$E$69,4,0)</f>
        <v>RER</v>
      </c>
      <c r="F8487" t="s">
        <v>86</v>
      </c>
      <c r="G8487" t="str">
        <f>VLOOKUP(J8487,'dataset mapping'!$A$4:$E$69,3,0)</f>
        <v>heat and power co-generation unit, 160kW electrical, components for electricity only</v>
      </c>
      <c r="H8487" t="s">
        <v>88</v>
      </c>
      <c r="J8487" t="s">
        <v>146</v>
      </c>
      <c r="K8487" t="str">
        <f>B8446</f>
        <v>electricity, residential, by combustion of hydrogen using CHP, allocated by exergy, transported by train, produced by Electrolysis, Alkaline using water and electricity from Wind (DK)</v>
      </c>
      <c r="L8487">
        <f t="shared" si="349"/>
        <v>2</v>
      </c>
      <c r="M8487">
        <f t="shared" si="350"/>
        <v>-17.28941296868171</v>
      </c>
      <c r="N8487">
        <v>1.05</v>
      </c>
      <c r="O8487" s="15">
        <v>1.2</v>
      </c>
      <c r="P8487">
        <v>1</v>
      </c>
      <c r="Q8487">
        <v>1.01</v>
      </c>
      <c r="R8487">
        <v>1.2</v>
      </c>
      <c r="S8487">
        <v>1.2</v>
      </c>
      <c r="T8487">
        <v>3</v>
      </c>
      <c r="U8487">
        <f t="shared" si="351"/>
        <v>0.57209088006881903</v>
      </c>
    </row>
    <row r="8488" spans="1:22" x14ac:dyDescent="0.2">
      <c r="A8488" t="str">
        <f>VLOOKUP(J8488,'dataset mapping'!$A$4:$E$69,2,0)</f>
        <v>heat and power co-generation unit construction, 160kW electrical, components for heat only</v>
      </c>
      <c r="B8488" s="52">
        <f>(1/(B8475*B8479*B8478))*B8480</f>
        <v>3.0995835856870056E-8</v>
      </c>
      <c r="C8488" t="str">
        <f>VLOOKUP(J8488,'dataset mapping'!$A$4:$E$69,5,0)</f>
        <v>unit</v>
      </c>
      <c r="E8488" t="str">
        <f>VLOOKUP(J8488,'dataset mapping'!$A$4:$E$69,4,0)</f>
        <v>RER</v>
      </c>
      <c r="F8488" t="s">
        <v>86</v>
      </c>
      <c r="G8488" t="str">
        <f>VLOOKUP(J8488,'dataset mapping'!$A$4:$E$69,3,0)</f>
        <v>heat and power co-generation unit, 160kW electrical, components for heat only</v>
      </c>
      <c r="H8488" t="s">
        <v>88</v>
      </c>
      <c r="J8488" t="s">
        <v>147</v>
      </c>
      <c r="K8488" t="str">
        <f>B8446</f>
        <v>electricity, residential, by combustion of hydrogen using CHP, allocated by exergy, transported by train, produced by Electrolysis, Alkaline using water and electricity from Wind (DK)</v>
      </c>
      <c r="L8488">
        <f t="shared" si="349"/>
        <v>2</v>
      </c>
      <c r="M8488">
        <f t="shared" si="350"/>
        <v>-17.28941296868171</v>
      </c>
      <c r="N8488">
        <v>1.05</v>
      </c>
      <c r="O8488" s="15">
        <v>1.2</v>
      </c>
      <c r="P8488">
        <v>1</v>
      </c>
      <c r="Q8488">
        <v>1.01</v>
      </c>
      <c r="R8488">
        <v>1.2</v>
      </c>
      <c r="S8488">
        <v>1.2</v>
      </c>
      <c r="T8488">
        <v>3</v>
      </c>
      <c r="U8488">
        <f t="shared" si="351"/>
        <v>0.57209088006881903</v>
      </c>
    </row>
    <row r="8489" spans="1:22" x14ac:dyDescent="0.2">
      <c r="A8489" t="s">
        <v>156</v>
      </c>
      <c r="B8489" s="52">
        <f>0.00000011366*B8480</f>
        <v>9.9043276004456456E-8</v>
      </c>
      <c r="C8489" t="s">
        <v>56</v>
      </c>
      <c r="E8489" t="s">
        <v>90</v>
      </c>
      <c r="F8489" t="s">
        <v>86</v>
      </c>
      <c r="G8489" t="s">
        <v>154</v>
      </c>
      <c r="H8489" t="s">
        <v>155</v>
      </c>
      <c r="K8489" t="str">
        <f>B8446</f>
        <v>electricity, residential, by combustion of hydrogen using CHP, allocated by exergy, transported by train, produced by Electrolysis, Alkaline using water and electricity from Wind (DK)</v>
      </c>
      <c r="L8489">
        <f t="shared" si="349"/>
        <v>2</v>
      </c>
      <c r="M8489">
        <f t="shared" si="350"/>
        <v>-16.127708950967754</v>
      </c>
      <c r="N8489">
        <v>1.05</v>
      </c>
      <c r="O8489" s="15">
        <v>1.2</v>
      </c>
      <c r="P8489">
        <v>1</v>
      </c>
      <c r="Q8489">
        <v>1.01</v>
      </c>
      <c r="R8489">
        <v>1.2</v>
      </c>
      <c r="S8489">
        <v>1.2</v>
      </c>
      <c r="T8489">
        <v>1.05</v>
      </c>
      <c r="U8489">
        <f t="shared" si="351"/>
        <v>0.16169679924070957</v>
      </c>
    </row>
    <row r="8490" spans="1:22" x14ac:dyDescent="0.2">
      <c r="A8490" t="s">
        <v>157</v>
      </c>
      <c r="B8490" s="52">
        <f>0.00000011366*B8480*-1</f>
        <v>-9.9043276004456456E-8</v>
      </c>
      <c r="C8490" t="s">
        <v>56</v>
      </c>
      <c r="E8490" t="s">
        <v>64</v>
      </c>
      <c r="F8490" t="s">
        <v>86</v>
      </c>
      <c r="G8490" t="s">
        <v>158</v>
      </c>
      <c r="H8490" t="s">
        <v>155</v>
      </c>
      <c r="K8490" t="str">
        <f>B8446</f>
        <v>electricity, residential, by combustion of hydrogen using CHP, allocated by exergy, transported by train, produced by Electrolysis, Alkaline using water and electricity from Wind (DK)</v>
      </c>
      <c r="L8490">
        <v>2</v>
      </c>
      <c r="M8490">
        <f>IF(L8490=2,LN(B8490*-1),"")</f>
        <v>-16.127708950967754</v>
      </c>
      <c r="N8490">
        <v>1.05</v>
      </c>
      <c r="O8490" s="15">
        <v>1.2</v>
      </c>
      <c r="P8490">
        <v>1</v>
      </c>
      <c r="Q8490">
        <v>1.01</v>
      </c>
      <c r="R8490">
        <v>1.2</v>
      </c>
      <c r="S8490">
        <v>1.2</v>
      </c>
      <c r="T8490">
        <v>3</v>
      </c>
      <c r="U8490">
        <f>LN(SQRT(EXP(
SQRT(
+POWER(LN(N8490),2)
+POWER(LN(O8490),2)
+POWER(LN(P8490),2)
+POWER(LN(Q8490),2)
+POWER(LN(R8490),2)
+POWER(LN(S8490),2)
+POWER(LN(T8490),2)
)
)))</f>
        <v>0.57209088006881903</v>
      </c>
      <c r="V8490" t="b">
        <v>1</v>
      </c>
    </row>
    <row r="8491" spans="1:22" x14ac:dyDescent="0.2">
      <c r="A8491" s="45" t="str">
        <f>"hydrogen supply, transported by "&amp;B8460&amp;", produced by "&amp;B8464&amp;" using "&amp;B8465&amp;" from "&amp;B8466</f>
        <v>hydrogen supply, transported by train, produced by Electrolysis, Alkaline using water and electricity from Wind (DK)</v>
      </c>
      <c r="B8491" s="53">
        <f>(B8485/B8469)/B8468*B8480</f>
        <v>6.6350221654343872E-2</v>
      </c>
      <c r="C8491" t="s">
        <v>56</v>
      </c>
      <c r="E8491" t="s">
        <v>64</v>
      </c>
      <c r="F8491" t="s">
        <v>86</v>
      </c>
      <c r="G8491" t="str">
        <f>"hydrogen, gaseous, from "&amp;B8460</f>
        <v>hydrogen, gaseous, from train</v>
      </c>
      <c r="H8491" t="s">
        <v>76</v>
      </c>
      <c r="I8491" t="s">
        <v>1054</v>
      </c>
      <c r="J8491" t="s">
        <v>302</v>
      </c>
      <c r="K8491" t="str">
        <f>B8446</f>
        <v>electricity, residential, by combustion of hydrogen using CHP, allocated by exergy, transported by train, produced by Electrolysis, Alkaline using water and electricity from Wind (DK)</v>
      </c>
      <c r="L8491">
        <f t="shared" si="349"/>
        <v>2</v>
      </c>
      <c r="M8491">
        <f t="shared" si="350"/>
        <v>-2.7128081775260964</v>
      </c>
      <c r="N8491">
        <v>1.05</v>
      </c>
      <c r="O8491" s="15">
        <v>1.2</v>
      </c>
      <c r="P8491">
        <v>1</v>
      </c>
      <c r="Q8491">
        <v>1.01</v>
      </c>
      <c r="R8491">
        <v>1.2</v>
      </c>
      <c r="S8491">
        <v>1.2</v>
      </c>
      <c r="T8491">
        <v>1.05</v>
      </c>
      <c r="U8491">
        <f t="shared" si="351"/>
        <v>0.16169679924070957</v>
      </c>
    </row>
    <row r="8492" spans="1:22" x14ac:dyDescent="0.2">
      <c r="A8492" t="str">
        <f>VLOOKUP(J8492,'dataset mapping'!$A$4:$E$69,2,0)</f>
        <v>market for transport, freight train</v>
      </c>
      <c r="B8492" s="45">
        <f>SUM(B8491:B8491)/1000*B8461</f>
        <v>8.6255288150647036E-2</v>
      </c>
      <c r="C8492" t="str">
        <f>VLOOKUP(J8492,'dataset mapping'!$A$4:$E$69,5,0)</f>
        <v>ton kilometer</v>
      </c>
      <c r="E8492" t="str">
        <f>VLOOKUP(J8492,'dataset mapping'!$A$4:$E$69,4,0)</f>
        <v>CH</v>
      </c>
      <c r="F8492" t="s">
        <v>86</v>
      </c>
      <c r="G8492" t="str">
        <f>VLOOKUP(J8492,'dataset mapping'!$A$4:$E$69,3,0)</f>
        <v>transport, freight train</v>
      </c>
      <c r="H8492" t="s">
        <v>88</v>
      </c>
      <c r="I8492" t="s">
        <v>1052</v>
      </c>
      <c r="J8492" t="s">
        <v>295</v>
      </c>
      <c r="K8492" t="str">
        <f>B8446</f>
        <v>electricity, residential, by combustion of hydrogen using CHP, allocated by exergy, transported by train, produced by Electrolysis, Alkaline using water and electricity from Wind (DK)</v>
      </c>
      <c r="L8492">
        <f t="shared" si="349"/>
        <v>2</v>
      </c>
      <c r="M8492">
        <f t="shared" si="350"/>
        <v>-2.4504439130586051</v>
      </c>
      <c r="N8492">
        <v>1.05</v>
      </c>
      <c r="O8492" s="15">
        <v>1.2</v>
      </c>
      <c r="P8492">
        <v>1</v>
      </c>
      <c r="Q8492">
        <v>1.01</v>
      </c>
      <c r="R8492">
        <v>1.2</v>
      </c>
      <c r="S8492">
        <v>1.2</v>
      </c>
      <c r="T8492">
        <v>2</v>
      </c>
      <c r="U8492">
        <f t="shared" si="351"/>
        <v>0.38165951885721477</v>
      </c>
    </row>
    <row r="8493" spans="1:22" x14ac:dyDescent="0.2">
      <c r="A8493" t="str">
        <f>VLOOKUP(J8493,'dataset mapping'!$A$4:$E$69,2,0)</f>
        <v>high pressure hydrogen storage tank</v>
      </c>
      <c r="B8493" s="52">
        <f>((B8481/10)/(B8479*B8475*20))*IF(B8480&lt;&gt;0,B8480,1)</f>
        <v>6.7154714683034044E-6</v>
      </c>
      <c r="C8493" t="str">
        <f>VLOOKUP(J8493,'dataset mapping'!$A$4:$E$69,5,0)</f>
        <v>kilogram</v>
      </c>
      <c r="E8493" t="str">
        <f>VLOOKUP(J8493,'dataset mapping'!$A$4:$E$69,4,0)</f>
        <v>GLO</v>
      </c>
      <c r="F8493" t="s">
        <v>86</v>
      </c>
      <c r="G8493" t="str">
        <f>VLOOKUP(J8493,'dataset mapping'!$A$4:$E$69,3,0)</f>
        <v>high pressure hydrogen storage tank</v>
      </c>
      <c r="H8493" t="s">
        <v>88</v>
      </c>
      <c r="I8493" t="s">
        <v>279</v>
      </c>
      <c r="J8493" t="s">
        <v>229</v>
      </c>
      <c r="K8493" t="str">
        <f>B8446</f>
        <v>electricity, residential, by combustion of hydrogen using CHP, allocated by exergy, transported by train, produced by Electrolysis, Alkaline using water and electricity from Wind (DK)</v>
      </c>
      <c r="L8493">
        <f t="shared" si="349"/>
        <v>2</v>
      </c>
      <c r="M8493">
        <f t="shared" si="350"/>
        <v>-11.911096519239557</v>
      </c>
      <c r="N8493">
        <v>1.05</v>
      </c>
      <c r="O8493" s="15">
        <v>1.2</v>
      </c>
      <c r="P8493">
        <v>1</v>
      </c>
      <c r="Q8493">
        <v>1.01</v>
      </c>
      <c r="R8493">
        <v>1.2</v>
      </c>
      <c r="S8493">
        <v>1.2</v>
      </c>
      <c r="T8493">
        <v>3</v>
      </c>
      <c r="U8493">
        <f t="shared" si="351"/>
        <v>0.57209088006881903</v>
      </c>
    </row>
    <row r="8494" spans="1:22" x14ac:dyDescent="0.2">
      <c r="A8494" t="s">
        <v>134</v>
      </c>
      <c r="B8494" s="45">
        <f>B8491*9</f>
        <v>0.59715199488909487</v>
      </c>
      <c r="C8494" t="s">
        <v>56</v>
      </c>
      <c r="D8494" t="s">
        <v>100</v>
      </c>
      <c r="F8494" t="s">
        <v>99</v>
      </c>
      <c r="H8494" t="s">
        <v>131</v>
      </c>
      <c r="I8494" t="s">
        <v>1058</v>
      </c>
      <c r="K8494" t="str">
        <f>B8446</f>
        <v>electricity, residential, by combustion of hydrogen using CHP, allocated by exergy, transported by train, produced by Electrolysis, Alkaline using water and electricity from Wind (DK)</v>
      </c>
      <c r="L8494">
        <f t="shared" si="349"/>
        <v>2</v>
      </c>
      <c r="M8494">
        <f t="shared" si="350"/>
        <v>-0.51558360018987692</v>
      </c>
      <c r="N8494">
        <v>1.05</v>
      </c>
      <c r="O8494" s="15">
        <v>1.2</v>
      </c>
      <c r="P8494">
        <v>1</v>
      </c>
      <c r="Q8494">
        <v>1.01</v>
      </c>
      <c r="R8494">
        <v>1.2</v>
      </c>
      <c r="S8494">
        <v>1.2</v>
      </c>
      <c r="T8494">
        <v>1.05</v>
      </c>
      <c r="U8494">
        <f t="shared" si="351"/>
        <v>0.16169679924070957</v>
      </c>
    </row>
    <row r="8495" spans="1:22" x14ac:dyDescent="0.2">
      <c r="A8495" t="s">
        <v>135</v>
      </c>
      <c r="B8495" s="45">
        <f>912.5/1000000*B8492</f>
        <v>7.8707950437465415E-5</v>
      </c>
      <c r="C8495" t="s">
        <v>56</v>
      </c>
      <c r="D8495" t="s">
        <v>100</v>
      </c>
      <c r="F8495" t="s">
        <v>99</v>
      </c>
      <c r="H8495" t="s">
        <v>131</v>
      </c>
      <c r="I8495" t="s">
        <v>1217</v>
      </c>
      <c r="K8495" t="str">
        <f>B8446</f>
        <v>electricity, residential, by combustion of hydrogen using CHP, allocated by exergy, transported by train, produced by Electrolysis, Alkaline using water and electricity from Wind (DK)</v>
      </c>
      <c r="L8495">
        <f t="shared" si="349"/>
        <v>2</v>
      </c>
      <c r="M8495">
        <f t="shared" si="350"/>
        <v>-9.4497663855662335</v>
      </c>
      <c r="N8495">
        <v>1.05</v>
      </c>
      <c r="O8495" s="15">
        <v>1.2</v>
      </c>
      <c r="P8495">
        <v>1</v>
      </c>
      <c r="Q8495">
        <v>1.01</v>
      </c>
      <c r="R8495">
        <v>1.2</v>
      </c>
      <c r="S8495">
        <v>1.2</v>
      </c>
      <c r="T8495">
        <v>1.5</v>
      </c>
      <c r="U8495">
        <f t="shared" si="351"/>
        <v>0.25816898211842121</v>
      </c>
    </row>
    <row r="8497" spans="1:2" x14ac:dyDescent="0.2">
      <c r="A8497" s="2" t="s">
        <v>50</v>
      </c>
      <c r="B8497" s="44" t="str">
        <f>IF(B8503="megajoule","heat","electricity")&amp;", residential, by "&amp;B8508&amp;" of "&amp;B8507&amp;" using "&amp;B8509&amp;IF(B8510&lt;&gt;0,", allocated by "&amp;B8510,"")&amp;", transported by "&amp;B8511&amp;", produced by "&amp;B8515&amp;" using "&amp;B8516&amp;" from "&amp;B8517</f>
        <v>electricity, residential, by conversion of hydrogen using fuel cell, PEM, allocated by exergy, transported by train, produced by Electrolysis, Alkaline using water and electricity from Wind (DK)</v>
      </c>
    </row>
    <row r="8498" spans="1:2" x14ac:dyDescent="0.2">
      <c r="A8498" t="s">
        <v>51</v>
      </c>
      <c r="B8498" s="45" t="str">
        <f>"This dataset represents the supply of 1 "&amp;IF(B8503="megajoule","megajoule of heat","kilowatt hour of electricity")&amp;" in a residence, by "&amp;B8507&amp;" "&amp;B8508&amp;" in a "&amp;B8509&amp;". "&amp;" The hydrogen is transported by "&amp;B8511&amp;" over "&amp;B8512&amp;" km from regional storage. "&amp;" The "&amp;B8507&amp;" is produced by  "&amp;B8515&amp;", with "&amp;B8516&amp;" from "&amp;B8517&amp;" as feedstock. "&amp;A8519&amp;": "&amp;(B8519*100)&amp;"%. "&amp;A8520&amp;": "&amp;B8520&amp;". "&amp;A8521&amp;": "&amp;B8521&amp;". "&amp;A8522&amp;": "&amp;(B8522*100)&amp;"%. "&amp;A8523&amp;": "&amp;(B8523*100)&amp;"%. "&amp;A8524&amp;": "&amp;(B8524*100)&amp;"%. "&amp;A8525&amp;": "&amp;B8525&amp;". "&amp;A8526&amp;": "&amp;B8526&amp;". "&amp;A8527&amp;": "&amp;(B8527*100)&amp;"%. "&amp;A8528&amp;": "&amp;B8528&amp;". "&amp;A8529&amp;": "&amp;B8529&amp;". "&amp;A8530&amp;": "&amp;B8530&amp;". "&amp;A8531&amp;": "&amp;B8531&amp;".  For more information, refer to: "&amp;B8499</f>
        <v>This dataset represents the supply of 1 kilowatt hour of electricity in a residence, by hydrogen conversion in a fuel cell, PEM.  The hydrogen is transported by train over 1300 km from regional storage.  The hydrogen is produced by  Electrolysis, Alkaline,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8499" spans="1:2" x14ac:dyDescent="0.2">
      <c r="A8499" t="s">
        <v>63</v>
      </c>
      <c r="B8499" s="45" t="s">
        <v>1223</v>
      </c>
    </row>
    <row r="8500" spans="1:2" x14ac:dyDescent="0.2">
      <c r="A8500" t="s">
        <v>52</v>
      </c>
      <c r="B8500" s="45" t="s">
        <v>64</v>
      </c>
    </row>
    <row r="8501" spans="1:2" x14ac:dyDescent="0.2">
      <c r="A8501" t="s">
        <v>48</v>
      </c>
      <c r="B8501" s="45" t="s">
        <v>941</v>
      </c>
    </row>
    <row r="8502" spans="1:2" x14ac:dyDescent="0.2">
      <c r="A8502" t="s">
        <v>54</v>
      </c>
      <c r="B8502" s="45" t="str">
        <f>INDEX(overview!$B$4:$R$338,MATCH('hydrogen - electrolysis'!B8501,overview!$A$4:$A$338,0),MATCH('hydrogen - electrolysis'!A8502,overview!$B$3:$R$3,0))</f>
        <v>electricity, from residential heating system</v>
      </c>
    </row>
    <row r="8503" spans="1:2" x14ac:dyDescent="0.2">
      <c r="A8503" t="s">
        <v>55</v>
      </c>
      <c r="B8503" s="45" t="str">
        <f>INDEX(overview!$B$4:$R$338,MATCH('hydrogen - electrolysis'!B8501,overview!$A$4:$A$338,0),MATCH('hydrogen - electrolysis'!A8503,overview!$B$3:$R$3,0))</f>
        <v>kilowatt hour</v>
      </c>
    </row>
    <row r="8504" spans="1:2" x14ac:dyDescent="0.2">
      <c r="A8504" t="s">
        <v>0</v>
      </c>
      <c r="B8504" s="45" t="str">
        <f>INDEX(overview!$B$4:$R$338,MATCH('hydrogen - electrolysis'!B8501,overview!$A$4:$A$338,0),MATCH('hydrogen - electrolysis'!A8504,overview!$B$3:$R$3,0))</f>
        <v>Switzerland</v>
      </c>
    </row>
    <row r="8505" spans="1:2" x14ac:dyDescent="0.2">
      <c r="A8505" t="s">
        <v>1</v>
      </c>
      <c r="B8505" s="45">
        <f>INDEX(overview!$B$4:$R$338,MATCH('hydrogen - electrolysis'!B8501,overview!$A$4:$A$338,0),MATCH('hydrogen - electrolysis'!A8505,overview!$B$3:$R$3,0))</f>
        <v>2020</v>
      </c>
    </row>
    <row r="8506" spans="1:2" x14ac:dyDescent="0.2">
      <c r="A8506" t="s">
        <v>2</v>
      </c>
      <c r="B8506" s="45" t="str">
        <f>INDEX(overview!$B$4:$R$338,MATCH('hydrogen - electrolysis'!B8501,overview!$A$4:$A$338,0),MATCH('hydrogen - electrolysis'!A8506,overview!$B$3:$R$3,0))</f>
        <v>1 kWh electricity</v>
      </c>
    </row>
    <row r="8507" spans="1:2" x14ac:dyDescent="0.2">
      <c r="A8507" t="s">
        <v>5</v>
      </c>
      <c r="B8507" s="45" t="str">
        <f>INDEX(overview!$B$4:$R$338,MATCH('hydrogen - electrolysis'!B8501,overview!$A$4:$A$338,0),MATCH('hydrogen - electrolysis'!A8507,overview!$B$3:$R$3,0))</f>
        <v>hydrogen</v>
      </c>
    </row>
    <row r="8508" spans="1:2" x14ac:dyDescent="0.2">
      <c r="A8508" t="s">
        <v>3</v>
      </c>
      <c r="B8508" s="45" t="str">
        <f>INDEX(overview!$B$4:$R$338,MATCH('hydrogen - electrolysis'!B8501,overview!$A$4:$A$338,0),MATCH('hydrogen - electrolysis'!A8508,overview!$B$3:$R$3,0))</f>
        <v>conversion</v>
      </c>
    </row>
    <row r="8509" spans="1:2" x14ac:dyDescent="0.2">
      <c r="A8509" t="s">
        <v>6</v>
      </c>
      <c r="B8509" s="45" t="str">
        <f>INDEX(overview!$B$4:$R$338,MATCH('hydrogen - electrolysis'!B8501,overview!$A$4:$A$338,0),MATCH('hydrogen - electrolysis'!A8509,overview!$B$3:$R$3,0))</f>
        <v>fuel cell, PEM</v>
      </c>
    </row>
    <row r="8510" spans="1:2" x14ac:dyDescent="0.2">
      <c r="A8510" t="s">
        <v>39</v>
      </c>
      <c r="B8510" s="45" t="str">
        <f>INDEX(overview!$B$4:$R$338,MATCH('hydrogen - electrolysis'!B8501,overview!$A$4:$A$338,0),MATCH('hydrogen - electrolysis'!A8510,overview!$B$3:$R$3,0))</f>
        <v>exergy</v>
      </c>
    </row>
    <row r="8511" spans="1:2" x14ac:dyDescent="0.2">
      <c r="A8511" t="s">
        <v>4</v>
      </c>
      <c r="B8511" s="45" t="str">
        <f>INDEX(overview!$B$4:$R$338,MATCH('hydrogen - electrolysis'!B8501,overview!$A$4:$A$338,0),MATCH('hydrogen - electrolysis'!A8511,overview!$B$3:$R$3,0))</f>
        <v>train</v>
      </c>
    </row>
    <row r="8512" spans="1:2" x14ac:dyDescent="0.2">
      <c r="A8512" t="s">
        <v>38</v>
      </c>
      <c r="B8512" s="45">
        <f>INDEX(overview!$B$4:$R$338,MATCH('hydrogen - electrolysis'!B8501,overview!$A$4:$A$338,0),MATCH('hydrogen - electrolysis'!A8512,overview!$B$3:$R$3,0))</f>
        <v>1300</v>
      </c>
    </row>
    <row r="8513" spans="1:2" x14ac:dyDescent="0.2">
      <c r="A8513" t="s">
        <v>12</v>
      </c>
      <c r="B8513" s="45" t="str">
        <f>INDEX(overview!$B$4:$R$338,MATCH('hydrogen - electrolysis'!B8501,overview!$A$4:$A$338,0),MATCH('hydrogen - electrolysis'!A8513,overview!$B$3:$R$3,0))</f>
        <v>Pressure vessel for stationary storage</v>
      </c>
    </row>
    <row r="8514" spans="1:2" x14ac:dyDescent="0.2">
      <c r="A8514" t="s">
        <v>34</v>
      </c>
      <c r="B8514" s="45">
        <f>INDEX(overview!$B$4:$R$338,MATCH('hydrogen - electrolysis'!B8501,overview!$A$4:$A$338,0),MATCH('hydrogen - electrolysis'!A8514,overview!$B$3:$R$3,0))</f>
        <v>0</v>
      </c>
    </row>
    <row r="8515" spans="1:2" x14ac:dyDescent="0.2">
      <c r="A8515" t="s">
        <v>15</v>
      </c>
      <c r="B8515" s="45" t="str">
        <f>INDEX(overview!$B$4:$R$338,MATCH('hydrogen - electrolysis'!B8501,overview!$A$4:$A$338,0),MATCH('hydrogen - electrolysis'!A8515,overview!$B$3:$R$3,0))</f>
        <v>Electrolysis, Alkaline</v>
      </c>
    </row>
    <row r="8516" spans="1:2" x14ac:dyDescent="0.2">
      <c r="A8516" t="s">
        <v>14</v>
      </c>
      <c r="B8516" s="45" t="str">
        <f>INDEX(overview!$B$4:$R$338,MATCH('hydrogen - electrolysis'!B8501,overview!$A$4:$A$338,0),MATCH('hydrogen - electrolysis'!A8516,overview!$B$3:$R$3,0))</f>
        <v>water and electricity</v>
      </c>
    </row>
    <row r="8517" spans="1:2" x14ac:dyDescent="0.2">
      <c r="A8517" t="s">
        <v>26</v>
      </c>
      <c r="B8517" s="45" t="str">
        <f>INDEX(overview!$B$4:$R$338,MATCH('hydrogen - electrolysis'!B8501,overview!$A$4:$A$338,0),MATCH('hydrogen - electrolysis'!A8517,overview!$B$3:$R$3,0))</f>
        <v>Wind (DK)</v>
      </c>
    </row>
    <row r="8518" spans="1:2" x14ac:dyDescent="0.2">
      <c r="A8518" t="s">
        <v>29</v>
      </c>
      <c r="B8518" s="45">
        <f>INDEX(overview!$B$4:$R$338,MATCH('hydrogen - electrolysis'!B8501,overview!$A$4:$A$338,0),MATCH('hydrogen - electrolysis'!A8518,overview!$B$3:$R$3,0))</f>
        <v>0</v>
      </c>
    </row>
    <row r="8519" spans="1:2" x14ac:dyDescent="0.2">
      <c r="A8519" t="str">
        <f>IF(B8503="megajoule","Heat","Electricity")&amp;" conversion efficiency [% LHV input]"</f>
        <v>Electricity conversion efficiency [% LHV input]</v>
      </c>
      <c r="B8519" s="46">
        <f>INDEX(parameters!$D$4:$N$20,MATCH('hydrogen - electrolysis'!B8507&amp;'hydrogen - electrolysis'!B8509,parameters!$A$4:$A$20,0),MATCH('hydrogen - electrolysis'!A8519,parameters!$D$3:$N$3,0))</f>
        <v>0.45</v>
      </c>
    </row>
    <row r="8520" spans="1:2" x14ac:dyDescent="0.2">
      <c r="A8520" t="str">
        <f>IF(B8503="megajoule","LHV [MJ/kg]","LHV [kWh/kg]")</f>
        <v>LHV [kWh/kg]</v>
      </c>
      <c r="B8520" s="47">
        <f>INDEX(parameters!$D$4:$N$20,MATCH('hydrogen - electrolysis'!B8507&amp;'hydrogen - electrolysis'!B8509,parameters!$A$4:$A$20,0),MATCH('hydrogen - electrolysis'!A8520,parameters!$D$3:$N$3,0))</f>
        <v>33.333333333333336</v>
      </c>
    </row>
    <row r="8521" spans="1:2" x14ac:dyDescent="0.2">
      <c r="A8521" t="s">
        <v>41</v>
      </c>
      <c r="B8521" s="48">
        <f>INDEX(parameters!$D$4:$N$20,MATCH('hydrogen - electrolysis'!B8507&amp;'hydrogen - electrolysis'!B8509,parameters!$A$4:$A$20,0),MATCH('hydrogen - electrolysis'!A8521,parameters!$D$3:$N$3,0))</f>
        <v>2.6666666666666665E-2</v>
      </c>
    </row>
    <row r="8522" spans="1:2" x14ac:dyDescent="0.2">
      <c r="A8522" t="s">
        <v>45</v>
      </c>
      <c r="B8522" s="46">
        <f>INDEX(parameters!$D$4:$N$20,MATCH('hydrogen - electrolysis'!B8507&amp;'hydrogen - electrolysis'!B8509,parameters!$A$4:$A$20,0),MATCH('hydrogen - electrolysis'!A8522,parameters!$D$3:$N$3,0))</f>
        <v>0</v>
      </c>
    </row>
    <row r="8523" spans="1:2" x14ac:dyDescent="0.2">
      <c r="A8523" t="s">
        <v>46</v>
      </c>
      <c r="B8523" s="46">
        <f>INDEX(parameters!$D$4:$N$20,MATCH('hydrogen - electrolysis'!B8507&amp;'hydrogen - electrolysis'!B8509,parameters!$A$4:$A$20,0),MATCH('hydrogen - electrolysis'!A8523,parameters!$D$3:$N$3,0))</f>
        <v>1.4999999999999999E-2</v>
      </c>
    </row>
    <row r="8524" spans="1:2" x14ac:dyDescent="0.2">
      <c r="A8524" t="s">
        <v>43</v>
      </c>
      <c r="B8524" s="46">
        <f>INDEX(parameters!$D$4:$N$20,MATCH('hydrogen - electrolysis'!B8507&amp;'hydrogen - electrolysis'!B8509,parameters!$A$4:$A$20,0),MATCH('hydrogen - electrolysis'!A8524,parameters!$D$3:$N$3,0))</f>
        <v>0</v>
      </c>
    </row>
    <row r="8525" spans="1:2" x14ac:dyDescent="0.2">
      <c r="A8525" t="s">
        <v>44</v>
      </c>
      <c r="B8525" s="46">
        <f>INDEX(parameters!$D$4:$N$20,MATCH('hydrogen - electrolysis'!B8507&amp;'hydrogen - electrolysis'!B8509,parameters!$A$4:$A$20,0),MATCH('hydrogen - electrolysis'!A8525,parameters!$D$3:$N$3,0))</f>
        <v>0</v>
      </c>
    </row>
    <row r="8526" spans="1:2" x14ac:dyDescent="0.2">
      <c r="A8526" t="s">
        <v>634</v>
      </c>
      <c r="B8526" s="51">
        <f>INDEX(parameters!$D$4:$Y$20,MATCH('hydrogen - electrolysis'!B8507&amp;'hydrogen - electrolysis'!B8509,parameters!$A$4:$A$20,0),MATCH('hydrogen - electrolysis'!A8526,parameters!$D$3:$Y$3,0))</f>
        <v>1.8947368421052633</v>
      </c>
    </row>
    <row r="8527" spans="1:2" x14ac:dyDescent="0.2">
      <c r="A8527" t="s">
        <v>82</v>
      </c>
      <c r="B8527" s="46">
        <f>IF(B8518&lt;&gt;0,VLOOKUP(B8518,parameters!A5434:B5436,2,0),0)</f>
        <v>0</v>
      </c>
    </row>
    <row r="8528" spans="1:2" x14ac:dyDescent="0.2">
      <c r="A8528" t="s">
        <v>548</v>
      </c>
      <c r="B8528" s="50">
        <f>INDEX(parameters!$D$4:$P$20,MATCH(B8507&amp;B8509,parameters!$A$4:$A$20,0),MATCH(A8528,parameters!$D$3:$P$3,0))</f>
        <v>0.8</v>
      </c>
    </row>
    <row r="8529" spans="1:22" x14ac:dyDescent="0.2">
      <c r="A8529" t="s">
        <v>547</v>
      </c>
      <c r="B8529" s="51">
        <f>INDEX(parameters!$D$4:$P$20,MATCH(B8507&amp;B8509,parameters!$A$4:$A$20,0),MATCH(A8529,parameters!$D$3:$P$3,0))</f>
        <v>4.8780487804878048</v>
      </c>
    </row>
    <row r="8530" spans="1:22" x14ac:dyDescent="0.2">
      <c r="A8530" t="s">
        <v>630</v>
      </c>
      <c r="B8530" s="51">
        <f>INDEX(parameters!$D$4:$T$20,MATCH(B8507&amp;B8509,parameters!$A$4:$A$20,0),MATCH(A8530,parameters!$D$3:$T$3,0))</f>
        <v>4100</v>
      </c>
    </row>
    <row r="8531" spans="1:22" x14ac:dyDescent="0.2">
      <c r="A8531" t="s">
        <v>1005</v>
      </c>
      <c r="B8531" s="50">
        <f>IF(B8503="megajoule",SUMIFS(allocation!$I$4:$I$30,allocation!$B$4:$B$30,B8509,allocation!$C$4:$C$30,B8510),SUMIFS(allocation!$J$4:$J$30,allocation!$B$4:$B$30,B8509,allocation!$C$4:$C$30,B8510))</f>
        <v>0.86066019201025545</v>
      </c>
    </row>
    <row r="8532" spans="1:22" x14ac:dyDescent="0.2">
      <c r="A8532" t="s">
        <v>1050</v>
      </c>
      <c r="B8532" s="51">
        <f>INDEX(parameters!$D$4:$AB$20,MATCH(B8507&amp;B8509,parameters!$A$4:$A$20,0),MATCH(A8532,parameters!$D$3:$AB$3,0))</f>
        <v>10.221606648199446</v>
      </c>
    </row>
    <row r="8534" spans="1:22" x14ac:dyDescent="0.2">
      <c r="A8534" s="3" t="s">
        <v>57</v>
      </c>
    </row>
    <row r="8535" spans="1:22" x14ac:dyDescent="0.2">
      <c r="A8535" s="2" t="s">
        <v>58</v>
      </c>
      <c r="B8535" s="44" t="s">
        <v>59</v>
      </c>
      <c r="C8535" s="2" t="s">
        <v>55</v>
      </c>
      <c r="D8535" s="2" t="s">
        <v>60</v>
      </c>
      <c r="E8535" s="2" t="s">
        <v>52</v>
      </c>
      <c r="F8535" s="2" t="s">
        <v>61</v>
      </c>
      <c r="G8535" s="2" t="s">
        <v>54</v>
      </c>
      <c r="H8535" s="2" t="s">
        <v>87</v>
      </c>
      <c r="I8535" s="2" t="s">
        <v>51</v>
      </c>
      <c r="J8535" s="2" t="s">
        <v>138</v>
      </c>
      <c r="K8535" s="2" t="s">
        <v>136</v>
      </c>
      <c r="L8535" s="2" t="s">
        <v>221</v>
      </c>
      <c r="M8535" s="2" t="s">
        <v>379</v>
      </c>
      <c r="N8535" s="2" t="s">
        <v>1059</v>
      </c>
      <c r="O8535" s="2" t="s">
        <v>1060</v>
      </c>
      <c r="P8535" s="2" t="s">
        <v>1061</v>
      </c>
      <c r="Q8535" s="2" t="s">
        <v>1062</v>
      </c>
      <c r="R8535" s="2" t="s">
        <v>1063</v>
      </c>
      <c r="S8535" s="2" t="s">
        <v>1064</v>
      </c>
      <c r="T8535" s="2" t="s">
        <v>1065</v>
      </c>
      <c r="U8535" s="2" t="s">
        <v>380</v>
      </c>
      <c r="V8535" s="2" t="s">
        <v>1128</v>
      </c>
    </row>
    <row r="8536" spans="1:22" x14ac:dyDescent="0.2">
      <c r="A8536" t="str">
        <f>B8497</f>
        <v>electricity, residential, by conversion of hydrogen using fuel cell, PEM, allocated by exergy, transported by train, produced by Electrolysis, Alkaline using water and electricity from Wind (DK)</v>
      </c>
      <c r="B8536" s="45">
        <v>1</v>
      </c>
      <c r="C8536" t="str">
        <f>B8503</f>
        <v>kilowatt hour</v>
      </c>
      <c r="E8536" t="str">
        <f>B8500</f>
        <v>CH</v>
      </c>
      <c r="F8536" t="s">
        <v>62</v>
      </c>
      <c r="G8536" t="str">
        <f>B8502</f>
        <v>electricity, from residential heating system</v>
      </c>
      <c r="K8536" t="str">
        <f>B8497</f>
        <v>electricity, residential, by conversion of hydrogen using fuel cell, PEM, allocated by exergy, transported by train, produced by Electrolysis, Alkaline using water and electricity from Wind (DK)</v>
      </c>
    </row>
    <row r="8537" spans="1:22" x14ac:dyDescent="0.2">
      <c r="A8537" t="str">
        <f>VLOOKUP(J8537,'dataset mapping'!$A$4:$E$69,2,0)</f>
        <v>fuel cell system assembly, 1 kWe, proton exchange membrane (PEM)</v>
      </c>
      <c r="B8537" s="52">
        <f>1/(80000)/0.5*SUMIFS(allocation!$I$4:$I$30,allocation!$B$4:$B$30,'hydrogen - electrolysis'!B8509,allocation!$C$4:$C$30,'hydrogen - electrolysis'!B8510)</f>
        <v>3.4834951997436147E-6</v>
      </c>
      <c r="C8537" t="str">
        <f>VLOOKUP(J8537,'dataset mapping'!$A$4:$E$69,5,0)</f>
        <v>unit</v>
      </c>
      <c r="E8537" t="str">
        <f>VLOOKUP(J8537,'dataset mapping'!$A$4:$E$69,4,0)</f>
        <v>GLO</v>
      </c>
      <c r="F8537" t="s">
        <v>86</v>
      </c>
      <c r="G8537" t="str">
        <f>VLOOKUP(J8537,'dataset mapping'!$A$4:$E$69,3,0)</f>
        <v>fuel cell system, 1 kWe, proton exchange membrane (PEM)</v>
      </c>
      <c r="H8537" t="s">
        <v>88</v>
      </c>
      <c r="I8537" t="s">
        <v>272</v>
      </c>
      <c r="J8537" t="s">
        <v>273</v>
      </c>
      <c r="K8537" t="str">
        <f>B8497</f>
        <v>electricity, residential, by conversion of hydrogen using fuel cell, PEM, allocated by exergy, transported by train, produced by Electrolysis, Alkaline using water and electricity from Wind (DK)</v>
      </c>
      <c r="L8537">
        <f t="shared" ref="L8537:L8541" si="352">IF(OR(B8537&lt;0,B8537=0),1,2)</f>
        <v>2</v>
      </c>
      <c r="M8537">
        <f t="shared" ref="M8537:M8541" si="353">IF(L8537=2,LN(B8537),"")</f>
        <v>-12.567474400475287</v>
      </c>
      <c r="N8537">
        <v>1</v>
      </c>
      <c r="O8537" s="15">
        <v>1.2</v>
      </c>
      <c r="P8537">
        <v>1</v>
      </c>
      <c r="Q8537">
        <v>1.01</v>
      </c>
      <c r="R8537">
        <v>1.2</v>
      </c>
      <c r="S8537">
        <v>1.2</v>
      </c>
      <c r="T8537">
        <v>3</v>
      </c>
      <c r="U8537">
        <f t="shared" ref="U8537:U8541" si="354">LN(SQRT(EXP(
SQRT(
+POWER(LN(N8537),2)
+POWER(LN(O8537),2)
+POWER(LN(P8537),2)
+POWER(LN(Q8537),2)
+POWER(LN(R8537),2)
+POWER(LN(S8537),2)
+POWER(LN(T8537),2)
)
)))</f>
        <v>0.57157051623399524</v>
      </c>
    </row>
    <row r="8538" spans="1:22" x14ac:dyDescent="0.2">
      <c r="A8538" s="45" t="str">
        <f>"hydrogen supply, transported by "&amp;B8511&amp;", produced by "&amp;B8515&amp;" using "&amp;B8516&amp;" from "&amp;B8517</f>
        <v>hydrogen supply, transported by train, produced by Electrolysis, Alkaline using water and electricity from Wind (DK)</v>
      </c>
      <c r="B8538" s="53">
        <f>(B8536/B8520)/B8519*B8531</f>
        <v>5.7377346134017029E-2</v>
      </c>
      <c r="C8538" t="s">
        <v>56</v>
      </c>
      <c r="E8538" t="s">
        <v>64</v>
      </c>
      <c r="F8538" t="s">
        <v>86</v>
      </c>
      <c r="G8538" t="str">
        <f>"hydrogen, gaseous, from "&amp;B8511</f>
        <v>hydrogen, gaseous, from train</v>
      </c>
      <c r="H8538" t="s">
        <v>76</v>
      </c>
      <c r="I8538" t="s">
        <v>1054</v>
      </c>
      <c r="J8538" t="s">
        <v>302</v>
      </c>
      <c r="K8538" t="str">
        <f>B8497</f>
        <v>electricity, residential, by conversion of hydrogen using fuel cell, PEM, allocated by exergy, transported by train, produced by Electrolysis, Alkaline using water and electricity from Wind (DK)</v>
      </c>
      <c r="L8538">
        <f t="shared" si="352"/>
        <v>2</v>
      </c>
      <c r="M8538">
        <f t="shared" si="353"/>
        <v>-2.8581057202127536</v>
      </c>
      <c r="N8538">
        <v>1</v>
      </c>
      <c r="O8538" s="15">
        <v>1.2</v>
      </c>
      <c r="P8538">
        <v>1</v>
      </c>
      <c r="Q8538">
        <v>1.01</v>
      </c>
      <c r="R8538">
        <v>1.2</v>
      </c>
      <c r="S8538">
        <v>1.2</v>
      </c>
      <c r="T8538">
        <v>1.05</v>
      </c>
      <c r="U8538">
        <f t="shared" si="354"/>
        <v>0.15984597228197622</v>
      </c>
    </row>
    <row r="8539" spans="1:22" x14ac:dyDescent="0.2">
      <c r="A8539" t="str">
        <f>VLOOKUP(J8539,'dataset mapping'!$A$4:$E$69,2,0)</f>
        <v>market for transport, freight train</v>
      </c>
      <c r="B8539" s="45">
        <f>SUM(B8538:B8538)/1000*B8512*SUMIFS(allocation!$I$4:$I$30,allocation!$B$4:$B$30,'hydrogen - electrolysis'!B8509,allocation!$C$4:$C$30,'hydrogen - electrolysis'!B8510)</f>
        <v>1.039343291125756E-2</v>
      </c>
      <c r="C8539" t="str">
        <f>VLOOKUP(J8539,'dataset mapping'!$A$4:$E$69,5,0)</f>
        <v>ton kilometer</v>
      </c>
      <c r="E8539" t="str">
        <f>VLOOKUP(J8539,'dataset mapping'!$A$4:$E$69,4,0)</f>
        <v>CH</v>
      </c>
      <c r="F8539" t="s">
        <v>86</v>
      </c>
      <c r="G8539" t="str">
        <f>VLOOKUP(J8539,'dataset mapping'!$A$4:$E$69,3,0)</f>
        <v>transport, freight train</v>
      </c>
      <c r="H8539" t="s">
        <v>88</v>
      </c>
      <c r="I8539" t="s">
        <v>1052</v>
      </c>
      <c r="J8539" t="s">
        <v>295</v>
      </c>
      <c r="K8539" t="str">
        <f>B8497</f>
        <v>electricity, residential, by conversion of hydrogen using fuel cell, PEM, allocated by exergy, transported by train, produced by Electrolysis, Alkaline using water and electricity from Wind (DK)</v>
      </c>
      <c r="L8539">
        <f t="shared" si="352"/>
        <v>2</v>
      </c>
      <c r="M8539">
        <f t="shared" si="353"/>
        <v>-4.5665811231244771</v>
      </c>
      <c r="N8539">
        <v>1</v>
      </c>
      <c r="O8539" s="15">
        <v>1.2</v>
      </c>
      <c r="P8539">
        <v>1</v>
      </c>
      <c r="Q8539">
        <v>1.01</v>
      </c>
      <c r="R8539">
        <v>1.2</v>
      </c>
      <c r="S8539">
        <v>1.2</v>
      </c>
      <c r="T8539">
        <v>2</v>
      </c>
      <c r="U8539">
        <f t="shared" si="354"/>
        <v>0.38087907307228186</v>
      </c>
    </row>
    <row r="8540" spans="1:22" x14ac:dyDescent="0.2">
      <c r="A8540" t="str">
        <f>VLOOKUP(J8540,'dataset mapping'!$A$4:$E$69,2,0)</f>
        <v>high pressure hydrogen storage tank</v>
      </c>
      <c r="B8540" s="52">
        <f>((B8532/10)/(B8530*B8526*20))*IF(B8531&lt;&gt;0,B8531,1)</f>
        <v>5.6622381053306285E-6</v>
      </c>
      <c r="C8540" t="str">
        <f>VLOOKUP(J8540,'dataset mapping'!$A$4:$E$69,5,0)</f>
        <v>kilogram</v>
      </c>
      <c r="E8540" t="str">
        <f>VLOOKUP(J8540,'dataset mapping'!$A$4:$E$69,4,0)</f>
        <v>GLO</v>
      </c>
      <c r="F8540" t="s">
        <v>86</v>
      </c>
      <c r="G8540" t="str">
        <f>VLOOKUP(J8540,'dataset mapping'!$A$4:$E$69,3,0)</f>
        <v>high pressure hydrogen storage tank</v>
      </c>
      <c r="H8540" t="s">
        <v>88</v>
      </c>
      <c r="I8540" t="s">
        <v>280</v>
      </c>
      <c r="J8540" t="s">
        <v>229</v>
      </c>
      <c r="K8540" t="str">
        <f>B8497</f>
        <v>electricity, residential, by conversion of hydrogen using fuel cell, PEM, allocated by exergy, transported by train, produced by Electrolysis, Alkaline using water and electricity from Wind (DK)</v>
      </c>
      <c r="L8540">
        <f t="shared" si="352"/>
        <v>2</v>
      </c>
      <c r="M8540">
        <f t="shared" si="353"/>
        <v>-12.081691318938956</v>
      </c>
      <c r="N8540">
        <v>1</v>
      </c>
      <c r="O8540" s="15">
        <v>1.2</v>
      </c>
      <c r="P8540">
        <v>1</v>
      </c>
      <c r="Q8540">
        <v>1.01</v>
      </c>
      <c r="R8540">
        <v>1.2</v>
      </c>
      <c r="S8540">
        <v>1.2</v>
      </c>
      <c r="T8540">
        <v>3</v>
      </c>
      <c r="U8540">
        <f t="shared" si="354"/>
        <v>0.57157051623399524</v>
      </c>
    </row>
    <row r="8541" spans="1:22" x14ac:dyDescent="0.2">
      <c r="A8541" t="s">
        <v>134</v>
      </c>
      <c r="B8541" s="45">
        <f>B8538*9</f>
        <v>0.51639611520615325</v>
      </c>
      <c r="C8541" t="s">
        <v>56</v>
      </c>
      <c r="D8541" t="s">
        <v>100</v>
      </c>
      <c r="F8541" t="s">
        <v>99</v>
      </c>
      <c r="H8541" t="s">
        <v>131</v>
      </c>
      <c r="I8541" t="s">
        <v>1057</v>
      </c>
      <c r="K8541" t="str">
        <f>B8497</f>
        <v>electricity, residential, by conversion of hydrogen using fuel cell, PEM, allocated by exergy, transported by train, produced by Electrolysis, Alkaline using water and electricity from Wind (DK)</v>
      </c>
      <c r="L8541">
        <f t="shared" si="352"/>
        <v>2</v>
      </c>
      <c r="M8541">
        <f t="shared" si="353"/>
        <v>-0.6608811428765341</v>
      </c>
      <c r="N8541">
        <v>1</v>
      </c>
      <c r="O8541" s="15">
        <v>1.2</v>
      </c>
      <c r="P8541">
        <v>1</v>
      </c>
      <c r="Q8541">
        <v>1.01</v>
      </c>
      <c r="R8541">
        <v>1.2</v>
      </c>
      <c r="S8541">
        <v>1.2</v>
      </c>
      <c r="T8541">
        <v>1.05</v>
      </c>
      <c r="U8541">
        <f t="shared" si="354"/>
        <v>0.15984597228197622</v>
      </c>
    </row>
    <row r="8543" spans="1:22" x14ac:dyDescent="0.2">
      <c r="A8543" s="2" t="s">
        <v>50</v>
      </c>
      <c r="B8543" s="44" t="str">
        <f>IF(B8549="megajoule","heat","electricity")&amp;", residential, by "&amp;B8554&amp;" of "&amp;B8553&amp;" using "&amp;B8555&amp;IF(B8556&lt;&gt;0,", allocated by "&amp;B8556,"")&amp;", transported by "&amp;B8557&amp;", produced by "&amp;B8561&amp;" using "&amp;B8562&amp;" from "&amp;B8563</f>
        <v>electricity, residential, by conversion of hydrogen using fuel cell, SOFC, allocated by exergy, transported by train, produced by Electrolysis, Alkaline using water and electricity from Wind (DK)</v>
      </c>
    </row>
    <row r="8544" spans="1:22" x14ac:dyDescent="0.2">
      <c r="A8544" t="s">
        <v>51</v>
      </c>
      <c r="B8544" s="45" t="str">
        <f>"This dataset represents the supply of 1 "&amp;IF(B8549="megajoule","megajoule of heat","kilowatt hour of electricity")&amp;" in a residence, by "&amp;B8553&amp;" "&amp;B8554&amp;" in a "&amp;B8555&amp;". "&amp;" The hydrogen is transported by "&amp;B8557&amp;" over "&amp;B8558&amp;" km from regional storage. "&amp;" The "&amp;B8553&amp;" is produced by  "&amp;B8561&amp;", with "&amp;B8562&amp;" from "&amp;B8563&amp;" as feedstock. "&amp;A8565&amp;": "&amp;(B8565*100)&amp;"%. "&amp;A8566&amp;": "&amp;B8566&amp;". "&amp;A8567&amp;": "&amp;B8567&amp;". "&amp;A8568&amp;": "&amp;(B8568*100)&amp;"%. "&amp;A8569&amp;": "&amp;(B8569*100)&amp;"%. "&amp;A8570&amp;": "&amp;(B8570*100)&amp;"%. "&amp;A8571&amp;": "&amp;B8571&amp;". "&amp;A8572&amp;": "&amp;B8572&amp;". "&amp;A8573&amp;": "&amp;(B8573*100)&amp;"%. "&amp;A8574&amp;": "&amp;B8574&amp;". "&amp;A8575&amp;": "&amp;B8575&amp;". "&amp;A8576&amp;": "&amp;B8576&amp;". "&amp;A8577&amp;": "&amp;B8577&amp;".  For more information, refer to: "&amp;B8545</f>
        <v>This dataset represents the supply of 1 kilowatt hour of electricity in a residence, by hydrogen conversion in a fuel cell, SOFC.  The hydrogen is transported by train over 1300 km from regional storage.  The hydrogen is produced by  Electrolysis, Alkaline,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8545" spans="1:2" x14ac:dyDescent="0.2">
      <c r="A8545" t="s">
        <v>63</v>
      </c>
      <c r="B8545" s="45" t="s">
        <v>1223</v>
      </c>
    </row>
    <row r="8546" spans="1:2" x14ac:dyDescent="0.2">
      <c r="A8546" t="s">
        <v>52</v>
      </c>
      <c r="B8546" s="45" t="s">
        <v>64</v>
      </c>
    </row>
    <row r="8547" spans="1:2" x14ac:dyDescent="0.2">
      <c r="A8547" t="s">
        <v>48</v>
      </c>
      <c r="B8547" s="45" t="s">
        <v>942</v>
      </c>
    </row>
    <row r="8548" spans="1:2" x14ac:dyDescent="0.2">
      <c r="A8548" t="s">
        <v>54</v>
      </c>
      <c r="B8548" s="45" t="str">
        <f>INDEX(overview!$B$4:$R$338,MATCH('hydrogen - electrolysis'!B8547,overview!$A$4:$A$338,0),MATCH('hydrogen - electrolysis'!A8548,overview!$B$3:$R$3,0))</f>
        <v>electricity, from residential heating system</v>
      </c>
    </row>
    <row r="8549" spans="1:2" x14ac:dyDescent="0.2">
      <c r="A8549" t="s">
        <v>55</v>
      </c>
      <c r="B8549" s="45" t="str">
        <f>INDEX(overview!$B$4:$R$338,MATCH('hydrogen - electrolysis'!B8547,overview!$A$4:$A$338,0),MATCH('hydrogen - electrolysis'!A8549,overview!$B$3:$R$3,0))</f>
        <v>kilowatt hour</v>
      </c>
    </row>
    <row r="8550" spans="1:2" x14ac:dyDescent="0.2">
      <c r="A8550" t="s">
        <v>0</v>
      </c>
      <c r="B8550" s="45" t="str">
        <f>INDEX(overview!$B$4:$R$338,MATCH('hydrogen - electrolysis'!B8547,overview!$A$4:$A$338,0),MATCH('hydrogen - electrolysis'!A8550,overview!$B$3:$R$3,0))</f>
        <v>Switzerland</v>
      </c>
    </row>
    <row r="8551" spans="1:2" x14ac:dyDescent="0.2">
      <c r="A8551" t="s">
        <v>1</v>
      </c>
      <c r="B8551" s="45">
        <f>INDEX(overview!$B$4:$R$338,MATCH('hydrogen - electrolysis'!B8547,overview!$A$4:$A$338,0),MATCH('hydrogen - electrolysis'!A8551,overview!$B$3:$R$3,0))</f>
        <v>2020</v>
      </c>
    </row>
    <row r="8552" spans="1:2" x14ac:dyDescent="0.2">
      <c r="A8552" t="s">
        <v>2</v>
      </c>
      <c r="B8552" s="45" t="str">
        <f>INDEX(overview!$B$4:$R$338,MATCH('hydrogen - electrolysis'!B8547,overview!$A$4:$A$338,0),MATCH('hydrogen - electrolysis'!A8552,overview!$B$3:$R$3,0))</f>
        <v>1 kWh electricity</v>
      </c>
    </row>
    <row r="8553" spans="1:2" x14ac:dyDescent="0.2">
      <c r="A8553" t="s">
        <v>5</v>
      </c>
      <c r="B8553" s="45" t="str">
        <f>INDEX(overview!$B$4:$R$338,MATCH('hydrogen - electrolysis'!B8547,overview!$A$4:$A$338,0),MATCH('hydrogen - electrolysis'!A8553,overview!$B$3:$R$3,0))</f>
        <v>hydrogen</v>
      </c>
    </row>
    <row r="8554" spans="1:2" x14ac:dyDescent="0.2">
      <c r="A8554" t="s">
        <v>3</v>
      </c>
      <c r="B8554" s="45" t="str">
        <f>INDEX(overview!$B$4:$R$338,MATCH('hydrogen - electrolysis'!B8547,overview!$A$4:$A$338,0),MATCH('hydrogen - electrolysis'!A8554,overview!$B$3:$R$3,0))</f>
        <v>conversion</v>
      </c>
    </row>
    <row r="8555" spans="1:2" x14ac:dyDescent="0.2">
      <c r="A8555" t="s">
        <v>6</v>
      </c>
      <c r="B8555" s="45" t="str">
        <f>INDEX(overview!$B$4:$R$338,MATCH('hydrogen - electrolysis'!B8547,overview!$A$4:$A$338,0),MATCH('hydrogen - electrolysis'!A8555,overview!$B$3:$R$3,0))</f>
        <v>fuel cell, SOFC</v>
      </c>
    </row>
    <row r="8556" spans="1:2" x14ac:dyDescent="0.2">
      <c r="A8556" t="s">
        <v>39</v>
      </c>
      <c r="B8556" s="45" t="str">
        <f>INDEX(overview!$B$4:$R$338,MATCH('hydrogen - electrolysis'!B8547,overview!$A$4:$A$338,0),MATCH('hydrogen - electrolysis'!A8556,overview!$B$3:$R$3,0))</f>
        <v>exergy</v>
      </c>
    </row>
    <row r="8557" spans="1:2" x14ac:dyDescent="0.2">
      <c r="A8557" t="s">
        <v>4</v>
      </c>
      <c r="B8557" s="45" t="str">
        <f>INDEX(overview!$B$4:$R$338,MATCH('hydrogen - electrolysis'!B8547,overview!$A$4:$A$338,0),MATCH('hydrogen - electrolysis'!A8557,overview!$B$3:$R$3,0))</f>
        <v>train</v>
      </c>
    </row>
    <row r="8558" spans="1:2" x14ac:dyDescent="0.2">
      <c r="A8558" t="s">
        <v>38</v>
      </c>
      <c r="B8558" s="45">
        <f>INDEX(overview!$B$4:$R$338,MATCH('hydrogen - electrolysis'!B8547,overview!$A$4:$A$338,0),MATCH('hydrogen - electrolysis'!A8558,overview!$B$3:$R$3,0))</f>
        <v>1300</v>
      </c>
    </row>
    <row r="8559" spans="1:2" x14ac:dyDescent="0.2">
      <c r="A8559" t="s">
        <v>12</v>
      </c>
      <c r="B8559" s="45" t="str">
        <f>INDEX(overview!$B$4:$R$338,MATCH('hydrogen - electrolysis'!B8547,overview!$A$4:$A$338,0),MATCH('hydrogen - electrolysis'!A8559,overview!$B$3:$R$3,0))</f>
        <v>Pressure vessel for stationary storage</v>
      </c>
    </row>
    <row r="8560" spans="1:2" x14ac:dyDescent="0.2">
      <c r="A8560" t="s">
        <v>34</v>
      </c>
      <c r="B8560" s="45">
        <f>INDEX(overview!$B$4:$R$338,MATCH('hydrogen - electrolysis'!B8547,overview!$A$4:$A$338,0),MATCH('hydrogen - electrolysis'!A8560,overview!$B$3:$R$3,0))</f>
        <v>0</v>
      </c>
    </row>
    <row r="8561" spans="1:4" x14ac:dyDescent="0.2">
      <c r="A8561" t="s">
        <v>15</v>
      </c>
      <c r="B8561" s="45" t="str">
        <f>INDEX(overview!$B$4:$R$338,MATCH('hydrogen - electrolysis'!B8547,overview!$A$4:$A$338,0),MATCH('hydrogen - electrolysis'!A8561,overview!$B$3:$R$3,0))</f>
        <v>Electrolysis, Alkaline</v>
      </c>
    </row>
    <row r="8562" spans="1:4" x14ac:dyDescent="0.2">
      <c r="A8562" t="s">
        <v>14</v>
      </c>
      <c r="B8562" s="45" t="str">
        <f>INDEX(overview!$B$4:$R$338,MATCH('hydrogen - electrolysis'!B8547,overview!$A$4:$A$338,0),MATCH('hydrogen - electrolysis'!A8562,overview!$B$3:$R$3,0))</f>
        <v>water and electricity</v>
      </c>
    </row>
    <row r="8563" spans="1:4" x14ac:dyDescent="0.2">
      <c r="A8563" t="s">
        <v>26</v>
      </c>
      <c r="B8563" s="45" t="str">
        <f>INDEX(overview!$B$4:$R$338,MATCH('hydrogen - electrolysis'!B8547,overview!$A$4:$A$338,0),MATCH('hydrogen - electrolysis'!A8563,overview!$B$3:$R$3,0))</f>
        <v>Wind (DK)</v>
      </c>
    </row>
    <row r="8564" spans="1:4" x14ac:dyDescent="0.2">
      <c r="A8564" t="s">
        <v>29</v>
      </c>
      <c r="B8564" s="45">
        <f>INDEX(overview!$B$4:$R$338,MATCH('hydrogen - electrolysis'!B8547,overview!$A$4:$A$338,0),MATCH('hydrogen - electrolysis'!A8564,overview!$B$3:$R$3,0))</f>
        <v>0</v>
      </c>
    </row>
    <row r="8565" spans="1:4" x14ac:dyDescent="0.2">
      <c r="A8565" t="str">
        <f>IF(B8549="megajoule","Heat","Electricity")&amp;" conversion efficiency [% LHV input]"</f>
        <v>Electricity conversion efficiency [% LHV input]</v>
      </c>
      <c r="B8565" s="46">
        <f>INDEX(parameters!$D$4:$N$20,MATCH('hydrogen - electrolysis'!B8553&amp;'hydrogen - electrolysis'!B8555,parameters!$A$4:$A$20,0),MATCH('hydrogen - electrolysis'!A8565,parameters!$D$3:$N$3,0))</f>
        <v>0.47</v>
      </c>
    </row>
    <row r="8566" spans="1:4" x14ac:dyDescent="0.2">
      <c r="A8566" t="str">
        <f>IF(B8549="megajoule","LHV [MJ/kg]","LHV [kWh/kg]")</f>
        <v>LHV [kWh/kg]</v>
      </c>
      <c r="B8566" s="47">
        <f>INDEX(parameters!$D$4:$N$20,MATCH('hydrogen - electrolysis'!B8553&amp;'hydrogen - electrolysis'!B8555,parameters!$A$4:$A$20,0),MATCH('hydrogen - electrolysis'!A8566,parameters!$D$3:$N$3,0))</f>
        <v>33.333333333333336</v>
      </c>
    </row>
    <row r="8567" spans="1:4" x14ac:dyDescent="0.2">
      <c r="A8567" t="s">
        <v>41</v>
      </c>
      <c r="B8567" s="48">
        <f>INDEX(parameters!$D$4:$N$20,MATCH('hydrogen - electrolysis'!B8553&amp;'hydrogen - electrolysis'!B8555,parameters!$A$4:$A$20,0),MATCH('hydrogen - electrolysis'!A8567,parameters!$D$3:$N$3,0))</f>
        <v>2.6666666666666665E-2</v>
      </c>
    </row>
    <row r="8568" spans="1:4" x14ac:dyDescent="0.2">
      <c r="A8568" t="s">
        <v>45</v>
      </c>
      <c r="B8568" s="46">
        <f>INDEX(parameters!$D$4:$N$20,MATCH('hydrogen - electrolysis'!B8553&amp;'hydrogen - electrolysis'!B8555,parameters!$A$4:$A$20,0),MATCH('hydrogen - electrolysis'!A8568,parameters!$D$3:$N$3,0))</f>
        <v>0</v>
      </c>
    </row>
    <row r="8569" spans="1:4" x14ac:dyDescent="0.2">
      <c r="A8569" t="s">
        <v>46</v>
      </c>
      <c r="B8569" s="46">
        <f>INDEX(parameters!$D$4:$N$20,MATCH('hydrogen - electrolysis'!B8553&amp;'hydrogen - electrolysis'!B8555,parameters!$A$4:$A$20,0),MATCH('hydrogen - electrolysis'!A8569,parameters!$D$3:$N$3,0))</f>
        <v>1.4999999999999999E-2</v>
      </c>
    </row>
    <row r="8570" spans="1:4" x14ac:dyDescent="0.2">
      <c r="A8570" t="s">
        <v>43</v>
      </c>
      <c r="B8570" s="46">
        <f>INDEX(parameters!$D$4:$N$20,MATCH('hydrogen - electrolysis'!B8553&amp;'hydrogen - electrolysis'!B8555,parameters!$A$4:$A$20,0),MATCH('hydrogen - electrolysis'!A8570,parameters!$D$3:$N$3,0))</f>
        <v>0</v>
      </c>
    </row>
    <row r="8571" spans="1:4" x14ac:dyDescent="0.2">
      <c r="A8571" t="s">
        <v>44</v>
      </c>
      <c r="B8571" s="46">
        <f>INDEX(parameters!$D$4:$N$20,MATCH('hydrogen - electrolysis'!B8553&amp;'hydrogen - electrolysis'!B8555,parameters!$A$4:$A$20,0),MATCH('hydrogen - electrolysis'!A8571,parameters!$D$3:$N$3,0))</f>
        <v>0</v>
      </c>
    </row>
    <row r="8572" spans="1:4" x14ac:dyDescent="0.2">
      <c r="A8572" t="s">
        <v>634</v>
      </c>
      <c r="B8572" s="51">
        <f>INDEX(parameters!$D$4:$Y$20,MATCH('hydrogen - electrolysis'!B8553&amp;'hydrogen - electrolysis'!B8555,parameters!$A$4:$A$20,0),MATCH('hydrogen - electrolysis'!A8572,parameters!$D$3:$Y$3,0))</f>
        <v>225</v>
      </c>
      <c r="D8572" s="8"/>
    </row>
    <row r="8573" spans="1:4" x14ac:dyDescent="0.2">
      <c r="A8573" t="s">
        <v>82</v>
      </c>
      <c r="B8573" s="46">
        <f>IF(B8564&lt;&gt;0,VLOOKUP(B8564,parameters!A5482:B5484,2,0),0)</f>
        <v>0</v>
      </c>
    </row>
    <row r="8574" spans="1:4" x14ac:dyDescent="0.2">
      <c r="A8574" t="s">
        <v>548</v>
      </c>
      <c r="B8574" s="50">
        <f>INDEX(parameters!$D$4:$P$20,MATCH(B8553&amp;B8555,parameters!$A$4:$A$20,0),MATCH(A8574,parameters!$D$3:$P$3,0))</f>
        <v>100</v>
      </c>
    </row>
    <row r="8575" spans="1:4" x14ac:dyDescent="0.2">
      <c r="A8575" t="s">
        <v>547</v>
      </c>
      <c r="B8575" s="51">
        <f>INDEX(parameters!$D$4:$P$20,MATCH(B8553&amp;B8555,parameters!$A$4:$A$20,0),MATCH(A8575,parameters!$D$3:$P$3,0))</f>
        <v>6</v>
      </c>
    </row>
    <row r="8576" spans="1:4" x14ac:dyDescent="0.2">
      <c r="A8576" t="s">
        <v>630</v>
      </c>
      <c r="B8576" s="51">
        <f>INDEX(parameters!$D$4:$T$20,MATCH(B8553&amp;B8555,parameters!$A$4:$A$20,0),MATCH(A8576,parameters!$D$3:$T$3,0))</f>
        <v>4100</v>
      </c>
    </row>
    <row r="8577" spans="1:22" x14ac:dyDescent="0.2">
      <c r="A8577" t="s">
        <v>1005</v>
      </c>
      <c r="B8577" s="50">
        <f>IF(B8549="megajoule",SUMIFS(allocation!$I$4:$I$30,allocation!$B$4:$B$30,B8555,allocation!$C$4:$C$30,B8556),SUMIFS(allocation!$J$4:$J$30,allocation!$B$4:$B$30,B8555,allocation!$C$4:$C$30,B8556))</f>
        <v>0.86412493489600906</v>
      </c>
    </row>
    <row r="8578" spans="1:22" x14ac:dyDescent="0.2">
      <c r="A8578" t="s">
        <v>1050</v>
      </c>
      <c r="B8578" s="51">
        <f>INDEX(parameters!$D$4:$AB$20,MATCH(B8553&amp;B8555,parameters!$A$4:$A$20,0),MATCH(A8578,parameters!$D$3:$AB$3,0))</f>
        <v>1153.1249999999998</v>
      </c>
    </row>
    <row r="8580" spans="1:22" x14ac:dyDescent="0.2">
      <c r="A8580" s="3" t="s">
        <v>57</v>
      </c>
    </row>
    <row r="8581" spans="1:22" x14ac:dyDescent="0.2">
      <c r="A8581" s="2" t="s">
        <v>58</v>
      </c>
      <c r="B8581" s="44" t="s">
        <v>59</v>
      </c>
      <c r="C8581" s="2" t="s">
        <v>55</v>
      </c>
      <c r="D8581" s="2" t="s">
        <v>60</v>
      </c>
      <c r="E8581" s="2" t="s">
        <v>52</v>
      </c>
      <c r="F8581" s="2" t="s">
        <v>61</v>
      </c>
      <c r="G8581" s="2" t="s">
        <v>54</v>
      </c>
      <c r="H8581" s="2" t="s">
        <v>87</v>
      </c>
      <c r="I8581" s="2" t="s">
        <v>51</v>
      </c>
      <c r="J8581" s="2" t="s">
        <v>138</v>
      </c>
      <c r="K8581" s="2" t="s">
        <v>136</v>
      </c>
      <c r="L8581" s="2" t="s">
        <v>221</v>
      </c>
      <c r="M8581" s="2" t="s">
        <v>379</v>
      </c>
      <c r="N8581" s="2" t="s">
        <v>1059</v>
      </c>
      <c r="O8581" s="2" t="s">
        <v>1060</v>
      </c>
      <c r="P8581" s="2" t="s">
        <v>1061</v>
      </c>
      <c r="Q8581" s="2" t="s">
        <v>1062</v>
      </c>
      <c r="R8581" s="2" t="s">
        <v>1063</v>
      </c>
      <c r="S8581" s="2" t="s">
        <v>1064</v>
      </c>
      <c r="T8581" s="2" t="s">
        <v>1065</v>
      </c>
      <c r="U8581" s="2" t="s">
        <v>380</v>
      </c>
      <c r="V8581" s="2" t="s">
        <v>1128</v>
      </c>
    </row>
    <row r="8582" spans="1:22" x14ac:dyDescent="0.2">
      <c r="A8582" t="str">
        <f>B8543</f>
        <v>electricity, residential, by conversion of hydrogen using fuel cell, SOFC, allocated by exergy, transported by train, produced by Electrolysis, Alkaline using water and electricity from Wind (DK)</v>
      </c>
      <c r="B8582" s="45">
        <v>1</v>
      </c>
      <c r="C8582" t="str">
        <f>B8549</f>
        <v>kilowatt hour</v>
      </c>
      <c r="E8582" t="str">
        <f>B8546</f>
        <v>CH</v>
      </c>
      <c r="F8582" t="s">
        <v>62</v>
      </c>
      <c r="G8582" t="str">
        <f>B8548</f>
        <v>electricity, from residential heating system</v>
      </c>
      <c r="K8582" t="str">
        <f>B8543</f>
        <v>electricity, residential, by conversion of hydrogen using fuel cell, SOFC, allocated by exergy, transported by train, produced by Electrolysis, Alkaline using water and electricity from Wind (DK)</v>
      </c>
    </row>
    <row r="8583" spans="1:22" x14ac:dyDescent="0.2">
      <c r="A8583" t="str">
        <f>VLOOKUP(J8583,'dataset mapping'!$A$4:$E$69,2,0)</f>
        <v>fuel cell production, stack solid oxide, 125kW electrical, future</v>
      </c>
      <c r="B8583" s="52">
        <f>(1/(B8572*B8576*B8575))*B8577</f>
        <v>1.5612013277254003E-7</v>
      </c>
      <c r="C8583" t="str">
        <f>VLOOKUP(J8583,'dataset mapping'!$A$4:$E$69,5,0)</f>
        <v>unit</v>
      </c>
      <c r="E8583" t="str">
        <f>VLOOKUP(J8583,'dataset mapping'!$A$4:$E$69,4,0)</f>
        <v>CH</v>
      </c>
      <c r="F8583" t="s">
        <v>86</v>
      </c>
      <c r="G8583" t="str">
        <f>VLOOKUP(J8583,'dataset mapping'!$A$4:$E$69,3,0)</f>
        <v>fuel cell, stack solid oxide, 125kW electrical, future</v>
      </c>
      <c r="H8583" t="s">
        <v>88</v>
      </c>
      <c r="I8583" t="s">
        <v>277</v>
      </c>
      <c r="J8583" t="s">
        <v>274</v>
      </c>
      <c r="K8583" t="str">
        <f>B8543</f>
        <v>electricity, residential, by conversion of hydrogen using fuel cell, SOFC, allocated by exergy, transported by train, produced by Electrolysis, Alkaline using water and electricity from Wind (DK)</v>
      </c>
      <c r="L8583">
        <f t="shared" ref="L8583:L8589" si="355">IF(OR(B8583&lt;0,B8583=0),1,2)</f>
        <v>2</v>
      </c>
      <c r="M8583">
        <f t="shared" ref="M8583:M8589" si="356">IF(L8583=2,LN(B8583),"")</f>
        <v>-15.672640044182527</v>
      </c>
      <c r="N8583">
        <v>1</v>
      </c>
      <c r="O8583" s="15">
        <v>1.2</v>
      </c>
      <c r="P8583">
        <v>1</v>
      </c>
      <c r="Q8583">
        <v>1.01</v>
      </c>
      <c r="R8583">
        <v>1.2</v>
      </c>
      <c r="S8583">
        <v>1.2</v>
      </c>
      <c r="T8583">
        <v>3</v>
      </c>
      <c r="U8583">
        <f t="shared" ref="U8583:U8589" si="357">LN(SQRT(EXP(
SQRT(
+POWER(LN(N8583),2)
+POWER(LN(O8583),2)
+POWER(LN(P8583),2)
+POWER(LN(Q8583),2)
+POWER(LN(R8583),2)
+POWER(LN(S8583),2)
+POWER(LN(T8583),2)
)
)))</f>
        <v>0.57157051623399524</v>
      </c>
    </row>
    <row r="8584" spans="1:22" x14ac:dyDescent="0.2">
      <c r="A8584" t="s">
        <v>283</v>
      </c>
      <c r="B8584" s="52">
        <f>(1/(B8572*B8576*B8575))*B8577</f>
        <v>1.5612013277254003E-7</v>
      </c>
      <c r="C8584" t="s">
        <v>55</v>
      </c>
      <c r="E8584" t="s">
        <v>64</v>
      </c>
      <c r="F8584" t="s">
        <v>86</v>
      </c>
      <c r="G8584" t="s">
        <v>284</v>
      </c>
      <c r="H8584" t="s">
        <v>88</v>
      </c>
      <c r="I8584" t="s">
        <v>277</v>
      </c>
      <c r="K8584" t="str">
        <f>B8543</f>
        <v>electricity, residential, by conversion of hydrogen using fuel cell, SOFC, allocated by exergy, transported by train, produced by Electrolysis, Alkaline using water and electricity from Wind (DK)</v>
      </c>
      <c r="L8584">
        <f t="shared" si="355"/>
        <v>2</v>
      </c>
      <c r="M8584">
        <f t="shared" si="356"/>
        <v>-15.672640044182527</v>
      </c>
      <c r="N8584">
        <v>1</v>
      </c>
      <c r="O8584" s="15">
        <v>1.2</v>
      </c>
      <c r="P8584">
        <v>1</v>
      </c>
      <c r="Q8584">
        <v>1.01</v>
      </c>
      <c r="R8584">
        <v>1.2</v>
      </c>
      <c r="S8584">
        <v>1.2</v>
      </c>
      <c r="T8584">
        <v>3</v>
      </c>
      <c r="U8584">
        <f t="shared" si="357"/>
        <v>0.57157051623399524</v>
      </c>
    </row>
    <row r="8585" spans="1:22" x14ac:dyDescent="0.2">
      <c r="A8585" t="s">
        <v>288</v>
      </c>
      <c r="B8585" s="52">
        <f>0.000024*B8577</f>
        <v>2.0738998437504217E-5</v>
      </c>
      <c r="C8585" t="s">
        <v>56</v>
      </c>
      <c r="E8585" t="s">
        <v>64</v>
      </c>
      <c r="F8585" t="s">
        <v>86</v>
      </c>
      <c r="G8585" t="s">
        <v>287</v>
      </c>
      <c r="H8585" t="s">
        <v>88</v>
      </c>
      <c r="K8585" t="str">
        <f>B8543</f>
        <v>electricity, residential, by conversion of hydrogen using fuel cell, SOFC, allocated by exergy, transported by train, produced by Electrolysis, Alkaline using water and electricity from Wind (DK)</v>
      </c>
      <c r="L8585">
        <f t="shared" si="355"/>
        <v>2</v>
      </c>
      <c r="M8585">
        <f t="shared" si="356"/>
        <v>-10.783494647673981</v>
      </c>
      <c r="N8585">
        <v>1</v>
      </c>
      <c r="O8585" s="15">
        <v>1.2</v>
      </c>
      <c r="P8585">
        <v>1</v>
      </c>
      <c r="Q8585">
        <v>1.01</v>
      </c>
      <c r="R8585">
        <v>1.2</v>
      </c>
      <c r="S8585">
        <v>1.2</v>
      </c>
      <c r="T8585">
        <v>1.05</v>
      </c>
      <c r="U8585">
        <f t="shared" si="357"/>
        <v>0.15984597228197622</v>
      </c>
    </row>
    <row r="8586" spans="1:22" x14ac:dyDescent="0.2">
      <c r="A8586" s="45" t="str">
        <f>"hydrogen supply, transported by "&amp;B8557&amp;", produced by "&amp;B8561&amp;" using "&amp;B8562&amp;" from "&amp;B8563</f>
        <v>hydrogen supply, transported by train, produced by Electrolysis, Alkaline using water and electricity from Wind (DK)</v>
      </c>
      <c r="B8586" s="53">
        <f>(B8582/B8566)/B8565*B8577</f>
        <v>5.515691073804313E-2</v>
      </c>
      <c r="C8586" t="s">
        <v>56</v>
      </c>
      <c r="E8586" t="s">
        <v>64</v>
      </c>
      <c r="F8586" t="s">
        <v>86</v>
      </c>
      <c r="G8586" t="str">
        <f>"hydrogen, gaseous, from "&amp;B8557</f>
        <v>hydrogen, gaseous, from train</v>
      </c>
      <c r="H8586" t="s">
        <v>76</v>
      </c>
      <c r="I8586" t="s">
        <v>1054</v>
      </c>
      <c r="J8586" t="s">
        <v>302</v>
      </c>
      <c r="K8586" t="str">
        <f>B8543</f>
        <v>electricity, residential, by conversion of hydrogen using fuel cell, SOFC, allocated by exergy, transported by train, produced by Electrolysis, Alkaline using water and electricity from Wind (DK)</v>
      </c>
      <c r="L8586">
        <f t="shared" si="355"/>
        <v>2</v>
      </c>
      <c r="M8586">
        <f t="shared" si="356"/>
        <v>-2.8975732330996009</v>
      </c>
      <c r="N8586">
        <v>1</v>
      </c>
      <c r="O8586" s="15">
        <v>1.2</v>
      </c>
      <c r="P8586">
        <v>1</v>
      </c>
      <c r="Q8586">
        <v>1.01</v>
      </c>
      <c r="R8586">
        <v>1.2</v>
      </c>
      <c r="S8586">
        <v>1.2</v>
      </c>
      <c r="T8586">
        <v>1.05</v>
      </c>
      <c r="U8586">
        <f t="shared" si="357"/>
        <v>0.15984597228197622</v>
      </c>
    </row>
    <row r="8587" spans="1:22" x14ac:dyDescent="0.2">
      <c r="A8587" t="str">
        <f>VLOOKUP(J8587,'dataset mapping'!$A$4:$E$69,2,0)</f>
        <v>market for transport, freight train</v>
      </c>
      <c r="B8587" s="45">
        <f>SUM(B8586:B8586)/1000*B8558</f>
        <v>7.1703983959456069E-2</v>
      </c>
      <c r="C8587" t="str">
        <f>VLOOKUP(J8587,'dataset mapping'!$A$4:$E$69,5,0)</f>
        <v>ton kilometer</v>
      </c>
      <c r="E8587" t="str">
        <f>VLOOKUP(J8587,'dataset mapping'!$A$4:$E$69,4,0)</f>
        <v>CH</v>
      </c>
      <c r="F8587" t="s">
        <v>86</v>
      </c>
      <c r="G8587" t="str">
        <f>VLOOKUP(J8587,'dataset mapping'!$A$4:$E$69,3,0)</f>
        <v>transport, freight train</v>
      </c>
      <c r="H8587" t="s">
        <v>88</v>
      </c>
      <c r="I8587" t="s">
        <v>1052</v>
      </c>
      <c r="J8587" t="s">
        <v>295</v>
      </c>
      <c r="K8587" t="str">
        <f>B8543</f>
        <v>electricity, residential, by conversion of hydrogen using fuel cell, SOFC, allocated by exergy, transported by train, produced by Electrolysis, Alkaline using water and electricity from Wind (DK)</v>
      </c>
      <c r="L8587">
        <f t="shared" si="355"/>
        <v>2</v>
      </c>
      <c r="M8587">
        <f t="shared" si="356"/>
        <v>-2.6352089686321101</v>
      </c>
      <c r="N8587">
        <v>1</v>
      </c>
      <c r="O8587" s="15">
        <v>1.2</v>
      </c>
      <c r="P8587">
        <v>1</v>
      </c>
      <c r="Q8587">
        <v>1.01</v>
      </c>
      <c r="R8587">
        <v>1.2</v>
      </c>
      <c r="S8587">
        <v>1.2</v>
      </c>
      <c r="T8587">
        <v>2</v>
      </c>
      <c r="U8587">
        <f t="shared" si="357"/>
        <v>0.38087907307228186</v>
      </c>
    </row>
    <row r="8588" spans="1:22" x14ac:dyDescent="0.2">
      <c r="A8588" t="str">
        <f>VLOOKUP(J8588,'dataset mapping'!$A$4:$E$69,2,0)</f>
        <v>high pressure hydrogen storage tank</v>
      </c>
      <c r="B8588" s="52">
        <f>((B8578/10)/(B8576*B8572*20))*IF(B8577&lt;&gt;0,B8577,1)</f>
        <v>5.400780843100055E-6</v>
      </c>
      <c r="C8588" t="str">
        <f>VLOOKUP(J8588,'dataset mapping'!$A$4:$E$69,5,0)</f>
        <v>kilogram</v>
      </c>
      <c r="E8588" t="str">
        <f>VLOOKUP(J8588,'dataset mapping'!$A$4:$E$69,4,0)</f>
        <v>GLO</v>
      </c>
      <c r="F8588" t="s">
        <v>86</v>
      </c>
      <c r="G8588" t="str">
        <f>VLOOKUP(J8588,'dataset mapping'!$A$4:$E$69,3,0)</f>
        <v>high pressure hydrogen storage tank</v>
      </c>
      <c r="H8588" t="s">
        <v>88</v>
      </c>
      <c r="I8588" t="s">
        <v>230</v>
      </c>
      <c r="J8588" t="s">
        <v>229</v>
      </c>
      <c r="K8588" t="str">
        <f>B8543</f>
        <v>electricity, residential, by conversion of hydrogen using fuel cell, SOFC, allocated by exergy, transported by train, produced by Electrolysis, Alkaline using water and electricity from Wind (DK)</v>
      </c>
      <c r="L8588">
        <f t="shared" si="355"/>
        <v>2</v>
      </c>
      <c r="M8588">
        <f t="shared" si="356"/>
        <v>-12.128967014273616</v>
      </c>
      <c r="N8588">
        <v>1</v>
      </c>
      <c r="O8588" s="15">
        <v>1.2</v>
      </c>
      <c r="P8588">
        <v>1</v>
      </c>
      <c r="Q8588">
        <v>1.01</v>
      </c>
      <c r="R8588">
        <v>1.2</v>
      </c>
      <c r="S8588">
        <v>1.2</v>
      </c>
      <c r="T8588">
        <v>3</v>
      </c>
      <c r="U8588">
        <f t="shared" si="357"/>
        <v>0.57157051623399524</v>
      </c>
    </row>
    <row r="8589" spans="1:22" x14ac:dyDescent="0.2">
      <c r="A8589" t="s">
        <v>134</v>
      </c>
      <c r="B8589" s="45">
        <f>B8586*9</f>
        <v>0.49641219664238817</v>
      </c>
      <c r="C8589" t="s">
        <v>56</v>
      </c>
      <c r="D8589" t="s">
        <v>100</v>
      </c>
      <c r="F8589" t="s">
        <v>99</v>
      </c>
      <c r="H8589" t="s">
        <v>131</v>
      </c>
      <c r="I8589" t="s">
        <v>1057</v>
      </c>
      <c r="K8589" t="str">
        <f>B8543</f>
        <v>electricity, residential, by conversion of hydrogen using fuel cell, SOFC, allocated by exergy, transported by train, produced by Electrolysis, Alkaline using water and electricity from Wind (DK)</v>
      </c>
      <c r="L8589">
        <f t="shared" si="355"/>
        <v>2</v>
      </c>
      <c r="M8589">
        <f t="shared" si="356"/>
        <v>-0.70034865576338168</v>
      </c>
      <c r="N8589">
        <v>1</v>
      </c>
      <c r="O8589" s="15">
        <v>1.2</v>
      </c>
      <c r="P8589">
        <v>1</v>
      </c>
      <c r="Q8589">
        <v>1.01</v>
      </c>
      <c r="R8589">
        <v>1.2</v>
      </c>
      <c r="S8589">
        <v>1.2</v>
      </c>
      <c r="T8589">
        <v>1.05</v>
      </c>
      <c r="U8589">
        <f t="shared" si="357"/>
        <v>0.15984597228197622</v>
      </c>
    </row>
    <row r="8591" spans="1:22" x14ac:dyDescent="0.2">
      <c r="A8591" s="2" t="s">
        <v>50</v>
      </c>
      <c r="B8591" s="44" t="str">
        <f>IF(B8597="megajoule","heat","electricity")&amp;", residential, by "&amp;B8602&amp;" of "&amp;B8601&amp;" using "&amp;B8603&amp;IF(B8604&lt;&gt;0,", allocated by "&amp;B8604,"")&amp;", transported by "&amp;B8605&amp;", produced by "&amp;B8609&amp;" using "&amp;B8610&amp;" from "&amp;B8611</f>
        <v>heat, residential, by combustion of hydrogen using boiler, transported by pipeline, produced by Electrolysis, PEM using water and electricity from Wind (DK)</v>
      </c>
    </row>
    <row r="8592" spans="1:22" x14ac:dyDescent="0.2">
      <c r="A8592" t="s">
        <v>51</v>
      </c>
      <c r="B8592" s="45" t="str">
        <f>"This dataset represents the supply of 1 "&amp;IF(B8597="megajoule","megajoule of heat","kilowatt hour of electricity")&amp;" in a residence, by "&amp;B8601&amp;" "&amp;B8602&amp;" in a "&amp;B8603&amp;". "&amp;" The hydrogen is transported by "&amp;B8605&amp;" over "&amp;B8606&amp;" km from regional storage. "&amp;" The "&amp;B8601&amp;" is produced by  "&amp;B8609&amp;", with "&amp;B8610&amp;" from "&amp;B8611&amp;" as feedstock. "&amp;A8613&amp;": "&amp;(B8613*100)&amp;"%. "&amp;A8614&amp;": "&amp;B8614&amp;". "&amp;A8615&amp;": "&amp;B8615&amp;". "&amp;A8616&amp;": "&amp;(B8616*100)&amp;"%. "&amp;A8617&amp;": "&amp;(B8617*100)&amp;"%. "&amp;A8618&amp;": "&amp;(B8618*100)&amp;"%. "&amp;A8619&amp;": "&amp;B8619&amp;". "&amp;A8620&amp;": "&amp;B8620&amp;". "&amp;A8621&amp;": "&amp;(B8621*100)&amp;"%. "&amp;A8622&amp;": "&amp;B8622&amp;". "&amp;A8623&amp;": "&amp;B8623&amp;". "&amp;A8624&amp;": "&amp;B8624&amp;". "&amp;A8625&amp;": "&amp;B8625&amp;".  For more information, refer to: "&amp;B8593</f>
        <v>This dataset represents the supply of 1 megajoule of heat in a residence, by hydrogen combustion in a boiler.  The hydrogen is transported by pipeline over 1300 km from regional storage.  The hydrogen is produced by  Electrolysis, PEM,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8593" spans="1:2" x14ac:dyDescent="0.2">
      <c r="A8593" t="s">
        <v>63</v>
      </c>
      <c r="B8593" s="45" t="s">
        <v>1223</v>
      </c>
    </row>
    <row r="8594" spans="1:2" x14ac:dyDescent="0.2">
      <c r="A8594" t="s">
        <v>52</v>
      </c>
      <c r="B8594" s="45" t="s">
        <v>64</v>
      </c>
    </row>
    <row r="8595" spans="1:2" x14ac:dyDescent="0.2">
      <c r="A8595" t="s">
        <v>48</v>
      </c>
      <c r="B8595" s="45">
        <v>105</v>
      </c>
    </row>
    <row r="8596" spans="1:2" x14ac:dyDescent="0.2">
      <c r="A8596" t="s">
        <v>54</v>
      </c>
      <c r="B8596" s="45" t="str">
        <f>INDEX(overview!$B$4:$R$338,MATCH('hydrogen - electrolysis'!B8595,overview!$A$4:$A$338,0),MATCH('hydrogen - electrolysis'!A8596,overview!$B$3:$R$3,0))</f>
        <v>heat, from residential heating system</v>
      </c>
    </row>
    <row r="8597" spans="1:2" x14ac:dyDescent="0.2">
      <c r="A8597" t="s">
        <v>55</v>
      </c>
      <c r="B8597" s="45" t="str">
        <f>INDEX(overview!$B$4:$R$338,MATCH('hydrogen - electrolysis'!B8595,overview!$A$4:$A$338,0),MATCH('hydrogen - electrolysis'!A8597,overview!$B$3:$R$3,0))</f>
        <v>megajoule</v>
      </c>
    </row>
    <row r="8598" spans="1:2" x14ac:dyDescent="0.2">
      <c r="A8598" t="s">
        <v>0</v>
      </c>
      <c r="B8598" s="45" t="str">
        <f>INDEX(overview!$B$4:$R$338,MATCH('hydrogen - electrolysis'!B8595,overview!$A$4:$A$338,0),MATCH('hydrogen - electrolysis'!A8598,overview!$B$3:$R$3,0))</f>
        <v>Switzerland</v>
      </c>
    </row>
    <row r="8599" spans="1:2" x14ac:dyDescent="0.2">
      <c r="A8599" t="s">
        <v>1</v>
      </c>
      <c r="B8599" s="45">
        <f>INDEX(overview!$B$4:$R$338,MATCH('hydrogen - electrolysis'!B8595,overview!$A$4:$A$338,0),MATCH('hydrogen - electrolysis'!A8599,overview!$B$3:$R$3,0))</f>
        <v>2020</v>
      </c>
    </row>
    <row r="8600" spans="1:2" x14ac:dyDescent="0.2">
      <c r="A8600" t="s">
        <v>2</v>
      </c>
      <c r="B8600" s="45" t="str">
        <f>INDEX(overview!$B$4:$R$338,MATCH('hydrogen - electrolysis'!B8595,overview!$A$4:$A$338,0),MATCH('hydrogen - electrolysis'!A8600,overview!$B$3:$R$3,0))</f>
        <v>1 MJ heat</v>
      </c>
    </row>
    <row r="8601" spans="1:2" x14ac:dyDescent="0.2">
      <c r="A8601" t="s">
        <v>5</v>
      </c>
      <c r="B8601" s="45" t="str">
        <f>INDEX(overview!$B$4:$R$338,MATCH('hydrogen - electrolysis'!B8595,overview!$A$4:$A$338,0),MATCH('hydrogen - electrolysis'!A8601,overview!$B$3:$R$3,0))</f>
        <v>hydrogen</v>
      </c>
    </row>
    <row r="8602" spans="1:2" x14ac:dyDescent="0.2">
      <c r="A8602" t="s">
        <v>3</v>
      </c>
      <c r="B8602" s="45" t="str">
        <f>INDEX(overview!$B$4:$R$338,MATCH('hydrogen - electrolysis'!B8595,overview!$A$4:$A$338,0),MATCH('hydrogen - electrolysis'!A8602,overview!$B$3:$R$3,0))</f>
        <v>combustion</v>
      </c>
    </row>
    <row r="8603" spans="1:2" x14ac:dyDescent="0.2">
      <c r="A8603" t="s">
        <v>6</v>
      </c>
      <c r="B8603" s="45" t="str">
        <f>INDEX(overview!$B$4:$R$338,MATCH('hydrogen - electrolysis'!B8595,overview!$A$4:$A$338,0),MATCH('hydrogen - electrolysis'!A8603,overview!$B$3:$R$3,0))</f>
        <v>boiler</v>
      </c>
    </row>
    <row r="8604" spans="1:2" x14ac:dyDescent="0.2">
      <c r="A8604" t="s">
        <v>39</v>
      </c>
      <c r="B8604" s="45">
        <f>INDEX(overview!$B$4:$R$338,MATCH('hydrogen - electrolysis'!B8595,overview!$A$4:$A$338,0),MATCH('hydrogen - electrolysis'!A8604,overview!$B$3:$R$3,0))</f>
        <v>0</v>
      </c>
    </row>
    <row r="8605" spans="1:2" x14ac:dyDescent="0.2">
      <c r="A8605" t="s">
        <v>4</v>
      </c>
      <c r="B8605" s="45" t="str">
        <f>INDEX(overview!$B$4:$R$338,MATCH('hydrogen - electrolysis'!B8595,overview!$A$4:$A$338,0),MATCH('hydrogen - electrolysis'!A8605,overview!$B$3:$R$3,0))</f>
        <v>pipeline</v>
      </c>
    </row>
    <row r="8606" spans="1:2" x14ac:dyDescent="0.2">
      <c r="A8606" t="s">
        <v>38</v>
      </c>
      <c r="B8606" s="45">
        <f>INDEX(overview!$B$4:$R$338,MATCH('hydrogen - electrolysis'!B8595,overview!$A$4:$A$338,0),MATCH('hydrogen - electrolysis'!A8606,overview!$B$3:$R$3,0))</f>
        <v>1300</v>
      </c>
    </row>
    <row r="8607" spans="1:2" x14ac:dyDescent="0.2">
      <c r="A8607" t="s">
        <v>12</v>
      </c>
      <c r="B8607" s="45" t="str">
        <f>INDEX(overview!$B$4:$R$338,MATCH('hydrogen - electrolysis'!B8595,overview!$A$4:$A$338,0),MATCH('hydrogen - electrolysis'!A8607,overview!$B$3:$R$3,0))</f>
        <v>Pressure vessel for stationary storage</v>
      </c>
    </row>
    <row r="8608" spans="1:2" x14ac:dyDescent="0.2">
      <c r="A8608" t="s">
        <v>34</v>
      </c>
      <c r="B8608" s="45">
        <f>INDEX(overview!$B$4:$R$338,MATCH('hydrogen - electrolysis'!B8595,overview!$A$4:$A$338,0),MATCH('hydrogen - electrolysis'!A8608,overview!$B$3:$R$3,0))</f>
        <v>0</v>
      </c>
    </row>
    <row r="8609" spans="1:2" x14ac:dyDescent="0.2">
      <c r="A8609" t="s">
        <v>15</v>
      </c>
      <c r="B8609" s="45" t="str">
        <f>INDEX(overview!$B$4:$R$338,MATCH('hydrogen - electrolysis'!B8595,overview!$A$4:$A$338,0),MATCH('hydrogen - electrolysis'!A8609,overview!$B$3:$R$3,0))</f>
        <v>Electrolysis, PEM</v>
      </c>
    </row>
    <row r="8610" spans="1:2" x14ac:dyDescent="0.2">
      <c r="A8610" t="s">
        <v>14</v>
      </c>
      <c r="B8610" s="45" t="str">
        <f>INDEX(overview!$B$4:$R$338,MATCH('hydrogen - electrolysis'!B8595,overview!$A$4:$A$338,0),MATCH('hydrogen - electrolysis'!A8610,overview!$B$3:$R$3,0))</f>
        <v>water and electricity</v>
      </c>
    </row>
    <row r="8611" spans="1:2" x14ac:dyDescent="0.2">
      <c r="A8611" t="s">
        <v>26</v>
      </c>
      <c r="B8611" s="45" t="str">
        <f>INDEX(overview!$B$4:$R$338,MATCH('hydrogen - electrolysis'!B8595,overview!$A$4:$A$338,0),MATCH('hydrogen - electrolysis'!A8611,overview!$B$3:$R$3,0))</f>
        <v>Wind (DK)</v>
      </c>
    </row>
    <row r="8612" spans="1:2" x14ac:dyDescent="0.2">
      <c r="A8612" t="s">
        <v>29</v>
      </c>
      <c r="B8612" s="45">
        <f>INDEX(overview!$B$4:$R$338,MATCH('hydrogen - electrolysis'!B8595,overview!$A$4:$A$338,0),MATCH('hydrogen - electrolysis'!A8612,overview!$B$3:$R$3,0))</f>
        <v>0</v>
      </c>
    </row>
    <row r="8613" spans="1:2" x14ac:dyDescent="0.2">
      <c r="A8613" t="str">
        <f>IF(B8597="megajoule","Heat","Electricity")&amp;" conversion efficiency [% LHV input]"</f>
        <v>Heat conversion efficiency [% LHV input]</v>
      </c>
      <c r="B8613" s="46">
        <f>INDEX(parameters!$D$4:$N$20,MATCH('hydrogen - electrolysis'!B8601&amp;'hydrogen - electrolysis'!B8603,parameters!$A$4:$A$20,0),MATCH('hydrogen - electrolysis'!A8613,parameters!$D$3:$N$3,0))</f>
        <v>0.94</v>
      </c>
    </row>
    <row r="8614" spans="1:2" x14ac:dyDescent="0.2">
      <c r="A8614" t="str">
        <f>IF(B8597="megajoule","LHV [MJ/kg]","LHV [kWh/kg]")</f>
        <v>LHV [MJ/kg]</v>
      </c>
      <c r="B8614" s="47">
        <f>INDEX(parameters!$D$4:$N$20,MATCH('hydrogen - electrolysis'!B8601&amp;'hydrogen - electrolysis'!B8603,parameters!$A$4:$A$20,0),MATCH('hydrogen - electrolysis'!A8614,parameters!$D$3:$N$3,0))</f>
        <v>120</v>
      </c>
    </row>
    <row r="8615" spans="1:2" x14ac:dyDescent="0.2">
      <c r="A8615" t="s">
        <v>41</v>
      </c>
      <c r="B8615" s="48">
        <f>INDEX(parameters!$D$4:$N$20,MATCH('hydrogen - electrolysis'!B8601&amp;'hydrogen - electrolysis'!B8603,parameters!$A$4:$A$20,0),MATCH('hydrogen - electrolysis'!A8615,parameters!$D$3:$N$3,0))</f>
        <v>2.6666666666666665E-2</v>
      </c>
    </row>
    <row r="8616" spans="1:2" x14ac:dyDescent="0.2">
      <c r="A8616" t="s">
        <v>45</v>
      </c>
      <c r="B8616" s="49">
        <f>INDEX(parameters!$D$4:$N$20,MATCH('hydrogen - electrolysis'!B8601&amp;'hydrogen - electrolysis'!B8603,parameters!$A$4:$A$20,0),MATCH('hydrogen - electrolysis'!A8616,parameters!$D$3:$N$3,0))</f>
        <v>0</v>
      </c>
    </row>
    <row r="8617" spans="1:2" x14ac:dyDescent="0.2">
      <c r="A8617" t="s">
        <v>46</v>
      </c>
      <c r="B8617" s="49">
        <f>INDEX(parameters!$D$4:$N$20,MATCH('hydrogen - electrolysis'!B8601&amp;'hydrogen - electrolysis'!B8603,parameters!$A$4:$A$20,0),MATCH('hydrogen - electrolysis'!A8617,parameters!$D$3:$N$3,0))</f>
        <v>1.4999999999999999E-2</v>
      </c>
    </row>
    <row r="8618" spans="1:2" x14ac:dyDescent="0.2">
      <c r="A8618" t="s">
        <v>43</v>
      </c>
      <c r="B8618" s="49">
        <f>INDEX(parameters!$D$4:$N$20,MATCH('hydrogen - electrolysis'!B8601&amp;'hydrogen - electrolysis'!B8603,parameters!$A$4:$A$20,0),MATCH('hydrogen - electrolysis'!A8618,parameters!$D$3:$N$3,0))</f>
        <v>0</v>
      </c>
    </row>
    <row r="8619" spans="1:2" x14ac:dyDescent="0.2">
      <c r="A8619" t="s">
        <v>44</v>
      </c>
      <c r="B8619" s="49">
        <f>INDEX(parameters!$D$4:$N$20,MATCH('hydrogen - electrolysis'!B8601&amp;'hydrogen - electrolysis'!B8603,parameters!$A$4:$A$20,0),MATCH('hydrogen - electrolysis'!A8619,parameters!$D$3:$N$3,0))</f>
        <v>0</v>
      </c>
    </row>
    <row r="8620" spans="1:2" x14ac:dyDescent="0.2">
      <c r="A8620" t="s">
        <v>634</v>
      </c>
      <c r="B8620" s="51">
        <f>INDEX(parameters!$D$4:$Y$20,MATCH('hydrogen - electrolysis'!B8601&amp;'hydrogen - electrolysis'!B8603,parameters!$A$4:$A$20,0),MATCH('hydrogen - electrolysis'!A8620,parameters!$D$3:$Y$3,0))</f>
        <v>15.957446808510639</v>
      </c>
    </row>
    <row r="8621" spans="1:2" x14ac:dyDescent="0.2">
      <c r="A8621" t="s">
        <v>82</v>
      </c>
      <c r="B8621" s="46">
        <f>IF(B8612&lt;&gt;0,VLOOKUP(B8612,parameters!A5381:B5383,2,0),0)</f>
        <v>0</v>
      </c>
    </row>
    <row r="8622" spans="1:2" x14ac:dyDescent="0.2">
      <c r="A8622" t="s">
        <v>548</v>
      </c>
      <c r="B8622" s="50">
        <f>INDEX(parameters!$D$4:$P$20,MATCH(B8601&amp;B8603,parameters!$A$4:$A$20,0),MATCH(A8622,parameters!$D$3:$P$3,0))</f>
        <v>15</v>
      </c>
    </row>
    <row r="8623" spans="1:2" x14ac:dyDescent="0.2">
      <c r="A8623" t="s">
        <v>547</v>
      </c>
      <c r="B8623" s="51">
        <f>INDEX(parameters!$D$4:$P$20,MATCH(B8601&amp;B8603,parameters!$A$4:$A$20,0),MATCH(A8623,parameters!$D$3:$P$3,0))</f>
        <v>20</v>
      </c>
    </row>
    <row r="8624" spans="1:2" x14ac:dyDescent="0.2">
      <c r="A8624" t="s">
        <v>630</v>
      </c>
      <c r="B8624" s="51">
        <f>INDEX(parameters!$D$4:$T$20,MATCH(B8601&amp;B8603,parameters!$A$4:$A$20,0),MATCH(A8624,parameters!$D$3:$T$3,0))</f>
        <v>2100</v>
      </c>
    </row>
    <row r="8625" spans="1:22" x14ac:dyDescent="0.2">
      <c r="A8625" t="s">
        <v>1005</v>
      </c>
      <c r="B8625" s="50">
        <f>IF(B8597="megajoule",SUMIFS(allocation!$I$4:$I$30,allocation!$B$4:$B$30,B8603,allocation!$C$4:$C$30,B8604),SUMIFS(allocation!$J$4:$J$30,allocation!$B$4:$B$30,B8603,allocation!$C$4:$C$30,B8604))</f>
        <v>0</v>
      </c>
    </row>
    <row r="8626" spans="1:22" x14ac:dyDescent="0.2">
      <c r="A8626" t="s">
        <v>1050</v>
      </c>
      <c r="B8626" s="51">
        <f>INDEX(parameters!$D$4:$AB$20,MATCH(B8601&amp;B8603,parameters!$A$4:$A$20,0),MATCH(A8626,parameters!$D$3:$AB$3,0))</f>
        <v>44.562019013128115</v>
      </c>
    </row>
    <row r="8628" spans="1:22" x14ac:dyDescent="0.2">
      <c r="A8628" s="3" t="s">
        <v>57</v>
      </c>
    </row>
    <row r="8629" spans="1:22" x14ac:dyDescent="0.2">
      <c r="A8629" s="2" t="s">
        <v>58</v>
      </c>
      <c r="B8629" s="44" t="s">
        <v>59</v>
      </c>
      <c r="C8629" s="2" t="s">
        <v>55</v>
      </c>
      <c r="D8629" s="2" t="s">
        <v>60</v>
      </c>
      <c r="E8629" s="2" t="s">
        <v>52</v>
      </c>
      <c r="F8629" s="2" t="s">
        <v>61</v>
      </c>
      <c r="G8629" s="2" t="s">
        <v>54</v>
      </c>
      <c r="H8629" s="2" t="s">
        <v>87</v>
      </c>
      <c r="I8629" s="2" t="s">
        <v>51</v>
      </c>
      <c r="J8629" s="2" t="s">
        <v>138</v>
      </c>
      <c r="K8629" s="2" t="s">
        <v>136</v>
      </c>
      <c r="L8629" s="2" t="s">
        <v>221</v>
      </c>
      <c r="M8629" s="2" t="s">
        <v>379</v>
      </c>
      <c r="N8629" s="2" t="s">
        <v>1059</v>
      </c>
      <c r="O8629" s="2" t="s">
        <v>1060</v>
      </c>
      <c r="P8629" s="2" t="s">
        <v>1061</v>
      </c>
      <c r="Q8629" s="2" t="s">
        <v>1062</v>
      </c>
      <c r="R8629" s="2" t="s">
        <v>1063</v>
      </c>
      <c r="S8629" s="2" t="s">
        <v>1064</v>
      </c>
      <c r="T8629" s="2" t="s">
        <v>1065</v>
      </c>
      <c r="U8629" s="2" t="s">
        <v>380</v>
      </c>
      <c r="V8629" s="2" t="s">
        <v>1128</v>
      </c>
    </row>
    <row r="8630" spans="1:22" x14ac:dyDescent="0.2">
      <c r="A8630" t="str">
        <f>B8591</f>
        <v>heat, residential, by combustion of hydrogen using boiler, transported by pipeline, produced by Electrolysis, PEM using water and electricity from Wind (DK)</v>
      </c>
      <c r="B8630" s="45">
        <v>1</v>
      </c>
      <c r="C8630" t="str">
        <f>B8597</f>
        <v>megajoule</v>
      </c>
      <c r="E8630" t="str">
        <f>B8594</f>
        <v>CH</v>
      </c>
      <c r="F8630" t="s">
        <v>62</v>
      </c>
      <c r="G8630" t="str">
        <f>B8596</f>
        <v>heat, from residential heating system</v>
      </c>
      <c r="K8630" t="str">
        <f>B8591</f>
        <v>heat, residential, by combustion of hydrogen using boiler, transported by pipeline, produced by Electrolysis, PEM using water and electricity from Wind (DK)</v>
      </c>
    </row>
    <row r="8631" spans="1:22" x14ac:dyDescent="0.2">
      <c r="A8631" t="s">
        <v>83</v>
      </c>
      <c r="B8631" s="52">
        <f>1/(B8622*B8624*B8623*3.6)</f>
        <v>4.4091710758377425E-7</v>
      </c>
      <c r="C8631" t="s">
        <v>55</v>
      </c>
      <c r="E8631" t="s">
        <v>85</v>
      </c>
      <c r="F8631" t="s">
        <v>86</v>
      </c>
      <c r="G8631" t="s">
        <v>84</v>
      </c>
      <c r="H8631" t="s">
        <v>88</v>
      </c>
      <c r="K8631" t="str">
        <f>B8591</f>
        <v>heat, residential, by combustion of hydrogen using boiler, transported by pipeline, produced by Electrolysis, PEM using water and electricity from Wind (DK)</v>
      </c>
      <c r="L8631">
        <f t="shared" ref="L8631:L8636" si="358">IF(OR(B8631&lt;0,B8631=0),1,2)</f>
        <v>2</v>
      </c>
      <c r="M8631">
        <f t="shared" ref="M8631:M8636" si="359">IF(L8631=2,LN(B8631),"")</f>
        <v>-14.634408943829779</v>
      </c>
      <c r="N8631">
        <v>1.05</v>
      </c>
      <c r="O8631" s="15">
        <v>1.2</v>
      </c>
      <c r="P8631">
        <v>1</v>
      </c>
      <c r="Q8631">
        <v>1.01</v>
      </c>
      <c r="R8631">
        <v>1.2</v>
      </c>
      <c r="S8631">
        <v>1.2</v>
      </c>
      <c r="T8631">
        <v>3</v>
      </c>
      <c r="U8631">
        <f t="shared" ref="U8631:U8636" si="360">LN(SQRT(EXP(
SQRT(
+POWER(LN(N8631),2)
+POWER(LN(O8631),2)
+POWER(LN(P8631),2)
+POWER(LN(Q8631),2)
+POWER(LN(R8631),2)
+POWER(LN(S8631),2)
+POWER(LN(T8631),2)
)
)))</f>
        <v>0.57209088006881903</v>
      </c>
    </row>
    <row r="8632" spans="1:22" x14ac:dyDescent="0.2">
      <c r="A8632" t="s">
        <v>500</v>
      </c>
      <c r="B8632" s="52">
        <f>B8631*2</f>
        <v>8.8183421516754851E-7</v>
      </c>
      <c r="C8632" t="s">
        <v>267</v>
      </c>
      <c r="E8632" t="s">
        <v>85</v>
      </c>
      <c r="F8632" t="s">
        <v>86</v>
      </c>
      <c r="G8632" t="s">
        <v>501</v>
      </c>
      <c r="H8632" t="s">
        <v>88</v>
      </c>
      <c r="I8632" t="s">
        <v>621</v>
      </c>
      <c r="K8632" t="str">
        <f>B8591</f>
        <v>heat, residential, by combustion of hydrogen using boiler, transported by pipeline, produced by Electrolysis, PEM using water and electricity from Wind (DK)</v>
      </c>
      <c r="L8632">
        <f t="shared" si="358"/>
        <v>2</v>
      </c>
      <c r="M8632">
        <f t="shared" si="359"/>
        <v>-13.941261763269834</v>
      </c>
      <c r="N8632">
        <v>1.05</v>
      </c>
      <c r="O8632" s="15">
        <v>1.2</v>
      </c>
      <c r="P8632">
        <v>1</v>
      </c>
      <c r="Q8632">
        <v>1.01</v>
      </c>
      <c r="R8632">
        <v>1.2</v>
      </c>
      <c r="S8632">
        <v>1.2</v>
      </c>
      <c r="T8632">
        <v>3</v>
      </c>
      <c r="U8632">
        <f t="shared" si="360"/>
        <v>0.57209088006881903</v>
      </c>
    </row>
    <row r="8633" spans="1:22" x14ac:dyDescent="0.2">
      <c r="A8633" t="s">
        <v>130</v>
      </c>
      <c r="B8633" s="52">
        <v>2.64E-3</v>
      </c>
      <c r="C8633" t="s">
        <v>92</v>
      </c>
      <c r="E8633" t="s">
        <v>64</v>
      </c>
      <c r="F8633" t="s">
        <v>86</v>
      </c>
      <c r="G8633" t="s">
        <v>93</v>
      </c>
      <c r="H8633" t="s">
        <v>78</v>
      </c>
      <c r="I8633" t="s">
        <v>270</v>
      </c>
      <c r="J8633" t="s">
        <v>67</v>
      </c>
      <c r="K8633" t="str">
        <f>B8591</f>
        <v>heat, residential, by combustion of hydrogen using boiler, transported by pipeline, produced by Electrolysis, PEM using water and electricity from Wind (DK)</v>
      </c>
      <c r="L8633">
        <f t="shared" si="358"/>
        <v>2</v>
      </c>
      <c r="M8633">
        <f t="shared" si="359"/>
        <v>-5.9369763618239126</v>
      </c>
      <c r="N8633">
        <v>1.05</v>
      </c>
      <c r="O8633" s="15">
        <v>1.2</v>
      </c>
      <c r="P8633">
        <v>1</v>
      </c>
      <c r="Q8633">
        <v>1.01</v>
      </c>
      <c r="R8633">
        <v>1.2</v>
      </c>
      <c r="S8633">
        <v>1.2</v>
      </c>
      <c r="T8633">
        <v>1.05</v>
      </c>
      <c r="U8633">
        <f t="shared" si="360"/>
        <v>0.16169679924070957</v>
      </c>
    </row>
    <row r="8634" spans="1:22" x14ac:dyDescent="0.2">
      <c r="A8634" s="45" t="str">
        <f>"hydrogen supply, transported by "&amp;B8605&amp;", produced by "&amp;B8609&amp;" using "&amp;B8610&amp;" from "&amp;B8611</f>
        <v>hydrogen supply, transported by pipeline, produced by Electrolysis, PEM using water and electricity from Wind (DK)</v>
      </c>
      <c r="B8634" s="53">
        <f>(B8630/B8614)/B8613</f>
        <v>8.8652482269503553E-3</v>
      </c>
      <c r="C8634" t="s">
        <v>56</v>
      </c>
      <c r="E8634" t="s">
        <v>64</v>
      </c>
      <c r="F8634" t="s">
        <v>86</v>
      </c>
      <c r="G8634" t="str">
        <f>"hydrogen, gaseous, from "&amp;B8605</f>
        <v>hydrogen, gaseous, from pipeline</v>
      </c>
      <c r="H8634" t="s">
        <v>76</v>
      </c>
      <c r="I8634" t="s">
        <v>1054</v>
      </c>
      <c r="J8634" t="s">
        <v>303</v>
      </c>
      <c r="K8634" t="str">
        <f>B8591</f>
        <v>heat, residential, by combustion of hydrogen using boiler, transported by pipeline, produced by Electrolysis, PEM using water and electricity from Wind (DK)</v>
      </c>
      <c r="L8634">
        <f t="shared" si="358"/>
        <v>2</v>
      </c>
      <c r="M8634">
        <f t="shared" si="359"/>
        <v>-4.7256163390639587</v>
      </c>
      <c r="N8634">
        <v>1.05</v>
      </c>
      <c r="O8634" s="15">
        <v>1.2</v>
      </c>
      <c r="P8634">
        <v>1</v>
      </c>
      <c r="Q8634">
        <v>1.01</v>
      </c>
      <c r="R8634">
        <v>1.2</v>
      </c>
      <c r="S8634">
        <v>1.2</v>
      </c>
      <c r="T8634">
        <v>1.05</v>
      </c>
      <c r="U8634">
        <f t="shared" si="360"/>
        <v>0.16169679924070957</v>
      </c>
    </row>
    <row r="8635" spans="1:22" x14ac:dyDescent="0.2">
      <c r="A8635" t="s">
        <v>134</v>
      </c>
      <c r="B8635" s="45">
        <f>B8634*9</f>
        <v>7.9787234042553196E-2</v>
      </c>
      <c r="C8635" t="s">
        <v>56</v>
      </c>
      <c r="D8635" t="s">
        <v>100</v>
      </c>
      <c r="F8635" t="s">
        <v>99</v>
      </c>
      <c r="H8635" t="s">
        <v>131</v>
      </c>
      <c r="I8635" t="s">
        <v>1058</v>
      </c>
      <c r="K8635" t="str">
        <f>B8591</f>
        <v>heat, residential, by combustion of hydrogen using boiler, transported by pipeline, produced by Electrolysis, PEM using water and electricity from Wind (DK)</v>
      </c>
      <c r="L8635">
        <f t="shared" si="358"/>
        <v>2</v>
      </c>
      <c r="M8635">
        <f t="shared" si="359"/>
        <v>-2.5283917617277392</v>
      </c>
      <c r="N8635">
        <v>1.05</v>
      </c>
      <c r="O8635" s="15">
        <v>1.2</v>
      </c>
      <c r="P8635">
        <v>1</v>
      </c>
      <c r="Q8635">
        <v>1.01</v>
      </c>
      <c r="R8635">
        <v>1.2</v>
      </c>
      <c r="S8635">
        <v>1.2</v>
      </c>
      <c r="T8635">
        <v>1.05</v>
      </c>
      <c r="U8635">
        <f t="shared" si="360"/>
        <v>0.16169679924070957</v>
      </c>
    </row>
    <row r="8636" spans="1:22" x14ac:dyDescent="0.2">
      <c r="A8636" t="s">
        <v>135</v>
      </c>
      <c r="B8636" s="45">
        <f>912.5/1000000*B8634</f>
        <v>8.0895390070921995E-6</v>
      </c>
      <c r="C8636" t="s">
        <v>56</v>
      </c>
      <c r="D8636" t="s">
        <v>100</v>
      </c>
      <c r="F8636" t="s">
        <v>99</v>
      </c>
      <c r="H8636" t="s">
        <v>131</v>
      </c>
      <c r="I8636" t="s">
        <v>1217</v>
      </c>
      <c r="K8636" t="str">
        <f>B8591</f>
        <v>heat, residential, by combustion of hydrogen using boiler, transported by pipeline, produced by Electrolysis, PEM using water and electricity from Wind (DK)</v>
      </c>
      <c r="L8636">
        <f t="shared" si="358"/>
        <v>2</v>
      </c>
      <c r="M8636">
        <f t="shared" si="359"/>
        <v>-11.724938811571587</v>
      </c>
      <c r="N8636">
        <v>1.05</v>
      </c>
      <c r="O8636" s="15">
        <v>1.2</v>
      </c>
      <c r="P8636">
        <v>1</v>
      </c>
      <c r="Q8636">
        <v>1.01</v>
      </c>
      <c r="R8636">
        <v>1.2</v>
      </c>
      <c r="S8636">
        <v>1.2</v>
      </c>
      <c r="T8636">
        <v>1.5</v>
      </c>
      <c r="U8636">
        <f t="shared" si="360"/>
        <v>0.25816898211842121</v>
      </c>
    </row>
    <row r="8638" spans="1:22" x14ac:dyDescent="0.2">
      <c r="A8638" s="2" t="s">
        <v>50</v>
      </c>
      <c r="B8638" s="44" t="str">
        <f>IF(B8644="megajoule","heat","electricity")&amp;", residential, by "&amp;B8649&amp;" of "&amp;B8648&amp;" using "&amp;B8650&amp;IF(B8651&lt;&gt;0,", allocated by "&amp;B8651,"")&amp;", transported by "&amp;B8652&amp;", produced by "&amp;B8656&amp;" using "&amp;B8657&amp;" from "&amp;B8658</f>
        <v>heat, residential, by combustion of hydrogen using CHP, allocated by exergy, transported by pipeline, produced by Electrolysis, PEM using water and electricity from Wind (DK)</v>
      </c>
    </row>
    <row r="8639" spans="1:22" x14ac:dyDescent="0.2">
      <c r="A8639" t="s">
        <v>51</v>
      </c>
      <c r="B8639" s="45" t="str">
        <f>"This dataset represents the supply of 1 "&amp;IF(B8644="megajoule","megajoule of heat","kilowatt hour of electricity")&amp;" in a residence, by "&amp;B8648&amp;" "&amp;B8649&amp;" in a "&amp;B8650&amp;". "&amp;" The hydrogen is transported by "&amp;B8652&amp;" over "&amp;B8653&amp;" km from regional storage. "&amp;" The "&amp;B8648&amp;" is produced by  "&amp;B8656&amp;", with "&amp;B8657&amp;" from "&amp;B8658&amp;" as feedstock. "&amp;A8660&amp;": "&amp;(B8660*100)&amp;"%. "&amp;A8661&amp;": "&amp;B8661&amp;". "&amp;A8662&amp;": "&amp;B8662&amp;". "&amp;A8663&amp;": "&amp;(B8663*100)&amp;"%. "&amp;A8664&amp;": "&amp;(B8664*100)&amp;"%. "&amp;A8665&amp;": "&amp;(B8665*100)&amp;"%. "&amp;A8666&amp;": "&amp;B8666&amp;". "&amp;A8667&amp;": "&amp;B8667&amp;". "&amp;A8668&amp;": "&amp;(B8668*100)&amp;"%. "&amp;A8669&amp;": "&amp;B8669&amp;". "&amp;A8670&amp;": "&amp;B8670&amp;". "&amp;A8671&amp;": "&amp;B8671&amp;". "&amp;A8672&amp;": "&amp;B8672&amp;".  For more information, refer to: "&amp;B8640</f>
        <v>This dataset represents the supply of 1 megajoule of heat in a residence, by hydrogen combustion in a CHP.  The hydrogen is transported by pipeline over 1300 km from regional storage.  The hydrogen is produced by  Electrolysis, PEM,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8640" spans="1:22" x14ac:dyDescent="0.2">
      <c r="A8640" t="s">
        <v>63</v>
      </c>
      <c r="B8640" s="45" t="s">
        <v>1223</v>
      </c>
    </row>
    <row r="8641" spans="1:2" x14ac:dyDescent="0.2">
      <c r="A8641" t="s">
        <v>52</v>
      </c>
      <c r="B8641" s="45" t="s">
        <v>64</v>
      </c>
    </row>
    <row r="8642" spans="1:2" x14ac:dyDescent="0.2">
      <c r="A8642" t="s">
        <v>48</v>
      </c>
      <c r="B8642" s="45">
        <v>106</v>
      </c>
    </row>
    <row r="8643" spans="1:2" x14ac:dyDescent="0.2">
      <c r="A8643" t="s">
        <v>54</v>
      </c>
      <c r="B8643" s="45" t="str">
        <f>INDEX(overview!$B$4:$R$338,MATCH('hydrogen - electrolysis'!B8642,overview!$A$4:$A$338,0),MATCH('hydrogen - electrolysis'!A8643,overview!$B$3:$R$3,0))</f>
        <v>heat, from residential heating system</v>
      </c>
    </row>
    <row r="8644" spans="1:2" x14ac:dyDescent="0.2">
      <c r="A8644" t="s">
        <v>55</v>
      </c>
      <c r="B8644" s="45" t="str">
        <f>INDEX(overview!$B$4:$R$338,MATCH('hydrogen - electrolysis'!B8642,overview!$A$4:$A$338,0),MATCH('hydrogen - electrolysis'!A8644,overview!$B$3:$R$3,0))</f>
        <v>megajoule</v>
      </c>
    </row>
    <row r="8645" spans="1:2" x14ac:dyDescent="0.2">
      <c r="A8645" t="s">
        <v>0</v>
      </c>
      <c r="B8645" s="45" t="str">
        <f>INDEX(overview!$B$4:$R$338,MATCH('hydrogen - electrolysis'!B8642,overview!$A$4:$A$338,0),MATCH('hydrogen - electrolysis'!A8645,overview!$B$3:$R$3,0))</f>
        <v>Switzerland</v>
      </c>
    </row>
    <row r="8646" spans="1:2" x14ac:dyDescent="0.2">
      <c r="A8646" t="s">
        <v>1</v>
      </c>
      <c r="B8646" s="45">
        <f>INDEX(overview!$B$4:$R$338,MATCH('hydrogen - electrolysis'!B8642,overview!$A$4:$A$338,0),MATCH('hydrogen - electrolysis'!A8646,overview!$B$3:$R$3,0))</f>
        <v>2020</v>
      </c>
    </row>
    <row r="8647" spans="1:2" x14ac:dyDescent="0.2">
      <c r="A8647" t="s">
        <v>2</v>
      </c>
      <c r="B8647" s="45" t="str">
        <f>INDEX(overview!$B$4:$R$338,MATCH('hydrogen - electrolysis'!B8642,overview!$A$4:$A$338,0),MATCH('hydrogen - electrolysis'!A8647,overview!$B$3:$R$3,0))</f>
        <v>1 MJ heat</v>
      </c>
    </row>
    <row r="8648" spans="1:2" x14ac:dyDescent="0.2">
      <c r="A8648" t="s">
        <v>5</v>
      </c>
      <c r="B8648" s="45" t="str">
        <f>INDEX(overview!$B$4:$R$338,MATCH('hydrogen - electrolysis'!B8642,overview!$A$4:$A$338,0),MATCH('hydrogen - electrolysis'!A8648,overview!$B$3:$R$3,0))</f>
        <v>hydrogen</v>
      </c>
    </row>
    <row r="8649" spans="1:2" x14ac:dyDescent="0.2">
      <c r="A8649" t="s">
        <v>3</v>
      </c>
      <c r="B8649" s="45" t="str">
        <f>INDEX(overview!$B$4:$R$338,MATCH('hydrogen - electrolysis'!B8642,overview!$A$4:$A$338,0),MATCH('hydrogen - electrolysis'!A8649,overview!$B$3:$R$3,0))</f>
        <v>combustion</v>
      </c>
    </row>
    <row r="8650" spans="1:2" x14ac:dyDescent="0.2">
      <c r="A8650" t="s">
        <v>6</v>
      </c>
      <c r="B8650" s="45" t="str">
        <f>INDEX(overview!$B$4:$R$338,MATCH('hydrogen - electrolysis'!B8642,overview!$A$4:$A$338,0),MATCH('hydrogen - electrolysis'!A8650,overview!$B$3:$R$3,0))</f>
        <v>CHP</v>
      </c>
    </row>
    <row r="8651" spans="1:2" x14ac:dyDescent="0.2">
      <c r="A8651" t="s">
        <v>39</v>
      </c>
      <c r="B8651" s="45" t="str">
        <f>INDEX(overview!$B$4:$R$338,MATCH('hydrogen - electrolysis'!B8642,overview!$A$4:$A$338,0),MATCH('hydrogen - electrolysis'!A8651,overview!$B$3:$R$3,0))</f>
        <v>exergy</v>
      </c>
    </row>
    <row r="8652" spans="1:2" x14ac:dyDescent="0.2">
      <c r="A8652" t="s">
        <v>4</v>
      </c>
      <c r="B8652" s="45" t="str">
        <f>INDEX(overview!$B$4:$R$338,MATCH('hydrogen - electrolysis'!B8642,overview!$A$4:$A$338,0),MATCH('hydrogen - electrolysis'!A8652,overview!$B$3:$R$3,0))</f>
        <v>pipeline</v>
      </c>
    </row>
    <row r="8653" spans="1:2" x14ac:dyDescent="0.2">
      <c r="A8653" t="s">
        <v>38</v>
      </c>
      <c r="B8653" s="45">
        <f>INDEX(overview!$B$4:$R$338,MATCH('hydrogen - electrolysis'!B8642,overview!$A$4:$A$338,0),MATCH('hydrogen - electrolysis'!A8653,overview!$B$3:$R$3,0))</f>
        <v>1300</v>
      </c>
    </row>
    <row r="8654" spans="1:2" x14ac:dyDescent="0.2">
      <c r="A8654" t="s">
        <v>12</v>
      </c>
      <c r="B8654" s="45" t="str">
        <f>INDEX(overview!$B$4:$R$338,MATCH('hydrogen - electrolysis'!B8642,overview!$A$4:$A$338,0),MATCH('hydrogen - electrolysis'!A8654,overview!$B$3:$R$3,0))</f>
        <v>Pressure vessel for stationary storage</v>
      </c>
    </row>
    <row r="8655" spans="1:2" x14ac:dyDescent="0.2">
      <c r="A8655" t="s">
        <v>34</v>
      </c>
      <c r="B8655" s="45">
        <f>INDEX(overview!$B$4:$R$338,MATCH('hydrogen - electrolysis'!B8642,overview!$A$4:$A$338,0),MATCH('hydrogen - electrolysis'!A8655,overview!$B$3:$R$3,0))</f>
        <v>0</v>
      </c>
    </row>
    <row r="8656" spans="1:2" x14ac:dyDescent="0.2">
      <c r="A8656" t="s">
        <v>15</v>
      </c>
      <c r="B8656" s="45" t="str">
        <f>INDEX(overview!$B$4:$R$338,MATCH('hydrogen - electrolysis'!B8642,overview!$A$4:$A$338,0),MATCH('hydrogen - electrolysis'!A8656,overview!$B$3:$R$3,0))</f>
        <v>Electrolysis, PEM</v>
      </c>
    </row>
    <row r="8657" spans="1:2" x14ac:dyDescent="0.2">
      <c r="A8657" t="s">
        <v>14</v>
      </c>
      <c r="B8657" s="45" t="str">
        <f>INDEX(overview!$B$4:$R$338,MATCH('hydrogen - electrolysis'!B8642,overview!$A$4:$A$338,0),MATCH('hydrogen - electrolysis'!A8657,overview!$B$3:$R$3,0))</f>
        <v>water and electricity</v>
      </c>
    </row>
    <row r="8658" spans="1:2" x14ac:dyDescent="0.2">
      <c r="A8658" t="s">
        <v>26</v>
      </c>
      <c r="B8658" s="45" t="str">
        <f>INDEX(overview!$B$4:$R$338,MATCH('hydrogen - electrolysis'!B8642,overview!$A$4:$A$338,0),MATCH('hydrogen - electrolysis'!A8658,overview!$B$3:$R$3,0))</f>
        <v>Wind (DK)</v>
      </c>
    </row>
    <row r="8659" spans="1:2" x14ac:dyDescent="0.2">
      <c r="A8659" t="s">
        <v>29</v>
      </c>
      <c r="B8659" s="45">
        <f>INDEX(overview!$B$4:$R$338,MATCH('hydrogen - electrolysis'!B8642,overview!$A$4:$A$338,0),MATCH('hydrogen - electrolysis'!A8659,overview!$B$3:$R$3,0))</f>
        <v>0</v>
      </c>
    </row>
    <row r="8660" spans="1:2" x14ac:dyDescent="0.2">
      <c r="A8660" t="str">
        <f>IF(B8644="megajoule","Heat","Electricity")&amp;" conversion efficiency [% LHV input]"</f>
        <v>Heat conversion efficiency [% LHV input]</v>
      </c>
      <c r="B8660" s="46">
        <f>INDEX(parameters!$D$4:$N$20,MATCH('hydrogen - electrolysis'!B8648&amp;'hydrogen - electrolysis'!B8650,parameters!$A$4:$A$20,0),MATCH('hydrogen - electrolysis'!A8660,parameters!$D$3:$N$3,0))</f>
        <v>0.41699999999999998</v>
      </c>
    </row>
    <row r="8661" spans="1:2" x14ac:dyDescent="0.2">
      <c r="A8661" t="str">
        <f>IF(B8644="megajoule","LHV [MJ/kg]","LHV [kWh/kg]")</f>
        <v>LHV [MJ/kg]</v>
      </c>
      <c r="B8661" s="47">
        <f>INDEX(parameters!$D$4:$N$20,MATCH('hydrogen - electrolysis'!B8648&amp;'hydrogen - electrolysis'!B8650,parameters!$A$4:$A$20,0),MATCH('hydrogen - electrolysis'!A8661,parameters!$D$3:$N$3,0))</f>
        <v>120</v>
      </c>
    </row>
    <row r="8662" spans="1:2" x14ac:dyDescent="0.2">
      <c r="A8662" t="s">
        <v>41</v>
      </c>
      <c r="B8662" s="48">
        <f>INDEX(parameters!$D$4:$N$20,MATCH('hydrogen - electrolysis'!B8648&amp;'hydrogen - electrolysis'!B8650,parameters!$A$4:$A$20,0),MATCH('hydrogen - electrolysis'!A8662,parameters!$D$3:$N$3,0))</f>
        <v>2.6666666666666665E-2</v>
      </c>
    </row>
    <row r="8663" spans="1:2" x14ac:dyDescent="0.2">
      <c r="A8663" t="s">
        <v>45</v>
      </c>
      <c r="B8663" s="46">
        <f>INDEX(parameters!$D$4:$N$20,MATCH('hydrogen - electrolysis'!B8648&amp;'hydrogen - electrolysis'!B8650,parameters!$A$4:$A$20,0),MATCH('hydrogen - electrolysis'!A8663,parameters!$D$3:$N$3,0))</f>
        <v>0</v>
      </c>
    </row>
    <row r="8664" spans="1:2" x14ac:dyDescent="0.2">
      <c r="A8664" t="s">
        <v>46</v>
      </c>
      <c r="B8664" s="46">
        <f>INDEX(parameters!$D$4:$N$20,MATCH('hydrogen - electrolysis'!B8648&amp;'hydrogen - electrolysis'!B8650,parameters!$A$4:$A$20,0),MATCH('hydrogen - electrolysis'!A8664,parameters!$D$3:$N$3,0))</f>
        <v>1.4999999999999999E-2</v>
      </c>
    </row>
    <row r="8665" spans="1:2" x14ac:dyDescent="0.2">
      <c r="A8665" t="s">
        <v>43</v>
      </c>
      <c r="B8665" s="46">
        <f>INDEX(parameters!$D$4:$N$20,MATCH('hydrogen - electrolysis'!B8648&amp;'hydrogen - electrolysis'!B8650,parameters!$A$4:$A$20,0),MATCH('hydrogen - electrolysis'!A8665,parameters!$D$3:$N$3,0))</f>
        <v>0</v>
      </c>
    </row>
    <row r="8666" spans="1:2" x14ac:dyDescent="0.2">
      <c r="A8666" t="s">
        <v>44</v>
      </c>
      <c r="B8666" s="46">
        <f>INDEX(parameters!$D$4:$N$20,MATCH('hydrogen - electrolysis'!B8648&amp;'hydrogen - electrolysis'!B8650,parameters!$A$4:$A$20,0),MATCH('hydrogen - electrolysis'!A8666,parameters!$D$3:$N$3,0))</f>
        <v>0</v>
      </c>
    </row>
    <row r="8667" spans="1:2" x14ac:dyDescent="0.2">
      <c r="A8667" t="s">
        <v>634</v>
      </c>
      <c r="B8667" s="51">
        <f>INDEX(parameters!$D$4:$Y$20,MATCH('hydrogen - electrolysis'!B8648&amp;'hydrogen - electrolysis'!B8650,parameters!$A$4:$A$20,0),MATCH('hydrogen - electrolysis'!A8667,parameters!$D$3:$Y$3,0))</f>
        <v>351.41800246609125</v>
      </c>
    </row>
    <row r="8668" spans="1:2" x14ac:dyDescent="0.2">
      <c r="A8668" t="s">
        <v>82</v>
      </c>
      <c r="B8668" s="46">
        <f>IF(B8659&lt;&gt;0,VLOOKUP(B8659,parameters!A5433:B5435,2,0),0)</f>
        <v>0</v>
      </c>
    </row>
    <row r="8669" spans="1:2" x14ac:dyDescent="0.2">
      <c r="A8669" t="s">
        <v>548</v>
      </c>
      <c r="B8669" s="50">
        <f>INDEX(parameters!$D$4:$P$20,MATCH(B8648&amp;B8650,parameters!$A$4:$A$20,0),MATCH(A8669,parameters!$D$3:$P$3,0))</f>
        <v>125</v>
      </c>
    </row>
    <row r="8670" spans="1:2" x14ac:dyDescent="0.2">
      <c r="A8670" t="s">
        <v>547</v>
      </c>
      <c r="B8670" s="51">
        <f>INDEX(parameters!$D$4:$P$20,MATCH(B8648&amp;B8650,parameters!$A$4:$A$20,0),MATCH(A8670,parameters!$D$3:$P$3,0))</f>
        <v>19.512195121951219</v>
      </c>
    </row>
    <row r="8671" spans="1:2" x14ac:dyDescent="0.2">
      <c r="A8671" t="s">
        <v>630</v>
      </c>
      <c r="B8671" s="51">
        <f>INDEX(parameters!$D$4:$T$20,MATCH(B8648&amp;B8650,parameters!$A$4:$A$20,0),MATCH(A8671,parameters!$D$3:$T$3,0))</f>
        <v>4100</v>
      </c>
    </row>
    <row r="8672" spans="1:2" x14ac:dyDescent="0.2">
      <c r="A8672" t="s">
        <v>1005</v>
      </c>
      <c r="B8672" s="50">
        <f>IF(B8644="megajoule",SUMIFS(allocation!$I$4:$I$30,allocation!$B$4:$B$30,B8650,allocation!$C$4:$C$30,B8651),SUMIFS(allocation!$J$4:$J$30,allocation!$B$4:$B$30,B8650,allocation!$C$4:$C$30,B8651))</f>
        <v>0.12860042227295038</v>
      </c>
    </row>
    <row r="8673" spans="1:22" x14ac:dyDescent="0.2">
      <c r="A8673" t="s">
        <v>1050</v>
      </c>
      <c r="B8673" s="51">
        <f>INDEX(parameters!$D$4:$AB$20,MATCH(B8648&amp;B8650,parameters!$A$4:$A$20,0),MATCH(A8673,parameters!$D$3:$AB$3,0))</f>
        <v>2220.7364520822662</v>
      </c>
    </row>
    <row r="8675" spans="1:22" x14ac:dyDescent="0.2">
      <c r="A8675" s="3" t="s">
        <v>57</v>
      </c>
    </row>
    <row r="8676" spans="1:22" x14ac:dyDescent="0.2">
      <c r="A8676" s="2" t="s">
        <v>58</v>
      </c>
      <c r="B8676" s="44" t="s">
        <v>59</v>
      </c>
      <c r="C8676" s="2" t="s">
        <v>55</v>
      </c>
      <c r="D8676" s="2" t="s">
        <v>60</v>
      </c>
      <c r="E8676" s="2" t="s">
        <v>52</v>
      </c>
      <c r="F8676" s="2" t="s">
        <v>61</v>
      </c>
      <c r="G8676" s="2" t="s">
        <v>54</v>
      </c>
      <c r="H8676" s="2" t="s">
        <v>87</v>
      </c>
      <c r="I8676" s="2" t="s">
        <v>51</v>
      </c>
      <c r="J8676" s="2" t="s">
        <v>138</v>
      </c>
      <c r="K8676" s="2" t="s">
        <v>136</v>
      </c>
      <c r="L8676" s="2" t="s">
        <v>221</v>
      </c>
      <c r="M8676" s="2" t="s">
        <v>379</v>
      </c>
      <c r="N8676" s="2" t="s">
        <v>1059</v>
      </c>
      <c r="O8676" s="2" t="s">
        <v>1060</v>
      </c>
      <c r="P8676" s="2" t="s">
        <v>1061</v>
      </c>
      <c r="Q8676" s="2" t="s">
        <v>1062</v>
      </c>
      <c r="R8676" s="2" t="s">
        <v>1063</v>
      </c>
      <c r="S8676" s="2" t="s">
        <v>1064</v>
      </c>
      <c r="T8676" s="2" t="s">
        <v>1065</v>
      </c>
      <c r="U8676" s="2" t="s">
        <v>380</v>
      </c>
      <c r="V8676" s="2" t="s">
        <v>1128</v>
      </c>
    </row>
    <row r="8677" spans="1:22" x14ac:dyDescent="0.2">
      <c r="A8677" t="str">
        <f>B8638</f>
        <v>heat, residential, by combustion of hydrogen using CHP, allocated by exergy, transported by pipeline, produced by Electrolysis, PEM using water and electricity from Wind (DK)</v>
      </c>
      <c r="B8677" s="45">
        <v>1</v>
      </c>
      <c r="C8677" t="str">
        <f>B8644</f>
        <v>megajoule</v>
      </c>
      <c r="E8677" t="str">
        <f>B8641</f>
        <v>CH</v>
      </c>
      <c r="F8677" t="s">
        <v>62</v>
      </c>
      <c r="G8677" t="str">
        <f>B8643</f>
        <v>heat, from residential heating system</v>
      </c>
      <c r="K8677" t="str">
        <f>B8638</f>
        <v>heat, residential, by combustion of hydrogen using CHP, allocated by exergy, transported by pipeline, produced by Electrolysis, PEM using water and electricity from Wind (DK)</v>
      </c>
    </row>
    <row r="8678" spans="1:22" x14ac:dyDescent="0.2">
      <c r="A8678" t="str">
        <f>VLOOKUP(J8678,'dataset mapping'!$A$4:$E$69,2,0)</f>
        <v>heat and power co-generation unit construction, 160kW electrical, common components for heat+electricity</v>
      </c>
      <c r="B8678" s="52">
        <f>(1/(B8667*B8671*B8670*3.6))*B8672</f>
        <v>1.270649883812899E-9</v>
      </c>
      <c r="C8678" t="str">
        <f>VLOOKUP(J8678,'dataset mapping'!$A$4:$E$69,5,0)</f>
        <v>unit</v>
      </c>
      <c r="E8678" t="str">
        <f>VLOOKUP(J8678,'dataset mapping'!$A$4:$E$69,4,0)</f>
        <v>RER</v>
      </c>
      <c r="F8678" t="s">
        <v>86</v>
      </c>
      <c r="G8678" t="str">
        <f>VLOOKUP(J8678,'dataset mapping'!$A$4:$E$69,3,0)</f>
        <v>heat and power co-generation unit, 160kW electrical, common components for heat+electricity</v>
      </c>
      <c r="H8678" t="s">
        <v>88</v>
      </c>
      <c r="J8678" t="s">
        <v>145</v>
      </c>
      <c r="K8678" t="str">
        <f>B8638</f>
        <v>heat, residential, by combustion of hydrogen using CHP, allocated by exergy, transported by pipeline, produced by Electrolysis, PEM using water and electricity from Wind (DK)</v>
      </c>
      <c r="L8678">
        <f t="shared" ref="L8678:L8685" si="361">IF(OR(B8678&lt;0,B8678=0),1,2)</f>
        <v>2</v>
      </c>
      <c r="M8678">
        <f t="shared" ref="M8678:M8685" si="362">IF(L8678=2,LN(B8678),"")</f>
        <v>-20.48373734782199</v>
      </c>
      <c r="N8678">
        <v>1.05</v>
      </c>
      <c r="O8678" s="15">
        <v>1.2</v>
      </c>
      <c r="P8678">
        <v>1</v>
      </c>
      <c r="Q8678">
        <v>1.01</v>
      </c>
      <c r="R8678">
        <v>1.2</v>
      </c>
      <c r="S8678">
        <v>1.2</v>
      </c>
      <c r="T8678">
        <v>3</v>
      </c>
      <c r="U8678">
        <f t="shared" ref="U8678:U8685" si="363">LN(SQRT(EXP(
SQRT(
+POWER(LN(N8678),2)
+POWER(LN(O8678),2)
+POWER(LN(P8678),2)
+POWER(LN(Q8678),2)
+POWER(LN(R8678),2)
+POWER(LN(S8678),2)
+POWER(LN(T8678),2)
)
)))</f>
        <v>0.57209088006881903</v>
      </c>
    </row>
    <row r="8679" spans="1:22" x14ac:dyDescent="0.2">
      <c r="A8679" t="str">
        <f>VLOOKUP(J8679,'dataset mapping'!$A$4:$E$69,2,0)</f>
        <v>heat and power co-generation unit construction, 160kW electrical, components for electricity only</v>
      </c>
      <c r="B8679" s="52">
        <f>(1/(B8667*B8671*B8670*3.6))*B8672</f>
        <v>1.270649883812899E-9</v>
      </c>
      <c r="C8679" t="str">
        <f>VLOOKUP(J8679,'dataset mapping'!$A$4:$E$69,5,0)</f>
        <v>unit</v>
      </c>
      <c r="E8679" t="str">
        <f>VLOOKUP(J8679,'dataset mapping'!$A$4:$E$69,4,0)</f>
        <v>RER</v>
      </c>
      <c r="F8679" t="s">
        <v>86</v>
      </c>
      <c r="G8679" t="str">
        <f>VLOOKUP(J8679,'dataset mapping'!$A$4:$E$69,3,0)</f>
        <v>heat and power co-generation unit, 160kW electrical, components for electricity only</v>
      </c>
      <c r="H8679" t="s">
        <v>88</v>
      </c>
      <c r="J8679" t="s">
        <v>146</v>
      </c>
      <c r="K8679" t="str">
        <f>B8638</f>
        <v>heat, residential, by combustion of hydrogen using CHP, allocated by exergy, transported by pipeline, produced by Electrolysis, PEM using water and electricity from Wind (DK)</v>
      </c>
      <c r="L8679">
        <f t="shared" si="361"/>
        <v>2</v>
      </c>
      <c r="M8679">
        <f t="shared" si="362"/>
        <v>-20.48373734782199</v>
      </c>
      <c r="N8679">
        <v>1.05</v>
      </c>
      <c r="O8679" s="15">
        <v>1.2</v>
      </c>
      <c r="P8679">
        <v>1</v>
      </c>
      <c r="Q8679">
        <v>1.01</v>
      </c>
      <c r="R8679">
        <v>1.2</v>
      </c>
      <c r="S8679">
        <v>1.2</v>
      </c>
      <c r="T8679">
        <v>3</v>
      </c>
      <c r="U8679">
        <f t="shared" si="363"/>
        <v>0.57209088006881903</v>
      </c>
    </row>
    <row r="8680" spans="1:22" x14ac:dyDescent="0.2">
      <c r="A8680" t="str">
        <f>VLOOKUP(J8680,'dataset mapping'!$A$4:$E$69,2,0)</f>
        <v>heat and power co-generation unit construction, 160kW electrical, components for heat only</v>
      </c>
      <c r="B8680" s="52">
        <f>(1/(B8667*B8671*B8670*3.6))*B8672</f>
        <v>1.270649883812899E-9</v>
      </c>
      <c r="C8680" t="str">
        <f>VLOOKUP(J8680,'dataset mapping'!$A$4:$E$69,5,0)</f>
        <v>unit</v>
      </c>
      <c r="E8680" t="str">
        <f>VLOOKUP(J8680,'dataset mapping'!$A$4:$E$69,4,0)</f>
        <v>RER</v>
      </c>
      <c r="F8680" t="s">
        <v>86</v>
      </c>
      <c r="G8680" t="str">
        <f>VLOOKUP(J8680,'dataset mapping'!$A$4:$E$69,3,0)</f>
        <v>heat and power co-generation unit, 160kW electrical, components for heat only</v>
      </c>
      <c r="H8680" t="s">
        <v>88</v>
      </c>
      <c r="J8680" t="s">
        <v>147</v>
      </c>
      <c r="K8680" t="str">
        <f>B8638</f>
        <v>heat, residential, by combustion of hydrogen using CHP, allocated by exergy, transported by pipeline, produced by Electrolysis, PEM using water and electricity from Wind (DK)</v>
      </c>
      <c r="L8680">
        <f t="shared" si="361"/>
        <v>2</v>
      </c>
      <c r="M8680">
        <f t="shared" si="362"/>
        <v>-20.48373734782199</v>
      </c>
      <c r="N8680">
        <v>1.05</v>
      </c>
      <c r="O8680" s="15">
        <v>1.2</v>
      </c>
      <c r="P8680">
        <v>1</v>
      </c>
      <c r="Q8680">
        <v>1.01</v>
      </c>
      <c r="R8680">
        <v>1.2</v>
      </c>
      <c r="S8680">
        <v>1.2</v>
      </c>
      <c r="T8680">
        <v>3</v>
      </c>
      <c r="U8680">
        <f t="shared" si="363"/>
        <v>0.57209088006881903</v>
      </c>
    </row>
    <row r="8681" spans="1:22" x14ac:dyDescent="0.2">
      <c r="A8681" t="s">
        <v>156</v>
      </c>
      <c r="B8681" s="52">
        <f>0.00000011366*B8672</f>
        <v>1.461672399554354E-8</v>
      </c>
      <c r="C8681" t="s">
        <v>56</v>
      </c>
      <c r="E8681" t="s">
        <v>90</v>
      </c>
      <c r="F8681" t="s">
        <v>86</v>
      </c>
      <c r="G8681" t="s">
        <v>154</v>
      </c>
      <c r="H8681" t="s">
        <v>155</v>
      </c>
      <c r="K8681" t="str">
        <f>B8638</f>
        <v>heat, residential, by combustion of hydrogen using CHP, allocated by exergy, transported by pipeline, produced by Electrolysis, PEM using water and electricity from Wind (DK)</v>
      </c>
      <c r="L8681">
        <f t="shared" si="361"/>
        <v>2</v>
      </c>
      <c r="M8681">
        <f t="shared" si="362"/>
        <v>-18.041099484645969</v>
      </c>
      <c r="N8681">
        <v>1.05</v>
      </c>
      <c r="O8681" s="15">
        <v>1.2</v>
      </c>
      <c r="P8681">
        <v>1</v>
      </c>
      <c r="Q8681">
        <v>1.01</v>
      </c>
      <c r="R8681">
        <v>1.2</v>
      </c>
      <c r="S8681">
        <v>1.2</v>
      </c>
      <c r="T8681">
        <v>1.05</v>
      </c>
      <c r="U8681">
        <f t="shared" si="363"/>
        <v>0.16169679924070957</v>
      </c>
    </row>
    <row r="8682" spans="1:22" x14ac:dyDescent="0.2">
      <c r="A8682" t="s">
        <v>157</v>
      </c>
      <c r="B8682" s="52">
        <f>0.00000011366*B8672*-1</f>
        <v>-1.461672399554354E-8</v>
      </c>
      <c r="C8682" t="s">
        <v>56</v>
      </c>
      <c r="E8682" t="s">
        <v>64</v>
      </c>
      <c r="F8682" t="s">
        <v>86</v>
      </c>
      <c r="G8682" t="s">
        <v>158</v>
      </c>
      <c r="H8682" t="s">
        <v>155</v>
      </c>
      <c r="K8682" t="str">
        <f>B8638</f>
        <v>heat, residential, by combustion of hydrogen using CHP, allocated by exergy, transported by pipeline, produced by Electrolysis, PEM using water and electricity from Wind (DK)</v>
      </c>
      <c r="L8682">
        <v>2</v>
      </c>
      <c r="M8682">
        <f>IF(L8682=2,LN(B8682*-1),"")</f>
        <v>-18.041099484645969</v>
      </c>
      <c r="N8682">
        <v>1.05</v>
      </c>
      <c r="O8682" s="15">
        <v>1.2</v>
      </c>
      <c r="P8682">
        <v>1</v>
      </c>
      <c r="Q8682">
        <v>1.01</v>
      </c>
      <c r="R8682">
        <v>1.2</v>
      </c>
      <c r="S8682">
        <v>1.2</v>
      </c>
      <c r="T8682">
        <v>3</v>
      </c>
      <c r="U8682">
        <f>LN(SQRT(EXP(
SQRT(
+POWER(LN(N8682),2)
+POWER(LN(O8682),2)
+POWER(LN(P8682),2)
+POWER(LN(Q8682),2)
+POWER(LN(R8682),2)
+POWER(LN(S8682),2)
+POWER(LN(T8682),2)
)
)))</f>
        <v>0.57209088006881903</v>
      </c>
      <c r="V8682" t="b">
        <v>1</v>
      </c>
    </row>
    <row r="8683" spans="1:22" x14ac:dyDescent="0.2">
      <c r="A8683" s="45" t="str">
        <f>"hydrogen supply, transported by "&amp;B8652&amp;", produced by "&amp;B8656&amp;" using "&amp;B8657&amp;" from "&amp;B8658</f>
        <v>hydrogen supply, transported by pipeline, produced by Electrolysis, PEM using water and electricity from Wind (DK)</v>
      </c>
      <c r="B8683" s="53">
        <f>(B8677/B8661)/B8660*B8672</f>
        <v>2.56995248347223E-3</v>
      </c>
      <c r="C8683" t="s">
        <v>56</v>
      </c>
      <c r="E8683" t="s">
        <v>64</v>
      </c>
      <c r="F8683" t="s">
        <v>86</v>
      </c>
      <c r="G8683" t="str">
        <f>"hydrogen, gaseous, from "&amp;B8652</f>
        <v>hydrogen, gaseous, from pipeline</v>
      </c>
      <c r="H8683" t="s">
        <v>76</v>
      </c>
      <c r="I8683" t="s">
        <v>1054</v>
      </c>
      <c r="J8683" t="s">
        <v>303</v>
      </c>
      <c r="K8683" t="str">
        <f>B8638</f>
        <v>heat, residential, by combustion of hydrogen using CHP, allocated by exergy, transported by pipeline, produced by Electrolysis, PEM using water and electricity from Wind (DK)</v>
      </c>
      <c r="L8683">
        <f t="shared" si="361"/>
        <v>2</v>
      </c>
      <c r="M8683">
        <f t="shared" si="362"/>
        <v>-5.9638678691672418</v>
      </c>
      <c r="N8683">
        <v>1.05</v>
      </c>
      <c r="O8683" s="15">
        <v>1.2</v>
      </c>
      <c r="P8683">
        <v>1</v>
      </c>
      <c r="Q8683">
        <v>1.01</v>
      </c>
      <c r="R8683">
        <v>1.2</v>
      </c>
      <c r="S8683">
        <v>1.2</v>
      </c>
      <c r="T8683">
        <v>1.05</v>
      </c>
      <c r="U8683">
        <f t="shared" si="363"/>
        <v>0.16169679924070957</v>
      </c>
    </row>
    <row r="8684" spans="1:22" x14ac:dyDescent="0.2">
      <c r="A8684" t="s">
        <v>134</v>
      </c>
      <c r="B8684" s="45">
        <f>B8683*9</f>
        <v>2.3129572351250072E-2</v>
      </c>
      <c r="C8684" t="s">
        <v>56</v>
      </c>
      <c r="D8684" t="s">
        <v>100</v>
      </c>
      <c r="F8684" t="s">
        <v>99</v>
      </c>
      <c r="H8684" t="s">
        <v>131</v>
      </c>
      <c r="I8684" t="s">
        <v>1058</v>
      </c>
      <c r="K8684" t="str">
        <f>B8638</f>
        <v>heat, residential, by combustion of hydrogen using CHP, allocated by exergy, transported by pipeline, produced by Electrolysis, PEM using water and electricity from Wind (DK)</v>
      </c>
      <c r="L8684">
        <f t="shared" si="361"/>
        <v>2</v>
      </c>
      <c r="M8684">
        <f t="shared" si="362"/>
        <v>-3.7666432918310226</v>
      </c>
      <c r="N8684">
        <v>1.05</v>
      </c>
      <c r="O8684" s="15">
        <v>1.2</v>
      </c>
      <c r="P8684">
        <v>1</v>
      </c>
      <c r="Q8684">
        <v>1.01</v>
      </c>
      <c r="R8684">
        <v>1.2</v>
      </c>
      <c r="S8684">
        <v>1.2</v>
      </c>
      <c r="T8684">
        <v>1.05</v>
      </c>
      <c r="U8684">
        <f t="shared" si="363"/>
        <v>0.16169679924070957</v>
      </c>
    </row>
    <row r="8685" spans="1:22" x14ac:dyDescent="0.2">
      <c r="A8685" t="s">
        <v>135</v>
      </c>
      <c r="B8685" s="45">
        <f>912.5/1000000*B8683</f>
        <v>2.3450816411684101E-6</v>
      </c>
      <c r="C8685" t="s">
        <v>56</v>
      </c>
      <c r="D8685" t="s">
        <v>100</v>
      </c>
      <c r="F8685" t="s">
        <v>99</v>
      </c>
      <c r="H8685" t="s">
        <v>131</v>
      </c>
      <c r="I8685" t="s">
        <v>1217</v>
      </c>
      <c r="K8685" t="str">
        <f>B8638</f>
        <v>heat, residential, by combustion of hydrogen using CHP, allocated by exergy, transported by pipeline, produced by Electrolysis, PEM using water and electricity from Wind (DK)</v>
      </c>
      <c r="L8685">
        <f t="shared" si="361"/>
        <v>2</v>
      </c>
      <c r="M8685">
        <f t="shared" si="362"/>
        <v>-12.963190341674869</v>
      </c>
      <c r="N8685">
        <v>1.05</v>
      </c>
      <c r="O8685" s="15">
        <v>1.2</v>
      </c>
      <c r="P8685">
        <v>1</v>
      </c>
      <c r="Q8685">
        <v>1.01</v>
      </c>
      <c r="R8685">
        <v>1.2</v>
      </c>
      <c r="S8685">
        <v>1.2</v>
      </c>
      <c r="T8685">
        <v>1.5</v>
      </c>
      <c r="U8685">
        <f t="shared" si="363"/>
        <v>0.25816898211842121</v>
      </c>
    </row>
    <row r="8687" spans="1:22" x14ac:dyDescent="0.2">
      <c r="A8687" s="2" t="s">
        <v>50</v>
      </c>
      <c r="B8687" s="44" t="str">
        <f>IF(B8693="megajoule","heat","electricity")&amp;", residential, by "&amp;B8698&amp;" of "&amp;B8697&amp;" using "&amp;B8699&amp;IF(B8700&lt;&gt;0,", allocated by "&amp;B8700,"")&amp;", transported by "&amp;B8701&amp;", produced by "&amp;B8705&amp;" using "&amp;B8706&amp;" from "&amp;B8707</f>
        <v>heat, residential, by conversion of hydrogen using fuel cell, PEM, allocated by exergy, transported by pipeline, produced by Electrolysis, PEM using water and electricity from Wind (DK)</v>
      </c>
    </row>
    <row r="8688" spans="1:22" x14ac:dyDescent="0.2">
      <c r="A8688" t="s">
        <v>51</v>
      </c>
      <c r="B8688" s="45" t="str">
        <f>"This dataset represents the supply of 1 "&amp;IF(B8693="megajoule","megajoule of heat","kilowatt hour of electricity")&amp;" in a residence, by "&amp;B8697&amp;" "&amp;B8698&amp;" in a "&amp;B8699&amp;". "&amp;" The hydrogen is transported by "&amp;B8701&amp;" over "&amp;B8702&amp;" km from regional storage. "&amp;" The "&amp;B8697&amp;" is produced by  "&amp;B8705&amp;", with "&amp;B8706&amp;" from "&amp;B8707&amp;" as feedstock. "&amp;A8709&amp;": "&amp;(B8709*100)&amp;"%. "&amp;A8710&amp;": "&amp;B8710&amp;". "&amp;A8711&amp;": "&amp;B8711&amp;". "&amp;A8712&amp;": "&amp;(B8712*100)&amp;"%. "&amp;A8713&amp;": "&amp;(B8713*100)&amp;"%. "&amp;A8714&amp;": "&amp;(B8714*100)&amp;"%. "&amp;A8715&amp;": "&amp;B8715&amp;". "&amp;A8716&amp;": "&amp;B8716&amp;". "&amp;A8717&amp;": "&amp;(B8717*100)&amp;"%. "&amp;A8718&amp;": "&amp;B8718&amp;". "&amp;A8719&amp;": "&amp;B8719&amp;". "&amp;A8720&amp;": "&amp;B8720&amp;". "&amp;A8721&amp;": "&amp;B8721&amp;".  For more information, refer to: "&amp;B8689</f>
        <v>This dataset represents the supply of 1 megajoule of heat in a residence, by hydrogen conversion in a fuel cell, PEM.  The hydrogen is transported by pipeline over 1300 km from regional storage.  The hydrogen is produced by  Electrolysis, PEM,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8689" spans="1:2" x14ac:dyDescent="0.2">
      <c r="A8689" t="s">
        <v>63</v>
      </c>
      <c r="B8689" s="45" t="s">
        <v>1223</v>
      </c>
    </row>
    <row r="8690" spans="1:2" x14ac:dyDescent="0.2">
      <c r="A8690" t="s">
        <v>52</v>
      </c>
      <c r="B8690" s="45" t="s">
        <v>64</v>
      </c>
    </row>
    <row r="8691" spans="1:2" x14ac:dyDescent="0.2">
      <c r="A8691" t="s">
        <v>48</v>
      </c>
      <c r="B8691" s="45">
        <v>107</v>
      </c>
    </row>
    <row r="8692" spans="1:2" x14ac:dyDescent="0.2">
      <c r="A8692" t="s">
        <v>54</v>
      </c>
      <c r="B8692" s="45" t="str">
        <f>INDEX(overview!$B$4:$R$338,MATCH('hydrogen - electrolysis'!B8691,overview!$A$4:$A$338,0),MATCH('hydrogen - electrolysis'!A8692,overview!$B$3:$R$3,0))</f>
        <v>heat, from residential heating system</v>
      </c>
    </row>
    <row r="8693" spans="1:2" x14ac:dyDescent="0.2">
      <c r="A8693" t="s">
        <v>55</v>
      </c>
      <c r="B8693" s="45" t="str">
        <f>INDEX(overview!$B$4:$R$338,MATCH('hydrogen - electrolysis'!B8691,overview!$A$4:$A$338,0),MATCH('hydrogen - electrolysis'!A8693,overview!$B$3:$R$3,0))</f>
        <v>megajoule</v>
      </c>
    </row>
    <row r="8694" spans="1:2" x14ac:dyDescent="0.2">
      <c r="A8694" t="s">
        <v>0</v>
      </c>
      <c r="B8694" s="45" t="str">
        <f>INDEX(overview!$B$4:$R$338,MATCH('hydrogen - electrolysis'!B8691,overview!$A$4:$A$338,0),MATCH('hydrogen - electrolysis'!A8694,overview!$B$3:$R$3,0))</f>
        <v>Switzerland</v>
      </c>
    </row>
    <row r="8695" spans="1:2" x14ac:dyDescent="0.2">
      <c r="A8695" t="s">
        <v>1</v>
      </c>
      <c r="B8695" s="45">
        <f>INDEX(overview!$B$4:$R$338,MATCH('hydrogen - electrolysis'!B8691,overview!$A$4:$A$338,0),MATCH('hydrogen - electrolysis'!A8695,overview!$B$3:$R$3,0))</f>
        <v>2020</v>
      </c>
    </row>
    <row r="8696" spans="1:2" x14ac:dyDescent="0.2">
      <c r="A8696" t="s">
        <v>2</v>
      </c>
      <c r="B8696" s="45" t="str">
        <f>INDEX(overview!$B$4:$R$338,MATCH('hydrogen - electrolysis'!B8691,overview!$A$4:$A$338,0),MATCH('hydrogen - electrolysis'!A8696,overview!$B$3:$R$3,0))</f>
        <v>1 MJ heat</v>
      </c>
    </row>
    <row r="8697" spans="1:2" x14ac:dyDescent="0.2">
      <c r="A8697" t="s">
        <v>5</v>
      </c>
      <c r="B8697" s="45" t="str">
        <f>INDEX(overview!$B$4:$R$338,MATCH('hydrogen - electrolysis'!B8691,overview!$A$4:$A$338,0),MATCH('hydrogen - electrolysis'!A8697,overview!$B$3:$R$3,0))</f>
        <v>hydrogen</v>
      </c>
    </row>
    <row r="8698" spans="1:2" x14ac:dyDescent="0.2">
      <c r="A8698" t="s">
        <v>3</v>
      </c>
      <c r="B8698" s="45" t="str">
        <f>INDEX(overview!$B$4:$R$338,MATCH('hydrogen - electrolysis'!B8691,overview!$A$4:$A$338,0),MATCH('hydrogen - electrolysis'!A8698,overview!$B$3:$R$3,0))</f>
        <v>conversion</v>
      </c>
    </row>
    <row r="8699" spans="1:2" x14ac:dyDescent="0.2">
      <c r="A8699" t="s">
        <v>6</v>
      </c>
      <c r="B8699" s="45" t="str">
        <f>INDEX(overview!$B$4:$R$338,MATCH('hydrogen - electrolysis'!B8691,overview!$A$4:$A$338,0),MATCH('hydrogen - electrolysis'!A8699,overview!$B$3:$R$3,0))</f>
        <v>fuel cell, PEM</v>
      </c>
    </row>
    <row r="8700" spans="1:2" x14ac:dyDescent="0.2">
      <c r="A8700" t="s">
        <v>39</v>
      </c>
      <c r="B8700" s="45" t="str">
        <f>INDEX(overview!$B$4:$R$338,MATCH('hydrogen - electrolysis'!B8691,overview!$A$4:$A$338,0),MATCH('hydrogen - electrolysis'!A8700,overview!$B$3:$R$3,0))</f>
        <v>exergy</v>
      </c>
    </row>
    <row r="8701" spans="1:2" x14ac:dyDescent="0.2">
      <c r="A8701" t="s">
        <v>4</v>
      </c>
      <c r="B8701" s="45" t="str">
        <f>INDEX(overview!$B$4:$R$338,MATCH('hydrogen - electrolysis'!B8691,overview!$A$4:$A$338,0),MATCH('hydrogen - electrolysis'!A8701,overview!$B$3:$R$3,0))</f>
        <v>pipeline</v>
      </c>
    </row>
    <row r="8702" spans="1:2" x14ac:dyDescent="0.2">
      <c r="A8702" t="s">
        <v>38</v>
      </c>
      <c r="B8702" s="45">
        <f>INDEX(overview!$B$4:$R$338,MATCH('hydrogen - electrolysis'!B8691,overview!$A$4:$A$338,0),MATCH('hydrogen - electrolysis'!A8702,overview!$B$3:$R$3,0))</f>
        <v>1300</v>
      </c>
    </row>
    <row r="8703" spans="1:2" x14ac:dyDescent="0.2">
      <c r="A8703" t="s">
        <v>12</v>
      </c>
      <c r="B8703" s="45" t="str">
        <f>INDEX(overview!$B$4:$R$338,MATCH('hydrogen - electrolysis'!B8691,overview!$A$4:$A$338,0),MATCH('hydrogen - electrolysis'!A8703,overview!$B$3:$R$3,0))</f>
        <v>Pressure vessel for stationary storage</v>
      </c>
    </row>
    <row r="8704" spans="1:2" x14ac:dyDescent="0.2">
      <c r="A8704" t="s">
        <v>34</v>
      </c>
      <c r="B8704" s="45">
        <f>INDEX(overview!$B$4:$R$338,MATCH('hydrogen - electrolysis'!B8691,overview!$A$4:$A$338,0),MATCH('hydrogen - electrolysis'!A8704,overview!$B$3:$R$3,0))</f>
        <v>0</v>
      </c>
    </row>
    <row r="8705" spans="1:2" x14ac:dyDescent="0.2">
      <c r="A8705" t="s">
        <v>15</v>
      </c>
      <c r="B8705" s="45" t="str">
        <f>INDEX(overview!$B$4:$R$338,MATCH('hydrogen - electrolysis'!B8691,overview!$A$4:$A$338,0),MATCH('hydrogen - electrolysis'!A8705,overview!$B$3:$R$3,0))</f>
        <v>Electrolysis, PEM</v>
      </c>
    </row>
    <row r="8706" spans="1:2" x14ac:dyDescent="0.2">
      <c r="A8706" t="s">
        <v>14</v>
      </c>
      <c r="B8706" s="45" t="str">
        <f>INDEX(overview!$B$4:$R$338,MATCH('hydrogen - electrolysis'!B8691,overview!$A$4:$A$338,0),MATCH('hydrogen - electrolysis'!A8706,overview!$B$3:$R$3,0))</f>
        <v>water and electricity</v>
      </c>
    </row>
    <row r="8707" spans="1:2" x14ac:dyDescent="0.2">
      <c r="A8707" t="s">
        <v>26</v>
      </c>
      <c r="B8707" s="45" t="str">
        <f>INDEX(overview!$B$4:$R$338,MATCH('hydrogen - electrolysis'!B8691,overview!$A$4:$A$338,0),MATCH('hydrogen - electrolysis'!A8707,overview!$B$3:$R$3,0))</f>
        <v>Wind (DK)</v>
      </c>
    </row>
    <row r="8708" spans="1:2" x14ac:dyDescent="0.2">
      <c r="A8708" t="s">
        <v>29</v>
      </c>
      <c r="B8708" s="45">
        <f>INDEX(overview!$B$4:$R$338,MATCH('hydrogen - electrolysis'!B8691,overview!$A$4:$A$338,0),MATCH('hydrogen - electrolysis'!A8708,overview!$B$3:$R$3,0))</f>
        <v>0</v>
      </c>
    </row>
    <row r="8709" spans="1:2" x14ac:dyDescent="0.2">
      <c r="A8709" t="str">
        <f>IF(B8693="megajoule","Heat","Electricity")&amp;" conversion efficiency [% LHV input]"</f>
        <v>Heat conversion efficiency [% LHV input]</v>
      </c>
      <c r="B8709" s="46">
        <f>INDEX(parameters!$D$4:$N$20,MATCH('hydrogen - electrolysis'!B8697&amp;'hydrogen - electrolysis'!B8699,parameters!$A$4:$A$20,0),MATCH('hydrogen - electrolysis'!A8709,parameters!$D$3:$N$3,0))</f>
        <v>0.5</v>
      </c>
    </row>
    <row r="8710" spans="1:2" x14ac:dyDescent="0.2">
      <c r="A8710" t="str">
        <f>IF(B8693="megajoule","LHV [MJ/kg]","LHV [kWh/kg]")</f>
        <v>LHV [MJ/kg]</v>
      </c>
      <c r="B8710" s="47">
        <f>INDEX(parameters!$D$4:$N$20,MATCH('hydrogen - electrolysis'!B8697&amp;'hydrogen - electrolysis'!B8699,parameters!$A$4:$A$20,0),MATCH('hydrogen - electrolysis'!A8710,parameters!$D$3:$N$3,0))</f>
        <v>120</v>
      </c>
    </row>
    <row r="8711" spans="1:2" x14ac:dyDescent="0.2">
      <c r="A8711" t="s">
        <v>41</v>
      </c>
      <c r="B8711" s="48">
        <f>INDEX(parameters!$D$4:$N$20,MATCH('hydrogen - electrolysis'!B8697&amp;'hydrogen - electrolysis'!B8699,parameters!$A$4:$A$20,0),MATCH('hydrogen - electrolysis'!A8711,parameters!$D$3:$N$3,0))</f>
        <v>2.6666666666666665E-2</v>
      </c>
    </row>
    <row r="8712" spans="1:2" x14ac:dyDescent="0.2">
      <c r="A8712" t="s">
        <v>45</v>
      </c>
      <c r="B8712" s="46">
        <f>INDEX(parameters!$D$4:$N$20,MATCH('hydrogen - electrolysis'!B8697&amp;'hydrogen - electrolysis'!B8699,parameters!$A$4:$A$20,0),MATCH('hydrogen - electrolysis'!A8712,parameters!$D$3:$N$3,0))</f>
        <v>0</v>
      </c>
    </row>
    <row r="8713" spans="1:2" x14ac:dyDescent="0.2">
      <c r="A8713" t="s">
        <v>46</v>
      </c>
      <c r="B8713" s="46">
        <f>INDEX(parameters!$D$4:$N$20,MATCH('hydrogen - electrolysis'!B8697&amp;'hydrogen - electrolysis'!B8699,parameters!$A$4:$A$20,0),MATCH('hydrogen - electrolysis'!A8713,parameters!$D$3:$N$3,0))</f>
        <v>1.4999999999999999E-2</v>
      </c>
    </row>
    <row r="8714" spans="1:2" x14ac:dyDescent="0.2">
      <c r="A8714" t="s">
        <v>43</v>
      </c>
      <c r="B8714" s="46">
        <f>INDEX(parameters!$D$4:$N$20,MATCH('hydrogen - electrolysis'!B8697&amp;'hydrogen - electrolysis'!B8699,parameters!$A$4:$A$20,0),MATCH('hydrogen - electrolysis'!A8714,parameters!$D$3:$N$3,0))</f>
        <v>0</v>
      </c>
    </row>
    <row r="8715" spans="1:2" x14ac:dyDescent="0.2">
      <c r="A8715" t="s">
        <v>44</v>
      </c>
      <c r="B8715" s="46">
        <f>INDEX(parameters!$D$4:$N$20,MATCH('hydrogen - electrolysis'!B8697&amp;'hydrogen - electrolysis'!B8699,parameters!$A$4:$A$20,0),MATCH('hydrogen - electrolysis'!A8715,parameters!$D$3:$N$3,0))</f>
        <v>0</v>
      </c>
    </row>
    <row r="8716" spans="1:2" x14ac:dyDescent="0.2">
      <c r="A8716" t="s">
        <v>634</v>
      </c>
      <c r="B8716" s="51">
        <f>INDEX(parameters!$D$4:$Y$20,MATCH('hydrogen - electrolysis'!B8697&amp;'hydrogen - electrolysis'!B8699,parameters!$A$4:$A$20,0),MATCH('hydrogen - electrolysis'!A8716,parameters!$D$3:$Y$3,0))</f>
        <v>1.8947368421052633</v>
      </c>
    </row>
    <row r="8717" spans="1:2" x14ac:dyDescent="0.2">
      <c r="A8717" t="s">
        <v>82</v>
      </c>
      <c r="B8717" s="46">
        <f>IF(B8708&lt;&gt;0,VLOOKUP(B8708,parameters!A5487:B5489,2,0),0)</f>
        <v>0</v>
      </c>
    </row>
    <row r="8718" spans="1:2" x14ac:dyDescent="0.2">
      <c r="A8718" t="s">
        <v>548</v>
      </c>
      <c r="B8718" s="50">
        <f>INDEX(parameters!$D$4:$P$20,MATCH(B8697&amp;B8699,parameters!$A$4:$A$20,0),MATCH(A8718,parameters!$D$3:$P$3,0))</f>
        <v>0.8</v>
      </c>
    </row>
    <row r="8719" spans="1:2" x14ac:dyDescent="0.2">
      <c r="A8719" t="s">
        <v>547</v>
      </c>
      <c r="B8719" s="51">
        <f>INDEX(parameters!$D$4:$P$20,MATCH(B8697&amp;B8699,parameters!$A$4:$A$20,0),MATCH(A8719,parameters!$D$3:$P$3,0))</f>
        <v>4.8780487804878048</v>
      </c>
    </row>
    <row r="8720" spans="1:2" x14ac:dyDescent="0.2">
      <c r="A8720" t="s">
        <v>630</v>
      </c>
      <c r="B8720" s="51">
        <f>INDEX(parameters!$D$4:$T$20,MATCH(B8697&amp;B8699,parameters!$A$4:$A$20,0),MATCH(A8720,parameters!$D$3:$T$3,0))</f>
        <v>4100</v>
      </c>
    </row>
    <row r="8721" spans="1:22" x14ac:dyDescent="0.2">
      <c r="A8721" t="s">
        <v>1005</v>
      </c>
      <c r="B8721" s="50">
        <f>IF(B8693="megajoule",SUMIFS(allocation!$I$4:$I$30,allocation!$B$4:$B$30,B8699,allocation!$C$4:$C$30,B8700),SUMIFS(allocation!$J$4:$J$30,allocation!$B$4:$B$30,B8699,allocation!$C$4:$C$30,B8700))</f>
        <v>0.13933980798974457</v>
      </c>
    </row>
    <row r="8722" spans="1:22" x14ac:dyDescent="0.2">
      <c r="A8722" t="s">
        <v>1050</v>
      </c>
      <c r="B8722" s="51">
        <f>INDEX(parameters!$D$4:$AB$20,MATCH(B8697&amp;B8699,parameters!$A$4:$A$20,0),MATCH(A8722,parameters!$D$3:$AB$3,0))</f>
        <v>10.221606648199446</v>
      </c>
    </row>
    <row r="8724" spans="1:22" x14ac:dyDescent="0.2">
      <c r="A8724" s="3" t="s">
        <v>57</v>
      </c>
    </row>
    <row r="8725" spans="1:22" x14ac:dyDescent="0.2">
      <c r="A8725" s="2" t="s">
        <v>58</v>
      </c>
      <c r="B8725" s="44" t="s">
        <v>59</v>
      </c>
      <c r="C8725" s="2" t="s">
        <v>55</v>
      </c>
      <c r="D8725" s="2" t="s">
        <v>60</v>
      </c>
      <c r="E8725" s="2" t="s">
        <v>52</v>
      </c>
      <c r="F8725" s="2" t="s">
        <v>61</v>
      </c>
      <c r="G8725" s="2" t="s">
        <v>54</v>
      </c>
      <c r="H8725" s="2" t="s">
        <v>87</v>
      </c>
      <c r="I8725" s="2" t="s">
        <v>51</v>
      </c>
      <c r="J8725" s="2" t="s">
        <v>138</v>
      </c>
      <c r="K8725" s="2" t="s">
        <v>136</v>
      </c>
      <c r="L8725" s="2" t="s">
        <v>221</v>
      </c>
      <c r="M8725" s="2" t="s">
        <v>379</v>
      </c>
      <c r="N8725" s="2" t="s">
        <v>1059</v>
      </c>
      <c r="O8725" s="2" t="s">
        <v>1060</v>
      </c>
      <c r="P8725" s="2" t="s">
        <v>1061</v>
      </c>
      <c r="Q8725" s="2" t="s">
        <v>1062</v>
      </c>
      <c r="R8725" s="2" t="s">
        <v>1063</v>
      </c>
      <c r="S8725" s="2" t="s">
        <v>1064</v>
      </c>
      <c r="T8725" s="2" t="s">
        <v>1065</v>
      </c>
      <c r="U8725" s="2" t="s">
        <v>380</v>
      </c>
      <c r="V8725" s="2" t="s">
        <v>1128</v>
      </c>
    </row>
    <row r="8726" spans="1:22" x14ac:dyDescent="0.2">
      <c r="A8726" t="str">
        <f>B8687</f>
        <v>heat, residential, by conversion of hydrogen using fuel cell, PEM, allocated by exergy, transported by pipeline, produced by Electrolysis, PEM using water and electricity from Wind (DK)</v>
      </c>
      <c r="B8726" s="45">
        <v>1</v>
      </c>
      <c r="C8726" t="str">
        <f>B8693</f>
        <v>megajoule</v>
      </c>
      <c r="E8726" t="str">
        <f>B8690</f>
        <v>CH</v>
      </c>
      <c r="F8726" t="s">
        <v>62</v>
      </c>
      <c r="G8726" t="str">
        <f>B8692</f>
        <v>heat, from residential heating system</v>
      </c>
      <c r="K8726" t="str">
        <f>B8687</f>
        <v>heat, residential, by conversion of hydrogen using fuel cell, PEM, allocated by exergy, transported by pipeline, produced by Electrolysis, PEM using water and electricity from Wind (DK)</v>
      </c>
    </row>
    <row r="8727" spans="1:22" x14ac:dyDescent="0.2">
      <c r="A8727" t="str">
        <f>VLOOKUP(J8727,'dataset mapping'!$A$4:$E$69,2,0)</f>
        <v>fuel cell system assembly, 1 kWe, proton exchange membrane (PEM)</v>
      </c>
      <c r="B8727" s="52">
        <f>(1/(B8716*B8720*B8719*3.6))*B8721</f>
        <v>1.0213951974556892E-6</v>
      </c>
      <c r="C8727" t="str">
        <f>VLOOKUP(J8727,'dataset mapping'!$A$4:$E$69,5,0)</f>
        <v>unit</v>
      </c>
      <c r="E8727" t="str">
        <f>VLOOKUP(J8727,'dataset mapping'!$A$4:$E$69,4,0)</f>
        <v>GLO</v>
      </c>
      <c r="F8727" t="s">
        <v>86</v>
      </c>
      <c r="G8727" t="str">
        <f>VLOOKUP(J8727,'dataset mapping'!$A$4:$E$69,3,0)</f>
        <v>fuel cell system, 1 kWe, proton exchange membrane (PEM)</v>
      </c>
      <c r="H8727" t="s">
        <v>88</v>
      </c>
      <c r="I8727" t="s">
        <v>272</v>
      </c>
      <c r="J8727" t="s">
        <v>273</v>
      </c>
      <c r="K8727" t="str">
        <f>B8687</f>
        <v>heat, residential, by conversion of hydrogen using fuel cell, PEM, allocated by exergy, transported by pipeline, produced by Electrolysis, PEM using water and electricity from Wind (DK)</v>
      </c>
      <c r="L8727">
        <f t="shared" ref="L8727:L8729" si="364">IF(OR(B8727&lt;0,B8727=0),1,2)</f>
        <v>2</v>
      </c>
      <c r="M8727">
        <f t="shared" ref="M8727:M8729" si="365">IF(L8727=2,LN(B8727),"")</f>
        <v>-13.794341024667077</v>
      </c>
      <c r="N8727">
        <v>1</v>
      </c>
      <c r="O8727" s="15">
        <v>1.2</v>
      </c>
      <c r="P8727">
        <v>1</v>
      </c>
      <c r="Q8727">
        <v>1.01</v>
      </c>
      <c r="R8727">
        <v>1.2</v>
      </c>
      <c r="S8727">
        <v>1.2</v>
      </c>
      <c r="T8727">
        <v>3</v>
      </c>
      <c r="U8727">
        <f t="shared" ref="U8727:U8729" si="366">LN(SQRT(EXP(
SQRT(
+POWER(LN(N8727),2)
+POWER(LN(O8727),2)
+POWER(LN(P8727),2)
+POWER(LN(Q8727),2)
+POWER(LN(R8727),2)
+POWER(LN(S8727),2)
+POWER(LN(T8727),2)
)
)))</f>
        <v>0.57157051623399524</v>
      </c>
    </row>
    <row r="8728" spans="1:22" x14ac:dyDescent="0.2">
      <c r="A8728" s="45" t="str">
        <f>"hydrogen supply, transported by "&amp;B8701&amp;", produced by "&amp;B8705&amp;" using "&amp;B8706&amp;" from "&amp;B8707</f>
        <v>hydrogen supply, transported by pipeline, produced by Electrolysis, PEM using water and electricity from Wind (DK)</v>
      </c>
      <c r="B8728" s="53">
        <f>(B8726/B8710)/B8709*B8721</f>
        <v>2.3223301331624095E-3</v>
      </c>
      <c r="C8728" t="s">
        <v>56</v>
      </c>
      <c r="E8728" t="s">
        <v>64</v>
      </c>
      <c r="F8728" t="s">
        <v>86</v>
      </c>
      <c r="G8728" t="str">
        <f>"hydrogen, gaseous, from "&amp;B8701</f>
        <v>hydrogen, gaseous, from pipeline</v>
      </c>
      <c r="H8728" t="s">
        <v>76</v>
      </c>
      <c r="I8728" t="s">
        <v>1054</v>
      </c>
      <c r="J8728" t="s">
        <v>303</v>
      </c>
      <c r="K8728" t="str">
        <f>B8687</f>
        <v>heat, residential, by conversion of hydrogen using fuel cell, PEM, allocated by exergy, transported by pipeline, produced by Electrolysis, PEM using water and electricity from Wind (DK)</v>
      </c>
      <c r="L8728">
        <f t="shared" si="364"/>
        <v>2</v>
      </c>
      <c r="M8728">
        <f t="shared" si="365"/>
        <v>-6.0651842296013152</v>
      </c>
      <c r="N8728">
        <v>1</v>
      </c>
      <c r="O8728" s="15">
        <v>1.2</v>
      </c>
      <c r="P8728">
        <v>1</v>
      </c>
      <c r="Q8728">
        <v>1.01</v>
      </c>
      <c r="R8728">
        <v>1.2</v>
      </c>
      <c r="S8728">
        <v>1.2</v>
      </c>
      <c r="T8728">
        <v>1.05</v>
      </c>
      <c r="U8728">
        <f t="shared" si="366"/>
        <v>0.15984597228197622</v>
      </c>
    </row>
    <row r="8729" spans="1:22" x14ac:dyDescent="0.2">
      <c r="A8729" t="s">
        <v>134</v>
      </c>
      <c r="B8729" s="53">
        <f>B8728*9</f>
        <v>2.0900971198461685E-2</v>
      </c>
      <c r="C8729" t="s">
        <v>56</v>
      </c>
      <c r="D8729" t="s">
        <v>100</v>
      </c>
      <c r="F8729" t="s">
        <v>99</v>
      </c>
      <c r="H8729" t="s">
        <v>131</v>
      </c>
      <c r="I8729" t="s">
        <v>1057</v>
      </c>
      <c r="K8729" t="str">
        <f>B8687</f>
        <v>heat, residential, by conversion of hydrogen using fuel cell, PEM, allocated by exergy, transported by pipeline, produced by Electrolysis, PEM using water and electricity from Wind (DK)</v>
      </c>
      <c r="L8729">
        <f t="shared" si="364"/>
        <v>2</v>
      </c>
      <c r="M8729">
        <f t="shared" si="365"/>
        <v>-3.8679596522650961</v>
      </c>
      <c r="N8729">
        <v>1</v>
      </c>
      <c r="O8729" s="15">
        <v>1.2</v>
      </c>
      <c r="P8729">
        <v>1</v>
      </c>
      <c r="Q8729">
        <v>1.01</v>
      </c>
      <c r="R8729">
        <v>1.2</v>
      </c>
      <c r="S8729">
        <v>1.2</v>
      </c>
      <c r="T8729">
        <v>1.05</v>
      </c>
      <c r="U8729">
        <f t="shared" si="366"/>
        <v>0.15984597228197622</v>
      </c>
    </row>
    <row r="8731" spans="1:22" x14ac:dyDescent="0.2">
      <c r="A8731" s="2" t="s">
        <v>50</v>
      </c>
      <c r="B8731" s="44" t="str">
        <f>IF(B8737="megajoule","heat","electricity")&amp;", residential, by "&amp;B8742&amp;" of "&amp;B8741&amp;" using "&amp;B8743&amp;IF(B8744&lt;&gt;0,", allocated by "&amp;B8744,"")&amp;", transported by "&amp;B8745&amp;", produced by "&amp;B8749&amp;" using "&amp;B8750&amp;" from "&amp;B8751</f>
        <v>heat, residential, by conversion of hydrogen using fuel cell, SOFC, allocated by exergy, transported by pipeline, produced by Electrolysis, PEM using water and electricity from Wind (DK)</v>
      </c>
    </row>
    <row r="8732" spans="1:22" x14ac:dyDescent="0.2">
      <c r="A8732" t="s">
        <v>51</v>
      </c>
      <c r="B8732" s="45" t="str">
        <f>"This dataset represents the supply of 1 "&amp;IF(B8737="megajoule","megajoule of heat","kilowatt hour of electricity")&amp;" in a residence, by "&amp;B8741&amp;" "&amp;B8742&amp;" in a "&amp;B8743&amp;". "&amp;" The hydrogen is transported by "&amp;B8745&amp;" over "&amp;B8746&amp;" km from regional storage. "&amp;" The "&amp;B8741&amp;" is produced by  "&amp;B8749&amp;", with "&amp;B8750&amp;" from "&amp;B8751&amp;" as feedstock. "&amp;A8753&amp;": "&amp;(B8753*100)&amp;"%. "&amp;A8754&amp;": "&amp;B8754&amp;". "&amp;A8755&amp;": "&amp;B8755&amp;". "&amp;A8756&amp;": "&amp;(B8756*100)&amp;"%. "&amp;A8757&amp;": "&amp;(B8757*100)&amp;"%. "&amp;A8758&amp;": "&amp;(B8758*100)&amp;"%. "&amp;A8759&amp;": "&amp;B8759&amp;". "&amp;A8760&amp;": "&amp;B8760&amp;". "&amp;A8761&amp;": "&amp;(B8761*100)&amp;"%. "&amp;A8762&amp;": "&amp;B8762&amp;". "&amp;A8763&amp;": "&amp;B8763&amp;". "&amp;A8764&amp;": "&amp;B8764&amp;". "&amp;A8765&amp;": "&amp;B8765&amp;".  For more information, refer to: "&amp;B8733</f>
        <v>This dataset represents the supply of 1 megajoule of heat in a residence, by hydrogen conversion in a fuel cell, SOFC.  The hydrogen is transported by pipeline over 1300 km from regional storage.  The hydrogen is produced by  Electrolysis, PEM,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8733" spans="1:22" x14ac:dyDescent="0.2">
      <c r="A8733" t="s">
        <v>63</v>
      </c>
      <c r="B8733" s="45" t="s">
        <v>1223</v>
      </c>
    </row>
    <row r="8734" spans="1:22" x14ac:dyDescent="0.2">
      <c r="A8734" t="s">
        <v>52</v>
      </c>
      <c r="B8734" s="45" t="s">
        <v>64</v>
      </c>
    </row>
    <row r="8735" spans="1:22" x14ac:dyDescent="0.2">
      <c r="A8735" t="s">
        <v>48</v>
      </c>
      <c r="B8735" s="45">
        <v>108</v>
      </c>
    </row>
    <row r="8736" spans="1:22" x14ac:dyDescent="0.2">
      <c r="A8736" t="s">
        <v>54</v>
      </c>
      <c r="B8736" s="45" t="str">
        <f>INDEX(overview!$B$4:$R$338,MATCH('hydrogen - electrolysis'!B8735,overview!$A$4:$A$338,0),MATCH('hydrogen - electrolysis'!A8736,overview!$B$3:$R$3,0))</f>
        <v>heat, from residential heating system</v>
      </c>
    </row>
    <row r="8737" spans="1:2" x14ac:dyDescent="0.2">
      <c r="A8737" t="s">
        <v>55</v>
      </c>
      <c r="B8737" s="45" t="str">
        <f>INDEX(overview!$B$4:$R$338,MATCH('hydrogen - electrolysis'!B8735,overview!$A$4:$A$338,0),MATCH('hydrogen - electrolysis'!A8737,overview!$B$3:$R$3,0))</f>
        <v>megajoule</v>
      </c>
    </row>
    <row r="8738" spans="1:2" x14ac:dyDescent="0.2">
      <c r="A8738" t="s">
        <v>0</v>
      </c>
      <c r="B8738" s="45" t="str">
        <f>INDEX(overview!$B$4:$R$338,MATCH('hydrogen - electrolysis'!B8735,overview!$A$4:$A$338,0),MATCH('hydrogen - electrolysis'!A8738,overview!$B$3:$R$3,0))</f>
        <v>Switzerland</v>
      </c>
    </row>
    <row r="8739" spans="1:2" x14ac:dyDescent="0.2">
      <c r="A8739" t="s">
        <v>1</v>
      </c>
      <c r="B8739" s="45">
        <f>INDEX(overview!$B$4:$R$338,MATCH('hydrogen - electrolysis'!B8735,overview!$A$4:$A$338,0),MATCH('hydrogen - electrolysis'!A8739,overview!$B$3:$R$3,0))</f>
        <v>2020</v>
      </c>
    </row>
    <row r="8740" spans="1:2" x14ac:dyDescent="0.2">
      <c r="A8740" t="s">
        <v>2</v>
      </c>
      <c r="B8740" s="45" t="str">
        <f>INDEX(overview!$B$4:$R$338,MATCH('hydrogen - electrolysis'!B8735,overview!$A$4:$A$338,0),MATCH('hydrogen - electrolysis'!A8740,overview!$B$3:$R$3,0))</f>
        <v>1 MJ heat</v>
      </c>
    </row>
    <row r="8741" spans="1:2" x14ac:dyDescent="0.2">
      <c r="A8741" t="s">
        <v>5</v>
      </c>
      <c r="B8741" s="45" t="str">
        <f>INDEX(overview!$B$4:$R$338,MATCH('hydrogen - electrolysis'!B8735,overview!$A$4:$A$338,0),MATCH('hydrogen - electrolysis'!A8741,overview!$B$3:$R$3,0))</f>
        <v>hydrogen</v>
      </c>
    </row>
    <row r="8742" spans="1:2" x14ac:dyDescent="0.2">
      <c r="A8742" t="s">
        <v>3</v>
      </c>
      <c r="B8742" s="45" t="str">
        <f>INDEX(overview!$B$4:$R$338,MATCH('hydrogen - electrolysis'!B8735,overview!$A$4:$A$338,0),MATCH('hydrogen - electrolysis'!A8742,overview!$B$3:$R$3,0))</f>
        <v>conversion</v>
      </c>
    </row>
    <row r="8743" spans="1:2" x14ac:dyDescent="0.2">
      <c r="A8743" t="s">
        <v>6</v>
      </c>
      <c r="B8743" s="45" t="str">
        <f>INDEX(overview!$B$4:$R$338,MATCH('hydrogen - electrolysis'!B8735,overview!$A$4:$A$338,0),MATCH('hydrogen - electrolysis'!A8743,overview!$B$3:$R$3,0))</f>
        <v>fuel cell, SOFC</v>
      </c>
    </row>
    <row r="8744" spans="1:2" x14ac:dyDescent="0.2">
      <c r="A8744" t="s">
        <v>39</v>
      </c>
      <c r="B8744" s="45" t="str">
        <f>INDEX(overview!$B$4:$R$338,MATCH('hydrogen - electrolysis'!B8735,overview!$A$4:$A$338,0),MATCH('hydrogen - electrolysis'!A8744,overview!$B$3:$R$3,0))</f>
        <v>exergy</v>
      </c>
    </row>
    <row r="8745" spans="1:2" x14ac:dyDescent="0.2">
      <c r="A8745" t="s">
        <v>4</v>
      </c>
      <c r="B8745" s="45" t="str">
        <f>INDEX(overview!$B$4:$R$338,MATCH('hydrogen - electrolysis'!B8735,overview!$A$4:$A$338,0),MATCH('hydrogen - electrolysis'!A8745,overview!$B$3:$R$3,0))</f>
        <v>pipeline</v>
      </c>
    </row>
    <row r="8746" spans="1:2" x14ac:dyDescent="0.2">
      <c r="A8746" t="s">
        <v>38</v>
      </c>
      <c r="B8746" s="45">
        <f>INDEX(overview!$B$4:$R$338,MATCH('hydrogen - electrolysis'!B8735,overview!$A$4:$A$338,0),MATCH('hydrogen - electrolysis'!A8746,overview!$B$3:$R$3,0))</f>
        <v>1300</v>
      </c>
    </row>
    <row r="8747" spans="1:2" x14ac:dyDescent="0.2">
      <c r="A8747" t="s">
        <v>12</v>
      </c>
      <c r="B8747" s="45" t="str">
        <f>INDEX(overview!$B$4:$R$338,MATCH('hydrogen - electrolysis'!B8735,overview!$A$4:$A$338,0),MATCH('hydrogen - electrolysis'!A8747,overview!$B$3:$R$3,0))</f>
        <v>Pressure vessel for stationary storage</v>
      </c>
    </row>
    <row r="8748" spans="1:2" x14ac:dyDescent="0.2">
      <c r="A8748" t="s">
        <v>34</v>
      </c>
      <c r="B8748" s="45">
        <f>INDEX(overview!$B$4:$R$338,MATCH('hydrogen - electrolysis'!B8735,overview!$A$4:$A$338,0),MATCH('hydrogen - electrolysis'!A8748,overview!$B$3:$R$3,0))</f>
        <v>0</v>
      </c>
    </row>
    <row r="8749" spans="1:2" x14ac:dyDescent="0.2">
      <c r="A8749" t="s">
        <v>15</v>
      </c>
      <c r="B8749" s="45" t="str">
        <f>INDEX(overview!$B$4:$R$338,MATCH('hydrogen - electrolysis'!B8735,overview!$A$4:$A$338,0),MATCH('hydrogen - electrolysis'!A8749,overview!$B$3:$R$3,0))</f>
        <v>Electrolysis, PEM</v>
      </c>
    </row>
    <row r="8750" spans="1:2" x14ac:dyDescent="0.2">
      <c r="A8750" t="s">
        <v>14</v>
      </c>
      <c r="B8750" s="45" t="str">
        <f>INDEX(overview!$B$4:$R$338,MATCH('hydrogen - electrolysis'!B8735,overview!$A$4:$A$338,0),MATCH('hydrogen - electrolysis'!A8750,overview!$B$3:$R$3,0))</f>
        <v>water and electricity</v>
      </c>
    </row>
    <row r="8751" spans="1:2" x14ac:dyDescent="0.2">
      <c r="A8751" t="s">
        <v>26</v>
      </c>
      <c r="B8751" s="45" t="str">
        <f>INDEX(overview!$B$4:$R$338,MATCH('hydrogen - electrolysis'!B8735,overview!$A$4:$A$338,0),MATCH('hydrogen - electrolysis'!A8751,overview!$B$3:$R$3,0))</f>
        <v>Wind (DK)</v>
      </c>
    </row>
    <row r="8752" spans="1:2" x14ac:dyDescent="0.2">
      <c r="A8752" t="s">
        <v>29</v>
      </c>
      <c r="B8752" s="45">
        <f>INDEX(overview!$B$4:$R$338,MATCH('hydrogen - electrolysis'!B8735,overview!$A$4:$A$338,0),MATCH('hydrogen - electrolysis'!A8752,overview!$B$3:$R$3,0))</f>
        <v>0</v>
      </c>
    </row>
    <row r="8753" spans="1:4" x14ac:dyDescent="0.2">
      <c r="A8753" t="str">
        <f>IF(B8737="megajoule","Heat","Electricity")&amp;" conversion efficiency [% LHV input]"</f>
        <v>Heat conversion efficiency [% LHV input]</v>
      </c>
      <c r="B8753" s="46">
        <f>INDEX(parameters!$D$4:$N$20,MATCH('hydrogen - electrolysis'!B8741&amp;'hydrogen - electrolysis'!B8743,parameters!$A$4:$A$20,0),MATCH('hydrogen - electrolysis'!A8753,parameters!$D$3:$N$3,0))</f>
        <v>0.53</v>
      </c>
    </row>
    <row r="8754" spans="1:4" x14ac:dyDescent="0.2">
      <c r="A8754" t="str">
        <f>IF(B8737="megajoule","LHV [MJ/kg]","LHV [kWh/kg]")</f>
        <v>LHV [MJ/kg]</v>
      </c>
      <c r="B8754" s="47">
        <f>INDEX(parameters!$D$4:$N$20,MATCH('hydrogen - electrolysis'!B8741&amp;'hydrogen - electrolysis'!B8743,parameters!$A$4:$A$20,0),MATCH('hydrogen - electrolysis'!A8754,parameters!$D$3:$N$3,0))</f>
        <v>120</v>
      </c>
    </row>
    <row r="8755" spans="1:4" x14ac:dyDescent="0.2">
      <c r="A8755" t="s">
        <v>41</v>
      </c>
      <c r="B8755" s="48">
        <f>INDEX(parameters!$D$4:$N$20,MATCH('hydrogen - electrolysis'!B8741&amp;'hydrogen - electrolysis'!B8743,parameters!$A$4:$A$20,0),MATCH('hydrogen - electrolysis'!A8755,parameters!$D$3:$N$3,0))</f>
        <v>2.6666666666666665E-2</v>
      </c>
    </row>
    <row r="8756" spans="1:4" x14ac:dyDescent="0.2">
      <c r="A8756" t="s">
        <v>45</v>
      </c>
      <c r="B8756" s="46">
        <f>INDEX(parameters!$D$4:$N$20,MATCH('hydrogen - electrolysis'!B8741&amp;'hydrogen - electrolysis'!B8743,parameters!$A$4:$A$20,0),MATCH('hydrogen - electrolysis'!A8756,parameters!$D$3:$N$3,0))</f>
        <v>0</v>
      </c>
    </row>
    <row r="8757" spans="1:4" x14ac:dyDescent="0.2">
      <c r="A8757" t="s">
        <v>46</v>
      </c>
      <c r="B8757" s="46">
        <f>INDEX(parameters!$D$4:$N$20,MATCH('hydrogen - electrolysis'!B8741&amp;'hydrogen - electrolysis'!B8743,parameters!$A$4:$A$20,0),MATCH('hydrogen - electrolysis'!A8757,parameters!$D$3:$N$3,0))</f>
        <v>1.4999999999999999E-2</v>
      </c>
    </row>
    <row r="8758" spans="1:4" x14ac:dyDescent="0.2">
      <c r="A8758" t="s">
        <v>43</v>
      </c>
      <c r="B8758" s="46">
        <f>INDEX(parameters!$D$4:$N$20,MATCH('hydrogen - electrolysis'!B8741&amp;'hydrogen - electrolysis'!B8743,parameters!$A$4:$A$20,0),MATCH('hydrogen - electrolysis'!A8758,parameters!$D$3:$N$3,0))</f>
        <v>0</v>
      </c>
    </row>
    <row r="8759" spans="1:4" x14ac:dyDescent="0.2">
      <c r="A8759" t="s">
        <v>44</v>
      </c>
      <c r="B8759" s="46">
        <f>INDEX(parameters!$D$4:$N$20,MATCH('hydrogen - electrolysis'!B8741&amp;'hydrogen - electrolysis'!B8743,parameters!$A$4:$A$20,0),MATCH('hydrogen - electrolysis'!A8759,parameters!$D$3:$N$3,0))</f>
        <v>0</v>
      </c>
    </row>
    <row r="8760" spans="1:4" x14ac:dyDescent="0.2">
      <c r="A8760" t="s">
        <v>634</v>
      </c>
      <c r="B8760" s="51">
        <f>INDEX(parameters!$D$4:$Y$20,MATCH('hydrogen - electrolysis'!B8741&amp;'hydrogen - electrolysis'!B8743,parameters!$A$4:$A$20,0),MATCH('hydrogen - electrolysis'!A8760,parameters!$D$3:$Y$3,0))</f>
        <v>225</v>
      </c>
      <c r="D8760" s="8"/>
    </row>
    <row r="8761" spans="1:4" x14ac:dyDescent="0.2">
      <c r="A8761" t="s">
        <v>82</v>
      </c>
      <c r="B8761" s="46">
        <f>IF(B8752&lt;&gt;0,VLOOKUP(B8752,parameters!A5536:B5538,2,0),0)</f>
        <v>0</v>
      </c>
    </row>
    <row r="8762" spans="1:4" x14ac:dyDescent="0.2">
      <c r="A8762" t="s">
        <v>548</v>
      </c>
      <c r="B8762" s="50">
        <f>INDEX(parameters!$D$4:$P$20,MATCH(B8741&amp;B8743,parameters!$A$4:$A$20,0),MATCH(A8762,parameters!$D$3:$P$3,0))</f>
        <v>100</v>
      </c>
    </row>
    <row r="8763" spans="1:4" x14ac:dyDescent="0.2">
      <c r="A8763" t="s">
        <v>547</v>
      </c>
      <c r="B8763" s="51">
        <f>INDEX(parameters!$D$4:$P$20,MATCH(B8741&amp;B8743,parameters!$A$4:$A$20,0),MATCH(A8763,parameters!$D$3:$P$3,0))</f>
        <v>6</v>
      </c>
    </row>
    <row r="8764" spans="1:4" x14ac:dyDescent="0.2">
      <c r="A8764" t="s">
        <v>630</v>
      </c>
      <c r="B8764" s="51">
        <f>INDEX(parameters!$D$4:$T$20,MATCH(B8741&amp;B8743,parameters!$A$4:$A$20,0),MATCH(A8764,parameters!$D$3:$T$3,0))</f>
        <v>4100</v>
      </c>
    </row>
    <row r="8765" spans="1:4" x14ac:dyDescent="0.2">
      <c r="A8765" t="s">
        <v>1005</v>
      </c>
      <c r="B8765" s="50">
        <f>IF(B8737="megajoule",SUMIFS(allocation!$I$4:$I$30,allocation!$B$4:$B$30,B8743,allocation!$C$4:$C$30,B8744),SUMIFS(allocation!$J$4:$J$30,allocation!$B$4:$B$30,B8743,allocation!$C$4:$C$30,B8744))</f>
        <v>0.13587506510399097</v>
      </c>
    </row>
    <row r="8766" spans="1:4" x14ac:dyDescent="0.2">
      <c r="A8766" t="s">
        <v>1050</v>
      </c>
      <c r="B8766" s="51">
        <f>INDEX(parameters!$D$4:$AB$20,MATCH(B8741&amp;B8743,parameters!$A$4:$A$20,0),MATCH(A8766,parameters!$D$3:$AB$3,0))</f>
        <v>1153.1249999999998</v>
      </c>
    </row>
    <row r="8768" spans="1:4" x14ac:dyDescent="0.2">
      <c r="A8768" s="3" t="s">
        <v>57</v>
      </c>
    </row>
    <row r="8769" spans="1:22" x14ac:dyDescent="0.2">
      <c r="A8769" s="2" t="s">
        <v>58</v>
      </c>
      <c r="B8769" s="44" t="s">
        <v>59</v>
      </c>
      <c r="C8769" s="2" t="s">
        <v>55</v>
      </c>
      <c r="D8769" s="2" t="s">
        <v>60</v>
      </c>
      <c r="E8769" s="2" t="s">
        <v>52</v>
      </c>
      <c r="F8769" s="2" t="s">
        <v>61</v>
      </c>
      <c r="G8769" s="2" t="s">
        <v>54</v>
      </c>
      <c r="H8769" s="2" t="s">
        <v>87</v>
      </c>
      <c r="I8769" s="2" t="s">
        <v>51</v>
      </c>
      <c r="J8769" s="2" t="s">
        <v>138</v>
      </c>
      <c r="K8769" s="2" t="s">
        <v>136</v>
      </c>
      <c r="L8769" s="2" t="s">
        <v>221</v>
      </c>
      <c r="M8769" s="2" t="s">
        <v>379</v>
      </c>
      <c r="N8769" s="2" t="s">
        <v>1059</v>
      </c>
      <c r="O8769" s="2" t="s">
        <v>1060</v>
      </c>
      <c r="P8769" s="2" t="s">
        <v>1061</v>
      </c>
      <c r="Q8769" s="2" t="s">
        <v>1062</v>
      </c>
      <c r="R8769" s="2" t="s">
        <v>1063</v>
      </c>
      <c r="S8769" s="2" t="s">
        <v>1064</v>
      </c>
      <c r="T8769" s="2" t="s">
        <v>1065</v>
      </c>
      <c r="U8769" s="2" t="s">
        <v>380</v>
      </c>
      <c r="V8769" s="2" t="s">
        <v>1128</v>
      </c>
    </row>
    <row r="8770" spans="1:22" x14ac:dyDescent="0.2">
      <c r="A8770" t="str">
        <f>B8731</f>
        <v>heat, residential, by conversion of hydrogen using fuel cell, SOFC, allocated by exergy, transported by pipeline, produced by Electrolysis, PEM using water and electricity from Wind (DK)</v>
      </c>
      <c r="B8770" s="45">
        <v>1</v>
      </c>
      <c r="C8770" t="str">
        <f>B8737</f>
        <v>megajoule</v>
      </c>
      <c r="E8770" t="str">
        <f>B8734</f>
        <v>CH</v>
      </c>
      <c r="F8770" t="s">
        <v>62</v>
      </c>
      <c r="G8770" t="str">
        <f>B8736</f>
        <v>heat, from residential heating system</v>
      </c>
      <c r="K8770" t="str">
        <f>B8731</f>
        <v>heat, residential, by conversion of hydrogen using fuel cell, SOFC, allocated by exergy, transported by pipeline, produced by Electrolysis, PEM using water and electricity from Wind (DK)</v>
      </c>
    </row>
    <row r="8771" spans="1:22" x14ac:dyDescent="0.2">
      <c r="A8771" t="str">
        <f>VLOOKUP(J8771,'dataset mapping'!$A$4:$E$69,2,0)</f>
        <v>fuel cell production, stack solid oxide, 125kW electrical, future</v>
      </c>
      <c r="B8771" s="52">
        <f>(1/(B8760*B8764*B8763*3.6))*B8765</f>
        <v>6.8189834941278219E-9</v>
      </c>
      <c r="C8771" t="str">
        <f>VLOOKUP(J8771,'dataset mapping'!$A$4:$E$69,5,0)</f>
        <v>unit</v>
      </c>
      <c r="E8771" t="str">
        <f>VLOOKUP(J8771,'dataset mapping'!$A$4:$E$69,4,0)</f>
        <v>CH</v>
      </c>
      <c r="F8771" t="s">
        <v>86</v>
      </c>
      <c r="G8771" t="str">
        <f>VLOOKUP(J8771,'dataset mapping'!$A$4:$E$69,3,0)</f>
        <v>fuel cell, stack solid oxide, 125kW electrical, future</v>
      </c>
      <c r="H8771" t="s">
        <v>88</v>
      </c>
      <c r="I8771" t="s">
        <v>277</v>
      </c>
      <c r="J8771" t="s">
        <v>274</v>
      </c>
      <c r="K8771" t="str">
        <f>B8731</f>
        <v>heat, residential, by conversion of hydrogen using fuel cell, SOFC, allocated by exergy, transported by pipeline, produced by Electrolysis, PEM using water and electricity from Wind (DK)</v>
      </c>
      <c r="L8771">
        <f t="shared" ref="L8771:L8775" si="367">IF(OR(B8771&lt;0,B8771=0),1,2)</f>
        <v>2</v>
      </c>
      <c r="M8771">
        <f t="shared" ref="M8771:M8775" si="368">IF(L8771=2,LN(B8771),"")</f>
        <v>-18.80355542398161</v>
      </c>
      <c r="N8771">
        <v>1</v>
      </c>
      <c r="O8771" s="15">
        <v>1.2</v>
      </c>
      <c r="P8771">
        <v>1</v>
      </c>
      <c r="Q8771">
        <v>1.01</v>
      </c>
      <c r="R8771">
        <v>1.2</v>
      </c>
      <c r="S8771">
        <v>1.2</v>
      </c>
      <c r="T8771">
        <v>3</v>
      </c>
      <c r="U8771">
        <f t="shared" ref="U8771:U8775" si="369">LN(SQRT(EXP(
SQRT(
+POWER(LN(N8771),2)
+POWER(LN(O8771),2)
+POWER(LN(P8771),2)
+POWER(LN(Q8771),2)
+POWER(LN(R8771),2)
+POWER(LN(S8771),2)
+POWER(LN(T8771),2)
)
)))</f>
        <v>0.57157051623399524</v>
      </c>
    </row>
    <row r="8772" spans="1:22" x14ac:dyDescent="0.2">
      <c r="A8772" t="s">
        <v>283</v>
      </c>
      <c r="B8772" s="52">
        <f>(1/(B8760*B8764*B8763*3.6))*B8765</f>
        <v>6.8189834941278219E-9</v>
      </c>
      <c r="C8772" t="s">
        <v>55</v>
      </c>
      <c r="E8772" t="s">
        <v>64</v>
      </c>
      <c r="F8772" t="s">
        <v>86</v>
      </c>
      <c r="G8772" t="s">
        <v>284</v>
      </c>
      <c r="H8772" t="s">
        <v>88</v>
      </c>
      <c r="I8772" t="s">
        <v>277</v>
      </c>
      <c r="K8772" t="str">
        <f>B8731</f>
        <v>heat, residential, by conversion of hydrogen using fuel cell, SOFC, allocated by exergy, transported by pipeline, produced by Electrolysis, PEM using water and electricity from Wind (DK)</v>
      </c>
      <c r="L8772">
        <f t="shared" si="367"/>
        <v>2</v>
      </c>
      <c r="M8772">
        <f t="shared" si="368"/>
        <v>-18.80355542398161</v>
      </c>
      <c r="N8772">
        <v>1</v>
      </c>
      <c r="O8772" s="15">
        <v>1.2</v>
      </c>
      <c r="P8772">
        <v>1</v>
      </c>
      <c r="Q8772">
        <v>1.01</v>
      </c>
      <c r="R8772">
        <v>1.2</v>
      </c>
      <c r="S8772">
        <v>1.2</v>
      </c>
      <c r="T8772">
        <v>3</v>
      </c>
      <c r="U8772">
        <f t="shared" si="369"/>
        <v>0.57157051623399524</v>
      </c>
    </row>
    <row r="8773" spans="1:22" x14ac:dyDescent="0.2">
      <c r="A8773" t="s">
        <v>288</v>
      </c>
      <c r="B8773" s="52">
        <f>0.000024*B8765</f>
        <v>3.2610015624957834E-6</v>
      </c>
      <c r="C8773" t="s">
        <v>56</v>
      </c>
      <c r="E8773" t="s">
        <v>64</v>
      </c>
      <c r="F8773" t="s">
        <v>86</v>
      </c>
      <c r="G8773" t="s">
        <v>287</v>
      </c>
      <c r="H8773" t="s">
        <v>88</v>
      </c>
      <c r="K8773" t="str">
        <f>B8731</f>
        <v>heat, residential, by conversion of hydrogen using fuel cell, SOFC, allocated by exergy, transported by pipeline, produced by Electrolysis, PEM using water and electricity from Wind (DK)</v>
      </c>
      <c r="L8773">
        <f t="shared" si="367"/>
        <v>2</v>
      </c>
      <c r="M8773">
        <f t="shared" si="368"/>
        <v>-12.633476182011</v>
      </c>
      <c r="N8773">
        <v>1</v>
      </c>
      <c r="O8773" s="15">
        <v>1.2</v>
      </c>
      <c r="P8773">
        <v>1</v>
      </c>
      <c r="Q8773">
        <v>1.01</v>
      </c>
      <c r="R8773">
        <v>1.2</v>
      </c>
      <c r="S8773">
        <v>1.2</v>
      </c>
      <c r="T8773">
        <v>1.05</v>
      </c>
      <c r="U8773">
        <f t="shared" si="369"/>
        <v>0.15984597228197622</v>
      </c>
    </row>
    <row r="8774" spans="1:22" x14ac:dyDescent="0.2">
      <c r="A8774" s="45" t="str">
        <f>"hydrogen supply, transported by "&amp;B8745&amp;", produced by "&amp;B8749&amp;" using "&amp;B8750&amp;" from "&amp;B8751</f>
        <v>hydrogen supply, transported by pipeline, produced by Electrolysis, PEM using water and electricity from Wind (DK)</v>
      </c>
      <c r="B8774" s="53">
        <f>(B8770/B8754)/B8753*B8765</f>
        <v>2.1364003947168392E-3</v>
      </c>
      <c r="C8774" t="s">
        <v>56</v>
      </c>
      <c r="E8774" t="s">
        <v>64</v>
      </c>
      <c r="F8774" t="s">
        <v>86</v>
      </c>
      <c r="G8774" t="str">
        <f>"hydrogen, gaseous, from "&amp;B8745</f>
        <v>hydrogen, gaseous, from pipeline</v>
      </c>
      <c r="H8774" t="s">
        <v>76</v>
      </c>
      <c r="I8774" t="s">
        <v>1054</v>
      </c>
      <c r="J8774" t="s">
        <v>303</v>
      </c>
      <c r="K8774" t="str">
        <f>B8731</f>
        <v>heat, residential, by conversion of hydrogen using fuel cell, SOFC, allocated by exergy, transported by pipeline, produced by Electrolysis, PEM using water and electricity from Wind (DK)</v>
      </c>
      <c r="L8774">
        <f t="shared" si="367"/>
        <v>2</v>
      </c>
      <c r="M8774">
        <f t="shared" si="368"/>
        <v>-6.1486329247407472</v>
      </c>
      <c r="N8774">
        <v>1</v>
      </c>
      <c r="O8774" s="15">
        <v>1.2</v>
      </c>
      <c r="P8774">
        <v>1</v>
      </c>
      <c r="Q8774">
        <v>1.01</v>
      </c>
      <c r="R8774">
        <v>1.2</v>
      </c>
      <c r="S8774">
        <v>1.2</v>
      </c>
      <c r="T8774">
        <v>1.05</v>
      </c>
      <c r="U8774">
        <f t="shared" si="369"/>
        <v>0.15984597228197622</v>
      </c>
    </row>
    <row r="8775" spans="1:22" x14ac:dyDescent="0.2">
      <c r="A8775" t="s">
        <v>134</v>
      </c>
      <c r="B8775" s="45">
        <f>B8774*9</f>
        <v>1.9227603552451553E-2</v>
      </c>
      <c r="C8775" t="s">
        <v>56</v>
      </c>
      <c r="D8775" t="s">
        <v>100</v>
      </c>
      <c r="F8775" t="s">
        <v>99</v>
      </c>
      <c r="H8775" t="s">
        <v>131</v>
      </c>
      <c r="I8775" t="s">
        <v>1057</v>
      </c>
      <c r="K8775" t="str">
        <f>B8731</f>
        <v>heat, residential, by conversion of hydrogen using fuel cell, SOFC, allocated by exergy, transported by pipeline, produced by Electrolysis, PEM using water and electricity from Wind (DK)</v>
      </c>
      <c r="L8775">
        <f t="shared" si="367"/>
        <v>2</v>
      </c>
      <c r="M8775">
        <f t="shared" si="368"/>
        <v>-3.9514083474045276</v>
      </c>
      <c r="N8775">
        <v>1</v>
      </c>
      <c r="O8775" s="15">
        <v>1.2</v>
      </c>
      <c r="P8775">
        <v>1</v>
      </c>
      <c r="Q8775">
        <v>1.01</v>
      </c>
      <c r="R8775">
        <v>1.2</v>
      </c>
      <c r="S8775">
        <v>1.2</v>
      </c>
      <c r="T8775">
        <v>1.05</v>
      </c>
      <c r="U8775">
        <f t="shared" si="369"/>
        <v>0.15984597228197622</v>
      </c>
    </row>
    <row r="8777" spans="1:22" x14ac:dyDescent="0.2">
      <c r="A8777" s="2" t="s">
        <v>50</v>
      </c>
      <c r="B8777" s="44" t="str">
        <f>IF(B8783="megajoule","heat","electricity")&amp;", residential, by "&amp;B8788&amp;" of "&amp;B8787&amp;" using "&amp;B8789&amp;IF(B8790&lt;&gt;0,", allocated by "&amp;B8790,"")&amp;", transported by "&amp;B8791&amp;", produced by "&amp;B8795&amp;" using "&amp;B8796&amp;" from "&amp;B8797</f>
        <v>electricity, residential, by combustion of hydrogen using CHP, allocated by exergy, transported by pipeline, produced by Electrolysis, PEM using water and electricity from Wind (DK)</v>
      </c>
    </row>
    <row r="8778" spans="1:22" x14ac:dyDescent="0.2">
      <c r="A8778" t="s">
        <v>51</v>
      </c>
      <c r="B8778" s="45" t="str">
        <f>"This dataset represents the supply of 1 "&amp;IF(B8783="megajoule","megajoule of heat","kilowatt hour of electricity")&amp;" in a residence, by "&amp;B8787&amp;" "&amp;B8788&amp;" in a "&amp;B8789&amp;". "&amp;" The hydrogen is transported by "&amp;B8791&amp;" over "&amp;B8792&amp;" km from regional storage. "&amp;" The "&amp;B8787&amp;" is produced by  "&amp;B8795&amp;", with "&amp;B8796&amp;" from "&amp;B8797&amp;" as feedstock. "&amp;A8799&amp;": "&amp;(B8799*100)&amp;"%. "&amp;A8800&amp;": "&amp;B8800&amp;". "&amp;A8801&amp;": "&amp;B8801&amp;". "&amp;A8802&amp;": "&amp;(B8802*100)&amp;"%. "&amp;A8803&amp;": "&amp;(B8803*100)&amp;"%. "&amp;A8804&amp;": "&amp;(B8804*100)&amp;"%. "&amp;A8805&amp;": "&amp;B8805&amp;". "&amp;A8806&amp;": "&amp;B8806&amp;". "&amp;A8807&amp;": "&amp;(B8807*100)&amp;"%. "&amp;A8808&amp;": "&amp;B8808&amp;". "&amp;A8809&amp;": "&amp;B8809&amp;". "&amp;A8810&amp;": "&amp;B8810&amp;". "&amp;A8811&amp;": "&amp;B8811&amp;".  For more information, refer to: "&amp;B8779</f>
        <v>This dataset represents the supply of 1 kilowatt hour of electricity in a residence, by hydrogen combustion in a CHP.  The hydrogen is transported by pipeline over 1300 km from regional storage.  The hydrogen is produced by  Electrolysis, PEM,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8779" spans="1:22" x14ac:dyDescent="0.2">
      <c r="A8779" t="s">
        <v>63</v>
      </c>
      <c r="B8779" s="45" t="s">
        <v>1223</v>
      </c>
    </row>
    <row r="8780" spans="1:22" x14ac:dyDescent="0.2">
      <c r="A8780" t="s">
        <v>52</v>
      </c>
      <c r="B8780" s="45" t="s">
        <v>64</v>
      </c>
    </row>
    <row r="8781" spans="1:22" x14ac:dyDescent="0.2">
      <c r="A8781" t="s">
        <v>48</v>
      </c>
      <c r="B8781" s="45" t="s">
        <v>943</v>
      </c>
    </row>
    <row r="8782" spans="1:22" x14ac:dyDescent="0.2">
      <c r="A8782" t="s">
        <v>54</v>
      </c>
      <c r="B8782" s="45" t="str">
        <f>INDEX(overview!$B$4:$R$338,MATCH('hydrogen - electrolysis'!B8781,overview!$A$4:$A$338,0),MATCH('hydrogen - electrolysis'!A8782,overview!$B$3:$R$3,0))</f>
        <v>electricity, from residential heating system</v>
      </c>
    </row>
    <row r="8783" spans="1:22" x14ac:dyDescent="0.2">
      <c r="A8783" t="s">
        <v>55</v>
      </c>
      <c r="B8783" s="45" t="str">
        <f>INDEX(overview!$B$4:$R$338,MATCH('hydrogen - electrolysis'!B8781,overview!$A$4:$A$338,0),MATCH('hydrogen - electrolysis'!A8783,overview!$B$3:$R$3,0))</f>
        <v>kilowatt hour</v>
      </c>
    </row>
    <row r="8784" spans="1:22" x14ac:dyDescent="0.2">
      <c r="A8784" t="s">
        <v>0</v>
      </c>
      <c r="B8784" s="45" t="str">
        <f>INDEX(overview!$B$4:$R$338,MATCH('hydrogen - electrolysis'!B8781,overview!$A$4:$A$338,0),MATCH('hydrogen - electrolysis'!A8784,overview!$B$3:$R$3,0))</f>
        <v>Switzerland</v>
      </c>
    </row>
    <row r="8785" spans="1:2" x14ac:dyDescent="0.2">
      <c r="A8785" t="s">
        <v>1</v>
      </c>
      <c r="B8785" s="45">
        <f>INDEX(overview!$B$4:$R$338,MATCH('hydrogen - electrolysis'!B8781,overview!$A$4:$A$338,0),MATCH('hydrogen - electrolysis'!A8785,overview!$B$3:$R$3,0))</f>
        <v>2020</v>
      </c>
    </row>
    <row r="8786" spans="1:2" x14ac:dyDescent="0.2">
      <c r="A8786" t="s">
        <v>2</v>
      </c>
      <c r="B8786" s="45" t="str">
        <f>INDEX(overview!$B$4:$R$338,MATCH('hydrogen - electrolysis'!B8781,overview!$A$4:$A$338,0),MATCH('hydrogen - electrolysis'!A8786,overview!$B$3:$R$3,0))</f>
        <v>1 kWh electricity</v>
      </c>
    </row>
    <row r="8787" spans="1:2" x14ac:dyDescent="0.2">
      <c r="A8787" t="s">
        <v>5</v>
      </c>
      <c r="B8787" s="45" t="str">
        <f>INDEX(overview!$B$4:$R$338,MATCH('hydrogen - electrolysis'!B8781,overview!$A$4:$A$338,0),MATCH('hydrogen - electrolysis'!A8787,overview!$B$3:$R$3,0))</f>
        <v>hydrogen</v>
      </c>
    </row>
    <row r="8788" spans="1:2" x14ac:dyDescent="0.2">
      <c r="A8788" t="s">
        <v>3</v>
      </c>
      <c r="B8788" s="45" t="str">
        <f>INDEX(overview!$B$4:$R$338,MATCH('hydrogen - electrolysis'!B8781,overview!$A$4:$A$338,0),MATCH('hydrogen - electrolysis'!A8788,overview!$B$3:$R$3,0))</f>
        <v>combustion</v>
      </c>
    </row>
    <row r="8789" spans="1:2" x14ac:dyDescent="0.2">
      <c r="A8789" t="s">
        <v>6</v>
      </c>
      <c r="B8789" s="45" t="str">
        <f>INDEX(overview!$B$4:$R$338,MATCH('hydrogen - electrolysis'!B8781,overview!$A$4:$A$338,0),MATCH('hydrogen - electrolysis'!A8789,overview!$B$3:$R$3,0))</f>
        <v>CHP</v>
      </c>
    </row>
    <row r="8790" spans="1:2" x14ac:dyDescent="0.2">
      <c r="A8790" t="s">
        <v>39</v>
      </c>
      <c r="B8790" s="45" t="str">
        <f>INDEX(overview!$B$4:$R$338,MATCH('hydrogen - electrolysis'!B8781,overview!$A$4:$A$338,0),MATCH('hydrogen - electrolysis'!A8790,overview!$B$3:$R$3,0))</f>
        <v>exergy</v>
      </c>
    </row>
    <row r="8791" spans="1:2" x14ac:dyDescent="0.2">
      <c r="A8791" t="s">
        <v>4</v>
      </c>
      <c r="B8791" s="45" t="str">
        <f>INDEX(overview!$B$4:$R$338,MATCH('hydrogen - electrolysis'!B8781,overview!$A$4:$A$338,0),MATCH('hydrogen - electrolysis'!A8791,overview!$B$3:$R$3,0))</f>
        <v>pipeline</v>
      </c>
    </row>
    <row r="8792" spans="1:2" x14ac:dyDescent="0.2">
      <c r="A8792" t="s">
        <v>38</v>
      </c>
      <c r="B8792" s="45">
        <f>INDEX(overview!$B$4:$R$338,MATCH('hydrogen - electrolysis'!B8781,overview!$A$4:$A$338,0),MATCH('hydrogen - electrolysis'!A8792,overview!$B$3:$R$3,0))</f>
        <v>1300</v>
      </c>
    </row>
    <row r="8793" spans="1:2" x14ac:dyDescent="0.2">
      <c r="A8793" t="s">
        <v>12</v>
      </c>
      <c r="B8793" s="45" t="str">
        <f>INDEX(overview!$B$4:$R$338,MATCH('hydrogen - electrolysis'!B8781,overview!$A$4:$A$338,0),MATCH('hydrogen - electrolysis'!A8793,overview!$B$3:$R$3,0))</f>
        <v>Pressure vessel for stationary storage</v>
      </c>
    </row>
    <row r="8794" spans="1:2" x14ac:dyDescent="0.2">
      <c r="A8794" t="s">
        <v>34</v>
      </c>
      <c r="B8794" s="45">
        <f>INDEX(overview!$B$4:$R$338,MATCH('hydrogen - electrolysis'!B8781,overview!$A$4:$A$338,0),MATCH('hydrogen - electrolysis'!A8794,overview!$B$3:$R$3,0))</f>
        <v>0</v>
      </c>
    </row>
    <row r="8795" spans="1:2" x14ac:dyDescent="0.2">
      <c r="A8795" t="s">
        <v>15</v>
      </c>
      <c r="B8795" s="45" t="str">
        <f>INDEX(overview!$B$4:$R$338,MATCH('hydrogen - electrolysis'!B8781,overview!$A$4:$A$338,0),MATCH('hydrogen - electrolysis'!A8795,overview!$B$3:$R$3,0))</f>
        <v>Electrolysis, PEM</v>
      </c>
    </row>
    <row r="8796" spans="1:2" x14ac:dyDescent="0.2">
      <c r="A8796" t="s">
        <v>14</v>
      </c>
      <c r="B8796" s="45" t="str">
        <f>INDEX(overview!$B$4:$R$338,MATCH('hydrogen - electrolysis'!B8781,overview!$A$4:$A$338,0),MATCH('hydrogen - electrolysis'!A8796,overview!$B$3:$R$3,0))</f>
        <v>water and electricity</v>
      </c>
    </row>
    <row r="8797" spans="1:2" x14ac:dyDescent="0.2">
      <c r="A8797" t="s">
        <v>26</v>
      </c>
      <c r="B8797" s="45" t="str">
        <f>INDEX(overview!$B$4:$R$338,MATCH('hydrogen - electrolysis'!B8781,overview!$A$4:$A$338,0),MATCH('hydrogen - electrolysis'!A8797,overview!$B$3:$R$3,0))</f>
        <v>Wind (DK)</v>
      </c>
    </row>
    <row r="8798" spans="1:2" x14ac:dyDescent="0.2">
      <c r="A8798" t="s">
        <v>29</v>
      </c>
      <c r="B8798" s="45">
        <f>INDEX(overview!$B$4:$R$338,MATCH('hydrogen - electrolysis'!B8781,overview!$A$4:$A$338,0),MATCH('hydrogen - electrolysis'!A8798,overview!$B$3:$R$3,0))</f>
        <v>0</v>
      </c>
    </row>
    <row r="8799" spans="1:2" x14ac:dyDescent="0.2">
      <c r="A8799" t="str">
        <f>IF(B8783="megajoule","Heat","Electricity")&amp;" conversion efficiency [% LHV input]"</f>
        <v>Electricity conversion efficiency [% LHV input]</v>
      </c>
      <c r="B8799" s="46">
        <f>INDEX(parameters!$D$4:$N$20,MATCH('hydrogen - electrolysis'!B8787&amp;'hydrogen - electrolysis'!B8789,parameters!$A$4:$A$20,0),MATCH('hydrogen - electrolysis'!A8799,parameters!$D$3:$N$3,0))</f>
        <v>0.39400000000000002</v>
      </c>
    </row>
    <row r="8800" spans="1:2" x14ac:dyDescent="0.2">
      <c r="A8800" t="str">
        <f>IF(B8783="megajoule","LHV [MJ/kg]","LHV [kWh/kg]")</f>
        <v>LHV [kWh/kg]</v>
      </c>
      <c r="B8800" s="47">
        <f>INDEX(parameters!$D$4:$N$20,MATCH('hydrogen - electrolysis'!B8787&amp;'hydrogen - electrolysis'!B8789,parameters!$A$4:$A$20,0),MATCH('hydrogen - electrolysis'!A8800,parameters!$D$3:$N$3,0))</f>
        <v>33.333333333333336</v>
      </c>
    </row>
    <row r="8801" spans="1:22" x14ac:dyDescent="0.2">
      <c r="A8801" t="s">
        <v>41</v>
      </c>
      <c r="B8801" s="48">
        <f>INDEX(parameters!$D$4:$N$20,MATCH('hydrogen - electrolysis'!B8787&amp;'hydrogen - electrolysis'!B8789,parameters!$A$4:$A$20,0),MATCH('hydrogen - electrolysis'!A8801,parameters!$D$3:$N$3,0))</f>
        <v>2.6666666666666665E-2</v>
      </c>
    </row>
    <row r="8802" spans="1:22" x14ac:dyDescent="0.2">
      <c r="A8802" t="s">
        <v>45</v>
      </c>
      <c r="B8802" s="46">
        <f>INDEX(parameters!$D$4:$N$20,MATCH('hydrogen - electrolysis'!B8787&amp;'hydrogen - electrolysis'!B8789,parameters!$A$4:$A$20,0),MATCH('hydrogen - electrolysis'!A8802,parameters!$D$3:$N$3,0))</f>
        <v>0</v>
      </c>
    </row>
    <row r="8803" spans="1:22" x14ac:dyDescent="0.2">
      <c r="A8803" t="s">
        <v>46</v>
      </c>
      <c r="B8803" s="46">
        <f>INDEX(parameters!$D$4:$N$20,MATCH('hydrogen - electrolysis'!B8787&amp;'hydrogen - electrolysis'!B8789,parameters!$A$4:$A$20,0),MATCH('hydrogen - electrolysis'!A8803,parameters!$D$3:$N$3,0))</f>
        <v>1.4999999999999999E-2</v>
      </c>
    </row>
    <row r="8804" spans="1:22" x14ac:dyDescent="0.2">
      <c r="A8804" t="s">
        <v>43</v>
      </c>
      <c r="B8804" s="46">
        <f>INDEX(parameters!$D$4:$N$20,MATCH('hydrogen - electrolysis'!B8787&amp;'hydrogen - electrolysis'!B8789,parameters!$A$4:$A$20,0),MATCH('hydrogen - electrolysis'!A8804,parameters!$D$3:$N$3,0))</f>
        <v>0</v>
      </c>
    </row>
    <row r="8805" spans="1:22" x14ac:dyDescent="0.2">
      <c r="A8805" t="s">
        <v>44</v>
      </c>
      <c r="B8805" s="46">
        <f>INDEX(parameters!$D$4:$N$20,MATCH('hydrogen - electrolysis'!B8787&amp;'hydrogen - electrolysis'!B8789,parameters!$A$4:$A$20,0),MATCH('hydrogen - electrolysis'!A8805,parameters!$D$3:$N$3,0))</f>
        <v>0</v>
      </c>
    </row>
    <row r="8806" spans="1:22" x14ac:dyDescent="0.2">
      <c r="A8806" t="s">
        <v>634</v>
      </c>
      <c r="B8806" s="51">
        <f>INDEX(parameters!$D$4:$Y$20,MATCH('hydrogen - electrolysis'!B8787&amp;'hydrogen - electrolysis'!B8789,parameters!$A$4:$A$20,0),MATCH('hydrogen - electrolysis'!A8806,parameters!$D$3:$Y$3,0))</f>
        <v>351.41800246609125</v>
      </c>
    </row>
    <row r="8807" spans="1:22" x14ac:dyDescent="0.2">
      <c r="A8807" t="s">
        <v>82</v>
      </c>
      <c r="B8807" s="46">
        <f>IF(B8798&lt;&gt;0,VLOOKUP(B8798,parameters!A5588:B5590,2,0),0)</f>
        <v>0</v>
      </c>
    </row>
    <row r="8808" spans="1:22" x14ac:dyDescent="0.2">
      <c r="A8808" t="s">
        <v>548</v>
      </c>
      <c r="B8808" s="50">
        <f>INDEX(parameters!$D$4:$P$20,MATCH(B8787&amp;B8789,parameters!$A$4:$A$20,0),MATCH(A8808,parameters!$D$3:$P$3,0))</f>
        <v>125</v>
      </c>
    </row>
    <row r="8809" spans="1:22" x14ac:dyDescent="0.2">
      <c r="A8809" t="s">
        <v>547</v>
      </c>
      <c r="B8809" s="51">
        <f>INDEX(parameters!$D$4:$P$20,MATCH(B8787&amp;B8789,parameters!$A$4:$A$20,0),MATCH(A8809,parameters!$D$3:$P$3,0))</f>
        <v>19.512195121951219</v>
      </c>
    </row>
    <row r="8810" spans="1:22" x14ac:dyDescent="0.2">
      <c r="A8810" t="s">
        <v>630</v>
      </c>
      <c r="B8810" s="51">
        <f>INDEX(parameters!$D$4:$T$20,MATCH(B8787&amp;B8789,parameters!$A$4:$A$20,0),MATCH(A8810,parameters!$D$3:$T$3,0))</f>
        <v>4100</v>
      </c>
    </row>
    <row r="8811" spans="1:22" x14ac:dyDescent="0.2">
      <c r="A8811" t="s">
        <v>1005</v>
      </c>
      <c r="B8811" s="50">
        <f>IF(B8783="megajoule",SUMIFS(allocation!$I$4:$I$30,allocation!$B$4:$B$30,B8789,allocation!$C$4:$C$30,B8790),SUMIFS(allocation!$J$4:$J$30,allocation!$B$4:$B$30,B8789,allocation!$C$4:$C$30,B8790))</f>
        <v>0.87139957772704957</v>
      </c>
    </row>
    <row r="8812" spans="1:22" x14ac:dyDescent="0.2">
      <c r="A8812" t="s">
        <v>1050</v>
      </c>
      <c r="B8812" s="51">
        <f>INDEX(parameters!$D$4:$AB$20,MATCH(B8787&amp;B8789,parameters!$A$4:$A$20,0),MATCH(A8812,parameters!$D$3:$AB$3,0))</f>
        <v>2220.7364520822662</v>
      </c>
    </row>
    <row r="8814" spans="1:22" x14ac:dyDescent="0.2">
      <c r="A8814" s="3" t="s">
        <v>57</v>
      </c>
    </row>
    <row r="8815" spans="1:22" x14ac:dyDescent="0.2">
      <c r="A8815" s="2" t="s">
        <v>58</v>
      </c>
      <c r="B8815" s="44" t="s">
        <v>59</v>
      </c>
      <c r="C8815" s="2" t="s">
        <v>55</v>
      </c>
      <c r="D8815" s="2" t="s">
        <v>60</v>
      </c>
      <c r="E8815" s="2" t="s">
        <v>52</v>
      </c>
      <c r="F8815" s="2" t="s">
        <v>61</v>
      </c>
      <c r="G8815" s="2" t="s">
        <v>54</v>
      </c>
      <c r="H8815" s="2" t="s">
        <v>87</v>
      </c>
      <c r="I8815" s="2" t="s">
        <v>51</v>
      </c>
      <c r="J8815" s="2" t="s">
        <v>138</v>
      </c>
      <c r="K8815" s="2" t="s">
        <v>136</v>
      </c>
      <c r="L8815" s="2" t="s">
        <v>221</v>
      </c>
      <c r="M8815" s="2" t="s">
        <v>379</v>
      </c>
      <c r="N8815" s="2" t="s">
        <v>1059</v>
      </c>
      <c r="O8815" s="2" t="s">
        <v>1060</v>
      </c>
      <c r="P8815" s="2" t="s">
        <v>1061</v>
      </c>
      <c r="Q8815" s="2" t="s">
        <v>1062</v>
      </c>
      <c r="R8815" s="2" t="s">
        <v>1063</v>
      </c>
      <c r="S8815" s="2" t="s">
        <v>1064</v>
      </c>
      <c r="T8815" s="2" t="s">
        <v>1065</v>
      </c>
      <c r="U8815" s="2" t="s">
        <v>380</v>
      </c>
      <c r="V8815" s="2" t="s">
        <v>1128</v>
      </c>
    </row>
    <row r="8816" spans="1:22" x14ac:dyDescent="0.2">
      <c r="A8816" t="str">
        <f>B8777</f>
        <v>electricity, residential, by combustion of hydrogen using CHP, allocated by exergy, transported by pipeline, produced by Electrolysis, PEM using water and electricity from Wind (DK)</v>
      </c>
      <c r="B8816" s="45">
        <v>1</v>
      </c>
      <c r="C8816" t="str">
        <f>B8783</f>
        <v>kilowatt hour</v>
      </c>
      <c r="E8816" t="str">
        <f>B8780</f>
        <v>CH</v>
      </c>
      <c r="F8816" t="s">
        <v>62</v>
      </c>
      <c r="G8816" t="str">
        <f>B8782</f>
        <v>electricity, from residential heating system</v>
      </c>
      <c r="K8816" t="str">
        <f>B8777</f>
        <v>electricity, residential, by combustion of hydrogen using CHP, allocated by exergy, transported by pipeline, produced by Electrolysis, PEM using water and electricity from Wind (DK)</v>
      </c>
    </row>
    <row r="8817" spans="1:22" x14ac:dyDescent="0.2">
      <c r="A8817" t="str">
        <f>VLOOKUP(J8817,'dataset mapping'!$A$4:$E$69,2,0)</f>
        <v>heat and power co-generation unit construction, 160kW electrical, common components for heat+electricity</v>
      </c>
      <c r="B8817" s="52">
        <f>(1/(B8806*B8810*B8809))*B8811</f>
        <v>3.0995835856870056E-8</v>
      </c>
      <c r="C8817" t="str">
        <f>VLOOKUP(J8817,'dataset mapping'!$A$4:$E$69,5,0)</f>
        <v>unit</v>
      </c>
      <c r="E8817" t="str">
        <f>VLOOKUP(J8817,'dataset mapping'!$A$4:$E$69,4,0)</f>
        <v>RER</v>
      </c>
      <c r="F8817" t="s">
        <v>86</v>
      </c>
      <c r="G8817" t="str">
        <f>VLOOKUP(J8817,'dataset mapping'!$A$4:$E$69,3,0)</f>
        <v>heat and power co-generation unit, 160kW electrical, common components for heat+electricity</v>
      </c>
      <c r="H8817" t="s">
        <v>88</v>
      </c>
      <c r="J8817" t="s">
        <v>145</v>
      </c>
      <c r="K8817" t="str">
        <f>B8777</f>
        <v>electricity, residential, by combustion of hydrogen using CHP, allocated by exergy, transported by pipeline, produced by Electrolysis, PEM using water and electricity from Wind (DK)</v>
      </c>
      <c r="L8817">
        <f t="shared" ref="L8817:L8824" si="370">IF(OR(B8817&lt;0,B8817=0),1,2)</f>
        <v>2</v>
      </c>
      <c r="M8817">
        <f t="shared" ref="M8817:M8824" si="371">IF(L8817=2,LN(B8817),"")</f>
        <v>-17.28941296868171</v>
      </c>
      <c r="N8817">
        <v>1.05</v>
      </c>
      <c r="O8817" s="15">
        <v>1.2</v>
      </c>
      <c r="P8817">
        <v>1</v>
      </c>
      <c r="Q8817">
        <v>1.01</v>
      </c>
      <c r="R8817">
        <v>1.2</v>
      </c>
      <c r="S8817">
        <v>1.2</v>
      </c>
      <c r="T8817">
        <v>3</v>
      </c>
      <c r="U8817">
        <f t="shared" ref="U8817:U8824" si="372">LN(SQRT(EXP(
SQRT(
+POWER(LN(N8817),2)
+POWER(LN(O8817),2)
+POWER(LN(P8817),2)
+POWER(LN(Q8817),2)
+POWER(LN(R8817),2)
+POWER(LN(S8817),2)
+POWER(LN(T8817),2)
)
)))</f>
        <v>0.57209088006881903</v>
      </c>
    </row>
    <row r="8818" spans="1:22" x14ac:dyDescent="0.2">
      <c r="A8818" t="str">
        <f>VLOOKUP(J8818,'dataset mapping'!$A$4:$E$69,2,0)</f>
        <v>heat and power co-generation unit construction, 160kW electrical, components for electricity only</v>
      </c>
      <c r="B8818" s="52">
        <f>(1/(B8806*B8810*B8809))*B8811</f>
        <v>3.0995835856870056E-8</v>
      </c>
      <c r="C8818" t="str">
        <f>VLOOKUP(J8818,'dataset mapping'!$A$4:$E$69,5,0)</f>
        <v>unit</v>
      </c>
      <c r="E8818" t="str">
        <f>VLOOKUP(J8818,'dataset mapping'!$A$4:$E$69,4,0)</f>
        <v>RER</v>
      </c>
      <c r="F8818" t="s">
        <v>86</v>
      </c>
      <c r="G8818" t="str">
        <f>VLOOKUP(J8818,'dataset mapping'!$A$4:$E$69,3,0)</f>
        <v>heat and power co-generation unit, 160kW electrical, components for electricity only</v>
      </c>
      <c r="H8818" t="s">
        <v>88</v>
      </c>
      <c r="J8818" t="s">
        <v>146</v>
      </c>
      <c r="K8818" t="str">
        <f>B8777</f>
        <v>electricity, residential, by combustion of hydrogen using CHP, allocated by exergy, transported by pipeline, produced by Electrolysis, PEM using water and electricity from Wind (DK)</v>
      </c>
      <c r="L8818">
        <f t="shared" si="370"/>
        <v>2</v>
      </c>
      <c r="M8818">
        <f t="shared" si="371"/>
        <v>-17.28941296868171</v>
      </c>
      <c r="N8818">
        <v>1.05</v>
      </c>
      <c r="O8818" s="15">
        <v>1.2</v>
      </c>
      <c r="P8818">
        <v>1</v>
      </c>
      <c r="Q8818">
        <v>1.01</v>
      </c>
      <c r="R8818">
        <v>1.2</v>
      </c>
      <c r="S8818">
        <v>1.2</v>
      </c>
      <c r="T8818">
        <v>3</v>
      </c>
      <c r="U8818">
        <f t="shared" si="372"/>
        <v>0.57209088006881903</v>
      </c>
    </row>
    <row r="8819" spans="1:22" x14ac:dyDescent="0.2">
      <c r="A8819" t="str">
        <f>VLOOKUP(J8819,'dataset mapping'!$A$4:$E$69,2,0)</f>
        <v>heat and power co-generation unit construction, 160kW electrical, components for heat only</v>
      </c>
      <c r="B8819" s="52">
        <f>(1/(B8806*B8810*B8809))*B8811</f>
        <v>3.0995835856870056E-8</v>
      </c>
      <c r="C8819" t="str">
        <f>VLOOKUP(J8819,'dataset mapping'!$A$4:$E$69,5,0)</f>
        <v>unit</v>
      </c>
      <c r="E8819" t="str">
        <f>VLOOKUP(J8819,'dataset mapping'!$A$4:$E$69,4,0)</f>
        <v>RER</v>
      </c>
      <c r="F8819" t="s">
        <v>86</v>
      </c>
      <c r="G8819" t="str">
        <f>VLOOKUP(J8819,'dataset mapping'!$A$4:$E$69,3,0)</f>
        <v>heat and power co-generation unit, 160kW electrical, components for heat only</v>
      </c>
      <c r="H8819" t="s">
        <v>88</v>
      </c>
      <c r="J8819" t="s">
        <v>147</v>
      </c>
      <c r="K8819" t="str">
        <f>B8777</f>
        <v>electricity, residential, by combustion of hydrogen using CHP, allocated by exergy, transported by pipeline, produced by Electrolysis, PEM using water and electricity from Wind (DK)</v>
      </c>
      <c r="L8819">
        <f t="shared" si="370"/>
        <v>2</v>
      </c>
      <c r="M8819">
        <f t="shared" si="371"/>
        <v>-17.28941296868171</v>
      </c>
      <c r="N8819">
        <v>1.05</v>
      </c>
      <c r="O8819" s="15">
        <v>1.2</v>
      </c>
      <c r="P8819">
        <v>1</v>
      </c>
      <c r="Q8819">
        <v>1.01</v>
      </c>
      <c r="R8819">
        <v>1.2</v>
      </c>
      <c r="S8819">
        <v>1.2</v>
      </c>
      <c r="T8819">
        <v>3</v>
      </c>
      <c r="U8819">
        <f t="shared" si="372"/>
        <v>0.57209088006881903</v>
      </c>
    </row>
    <row r="8820" spans="1:22" x14ac:dyDescent="0.2">
      <c r="A8820" t="s">
        <v>156</v>
      </c>
      <c r="B8820" s="52">
        <f>0.00000011366*B8811</f>
        <v>9.9043276004456456E-8</v>
      </c>
      <c r="C8820" t="s">
        <v>56</v>
      </c>
      <c r="E8820" t="s">
        <v>90</v>
      </c>
      <c r="F8820" t="s">
        <v>86</v>
      </c>
      <c r="G8820" t="s">
        <v>154</v>
      </c>
      <c r="H8820" t="s">
        <v>155</v>
      </c>
      <c r="K8820" t="str">
        <f>B8777</f>
        <v>electricity, residential, by combustion of hydrogen using CHP, allocated by exergy, transported by pipeline, produced by Electrolysis, PEM using water and electricity from Wind (DK)</v>
      </c>
      <c r="L8820">
        <f t="shared" si="370"/>
        <v>2</v>
      </c>
      <c r="M8820">
        <f t="shared" si="371"/>
        <v>-16.127708950967754</v>
      </c>
      <c r="N8820">
        <v>1.05</v>
      </c>
      <c r="O8820" s="15">
        <v>1.2</v>
      </c>
      <c r="P8820">
        <v>1</v>
      </c>
      <c r="Q8820">
        <v>1.01</v>
      </c>
      <c r="R8820">
        <v>1.2</v>
      </c>
      <c r="S8820">
        <v>1.2</v>
      </c>
      <c r="T8820">
        <v>1.05</v>
      </c>
      <c r="U8820">
        <f t="shared" si="372"/>
        <v>0.16169679924070957</v>
      </c>
    </row>
    <row r="8821" spans="1:22" x14ac:dyDescent="0.2">
      <c r="A8821" t="s">
        <v>157</v>
      </c>
      <c r="B8821" s="52">
        <f>0.00000011366*B8811*-1</f>
        <v>-9.9043276004456456E-8</v>
      </c>
      <c r="C8821" t="s">
        <v>56</v>
      </c>
      <c r="E8821" t="s">
        <v>64</v>
      </c>
      <c r="F8821" t="s">
        <v>86</v>
      </c>
      <c r="G8821" t="s">
        <v>158</v>
      </c>
      <c r="H8821" t="s">
        <v>155</v>
      </c>
      <c r="K8821" t="str">
        <f>B8777</f>
        <v>electricity, residential, by combustion of hydrogen using CHP, allocated by exergy, transported by pipeline, produced by Electrolysis, PEM using water and electricity from Wind (DK)</v>
      </c>
      <c r="L8821">
        <v>2</v>
      </c>
      <c r="M8821">
        <f>IF(L8821=2,LN(B8821*-1),"")</f>
        <v>-16.127708950967754</v>
      </c>
      <c r="N8821">
        <v>1.05</v>
      </c>
      <c r="O8821" s="15">
        <v>1.2</v>
      </c>
      <c r="P8821">
        <v>1</v>
      </c>
      <c r="Q8821">
        <v>1.01</v>
      </c>
      <c r="R8821">
        <v>1.2</v>
      </c>
      <c r="S8821">
        <v>1.2</v>
      </c>
      <c r="T8821">
        <v>3</v>
      </c>
      <c r="U8821">
        <f>LN(SQRT(EXP(
SQRT(
+POWER(LN(N8821),2)
+POWER(LN(O8821),2)
+POWER(LN(P8821),2)
+POWER(LN(Q8821),2)
+POWER(LN(R8821),2)
+POWER(LN(S8821),2)
+POWER(LN(T8821),2)
)
)))</f>
        <v>0.57209088006881903</v>
      </c>
      <c r="V8821" t="b">
        <v>1</v>
      </c>
    </row>
    <row r="8822" spans="1:22" x14ac:dyDescent="0.2">
      <c r="A8822" s="45" t="str">
        <f>"hydrogen supply, transported by "&amp;B8791&amp;", produced by "&amp;B8795&amp;" using "&amp;B8796&amp;" from "&amp;B8797</f>
        <v>hydrogen supply, transported by pipeline, produced by Electrolysis, PEM using water and electricity from Wind (DK)</v>
      </c>
      <c r="B8822" s="53">
        <f>(B8816/B8800)/B8799*B8811</f>
        <v>6.6350221654343872E-2</v>
      </c>
      <c r="C8822" t="s">
        <v>56</v>
      </c>
      <c r="E8822" t="s">
        <v>64</v>
      </c>
      <c r="F8822" t="s">
        <v>86</v>
      </c>
      <c r="G8822" t="str">
        <f>"hydrogen, gaseous, from "&amp;B8791</f>
        <v>hydrogen, gaseous, from pipeline</v>
      </c>
      <c r="H8822" t="s">
        <v>76</v>
      </c>
      <c r="I8822" t="s">
        <v>1054</v>
      </c>
      <c r="J8822" t="s">
        <v>303</v>
      </c>
      <c r="K8822" t="str">
        <f>B8777</f>
        <v>electricity, residential, by combustion of hydrogen using CHP, allocated by exergy, transported by pipeline, produced by Electrolysis, PEM using water and electricity from Wind (DK)</v>
      </c>
      <c r="L8822">
        <f t="shared" si="370"/>
        <v>2</v>
      </c>
      <c r="M8822">
        <f t="shared" si="371"/>
        <v>-2.7128081775260964</v>
      </c>
      <c r="N8822">
        <v>1.05</v>
      </c>
      <c r="O8822" s="15">
        <v>1.2</v>
      </c>
      <c r="P8822">
        <v>1</v>
      </c>
      <c r="Q8822">
        <v>1.01</v>
      </c>
      <c r="R8822">
        <v>1.2</v>
      </c>
      <c r="S8822">
        <v>1.2</v>
      </c>
      <c r="T8822">
        <v>1.05</v>
      </c>
      <c r="U8822">
        <f t="shared" si="372"/>
        <v>0.16169679924070957</v>
      </c>
    </row>
    <row r="8823" spans="1:22" x14ac:dyDescent="0.2">
      <c r="A8823" t="s">
        <v>134</v>
      </c>
      <c r="B8823" s="45">
        <f>B8822*9</f>
        <v>0.59715199488909487</v>
      </c>
      <c r="C8823" t="s">
        <v>56</v>
      </c>
      <c r="D8823" t="s">
        <v>100</v>
      </c>
      <c r="F8823" t="s">
        <v>99</v>
      </c>
      <c r="H8823" t="s">
        <v>131</v>
      </c>
      <c r="I8823" t="s">
        <v>1058</v>
      </c>
      <c r="K8823" t="str">
        <f>B8777</f>
        <v>electricity, residential, by combustion of hydrogen using CHP, allocated by exergy, transported by pipeline, produced by Electrolysis, PEM using water and electricity from Wind (DK)</v>
      </c>
      <c r="L8823">
        <f t="shared" si="370"/>
        <v>2</v>
      </c>
      <c r="M8823">
        <f t="shared" si="371"/>
        <v>-0.51558360018987692</v>
      </c>
      <c r="N8823">
        <v>1.05</v>
      </c>
      <c r="O8823" s="15">
        <v>1.2</v>
      </c>
      <c r="P8823">
        <v>1</v>
      </c>
      <c r="Q8823">
        <v>1.01</v>
      </c>
      <c r="R8823">
        <v>1.2</v>
      </c>
      <c r="S8823">
        <v>1.2</v>
      </c>
      <c r="T8823">
        <v>1.05</v>
      </c>
      <c r="U8823">
        <f t="shared" si="372"/>
        <v>0.16169679924070957</v>
      </c>
    </row>
    <row r="8824" spans="1:22" x14ac:dyDescent="0.2">
      <c r="A8824" t="s">
        <v>135</v>
      </c>
      <c r="B8824" s="45">
        <f>912.5/1000000*B8822</f>
        <v>6.0544577259588785E-5</v>
      </c>
      <c r="C8824" t="s">
        <v>56</v>
      </c>
      <c r="D8824" t="s">
        <v>100</v>
      </c>
      <c r="F8824" t="s">
        <v>99</v>
      </c>
      <c r="H8824" t="s">
        <v>131</v>
      </c>
      <c r="I8824" t="s">
        <v>1217</v>
      </c>
      <c r="K8824" t="str">
        <f>B8777</f>
        <v>electricity, residential, by combustion of hydrogen using CHP, allocated by exergy, transported by pipeline, produced by Electrolysis, PEM using water and electricity from Wind (DK)</v>
      </c>
      <c r="L8824">
        <f t="shared" si="370"/>
        <v>2</v>
      </c>
      <c r="M8824">
        <f t="shared" si="371"/>
        <v>-9.712130650033723</v>
      </c>
      <c r="N8824">
        <v>1.05</v>
      </c>
      <c r="O8824" s="15">
        <v>1.2</v>
      </c>
      <c r="P8824">
        <v>1</v>
      </c>
      <c r="Q8824">
        <v>1.01</v>
      </c>
      <c r="R8824">
        <v>1.2</v>
      </c>
      <c r="S8824">
        <v>1.2</v>
      </c>
      <c r="T8824">
        <v>1.5</v>
      </c>
      <c r="U8824">
        <f t="shared" si="372"/>
        <v>0.25816898211842121</v>
      </c>
    </row>
    <row r="8826" spans="1:22" x14ac:dyDescent="0.2">
      <c r="A8826" s="2" t="s">
        <v>50</v>
      </c>
      <c r="B8826" s="44" t="str">
        <f>IF(B8832="megajoule","heat","electricity")&amp;", residential, by "&amp;B8837&amp;" of "&amp;B8836&amp;" using "&amp;B8838&amp;IF(B8839&lt;&gt;0,", allocated by "&amp;B8839,"")&amp;", transported by "&amp;B8840&amp;", produced by "&amp;B8844&amp;" using "&amp;B8845&amp;" from "&amp;B8846</f>
        <v>electricity, residential, by conversion of hydrogen using fuel cell, PEM, allocated by exergy, transported by pipeline, produced by Electrolysis, PEM using water and electricity from Wind (DK)</v>
      </c>
    </row>
    <row r="8827" spans="1:22" x14ac:dyDescent="0.2">
      <c r="A8827" t="s">
        <v>51</v>
      </c>
      <c r="B8827" s="45" t="str">
        <f>"This dataset represents the supply of 1 "&amp;IF(B8832="megajoule","megajoule of heat","kilowatt hour of electricity")&amp;" in a residence, by "&amp;B8836&amp;" "&amp;B8837&amp;" in a "&amp;B8838&amp;". "&amp;" The hydrogen is transported by "&amp;B8840&amp;" over "&amp;B8841&amp;" km from regional storage. "&amp;" The "&amp;B8836&amp;" is produced by  "&amp;B8844&amp;", with "&amp;B8845&amp;" from "&amp;B8846&amp;" as feedstock. "&amp;A8848&amp;": "&amp;(B8848*100)&amp;"%. "&amp;A8849&amp;": "&amp;B8849&amp;". "&amp;A8850&amp;": "&amp;B8850&amp;". "&amp;A8851&amp;": "&amp;(B8851*100)&amp;"%. "&amp;A8852&amp;": "&amp;(B8852*100)&amp;"%. "&amp;A8853&amp;": "&amp;(B8853*100)&amp;"%. "&amp;A8854&amp;": "&amp;B8854&amp;". "&amp;A8855&amp;": "&amp;B8855&amp;". "&amp;A8856&amp;": "&amp;(B8856*100)&amp;"%. "&amp;A8857&amp;": "&amp;B8857&amp;". "&amp;A8858&amp;": "&amp;B8858&amp;". "&amp;A8859&amp;": "&amp;B8859&amp;". "&amp;A8860&amp;": "&amp;B8860&amp;".  For more information, refer to: "&amp;B8828</f>
        <v>This dataset represents the supply of 1 kilowatt hour of electricity in a residence, by hydrogen conversion in a fuel cell, PEM.  The hydrogen is transported by pipeline over 1300 km from regional storage.  The hydrogen is produced by  Electrolysis, PEM,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8828" spans="1:22" x14ac:dyDescent="0.2">
      <c r="A8828" t="s">
        <v>63</v>
      </c>
      <c r="B8828" s="45" t="s">
        <v>1223</v>
      </c>
    </row>
    <row r="8829" spans="1:22" x14ac:dyDescent="0.2">
      <c r="A8829" t="s">
        <v>52</v>
      </c>
      <c r="B8829" s="45" t="s">
        <v>64</v>
      </c>
    </row>
    <row r="8830" spans="1:22" x14ac:dyDescent="0.2">
      <c r="A8830" t="s">
        <v>48</v>
      </c>
      <c r="B8830" s="45" t="s">
        <v>944</v>
      </c>
    </row>
    <row r="8831" spans="1:22" x14ac:dyDescent="0.2">
      <c r="A8831" t="s">
        <v>54</v>
      </c>
      <c r="B8831" s="45" t="str">
        <f>INDEX(overview!$B$4:$R$338,MATCH('hydrogen - electrolysis'!B8830,overview!$A$4:$A$338,0),MATCH('hydrogen - electrolysis'!A8831,overview!$B$3:$R$3,0))</f>
        <v>electricity, from residential heating system</v>
      </c>
    </row>
    <row r="8832" spans="1:22" x14ac:dyDescent="0.2">
      <c r="A8832" t="s">
        <v>55</v>
      </c>
      <c r="B8832" s="45" t="str">
        <f>INDEX(overview!$B$4:$R$338,MATCH('hydrogen - electrolysis'!B8830,overview!$A$4:$A$338,0),MATCH('hydrogen - electrolysis'!A8832,overview!$B$3:$R$3,0))</f>
        <v>kilowatt hour</v>
      </c>
    </row>
    <row r="8833" spans="1:2" x14ac:dyDescent="0.2">
      <c r="A8833" t="s">
        <v>0</v>
      </c>
      <c r="B8833" s="45" t="str">
        <f>INDEX(overview!$B$4:$R$338,MATCH('hydrogen - electrolysis'!B8830,overview!$A$4:$A$338,0),MATCH('hydrogen - electrolysis'!A8833,overview!$B$3:$R$3,0))</f>
        <v>Switzerland</v>
      </c>
    </row>
    <row r="8834" spans="1:2" x14ac:dyDescent="0.2">
      <c r="A8834" t="s">
        <v>1</v>
      </c>
      <c r="B8834" s="45">
        <f>INDEX(overview!$B$4:$R$338,MATCH('hydrogen - electrolysis'!B8830,overview!$A$4:$A$338,0),MATCH('hydrogen - electrolysis'!A8834,overview!$B$3:$R$3,0))</f>
        <v>2020</v>
      </c>
    </row>
    <row r="8835" spans="1:2" x14ac:dyDescent="0.2">
      <c r="A8835" t="s">
        <v>2</v>
      </c>
      <c r="B8835" s="45" t="str">
        <f>INDEX(overview!$B$4:$R$338,MATCH('hydrogen - electrolysis'!B8830,overview!$A$4:$A$338,0),MATCH('hydrogen - electrolysis'!A8835,overview!$B$3:$R$3,0))</f>
        <v>1 kWh electricity</v>
      </c>
    </row>
    <row r="8836" spans="1:2" x14ac:dyDescent="0.2">
      <c r="A8836" t="s">
        <v>5</v>
      </c>
      <c r="B8836" s="45" t="str">
        <f>INDEX(overview!$B$4:$R$338,MATCH('hydrogen - electrolysis'!B8830,overview!$A$4:$A$338,0),MATCH('hydrogen - electrolysis'!A8836,overview!$B$3:$R$3,0))</f>
        <v>hydrogen</v>
      </c>
    </row>
    <row r="8837" spans="1:2" x14ac:dyDescent="0.2">
      <c r="A8837" t="s">
        <v>3</v>
      </c>
      <c r="B8837" s="45" t="str">
        <f>INDEX(overview!$B$4:$R$338,MATCH('hydrogen - electrolysis'!B8830,overview!$A$4:$A$338,0),MATCH('hydrogen - electrolysis'!A8837,overview!$B$3:$R$3,0))</f>
        <v>conversion</v>
      </c>
    </row>
    <row r="8838" spans="1:2" x14ac:dyDescent="0.2">
      <c r="A8838" t="s">
        <v>6</v>
      </c>
      <c r="B8838" s="45" t="str">
        <f>INDEX(overview!$B$4:$R$338,MATCH('hydrogen - electrolysis'!B8830,overview!$A$4:$A$338,0),MATCH('hydrogen - electrolysis'!A8838,overview!$B$3:$R$3,0))</f>
        <v>fuel cell, PEM</v>
      </c>
    </row>
    <row r="8839" spans="1:2" x14ac:dyDescent="0.2">
      <c r="A8839" t="s">
        <v>39</v>
      </c>
      <c r="B8839" s="45" t="str">
        <f>INDEX(overview!$B$4:$R$338,MATCH('hydrogen - electrolysis'!B8830,overview!$A$4:$A$338,0),MATCH('hydrogen - electrolysis'!A8839,overview!$B$3:$R$3,0))</f>
        <v>exergy</v>
      </c>
    </row>
    <row r="8840" spans="1:2" x14ac:dyDescent="0.2">
      <c r="A8840" t="s">
        <v>4</v>
      </c>
      <c r="B8840" s="45" t="str">
        <f>INDEX(overview!$B$4:$R$338,MATCH('hydrogen - electrolysis'!B8830,overview!$A$4:$A$338,0),MATCH('hydrogen - electrolysis'!A8840,overview!$B$3:$R$3,0))</f>
        <v>pipeline</v>
      </c>
    </row>
    <row r="8841" spans="1:2" x14ac:dyDescent="0.2">
      <c r="A8841" t="s">
        <v>38</v>
      </c>
      <c r="B8841" s="45">
        <f>INDEX(overview!$B$4:$R$338,MATCH('hydrogen - electrolysis'!B8830,overview!$A$4:$A$338,0),MATCH('hydrogen - electrolysis'!A8841,overview!$B$3:$R$3,0))</f>
        <v>1300</v>
      </c>
    </row>
    <row r="8842" spans="1:2" x14ac:dyDescent="0.2">
      <c r="A8842" t="s">
        <v>12</v>
      </c>
      <c r="B8842" s="45" t="str">
        <f>INDEX(overview!$B$4:$R$338,MATCH('hydrogen - electrolysis'!B8830,overview!$A$4:$A$338,0),MATCH('hydrogen - electrolysis'!A8842,overview!$B$3:$R$3,0))</f>
        <v>Pressure vessel for stationary storage</v>
      </c>
    </row>
    <row r="8843" spans="1:2" x14ac:dyDescent="0.2">
      <c r="A8843" t="s">
        <v>34</v>
      </c>
      <c r="B8843" s="45">
        <f>INDEX(overview!$B$4:$R$338,MATCH('hydrogen - electrolysis'!B8830,overview!$A$4:$A$338,0),MATCH('hydrogen - electrolysis'!A8843,overview!$B$3:$R$3,0))</f>
        <v>0</v>
      </c>
    </row>
    <row r="8844" spans="1:2" x14ac:dyDescent="0.2">
      <c r="A8844" t="s">
        <v>15</v>
      </c>
      <c r="B8844" s="45" t="str">
        <f>INDEX(overview!$B$4:$R$338,MATCH('hydrogen - electrolysis'!B8830,overview!$A$4:$A$338,0),MATCH('hydrogen - electrolysis'!A8844,overview!$B$3:$R$3,0))</f>
        <v>Electrolysis, PEM</v>
      </c>
    </row>
    <row r="8845" spans="1:2" x14ac:dyDescent="0.2">
      <c r="A8845" t="s">
        <v>14</v>
      </c>
      <c r="B8845" s="45" t="str">
        <f>INDEX(overview!$B$4:$R$338,MATCH('hydrogen - electrolysis'!B8830,overview!$A$4:$A$338,0),MATCH('hydrogen - electrolysis'!A8845,overview!$B$3:$R$3,0))</f>
        <v>water and electricity</v>
      </c>
    </row>
    <row r="8846" spans="1:2" x14ac:dyDescent="0.2">
      <c r="A8846" t="s">
        <v>26</v>
      </c>
      <c r="B8846" s="45" t="str">
        <f>INDEX(overview!$B$4:$R$338,MATCH('hydrogen - electrolysis'!B8830,overview!$A$4:$A$338,0),MATCH('hydrogen - electrolysis'!A8846,overview!$B$3:$R$3,0))</f>
        <v>Wind (DK)</v>
      </c>
    </row>
    <row r="8847" spans="1:2" x14ac:dyDescent="0.2">
      <c r="A8847" t="s">
        <v>29</v>
      </c>
      <c r="B8847" s="45">
        <f>INDEX(overview!$B$4:$R$338,MATCH('hydrogen - electrolysis'!B8830,overview!$A$4:$A$338,0),MATCH('hydrogen - electrolysis'!A8847,overview!$B$3:$R$3,0))</f>
        <v>0</v>
      </c>
    </row>
    <row r="8848" spans="1:2" x14ac:dyDescent="0.2">
      <c r="A8848" t="str">
        <f>IF(B8832="megajoule","Heat","Electricity")&amp;" conversion efficiency [% LHV input]"</f>
        <v>Electricity conversion efficiency [% LHV input]</v>
      </c>
      <c r="B8848" s="46">
        <f>INDEX(parameters!$D$4:$N$20,MATCH('hydrogen - electrolysis'!B8836&amp;'hydrogen - electrolysis'!B8838,parameters!$A$4:$A$20,0),MATCH('hydrogen - electrolysis'!A8848,parameters!$D$3:$N$3,0))</f>
        <v>0.45</v>
      </c>
    </row>
    <row r="8849" spans="1:22" x14ac:dyDescent="0.2">
      <c r="A8849" t="str">
        <f>IF(B8832="megajoule","LHV [MJ/kg]","LHV [kWh/kg]")</f>
        <v>LHV [kWh/kg]</v>
      </c>
      <c r="B8849" s="47">
        <f>INDEX(parameters!$D$4:$N$20,MATCH('hydrogen - electrolysis'!B8836&amp;'hydrogen - electrolysis'!B8838,parameters!$A$4:$A$20,0),MATCH('hydrogen - electrolysis'!A8849,parameters!$D$3:$N$3,0))</f>
        <v>33.333333333333336</v>
      </c>
    </row>
    <row r="8850" spans="1:22" x14ac:dyDescent="0.2">
      <c r="A8850" t="s">
        <v>41</v>
      </c>
      <c r="B8850" s="48">
        <f>INDEX(parameters!$D$4:$N$20,MATCH('hydrogen - electrolysis'!B8836&amp;'hydrogen - electrolysis'!B8838,parameters!$A$4:$A$20,0),MATCH('hydrogen - electrolysis'!A8850,parameters!$D$3:$N$3,0))</f>
        <v>2.6666666666666665E-2</v>
      </c>
    </row>
    <row r="8851" spans="1:22" x14ac:dyDescent="0.2">
      <c r="A8851" t="s">
        <v>45</v>
      </c>
      <c r="B8851" s="46">
        <f>INDEX(parameters!$D$4:$N$20,MATCH('hydrogen - electrolysis'!B8836&amp;'hydrogen - electrolysis'!B8838,parameters!$A$4:$A$20,0),MATCH('hydrogen - electrolysis'!A8851,parameters!$D$3:$N$3,0))</f>
        <v>0</v>
      </c>
    </row>
    <row r="8852" spans="1:22" x14ac:dyDescent="0.2">
      <c r="A8852" t="s">
        <v>46</v>
      </c>
      <c r="B8852" s="46">
        <f>INDEX(parameters!$D$4:$N$20,MATCH('hydrogen - electrolysis'!B8836&amp;'hydrogen - electrolysis'!B8838,parameters!$A$4:$A$20,0),MATCH('hydrogen - electrolysis'!A8852,parameters!$D$3:$N$3,0))</f>
        <v>1.4999999999999999E-2</v>
      </c>
    </row>
    <row r="8853" spans="1:22" x14ac:dyDescent="0.2">
      <c r="A8853" t="s">
        <v>43</v>
      </c>
      <c r="B8853" s="46">
        <f>INDEX(parameters!$D$4:$N$20,MATCH('hydrogen - electrolysis'!B8836&amp;'hydrogen - electrolysis'!B8838,parameters!$A$4:$A$20,0),MATCH('hydrogen - electrolysis'!A8853,parameters!$D$3:$N$3,0))</f>
        <v>0</v>
      </c>
    </row>
    <row r="8854" spans="1:22" x14ac:dyDescent="0.2">
      <c r="A8854" t="s">
        <v>44</v>
      </c>
      <c r="B8854" s="46">
        <f>INDEX(parameters!$D$4:$N$20,MATCH('hydrogen - electrolysis'!B8836&amp;'hydrogen - electrolysis'!B8838,parameters!$A$4:$A$20,0),MATCH('hydrogen - electrolysis'!A8854,parameters!$D$3:$N$3,0))</f>
        <v>0</v>
      </c>
    </row>
    <row r="8855" spans="1:22" x14ac:dyDescent="0.2">
      <c r="A8855" t="s">
        <v>634</v>
      </c>
      <c r="B8855" s="51">
        <f>INDEX(parameters!$D$4:$Y$20,MATCH('hydrogen - electrolysis'!B8836&amp;'hydrogen - electrolysis'!B8838,parameters!$A$4:$A$20,0),MATCH('hydrogen - electrolysis'!A8855,parameters!$D$3:$Y$3,0))</f>
        <v>1.8947368421052633</v>
      </c>
    </row>
    <row r="8856" spans="1:22" x14ac:dyDescent="0.2">
      <c r="A8856" t="s">
        <v>82</v>
      </c>
      <c r="B8856" s="46">
        <f>IF(B8847&lt;&gt;0,VLOOKUP(B8847,parameters!A5642:B5644,2,0),0)</f>
        <v>0</v>
      </c>
    </row>
    <row r="8857" spans="1:22" x14ac:dyDescent="0.2">
      <c r="A8857" t="s">
        <v>548</v>
      </c>
      <c r="B8857" s="50">
        <f>INDEX(parameters!$D$4:$P$20,MATCH(B8836&amp;B8838,parameters!$A$4:$A$20,0),MATCH(A8857,parameters!$D$3:$P$3,0))</f>
        <v>0.8</v>
      </c>
    </row>
    <row r="8858" spans="1:22" x14ac:dyDescent="0.2">
      <c r="A8858" t="s">
        <v>547</v>
      </c>
      <c r="B8858" s="51">
        <f>INDEX(parameters!$D$4:$P$20,MATCH(B8836&amp;B8838,parameters!$A$4:$A$20,0),MATCH(A8858,parameters!$D$3:$P$3,0))</f>
        <v>4.8780487804878048</v>
      </c>
    </row>
    <row r="8859" spans="1:22" x14ac:dyDescent="0.2">
      <c r="A8859" t="s">
        <v>630</v>
      </c>
      <c r="B8859" s="51">
        <f>INDEX(parameters!$D$4:$T$20,MATCH(B8836&amp;B8838,parameters!$A$4:$A$20,0),MATCH(A8859,parameters!$D$3:$T$3,0))</f>
        <v>4100</v>
      </c>
    </row>
    <row r="8860" spans="1:22" x14ac:dyDescent="0.2">
      <c r="A8860" t="s">
        <v>1005</v>
      </c>
      <c r="B8860" s="50">
        <f>IF(B8832="megajoule",SUMIFS(allocation!$I$4:$I$30,allocation!$B$4:$B$30,B8838,allocation!$C$4:$C$30,B8839),SUMIFS(allocation!$J$4:$J$30,allocation!$B$4:$B$30,B8838,allocation!$C$4:$C$30,B8839))</f>
        <v>0.86066019201025545</v>
      </c>
    </row>
    <row r="8861" spans="1:22" x14ac:dyDescent="0.2">
      <c r="A8861" t="s">
        <v>1050</v>
      </c>
      <c r="B8861" s="51">
        <f>INDEX(parameters!$D$4:$AB$20,MATCH(B8836&amp;B8838,parameters!$A$4:$A$20,0),MATCH(A8861,parameters!$D$3:$AB$3,0))</f>
        <v>10.221606648199446</v>
      </c>
    </row>
    <row r="8863" spans="1:22" x14ac:dyDescent="0.2">
      <c r="A8863" s="3" t="s">
        <v>57</v>
      </c>
    </row>
    <row r="8864" spans="1:22" x14ac:dyDescent="0.2">
      <c r="A8864" s="2" t="s">
        <v>58</v>
      </c>
      <c r="B8864" s="44" t="s">
        <v>59</v>
      </c>
      <c r="C8864" s="2" t="s">
        <v>55</v>
      </c>
      <c r="D8864" s="2" t="s">
        <v>60</v>
      </c>
      <c r="E8864" s="2" t="s">
        <v>52</v>
      </c>
      <c r="F8864" s="2" t="s">
        <v>61</v>
      </c>
      <c r="G8864" s="2" t="s">
        <v>54</v>
      </c>
      <c r="H8864" s="2" t="s">
        <v>87</v>
      </c>
      <c r="I8864" s="2" t="s">
        <v>51</v>
      </c>
      <c r="J8864" s="2" t="s">
        <v>138</v>
      </c>
      <c r="K8864" s="2" t="s">
        <v>136</v>
      </c>
      <c r="L8864" s="2" t="s">
        <v>221</v>
      </c>
      <c r="M8864" s="2" t="s">
        <v>379</v>
      </c>
      <c r="N8864" s="2" t="s">
        <v>1059</v>
      </c>
      <c r="O8864" s="2" t="s">
        <v>1060</v>
      </c>
      <c r="P8864" s="2" t="s">
        <v>1061</v>
      </c>
      <c r="Q8864" s="2" t="s">
        <v>1062</v>
      </c>
      <c r="R8864" s="2" t="s">
        <v>1063</v>
      </c>
      <c r="S8864" s="2" t="s">
        <v>1064</v>
      </c>
      <c r="T8864" s="2" t="s">
        <v>1065</v>
      </c>
      <c r="U8864" s="2" t="s">
        <v>380</v>
      </c>
      <c r="V8864" s="2" t="s">
        <v>1128</v>
      </c>
    </row>
    <row r="8865" spans="1:21" x14ac:dyDescent="0.2">
      <c r="A8865" t="str">
        <f>B8826</f>
        <v>electricity, residential, by conversion of hydrogen using fuel cell, PEM, allocated by exergy, transported by pipeline, produced by Electrolysis, PEM using water and electricity from Wind (DK)</v>
      </c>
      <c r="B8865" s="45">
        <v>1</v>
      </c>
      <c r="C8865" t="str">
        <f>B8832</f>
        <v>kilowatt hour</v>
      </c>
      <c r="E8865" t="str">
        <f>B8829</f>
        <v>CH</v>
      </c>
      <c r="F8865" t="s">
        <v>62</v>
      </c>
      <c r="G8865" t="str">
        <f>B8831</f>
        <v>electricity, from residential heating system</v>
      </c>
      <c r="K8865" t="str">
        <f>B8826</f>
        <v>electricity, residential, by conversion of hydrogen using fuel cell, PEM, allocated by exergy, transported by pipeline, produced by Electrolysis, PEM using water and electricity from Wind (DK)</v>
      </c>
    </row>
    <row r="8866" spans="1:21" x14ac:dyDescent="0.2">
      <c r="A8866" t="str">
        <f>VLOOKUP(J8866,'dataset mapping'!$A$4:$E$69,2,0)</f>
        <v>fuel cell system assembly, 1 kWe, proton exchange membrane (PEM)</v>
      </c>
      <c r="B8866" s="52">
        <f>(1/(B8855*B8859*B8858))*B8860</f>
        <v>2.2711866178048405E-5</v>
      </c>
      <c r="C8866" t="str">
        <f>VLOOKUP(J8866,'dataset mapping'!$A$4:$E$69,5,0)</f>
        <v>unit</v>
      </c>
      <c r="E8866" t="str">
        <f>VLOOKUP(J8866,'dataset mapping'!$A$4:$E$69,4,0)</f>
        <v>GLO</v>
      </c>
      <c r="F8866" t="s">
        <v>86</v>
      </c>
      <c r="G8866" t="str">
        <f>VLOOKUP(J8866,'dataset mapping'!$A$4:$E$69,3,0)</f>
        <v>fuel cell system, 1 kWe, proton exchange membrane (PEM)</v>
      </c>
      <c r="H8866" t="s">
        <v>88</v>
      </c>
      <c r="I8866" t="s">
        <v>272</v>
      </c>
      <c r="J8866" t="s">
        <v>273</v>
      </c>
      <c r="K8866" t="str">
        <f>B8826</f>
        <v>electricity, residential, by conversion of hydrogen using fuel cell, PEM, allocated by exergy, transported by pipeline, produced by Electrolysis, PEM using water and electricity from Wind (DK)</v>
      </c>
      <c r="L8866">
        <f t="shared" ref="L8866:L8868" si="373">IF(OR(B8866&lt;0,B8866=0),1,2)</f>
        <v>2</v>
      </c>
      <c r="M8866">
        <f t="shared" ref="M8866:M8868" si="374">IF(L8866=2,LN(B8866),"")</f>
        <v>-10.692623030936341</v>
      </c>
      <c r="N8866">
        <v>1</v>
      </c>
      <c r="O8866" s="15">
        <v>1.2</v>
      </c>
      <c r="P8866">
        <v>1</v>
      </c>
      <c r="Q8866">
        <v>1.01</v>
      </c>
      <c r="R8866">
        <v>1.2</v>
      </c>
      <c r="S8866">
        <v>1.2</v>
      </c>
      <c r="T8866">
        <v>3</v>
      </c>
      <c r="U8866">
        <f t="shared" ref="U8866:U8868" si="375">LN(SQRT(EXP(
SQRT(
+POWER(LN(N8866),2)
+POWER(LN(O8866),2)
+POWER(LN(P8866),2)
+POWER(LN(Q8866),2)
+POWER(LN(R8866),2)
+POWER(LN(S8866),2)
+POWER(LN(T8866),2)
)
)))</f>
        <v>0.57157051623399524</v>
      </c>
    </row>
    <row r="8867" spans="1:21" x14ac:dyDescent="0.2">
      <c r="A8867" s="45" t="str">
        <f>"hydrogen supply, transported by "&amp;B8840&amp;", produced by "&amp;B8844&amp;" using "&amp;B8845&amp;" from "&amp;B8846</f>
        <v>hydrogen supply, transported by pipeline, produced by Electrolysis, PEM using water and electricity from Wind (DK)</v>
      </c>
      <c r="B8867" s="53">
        <f>(B8865/B8849)/B8848*B8860</f>
        <v>5.7377346134017029E-2</v>
      </c>
      <c r="C8867" t="s">
        <v>56</v>
      </c>
      <c r="E8867" t="s">
        <v>64</v>
      </c>
      <c r="F8867" t="s">
        <v>86</v>
      </c>
      <c r="G8867" t="str">
        <f>"hydrogen, gaseous, from "&amp;B8840</f>
        <v>hydrogen, gaseous, from pipeline</v>
      </c>
      <c r="H8867" t="s">
        <v>76</v>
      </c>
      <c r="I8867" t="s">
        <v>1054</v>
      </c>
      <c r="J8867" t="s">
        <v>303</v>
      </c>
      <c r="K8867" t="str">
        <f>B8826</f>
        <v>electricity, residential, by conversion of hydrogen using fuel cell, PEM, allocated by exergy, transported by pipeline, produced by Electrolysis, PEM using water and electricity from Wind (DK)</v>
      </c>
      <c r="L8867">
        <f t="shared" si="373"/>
        <v>2</v>
      </c>
      <c r="M8867">
        <f t="shared" si="374"/>
        <v>-2.8581057202127536</v>
      </c>
      <c r="N8867">
        <v>1</v>
      </c>
      <c r="O8867" s="15">
        <v>1.2</v>
      </c>
      <c r="P8867">
        <v>1</v>
      </c>
      <c r="Q8867">
        <v>1.01</v>
      </c>
      <c r="R8867">
        <v>1.2</v>
      </c>
      <c r="S8867">
        <v>1.2</v>
      </c>
      <c r="T8867">
        <v>1.05</v>
      </c>
      <c r="U8867">
        <f t="shared" si="375"/>
        <v>0.15984597228197622</v>
      </c>
    </row>
    <row r="8868" spans="1:21" x14ac:dyDescent="0.2">
      <c r="A8868" t="s">
        <v>134</v>
      </c>
      <c r="B8868" s="53">
        <f>B8867*9</f>
        <v>0.51639611520615325</v>
      </c>
      <c r="C8868" t="s">
        <v>56</v>
      </c>
      <c r="D8868" t="s">
        <v>100</v>
      </c>
      <c r="F8868" t="s">
        <v>99</v>
      </c>
      <c r="H8868" t="s">
        <v>131</v>
      </c>
      <c r="I8868" t="s">
        <v>1057</v>
      </c>
      <c r="K8868" t="str">
        <f>B8826</f>
        <v>electricity, residential, by conversion of hydrogen using fuel cell, PEM, allocated by exergy, transported by pipeline, produced by Electrolysis, PEM using water and electricity from Wind (DK)</v>
      </c>
      <c r="L8868">
        <f t="shared" si="373"/>
        <v>2</v>
      </c>
      <c r="M8868">
        <f t="shared" si="374"/>
        <v>-0.6608811428765341</v>
      </c>
      <c r="N8868">
        <v>1</v>
      </c>
      <c r="O8868" s="15">
        <v>1.2</v>
      </c>
      <c r="P8868">
        <v>1</v>
      </c>
      <c r="Q8868">
        <v>1.01</v>
      </c>
      <c r="R8868">
        <v>1.2</v>
      </c>
      <c r="S8868">
        <v>1.2</v>
      </c>
      <c r="T8868">
        <v>1.05</v>
      </c>
      <c r="U8868">
        <f t="shared" si="375"/>
        <v>0.15984597228197622</v>
      </c>
    </row>
    <row r="8870" spans="1:21" x14ac:dyDescent="0.2">
      <c r="A8870" s="2" t="s">
        <v>50</v>
      </c>
      <c r="B8870" s="44" t="str">
        <f>IF(B8876="megajoule","heat","electricity")&amp;", residential, by "&amp;B8881&amp;" of "&amp;B8880&amp;" using "&amp;B8882&amp;IF(B8883&lt;&gt;0,", allocated by "&amp;B8883,"")&amp;", transported by "&amp;B8884&amp;", produced by "&amp;B8888&amp;" using "&amp;B8889&amp;" from "&amp;B8890</f>
        <v>electricity, residential, by conversion of hydrogen using fuel cell, SOFC, allocated by exergy, transported by pipeline, produced by Electrolysis, PEM using water and electricity from Wind (DK)</v>
      </c>
    </row>
    <row r="8871" spans="1:21" x14ac:dyDescent="0.2">
      <c r="A8871" t="s">
        <v>51</v>
      </c>
      <c r="B8871" s="45" t="str">
        <f>"This dataset represents the supply of 1 "&amp;IF(B8876="megajoule","megajoule of heat","kilowatt hour of electricity")&amp;" in a residence, by "&amp;B8880&amp;" "&amp;B8881&amp;" in a "&amp;B8882&amp;". "&amp;" The hydrogen is transported by "&amp;B8884&amp;" over "&amp;B8885&amp;" km from regional storage. "&amp;" The "&amp;B8880&amp;" is produced by  "&amp;B8888&amp;", with "&amp;B8889&amp;" from "&amp;B8890&amp;" as feedstock. "&amp;A8892&amp;": "&amp;(B8892*100)&amp;"%. "&amp;A8893&amp;": "&amp;B8893&amp;". "&amp;A8894&amp;": "&amp;B8894&amp;". "&amp;A8895&amp;": "&amp;(B8895*100)&amp;"%. "&amp;A8896&amp;": "&amp;(B8896*100)&amp;"%. "&amp;A8897&amp;": "&amp;(B8897*100)&amp;"%. "&amp;A8898&amp;": "&amp;B8898&amp;". "&amp;A8899&amp;": "&amp;B8899&amp;". "&amp;A8900&amp;": "&amp;(B8900*100)&amp;"%. "&amp;A8901&amp;": "&amp;B8901&amp;". "&amp;A8902&amp;": "&amp;B8902&amp;". "&amp;A8903&amp;": "&amp;B8903&amp;". "&amp;A8904&amp;": "&amp;B8904&amp;".  For more information, refer to: "&amp;B8872</f>
        <v>This dataset represents the supply of 1 kilowatt hour of electricity in a residence, by hydrogen conversion in a fuel cell, SOFC.  The hydrogen is transported by pipeline over 1300 km from regional storage.  The hydrogen is produced by  Electrolysis, PEM,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8872" spans="1:21" x14ac:dyDescent="0.2">
      <c r="A8872" t="s">
        <v>63</v>
      </c>
      <c r="B8872" s="45" t="s">
        <v>1223</v>
      </c>
    </row>
    <row r="8873" spans="1:21" x14ac:dyDescent="0.2">
      <c r="A8873" t="s">
        <v>52</v>
      </c>
      <c r="B8873" s="45" t="s">
        <v>64</v>
      </c>
    </row>
    <row r="8874" spans="1:21" x14ac:dyDescent="0.2">
      <c r="A8874" t="s">
        <v>48</v>
      </c>
      <c r="B8874" s="45" t="s">
        <v>945</v>
      </c>
    </row>
    <row r="8875" spans="1:21" x14ac:dyDescent="0.2">
      <c r="A8875" t="s">
        <v>54</v>
      </c>
      <c r="B8875" s="45" t="str">
        <f>INDEX(overview!$B$4:$R$338,MATCH('hydrogen - electrolysis'!B8874,overview!$A$4:$A$338,0),MATCH('hydrogen - electrolysis'!A8875,overview!$B$3:$R$3,0))</f>
        <v>electricity, from residential heating system</v>
      </c>
    </row>
    <row r="8876" spans="1:21" x14ac:dyDescent="0.2">
      <c r="A8876" t="s">
        <v>55</v>
      </c>
      <c r="B8876" s="45" t="str">
        <f>INDEX(overview!$B$4:$R$338,MATCH('hydrogen - electrolysis'!B8874,overview!$A$4:$A$338,0),MATCH('hydrogen - electrolysis'!A8876,overview!$B$3:$R$3,0))</f>
        <v>kilowatt hour</v>
      </c>
    </row>
    <row r="8877" spans="1:21" x14ac:dyDescent="0.2">
      <c r="A8877" t="s">
        <v>0</v>
      </c>
      <c r="B8877" s="45" t="str">
        <f>INDEX(overview!$B$4:$R$338,MATCH('hydrogen - electrolysis'!B8874,overview!$A$4:$A$338,0),MATCH('hydrogen - electrolysis'!A8877,overview!$B$3:$R$3,0))</f>
        <v>Switzerland</v>
      </c>
    </row>
    <row r="8878" spans="1:21" x14ac:dyDescent="0.2">
      <c r="A8878" t="s">
        <v>1</v>
      </c>
      <c r="B8878" s="45">
        <f>INDEX(overview!$B$4:$R$338,MATCH('hydrogen - electrolysis'!B8874,overview!$A$4:$A$338,0),MATCH('hydrogen - electrolysis'!A8878,overview!$B$3:$R$3,0))</f>
        <v>2020</v>
      </c>
    </row>
    <row r="8879" spans="1:21" x14ac:dyDescent="0.2">
      <c r="A8879" t="s">
        <v>2</v>
      </c>
      <c r="B8879" s="45" t="str">
        <f>INDEX(overview!$B$4:$R$338,MATCH('hydrogen - electrolysis'!B8874,overview!$A$4:$A$338,0),MATCH('hydrogen - electrolysis'!A8879,overview!$B$3:$R$3,0))</f>
        <v>1 kWh electricity</v>
      </c>
    </row>
    <row r="8880" spans="1:21" x14ac:dyDescent="0.2">
      <c r="A8880" t="s">
        <v>5</v>
      </c>
      <c r="B8880" s="45" t="str">
        <f>INDEX(overview!$B$4:$R$338,MATCH('hydrogen - electrolysis'!B8874,overview!$A$4:$A$338,0),MATCH('hydrogen - electrolysis'!A8880,overview!$B$3:$R$3,0))</f>
        <v>hydrogen</v>
      </c>
    </row>
    <row r="8881" spans="1:2" x14ac:dyDescent="0.2">
      <c r="A8881" t="s">
        <v>3</v>
      </c>
      <c r="B8881" s="45" t="str">
        <f>INDEX(overview!$B$4:$R$338,MATCH('hydrogen - electrolysis'!B8874,overview!$A$4:$A$338,0),MATCH('hydrogen - electrolysis'!A8881,overview!$B$3:$R$3,0))</f>
        <v>conversion</v>
      </c>
    </row>
    <row r="8882" spans="1:2" x14ac:dyDescent="0.2">
      <c r="A8882" t="s">
        <v>6</v>
      </c>
      <c r="B8882" s="45" t="str">
        <f>INDEX(overview!$B$4:$R$338,MATCH('hydrogen - electrolysis'!B8874,overview!$A$4:$A$338,0),MATCH('hydrogen - electrolysis'!A8882,overview!$B$3:$R$3,0))</f>
        <v>fuel cell, SOFC</v>
      </c>
    </row>
    <row r="8883" spans="1:2" x14ac:dyDescent="0.2">
      <c r="A8883" t="s">
        <v>39</v>
      </c>
      <c r="B8883" s="45" t="str">
        <f>INDEX(overview!$B$4:$R$338,MATCH('hydrogen - electrolysis'!B8874,overview!$A$4:$A$338,0),MATCH('hydrogen - electrolysis'!A8883,overview!$B$3:$R$3,0))</f>
        <v>exergy</v>
      </c>
    </row>
    <row r="8884" spans="1:2" x14ac:dyDescent="0.2">
      <c r="A8884" t="s">
        <v>4</v>
      </c>
      <c r="B8884" s="45" t="str">
        <f>INDEX(overview!$B$4:$R$338,MATCH('hydrogen - electrolysis'!B8874,overview!$A$4:$A$338,0),MATCH('hydrogen - electrolysis'!A8884,overview!$B$3:$R$3,0))</f>
        <v>pipeline</v>
      </c>
    </row>
    <row r="8885" spans="1:2" x14ac:dyDescent="0.2">
      <c r="A8885" t="s">
        <v>38</v>
      </c>
      <c r="B8885" s="45">
        <f>INDEX(overview!$B$4:$R$338,MATCH('hydrogen - electrolysis'!B8874,overview!$A$4:$A$338,0),MATCH('hydrogen - electrolysis'!A8885,overview!$B$3:$R$3,0))</f>
        <v>1300</v>
      </c>
    </row>
    <row r="8886" spans="1:2" x14ac:dyDescent="0.2">
      <c r="A8886" t="s">
        <v>12</v>
      </c>
      <c r="B8886" s="45" t="str">
        <f>INDEX(overview!$B$4:$R$338,MATCH('hydrogen - electrolysis'!B8874,overview!$A$4:$A$338,0),MATCH('hydrogen - electrolysis'!A8886,overview!$B$3:$R$3,0))</f>
        <v>Pressure vessel for stationary storage</v>
      </c>
    </row>
    <row r="8887" spans="1:2" x14ac:dyDescent="0.2">
      <c r="A8887" t="s">
        <v>34</v>
      </c>
      <c r="B8887" s="45">
        <f>INDEX(overview!$B$4:$R$338,MATCH('hydrogen - electrolysis'!B8874,overview!$A$4:$A$338,0),MATCH('hydrogen - electrolysis'!A8887,overview!$B$3:$R$3,0))</f>
        <v>0</v>
      </c>
    </row>
    <row r="8888" spans="1:2" x14ac:dyDescent="0.2">
      <c r="A8888" t="s">
        <v>15</v>
      </c>
      <c r="B8888" s="45" t="str">
        <f>INDEX(overview!$B$4:$R$338,MATCH('hydrogen - electrolysis'!B8874,overview!$A$4:$A$338,0),MATCH('hydrogen - electrolysis'!A8888,overview!$B$3:$R$3,0))</f>
        <v>Electrolysis, PEM</v>
      </c>
    </row>
    <row r="8889" spans="1:2" x14ac:dyDescent="0.2">
      <c r="A8889" t="s">
        <v>14</v>
      </c>
      <c r="B8889" s="45" t="str">
        <f>INDEX(overview!$B$4:$R$338,MATCH('hydrogen - electrolysis'!B8874,overview!$A$4:$A$338,0),MATCH('hydrogen - electrolysis'!A8889,overview!$B$3:$R$3,0))</f>
        <v>water and electricity</v>
      </c>
    </row>
    <row r="8890" spans="1:2" x14ac:dyDescent="0.2">
      <c r="A8890" t="s">
        <v>26</v>
      </c>
      <c r="B8890" s="45" t="str">
        <f>INDEX(overview!$B$4:$R$338,MATCH('hydrogen - electrolysis'!B8874,overview!$A$4:$A$338,0),MATCH('hydrogen - electrolysis'!A8890,overview!$B$3:$R$3,0))</f>
        <v>Wind (DK)</v>
      </c>
    </row>
    <row r="8891" spans="1:2" x14ac:dyDescent="0.2">
      <c r="A8891" t="s">
        <v>29</v>
      </c>
      <c r="B8891" s="45">
        <f>INDEX(overview!$B$4:$R$338,MATCH('hydrogen - electrolysis'!B8874,overview!$A$4:$A$338,0),MATCH('hydrogen - electrolysis'!A8891,overview!$B$3:$R$3,0))</f>
        <v>0</v>
      </c>
    </row>
    <row r="8892" spans="1:2" x14ac:dyDescent="0.2">
      <c r="A8892" t="str">
        <f>IF(B8876="megajoule","Heat","Electricity")&amp;" conversion efficiency [% LHV input]"</f>
        <v>Electricity conversion efficiency [% LHV input]</v>
      </c>
      <c r="B8892" s="46">
        <f>INDEX(parameters!$D$4:$N$20,MATCH('hydrogen - electrolysis'!B8880&amp;'hydrogen - electrolysis'!B8882,parameters!$A$4:$A$20,0),MATCH('hydrogen - electrolysis'!A8892,parameters!$D$3:$N$3,0))</f>
        <v>0.47</v>
      </c>
    </row>
    <row r="8893" spans="1:2" x14ac:dyDescent="0.2">
      <c r="A8893" t="str">
        <f>IF(B8876="megajoule","LHV [MJ/kg]","LHV [kWh/kg]")</f>
        <v>LHV [kWh/kg]</v>
      </c>
      <c r="B8893" s="47">
        <f>INDEX(parameters!$D$4:$N$20,MATCH('hydrogen - electrolysis'!B8880&amp;'hydrogen - electrolysis'!B8882,parameters!$A$4:$A$20,0),MATCH('hydrogen - electrolysis'!A8893,parameters!$D$3:$N$3,0))</f>
        <v>33.333333333333336</v>
      </c>
    </row>
    <row r="8894" spans="1:2" x14ac:dyDescent="0.2">
      <c r="A8894" t="s">
        <v>41</v>
      </c>
      <c r="B8894" s="48">
        <f>INDEX(parameters!$D$4:$N$20,MATCH('hydrogen - electrolysis'!B8880&amp;'hydrogen - electrolysis'!B8882,parameters!$A$4:$A$20,0),MATCH('hydrogen - electrolysis'!A8894,parameters!$D$3:$N$3,0))</f>
        <v>2.6666666666666665E-2</v>
      </c>
    </row>
    <row r="8895" spans="1:2" x14ac:dyDescent="0.2">
      <c r="A8895" t="s">
        <v>45</v>
      </c>
      <c r="B8895" s="46">
        <f>INDEX(parameters!$D$4:$N$20,MATCH('hydrogen - electrolysis'!B8880&amp;'hydrogen - electrolysis'!B8882,parameters!$A$4:$A$20,0),MATCH('hydrogen - electrolysis'!A8895,parameters!$D$3:$N$3,0))</f>
        <v>0</v>
      </c>
    </row>
    <row r="8896" spans="1:2" x14ac:dyDescent="0.2">
      <c r="A8896" t="s">
        <v>46</v>
      </c>
      <c r="B8896" s="46">
        <f>INDEX(parameters!$D$4:$N$20,MATCH('hydrogen - electrolysis'!B8880&amp;'hydrogen - electrolysis'!B8882,parameters!$A$4:$A$20,0),MATCH('hydrogen - electrolysis'!A8896,parameters!$D$3:$N$3,0))</f>
        <v>1.4999999999999999E-2</v>
      </c>
    </row>
    <row r="8897" spans="1:22" x14ac:dyDescent="0.2">
      <c r="A8897" t="s">
        <v>43</v>
      </c>
      <c r="B8897" s="46">
        <f>INDEX(parameters!$D$4:$N$20,MATCH('hydrogen - electrolysis'!B8880&amp;'hydrogen - electrolysis'!B8882,parameters!$A$4:$A$20,0),MATCH('hydrogen - electrolysis'!A8897,parameters!$D$3:$N$3,0))</f>
        <v>0</v>
      </c>
    </row>
    <row r="8898" spans="1:22" x14ac:dyDescent="0.2">
      <c r="A8898" t="s">
        <v>44</v>
      </c>
      <c r="B8898" s="46">
        <f>INDEX(parameters!$D$4:$N$20,MATCH('hydrogen - electrolysis'!B8880&amp;'hydrogen - electrolysis'!B8882,parameters!$A$4:$A$20,0),MATCH('hydrogen - electrolysis'!A8898,parameters!$D$3:$N$3,0))</f>
        <v>0</v>
      </c>
    </row>
    <row r="8899" spans="1:22" x14ac:dyDescent="0.2">
      <c r="A8899" t="s">
        <v>634</v>
      </c>
      <c r="B8899" s="51">
        <f>INDEX(parameters!$D$4:$Y$20,MATCH('hydrogen - electrolysis'!B8880&amp;'hydrogen - electrolysis'!B8882,parameters!$A$4:$A$20,0),MATCH('hydrogen - electrolysis'!A8899,parameters!$D$3:$Y$3,0))</f>
        <v>225</v>
      </c>
      <c r="D8899" s="8"/>
    </row>
    <row r="8900" spans="1:22" x14ac:dyDescent="0.2">
      <c r="A8900" t="s">
        <v>82</v>
      </c>
      <c r="B8900" s="46">
        <f>IF(B8891&lt;&gt;0,VLOOKUP(B8891,parameters!A5691:B5693,2,0),0)</f>
        <v>0</v>
      </c>
    </row>
    <row r="8901" spans="1:22" x14ac:dyDescent="0.2">
      <c r="A8901" t="s">
        <v>548</v>
      </c>
      <c r="B8901" s="50">
        <f>INDEX(parameters!$D$4:$P$20,MATCH(B8880&amp;B8882,parameters!$A$4:$A$20,0),MATCH(A8901,parameters!$D$3:$P$3,0))</f>
        <v>100</v>
      </c>
    </row>
    <row r="8902" spans="1:22" x14ac:dyDescent="0.2">
      <c r="A8902" t="s">
        <v>547</v>
      </c>
      <c r="B8902" s="51">
        <f>INDEX(parameters!$D$4:$P$20,MATCH(B8880&amp;B8882,parameters!$A$4:$A$20,0),MATCH(A8902,parameters!$D$3:$P$3,0))</f>
        <v>6</v>
      </c>
    </row>
    <row r="8903" spans="1:22" x14ac:dyDescent="0.2">
      <c r="A8903" t="s">
        <v>630</v>
      </c>
      <c r="B8903" s="51">
        <f>INDEX(parameters!$D$4:$T$20,MATCH(B8880&amp;B8882,parameters!$A$4:$A$20,0),MATCH(A8903,parameters!$D$3:$T$3,0))</f>
        <v>4100</v>
      </c>
    </row>
    <row r="8904" spans="1:22" x14ac:dyDescent="0.2">
      <c r="A8904" t="s">
        <v>1005</v>
      </c>
      <c r="B8904" s="50">
        <f>IF(B8876="megajoule",SUMIFS(allocation!$I$4:$I$30,allocation!$B$4:$B$30,B8882,allocation!$C$4:$C$30,B8883),SUMIFS(allocation!$J$4:$J$30,allocation!$B$4:$B$30,B8882,allocation!$C$4:$C$30,B8883))</f>
        <v>0.86412493489600906</v>
      </c>
    </row>
    <row r="8905" spans="1:22" x14ac:dyDescent="0.2">
      <c r="A8905" t="s">
        <v>1050</v>
      </c>
      <c r="B8905" s="51">
        <f>INDEX(parameters!$D$4:$AB$20,MATCH(B8880&amp;B8882,parameters!$A$4:$A$20,0),MATCH(A8905,parameters!$D$3:$AB$3,0))</f>
        <v>1153.1249999999998</v>
      </c>
    </row>
    <row r="8907" spans="1:22" x14ac:dyDescent="0.2">
      <c r="A8907" s="3" t="s">
        <v>57</v>
      </c>
    </row>
    <row r="8908" spans="1:22" x14ac:dyDescent="0.2">
      <c r="A8908" s="2" t="s">
        <v>58</v>
      </c>
      <c r="B8908" s="44" t="s">
        <v>59</v>
      </c>
      <c r="C8908" s="2" t="s">
        <v>55</v>
      </c>
      <c r="D8908" s="2" t="s">
        <v>60</v>
      </c>
      <c r="E8908" s="2" t="s">
        <v>52</v>
      </c>
      <c r="F8908" s="2" t="s">
        <v>61</v>
      </c>
      <c r="G8908" s="2" t="s">
        <v>54</v>
      </c>
      <c r="H8908" s="2" t="s">
        <v>87</v>
      </c>
      <c r="I8908" s="2" t="s">
        <v>51</v>
      </c>
      <c r="J8908" s="2" t="s">
        <v>138</v>
      </c>
      <c r="K8908" s="2" t="s">
        <v>136</v>
      </c>
      <c r="L8908" s="2" t="s">
        <v>221</v>
      </c>
      <c r="M8908" s="2" t="s">
        <v>379</v>
      </c>
      <c r="N8908" s="2" t="s">
        <v>1059</v>
      </c>
      <c r="O8908" s="2" t="s">
        <v>1060</v>
      </c>
      <c r="P8908" s="2" t="s">
        <v>1061</v>
      </c>
      <c r="Q8908" s="2" t="s">
        <v>1062</v>
      </c>
      <c r="R8908" s="2" t="s">
        <v>1063</v>
      </c>
      <c r="S8908" s="2" t="s">
        <v>1064</v>
      </c>
      <c r="T8908" s="2" t="s">
        <v>1065</v>
      </c>
      <c r="U8908" s="2" t="s">
        <v>380</v>
      </c>
      <c r="V8908" s="2" t="s">
        <v>1128</v>
      </c>
    </row>
    <row r="8909" spans="1:22" x14ac:dyDescent="0.2">
      <c r="A8909" t="str">
        <f>B8870</f>
        <v>electricity, residential, by conversion of hydrogen using fuel cell, SOFC, allocated by exergy, transported by pipeline, produced by Electrolysis, PEM using water and electricity from Wind (DK)</v>
      </c>
      <c r="B8909" s="45">
        <v>1</v>
      </c>
      <c r="C8909" t="str">
        <f>B8876</f>
        <v>kilowatt hour</v>
      </c>
      <c r="E8909" t="str">
        <f>B8873</f>
        <v>CH</v>
      </c>
      <c r="F8909" t="s">
        <v>62</v>
      </c>
      <c r="G8909" t="str">
        <f>B8875</f>
        <v>electricity, from residential heating system</v>
      </c>
      <c r="K8909" t="str">
        <f>B8870</f>
        <v>electricity, residential, by conversion of hydrogen using fuel cell, SOFC, allocated by exergy, transported by pipeline, produced by Electrolysis, PEM using water and electricity from Wind (DK)</v>
      </c>
    </row>
    <row r="8910" spans="1:22" x14ac:dyDescent="0.2">
      <c r="A8910" t="str">
        <f>VLOOKUP(J8910,'dataset mapping'!$A$4:$E$69,2,0)</f>
        <v>fuel cell production, stack solid oxide, 125kW electrical, future</v>
      </c>
      <c r="B8910" s="52">
        <f>(1/(B8899*B8903*B8902))*B8904</f>
        <v>1.5612013277254003E-7</v>
      </c>
      <c r="C8910" t="str">
        <f>VLOOKUP(J8910,'dataset mapping'!$A$4:$E$69,5,0)</f>
        <v>unit</v>
      </c>
      <c r="E8910" t="str">
        <f>VLOOKUP(J8910,'dataset mapping'!$A$4:$E$69,4,0)</f>
        <v>CH</v>
      </c>
      <c r="F8910" t="s">
        <v>86</v>
      </c>
      <c r="G8910" t="str">
        <f>VLOOKUP(J8910,'dataset mapping'!$A$4:$E$69,3,0)</f>
        <v>fuel cell, stack solid oxide, 125kW electrical, future</v>
      </c>
      <c r="H8910" t="s">
        <v>88</v>
      </c>
      <c r="I8910" t="s">
        <v>277</v>
      </c>
      <c r="J8910" t="s">
        <v>274</v>
      </c>
      <c r="K8910" t="str">
        <f>B8870</f>
        <v>electricity, residential, by conversion of hydrogen using fuel cell, SOFC, allocated by exergy, transported by pipeline, produced by Electrolysis, PEM using water and electricity from Wind (DK)</v>
      </c>
      <c r="L8910">
        <f t="shared" ref="L8910:L8914" si="376">IF(OR(B8910&lt;0,B8910=0),1,2)</f>
        <v>2</v>
      </c>
      <c r="M8910">
        <f t="shared" ref="M8910:M8914" si="377">IF(L8910=2,LN(B8910),"")</f>
        <v>-15.672640044182527</v>
      </c>
      <c r="N8910">
        <v>1</v>
      </c>
      <c r="O8910" s="15">
        <v>1.2</v>
      </c>
      <c r="P8910">
        <v>1</v>
      </c>
      <c r="Q8910">
        <v>1.01</v>
      </c>
      <c r="R8910">
        <v>1.2</v>
      </c>
      <c r="S8910">
        <v>1.2</v>
      </c>
      <c r="T8910">
        <v>3</v>
      </c>
      <c r="U8910">
        <f t="shared" ref="U8910:U8914" si="378">LN(SQRT(EXP(
SQRT(
+POWER(LN(N8910),2)
+POWER(LN(O8910),2)
+POWER(LN(P8910),2)
+POWER(LN(Q8910),2)
+POWER(LN(R8910),2)
+POWER(LN(S8910),2)
+POWER(LN(T8910),2)
)
)))</f>
        <v>0.57157051623399524</v>
      </c>
    </row>
    <row r="8911" spans="1:22" x14ac:dyDescent="0.2">
      <c r="A8911" t="s">
        <v>283</v>
      </c>
      <c r="B8911" s="52">
        <f>(1/(B8899*B8903*B8902))*B8904</f>
        <v>1.5612013277254003E-7</v>
      </c>
      <c r="C8911" t="s">
        <v>55</v>
      </c>
      <c r="E8911" t="s">
        <v>64</v>
      </c>
      <c r="F8911" t="s">
        <v>86</v>
      </c>
      <c r="G8911" t="s">
        <v>284</v>
      </c>
      <c r="H8911" t="s">
        <v>88</v>
      </c>
      <c r="I8911" t="s">
        <v>277</v>
      </c>
      <c r="K8911" t="str">
        <f>B8870</f>
        <v>electricity, residential, by conversion of hydrogen using fuel cell, SOFC, allocated by exergy, transported by pipeline, produced by Electrolysis, PEM using water and electricity from Wind (DK)</v>
      </c>
      <c r="L8911">
        <f t="shared" si="376"/>
        <v>2</v>
      </c>
      <c r="M8911">
        <f t="shared" si="377"/>
        <v>-15.672640044182527</v>
      </c>
      <c r="N8911">
        <v>1</v>
      </c>
      <c r="O8911" s="15">
        <v>1.2</v>
      </c>
      <c r="P8911">
        <v>1</v>
      </c>
      <c r="Q8911">
        <v>1.01</v>
      </c>
      <c r="R8911">
        <v>1.2</v>
      </c>
      <c r="S8911">
        <v>1.2</v>
      </c>
      <c r="T8911">
        <v>3</v>
      </c>
      <c r="U8911">
        <f t="shared" si="378"/>
        <v>0.57157051623399524</v>
      </c>
    </row>
    <row r="8912" spans="1:22" x14ac:dyDescent="0.2">
      <c r="A8912" t="s">
        <v>288</v>
      </c>
      <c r="B8912" s="52">
        <f>0.000024*B8904</f>
        <v>2.0738998437504217E-5</v>
      </c>
      <c r="C8912" t="s">
        <v>56</v>
      </c>
      <c r="E8912" t="s">
        <v>64</v>
      </c>
      <c r="F8912" t="s">
        <v>86</v>
      </c>
      <c r="G8912" t="s">
        <v>287</v>
      </c>
      <c r="H8912" t="s">
        <v>88</v>
      </c>
      <c r="K8912" t="str">
        <f>B8870</f>
        <v>electricity, residential, by conversion of hydrogen using fuel cell, SOFC, allocated by exergy, transported by pipeline, produced by Electrolysis, PEM using water and electricity from Wind (DK)</v>
      </c>
      <c r="L8912">
        <f t="shared" si="376"/>
        <v>2</v>
      </c>
      <c r="M8912">
        <f t="shared" si="377"/>
        <v>-10.783494647673981</v>
      </c>
      <c r="N8912">
        <v>1</v>
      </c>
      <c r="O8912" s="15">
        <v>1.2</v>
      </c>
      <c r="P8912">
        <v>1</v>
      </c>
      <c r="Q8912">
        <v>1.01</v>
      </c>
      <c r="R8912">
        <v>1.2</v>
      </c>
      <c r="S8912">
        <v>1.2</v>
      </c>
      <c r="T8912">
        <v>1.05</v>
      </c>
      <c r="U8912">
        <f t="shared" si="378"/>
        <v>0.15984597228197622</v>
      </c>
    </row>
    <row r="8913" spans="1:21" x14ac:dyDescent="0.2">
      <c r="A8913" s="45" t="str">
        <f>"hydrogen supply, transported by "&amp;B8884&amp;", produced by "&amp;B8888&amp;" using "&amp;B8889&amp;" from "&amp;B8890</f>
        <v>hydrogen supply, transported by pipeline, produced by Electrolysis, PEM using water and electricity from Wind (DK)</v>
      </c>
      <c r="B8913" s="53">
        <f>(B8909/B8893)/B8892*B8904</f>
        <v>5.515691073804313E-2</v>
      </c>
      <c r="C8913" t="s">
        <v>56</v>
      </c>
      <c r="E8913" t="s">
        <v>64</v>
      </c>
      <c r="F8913" t="s">
        <v>86</v>
      </c>
      <c r="G8913" t="str">
        <f>"hydrogen, gaseous, from "&amp;B8884</f>
        <v>hydrogen, gaseous, from pipeline</v>
      </c>
      <c r="H8913" t="s">
        <v>76</v>
      </c>
      <c r="I8913" t="s">
        <v>1054</v>
      </c>
      <c r="J8913" t="s">
        <v>303</v>
      </c>
      <c r="K8913" t="str">
        <f>B8870</f>
        <v>electricity, residential, by conversion of hydrogen using fuel cell, SOFC, allocated by exergy, transported by pipeline, produced by Electrolysis, PEM using water and electricity from Wind (DK)</v>
      </c>
      <c r="L8913">
        <f t="shared" si="376"/>
        <v>2</v>
      </c>
      <c r="M8913">
        <f t="shared" si="377"/>
        <v>-2.8975732330996009</v>
      </c>
      <c r="N8913">
        <v>1</v>
      </c>
      <c r="O8913" s="15">
        <v>1.2</v>
      </c>
      <c r="P8913">
        <v>1</v>
      </c>
      <c r="Q8913">
        <v>1.01</v>
      </c>
      <c r="R8913">
        <v>1.2</v>
      </c>
      <c r="S8913">
        <v>1.2</v>
      </c>
      <c r="T8913">
        <v>1.05</v>
      </c>
      <c r="U8913">
        <f t="shared" si="378"/>
        <v>0.15984597228197622</v>
      </c>
    </row>
    <row r="8914" spans="1:21" x14ac:dyDescent="0.2">
      <c r="A8914" t="s">
        <v>134</v>
      </c>
      <c r="B8914" s="45">
        <f>B8913*9</f>
        <v>0.49641219664238817</v>
      </c>
      <c r="C8914" t="s">
        <v>56</v>
      </c>
      <c r="D8914" t="s">
        <v>100</v>
      </c>
      <c r="F8914" t="s">
        <v>99</v>
      </c>
      <c r="H8914" t="s">
        <v>131</v>
      </c>
      <c r="I8914" t="s">
        <v>1057</v>
      </c>
      <c r="K8914" t="str">
        <f>B8870</f>
        <v>electricity, residential, by conversion of hydrogen using fuel cell, SOFC, allocated by exergy, transported by pipeline, produced by Electrolysis, PEM using water and electricity from Wind (DK)</v>
      </c>
      <c r="L8914">
        <f t="shared" si="376"/>
        <v>2</v>
      </c>
      <c r="M8914">
        <f t="shared" si="377"/>
        <v>-0.70034865576338168</v>
      </c>
      <c r="N8914">
        <v>1</v>
      </c>
      <c r="O8914" s="15">
        <v>1.2</v>
      </c>
      <c r="P8914">
        <v>1</v>
      </c>
      <c r="Q8914">
        <v>1.01</v>
      </c>
      <c r="R8914">
        <v>1.2</v>
      </c>
      <c r="S8914">
        <v>1.2</v>
      </c>
      <c r="T8914">
        <v>1.05</v>
      </c>
      <c r="U8914">
        <f t="shared" si="378"/>
        <v>0.15984597228197622</v>
      </c>
    </row>
    <row r="8916" spans="1:21" x14ac:dyDescent="0.2">
      <c r="A8916" s="2" t="s">
        <v>50</v>
      </c>
      <c r="B8916" s="44" t="str">
        <f>IF(B8922="megajoule","heat","electricity")&amp;", residential, by "&amp;B8927&amp;" of "&amp;B8926&amp;" using "&amp;B8928&amp;IF(B8929&lt;&gt;0,", allocated by "&amp;B8929,"")&amp;", transported by "&amp;B8930&amp;", produced by "&amp;B8934&amp;" using "&amp;B8935&amp;" from "&amp;B8936</f>
        <v>heat, residential, by combustion of hydrogen using boiler, transported by train, produced by Electrolysis, PEM using water and electricity from Wind (DK)</v>
      </c>
    </row>
    <row r="8917" spans="1:21" x14ac:dyDescent="0.2">
      <c r="A8917" t="s">
        <v>51</v>
      </c>
      <c r="B8917" s="45" t="str">
        <f>"This dataset represents the supply of 1 "&amp;IF(B8922="megajoule","megajoule of heat","kilowatt hour of electricity")&amp;" in a residence, by "&amp;B8926&amp;" "&amp;B8927&amp;" in a "&amp;B8928&amp;". "&amp;" The hydrogen is transported by "&amp;B8930&amp;" over "&amp;B8931&amp;" km from regional storage. "&amp;" The "&amp;B8926&amp;" is produced by  "&amp;B8934&amp;", with "&amp;B8935&amp;" from "&amp;B8936&amp;" as feedstock. "&amp;A8938&amp;": "&amp;(B8938*100)&amp;"%. "&amp;A8939&amp;": "&amp;B8939&amp;". "&amp;A8940&amp;": "&amp;B8940&amp;". "&amp;A8941&amp;": "&amp;(B8941*100)&amp;"%. "&amp;A8942&amp;": "&amp;(B8942*100)&amp;"%. "&amp;A8943&amp;": "&amp;(B8943*100)&amp;"%. "&amp;A8944&amp;": "&amp;B8944&amp;". "&amp;A8945&amp;": "&amp;B8945&amp;". "&amp;A8946&amp;": "&amp;(B8946*100)&amp;"%. "&amp;A8947&amp;": "&amp;B8947&amp;". "&amp;A8948&amp;": "&amp;B8948&amp;". "&amp;A8949&amp;": "&amp;B8949&amp;". "&amp;A8950&amp;": "&amp;B8950&amp;".  For more information, refer to: "&amp;B8918</f>
        <v>This dataset represents the supply of 1 megajoule of heat in a residence, by hydrogen combustion in a boiler.  The hydrogen is transported by train over 1300 km from regional storage.  The hydrogen is produced by  Electrolysis, PEM,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8918" spans="1:21" x14ac:dyDescent="0.2">
      <c r="A8918" t="s">
        <v>63</v>
      </c>
      <c r="B8918" s="45" t="s">
        <v>1223</v>
      </c>
    </row>
    <row r="8919" spans="1:21" x14ac:dyDescent="0.2">
      <c r="A8919" t="s">
        <v>52</v>
      </c>
      <c r="B8919" s="45" t="s">
        <v>64</v>
      </c>
    </row>
    <row r="8920" spans="1:21" x14ac:dyDescent="0.2">
      <c r="A8920" t="s">
        <v>48</v>
      </c>
      <c r="B8920" s="45">
        <v>109</v>
      </c>
    </row>
    <row r="8921" spans="1:21" x14ac:dyDescent="0.2">
      <c r="A8921" t="s">
        <v>54</v>
      </c>
      <c r="B8921" s="45" t="str">
        <f>INDEX(overview!$B$4:$R$338,MATCH('hydrogen - electrolysis'!B8920,overview!$A$4:$A$338,0),MATCH('hydrogen - electrolysis'!A8921,overview!$B$3:$R$3,0))</f>
        <v>heat, from residential heating system</v>
      </c>
    </row>
    <row r="8922" spans="1:21" x14ac:dyDescent="0.2">
      <c r="A8922" t="s">
        <v>55</v>
      </c>
      <c r="B8922" s="45" t="str">
        <f>INDEX(overview!$B$4:$R$338,MATCH('hydrogen - electrolysis'!B8920,overview!$A$4:$A$338,0),MATCH('hydrogen - electrolysis'!A8922,overview!$B$3:$R$3,0))</f>
        <v>megajoule</v>
      </c>
    </row>
    <row r="8923" spans="1:21" x14ac:dyDescent="0.2">
      <c r="A8923" t="s">
        <v>0</v>
      </c>
      <c r="B8923" s="45" t="str">
        <f>INDEX(overview!$B$4:$R$338,MATCH('hydrogen - electrolysis'!B8920,overview!$A$4:$A$338,0),MATCH('hydrogen - electrolysis'!A8923,overview!$B$3:$R$3,0))</f>
        <v>Switzerland</v>
      </c>
    </row>
    <row r="8924" spans="1:21" x14ac:dyDescent="0.2">
      <c r="A8924" t="s">
        <v>1</v>
      </c>
      <c r="B8924" s="45">
        <f>INDEX(overview!$B$4:$R$338,MATCH('hydrogen - electrolysis'!B8920,overview!$A$4:$A$338,0),MATCH('hydrogen - electrolysis'!A8924,overview!$B$3:$R$3,0))</f>
        <v>2020</v>
      </c>
    </row>
    <row r="8925" spans="1:21" x14ac:dyDescent="0.2">
      <c r="A8925" t="s">
        <v>2</v>
      </c>
      <c r="B8925" s="45" t="str">
        <f>INDEX(overview!$B$4:$R$338,MATCH('hydrogen - electrolysis'!B8920,overview!$A$4:$A$338,0),MATCH('hydrogen - electrolysis'!A8925,overview!$B$3:$R$3,0))</f>
        <v>1 MJ heat</v>
      </c>
    </row>
    <row r="8926" spans="1:21" x14ac:dyDescent="0.2">
      <c r="A8926" t="s">
        <v>5</v>
      </c>
      <c r="B8926" s="45" t="str">
        <f>INDEX(overview!$B$4:$R$338,MATCH('hydrogen - electrolysis'!B8920,overview!$A$4:$A$338,0),MATCH('hydrogen - electrolysis'!A8926,overview!$B$3:$R$3,0))</f>
        <v>hydrogen</v>
      </c>
    </row>
    <row r="8927" spans="1:21" x14ac:dyDescent="0.2">
      <c r="A8927" t="s">
        <v>3</v>
      </c>
      <c r="B8927" s="45" t="str">
        <f>INDEX(overview!$B$4:$R$338,MATCH('hydrogen - electrolysis'!B8920,overview!$A$4:$A$338,0),MATCH('hydrogen - electrolysis'!A8927,overview!$B$3:$R$3,0))</f>
        <v>combustion</v>
      </c>
    </row>
    <row r="8928" spans="1:21" x14ac:dyDescent="0.2">
      <c r="A8928" t="s">
        <v>6</v>
      </c>
      <c r="B8928" s="45" t="str">
        <f>INDEX(overview!$B$4:$R$338,MATCH('hydrogen - electrolysis'!B8920,overview!$A$4:$A$338,0),MATCH('hydrogen - electrolysis'!A8928,overview!$B$3:$R$3,0))</f>
        <v>boiler</v>
      </c>
    </row>
    <row r="8929" spans="1:2" x14ac:dyDescent="0.2">
      <c r="A8929" t="s">
        <v>39</v>
      </c>
      <c r="B8929" s="45">
        <f>INDEX(overview!$B$4:$R$338,MATCH('hydrogen - electrolysis'!B8920,overview!$A$4:$A$338,0),MATCH('hydrogen - electrolysis'!A8929,overview!$B$3:$R$3,0))</f>
        <v>0</v>
      </c>
    </row>
    <row r="8930" spans="1:2" x14ac:dyDescent="0.2">
      <c r="A8930" t="s">
        <v>4</v>
      </c>
      <c r="B8930" s="45" t="str">
        <f>INDEX(overview!$B$4:$R$338,MATCH('hydrogen - electrolysis'!B8920,overview!$A$4:$A$338,0),MATCH('hydrogen - electrolysis'!A8930,overview!$B$3:$R$3,0))</f>
        <v>train</v>
      </c>
    </row>
    <row r="8931" spans="1:2" x14ac:dyDescent="0.2">
      <c r="A8931" t="s">
        <v>38</v>
      </c>
      <c r="B8931" s="45">
        <f>INDEX(overview!$B$4:$R$338,MATCH('hydrogen - electrolysis'!B8920,overview!$A$4:$A$338,0),MATCH('hydrogen - electrolysis'!A8931,overview!$B$3:$R$3,0))</f>
        <v>1300</v>
      </c>
    </row>
    <row r="8932" spans="1:2" x14ac:dyDescent="0.2">
      <c r="A8932" t="s">
        <v>12</v>
      </c>
      <c r="B8932" s="45" t="str">
        <f>INDEX(overview!$B$4:$R$338,MATCH('hydrogen - electrolysis'!B8920,overview!$A$4:$A$338,0),MATCH('hydrogen - electrolysis'!A8932,overview!$B$3:$R$3,0))</f>
        <v>Pressure vessel for stationary storage</v>
      </c>
    </row>
    <row r="8933" spans="1:2" x14ac:dyDescent="0.2">
      <c r="A8933" t="s">
        <v>34</v>
      </c>
      <c r="B8933" s="45">
        <f>INDEX(overview!$B$4:$R$338,MATCH('hydrogen - electrolysis'!B8920,overview!$A$4:$A$338,0),MATCH('hydrogen - electrolysis'!A8933,overview!$B$3:$R$3,0))</f>
        <v>0</v>
      </c>
    </row>
    <row r="8934" spans="1:2" x14ac:dyDescent="0.2">
      <c r="A8934" t="s">
        <v>15</v>
      </c>
      <c r="B8934" s="45" t="str">
        <f>INDEX(overview!$B$4:$R$338,MATCH('hydrogen - electrolysis'!B8920,overview!$A$4:$A$338,0),MATCH('hydrogen - electrolysis'!A8934,overview!$B$3:$R$3,0))</f>
        <v>Electrolysis, PEM</v>
      </c>
    </row>
    <row r="8935" spans="1:2" x14ac:dyDescent="0.2">
      <c r="A8935" t="s">
        <v>14</v>
      </c>
      <c r="B8935" s="45" t="str">
        <f>INDEX(overview!$B$4:$R$338,MATCH('hydrogen - electrolysis'!B8920,overview!$A$4:$A$338,0),MATCH('hydrogen - electrolysis'!A8935,overview!$B$3:$R$3,0))</f>
        <v>water and electricity</v>
      </c>
    </row>
    <row r="8936" spans="1:2" x14ac:dyDescent="0.2">
      <c r="A8936" t="s">
        <v>26</v>
      </c>
      <c r="B8936" s="45" t="str">
        <f>INDEX(overview!$B$4:$R$338,MATCH('hydrogen - electrolysis'!B8920,overview!$A$4:$A$338,0),MATCH('hydrogen - electrolysis'!A8936,overview!$B$3:$R$3,0))</f>
        <v>Wind (DK)</v>
      </c>
    </row>
    <row r="8937" spans="1:2" x14ac:dyDescent="0.2">
      <c r="A8937" t="s">
        <v>29</v>
      </c>
      <c r="B8937" s="45">
        <f>INDEX(overview!$B$4:$R$338,MATCH('hydrogen - electrolysis'!B8920,overview!$A$4:$A$338,0),MATCH('hydrogen - electrolysis'!A8937,overview!$B$3:$R$3,0))</f>
        <v>0</v>
      </c>
    </row>
    <row r="8938" spans="1:2" x14ac:dyDescent="0.2">
      <c r="A8938" t="str">
        <f>IF(B8922="megajoule","Heat","Electricity")&amp;" conversion efficiency [% LHV input]"</f>
        <v>Heat conversion efficiency [% LHV input]</v>
      </c>
      <c r="B8938" s="46">
        <f>INDEX(parameters!$D$4:$N$20,MATCH('hydrogen - electrolysis'!B8926&amp;'hydrogen - electrolysis'!B8928,parameters!$A$4:$A$20,0),MATCH('hydrogen - electrolysis'!A8938,parameters!$D$3:$N$3,0))</f>
        <v>0.94</v>
      </c>
    </row>
    <row r="8939" spans="1:2" x14ac:dyDescent="0.2">
      <c r="A8939" t="str">
        <f>IF(B8922="megajoule","LHV [MJ/kg]","LHV [kWh/kg]")</f>
        <v>LHV [MJ/kg]</v>
      </c>
      <c r="B8939" s="47">
        <f>INDEX(parameters!$D$4:$N$20,MATCH('hydrogen - electrolysis'!B8926&amp;'hydrogen - electrolysis'!B8928,parameters!$A$4:$A$20,0),MATCH('hydrogen - electrolysis'!A8939,parameters!$D$3:$N$3,0))</f>
        <v>120</v>
      </c>
    </row>
    <row r="8940" spans="1:2" x14ac:dyDescent="0.2">
      <c r="A8940" t="s">
        <v>41</v>
      </c>
      <c r="B8940" s="48">
        <f>INDEX(parameters!$D$4:$N$20,MATCH('hydrogen - electrolysis'!B8926&amp;'hydrogen - electrolysis'!B8928,parameters!$A$4:$A$20,0),MATCH('hydrogen - electrolysis'!A8940,parameters!$D$3:$N$3,0))</f>
        <v>2.6666666666666665E-2</v>
      </c>
    </row>
    <row r="8941" spans="1:2" x14ac:dyDescent="0.2">
      <c r="A8941" t="s">
        <v>45</v>
      </c>
      <c r="B8941" s="49">
        <f>INDEX(parameters!$D$4:$N$20,MATCH('hydrogen - electrolysis'!B8926&amp;'hydrogen - electrolysis'!B8928,parameters!$A$4:$A$20,0),MATCH('hydrogen - electrolysis'!A8941,parameters!$D$3:$N$3,0))</f>
        <v>0</v>
      </c>
    </row>
    <row r="8942" spans="1:2" x14ac:dyDescent="0.2">
      <c r="A8942" t="s">
        <v>46</v>
      </c>
      <c r="B8942" s="49">
        <f>INDEX(parameters!$D$4:$N$20,MATCH('hydrogen - electrolysis'!B8926&amp;'hydrogen - electrolysis'!B8928,parameters!$A$4:$A$20,0),MATCH('hydrogen - electrolysis'!A8942,parameters!$D$3:$N$3,0))</f>
        <v>1.4999999999999999E-2</v>
      </c>
    </row>
    <row r="8943" spans="1:2" x14ac:dyDescent="0.2">
      <c r="A8943" t="s">
        <v>43</v>
      </c>
      <c r="B8943" s="49">
        <f>INDEX(parameters!$D$4:$N$20,MATCH('hydrogen - electrolysis'!B8926&amp;'hydrogen - electrolysis'!B8928,parameters!$A$4:$A$20,0),MATCH('hydrogen - electrolysis'!A8943,parameters!$D$3:$N$3,0))</f>
        <v>0</v>
      </c>
    </row>
    <row r="8944" spans="1:2" x14ac:dyDescent="0.2">
      <c r="A8944" t="s">
        <v>44</v>
      </c>
      <c r="B8944" s="49">
        <f>INDEX(parameters!$D$4:$N$20,MATCH('hydrogen - electrolysis'!B8926&amp;'hydrogen - electrolysis'!B8928,parameters!$A$4:$A$20,0),MATCH('hydrogen - electrolysis'!A8944,parameters!$D$3:$N$3,0))</f>
        <v>0</v>
      </c>
    </row>
    <row r="8945" spans="1:22" x14ac:dyDescent="0.2">
      <c r="A8945" t="s">
        <v>634</v>
      </c>
      <c r="B8945" s="51">
        <f>INDEX(parameters!$D$4:$Y$20,MATCH('hydrogen - electrolysis'!B8926&amp;'hydrogen - electrolysis'!B8928,parameters!$A$4:$A$20,0),MATCH('hydrogen - electrolysis'!A8945,parameters!$D$3:$Y$3,0))</f>
        <v>15.957446808510639</v>
      </c>
    </row>
    <row r="8946" spans="1:22" x14ac:dyDescent="0.2">
      <c r="A8946" t="s">
        <v>82</v>
      </c>
      <c r="B8946" s="46">
        <f>IF(B8937&lt;&gt;0,VLOOKUP(B8937,parameters!A5588:B5590,2,0),0)</f>
        <v>0</v>
      </c>
    </row>
    <row r="8947" spans="1:22" x14ac:dyDescent="0.2">
      <c r="A8947" t="s">
        <v>548</v>
      </c>
      <c r="B8947" s="50">
        <f>INDEX(parameters!$D$4:$P$20,MATCH(B8926&amp;B8928,parameters!$A$4:$A$20,0),MATCH(A8947,parameters!$D$3:$P$3,0))</f>
        <v>15</v>
      </c>
    </row>
    <row r="8948" spans="1:22" x14ac:dyDescent="0.2">
      <c r="A8948" t="s">
        <v>547</v>
      </c>
      <c r="B8948" s="51">
        <f>INDEX(parameters!$D$4:$P$20,MATCH(B8926&amp;B8928,parameters!$A$4:$A$20,0),MATCH(A8948,parameters!$D$3:$P$3,0))</f>
        <v>20</v>
      </c>
    </row>
    <row r="8949" spans="1:22" x14ac:dyDescent="0.2">
      <c r="A8949" t="s">
        <v>630</v>
      </c>
      <c r="B8949" s="51">
        <f>INDEX(parameters!$D$4:$T$20,MATCH(B8926&amp;B8928,parameters!$A$4:$A$20,0),MATCH(A8949,parameters!$D$3:$T$3,0))</f>
        <v>2100</v>
      </c>
    </row>
    <row r="8950" spans="1:22" x14ac:dyDescent="0.2">
      <c r="A8950" t="s">
        <v>1005</v>
      </c>
      <c r="B8950" s="50">
        <f>IF(B8922="megajoule",SUMIFS(allocation!$I$4:$I$30,allocation!$B$4:$B$30,B8928,allocation!$C$4:$C$30,B8929),SUMIFS(allocation!$J$4:$J$30,allocation!$B$4:$B$30,B8928,allocation!$C$4:$C$30,B8929))</f>
        <v>0</v>
      </c>
    </row>
    <row r="8951" spans="1:22" x14ac:dyDescent="0.2">
      <c r="A8951" t="s">
        <v>1050</v>
      </c>
      <c r="B8951" s="51">
        <f>INDEX(parameters!$D$4:$AB$20,MATCH(B8926&amp;B8928,parameters!$A$4:$A$20,0),MATCH(A8951,parameters!$D$3:$AB$3,0))</f>
        <v>44.562019013128115</v>
      </c>
    </row>
    <row r="8953" spans="1:22" x14ac:dyDescent="0.2">
      <c r="A8953" s="3" t="s">
        <v>57</v>
      </c>
    </row>
    <row r="8954" spans="1:22" x14ac:dyDescent="0.2">
      <c r="A8954" s="2" t="s">
        <v>58</v>
      </c>
      <c r="B8954" s="44" t="s">
        <v>59</v>
      </c>
      <c r="C8954" s="2" t="s">
        <v>55</v>
      </c>
      <c r="D8954" s="2" t="s">
        <v>60</v>
      </c>
      <c r="E8954" s="2" t="s">
        <v>52</v>
      </c>
      <c r="F8954" s="2" t="s">
        <v>61</v>
      </c>
      <c r="G8954" s="2" t="s">
        <v>54</v>
      </c>
      <c r="H8954" s="2" t="s">
        <v>87</v>
      </c>
      <c r="I8954" s="2" t="s">
        <v>51</v>
      </c>
      <c r="J8954" s="2" t="s">
        <v>138</v>
      </c>
      <c r="K8954" s="2" t="s">
        <v>136</v>
      </c>
      <c r="L8954" s="2" t="s">
        <v>221</v>
      </c>
      <c r="M8954" s="2" t="s">
        <v>379</v>
      </c>
      <c r="N8954" s="2" t="s">
        <v>1059</v>
      </c>
      <c r="O8954" s="2" t="s">
        <v>1060</v>
      </c>
      <c r="P8954" s="2" t="s">
        <v>1061</v>
      </c>
      <c r="Q8954" s="2" t="s">
        <v>1062</v>
      </c>
      <c r="R8954" s="2" t="s">
        <v>1063</v>
      </c>
      <c r="S8954" s="2" t="s">
        <v>1064</v>
      </c>
      <c r="T8954" s="2" t="s">
        <v>1065</v>
      </c>
      <c r="U8954" s="2" t="s">
        <v>380</v>
      </c>
      <c r="V8954" s="2" t="s">
        <v>1128</v>
      </c>
    </row>
    <row r="8955" spans="1:22" x14ac:dyDescent="0.2">
      <c r="A8955" t="str">
        <f>B8916</f>
        <v>heat, residential, by combustion of hydrogen using boiler, transported by train, produced by Electrolysis, PEM using water and electricity from Wind (DK)</v>
      </c>
      <c r="B8955" s="45">
        <v>1</v>
      </c>
      <c r="C8955" t="str">
        <f>B8922</f>
        <v>megajoule</v>
      </c>
      <c r="E8955" t="str">
        <f>B8919</f>
        <v>CH</v>
      </c>
      <c r="F8955" t="s">
        <v>62</v>
      </c>
      <c r="G8955" t="str">
        <f>B8921</f>
        <v>heat, from residential heating system</v>
      </c>
      <c r="K8955" t="str">
        <f>B8916</f>
        <v>heat, residential, by combustion of hydrogen using boiler, transported by train, produced by Electrolysis, PEM using water and electricity from Wind (DK)</v>
      </c>
    </row>
    <row r="8956" spans="1:22" x14ac:dyDescent="0.2">
      <c r="A8956" t="s">
        <v>83</v>
      </c>
      <c r="B8956" s="52">
        <f>1/(B8947*B8949*B8948*3.6)</f>
        <v>4.4091710758377425E-7</v>
      </c>
      <c r="C8956" t="s">
        <v>55</v>
      </c>
      <c r="E8956" t="s">
        <v>85</v>
      </c>
      <c r="F8956" t="s">
        <v>86</v>
      </c>
      <c r="G8956" t="s">
        <v>84</v>
      </c>
      <c r="H8956" t="s">
        <v>88</v>
      </c>
      <c r="K8956" t="str">
        <f>B8916</f>
        <v>heat, residential, by combustion of hydrogen using boiler, transported by train, produced by Electrolysis, PEM using water and electricity from Wind (DK)</v>
      </c>
      <c r="L8956">
        <f t="shared" ref="L8956:L8963" si="379">IF(OR(B8956&lt;0,B8956=0),1,2)</f>
        <v>2</v>
      </c>
      <c r="M8956">
        <f t="shared" ref="M8956:M8963" si="380">IF(L8956=2,LN(B8956),"")</f>
        <v>-14.634408943829779</v>
      </c>
      <c r="N8956">
        <v>1.05</v>
      </c>
      <c r="O8956" s="15">
        <v>1.2</v>
      </c>
      <c r="P8956">
        <v>1</v>
      </c>
      <c r="Q8956">
        <v>1.01</v>
      </c>
      <c r="R8956">
        <v>1.2</v>
      </c>
      <c r="S8956">
        <v>1.2</v>
      </c>
      <c r="T8956">
        <v>3</v>
      </c>
      <c r="U8956">
        <f t="shared" ref="U8956:U8963" si="381">LN(SQRT(EXP(
SQRT(
+POWER(LN(N8956),2)
+POWER(LN(O8956),2)
+POWER(LN(P8956),2)
+POWER(LN(Q8956),2)
+POWER(LN(R8956),2)
+POWER(LN(S8956),2)
+POWER(LN(T8956),2)
)
)))</f>
        <v>0.57209088006881903</v>
      </c>
    </row>
    <row r="8957" spans="1:22" x14ac:dyDescent="0.2">
      <c r="A8957" t="s">
        <v>500</v>
      </c>
      <c r="B8957" s="52">
        <f>B8956*2</f>
        <v>8.8183421516754851E-7</v>
      </c>
      <c r="C8957" t="s">
        <v>267</v>
      </c>
      <c r="E8957" t="s">
        <v>85</v>
      </c>
      <c r="F8957" t="s">
        <v>86</v>
      </c>
      <c r="G8957" t="s">
        <v>501</v>
      </c>
      <c r="H8957" t="s">
        <v>88</v>
      </c>
      <c r="I8957" t="s">
        <v>621</v>
      </c>
      <c r="K8957" t="str">
        <f>B8916</f>
        <v>heat, residential, by combustion of hydrogen using boiler, transported by train, produced by Electrolysis, PEM using water and electricity from Wind (DK)</v>
      </c>
      <c r="L8957">
        <f t="shared" si="379"/>
        <v>2</v>
      </c>
      <c r="M8957">
        <f t="shared" si="380"/>
        <v>-13.941261763269834</v>
      </c>
      <c r="N8957">
        <v>1.05</v>
      </c>
      <c r="O8957" s="15">
        <v>1.2</v>
      </c>
      <c r="P8957">
        <v>1</v>
      </c>
      <c r="Q8957">
        <v>1.01</v>
      </c>
      <c r="R8957">
        <v>1.2</v>
      </c>
      <c r="S8957">
        <v>1.2</v>
      </c>
      <c r="T8957">
        <v>3</v>
      </c>
      <c r="U8957">
        <f t="shared" si="381"/>
        <v>0.57209088006881903</v>
      </c>
    </row>
    <row r="8958" spans="1:22" x14ac:dyDescent="0.2">
      <c r="A8958" t="s">
        <v>130</v>
      </c>
      <c r="B8958" s="52">
        <v>2.64E-3</v>
      </c>
      <c r="C8958" t="s">
        <v>92</v>
      </c>
      <c r="E8958" t="s">
        <v>64</v>
      </c>
      <c r="F8958" t="s">
        <v>86</v>
      </c>
      <c r="G8958" t="s">
        <v>93</v>
      </c>
      <c r="H8958" t="s">
        <v>78</v>
      </c>
      <c r="I8958" t="s">
        <v>270</v>
      </c>
      <c r="J8958" t="s">
        <v>67</v>
      </c>
      <c r="K8958" t="str">
        <f>B8916</f>
        <v>heat, residential, by combustion of hydrogen using boiler, transported by train, produced by Electrolysis, PEM using water and electricity from Wind (DK)</v>
      </c>
      <c r="L8958">
        <f t="shared" si="379"/>
        <v>2</v>
      </c>
      <c r="M8958">
        <f t="shared" si="380"/>
        <v>-5.9369763618239126</v>
      </c>
      <c r="N8958">
        <v>1.05</v>
      </c>
      <c r="O8958" s="15">
        <v>1.2</v>
      </c>
      <c r="P8958">
        <v>1</v>
      </c>
      <c r="Q8958">
        <v>1.01</v>
      </c>
      <c r="R8958">
        <v>1.2</v>
      </c>
      <c r="S8958">
        <v>1.2</v>
      </c>
      <c r="T8958">
        <v>1.05</v>
      </c>
      <c r="U8958">
        <f t="shared" si="381"/>
        <v>0.16169679924070957</v>
      </c>
    </row>
    <row r="8959" spans="1:22" x14ac:dyDescent="0.2">
      <c r="A8959" s="45" t="str">
        <f>"hydrogen supply, transported by "&amp;B8930&amp;", produced by "&amp;B8934&amp;" using "&amp;B8935&amp;" from "&amp;B8936</f>
        <v>hydrogen supply, transported by train, produced by Electrolysis, PEM using water and electricity from Wind (DK)</v>
      </c>
      <c r="B8959" s="53">
        <f>(B8955/B8939)/B8938</f>
        <v>8.8652482269503553E-3</v>
      </c>
      <c r="C8959" t="s">
        <v>56</v>
      </c>
      <c r="E8959" t="s">
        <v>64</v>
      </c>
      <c r="F8959" t="s">
        <v>86</v>
      </c>
      <c r="G8959" t="str">
        <f>"hydrogen, gaseous, from "&amp;B8930</f>
        <v>hydrogen, gaseous, from train</v>
      </c>
      <c r="H8959" t="s">
        <v>76</v>
      </c>
      <c r="I8959" t="s">
        <v>1054</v>
      </c>
      <c r="J8959" t="s">
        <v>303</v>
      </c>
      <c r="K8959" t="str">
        <f>B8916</f>
        <v>heat, residential, by combustion of hydrogen using boiler, transported by train, produced by Electrolysis, PEM using water and electricity from Wind (DK)</v>
      </c>
      <c r="L8959">
        <f t="shared" si="379"/>
        <v>2</v>
      </c>
      <c r="M8959">
        <f t="shared" si="380"/>
        <v>-4.7256163390639587</v>
      </c>
      <c r="N8959">
        <v>1.05</v>
      </c>
      <c r="O8959" s="15">
        <v>1.2</v>
      </c>
      <c r="P8959">
        <v>1</v>
      </c>
      <c r="Q8959">
        <v>1.01</v>
      </c>
      <c r="R8959">
        <v>1.2</v>
      </c>
      <c r="S8959">
        <v>1.2</v>
      </c>
      <c r="T8959">
        <v>1.05</v>
      </c>
      <c r="U8959">
        <f t="shared" si="381"/>
        <v>0.16169679924070957</v>
      </c>
    </row>
    <row r="8960" spans="1:22" x14ac:dyDescent="0.2">
      <c r="A8960" t="str">
        <f>VLOOKUP(J8960,'dataset mapping'!$A$4:$E$69,2,0)</f>
        <v>market for transport, freight train</v>
      </c>
      <c r="B8960" s="45">
        <f>SUM(B8959:B8959)/1000*B8931</f>
        <v>1.152482269503546E-2</v>
      </c>
      <c r="C8960" t="str">
        <f>VLOOKUP(J8960,'dataset mapping'!$A$4:$E$69,5,0)</f>
        <v>ton kilometer</v>
      </c>
      <c r="E8960" t="str">
        <f>VLOOKUP(J8960,'dataset mapping'!$A$4:$E$69,4,0)</f>
        <v>CH</v>
      </c>
      <c r="F8960" t="s">
        <v>86</v>
      </c>
      <c r="G8960" t="str">
        <f>VLOOKUP(J8960,'dataset mapping'!$A$4:$E$69,3,0)</f>
        <v>transport, freight train</v>
      </c>
      <c r="H8960" t="s">
        <v>88</v>
      </c>
      <c r="I8960" t="s">
        <v>1052</v>
      </c>
      <c r="J8960" t="s">
        <v>295</v>
      </c>
      <c r="K8960" t="str">
        <f>B8916</f>
        <v>heat, residential, by combustion of hydrogen using boiler, transported by train, produced by Electrolysis, PEM using water and electricity from Wind (DK)</v>
      </c>
      <c r="L8960">
        <f t="shared" si="379"/>
        <v>2</v>
      </c>
      <c r="M8960">
        <f t="shared" si="380"/>
        <v>-4.4632520745964674</v>
      </c>
      <c r="N8960">
        <v>1.05</v>
      </c>
      <c r="O8960" s="15">
        <v>1.2</v>
      </c>
      <c r="P8960">
        <v>1</v>
      </c>
      <c r="Q8960">
        <v>1.01</v>
      </c>
      <c r="R8960">
        <v>1.2</v>
      </c>
      <c r="S8960">
        <v>1.2</v>
      </c>
      <c r="T8960">
        <v>2</v>
      </c>
      <c r="U8960">
        <f t="shared" si="381"/>
        <v>0.38165951885721477</v>
      </c>
    </row>
    <row r="8961" spans="1:21" x14ac:dyDescent="0.2">
      <c r="A8961" t="str">
        <f>VLOOKUP(J8961,'dataset mapping'!$A$4:$E$69,2,0)</f>
        <v>high pressure hydrogen storage tank</v>
      </c>
      <c r="B8961" s="52">
        <f>((B8951/10)/(B8949*B8945*20*3.6))*IF(B8950&lt;&gt;0,B8950,1)</f>
        <v>1.8469267139479905E-6</v>
      </c>
      <c r="C8961" t="str">
        <f>VLOOKUP(J8961,'dataset mapping'!$A$4:$E$69,5,0)</f>
        <v>kilogram</v>
      </c>
      <c r="E8961" t="str">
        <f>VLOOKUP(J8961,'dataset mapping'!$A$4:$E$69,4,0)</f>
        <v>GLO</v>
      </c>
      <c r="F8961" t="s">
        <v>86</v>
      </c>
      <c r="G8961" t="str">
        <f>VLOOKUP(J8961,'dataset mapping'!$A$4:$E$69,3,0)</f>
        <v>high pressure hydrogen storage tank</v>
      </c>
      <c r="H8961" t="s">
        <v>88</v>
      </c>
      <c r="I8961" t="s">
        <v>230</v>
      </c>
      <c r="J8961" t="s">
        <v>229</v>
      </c>
      <c r="K8961" t="str">
        <f>B8916</f>
        <v>heat, residential, by combustion of hydrogen using boiler, transported by train, produced by Electrolysis, PEM using water and electricity from Wind (DK)</v>
      </c>
      <c r="L8961">
        <f t="shared" si="379"/>
        <v>2</v>
      </c>
      <c r="M8961">
        <f t="shared" si="380"/>
        <v>-13.20198753595994</v>
      </c>
      <c r="N8961">
        <v>1.05</v>
      </c>
      <c r="O8961" s="15">
        <v>1.2</v>
      </c>
      <c r="P8961">
        <v>1</v>
      </c>
      <c r="Q8961">
        <v>1.01</v>
      </c>
      <c r="R8961">
        <v>1.2</v>
      </c>
      <c r="S8961">
        <v>1.2</v>
      </c>
      <c r="T8961">
        <v>3</v>
      </c>
      <c r="U8961">
        <f t="shared" si="381"/>
        <v>0.57209088006881903</v>
      </c>
    </row>
    <row r="8962" spans="1:21" x14ac:dyDescent="0.2">
      <c r="A8962" t="s">
        <v>134</v>
      </c>
      <c r="B8962" s="45">
        <f>B8959*9</f>
        <v>7.9787234042553196E-2</v>
      </c>
      <c r="C8962" t="s">
        <v>56</v>
      </c>
      <c r="D8962" t="s">
        <v>100</v>
      </c>
      <c r="F8962" t="s">
        <v>99</v>
      </c>
      <c r="H8962" t="s">
        <v>131</v>
      </c>
      <c r="I8962" t="s">
        <v>1058</v>
      </c>
      <c r="K8962" t="str">
        <f>B8916</f>
        <v>heat, residential, by combustion of hydrogen using boiler, transported by train, produced by Electrolysis, PEM using water and electricity from Wind (DK)</v>
      </c>
      <c r="L8962">
        <f t="shared" si="379"/>
        <v>2</v>
      </c>
      <c r="M8962">
        <f t="shared" si="380"/>
        <v>-2.5283917617277392</v>
      </c>
      <c r="N8962">
        <v>1.05</v>
      </c>
      <c r="O8962" s="15">
        <v>1.2</v>
      </c>
      <c r="P8962">
        <v>1</v>
      </c>
      <c r="Q8962">
        <v>1.01</v>
      </c>
      <c r="R8962">
        <v>1.2</v>
      </c>
      <c r="S8962">
        <v>1.2</v>
      </c>
      <c r="T8962">
        <v>1.05</v>
      </c>
      <c r="U8962">
        <f t="shared" si="381"/>
        <v>0.16169679924070957</v>
      </c>
    </row>
    <row r="8963" spans="1:21" x14ac:dyDescent="0.2">
      <c r="A8963" t="s">
        <v>135</v>
      </c>
      <c r="B8963" s="45">
        <f>912.5/1000000*B8959</f>
        <v>8.0895390070921995E-6</v>
      </c>
      <c r="C8963" t="s">
        <v>56</v>
      </c>
      <c r="D8963" t="s">
        <v>100</v>
      </c>
      <c r="F8963" t="s">
        <v>99</v>
      </c>
      <c r="H8963" t="s">
        <v>131</v>
      </c>
      <c r="I8963" t="s">
        <v>1217</v>
      </c>
      <c r="K8963" t="str">
        <f>B8916</f>
        <v>heat, residential, by combustion of hydrogen using boiler, transported by train, produced by Electrolysis, PEM using water and electricity from Wind (DK)</v>
      </c>
      <c r="L8963">
        <f t="shared" si="379"/>
        <v>2</v>
      </c>
      <c r="M8963">
        <f t="shared" si="380"/>
        <v>-11.724938811571587</v>
      </c>
      <c r="N8963">
        <v>1.05</v>
      </c>
      <c r="O8963" s="15">
        <v>1.2</v>
      </c>
      <c r="P8963">
        <v>1</v>
      </c>
      <c r="Q8963">
        <v>1.01</v>
      </c>
      <c r="R8963">
        <v>1.2</v>
      </c>
      <c r="S8963">
        <v>1.2</v>
      </c>
      <c r="T8963">
        <v>1.5</v>
      </c>
      <c r="U8963">
        <f t="shared" si="381"/>
        <v>0.25816898211842121</v>
      </c>
    </row>
    <row r="8965" spans="1:21" x14ac:dyDescent="0.2">
      <c r="A8965" s="2" t="s">
        <v>50</v>
      </c>
      <c r="B8965" s="44" t="str">
        <f>IF(B8971="megajoule","heat","electricity")&amp;", residential, by "&amp;B8976&amp;" of "&amp;B8975&amp;" using "&amp;B8977&amp;IF(B8978&lt;&gt;0,", allocated by "&amp;B8978,"")&amp;", transported by "&amp;B8979&amp;", produced by "&amp;B8983&amp;" using "&amp;B8984&amp;" from "&amp;B8985</f>
        <v>heat, residential, by combustion of hydrogen using CHP, allocated by exergy, transported by train, produced by Electrolysis, PEM using water and electricity from Wind (DK)</v>
      </c>
    </row>
    <row r="8966" spans="1:21" x14ac:dyDescent="0.2">
      <c r="A8966" t="s">
        <v>51</v>
      </c>
      <c r="B8966" s="45" t="str">
        <f>"This dataset represents the supply of 1 "&amp;IF(B8971="megajoule","megajoule of heat","kilowatt hour of electricity")&amp;" in a residence, by "&amp;B8975&amp;" "&amp;B8976&amp;" in a "&amp;B8977&amp;". "&amp;" The hydrogen is transported by "&amp;B8979&amp;" over "&amp;B8980&amp;" km from regional storage. "&amp;" The "&amp;B8975&amp;" is produced by  "&amp;B8983&amp;", with "&amp;B8984&amp;" from "&amp;B8985&amp;" as feedstock. "&amp;A8987&amp;": "&amp;(B8987*100)&amp;"%. "&amp;A8988&amp;": "&amp;B8988&amp;". "&amp;A8989&amp;": "&amp;B8989&amp;". "&amp;A8990&amp;": "&amp;(B8990*100)&amp;"%. "&amp;A8991&amp;": "&amp;(B8991*100)&amp;"%. "&amp;A8992&amp;": "&amp;(B8992*100)&amp;"%. "&amp;A8993&amp;": "&amp;B8993&amp;". "&amp;A8994&amp;": "&amp;B8994&amp;". "&amp;A8995&amp;": "&amp;(B8995*100)&amp;"%. "&amp;A8996&amp;": "&amp;B8996&amp;". "&amp;A8997&amp;": "&amp;B8997&amp;". "&amp;A8998&amp;": "&amp;B8998&amp;". "&amp;A8999&amp;": "&amp;B8999&amp;".  For more information, refer to: "&amp;B8967</f>
        <v>This dataset represents the supply of 1 megajoule of heat in a residence, by hydrogen combustion in a CHP.  The hydrogen is transported by train over 1300 km from regional storage.  The hydrogen is produced by  Electrolysis, PEM,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8967" spans="1:21" x14ac:dyDescent="0.2">
      <c r="A8967" t="s">
        <v>63</v>
      </c>
      <c r="B8967" s="45" t="s">
        <v>1223</v>
      </c>
    </row>
    <row r="8968" spans="1:21" x14ac:dyDescent="0.2">
      <c r="A8968" t="s">
        <v>52</v>
      </c>
      <c r="B8968" s="45" t="s">
        <v>64</v>
      </c>
    </row>
    <row r="8969" spans="1:21" x14ac:dyDescent="0.2">
      <c r="A8969" t="s">
        <v>48</v>
      </c>
      <c r="B8969" s="45">
        <v>110</v>
      </c>
    </row>
    <row r="8970" spans="1:21" x14ac:dyDescent="0.2">
      <c r="A8970" t="s">
        <v>54</v>
      </c>
      <c r="B8970" s="45" t="str">
        <f>INDEX(overview!$B$4:$R$338,MATCH('hydrogen - electrolysis'!B8969,overview!$A$4:$A$338,0),MATCH('hydrogen - electrolysis'!A8970,overview!$B$3:$R$3,0))</f>
        <v>heat, from residential heating system</v>
      </c>
    </row>
    <row r="8971" spans="1:21" x14ac:dyDescent="0.2">
      <c r="A8971" t="s">
        <v>55</v>
      </c>
      <c r="B8971" s="45" t="str">
        <f>INDEX(overview!$B$4:$R$338,MATCH('hydrogen - electrolysis'!B8969,overview!$A$4:$A$338,0),MATCH('hydrogen - electrolysis'!A8971,overview!$B$3:$R$3,0))</f>
        <v>megajoule</v>
      </c>
    </row>
    <row r="8972" spans="1:21" x14ac:dyDescent="0.2">
      <c r="A8972" t="s">
        <v>0</v>
      </c>
      <c r="B8972" s="45" t="str">
        <f>INDEX(overview!$B$4:$R$338,MATCH('hydrogen - electrolysis'!B8969,overview!$A$4:$A$338,0),MATCH('hydrogen - electrolysis'!A8972,overview!$B$3:$R$3,0))</f>
        <v>Switzerland</v>
      </c>
    </row>
    <row r="8973" spans="1:21" x14ac:dyDescent="0.2">
      <c r="A8973" t="s">
        <v>1</v>
      </c>
      <c r="B8973" s="45">
        <f>INDEX(overview!$B$4:$R$338,MATCH('hydrogen - electrolysis'!B8969,overview!$A$4:$A$338,0),MATCH('hydrogen - electrolysis'!A8973,overview!$B$3:$R$3,0))</f>
        <v>2020</v>
      </c>
    </row>
    <row r="8974" spans="1:21" x14ac:dyDescent="0.2">
      <c r="A8974" t="s">
        <v>2</v>
      </c>
      <c r="B8974" s="45" t="str">
        <f>INDEX(overview!$B$4:$R$338,MATCH('hydrogen - electrolysis'!B8969,overview!$A$4:$A$338,0),MATCH('hydrogen - electrolysis'!A8974,overview!$B$3:$R$3,0))</f>
        <v>1 MJ heat</v>
      </c>
    </row>
    <row r="8975" spans="1:21" x14ac:dyDescent="0.2">
      <c r="A8975" t="s">
        <v>5</v>
      </c>
      <c r="B8975" s="45" t="str">
        <f>INDEX(overview!$B$4:$R$338,MATCH('hydrogen - electrolysis'!B8969,overview!$A$4:$A$338,0),MATCH('hydrogen - electrolysis'!A8975,overview!$B$3:$R$3,0))</f>
        <v>hydrogen</v>
      </c>
    </row>
    <row r="8976" spans="1:21" x14ac:dyDescent="0.2">
      <c r="A8976" t="s">
        <v>3</v>
      </c>
      <c r="B8976" s="45" t="str">
        <f>INDEX(overview!$B$4:$R$338,MATCH('hydrogen - electrolysis'!B8969,overview!$A$4:$A$338,0),MATCH('hydrogen - electrolysis'!A8976,overview!$B$3:$R$3,0))</f>
        <v>combustion</v>
      </c>
    </row>
    <row r="8977" spans="1:2" x14ac:dyDescent="0.2">
      <c r="A8977" t="s">
        <v>6</v>
      </c>
      <c r="B8977" s="45" t="str">
        <f>INDEX(overview!$B$4:$R$338,MATCH('hydrogen - electrolysis'!B8969,overview!$A$4:$A$338,0),MATCH('hydrogen - electrolysis'!A8977,overview!$B$3:$R$3,0))</f>
        <v>CHP</v>
      </c>
    </row>
    <row r="8978" spans="1:2" x14ac:dyDescent="0.2">
      <c r="A8978" t="s">
        <v>39</v>
      </c>
      <c r="B8978" s="45" t="str">
        <f>INDEX(overview!$B$4:$R$338,MATCH('hydrogen - electrolysis'!B8969,overview!$A$4:$A$338,0),MATCH('hydrogen - electrolysis'!A8978,overview!$B$3:$R$3,0))</f>
        <v>exergy</v>
      </c>
    </row>
    <row r="8979" spans="1:2" x14ac:dyDescent="0.2">
      <c r="A8979" t="s">
        <v>4</v>
      </c>
      <c r="B8979" s="45" t="str">
        <f>INDEX(overview!$B$4:$R$338,MATCH('hydrogen - electrolysis'!B8969,overview!$A$4:$A$338,0),MATCH('hydrogen - electrolysis'!A8979,overview!$B$3:$R$3,0))</f>
        <v>train</v>
      </c>
    </row>
    <row r="8980" spans="1:2" x14ac:dyDescent="0.2">
      <c r="A8980" t="s">
        <v>38</v>
      </c>
      <c r="B8980" s="45">
        <f>INDEX(overview!$B$4:$R$338,MATCH('hydrogen - electrolysis'!B8969,overview!$A$4:$A$338,0),MATCH('hydrogen - electrolysis'!A8980,overview!$B$3:$R$3,0))</f>
        <v>1300</v>
      </c>
    </row>
    <row r="8981" spans="1:2" x14ac:dyDescent="0.2">
      <c r="A8981" t="s">
        <v>12</v>
      </c>
      <c r="B8981" s="45" t="str">
        <f>INDEX(overview!$B$4:$R$338,MATCH('hydrogen - electrolysis'!B8969,overview!$A$4:$A$338,0),MATCH('hydrogen - electrolysis'!A8981,overview!$B$3:$R$3,0))</f>
        <v>Pressure vessel for stationary storage</v>
      </c>
    </row>
    <row r="8982" spans="1:2" x14ac:dyDescent="0.2">
      <c r="A8982" t="s">
        <v>34</v>
      </c>
      <c r="B8982" s="45">
        <f>INDEX(overview!$B$4:$R$338,MATCH('hydrogen - electrolysis'!B8969,overview!$A$4:$A$338,0),MATCH('hydrogen - electrolysis'!A8982,overview!$B$3:$R$3,0))</f>
        <v>0</v>
      </c>
    </row>
    <row r="8983" spans="1:2" x14ac:dyDescent="0.2">
      <c r="A8983" t="s">
        <v>15</v>
      </c>
      <c r="B8983" s="45" t="str">
        <f>INDEX(overview!$B$4:$R$338,MATCH('hydrogen - electrolysis'!B8969,overview!$A$4:$A$338,0),MATCH('hydrogen - electrolysis'!A8983,overview!$B$3:$R$3,0))</f>
        <v>Electrolysis, PEM</v>
      </c>
    </row>
    <row r="8984" spans="1:2" x14ac:dyDescent="0.2">
      <c r="A8984" t="s">
        <v>14</v>
      </c>
      <c r="B8984" s="45" t="str">
        <f>INDEX(overview!$B$4:$R$338,MATCH('hydrogen - electrolysis'!B8969,overview!$A$4:$A$338,0),MATCH('hydrogen - electrolysis'!A8984,overview!$B$3:$R$3,0))</f>
        <v>water and electricity</v>
      </c>
    </row>
    <row r="8985" spans="1:2" x14ac:dyDescent="0.2">
      <c r="A8985" t="s">
        <v>26</v>
      </c>
      <c r="B8985" s="45" t="str">
        <f>INDEX(overview!$B$4:$R$338,MATCH('hydrogen - electrolysis'!B8969,overview!$A$4:$A$338,0),MATCH('hydrogen - electrolysis'!A8985,overview!$B$3:$R$3,0))</f>
        <v>Wind (DK)</v>
      </c>
    </row>
    <row r="8986" spans="1:2" x14ac:dyDescent="0.2">
      <c r="A8986" t="s">
        <v>29</v>
      </c>
      <c r="B8986" s="45">
        <f>INDEX(overview!$B$4:$R$338,MATCH('hydrogen - electrolysis'!B8969,overview!$A$4:$A$338,0),MATCH('hydrogen - electrolysis'!A8986,overview!$B$3:$R$3,0))</f>
        <v>0</v>
      </c>
    </row>
    <row r="8987" spans="1:2" x14ac:dyDescent="0.2">
      <c r="A8987" t="str">
        <f>IF(B8971="megajoule","Heat","Electricity")&amp;" conversion efficiency [% LHV input]"</f>
        <v>Heat conversion efficiency [% LHV input]</v>
      </c>
      <c r="B8987" s="46">
        <f>INDEX(parameters!$D$4:$N$20,MATCH('hydrogen - electrolysis'!B8975&amp;'hydrogen - electrolysis'!B8977,parameters!$A$4:$A$20,0),MATCH('hydrogen - electrolysis'!A8987,parameters!$D$3:$N$3,0))</f>
        <v>0.41699999999999998</v>
      </c>
    </row>
    <row r="8988" spans="1:2" x14ac:dyDescent="0.2">
      <c r="A8988" t="str">
        <f>IF(B8971="megajoule","LHV [MJ/kg]","LHV [kWh/kg]")</f>
        <v>LHV [MJ/kg]</v>
      </c>
      <c r="B8988" s="47">
        <f>INDEX(parameters!$D$4:$N$20,MATCH('hydrogen - electrolysis'!B8975&amp;'hydrogen - electrolysis'!B8977,parameters!$A$4:$A$20,0),MATCH('hydrogen - electrolysis'!A8988,parameters!$D$3:$N$3,0))</f>
        <v>120</v>
      </c>
    </row>
    <row r="8989" spans="1:2" x14ac:dyDescent="0.2">
      <c r="A8989" t="s">
        <v>41</v>
      </c>
      <c r="B8989" s="48">
        <f>INDEX(parameters!$D$4:$N$20,MATCH('hydrogen - electrolysis'!B8975&amp;'hydrogen - electrolysis'!B8977,parameters!$A$4:$A$20,0),MATCH('hydrogen - electrolysis'!A8989,parameters!$D$3:$N$3,0))</f>
        <v>2.6666666666666665E-2</v>
      </c>
    </row>
    <row r="8990" spans="1:2" x14ac:dyDescent="0.2">
      <c r="A8990" t="s">
        <v>45</v>
      </c>
      <c r="B8990" s="46">
        <f>INDEX(parameters!$D$4:$N$20,MATCH('hydrogen - electrolysis'!B8975&amp;'hydrogen - electrolysis'!B8977,parameters!$A$4:$A$20,0),MATCH('hydrogen - electrolysis'!A8990,parameters!$D$3:$N$3,0))</f>
        <v>0</v>
      </c>
    </row>
    <row r="8991" spans="1:2" x14ac:dyDescent="0.2">
      <c r="A8991" t="s">
        <v>46</v>
      </c>
      <c r="B8991" s="46">
        <f>INDEX(parameters!$D$4:$N$20,MATCH('hydrogen - electrolysis'!B8975&amp;'hydrogen - electrolysis'!B8977,parameters!$A$4:$A$20,0),MATCH('hydrogen - electrolysis'!A8991,parameters!$D$3:$N$3,0))</f>
        <v>1.4999999999999999E-2</v>
      </c>
    </row>
    <row r="8992" spans="1:2" x14ac:dyDescent="0.2">
      <c r="A8992" t="s">
        <v>43</v>
      </c>
      <c r="B8992" s="46">
        <f>INDEX(parameters!$D$4:$N$20,MATCH('hydrogen - electrolysis'!B8975&amp;'hydrogen - electrolysis'!B8977,parameters!$A$4:$A$20,0),MATCH('hydrogen - electrolysis'!A8992,parameters!$D$3:$N$3,0))</f>
        <v>0</v>
      </c>
    </row>
    <row r="8993" spans="1:22" x14ac:dyDescent="0.2">
      <c r="A8993" t="s">
        <v>44</v>
      </c>
      <c r="B8993" s="46">
        <f>INDEX(parameters!$D$4:$N$20,MATCH('hydrogen - electrolysis'!B8975&amp;'hydrogen - electrolysis'!B8977,parameters!$A$4:$A$20,0),MATCH('hydrogen - electrolysis'!A8993,parameters!$D$3:$N$3,0))</f>
        <v>0</v>
      </c>
    </row>
    <row r="8994" spans="1:22" x14ac:dyDescent="0.2">
      <c r="A8994" t="s">
        <v>634</v>
      </c>
      <c r="B8994" s="51">
        <f>INDEX(parameters!$D$4:$Y$20,MATCH('hydrogen - electrolysis'!B8975&amp;'hydrogen - electrolysis'!B8977,parameters!$A$4:$A$20,0),MATCH('hydrogen - electrolysis'!A8994,parameters!$D$3:$Y$3,0))</f>
        <v>351.41800246609125</v>
      </c>
    </row>
    <row r="8995" spans="1:22" x14ac:dyDescent="0.2">
      <c r="A8995" t="s">
        <v>82</v>
      </c>
      <c r="B8995" s="46">
        <f>IF(B8986&lt;&gt;0,VLOOKUP(B8986,parameters!A5639:B5641,2,0),0)</f>
        <v>0</v>
      </c>
    </row>
    <row r="8996" spans="1:22" x14ac:dyDescent="0.2">
      <c r="A8996" t="s">
        <v>548</v>
      </c>
      <c r="B8996" s="50">
        <f>INDEX(parameters!$D$4:$P$20,MATCH(B8975&amp;B8977,parameters!$A$4:$A$20,0),MATCH(A8996,parameters!$D$3:$P$3,0))</f>
        <v>125</v>
      </c>
    </row>
    <row r="8997" spans="1:22" x14ac:dyDescent="0.2">
      <c r="A8997" t="s">
        <v>547</v>
      </c>
      <c r="B8997" s="51">
        <f>INDEX(parameters!$D$4:$P$20,MATCH(B8975&amp;B8977,parameters!$A$4:$A$20,0),MATCH(A8997,parameters!$D$3:$P$3,0))</f>
        <v>19.512195121951219</v>
      </c>
    </row>
    <row r="8998" spans="1:22" x14ac:dyDescent="0.2">
      <c r="A8998" t="s">
        <v>630</v>
      </c>
      <c r="B8998" s="51">
        <f>INDEX(parameters!$D$4:$T$20,MATCH(B8975&amp;B8977,parameters!$A$4:$A$20,0),MATCH(A8998,parameters!$D$3:$T$3,0))</f>
        <v>4100</v>
      </c>
    </row>
    <row r="8999" spans="1:22" x14ac:dyDescent="0.2">
      <c r="A8999" t="s">
        <v>1005</v>
      </c>
      <c r="B8999" s="50">
        <f>IF(B8971="megajoule",SUMIFS(allocation!$I$4:$I$30,allocation!$B$4:$B$30,B8977,allocation!$C$4:$C$30,B8978),SUMIFS(allocation!$J$4:$J$30,allocation!$B$4:$B$30,B8977,allocation!$C$4:$C$30,B8978))</f>
        <v>0.12860042227295038</v>
      </c>
    </row>
    <row r="9000" spans="1:22" x14ac:dyDescent="0.2">
      <c r="A9000" t="s">
        <v>1050</v>
      </c>
      <c r="B9000" s="51">
        <f>INDEX(parameters!$D$4:$AB$20,MATCH(B8975&amp;B8977,parameters!$A$4:$A$20,0),MATCH(A9000,parameters!$D$3:$AB$3,0))</f>
        <v>2220.7364520822662</v>
      </c>
    </row>
    <row r="9002" spans="1:22" x14ac:dyDescent="0.2">
      <c r="A9002" s="3" t="s">
        <v>57</v>
      </c>
    </row>
    <row r="9003" spans="1:22" x14ac:dyDescent="0.2">
      <c r="A9003" s="2" t="s">
        <v>58</v>
      </c>
      <c r="B9003" s="44" t="s">
        <v>59</v>
      </c>
      <c r="C9003" s="2" t="s">
        <v>55</v>
      </c>
      <c r="D9003" s="2" t="s">
        <v>60</v>
      </c>
      <c r="E9003" s="2" t="s">
        <v>52</v>
      </c>
      <c r="F9003" s="2" t="s">
        <v>61</v>
      </c>
      <c r="G9003" s="2" t="s">
        <v>54</v>
      </c>
      <c r="H9003" s="2" t="s">
        <v>87</v>
      </c>
      <c r="I9003" s="2" t="s">
        <v>51</v>
      </c>
      <c r="J9003" s="2" t="s">
        <v>138</v>
      </c>
      <c r="K9003" s="2" t="s">
        <v>136</v>
      </c>
      <c r="L9003" s="2" t="s">
        <v>221</v>
      </c>
      <c r="M9003" s="2" t="s">
        <v>379</v>
      </c>
      <c r="N9003" s="2" t="s">
        <v>1059</v>
      </c>
      <c r="O9003" s="2" t="s">
        <v>1060</v>
      </c>
      <c r="P9003" s="2" t="s">
        <v>1061</v>
      </c>
      <c r="Q9003" s="2" t="s">
        <v>1062</v>
      </c>
      <c r="R9003" s="2" t="s">
        <v>1063</v>
      </c>
      <c r="S9003" s="2" t="s">
        <v>1064</v>
      </c>
      <c r="T9003" s="2" t="s">
        <v>1065</v>
      </c>
      <c r="U9003" s="2" t="s">
        <v>380</v>
      </c>
      <c r="V9003" s="2" t="s">
        <v>1128</v>
      </c>
    </row>
    <row r="9004" spans="1:22" x14ac:dyDescent="0.2">
      <c r="A9004" t="str">
        <f>B8965</f>
        <v>heat, residential, by combustion of hydrogen using CHP, allocated by exergy, transported by train, produced by Electrolysis, PEM using water and electricity from Wind (DK)</v>
      </c>
      <c r="B9004" s="45">
        <v>1</v>
      </c>
      <c r="C9004" t="str">
        <f>B8971</f>
        <v>megajoule</v>
      </c>
      <c r="E9004" t="str">
        <f>B8968</f>
        <v>CH</v>
      </c>
      <c r="F9004" t="s">
        <v>62</v>
      </c>
      <c r="G9004" t="str">
        <f>B8970</f>
        <v>heat, from residential heating system</v>
      </c>
      <c r="K9004" t="str">
        <f>B8965</f>
        <v>heat, residential, by combustion of hydrogen using CHP, allocated by exergy, transported by train, produced by Electrolysis, PEM using water and electricity from Wind (DK)</v>
      </c>
    </row>
    <row r="9005" spans="1:22" x14ac:dyDescent="0.2">
      <c r="A9005" t="str">
        <f>VLOOKUP(J9005,'dataset mapping'!$A$4:$E$69,2,0)</f>
        <v>heat and power co-generation unit construction, 160kW electrical, common components for heat+electricity</v>
      </c>
      <c r="B9005" s="52">
        <f>(1/(B8994*B8998*B8997*3.6))*B8999</f>
        <v>1.270649883812899E-9</v>
      </c>
      <c r="C9005" t="str">
        <f>VLOOKUP(J9005,'dataset mapping'!$A$4:$E$69,5,0)</f>
        <v>unit</v>
      </c>
      <c r="E9005" t="str">
        <f>VLOOKUP(J9005,'dataset mapping'!$A$4:$E$69,4,0)</f>
        <v>RER</v>
      </c>
      <c r="F9005" t="s">
        <v>86</v>
      </c>
      <c r="G9005" t="str">
        <f>VLOOKUP(J9005,'dataset mapping'!$A$4:$E$69,3,0)</f>
        <v>heat and power co-generation unit, 160kW electrical, common components for heat+electricity</v>
      </c>
      <c r="H9005" t="s">
        <v>88</v>
      </c>
      <c r="J9005" t="s">
        <v>145</v>
      </c>
      <c r="K9005" t="str">
        <f>B8965</f>
        <v>heat, residential, by combustion of hydrogen using CHP, allocated by exergy, transported by train, produced by Electrolysis, PEM using water and electricity from Wind (DK)</v>
      </c>
      <c r="L9005">
        <f t="shared" ref="L9005:L9014" si="382">IF(OR(B9005&lt;0,B9005=0),1,2)</f>
        <v>2</v>
      </c>
      <c r="M9005">
        <f t="shared" ref="M9005:M9014" si="383">IF(L9005=2,LN(B9005),"")</f>
        <v>-20.48373734782199</v>
      </c>
      <c r="N9005">
        <v>1.05</v>
      </c>
      <c r="O9005" s="15">
        <v>1.2</v>
      </c>
      <c r="P9005">
        <v>1</v>
      </c>
      <c r="Q9005">
        <v>1.01</v>
      </c>
      <c r="R9005">
        <v>1.2</v>
      </c>
      <c r="S9005">
        <v>1.2</v>
      </c>
      <c r="T9005">
        <v>3</v>
      </c>
      <c r="U9005">
        <f t="shared" ref="U9005:U9014" si="384">LN(SQRT(EXP(
SQRT(
+POWER(LN(N9005),2)
+POWER(LN(O9005),2)
+POWER(LN(P9005),2)
+POWER(LN(Q9005),2)
+POWER(LN(R9005),2)
+POWER(LN(S9005),2)
+POWER(LN(T9005),2)
)
)))</f>
        <v>0.57209088006881903</v>
      </c>
    </row>
    <row r="9006" spans="1:22" x14ac:dyDescent="0.2">
      <c r="A9006" t="str">
        <f>VLOOKUP(J9006,'dataset mapping'!$A$4:$E$69,2,0)</f>
        <v>heat and power co-generation unit construction, 160kW electrical, components for electricity only</v>
      </c>
      <c r="B9006" s="52">
        <f>(1/(B8994*B8998*B8997*3.6))*B8999</f>
        <v>1.270649883812899E-9</v>
      </c>
      <c r="C9006" t="str">
        <f>VLOOKUP(J9006,'dataset mapping'!$A$4:$E$69,5,0)</f>
        <v>unit</v>
      </c>
      <c r="E9006" t="str">
        <f>VLOOKUP(J9006,'dataset mapping'!$A$4:$E$69,4,0)</f>
        <v>RER</v>
      </c>
      <c r="F9006" t="s">
        <v>86</v>
      </c>
      <c r="G9006" t="str">
        <f>VLOOKUP(J9006,'dataset mapping'!$A$4:$E$69,3,0)</f>
        <v>heat and power co-generation unit, 160kW electrical, components for electricity only</v>
      </c>
      <c r="H9006" t="s">
        <v>88</v>
      </c>
      <c r="J9006" t="s">
        <v>146</v>
      </c>
      <c r="K9006" t="str">
        <f>B8965</f>
        <v>heat, residential, by combustion of hydrogen using CHP, allocated by exergy, transported by train, produced by Electrolysis, PEM using water and electricity from Wind (DK)</v>
      </c>
      <c r="L9006">
        <f t="shared" si="382"/>
        <v>2</v>
      </c>
      <c r="M9006">
        <f t="shared" si="383"/>
        <v>-20.48373734782199</v>
      </c>
      <c r="N9006">
        <v>1.05</v>
      </c>
      <c r="O9006" s="15">
        <v>1.2</v>
      </c>
      <c r="P9006">
        <v>1</v>
      </c>
      <c r="Q9006">
        <v>1.01</v>
      </c>
      <c r="R9006">
        <v>1.2</v>
      </c>
      <c r="S9006">
        <v>1.2</v>
      </c>
      <c r="T9006">
        <v>3</v>
      </c>
      <c r="U9006">
        <f t="shared" si="384"/>
        <v>0.57209088006881903</v>
      </c>
    </row>
    <row r="9007" spans="1:22" x14ac:dyDescent="0.2">
      <c r="A9007" t="str">
        <f>VLOOKUP(J9007,'dataset mapping'!$A$4:$E$69,2,0)</f>
        <v>heat and power co-generation unit construction, 160kW electrical, components for heat only</v>
      </c>
      <c r="B9007" s="52">
        <f>(1/(B8994*B8998*B8997*3.6))*B8999</f>
        <v>1.270649883812899E-9</v>
      </c>
      <c r="C9007" t="str">
        <f>VLOOKUP(J9007,'dataset mapping'!$A$4:$E$69,5,0)</f>
        <v>unit</v>
      </c>
      <c r="E9007" t="str">
        <f>VLOOKUP(J9007,'dataset mapping'!$A$4:$E$69,4,0)</f>
        <v>RER</v>
      </c>
      <c r="F9007" t="s">
        <v>86</v>
      </c>
      <c r="G9007" t="str">
        <f>VLOOKUP(J9007,'dataset mapping'!$A$4:$E$69,3,0)</f>
        <v>heat and power co-generation unit, 160kW electrical, components for heat only</v>
      </c>
      <c r="H9007" t="s">
        <v>88</v>
      </c>
      <c r="J9007" t="s">
        <v>147</v>
      </c>
      <c r="K9007" t="str">
        <f>B8965</f>
        <v>heat, residential, by combustion of hydrogen using CHP, allocated by exergy, transported by train, produced by Electrolysis, PEM using water and electricity from Wind (DK)</v>
      </c>
      <c r="L9007">
        <f t="shared" si="382"/>
        <v>2</v>
      </c>
      <c r="M9007">
        <f t="shared" si="383"/>
        <v>-20.48373734782199</v>
      </c>
      <c r="N9007">
        <v>1.05</v>
      </c>
      <c r="O9007" s="15">
        <v>1.2</v>
      </c>
      <c r="P9007">
        <v>1</v>
      </c>
      <c r="Q9007">
        <v>1.01</v>
      </c>
      <c r="R9007">
        <v>1.2</v>
      </c>
      <c r="S9007">
        <v>1.2</v>
      </c>
      <c r="T9007">
        <v>3</v>
      </c>
      <c r="U9007">
        <f t="shared" si="384"/>
        <v>0.57209088006881903</v>
      </c>
    </row>
    <row r="9008" spans="1:22" x14ac:dyDescent="0.2">
      <c r="A9008" t="s">
        <v>156</v>
      </c>
      <c r="B9008" s="52">
        <f>0.00000011366*B8999</f>
        <v>1.461672399554354E-8</v>
      </c>
      <c r="C9008" t="s">
        <v>56</v>
      </c>
      <c r="E9008" t="s">
        <v>90</v>
      </c>
      <c r="F9008" t="s">
        <v>86</v>
      </c>
      <c r="G9008" t="s">
        <v>154</v>
      </c>
      <c r="H9008" t="s">
        <v>155</v>
      </c>
      <c r="K9008" t="str">
        <f>B8965</f>
        <v>heat, residential, by combustion of hydrogen using CHP, allocated by exergy, transported by train, produced by Electrolysis, PEM using water and electricity from Wind (DK)</v>
      </c>
      <c r="L9008">
        <f t="shared" si="382"/>
        <v>2</v>
      </c>
      <c r="M9008">
        <f t="shared" si="383"/>
        <v>-18.041099484645969</v>
      </c>
      <c r="N9008">
        <v>1.05</v>
      </c>
      <c r="O9008" s="15">
        <v>1.2</v>
      </c>
      <c r="P9008">
        <v>1</v>
      </c>
      <c r="Q9008">
        <v>1.01</v>
      </c>
      <c r="R9008">
        <v>1.2</v>
      </c>
      <c r="S9008">
        <v>1.2</v>
      </c>
      <c r="T9008">
        <v>1.05</v>
      </c>
      <c r="U9008">
        <f t="shared" si="384"/>
        <v>0.16169679924070957</v>
      </c>
    </row>
    <row r="9009" spans="1:22" x14ac:dyDescent="0.2">
      <c r="A9009" t="s">
        <v>157</v>
      </c>
      <c r="B9009" s="52">
        <f>0.00000011366*B8999*-1</f>
        <v>-1.461672399554354E-8</v>
      </c>
      <c r="C9009" t="s">
        <v>56</v>
      </c>
      <c r="E9009" t="s">
        <v>64</v>
      </c>
      <c r="F9009" t="s">
        <v>86</v>
      </c>
      <c r="G9009" t="s">
        <v>158</v>
      </c>
      <c r="H9009" t="s">
        <v>155</v>
      </c>
      <c r="K9009" t="str">
        <f>B8965</f>
        <v>heat, residential, by combustion of hydrogen using CHP, allocated by exergy, transported by train, produced by Electrolysis, PEM using water and electricity from Wind (DK)</v>
      </c>
      <c r="L9009">
        <v>2</v>
      </c>
      <c r="M9009">
        <f>IF(L9009=2,LN(B9009*-1),"")</f>
        <v>-18.041099484645969</v>
      </c>
      <c r="N9009">
        <v>1.05</v>
      </c>
      <c r="O9009" s="15">
        <v>1.2</v>
      </c>
      <c r="P9009">
        <v>1</v>
      </c>
      <c r="Q9009">
        <v>1.01</v>
      </c>
      <c r="R9009">
        <v>1.2</v>
      </c>
      <c r="S9009">
        <v>1.2</v>
      </c>
      <c r="T9009">
        <v>3</v>
      </c>
      <c r="U9009">
        <f>LN(SQRT(EXP(
SQRT(
+POWER(LN(N9009),2)
+POWER(LN(O9009),2)
+POWER(LN(P9009),2)
+POWER(LN(Q9009),2)
+POWER(LN(R9009),2)
+POWER(LN(S9009),2)
+POWER(LN(T9009),2)
)
)))</f>
        <v>0.57209088006881903</v>
      </c>
      <c r="V9009" t="b">
        <v>1</v>
      </c>
    </row>
    <row r="9010" spans="1:22" x14ac:dyDescent="0.2">
      <c r="A9010" s="45" t="str">
        <f>"hydrogen supply, transported by "&amp;B8979&amp;", produced by "&amp;B8983&amp;" using "&amp;B8984&amp;" from "&amp;B8985</f>
        <v>hydrogen supply, transported by train, produced by Electrolysis, PEM using water and electricity from Wind (DK)</v>
      </c>
      <c r="B9010" s="53">
        <f>(B9004/B8988)/B8987*B8999</f>
        <v>2.56995248347223E-3</v>
      </c>
      <c r="C9010" t="s">
        <v>56</v>
      </c>
      <c r="E9010" t="s">
        <v>64</v>
      </c>
      <c r="F9010" t="s">
        <v>86</v>
      </c>
      <c r="G9010" t="str">
        <f>"hydrogen, gaseous, from "&amp;B8979</f>
        <v>hydrogen, gaseous, from train</v>
      </c>
      <c r="H9010" t="s">
        <v>76</v>
      </c>
      <c r="I9010" t="s">
        <v>1054</v>
      </c>
      <c r="J9010" t="s">
        <v>303</v>
      </c>
      <c r="K9010" t="str">
        <f>B8965</f>
        <v>heat, residential, by combustion of hydrogen using CHP, allocated by exergy, transported by train, produced by Electrolysis, PEM using water and electricity from Wind (DK)</v>
      </c>
      <c r="L9010">
        <f t="shared" si="382"/>
        <v>2</v>
      </c>
      <c r="M9010">
        <f t="shared" si="383"/>
        <v>-5.9638678691672418</v>
      </c>
      <c r="N9010">
        <v>1.05</v>
      </c>
      <c r="O9010" s="15">
        <v>1.2</v>
      </c>
      <c r="P9010">
        <v>1</v>
      </c>
      <c r="Q9010">
        <v>1.01</v>
      </c>
      <c r="R9010">
        <v>1.2</v>
      </c>
      <c r="S9010">
        <v>1.2</v>
      </c>
      <c r="T9010">
        <v>1.05</v>
      </c>
      <c r="U9010">
        <f t="shared" si="384"/>
        <v>0.16169679924070957</v>
      </c>
    </row>
    <row r="9011" spans="1:22" x14ac:dyDescent="0.2">
      <c r="A9011" t="str">
        <f>VLOOKUP(J9011,'dataset mapping'!$A$4:$E$69,2,0)</f>
        <v>market for transport, freight train</v>
      </c>
      <c r="B9011" s="45">
        <f>SUM(B9010:B9010)/1000*B8980</f>
        <v>3.3409382285138995E-3</v>
      </c>
      <c r="C9011" t="str">
        <f>VLOOKUP(J9011,'dataset mapping'!$A$4:$E$69,5,0)</f>
        <v>ton kilometer</v>
      </c>
      <c r="E9011" t="str">
        <f>VLOOKUP(J9011,'dataset mapping'!$A$4:$E$69,4,0)</f>
        <v>CH</v>
      </c>
      <c r="F9011" t="s">
        <v>86</v>
      </c>
      <c r="G9011" t="str">
        <f>VLOOKUP(J9011,'dataset mapping'!$A$4:$E$69,3,0)</f>
        <v>transport, freight train</v>
      </c>
      <c r="H9011" t="s">
        <v>88</v>
      </c>
      <c r="I9011" t="s">
        <v>1052</v>
      </c>
      <c r="J9011" t="s">
        <v>295</v>
      </c>
      <c r="K9011" t="str">
        <f>B8965</f>
        <v>heat, residential, by combustion of hydrogen using CHP, allocated by exergy, transported by train, produced by Electrolysis, PEM using water and electricity from Wind (DK)</v>
      </c>
      <c r="L9011">
        <f t="shared" si="382"/>
        <v>2</v>
      </c>
      <c r="M9011">
        <f t="shared" si="383"/>
        <v>-5.7015036046997505</v>
      </c>
      <c r="N9011">
        <v>1.05</v>
      </c>
      <c r="O9011" s="15">
        <v>1.2</v>
      </c>
      <c r="P9011">
        <v>1</v>
      </c>
      <c r="Q9011">
        <v>1.01</v>
      </c>
      <c r="R9011">
        <v>1.2</v>
      </c>
      <c r="S9011">
        <v>1.2</v>
      </c>
      <c r="T9011">
        <v>2</v>
      </c>
      <c r="U9011">
        <f t="shared" si="384"/>
        <v>0.38165951885721477</v>
      </c>
    </row>
    <row r="9012" spans="1:22" x14ac:dyDescent="0.2">
      <c r="A9012" t="str">
        <f>VLOOKUP(J9012,'dataset mapping'!$A$4:$E$69,2,0)</f>
        <v>high pressure hydrogen storage tank</v>
      </c>
      <c r="B9012" s="52">
        <f>((B9000/10)/(B8998*B8994*20*3.6))*IF(B8999&lt;&gt;0,B8999,1)</f>
        <v>2.7529546486023421E-7</v>
      </c>
      <c r="C9012" t="str">
        <f>VLOOKUP(J9012,'dataset mapping'!$A$4:$E$69,5,0)</f>
        <v>kilogram</v>
      </c>
      <c r="E9012" t="str">
        <f>VLOOKUP(J9012,'dataset mapping'!$A$4:$E$69,4,0)</f>
        <v>GLO</v>
      </c>
      <c r="F9012" t="s">
        <v>86</v>
      </c>
      <c r="G9012" t="str">
        <f>VLOOKUP(J9012,'dataset mapping'!$A$4:$E$69,3,0)</f>
        <v>high pressure hydrogen storage tank</v>
      </c>
      <c r="H9012" t="s">
        <v>88</v>
      </c>
      <c r="I9012" t="s">
        <v>279</v>
      </c>
      <c r="J9012" t="s">
        <v>229</v>
      </c>
      <c r="K9012" t="str">
        <f>B8965</f>
        <v>heat, residential, by combustion of hydrogen using CHP, allocated by exergy, transported by train, produced by Electrolysis, PEM using water and electricity from Wind (DK)</v>
      </c>
      <c r="L9012">
        <f t="shared" si="382"/>
        <v>2</v>
      </c>
      <c r="M9012">
        <f t="shared" si="383"/>
        <v>-15.105420898379837</v>
      </c>
      <c r="N9012">
        <v>1.05</v>
      </c>
      <c r="O9012" s="15">
        <v>1.2</v>
      </c>
      <c r="P9012">
        <v>1</v>
      </c>
      <c r="Q9012">
        <v>1.01</v>
      </c>
      <c r="R9012">
        <v>1.2</v>
      </c>
      <c r="S9012">
        <v>1.2</v>
      </c>
      <c r="T9012">
        <v>3</v>
      </c>
      <c r="U9012">
        <f t="shared" si="384"/>
        <v>0.57209088006881903</v>
      </c>
    </row>
    <row r="9013" spans="1:22" x14ac:dyDescent="0.2">
      <c r="A9013" t="s">
        <v>134</v>
      </c>
      <c r="B9013" s="45">
        <f>B9010*9</f>
        <v>2.3129572351250072E-2</v>
      </c>
      <c r="C9013" t="s">
        <v>56</v>
      </c>
      <c r="D9013" t="s">
        <v>100</v>
      </c>
      <c r="F9013" t="s">
        <v>99</v>
      </c>
      <c r="H9013" t="s">
        <v>131</v>
      </c>
      <c r="I9013" t="s">
        <v>1058</v>
      </c>
      <c r="K9013" t="str">
        <f>B8965</f>
        <v>heat, residential, by combustion of hydrogen using CHP, allocated by exergy, transported by train, produced by Electrolysis, PEM using water and electricity from Wind (DK)</v>
      </c>
      <c r="L9013">
        <f t="shared" si="382"/>
        <v>2</v>
      </c>
      <c r="M9013">
        <f t="shared" si="383"/>
        <v>-3.7666432918310226</v>
      </c>
      <c r="N9013">
        <v>1.05</v>
      </c>
      <c r="O9013" s="15">
        <v>1.2</v>
      </c>
      <c r="P9013">
        <v>1</v>
      </c>
      <c r="Q9013">
        <v>1.01</v>
      </c>
      <c r="R9013">
        <v>1.2</v>
      </c>
      <c r="S9013">
        <v>1.2</v>
      </c>
      <c r="T9013">
        <v>1.05</v>
      </c>
      <c r="U9013">
        <f t="shared" si="384"/>
        <v>0.16169679924070957</v>
      </c>
    </row>
    <row r="9014" spans="1:22" x14ac:dyDescent="0.2">
      <c r="A9014" t="s">
        <v>135</v>
      </c>
      <c r="B9014" s="45">
        <f>912.5/1000000*B9011</f>
        <v>3.0486061335189335E-6</v>
      </c>
      <c r="C9014" t="s">
        <v>56</v>
      </c>
      <c r="D9014" t="s">
        <v>100</v>
      </c>
      <c r="F9014" t="s">
        <v>99</v>
      </c>
      <c r="H9014" t="s">
        <v>131</v>
      </c>
      <c r="I9014" t="s">
        <v>1217</v>
      </c>
      <c r="K9014" t="str">
        <f>B8965</f>
        <v>heat, residential, by combustion of hydrogen using CHP, allocated by exergy, transported by train, produced by Electrolysis, PEM using water and electricity from Wind (DK)</v>
      </c>
      <c r="L9014">
        <f t="shared" si="382"/>
        <v>2</v>
      </c>
      <c r="M9014">
        <f t="shared" si="383"/>
        <v>-12.700826077207378</v>
      </c>
      <c r="N9014">
        <v>1.05</v>
      </c>
      <c r="O9014" s="15">
        <v>1.2</v>
      </c>
      <c r="P9014">
        <v>1</v>
      </c>
      <c r="Q9014">
        <v>1.01</v>
      </c>
      <c r="R9014">
        <v>1.2</v>
      </c>
      <c r="S9014">
        <v>1.2</v>
      </c>
      <c r="T9014">
        <v>1.5</v>
      </c>
      <c r="U9014">
        <f t="shared" si="384"/>
        <v>0.25816898211842121</v>
      </c>
    </row>
    <row r="9016" spans="1:22" x14ac:dyDescent="0.2">
      <c r="A9016" s="2" t="s">
        <v>50</v>
      </c>
      <c r="B9016" s="44" t="str">
        <f>IF(B9022="megajoule","heat","electricity")&amp;", residential, by "&amp;B9027&amp;" of "&amp;B9026&amp;" using "&amp;B9028&amp;IF(B9029&lt;&gt;0,", allocated by "&amp;B9029,"")&amp;", transported by "&amp;B9030&amp;", produced by "&amp;B9034&amp;" using "&amp;B9035&amp;" from "&amp;B9036</f>
        <v>heat, residential, by conversion of hydrogen using fuel cell, PEM, allocated by exergy, transported by train, produced by Electrolysis, PEM using water and electricity from Wind (DK)</v>
      </c>
    </row>
    <row r="9017" spans="1:22" x14ac:dyDescent="0.2">
      <c r="A9017" t="s">
        <v>51</v>
      </c>
      <c r="B9017" s="45" t="str">
        <f>"This dataset represents the supply of 1 "&amp;IF(B9022="megajoule","megajoule of heat","kilowatt hour of electricity")&amp;" in a residence, by "&amp;B9026&amp;" "&amp;B9027&amp;" in a "&amp;B9028&amp;". "&amp;" The hydrogen is transported by "&amp;B9030&amp;" over "&amp;B9031&amp;" km from regional storage. "&amp;" The "&amp;B9026&amp;" is produced by  "&amp;B9034&amp;", with "&amp;B9035&amp;" from "&amp;B9036&amp;" as feedstock. "&amp;A9038&amp;": "&amp;(B9038*100)&amp;"%. "&amp;A9039&amp;": "&amp;B9039&amp;". "&amp;A9040&amp;": "&amp;B9040&amp;". "&amp;A9041&amp;": "&amp;(B9041*100)&amp;"%. "&amp;A9042&amp;": "&amp;(B9042*100)&amp;"%. "&amp;A9043&amp;": "&amp;(B9043*100)&amp;"%. "&amp;A9044&amp;": "&amp;B9044&amp;". "&amp;A9045&amp;": "&amp;B9045&amp;". "&amp;A9046&amp;": "&amp;(B9046*100)&amp;"%. "&amp;A9047&amp;": "&amp;B9047&amp;". "&amp;A9048&amp;": "&amp;B9048&amp;". "&amp;A9049&amp;": "&amp;B9049&amp;". "&amp;A9050&amp;": "&amp;B9050&amp;".  For more information, refer to: "&amp;B9018</f>
        <v>This dataset represents the supply of 1 megajoule of heat in a residence, by hydrogen conversion in a fuel cell, PEM.  The hydrogen is transported by train over 1300 km from regional storage.  The hydrogen is produced by  Electrolysis, PEM,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9018" spans="1:22" x14ac:dyDescent="0.2">
      <c r="A9018" t="s">
        <v>63</v>
      </c>
      <c r="B9018" s="45" t="s">
        <v>1223</v>
      </c>
    </row>
    <row r="9019" spans="1:22" x14ac:dyDescent="0.2">
      <c r="A9019" t="s">
        <v>52</v>
      </c>
      <c r="B9019" s="45" t="s">
        <v>64</v>
      </c>
    </row>
    <row r="9020" spans="1:22" x14ac:dyDescent="0.2">
      <c r="A9020" t="s">
        <v>48</v>
      </c>
      <c r="B9020" s="45">
        <v>111</v>
      </c>
    </row>
    <row r="9021" spans="1:22" x14ac:dyDescent="0.2">
      <c r="A9021" t="s">
        <v>54</v>
      </c>
      <c r="B9021" s="45" t="str">
        <f>INDEX(overview!$B$4:$R$338,MATCH('hydrogen - electrolysis'!B9020,overview!$A$4:$A$338,0),MATCH('hydrogen - electrolysis'!A9021,overview!$B$3:$R$3,0))</f>
        <v>heat, from residential heating system</v>
      </c>
    </row>
    <row r="9022" spans="1:22" x14ac:dyDescent="0.2">
      <c r="A9022" t="s">
        <v>55</v>
      </c>
      <c r="B9022" s="45" t="str">
        <f>INDEX(overview!$B$4:$R$338,MATCH('hydrogen - electrolysis'!B9020,overview!$A$4:$A$338,0),MATCH('hydrogen - electrolysis'!A9022,overview!$B$3:$R$3,0))</f>
        <v>megajoule</v>
      </c>
    </row>
    <row r="9023" spans="1:22" x14ac:dyDescent="0.2">
      <c r="A9023" t="s">
        <v>0</v>
      </c>
      <c r="B9023" s="45" t="str">
        <f>INDEX(overview!$B$4:$R$338,MATCH('hydrogen - electrolysis'!B9020,overview!$A$4:$A$338,0),MATCH('hydrogen - electrolysis'!A9023,overview!$B$3:$R$3,0))</f>
        <v>Switzerland</v>
      </c>
    </row>
    <row r="9024" spans="1:22" x14ac:dyDescent="0.2">
      <c r="A9024" t="s">
        <v>1</v>
      </c>
      <c r="B9024" s="45">
        <f>INDEX(overview!$B$4:$R$338,MATCH('hydrogen - electrolysis'!B9020,overview!$A$4:$A$338,0),MATCH('hydrogen - electrolysis'!A9024,overview!$B$3:$R$3,0))</f>
        <v>2020</v>
      </c>
    </row>
    <row r="9025" spans="1:2" x14ac:dyDescent="0.2">
      <c r="A9025" t="s">
        <v>2</v>
      </c>
      <c r="B9025" s="45" t="str">
        <f>INDEX(overview!$B$4:$R$338,MATCH('hydrogen - electrolysis'!B9020,overview!$A$4:$A$338,0),MATCH('hydrogen - electrolysis'!A9025,overview!$B$3:$R$3,0))</f>
        <v>1 MJ heat</v>
      </c>
    </row>
    <row r="9026" spans="1:2" x14ac:dyDescent="0.2">
      <c r="A9026" t="s">
        <v>5</v>
      </c>
      <c r="B9026" s="45" t="str">
        <f>INDEX(overview!$B$4:$R$338,MATCH('hydrogen - electrolysis'!B9020,overview!$A$4:$A$338,0),MATCH('hydrogen - electrolysis'!A9026,overview!$B$3:$R$3,0))</f>
        <v>hydrogen</v>
      </c>
    </row>
    <row r="9027" spans="1:2" x14ac:dyDescent="0.2">
      <c r="A9027" t="s">
        <v>3</v>
      </c>
      <c r="B9027" s="45" t="str">
        <f>INDEX(overview!$B$4:$R$338,MATCH('hydrogen - electrolysis'!B9020,overview!$A$4:$A$338,0),MATCH('hydrogen - electrolysis'!A9027,overview!$B$3:$R$3,0))</f>
        <v>conversion</v>
      </c>
    </row>
    <row r="9028" spans="1:2" x14ac:dyDescent="0.2">
      <c r="A9028" t="s">
        <v>6</v>
      </c>
      <c r="B9028" s="45" t="str">
        <f>INDEX(overview!$B$4:$R$338,MATCH('hydrogen - electrolysis'!B9020,overview!$A$4:$A$338,0),MATCH('hydrogen - electrolysis'!A9028,overview!$B$3:$R$3,0))</f>
        <v>fuel cell, PEM</v>
      </c>
    </row>
    <row r="9029" spans="1:2" x14ac:dyDescent="0.2">
      <c r="A9029" t="s">
        <v>39</v>
      </c>
      <c r="B9029" s="45" t="str">
        <f>INDEX(overview!$B$4:$R$338,MATCH('hydrogen - electrolysis'!B9020,overview!$A$4:$A$338,0),MATCH('hydrogen - electrolysis'!A9029,overview!$B$3:$R$3,0))</f>
        <v>exergy</v>
      </c>
    </row>
    <row r="9030" spans="1:2" x14ac:dyDescent="0.2">
      <c r="A9030" t="s">
        <v>4</v>
      </c>
      <c r="B9030" s="45" t="str">
        <f>INDEX(overview!$B$4:$R$338,MATCH('hydrogen - electrolysis'!B9020,overview!$A$4:$A$338,0),MATCH('hydrogen - electrolysis'!A9030,overview!$B$3:$R$3,0))</f>
        <v>train</v>
      </c>
    </row>
    <row r="9031" spans="1:2" x14ac:dyDescent="0.2">
      <c r="A9031" t="s">
        <v>38</v>
      </c>
      <c r="B9031" s="45">
        <f>INDEX(overview!$B$4:$R$338,MATCH('hydrogen - electrolysis'!B9020,overview!$A$4:$A$338,0),MATCH('hydrogen - electrolysis'!A9031,overview!$B$3:$R$3,0))</f>
        <v>1300</v>
      </c>
    </row>
    <row r="9032" spans="1:2" x14ac:dyDescent="0.2">
      <c r="A9032" t="s">
        <v>12</v>
      </c>
      <c r="B9032" s="45" t="str">
        <f>INDEX(overview!$B$4:$R$338,MATCH('hydrogen - electrolysis'!B9020,overview!$A$4:$A$338,0),MATCH('hydrogen - electrolysis'!A9032,overview!$B$3:$R$3,0))</f>
        <v>Pressure vessel for stationary storage</v>
      </c>
    </row>
    <row r="9033" spans="1:2" x14ac:dyDescent="0.2">
      <c r="A9033" t="s">
        <v>34</v>
      </c>
      <c r="B9033" s="45">
        <f>INDEX(overview!$B$4:$R$338,MATCH('hydrogen - electrolysis'!B9020,overview!$A$4:$A$338,0),MATCH('hydrogen - electrolysis'!A9033,overview!$B$3:$R$3,0))</f>
        <v>0</v>
      </c>
    </row>
    <row r="9034" spans="1:2" x14ac:dyDescent="0.2">
      <c r="A9034" t="s">
        <v>15</v>
      </c>
      <c r="B9034" s="45" t="str">
        <f>INDEX(overview!$B$4:$R$338,MATCH('hydrogen - electrolysis'!B9020,overview!$A$4:$A$338,0),MATCH('hydrogen - electrolysis'!A9034,overview!$B$3:$R$3,0))</f>
        <v>Electrolysis, PEM</v>
      </c>
    </row>
    <row r="9035" spans="1:2" x14ac:dyDescent="0.2">
      <c r="A9035" t="s">
        <v>14</v>
      </c>
      <c r="B9035" s="45" t="str">
        <f>INDEX(overview!$B$4:$R$338,MATCH('hydrogen - electrolysis'!B9020,overview!$A$4:$A$338,0),MATCH('hydrogen - electrolysis'!A9035,overview!$B$3:$R$3,0))</f>
        <v>water and electricity</v>
      </c>
    </row>
    <row r="9036" spans="1:2" x14ac:dyDescent="0.2">
      <c r="A9036" t="s">
        <v>26</v>
      </c>
      <c r="B9036" s="45" t="str">
        <f>INDEX(overview!$B$4:$R$338,MATCH('hydrogen - electrolysis'!B9020,overview!$A$4:$A$338,0),MATCH('hydrogen - electrolysis'!A9036,overview!$B$3:$R$3,0))</f>
        <v>Wind (DK)</v>
      </c>
    </row>
    <row r="9037" spans="1:2" x14ac:dyDescent="0.2">
      <c r="A9037" t="s">
        <v>29</v>
      </c>
      <c r="B9037" s="45">
        <f>INDEX(overview!$B$4:$R$338,MATCH('hydrogen - electrolysis'!B9020,overview!$A$4:$A$338,0),MATCH('hydrogen - electrolysis'!A9037,overview!$B$3:$R$3,0))</f>
        <v>0</v>
      </c>
    </row>
    <row r="9038" spans="1:2" x14ac:dyDescent="0.2">
      <c r="A9038" t="str">
        <f>IF(B9022="megajoule","Heat","Electricity")&amp;" conversion efficiency [% LHV input]"</f>
        <v>Heat conversion efficiency [% LHV input]</v>
      </c>
      <c r="B9038" s="46">
        <f>INDEX(parameters!$D$4:$N$20,MATCH('hydrogen - electrolysis'!B9026&amp;'hydrogen - electrolysis'!B9028,parameters!$A$4:$A$20,0),MATCH('hydrogen - electrolysis'!A9038,parameters!$D$3:$N$3,0))</f>
        <v>0.5</v>
      </c>
    </row>
    <row r="9039" spans="1:2" x14ac:dyDescent="0.2">
      <c r="A9039" t="str">
        <f>IF(B9022="megajoule","LHV [MJ/kg]","LHV [kWh/kg]")</f>
        <v>LHV [MJ/kg]</v>
      </c>
      <c r="B9039" s="47">
        <f>INDEX(parameters!$D$4:$N$20,MATCH('hydrogen - electrolysis'!B9026&amp;'hydrogen - electrolysis'!B9028,parameters!$A$4:$A$20,0),MATCH('hydrogen - electrolysis'!A9039,parameters!$D$3:$N$3,0))</f>
        <v>120</v>
      </c>
    </row>
    <row r="9040" spans="1:2" x14ac:dyDescent="0.2">
      <c r="A9040" t="s">
        <v>41</v>
      </c>
      <c r="B9040" s="48">
        <f>INDEX(parameters!$D$4:$N$20,MATCH('hydrogen - electrolysis'!B9026&amp;'hydrogen - electrolysis'!B9028,parameters!$A$4:$A$20,0),MATCH('hydrogen - electrolysis'!A9040,parameters!$D$3:$N$3,0))</f>
        <v>2.6666666666666665E-2</v>
      </c>
    </row>
    <row r="9041" spans="1:22" x14ac:dyDescent="0.2">
      <c r="A9041" t="s">
        <v>45</v>
      </c>
      <c r="B9041" s="46">
        <f>INDEX(parameters!$D$4:$N$20,MATCH('hydrogen - electrolysis'!B9026&amp;'hydrogen - electrolysis'!B9028,parameters!$A$4:$A$20,0),MATCH('hydrogen - electrolysis'!A9041,parameters!$D$3:$N$3,0))</f>
        <v>0</v>
      </c>
    </row>
    <row r="9042" spans="1:22" x14ac:dyDescent="0.2">
      <c r="A9042" t="s">
        <v>46</v>
      </c>
      <c r="B9042" s="46">
        <f>INDEX(parameters!$D$4:$N$20,MATCH('hydrogen - electrolysis'!B9026&amp;'hydrogen - electrolysis'!B9028,parameters!$A$4:$A$20,0),MATCH('hydrogen - electrolysis'!A9042,parameters!$D$3:$N$3,0))</f>
        <v>1.4999999999999999E-2</v>
      </c>
    </row>
    <row r="9043" spans="1:22" x14ac:dyDescent="0.2">
      <c r="A9043" t="s">
        <v>43</v>
      </c>
      <c r="B9043" s="46">
        <f>INDEX(parameters!$D$4:$N$20,MATCH('hydrogen - electrolysis'!B9026&amp;'hydrogen - electrolysis'!B9028,parameters!$A$4:$A$20,0),MATCH('hydrogen - electrolysis'!A9043,parameters!$D$3:$N$3,0))</f>
        <v>0</v>
      </c>
    </row>
    <row r="9044" spans="1:22" x14ac:dyDescent="0.2">
      <c r="A9044" t="s">
        <v>44</v>
      </c>
      <c r="B9044" s="46">
        <f>INDEX(parameters!$D$4:$N$20,MATCH('hydrogen - electrolysis'!B9026&amp;'hydrogen - electrolysis'!B9028,parameters!$A$4:$A$20,0),MATCH('hydrogen - electrolysis'!A9044,parameters!$D$3:$N$3,0))</f>
        <v>0</v>
      </c>
    </row>
    <row r="9045" spans="1:22" x14ac:dyDescent="0.2">
      <c r="A9045" t="s">
        <v>634</v>
      </c>
      <c r="B9045" s="51">
        <f>INDEX(parameters!$D$4:$Y$20,MATCH('hydrogen - electrolysis'!B9026&amp;'hydrogen - electrolysis'!B9028,parameters!$A$4:$A$20,0),MATCH('hydrogen - electrolysis'!A9045,parameters!$D$3:$Y$3,0))</f>
        <v>1.8947368421052633</v>
      </c>
    </row>
    <row r="9046" spans="1:22" x14ac:dyDescent="0.2">
      <c r="A9046" t="s">
        <v>82</v>
      </c>
      <c r="B9046" s="46">
        <f>IF(B9037&lt;&gt;0,VLOOKUP(B9037,parameters!A5692:B5694,2,0),0)</f>
        <v>0</v>
      </c>
    </row>
    <row r="9047" spans="1:22" x14ac:dyDescent="0.2">
      <c r="A9047" t="s">
        <v>548</v>
      </c>
      <c r="B9047" s="50">
        <f>INDEX(parameters!$D$4:$P$20,MATCH(B9026&amp;B9028,parameters!$A$4:$A$20,0),MATCH(A9047,parameters!$D$3:$P$3,0))</f>
        <v>0.8</v>
      </c>
    </row>
    <row r="9048" spans="1:22" x14ac:dyDescent="0.2">
      <c r="A9048" t="s">
        <v>547</v>
      </c>
      <c r="B9048" s="51">
        <f>INDEX(parameters!$D$4:$P$20,MATCH(B9026&amp;B9028,parameters!$A$4:$A$20,0),MATCH(A9048,parameters!$D$3:$P$3,0))</f>
        <v>4.8780487804878048</v>
      </c>
    </row>
    <row r="9049" spans="1:22" x14ac:dyDescent="0.2">
      <c r="A9049" t="s">
        <v>630</v>
      </c>
      <c r="B9049" s="51">
        <f>INDEX(parameters!$D$4:$T$20,MATCH(B9026&amp;B9028,parameters!$A$4:$A$20,0),MATCH(A9049,parameters!$D$3:$T$3,0))</f>
        <v>4100</v>
      </c>
    </row>
    <row r="9050" spans="1:22" x14ac:dyDescent="0.2">
      <c r="A9050" t="s">
        <v>1005</v>
      </c>
      <c r="B9050" s="50">
        <f>IF(B9022="megajoule",SUMIFS(allocation!$I$4:$I$30,allocation!$B$4:$B$30,B9028,allocation!$C$4:$C$30,B9029),SUMIFS(allocation!$J$4:$J$30,allocation!$B$4:$B$30,B9028,allocation!$C$4:$C$30,B9029))</f>
        <v>0.13933980798974457</v>
      </c>
    </row>
    <row r="9051" spans="1:22" x14ac:dyDescent="0.2">
      <c r="A9051" t="s">
        <v>1050</v>
      </c>
      <c r="B9051" s="51">
        <f>INDEX(parameters!$D$4:$AB$20,MATCH(B9026&amp;B9028,parameters!$A$4:$A$20,0),MATCH(A9051,parameters!$D$3:$AB$3,0))</f>
        <v>10.221606648199446</v>
      </c>
    </row>
    <row r="9053" spans="1:22" x14ac:dyDescent="0.2">
      <c r="A9053" s="3" t="s">
        <v>57</v>
      </c>
    </row>
    <row r="9054" spans="1:22" x14ac:dyDescent="0.2">
      <c r="A9054" s="2" t="s">
        <v>58</v>
      </c>
      <c r="B9054" s="44" t="s">
        <v>59</v>
      </c>
      <c r="C9054" s="2" t="s">
        <v>55</v>
      </c>
      <c r="D9054" s="2" t="s">
        <v>60</v>
      </c>
      <c r="E9054" s="2" t="s">
        <v>52</v>
      </c>
      <c r="F9054" s="2" t="s">
        <v>61</v>
      </c>
      <c r="G9054" s="2" t="s">
        <v>54</v>
      </c>
      <c r="H9054" s="2" t="s">
        <v>87</v>
      </c>
      <c r="I9054" s="2" t="s">
        <v>51</v>
      </c>
      <c r="J9054" s="2" t="s">
        <v>138</v>
      </c>
      <c r="K9054" s="2" t="s">
        <v>136</v>
      </c>
      <c r="L9054" s="2" t="s">
        <v>221</v>
      </c>
      <c r="M9054" s="2" t="s">
        <v>379</v>
      </c>
      <c r="N9054" s="2" t="s">
        <v>1059</v>
      </c>
      <c r="O9054" s="2" t="s">
        <v>1060</v>
      </c>
      <c r="P9054" s="2" t="s">
        <v>1061</v>
      </c>
      <c r="Q9054" s="2" t="s">
        <v>1062</v>
      </c>
      <c r="R9054" s="2" t="s">
        <v>1063</v>
      </c>
      <c r="S9054" s="2" t="s">
        <v>1064</v>
      </c>
      <c r="T9054" s="2" t="s">
        <v>1065</v>
      </c>
      <c r="U9054" s="2" t="s">
        <v>380</v>
      </c>
      <c r="V9054" s="2" t="s">
        <v>1128</v>
      </c>
    </row>
    <row r="9055" spans="1:22" x14ac:dyDescent="0.2">
      <c r="A9055" t="str">
        <f>B9016</f>
        <v>heat, residential, by conversion of hydrogen using fuel cell, PEM, allocated by exergy, transported by train, produced by Electrolysis, PEM using water and electricity from Wind (DK)</v>
      </c>
      <c r="B9055" s="45">
        <v>1</v>
      </c>
      <c r="C9055" t="str">
        <f>B9022</f>
        <v>megajoule</v>
      </c>
      <c r="E9055" t="str">
        <f>B9019</f>
        <v>CH</v>
      </c>
      <c r="F9055" t="s">
        <v>62</v>
      </c>
      <c r="G9055" t="str">
        <f>B9021</f>
        <v>heat, from residential heating system</v>
      </c>
      <c r="K9055" t="str">
        <f>B9016</f>
        <v>heat, residential, by conversion of hydrogen using fuel cell, PEM, allocated by exergy, transported by train, produced by Electrolysis, PEM using water and electricity from Wind (DK)</v>
      </c>
    </row>
    <row r="9056" spans="1:22" x14ac:dyDescent="0.2">
      <c r="A9056" t="str">
        <f>VLOOKUP(J9056,'dataset mapping'!$A$4:$E$69,2,0)</f>
        <v>fuel cell system assembly, 1 kWe, proton exchange membrane (PEM)</v>
      </c>
      <c r="B9056" s="52">
        <f>1/(80000*3.6)/0.5*SUMIFS(allocation!$I$4:$I$30,allocation!$B$4:$B$30,'hydrogen - electrolysis'!B9028,allocation!$C$4:$C$30,'hydrogen - electrolysis'!B9029)</f>
        <v>9.6763755548433728E-7</v>
      </c>
      <c r="C9056" t="str">
        <f>VLOOKUP(J9056,'dataset mapping'!$A$4:$E$69,5,0)</f>
        <v>unit</v>
      </c>
      <c r="E9056" t="str">
        <f>VLOOKUP(J9056,'dataset mapping'!$A$4:$E$69,4,0)</f>
        <v>GLO</v>
      </c>
      <c r="F9056" t="s">
        <v>86</v>
      </c>
      <c r="G9056" t="str">
        <f>VLOOKUP(J9056,'dataset mapping'!$A$4:$E$69,3,0)</f>
        <v>fuel cell system, 1 kWe, proton exchange membrane (PEM)</v>
      </c>
      <c r="H9056" t="s">
        <v>88</v>
      </c>
      <c r="I9056" t="s">
        <v>272</v>
      </c>
      <c r="J9056" t="s">
        <v>273</v>
      </c>
      <c r="K9056" t="str">
        <f>B9016</f>
        <v>heat, residential, by conversion of hydrogen using fuel cell, PEM, allocated by exergy, transported by train, produced by Electrolysis, PEM using water and electricity from Wind (DK)</v>
      </c>
      <c r="L9056">
        <f t="shared" ref="L9056:L9060" si="385">IF(OR(B9056&lt;0,B9056=0),1,2)</f>
        <v>2</v>
      </c>
      <c r="M9056">
        <f t="shared" ref="M9056:M9060" si="386">IF(L9056=2,LN(B9056),"")</f>
        <v>-13.848408245937353</v>
      </c>
      <c r="N9056">
        <v>1</v>
      </c>
      <c r="O9056" s="15">
        <v>1.2</v>
      </c>
      <c r="P9056">
        <v>1</v>
      </c>
      <c r="Q9056">
        <v>1.01</v>
      </c>
      <c r="R9056">
        <v>1.2</v>
      </c>
      <c r="S9056">
        <v>1.2</v>
      </c>
      <c r="T9056">
        <v>3</v>
      </c>
      <c r="U9056">
        <f t="shared" ref="U9056:U9060" si="387">LN(SQRT(EXP(
SQRT(
+POWER(LN(N9056),2)
+POWER(LN(O9056),2)
+POWER(LN(P9056),2)
+POWER(LN(Q9056),2)
+POWER(LN(R9056),2)
+POWER(LN(S9056),2)
+POWER(LN(T9056),2)
)
)))</f>
        <v>0.57157051623399524</v>
      </c>
    </row>
    <row r="9057" spans="1:21" x14ac:dyDescent="0.2">
      <c r="A9057" s="45" t="str">
        <f>"hydrogen supply, transported by "&amp;B9030&amp;", produced by "&amp;B9034&amp;" using "&amp;B9035&amp;" from "&amp;B9036</f>
        <v>hydrogen supply, transported by train, produced by Electrolysis, PEM using water and electricity from Wind (DK)</v>
      </c>
      <c r="B9057" s="53">
        <f>(B9055/B9039)/B9038*B9050</f>
        <v>2.3223301331624095E-3</v>
      </c>
      <c r="C9057" t="s">
        <v>56</v>
      </c>
      <c r="E9057" t="s">
        <v>64</v>
      </c>
      <c r="F9057" t="s">
        <v>86</v>
      </c>
      <c r="G9057" t="str">
        <f>"hydrogen, gaseous, from "&amp;B9030</f>
        <v>hydrogen, gaseous, from train</v>
      </c>
      <c r="H9057" t="s">
        <v>76</v>
      </c>
      <c r="I9057" t="s">
        <v>1054</v>
      </c>
      <c r="J9057" t="s">
        <v>303</v>
      </c>
      <c r="K9057" t="str">
        <f>B9016</f>
        <v>heat, residential, by conversion of hydrogen using fuel cell, PEM, allocated by exergy, transported by train, produced by Electrolysis, PEM using water and electricity from Wind (DK)</v>
      </c>
      <c r="L9057">
        <f t="shared" si="385"/>
        <v>2</v>
      </c>
      <c r="M9057">
        <f t="shared" si="386"/>
        <v>-6.0651842296013152</v>
      </c>
      <c r="N9057">
        <v>1</v>
      </c>
      <c r="O9057" s="15">
        <v>1.2</v>
      </c>
      <c r="P9057">
        <v>1</v>
      </c>
      <c r="Q9057">
        <v>1.01</v>
      </c>
      <c r="R9057">
        <v>1.2</v>
      </c>
      <c r="S9057">
        <v>1.2</v>
      </c>
      <c r="T9057">
        <v>1.05</v>
      </c>
      <c r="U9057">
        <f t="shared" si="387"/>
        <v>0.15984597228197622</v>
      </c>
    </row>
    <row r="9058" spans="1:21" x14ac:dyDescent="0.2">
      <c r="A9058" t="str">
        <f>VLOOKUP(J9058,'dataset mapping'!$A$4:$E$69,2,0)</f>
        <v>market for transport, freight train</v>
      </c>
      <c r="B9058" s="45">
        <f>SUM(B9057:B9057)/1000*B9031*SUMIFS(allocation!$I$4:$I$30,allocation!$B$4:$B$30,'hydrogen - electrolysis'!B9028,allocation!$C$4:$C$30,'hydrogen - electrolysis'!B9029)</f>
        <v>4.2067094529674246E-4</v>
      </c>
      <c r="C9058" t="str">
        <f>VLOOKUP(J9058,'dataset mapping'!$A$4:$E$69,5,0)</f>
        <v>ton kilometer</v>
      </c>
      <c r="E9058" t="str">
        <f>VLOOKUP(J9058,'dataset mapping'!$A$4:$E$69,4,0)</f>
        <v>CH</v>
      </c>
      <c r="F9058" t="s">
        <v>86</v>
      </c>
      <c r="G9058" t="str">
        <f>VLOOKUP(J9058,'dataset mapping'!$A$4:$E$69,3,0)</f>
        <v>transport, freight train</v>
      </c>
      <c r="H9058" t="s">
        <v>88</v>
      </c>
      <c r="I9058" t="s">
        <v>1052</v>
      </c>
      <c r="J9058" t="s">
        <v>295</v>
      </c>
      <c r="K9058" t="str">
        <f>B9016</f>
        <v>heat, residential, by conversion of hydrogen using fuel cell, PEM, allocated by exergy, transported by train, produced by Electrolysis, PEM using water and electricity from Wind (DK)</v>
      </c>
      <c r="L9058">
        <f t="shared" si="385"/>
        <v>2</v>
      </c>
      <c r="M9058">
        <f t="shared" si="386"/>
        <v>-7.7736596325130396</v>
      </c>
      <c r="N9058">
        <v>1</v>
      </c>
      <c r="O9058" s="15">
        <v>1.2</v>
      </c>
      <c r="P9058">
        <v>1</v>
      </c>
      <c r="Q9058">
        <v>1.01</v>
      </c>
      <c r="R9058">
        <v>1.2</v>
      </c>
      <c r="S9058">
        <v>1.2</v>
      </c>
      <c r="T9058">
        <v>2</v>
      </c>
      <c r="U9058">
        <f t="shared" si="387"/>
        <v>0.38087907307228186</v>
      </c>
    </row>
    <row r="9059" spans="1:21" x14ac:dyDescent="0.2">
      <c r="A9059" t="str">
        <f>VLOOKUP(J9059,'dataset mapping'!$A$4:$E$69,2,0)</f>
        <v>high pressure hydrogen storage tank</v>
      </c>
      <c r="B9059" s="52">
        <f>((B9051/10)/(B9049*B9045*20*3.6))*IF(B9050&lt;&gt;0,B9050,1)</f>
        <v>2.5464146196956242E-7</v>
      </c>
      <c r="C9059" t="str">
        <f>VLOOKUP(J9059,'dataset mapping'!$A$4:$E$69,5,0)</f>
        <v>kilogram</v>
      </c>
      <c r="E9059" t="str">
        <f>VLOOKUP(J9059,'dataset mapping'!$A$4:$E$69,4,0)</f>
        <v>GLO</v>
      </c>
      <c r="F9059" t="s">
        <v>86</v>
      </c>
      <c r="G9059" t="str">
        <f>VLOOKUP(J9059,'dataset mapping'!$A$4:$E$69,3,0)</f>
        <v>high pressure hydrogen storage tank</v>
      </c>
      <c r="H9059" t="s">
        <v>88</v>
      </c>
      <c r="I9059" t="s">
        <v>280</v>
      </c>
      <c r="J9059" t="s">
        <v>229</v>
      </c>
      <c r="K9059" t="str">
        <f>B9016</f>
        <v>heat, residential, by conversion of hydrogen using fuel cell, PEM, allocated by exergy, transported by train, produced by Electrolysis, PEM using water and electricity from Wind (DK)</v>
      </c>
      <c r="L9059">
        <f t="shared" si="385"/>
        <v>2</v>
      </c>
      <c r="M9059">
        <f t="shared" si="386"/>
        <v>-15.183409312669692</v>
      </c>
      <c r="N9059">
        <v>1</v>
      </c>
      <c r="O9059" s="15">
        <v>1.2</v>
      </c>
      <c r="P9059">
        <v>1</v>
      </c>
      <c r="Q9059">
        <v>1.01</v>
      </c>
      <c r="R9059">
        <v>1.2</v>
      </c>
      <c r="S9059">
        <v>1.2</v>
      </c>
      <c r="T9059">
        <v>3</v>
      </c>
      <c r="U9059">
        <f t="shared" si="387"/>
        <v>0.57157051623399524</v>
      </c>
    </row>
    <row r="9060" spans="1:21" x14ac:dyDescent="0.2">
      <c r="A9060" t="s">
        <v>134</v>
      </c>
      <c r="B9060" s="45">
        <f>B9057*9</f>
        <v>2.0900971198461685E-2</v>
      </c>
      <c r="C9060" t="s">
        <v>56</v>
      </c>
      <c r="D9060" t="s">
        <v>100</v>
      </c>
      <c r="F9060" t="s">
        <v>99</v>
      </c>
      <c r="H9060" t="s">
        <v>131</v>
      </c>
      <c r="I9060" t="s">
        <v>1057</v>
      </c>
      <c r="K9060" t="str">
        <f>B9016</f>
        <v>heat, residential, by conversion of hydrogen using fuel cell, PEM, allocated by exergy, transported by train, produced by Electrolysis, PEM using water and electricity from Wind (DK)</v>
      </c>
      <c r="L9060">
        <f t="shared" si="385"/>
        <v>2</v>
      </c>
      <c r="M9060">
        <f t="shared" si="386"/>
        <v>-3.8679596522650961</v>
      </c>
      <c r="N9060">
        <v>1</v>
      </c>
      <c r="O9060" s="15">
        <v>1.2</v>
      </c>
      <c r="P9060">
        <v>1</v>
      </c>
      <c r="Q9060">
        <v>1.01</v>
      </c>
      <c r="R9060">
        <v>1.2</v>
      </c>
      <c r="S9060">
        <v>1.2</v>
      </c>
      <c r="T9060">
        <v>1.05</v>
      </c>
      <c r="U9060">
        <f t="shared" si="387"/>
        <v>0.15984597228197622</v>
      </c>
    </row>
    <row r="9062" spans="1:21" x14ac:dyDescent="0.2">
      <c r="A9062" s="2" t="s">
        <v>50</v>
      </c>
      <c r="B9062" s="44" t="str">
        <f>IF(B9068="megajoule","heat","electricity")&amp;", residential, by "&amp;B9073&amp;" of "&amp;B9072&amp;" using "&amp;B9074&amp;IF(B9075&lt;&gt;0,", allocated by "&amp;B9075,"")&amp;", transported by "&amp;B9076&amp;", produced by "&amp;B9080&amp;" using "&amp;B9081&amp;" from "&amp;B9082</f>
        <v>heat, residential, by conversion of hydrogen using fuel cell, SOFC, allocated by exergy, transported by train, produced by Electrolysis, PEM using water and electricity from Wind (DK)</v>
      </c>
    </row>
    <row r="9063" spans="1:21" x14ac:dyDescent="0.2">
      <c r="A9063" t="s">
        <v>51</v>
      </c>
      <c r="B9063" s="45" t="str">
        <f>"This dataset represents the supply of 1 "&amp;IF(B9068="megajoule","megajoule of heat","kilowatt hour of electricity")&amp;" in a residence, by "&amp;B9072&amp;" "&amp;B9073&amp;" in a "&amp;B9074&amp;". "&amp;" The hydrogen is transported by "&amp;B9076&amp;" over "&amp;B9077&amp;" km from regional storage. "&amp;" The "&amp;B9072&amp;" is produced by  "&amp;B9080&amp;", with "&amp;B9081&amp;" from "&amp;B9082&amp;" as feedstock. "&amp;A9084&amp;": "&amp;(B9084*100)&amp;"%. "&amp;A9085&amp;": "&amp;B9085&amp;". "&amp;A9086&amp;": "&amp;B9086&amp;". "&amp;A9087&amp;": "&amp;(B9087*100)&amp;"%. "&amp;A9088&amp;": "&amp;(B9088*100)&amp;"%. "&amp;A9089&amp;": "&amp;(B9089*100)&amp;"%. "&amp;A9090&amp;": "&amp;B9090&amp;". "&amp;A9091&amp;": "&amp;B9091&amp;". "&amp;A9092&amp;": "&amp;(B9092*100)&amp;"%. "&amp;A9093&amp;": "&amp;B9093&amp;". "&amp;A9094&amp;": "&amp;B9094&amp;". "&amp;A9095&amp;": "&amp;B9095&amp;". "&amp;A9096&amp;": "&amp;B9096&amp;".  For more information, refer to: "&amp;B9064</f>
        <v>This dataset represents the supply of 1 megajoule of heat in a residence, by hydrogen conversion in a fuel cell, SOFC.  The hydrogen is transported by train over 1300 km from regional storage.  The hydrogen is produced by  Electrolysis, PEM,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9064" spans="1:21" x14ac:dyDescent="0.2">
      <c r="A9064" t="s">
        <v>63</v>
      </c>
      <c r="B9064" s="45" t="s">
        <v>1223</v>
      </c>
    </row>
    <row r="9065" spans="1:21" x14ac:dyDescent="0.2">
      <c r="A9065" t="s">
        <v>52</v>
      </c>
      <c r="B9065" s="45" t="s">
        <v>64</v>
      </c>
    </row>
    <row r="9066" spans="1:21" x14ac:dyDescent="0.2">
      <c r="A9066" t="s">
        <v>48</v>
      </c>
      <c r="B9066" s="45">
        <v>112</v>
      </c>
    </row>
    <row r="9067" spans="1:21" x14ac:dyDescent="0.2">
      <c r="A9067" t="s">
        <v>54</v>
      </c>
      <c r="B9067" s="45" t="str">
        <f>INDEX(overview!$B$4:$R$338,MATCH('hydrogen - electrolysis'!B9066,overview!$A$4:$A$338,0),MATCH('hydrogen - electrolysis'!A9067,overview!$B$3:$R$3,0))</f>
        <v>heat, from residential heating system</v>
      </c>
    </row>
    <row r="9068" spans="1:21" x14ac:dyDescent="0.2">
      <c r="A9068" t="s">
        <v>55</v>
      </c>
      <c r="B9068" s="45" t="str">
        <f>INDEX(overview!$B$4:$R$338,MATCH('hydrogen - electrolysis'!B9066,overview!$A$4:$A$338,0),MATCH('hydrogen - electrolysis'!A9068,overview!$B$3:$R$3,0))</f>
        <v>megajoule</v>
      </c>
    </row>
    <row r="9069" spans="1:21" x14ac:dyDescent="0.2">
      <c r="A9069" t="s">
        <v>0</v>
      </c>
      <c r="B9069" s="45" t="str">
        <f>INDEX(overview!$B$4:$R$338,MATCH('hydrogen - electrolysis'!B9066,overview!$A$4:$A$338,0),MATCH('hydrogen - electrolysis'!A9069,overview!$B$3:$R$3,0))</f>
        <v>Switzerland</v>
      </c>
    </row>
    <row r="9070" spans="1:21" x14ac:dyDescent="0.2">
      <c r="A9070" t="s">
        <v>1</v>
      </c>
      <c r="B9070" s="45">
        <f>INDEX(overview!$B$4:$R$338,MATCH('hydrogen - electrolysis'!B9066,overview!$A$4:$A$338,0),MATCH('hydrogen - electrolysis'!A9070,overview!$B$3:$R$3,0))</f>
        <v>2020</v>
      </c>
    </row>
    <row r="9071" spans="1:21" x14ac:dyDescent="0.2">
      <c r="A9071" t="s">
        <v>2</v>
      </c>
      <c r="B9071" s="45" t="str">
        <f>INDEX(overview!$B$4:$R$338,MATCH('hydrogen - electrolysis'!B9066,overview!$A$4:$A$338,0),MATCH('hydrogen - electrolysis'!A9071,overview!$B$3:$R$3,0))</f>
        <v>1 MJ heat</v>
      </c>
    </row>
    <row r="9072" spans="1:21" x14ac:dyDescent="0.2">
      <c r="A9072" t="s">
        <v>5</v>
      </c>
      <c r="B9072" s="45" t="str">
        <f>INDEX(overview!$B$4:$R$338,MATCH('hydrogen - electrolysis'!B9066,overview!$A$4:$A$338,0),MATCH('hydrogen - electrolysis'!A9072,overview!$B$3:$R$3,0))</f>
        <v>hydrogen</v>
      </c>
    </row>
    <row r="9073" spans="1:2" x14ac:dyDescent="0.2">
      <c r="A9073" t="s">
        <v>3</v>
      </c>
      <c r="B9073" s="45" t="str">
        <f>INDEX(overview!$B$4:$R$338,MATCH('hydrogen - electrolysis'!B9066,overview!$A$4:$A$338,0),MATCH('hydrogen - electrolysis'!A9073,overview!$B$3:$R$3,0))</f>
        <v>conversion</v>
      </c>
    </row>
    <row r="9074" spans="1:2" x14ac:dyDescent="0.2">
      <c r="A9074" t="s">
        <v>6</v>
      </c>
      <c r="B9074" s="45" t="str">
        <f>INDEX(overview!$B$4:$R$338,MATCH('hydrogen - electrolysis'!B9066,overview!$A$4:$A$338,0),MATCH('hydrogen - electrolysis'!A9074,overview!$B$3:$R$3,0))</f>
        <v>fuel cell, SOFC</v>
      </c>
    </row>
    <row r="9075" spans="1:2" x14ac:dyDescent="0.2">
      <c r="A9075" t="s">
        <v>39</v>
      </c>
      <c r="B9075" s="45" t="str">
        <f>INDEX(overview!$B$4:$R$338,MATCH('hydrogen - electrolysis'!B9066,overview!$A$4:$A$338,0),MATCH('hydrogen - electrolysis'!A9075,overview!$B$3:$R$3,0))</f>
        <v>exergy</v>
      </c>
    </row>
    <row r="9076" spans="1:2" x14ac:dyDescent="0.2">
      <c r="A9076" t="s">
        <v>4</v>
      </c>
      <c r="B9076" s="45" t="str">
        <f>INDEX(overview!$B$4:$R$338,MATCH('hydrogen - electrolysis'!B9066,overview!$A$4:$A$338,0),MATCH('hydrogen - electrolysis'!A9076,overview!$B$3:$R$3,0))</f>
        <v>train</v>
      </c>
    </row>
    <row r="9077" spans="1:2" x14ac:dyDescent="0.2">
      <c r="A9077" t="s">
        <v>38</v>
      </c>
      <c r="B9077" s="45">
        <f>INDEX(overview!$B$4:$R$338,MATCH('hydrogen - electrolysis'!B9066,overview!$A$4:$A$338,0),MATCH('hydrogen - electrolysis'!A9077,overview!$B$3:$R$3,0))</f>
        <v>1300</v>
      </c>
    </row>
    <row r="9078" spans="1:2" x14ac:dyDescent="0.2">
      <c r="A9078" t="s">
        <v>12</v>
      </c>
      <c r="B9078" s="45" t="str">
        <f>INDEX(overview!$B$4:$R$338,MATCH('hydrogen - electrolysis'!B9066,overview!$A$4:$A$338,0),MATCH('hydrogen - electrolysis'!A9078,overview!$B$3:$R$3,0))</f>
        <v>Pressure vessel for stationary storage</v>
      </c>
    </row>
    <row r="9079" spans="1:2" x14ac:dyDescent="0.2">
      <c r="A9079" t="s">
        <v>34</v>
      </c>
      <c r="B9079" s="45">
        <f>INDEX(overview!$B$4:$R$338,MATCH('hydrogen - electrolysis'!B9066,overview!$A$4:$A$338,0),MATCH('hydrogen - electrolysis'!A9079,overview!$B$3:$R$3,0))</f>
        <v>0</v>
      </c>
    </row>
    <row r="9080" spans="1:2" x14ac:dyDescent="0.2">
      <c r="A9080" t="s">
        <v>15</v>
      </c>
      <c r="B9080" s="45" t="str">
        <f>INDEX(overview!$B$4:$R$338,MATCH('hydrogen - electrolysis'!B9066,overview!$A$4:$A$338,0),MATCH('hydrogen - electrolysis'!A9080,overview!$B$3:$R$3,0))</f>
        <v>Electrolysis, PEM</v>
      </c>
    </row>
    <row r="9081" spans="1:2" x14ac:dyDescent="0.2">
      <c r="A9081" t="s">
        <v>14</v>
      </c>
      <c r="B9081" s="45" t="str">
        <f>INDEX(overview!$B$4:$R$338,MATCH('hydrogen - electrolysis'!B9066,overview!$A$4:$A$338,0),MATCH('hydrogen - electrolysis'!A9081,overview!$B$3:$R$3,0))</f>
        <v>water and electricity</v>
      </c>
    </row>
    <row r="9082" spans="1:2" x14ac:dyDescent="0.2">
      <c r="A9082" t="s">
        <v>26</v>
      </c>
      <c r="B9082" s="45" t="str">
        <f>INDEX(overview!$B$4:$R$338,MATCH('hydrogen - electrolysis'!B9066,overview!$A$4:$A$338,0),MATCH('hydrogen - electrolysis'!A9082,overview!$B$3:$R$3,0))</f>
        <v>Wind (DK)</v>
      </c>
    </row>
    <row r="9083" spans="1:2" x14ac:dyDescent="0.2">
      <c r="A9083" t="s">
        <v>29</v>
      </c>
      <c r="B9083" s="45">
        <f>INDEX(overview!$B$4:$R$338,MATCH('hydrogen - electrolysis'!B9066,overview!$A$4:$A$338,0),MATCH('hydrogen - electrolysis'!A9083,overview!$B$3:$R$3,0))</f>
        <v>0</v>
      </c>
    </row>
    <row r="9084" spans="1:2" x14ac:dyDescent="0.2">
      <c r="A9084" t="str">
        <f>IF(B9068="megajoule","Heat","Electricity")&amp;" conversion efficiency [% LHV input]"</f>
        <v>Heat conversion efficiency [% LHV input]</v>
      </c>
      <c r="B9084" s="46">
        <f>INDEX(parameters!$D$4:$N$20,MATCH('hydrogen - electrolysis'!B9072&amp;'hydrogen - electrolysis'!B9074,parameters!$A$4:$A$20,0),MATCH('hydrogen - electrolysis'!A9084,parameters!$D$3:$N$3,0))</f>
        <v>0.53</v>
      </c>
    </row>
    <row r="9085" spans="1:2" x14ac:dyDescent="0.2">
      <c r="A9085" t="str">
        <f>IF(B9068="megajoule","LHV [MJ/kg]","LHV [kWh/kg]")</f>
        <v>LHV [MJ/kg]</v>
      </c>
      <c r="B9085" s="47">
        <f>INDEX(parameters!$D$4:$N$20,MATCH('hydrogen - electrolysis'!B9072&amp;'hydrogen - electrolysis'!B9074,parameters!$A$4:$A$20,0),MATCH('hydrogen - electrolysis'!A9085,parameters!$D$3:$N$3,0))</f>
        <v>120</v>
      </c>
    </row>
    <row r="9086" spans="1:2" x14ac:dyDescent="0.2">
      <c r="A9086" t="s">
        <v>41</v>
      </c>
      <c r="B9086" s="48">
        <f>INDEX(parameters!$D$4:$N$20,MATCH('hydrogen - electrolysis'!B9072&amp;'hydrogen - electrolysis'!B9074,parameters!$A$4:$A$20,0),MATCH('hydrogen - electrolysis'!A9086,parameters!$D$3:$N$3,0))</f>
        <v>2.6666666666666665E-2</v>
      </c>
    </row>
    <row r="9087" spans="1:2" x14ac:dyDescent="0.2">
      <c r="A9087" t="s">
        <v>45</v>
      </c>
      <c r="B9087" s="46">
        <f>INDEX(parameters!$D$4:$N$20,MATCH('hydrogen - electrolysis'!B9072&amp;'hydrogen - electrolysis'!B9074,parameters!$A$4:$A$20,0),MATCH('hydrogen - electrolysis'!A9087,parameters!$D$3:$N$3,0))</f>
        <v>0</v>
      </c>
    </row>
    <row r="9088" spans="1:2" x14ac:dyDescent="0.2">
      <c r="A9088" t="s">
        <v>46</v>
      </c>
      <c r="B9088" s="46">
        <f>INDEX(parameters!$D$4:$N$20,MATCH('hydrogen - electrolysis'!B9072&amp;'hydrogen - electrolysis'!B9074,parameters!$A$4:$A$20,0),MATCH('hydrogen - electrolysis'!A9088,parameters!$D$3:$N$3,0))</f>
        <v>1.4999999999999999E-2</v>
      </c>
    </row>
    <row r="9089" spans="1:22" x14ac:dyDescent="0.2">
      <c r="A9089" t="s">
        <v>43</v>
      </c>
      <c r="B9089" s="46">
        <f>INDEX(parameters!$D$4:$N$20,MATCH('hydrogen - electrolysis'!B9072&amp;'hydrogen - electrolysis'!B9074,parameters!$A$4:$A$20,0),MATCH('hydrogen - electrolysis'!A9089,parameters!$D$3:$N$3,0))</f>
        <v>0</v>
      </c>
    </row>
    <row r="9090" spans="1:22" x14ac:dyDescent="0.2">
      <c r="A9090" t="s">
        <v>44</v>
      </c>
      <c r="B9090" s="46">
        <f>INDEX(parameters!$D$4:$N$20,MATCH('hydrogen - electrolysis'!B9072&amp;'hydrogen - electrolysis'!B9074,parameters!$A$4:$A$20,0),MATCH('hydrogen - electrolysis'!A9090,parameters!$D$3:$N$3,0))</f>
        <v>0</v>
      </c>
    </row>
    <row r="9091" spans="1:22" x14ac:dyDescent="0.2">
      <c r="A9091" t="s">
        <v>634</v>
      </c>
      <c r="B9091" s="51">
        <f>INDEX(parameters!$D$4:$Y$20,MATCH('hydrogen - electrolysis'!B9072&amp;'hydrogen - electrolysis'!B9074,parameters!$A$4:$A$20,0),MATCH('hydrogen - electrolysis'!A9091,parameters!$D$3:$Y$3,0))</f>
        <v>225</v>
      </c>
      <c r="D9091" s="8"/>
    </row>
    <row r="9092" spans="1:22" x14ac:dyDescent="0.2">
      <c r="A9092" t="s">
        <v>82</v>
      </c>
      <c r="B9092" s="46">
        <f>IF(B9083&lt;&gt;0,VLOOKUP(B9083,parameters!A5740:B5742,2,0),0)</f>
        <v>0</v>
      </c>
    </row>
    <row r="9093" spans="1:22" x14ac:dyDescent="0.2">
      <c r="A9093" t="s">
        <v>548</v>
      </c>
      <c r="B9093" s="50">
        <f>INDEX(parameters!$D$4:$P$20,MATCH(B9072&amp;B9074,parameters!$A$4:$A$20,0),MATCH(A9093,parameters!$D$3:$P$3,0))</f>
        <v>100</v>
      </c>
    </row>
    <row r="9094" spans="1:22" x14ac:dyDescent="0.2">
      <c r="A9094" t="s">
        <v>547</v>
      </c>
      <c r="B9094" s="51">
        <f>INDEX(parameters!$D$4:$P$20,MATCH(B9072&amp;B9074,parameters!$A$4:$A$20,0),MATCH(A9094,parameters!$D$3:$P$3,0))</f>
        <v>6</v>
      </c>
    </row>
    <row r="9095" spans="1:22" x14ac:dyDescent="0.2">
      <c r="A9095" t="s">
        <v>630</v>
      </c>
      <c r="B9095" s="51">
        <f>INDEX(parameters!$D$4:$T$20,MATCH(B9072&amp;B9074,parameters!$A$4:$A$20,0),MATCH(A9095,parameters!$D$3:$T$3,0))</f>
        <v>4100</v>
      </c>
    </row>
    <row r="9096" spans="1:22" x14ac:dyDescent="0.2">
      <c r="A9096" t="s">
        <v>1005</v>
      </c>
      <c r="B9096" s="50">
        <f>IF(B9068="megajoule",SUMIFS(allocation!$I$4:$I$30,allocation!$B$4:$B$30,B9074,allocation!$C$4:$C$30,B9075),SUMIFS(allocation!$J$4:$J$30,allocation!$B$4:$B$30,B9074,allocation!$C$4:$C$30,B9075))</f>
        <v>0.13587506510399097</v>
      </c>
    </row>
    <row r="9097" spans="1:22" x14ac:dyDescent="0.2">
      <c r="A9097" t="s">
        <v>1050</v>
      </c>
      <c r="B9097" s="51">
        <f>INDEX(parameters!$D$4:$AB$20,MATCH(B9072&amp;B9074,parameters!$A$4:$A$20,0),MATCH(A9097,parameters!$D$3:$AB$3,0))</f>
        <v>1153.1249999999998</v>
      </c>
    </row>
    <row r="9099" spans="1:22" x14ac:dyDescent="0.2">
      <c r="A9099" s="3" t="s">
        <v>57</v>
      </c>
    </row>
    <row r="9100" spans="1:22" x14ac:dyDescent="0.2">
      <c r="A9100" s="2" t="s">
        <v>58</v>
      </c>
      <c r="B9100" s="44" t="s">
        <v>59</v>
      </c>
      <c r="C9100" s="2" t="s">
        <v>55</v>
      </c>
      <c r="D9100" s="2" t="s">
        <v>60</v>
      </c>
      <c r="E9100" s="2" t="s">
        <v>52</v>
      </c>
      <c r="F9100" s="2" t="s">
        <v>61</v>
      </c>
      <c r="G9100" s="2" t="s">
        <v>54</v>
      </c>
      <c r="H9100" s="2" t="s">
        <v>87</v>
      </c>
      <c r="I9100" s="2" t="s">
        <v>51</v>
      </c>
      <c r="J9100" s="2" t="s">
        <v>138</v>
      </c>
      <c r="K9100" s="2" t="s">
        <v>136</v>
      </c>
      <c r="L9100" s="2" t="s">
        <v>221</v>
      </c>
      <c r="M9100" s="2" t="s">
        <v>379</v>
      </c>
      <c r="N9100" s="2" t="s">
        <v>1059</v>
      </c>
      <c r="O9100" s="2" t="s">
        <v>1060</v>
      </c>
      <c r="P9100" s="2" t="s">
        <v>1061</v>
      </c>
      <c r="Q9100" s="2" t="s">
        <v>1062</v>
      </c>
      <c r="R9100" s="2" t="s">
        <v>1063</v>
      </c>
      <c r="S9100" s="2" t="s">
        <v>1064</v>
      </c>
      <c r="T9100" s="2" t="s">
        <v>1065</v>
      </c>
      <c r="U9100" s="2" t="s">
        <v>380</v>
      </c>
      <c r="V9100" s="2" t="s">
        <v>1128</v>
      </c>
    </row>
    <row r="9101" spans="1:22" x14ac:dyDescent="0.2">
      <c r="A9101" t="str">
        <f>B9062</f>
        <v>heat, residential, by conversion of hydrogen using fuel cell, SOFC, allocated by exergy, transported by train, produced by Electrolysis, PEM using water and electricity from Wind (DK)</v>
      </c>
      <c r="B9101" s="45">
        <v>1</v>
      </c>
      <c r="C9101" t="str">
        <f>B9068</f>
        <v>megajoule</v>
      </c>
      <c r="E9101" t="str">
        <f>B9065</f>
        <v>CH</v>
      </c>
      <c r="F9101" t="s">
        <v>62</v>
      </c>
      <c r="G9101" t="str">
        <f>B9067</f>
        <v>heat, from residential heating system</v>
      </c>
      <c r="K9101" t="str">
        <f>B9062</f>
        <v>heat, residential, by conversion of hydrogen using fuel cell, SOFC, allocated by exergy, transported by train, produced by Electrolysis, PEM using water and electricity from Wind (DK)</v>
      </c>
    </row>
    <row r="9102" spans="1:22" x14ac:dyDescent="0.2">
      <c r="A9102" t="str">
        <f>VLOOKUP(J9102,'dataset mapping'!$A$4:$E$69,2,0)</f>
        <v>fuel cell production, stack solid oxide, 125kW electrical, future</v>
      </c>
      <c r="B9102" s="52">
        <f>(1/(B9091*B9095*B9094*3.6))*B9096</f>
        <v>6.8189834941278219E-9</v>
      </c>
      <c r="C9102" t="str">
        <f>VLOOKUP(J9102,'dataset mapping'!$A$4:$E$69,5,0)</f>
        <v>unit</v>
      </c>
      <c r="E9102" t="str">
        <f>VLOOKUP(J9102,'dataset mapping'!$A$4:$E$69,4,0)</f>
        <v>CH</v>
      </c>
      <c r="F9102" t="s">
        <v>86</v>
      </c>
      <c r="G9102" t="str">
        <f>VLOOKUP(J9102,'dataset mapping'!$A$4:$E$69,3,0)</f>
        <v>fuel cell, stack solid oxide, 125kW electrical, future</v>
      </c>
      <c r="H9102" t="s">
        <v>88</v>
      </c>
      <c r="I9102" t="s">
        <v>277</v>
      </c>
      <c r="J9102" t="s">
        <v>274</v>
      </c>
      <c r="K9102" t="str">
        <f>B9062</f>
        <v>heat, residential, by conversion of hydrogen using fuel cell, SOFC, allocated by exergy, transported by train, produced by Electrolysis, PEM using water and electricity from Wind (DK)</v>
      </c>
      <c r="L9102">
        <f t="shared" ref="L9102:L9108" si="388">IF(OR(B9102&lt;0,B9102=0),1,2)</f>
        <v>2</v>
      </c>
      <c r="M9102">
        <f t="shared" ref="M9102:M9108" si="389">IF(L9102=2,LN(B9102),"")</f>
        <v>-18.80355542398161</v>
      </c>
      <c r="N9102">
        <v>1</v>
      </c>
      <c r="O9102" s="15">
        <v>1.2</v>
      </c>
      <c r="P9102">
        <v>1</v>
      </c>
      <c r="Q9102">
        <v>1.01</v>
      </c>
      <c r="R9102">
        <v>1.2</v>
      </c>
      <c r="S9102">
        <v>1.2</v>
      </c>
      <c r="T9102">
        <v>3</v>
      </c>
      <c r="U9102">
        <f t="shared" ref="U9102:U9108" si="390">LN(SQRT(EXP(
SQRT(
+POWER(LN(N9102),2)
+POWER(LN(O9102),2)
+POWER(LN(P9102),2)
+POWER(LN(Q9102),2)
+POWER(LN(R9102),2)
+POWER(LN(S9102),2)
+POWER(LN(T9102),2)
)
)))</f>
        <v>0.57157051623399524</v>
      </c>
    </row>
    <row r="9103" spans="1:22" x14ac:dyDescent="0.2">
      <c r="A9103" t="s">
        <v>283</v>
      </c>
      <c r="B9103" s="52">
        <f>(1/(B9091*B9095*B9094*3.6))*B9096</f>
        <v>6.8189834941278219E-9</v>
      </c>
      <c r="C9103" t="s">
        <v>55</v>
      </c>
      <c r="E9103" t="s">
        <v>64</v>
      </c>
      <c r="F9103" t="s">
        <v>86</v>
      </c>
      <c r="G9103" t="s">
        <v>284</v>
      </c>
      <c r="H9103" t="s">
        <v>88</v>
      </c>
      <c r="I9103" t="s">
        <v>277</v>
      </c>
      <c r="K9103" t="str">
        <f>B9062</f>
        <v>heat, residential, by conversion of hydrogen using fuel cell, SOFC, allocated by exergy, transported by train, produced by Electrolysis, PEM using water and electricity from Wind (DK)</v>
      </c>
      <c r="L9103">
        <f t="shared" si="388"/>
        <v>2</v>
      </c>
      <c r="M9103">
        <f t="shared" si="389"/>
        <v>-18.80355542398161</v>
      </c>
      <c r="N9103">
        <v>1</v>
      </c>
      <c r="O9103" s="15">
        <v>1.2</v>
      </c>
      <c r="P9103">
        <v>1</v>
      </c>
      <c r="Q9103">
        <v>1.01</v>
      </c>
      <c r="R9103">
        <v>1.2</v>
      </c>
      <c r="S9103">
        <v>1.2</v>
      </c>
      <c r="T9103">
        <v>3</v>
      </c>
      <c r="U9103">
        <f t="shared" si="390"/>
        <v>0.57157051623399524</v>
      </c>
    </row>
    <row r="9104" spans="1:22" x14ac:dyDescent="0.2">
      <c r="A9104" t="s">
        <v>288</v>
      </c>
      <c r="B9104" s="52">
        <f>0.000024*B9096</f>
        <v>3.2610015624957834E-6</v>
      </c>
      <c r="C9104" t="s">
        <v>56</v>
      </c>
      <c r="E9104" t="s">
        <v>64</v>
      </c>
      <c r="F9104" t="s">
        <v>86</v>
      </c>
      <c r="G9104" t="s">
        <v>287</v>
      </c>
      <c r="H9104" t="s">
        <v>88</v>
      </c>
      <c r="K9104" t="str">
        <f>B9062</f>
        <v>heat, residential, by conversion of hydrogen using fuel cell, SOFC, allocated by exergy, transported by train, produced by Electrolysis, PEM using water and electricity from Wind (DK)</v>
      </c>
      <c r="L9104">
        <f t="shared" si="388"/>
        <v>2</v>
      </c>
      <c r="M9104">
        <f t="shared" si="389"/>
        <v>-12.633476182011</v>
      </c>
      <c r="N9104">
        <v>1</v>
      </c>
      <c r="O9104" s="15">
        <v>1.2</v>
      </c>
      <c r="P9104">
        <v>1</v>
      </c>
      <c r="Q9104">
        <v>1.01</v>
      </c>
      <c r="R9104">
        <v>1.2</v>
      </c>
      <c r="S9104">
        <v>1.2</v>
      </c>
      <c r="T9104">
        <v>1.05</v>
      </c>
      <c r="U9104">
        <f t="shared" si="390"/>
        <v>0.15984597228197622</v>
      </c>
    </row>
    <row r="9105" spans="1:21" x14ac:dyDescent="0.2">
      <c r="A9105" s="45" t="str">
        <f>"hydrogen supply, transported by "&amp;B9076&amp;", produced by "&amp;B9080&amp;" using "&amp;B9081&amp;" from "&amp;B9082</f>
        <v>hydrogen supply, transported by train, produced by Electrolysis, PEM using water and electricity from Wind (DK)</v>
      </c>
      <c r="B9105" s="53">
        <f>(B9101/B9085)/B9084*B9096</f>
        <v>2.1364003947168392E-3</v>
      </c>
      <c r="C9105" t="s">
        <v>56</v>
      </c>
      <c r="E9105" t="s">
        <v>64</v>
      </c>
      <c r="F9105" t="s">
        <v>86</v>
      </c>
      <c r="G9105" t="str">
        <f>"hydrogen, gaseous, from "&amp;B9076</f>
        <v>hydrogen, gaseous, from train</v>
      </c>
      <c r="H9105" t="s">
        <v>76</v>
      </c>
      <c r="I9105" t="s">
        <v>1054</v>
      </c>
      <c r="J9105" t="s">
        <v>303</v>
      </c>
      <c r="K9105" t="str">
        <f>B9062</f>
        <v>heat, residential, by conversion of hydrogen using fuel cell, SOFC, allocated by exergy, transported by train, produced by Electrolysis, PEM using water and electricity from Wind (DK)</v>
      </c>
      <c r="L9105">
        <f t="shared" si="388"/>
        <v>2</v>
      </c>
      <c r="M9105">
        <f t="shared" si="389"/>
        <v>-6.1486329247407472</v>
      </c>
      <c r="N9105">
        <v>1</v>
      </c>
      <c r="O9105" s="15">
        <v>1.2</v>
      </c>
      <c r="P9105">
        <v>1</v>
      </c>
      <c r="Q9105">
        <v>1.01</v>
      </c>
      <c r="R9105">
        <v>1.2</v>
      </c>
      <c r="S9105">
        <v>1.2</v>
      </c>
      <c r="T9105">
        <v>1.05</v>
      </c>
      <c r="U9105">
        <f t="shared" si="390"/>
        <v>0.15984597228197622</v>
      </c>
    </row>
    <row r="9106" spans="1:21" x14ac:dyDescent="0.2">
      <c r="A9106" t="str">
        <f>VLOOKUP(J9106,'dataset mapping'!$A$4:$E$69,2,0)</f>
        <v>market for transport, freight train</v>
      </c>
      <c r="B9106" s="45">
        <f>SUM(B9105:B9105)/1000*B9077</f>
        <v>2.7773205131318909E-3</v>
      </c>
      <c r="C9106" t="str">
        <f>VLOOKUP(J9106,'dataset mapping'!$A$4:$E$69,5,0)</f>
        <v>ton kilometer</v>
      </c>
      <c r="E9106" t="str">
        <f>VLOOKUP(J9106,'dataset mapping'!$A$4:$E$69,4,0)</f>
        <v>CH</v>
      </c>
      <c r="F9106" t="s">
        <v>86</v>
      </c>
      <c r="G9106" t="str">
        <f>VLOOKUP(J9106,'dataset mapping'!$A$4:$E$69,3,0)</f>
        <v>transport, freight train</v>
      </c>
      <c r="H9106" t="s">
        <v>88</v>
      </c>
      <c r="I9106" t="s">
        <v>1052</v>
      </c>
      <c r="J9106" t="s">
        <v>295</v>
      </c>
      <c r="K9106" t="str">
        <f>B9062</f>
        <v>heat, residential, by conversion of hydrogen using fuel cell, SOFC, allocated by exergy, transported by train, produced by Electrolysis, PEM using water and electricity from Wind (DK)</v>
      </c>
      <c r="L9106">
        <f t="shared" si="388"/>
        <v>2</v>
      </c>
      <c r="M9106">
        <f t="shared" si="389"/>
        <v>-5.8862686602732559</v>
      </c>
      <c r="N9106">
        <v>1</v>
      </c>
      <c r="O9106" s="15">
        <v>1.2</v>
      </c>
      <c r="P9106">
        <v>1</v>
      </c>
      <c r="Q9106">
        <v>1.01</v>
      </c>
      <c r="R9106">
        <v>1.2</v>
      </c>
      <c r="S9106">
        <v>1.2</v>
      </c>
      <c r="T9106">
        <v>2</v>
      </c>
      <c r="U9106">
        <f t="shared" si="390"/>
        <v>0.38087907307228186</v>
      </c>
    </row>
    <row r="9107" spans="1:21" x14ac:dyDescent="0.2">
      <c r="A9107" t="str">
        <f>VLOOKUP(J9107,'dataset mapping'!$A$4:$E$69,2,0)</f>
        <v>high pressure hydrogen storage tank</v>
      </c>
      <c r="B9107" s="52">
        <f>((B9097/10)/(B9095*B9091*20*3.6))*IF(B9096&lt;&gt;0,B9096,1)</f>
        <v>2.3589421024998428E-7</v>
      </c>
      <c r="C9107" t="str">
        <f>VLOOKUP(J9107,'dataset mapping'!$A$4:$E$69,5,0)</f>
        <v>kilogram</v>
      </c>
      <c r="E9107" t="str">
        <f>VLOOKUP(J9107,'dataset mapping'!$A$4:$E$69,4,0)</f>
        <v>GLO</v>
      </c>
      <c r="F9107" t="s">
        <v>86</v>
      </c>
      <c r="G9107" t="str">
        <f>VLOOKUP(J9107,'dataset mapping'!$A$4:$E$69,3,0)</f>
        <v>high pressure hydrogen storage tank</v>
      </c>
      <c r="H9107" t="s">
        <v>88</v>
      </c>
      <c r="I9107" t="s">
        <v>230</v>
      </c>
      <c r="J9107" t="s">
        <v>229</v>
      </c>
      <c r="K9107" t="str">
        <f>B9062</f>
        <v>heat, residential, by conversion of hydrogen using fuel cell, SOFC, allocated by exergy, transported by train, produced by Electrolysis, PEM using water and electricity from Wind (DK)</v>
      </c>
      <c r="L9107">
        <f t="shared" si="388"/>
        <v>2</v>
      </c>
      <c r="M9107">
        <f t="shared" si="389"/>
        <v>-15.259882394072699</v>
      </c>
      <c r="N9107">
        <v>1</v>
      </c>
      <c r="O9107" s="15">
        <v>1.2</v>
      </c>
      <c r="P9107">
        <v>1</v>
      </c>
      <c r="Q9107">
        <v>1.01</v>
      </c>
      <c r="R9107">
        <v>1.2</v>
      </c>
      <c r="S9107">
        <v>1.2</v>
      </c>
      <c r="T9107">
        <v>3</v>
      </c>
      <c r="U9107">
        <f t="shared" si="390"/>
        <v>0.57157051623399524</v>
      </c>
    </row>
    <row r="9108" spans="1:21" x14ac:dyDescent="0.2">
      <c r="A9108" t="s">
        <v>134</v>
      </c>
      <c r="B9108" s="45">
        <f>B9105*9</f>
        <v>1.9227603552451553E-2</v>
      </c>
      <c r="C9108" t="s">
        <v>56</v>
      </c>
      <c r="D9108" t="s">
        <v>100</v>
      </c>
      <c r="F9108" t="s">
        <v>99</v>
      </c>
      <c r="H9108" t="s">
        <v>131</v>
      </c>
      <c r="I9108" t="s">
        <v>1057</v>
      </c>
      <c r="K9108" t="str">
        <f>B9062</f>
        <v>heat, residential, by conversion of hydrogen using fuel cell, SOFC, allocated by exergy, transported by train, produced by Electrolysis, PEM using water and electricity from Wind (DK)</v>
      </c>
      <c r="L9108">
        <f t="shared" si="388"/>
        <v>2</v>
      </c>
      <c r="M9108">
        <f t="shared" si="389"/>
        <v>-3.9514083474045276</v>
      </c>
      <c r="N9108">
        <v>1</v>
      </c>
      <c r="O9108" s="15">
        <v>1.2</v>
      </c>
      <c r="P9108">
        <v>1</v>
      </c>
      <c r="Q9108">
        <v>1.01</v>
      </c>
      <c r="R9108">
        <v>1.2</v>
      </c>
      <c r="S9108">
        <v>1.2</v>
      </c>
      <c r="T9108">
        <v>1.05</v>
      </c>
      <c r="U9108">
        <f t="shared" si="390"/>
        <v>0.15984597228197622</v>
      </c>
    </row>
    <row r="9110" spans="1:21" x14ac:dyDescent="0.2">
      <c r="A9110" s="2" t="s">
        <v>50</v>
      </c>
      <c r="B9110" s="44" t="str">
        <f>IF(B9116="megajoule","heat","electricity")&amp;", residential, by "&amp;B9121&amp;" of "&amp;B9120&amp;" using "&amp;B9122&amp;IF(B9123&lt;&gt;0,", allocated by "&amp;B9123,"")&amp;", transported by "&amp;B9124&amp;", produced by "&amp;B9128&amp;" using "&amp;B9129&amp;" from "&amp;B9130</f>
        <v>electricity, residential, by combustion of hydrogen using CHP, allocated by exergy, transported by train, produced by Electrolysis, PEM using water and electricity from Wind (DK)</v>
      </c>
    </row>
    <row r="9111" spans="1:21" x14ac:dyDescent="0.2">
      <c r="A9111" t="s">
        <v>51</v>
      </c>
      <c r="B9111" s="45" t="str">
        <f>"This dataset represents the supply of 1 "&amp;IF(B9116="megajoule","megajoule of heat","kilowatt hour of electricity")&amp;" in a residence, by "&amp;B9120&amp;" "&amp;B9121&amp;" in a "&amp;B9122&amp;". "&amp;" The hydrogen is transported by "&amp;B9124&amp;" over "&amp;B9125&amp;" km from regional storage. "&amp;" The "&amp;B9120&amp;" is produced by  "&amp;B9128&amp;", with "&amp;B9129&amp;" from "&amp;B9130&amp;" as feedstock. "&amp;A9132&amp;": "&amp;(B9132*100)&amp;"%. "&amp;A9133&amp;": "&amp;B9133&amp;". "&amp;A9134&amp;": "&amp;B9134&amp;". "&amp;A9135&amp;": "&amp;(B9135*100)&amp;"%. "&amp;A9136&amp;": "&amp;(B9136*100)&amp;"%. "&amp;A9137&amp;": "&amp;(B9137*100)&amp;"%. "&amp;A9138&amp;": "&amp;B9138&amp;". "&amp;A9139&amp;": "&amp;B9139&amp;". "&amp;A9140&amp;": "&amp;(B9140*100)&amp;"%. "&amp;A9141&amp;": "&amp;B9141&amp;". "&amp;A9142&amp;": "&amp;B9142&amp;". "&amp;A9143&amp;": "&amp;B9143&amp;". "&amp;A9144&amp;": "&amp;B9144&amp;".  For more information, refer to: "&amp;B9112</f>
        <v>This dataset represents the supply of 1 kilowatt hour of electricity in a residence, by hydrogen combustion in a CHP.  The hydrogen is transported by train over 1300 km from regional storage.  The hydrogen is produced by  Electrolysis, PEM,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9112" spans="1:21" x14ac:dyDescent="0.2">
      <c r="A9112" t="s">
        <v>63</v>
      </c>
      <c r="B9112" s="45" t="s">
        <v>1223</v>
      </c>
    </row>
    <row r="9113" spans="1:21" x14ac:dyDescent="0.2">
      <c r="A9113" t="s">
        <v>52</v>
      </c>
      <c r="B9113" s="45" t="s">
        <v>64</v>
      </c>
    </row>
    <row r="9114" spans="1:21" x14ac:dyDescent="0.2">
      <c r="A9114" t="s">
        <v>48</v>
      </c>
      <c r="B9114" s="45" t="s">
        <v>946</v>
      </c>
    </row>
    <row r="9115" spans="1:21" x14ac:dyDescent="0.2">
      <c r="A9115" t="s">
        <v>54</v>
      </c>
      <c r="B9115" s="45" t="str">
        <f>INDEX(overview!$B$4:$R$338,MATCH('hydrogen - electrolysis'!B9114,overview!$A$4:$A$338,0),MATCH('hydrogen - electrolysis'!A9115,overview!$B$3:$R$3,0))</f>
        <v>electricity, from residential heating system</v>
      </c>
    </row>
    <row r="9116" spans="1:21" x14ac:dyDescent="0.2">
      <c r="A9116" t="s">
        <v>55</v>
      </c>
      <c r="B9116" s="45" t="str">
        <f>INDEX(overview!$B$4:$R$338,MATCH('hydrogen - electrolysis'!B9114,overview!$A$4:$A$338,0),MATCH('hydrogen - electrolysis'!A9116,overview!$B$3:$R$3,0))</f>
        <v>kilowatt hour</v>
      </c>
    </row>
    <row r="9117" spans="1:21" x14ac:dyDescent="0.2">
      <c r="A9117" t="s">
        <v>0</v>
      </c>
      <c r="B9117" s="45" t="str">
        <f>INDEX(overview!$B$4:$R$338,MATCH('hydrogen - electrolysis'!B9114,overview!$A$4:$A$338,0),MATCH('hydrogen - electrolysis'!A9117,overview!$B$3:$R$3,0))</f>
        <v>Switzerland</v>
      </c>
    </row>
    <row r="9118" spans="1:21" x14ac:dyDescent="0.2">
      <c r="A9118" t="s">
        <v>1</v>
      </c>
      <c r="B9118" s="45">
        <f>INDEX(overview!$B$4:$R$338,MATCH('hydrogen - electrolysis'!B9114,overview!$A$4:$A$338,0),MATCH('hydrogen - electrolysis'!A9118,overview!$B$3:$R$3,0))</f>
        <v>2020</v>
      </c>
    </row>
    <row r="9119" spans="1:21" x14ac:dyDescent="0.2">
      <c r="A9119" t="s">
        <v>2</v>
      </c>
      <c r="B9119" s="45" t="str">
        <f>INDEX(overview!$B$4:$R$338,MATCH('hydrogen - electrolysis'!B9114,overview!$A$4:$A$338,0),MATCH('hydrogen - electrolysis'!A9119,overview!$B$3:$R$3,0))</f>
        <v>1 kWh electricity</v>
      </c>
    </row>
    <row r="9120" spans="1:21" x14ac:dyDescent="0.2">
      <c r="A9120" t="s">
        <v>5</v>
      </c>
      <c r="B9120" s="45" t="str">
        <f>INDEX(overview!$B$4:$R$338,MATCH('hydrogen - electrolysis'!B9114,overview!$A$4:$A$338,0),MATCH('hydrogen - electrolysis'!A9120,overview!$B$3:$R$3,0))</f>
        <v>hydrogen</v>
      </c>
    </row>
    <row r="9121" spans="1:2" x14ac:dyDescent="0.2">
      <c r="A9121" t="s">
        <v>3</v>
      </c>
      <c r="B9121" s="45" t="str">
        <f>INDEX(overview!$B$4:$R$338,MATCH('hydrogen - electrolysis'!B9114,overview!$A$4:$A$338,0),MATCH('hydrogen - electrolysis'!A9121,overview!$B$3:$R$3,0))</f>
        <v>combustion</v>
      </c>
    </row>
    <row r="9122" spans="1:2" x14ac:dyDescent="0.2">
      <c r="A9122" t="s">
        <v>6</v>
      </c>
      <c r="B9122" s="45" t="str">
        <f>INDEX(overview!$B$4:$R$338,MATCH('hydrogen - electrolysis'!B9114,overview!$A$4:$A$338,0),MATCH('hydrogen - electrolysis'!A9122,overview!$B$3:$R$3,0))</f>
        <v>CHP</v>
      </c>
    </row>
    <row r="9123" spans="1:2" x14ac:dyDescent="0.2">
      <c r="A9123" t="s">
        <v>39</v>
      </c>
      <c r="B9123" s="45" t="str">
        <f>INDEX(overview!$B$4:$R$338,MATCH('hydrogen - electrolysis'!B9114,overview!$A$4:$A$338,0),MATCH('hydrogen - electrolysis'!A9123,overview!$B$3:$R$3,0))</f>
        <v>exergy</v>
      </c>
    </row>
    <row r="9124" spans="1:2" x14ac:dyDescent="0.2">
      <c r="A9124" t="s">
        <v>4</v>
      </c>
      <c r="B9124" s="45" t="str">
        <f>INDEX(overview!$B$4:$R$338,MATCH('hydrogen - electrolysis'!B9114,overview!$A$4:$A$338,0),MATCH('hydrogen - electrolysis'!A9124,overview!$B$3:$R$3,0))</f>
        <v>train</v>
      </c>
    </row>
    <row r="9125" spans="1:2" x14ac:dyDescent="0.2">
      <c r="A9125" t="s">
        <v>38</v>
      </c>
      <c r="B9125" s="45">
        <f>INDEX(overview!$B$4:$R$338,MATCH('hydrogen - electrolysis'!B9114,overview!$A$4:$A$338,0),MATCH('hydrogen - electrolysis'!A9125,overview!$B$3:$R$3,0))</f>
        <v>1300</v>
      </c>
    </row>
    <row r="9126" spans="1:2" x14ac:dyDescent="0.2">
      <c r="A9126" t="s">
        <v>12</v>
      </c>
      <c r="B9126" s="45" t="str">
        <f>INDEX(overview!$B$4:$R$338,MATCH('hydrogen - electrolysis'!B9114,overview!$A$4:$A$338,0),MATCH('hydrogen - electrolysis'!A9126,overview!$B$3:$R$3,0))</f>
        <v>Pressure vessel for stationary storage</v>
      </c>
    </row>
    <row r="9127" spans="1:2" x14ac:dyDescent="0.2">
      <c r="A9127" t="s">
        <v>34</v>
      </c>
      <c r="B9127" s="45">
        <f>INDEX(overview!$B$4:$R$338,MATCH('hydrogen - electrolysis'!B9114,overview!$A$4:$A$338,0),MATCH('hydrogen - electrolysis'!A9127,overview!$B$3:$R$3,0))</f>
        <v>0</v>
      </c>
    </row>
    <row r="9128" spans="1:2" x14ac:dyDescent="0.2">
      <c r="A9128" t="s">
        <v>15</v>
      </c>
      <c r="B9128" s="45" t="str">
        <f>INDEX(overview!$B$4:$R$338,MATCH('hydrogen - electrolysis'!B9114,overview!$A$4:$A$338,0),MATCH('hydrogen - electrolysis'!A9128,overview!$B$3:$R$3,0))</f>
        <v>Electrolysis, PEM</v>
      </c>
    </row>
    <row r="9129" spans="1:2" x14ac:dyDescent="0.2">
      <c r="A9129" t="s">
        <v>14</v>
      </c>
      <c r="B9129" s="45" t="str">
        <f>INDEX(overview!$B$4:$R$338,MATCH('hydrogen - electrolysis'!B9114,overview!$A$4:$A$338,0),MATCH('hydrogen - electrolysis'!A9129,overview!$B$3:$R$3,0))</f>
        <v>water and electricity</v>
      </c>
    </row>
    <row r="9130" spans="1:2" x14ac:dyDescent="0.2">
      <c r="A9130" t="s">
        <v>26</v>
      </c>
      <c r="B9130" s="45" t="str">
        <f>INDEX(overview!$B$4:$R$338,MATCH('hydrogen - electrolysis'!B9114,overview!$A$4:$A$338,0),MATCH('hydrogen - electrolysis'!A9130,overview!$B$3:$R$3,0))</f>
        <v>Wind (DK)</v>
      </c>
    </row>
    <row r="9131" spans="1:2" x14ac:dyDescent="0.2">
      <c r="A9131" t="s">
        <v>29</v>
      </c>
      <c r="B9131" s="45">
        <f>INDEX(overview!$B$4:$R$338,MATCH('hydrogen - electrolysis'!B9114,overview!$A$4:$A$338,0),MATCH('hydrogen - electrolysis'!A9131,overview!$B$3:$R$3,0))</f>
        <v>0</v>
      </c>
    </row>
    <row r="9132" spans="1:2" x14ac:dyDescent="0.2">
      <c r="A9132" t="str">
        <f>IF(B9116="megajoule","Heat","Electricity")&amp;" conversion efficiency [% LHV input]"</f>
        <v>Electricity conversion efficiency [% LHV input]</v>
      </c>
      <c r="B9132" s="46">
        <f>INDEX(parameters!$D$4:$N$20,MATCH('hydrogen - electrolysis'!B9120&amp;'hydrogen - electrolysis'!B9122,parameters!$A$4:$A$20,0),MATCH('hydrogen - electrolysis'!A9132,parameters!$D$3:$N$3,0))</f>
        <v>0.39400000000000002</v>
      </c>
    </row>
    <row r="9133" spans="1:2" x14ac:dyDescent="0.2">
      <c r="A9133" t="str">
        <f>IF(B9116="megajoule","LHV [MJ/kg]","LHV [kWh/kg]")</f>
        <v>LHV [kWh/kg]</v>
      </c>
      <c r="B9133" s="47">
        <f>INDEX(parameters!$D$4:$N$20,MATCH('hydrogen - electrolysis'!B9120&amp;'hydrogen - electrolysis'!B9122,parameters!$A$4:$A$20,0),MATCH('hydrogen - electrolysis'!A9133,parameters!$D$3:$N$3,0))</f>
        <v>33.333333333333336</v>
      </c>
    </row>
    <row r="9134" spans="1:2" x14ac:dyDescent="0.2">
      <c r="A9134" t="s">
        <v>41</v>
      </c>
      <c r="B9134" s="48">
        <f>INDEX(parameters!$D$4:$N$20,MATCH('hydrogen - electrolysis'!B9120&amp;'hydrogen - electrolysis'!B9122,parameters!$A$4:$A$20,0),MATCH('hydrogen - electrolysis'!A9134,parameters!$D$3:$N$3,0))</f>
        <v>2.6666666666666665E-2</v>
      </c>
    </row>
    <row r="9135" spans="1:2" x14ac:dyDescent="0.2">
      <c r="A9135" t="s">
        <v>45</v>
      </c>
      <c r="B9135" s="46">
        <f>INDEX(parameters!$D$4:$N$20,MATCH('hydrogen - electrolysis'!B9120&amp;'hydrogen - electrolysis'!B9122,parameters!$A$4:$A$20,0),MATCH('hydrogen - electrolysis'!A9135,parameters!$D$3:$N$3,0))</f>
        <v>0</v>
      </c>
    </row>
    <row r="9136" spans="1:2" x14ac:dyDescent="0.2">
      <c r="A9136" t="s">
        <v>46</v>
      </c>
      <c r="B9136" s="46">
        <f>INDEX(parameters!$D$4:$N$20,MATCH('hydrogen - electrolysis'!B9120&amp;'hydrogen - electrolysis'!B9122,parameters!$A$4:$A$20,0),MATCH('hydrogen - electrolysis'!A9136,parameters!$D$3:$N$3,0))</f>
        <v>1.4999999999999999E-2</v>
      </c>
    </row>
    <row r="9137" spans="1:22" x14ac:dyDescent="0.2">
      <c r="A9137" t="s">
        <v>43</v>
      </c>
      <c r="B9137" s="46">
        <f>INDEX(parameters!$D$4:$N$20,MATCH('hydrogen - electrolysis'!B9120&amp;'hydrogen - electrolysis'!B9122,parameters!$A$4:$A$20,0),MATCH('hydrogen - electrolysis'!A9137,parameters!$D$3:$N$3,0))</f>
        <v>0</v>
      </c>
    </row>
    <row r="9138" spans="1:22" x14ac:dyDescent="0.2">
      <c r="A9138" t="s">
        <v>44</v>
      </c>
      <c r="B9138" s="46">
        <f>INDEX(parameters!$D$4:$N$20,MATCH('hydrogen - electrolysis'!B9120&amp;'hydrogen - electrolysis'!B9122,parameters!$A$4:$A$20,0),MATCH('hydrogen - electrolysis'!A9138,parameters!$D$3:$N$3,0))</f>
        <v>0</v>
      </c>
    </row>
    <row r="9139" spans="1:22" x14ac:dyDescent="0.2">
      <c r="A9139" t="s">
        <v>634</v>
      </c>
      <c r="B9139" s="51">
        <f>INDEX(parameters!$D$4:$Y$20,MATCH('hydrogen - electrolysis'!B9120&amp;'hydrogen - electrolysis'!B9122,parameters!$A$4:$A$20,0),MATCH('hydrogen - electrolysis'!A9139,parameters!$D$3:$Y$3,0))</f>
        <v>351.41800246609125</v>
      </c>
    </row>
    <row r="9140" spans="1:22" x14ac:dyDescent="0.2">
      <c r="A9140" t="s">
        <v>82</v>
      </c>
      <c r="B9140" s="46">
        <f>IF(B9131&lt;&gt;0,VLOOKUP(B9131,parameters!A5791:B5793,2,0),0)</f>
        <v>0</v>
      </c>
    </row>
    <row r="9141" spans="1:22" x14ac:dyDescent="0.2">
      <c r="A9141" t="s">
        <v>548</v>
      </c>
      <c r="B9141" s="50">
        <f>INDEX(parameters!$D$4:$P$20,MATCH(B9120&amp;B9122,parameters!$A$4:$A$20,0),MATCH(A9141,parameters!$D$3:$P$3,0))</f>
        <v>125</v>
      </c>
    </row>
    <row r="9142" spans="1:22" x14ac:dyDescent="0.2">
      <c r="A9142" t="s">
        <v>547</v>
      </c>
      <c r="B9142" s="51">
        <f>INDEX(parameters!$D$4:$P$20,MATCH(B9120&amp;B9122,parameters!$A$4:$A$20,0),MATCH(A9142,parameters!$D$3:$P$3,0))</f>
        <v>19.512195121951219</v>
      </c>
    </row>
    <row r="9143" spans="1:22" x14ac:dyDescent="0.2">
      <c r="A9143" t="s">
        <v>630</v>
      </c>
      <c r="B9143" s="51">
        <f>INDEX(parameters!$D$4:$T$20,MATCH(B9120&amp;B9122,parameters!$A$4:$A$20,0),MATCH(A9143,parameters!$D$3:$T$3,0))</f>
        <v>4100</v>
      </c>
    </row>
    <row r="9144" spans="1:22" x14ac:dyDescent="0.2">
      <c r="A9144" t="s">
        <v>1005</v>
      </c>
      <c r="B9144" s="50">
        <f>IF(B9116="megajoule",SUMIFS(allocation!$I$4:$I$30,allocation!$B$4:$B$30,B9122,allocation!$C$4:$C$30,B9123),SUMIFS(allocation!$J$4:$J$30,allocation!$B$4:$B$30,B9122,allocation!$C$4:$C$30,B9123))</f>
        <v>0.87139957772704957</v>
      </c>
    </row>
    <row r="9145" spans="1:22" x14ac:dyDescent="0.2">
      <c r="A9145" t="s">
        <v>1050</v>
      </c>
      <c r="B9145" s="51">
        <f>INDEX(parameters!$D$4:$AB$20,MATCH(B9120&amp;B9122,parameters!$A$4:$A$20,0),MATCH(A9145,parameters!$D$3:$AB$3,0))</f>
        <v>2220.7364520822662</v>
      </c>
    </row>
    <row r="9147" spans="1:22" x14ac:dyDescent="0.2">
      <c r="A9147" s="3" t="s">
        <v>57</v>
      </c>
    </row>
    <row r="9148" spans="1:22" x14ac:dyDescent="0.2">
      <c r="A9148" s="2" t="s">
        <v>58</v>
      </c>
      <c r="B9148" s="44" t="s">
        <v>59</v>
      </c>
      <c r="C9148" s="2" t="s">
        <v>55</v>
      </c>
      <c r="D9148" s="2" t="s">
        <v>60</v>
      </c>
      <c r="E9148" s="2" t="s">
        <v>52</v>
      </c>
      <c r="F9148" s="2" t="s">
        <v>61</v>
      </c>
      <c r="G9148" s="2" t="s">
        <v>54</v>
      </c>
      <c r="H9148" s="2" t="s">
        <v>87</v>
      </c>
      <c r="I9148" s="2" t="s">
        <v>51</v>
      </c>
      <c r="J9148" s="2" t="s">
        <v>138</v>
      </c>
      <c r="K9148" s="2" t="s">
        <v>136</v>
      </c>
      <c r="L9148" s="2" t="s">
        <v>221</v>
      </c>
      <c r="M9148" s="2" t="s">
        <v>379</v>
      </c>
      <c r="N9148" s="2" t="s">
        <v>1059</v>
      </c>
      <c r="O9148" s="2" t="s">
        <v>1060</v>
      </c>
      <c r="P9148" s="2" t="s">
        <v>1061</v>
      </c>
      <c r="Q9148" s="2" t="s">
        <v>1062</v>
      </c>
      <c r="R9148" s="2" t="s">
        <v>1063</v>
      </c>
      <c r="S9148" s="2" t="s">
        <v>1064</v>
      </c>
      <c r="T9148" s="2" t="s">
        <v>1065</v>
      </c>
      <c r="U9148" s="2" t="s">
        <v>380</v>
      </c>
      <c r="V9148" s="2" t="s">
        <v>1128</v>
      </c>
    </row>
    <row r="9149" spans="1:22" x14ac:dyDescent="0.2">
      <c r="A9149" t="str">
        <f>B9110</f>
        <v>electricity, residential, by combustion of hydrogen using CHP, allocated by exergy, transported by train, produced by Electrolysis, PEM using water and electricity from Wind (DK)</v>
      </c>
      <c r="B9149" s="45">
        <v>1</v>
      </c>
      <c r="C9149" t="str">
        <f>B9116</f>
        <v>kilowatt hour</v>
      </c>
      <c r="E9149" t="str">
        <f>B9113</f>
        <v>CH</v>
      </c>
      <c r="F9149" t="s">
        <v>62</v>
      </c>
      <c r="G9149" t="str">
        <f>B9115</f>
        <v>electricity, from residential heating system</v>
      </c>
      <c r="K9149" t="str">
        <f>B9110</f>
        <v>electricity, residential, by combustion of hydrogen using CHP, allocated by exergy, transported by train, produced by Electrolysis, PEM using water and electricity from Wind (DK)</v>
      </c>
    </row>
    <row r="9150" spans="1:22" x14ac:dyDescent="0.2">
      <c r="A9150" t="str">
        <f>VLOOKUP(J9150,'dataset mapping'!$A$4:$E$69,2,0)</f>
        <v>heat and power co-generation unit construction, 160kW electrical, common components for heat+electricity</v>
      </c>
      <c r="B9150" s="52">
        <f>(1/(B9139*B9143*B9142))*B9144</f>
        <v>3.0995835856870056E-8</v>
      </c>
      <c r="C9150" t="str">
        <f>VLOOKUP(J9150,'dataset mapping'!$A$4:$E$69,5,0)</f>
        <v>unit</v>
      </c>
      <c r="E9150" t="str">
        <f>VLOOKUP(J9150,'dataset mapping'!$A$4:$E$69,4,0)</f>
        <v>RER</v>
      </c>
      <c r="F9150" t="s">
        <v>86</v>
      </c>
      <c r="G9150" t="str">
        <f>VLOOKUP(J9150,'dataset mapping'!$A$4:$E$69,3,0)</f>
        <v>heat and power co-generation unit, 160kW electrical, common components for heat+electricity</v>
      </c>
      <c r="H9150" t="s">
        <v>88</v>
      </c>
      <c r="J9150" t="s">
        <v>145</v>
      </c>
      <c r="K9150" t="str">
        <f>B9110</f>
        <v>electricity, residential, by combustion of hydrogen using CHP, allocated by exergy, transported by train, produced by Electrolysis, PEM using water and electricity from Wind (DK)</v>
      </c>
      <c r="L9150">
        <f t="shared" ref="L9150:L9159" si="391">IF(OR(B9150&lt;0,B9150=0),1,2)</f>
        <v>2</v>
      </c>
      <c r="M9150">
        <f t="shared" ref="M9150:M9159" si="392">IF(L9150=2,LN(B9150),"")</f>
        <v>-17.28941296868171</v>
      </c>
      <c r="N9150">
        <v>1.05</v>
      </c>
      <c r="O9150" s="15">
        <v>1.2</v>
      </c>
      <c r="P9150">
        <v>1</v>
      </c>
      <c r="Q9150">
        <v>1.01</v>
      </c>
      <c r="R9150">
        <v>1.2</v>
      </c>
      <c r="S9150">
        <v>1.2</v>
      </c>
      <c r="T9150">
        <v>3</v>
      </c>
      <c r="U9150">
        <f t="shared" ref="U9150:U9159" si="393">LN(SQRT(EXP(
SQRT(
+POWER(LN(N9150),2)
+POWER(LN(O9150),2)
+POWER(LN(P9150),2)
+POWER(LN(Q9150),2)
+POWER(LN(R9150),2)
+POWER(LN(S9150),2)
+POWER(LN(T9150),2)
)
)))</f>
        <v>0.57209088006881903</v>
      </c>
    </row>
    <row r="9151" spans="1:22" x14ac:dyDescent="0.2">
      <c r="A9151" t="str">
        <f>VLOOKUP(J9151,'dataset mapping'!$A$4:$E$69,2,0)</f>
        <v>heat and power co-generation unit construction, 160kW electrical, components for electricity only</v>
      </c>
      <c r="B9151" s="52">
        <f>(1/(B9139*B9143*B9142))*B9144</f>
        <v>3.0995835856870056E-8</v>
      </c>
      <c r="C9151" t="str">
        <f>VLOOKUP(J9151,'dataset mapping'!$A$4:$E$69,5,0)</f>
        <v>unit</v>
      </c>
      <c r="E9151" t="str">
        <f>VLOOKUP(J9151,'dataset mapping'!$A$4:$E$69,4,0)</f>
        <v>RER</v>
      </c>
      <c r="F9151" t="s">
        <v>86</v>
      </c>
      <c r="G9151" t="str">
        <f>VLOOKUP(J9151,'dataset mapping'!$A$4:$E$69,3,0)</f>
        <v>heat and power co-generation unit, 160kW electrical, components for electricity only</v>
      </c>
      <c r="H9151" t="s">
        <v>88</v>
      </c>
      <c r="J9151" t="s">
        <v>146</v>
      </c>
      <c r="K9151" t="str">
        <f>B9110</f>
        <v>electricity, residential, by combustion of hydrogen using CHP, allocated by exergy, transported by train, produced by Electrolysis, PEM using water and electricity from Wind (DK)</v>
      </c>
      <c r="L9151">
        <f t="shared" si="391"/>
        <v>2</v>
      </c>
      <c r="M9151">
        <f t="shared" si="392"/>
        <v>-17.28941296868171</v>
      </c>
      <c r="N9151">
        <v>1.05</v>
      </c>
      <c r="O9151" s="15">
        <v>1.2</v>
      </c>
      <c r="P9151">
        <v>1</v>
      </c>
      <c r="Q9151">
        <v>1.01</v>
      </c>
      <c r="R9151">
        <v>1.2</v>
      </c>
      <c r="S9151">
        <v>1.2</v>
      </c>
      <c r="T9151">
        <v>3</v>
      </c>
      <c r="U9151">
        <f t="shared" si="393"/>
        <v>0.57209088006881903</v>
      </c>
    </row>
    <row r="9152" spans="1:22" x14ac:dyDescent="0.2">
      <c r="A9152" t="str">
        <f>VLOOKUP(J9152,'dataset mapping'!$A$4:$E$69,2,0)</f>
        <v>heat and power co-generation unit construction, 160kW electrical, components for heat only</v>
      </c>
      <c r="B9152" s="52">
        <f>(1/(B9139*B9143*B9142))*B9144</f>
        <v>3.0995835856870056E-8</v>
      </c>
      <c r="C9152" t="str">
        <f>VLOOKUP(J9152,'dataset mapping'!$A$4:$E$69,5,0)</f>
        <v>unit</v>
      </c>
      <c r="E9152" t="str">
        <f>VLOOKUP(J9152,'dataset mapping'!$A$4:$E$69,4,0)</f>
        <v>RER</v>
      </c>
      <c r="F9152" t="s">
        <v>86</v>
      </c>
      <c r="G9152" t="str">
        <f>VLOOKUP(J9152,'dataset mapping'!$A$4:$E$69,3,0)</f>
        <v>heat and power co-generation unit, 160kW electrical, components for heat only</v>
      </c>
      <c r="H9152" t="s">
        <v>88</v>
      </c>
      <c r="J9152" t="s">
        <v>147</v>
      </c>
      <c r="K9152" t="str">
        <f>B9110</f>
        <v>electricity, residential, by combustion of hydrogen using CHP, allocated by exergy, transported by train, produced by Electrolysis, PEM using water and electricity from Wind (DK)</v>
      </c>
      <c r="L9152">
        <f t="shared" si="391"/>
        <v>2</v>
      </c>
      <c r="M9152">
        <f t="shared" si="392"/>
        <v>-17.28941296868171</v>
      </c>
      <c r="N9152">
        <v>1.05</v>
      </c>
      <c r="O9152" s="15">
        <v>1.2</v>
      </c>
      <c r="P9152">
        <v>1</v>
      </c>
      <c r="Q9152">
        <v>1.01</v>
      </c>
      <c r="R9152">
        <v>1.2</v>
      </c>
      <c r="S9152">
        <v>1.2</v>
      </c>
      <c r="T9152">
        <v>3</v>
      </c>
      <c r="U9152">
        <f t="shared" si="393"/>
        <v>0.57209088006881903</v>
      </c>
    </row>
    <row r="9153" spans="1:22" x14ac:dyDescent="0.2">
      <c r="A9153" t="s">
        <v>156</v>
      </c>
      <c r="B9153" s="52">
        <f>0.00000011366*B9144</f>
        <v>9.9043276004456456E-8</v>
      </c>
      <c r="C9153" t="s">
        <v>56</v>
      </c>
      <c r="E9153" t="s">
        <v>90</v>
      </c>
      <c r="F9153" t="s">
        <v>86</v>
      </c>
      <c r="G9153" t="s">
        <v>154</v>
      </c>
      <c r="H9153" t="s">
        <v>155</v>
      </c>
      <c r="K9153" t="str">
        <f>B9110</f>
        <v>electricity, residential, by combustion of hydrogen using CHP, allocated by exergy, transported by train, produced by Electrolysis, PEM using water and electricity from Wind (DK)</v>
      </c>
      <c r="L9153">
        <f t="shared" si="391"/>
        <v>2</v>
      </c>
      <c r="M9153">
        <f t="shared" si="392"/>
        <v>-16.127708950967754</v>
      </c>
      <c r="N9153">
        <v>1.05</v>
      </c>
      <c r="O9153" s="15">
        <v>1.2</v>
      </c>
      <c r="P9153">
        <v>1</v>
      </c>
      <c r="Q9153">
        <v>1.01</v>
      </c>
      <c r="R9153">
        <v>1.2</v>
      </c>
      <c r="S9153">
        <v>1.2</v>
      </c>
      <c r="T9153">
        <v>1.05</v>
      </c>
      <c r="U9153">
        <f t="shared" si="393"/>
        <v>0.16169679924070957</v>
      </c>
    </row>
    <row r="9154" spans="1:22" x14ac:dyDescent="0.2">
      <c r="A9154" t="s">
        <v>157</v>
      </c>
      <c r="B9154" s="52">
        <f>0.00000011366*B9144*-1</f>
        <v>-9.9043276004456456E-8</v>
      </c>
      <c r="C9154" t="s">
        <v>56</v>
      </c>
      <c r="E9154" t="s">
        <v>64</v>
      </c>
      <c r="F9154" t="s">
        <v>86</v>
      </c>
      <c r="G9154" t="s">
        <v>158</v>
      </c>
      <c r="H9154" t="s">
        <v>155</v>
      </c>
      <c r="K9154" t="str">
        <f>B9110</f>
        <v>electricity, residential, by combustion of hydrogen using CHP, allocated by exergy, transported by train, produced by Electrolysis, PEM using water and electricity from Wind (DK)</v>
      </c>
      <c r="L9154">
        <v>2</v>
      </c>
      <c r="M9154">
        <f>IF(L9154=2,LN(B9154*-1),"")</f>
        <v>-16.127708950967754</v>
      </c>
      <c r="N9154">
        <v>1.05</v>
      </c>
      <c r="O9154" s="15">
        <v>1.2</v>
      </c>
      <c r="P9154">
        <v>1</v>
      </c>
      <c r="Q9154">
        <v>1.01</v>
      </c>
      <c r="R9154">
        <v>1.2</v>
      </c>
      <c r="S9154">
        <v>1.2</v>
      </c>
      <c r="T9154">
        <v>3</v>
      </c>
      <c r="U9154">
        <f>LN(SQRT(EXP(
SQRT(
+POWER(LN(N9154),2)
+POWER(LN(O9154),2)
+POWER(LN(P9154),2)
+POWER(LN(Q9154),2)
+POWER(LN(R9154),2)
+POWER(LN(S9154),2)
+POWER(LN(T9154),2)
)
)))</f>
        <v>0.57209088006881903</v>
      </c>
      <c r="V9154" t="b">
        <v>1</v>
      </c>
    </row>
    <row r="9155" spans="1:22" x14ac:dyDescent="0.2">
      <c r="A9155" s="45" t="str">
        <f>"hydrogen supply, transported by "&amp;B9124&amp;", produced by "&amp;B9128&amp;" using "&amp;B9129&amp;" from "&amp;B9130</f>
        <v>hydrogen supply, transported by train, produced by Electrolysis, PEM using water and electricity from Wind (DK)</v>
      </c>
      <c r="B9155" s="53">
        <f>(B9149/B9133)/B9132*B9144</f>
        <v>6.6350221654343872E-2</v>
      </c>
      <c r="C9155" t="s">
        <v>56</v>
      </c>
      <c r="E9155" t="s">
        <v>64</v>
      </c>
      <c r="F9155" t="s">
        <v>86</v>
      </c>
      <c r="G9155" t="str">
        <f>"hydrogen, gaseous, from "&amp;B9124</f>
        <v>hydrogen, gaseous, from train</v>
      </c>
      <c r="H9155" t="s">
        <v>76</v>
      </c>
      <c r="I9155" t="s">
        <v>1054</v>
      </c>
      <c r="J9155" t="s">
        <v>303</v>
      </c>
      <c r="K9155" t="str">
        <f>B9110</f>
        <v>electricity, residential, by combustion of hydrogen using CHP, allocated by exergy, transported by train, produced by Electrolysis, PEM using water and electricity from Wind (DK)</v>
      </c>
      <c r="L9155">
        <f t="shared" si="391"/>
        <v>2</v>
      </c>
      <c r="M9155">
        <f t="shared" si="392"/>
        <v>-2.7128081775260964</v>
      </c>
      <c r="N9155">
        <v>1.05</v>
      </c>
      <c r="O9155" s="15">
        <v>1.2</v>
      </c>
      <c r="P9155">
        <v>1</v>
      </c>
      <c r="Q9155">
        <v>1.01</v>
      </c>
      <c r="R9155">
        <v>1.2</v>
      </c>
      <c r="S9155">
        <v>1.2</v>
      </c>
      <c r="T9155">
        <v>1.05</v>
      </c>
      <c r="U9155">
        <f t="shared" si="393"/>
        <v>0.16169679924070957</v>
      </c>
    </row>
    <row r="9156" spans="1:22" x14ac:dyDescent="0.2">
      <c r="A9156" t="str">
        <f>VLOOKUP(J9156,'dataset mapping'!$A$4:$E$69,2,0)</f>
        <v>market for transport, freight train</v>
      </c>
      <c r="B9156" s="45">
        <f>SUM(B9155:B9155)/1000*B9125</f>
        <v>8.6255288150647036E-2</v>
      </c>
      <c r="C9156" t="str">
        <f>VLOOKUP(J9156,'dataset mapping'!$A$4:$E$69,5,0)</f>
        <v>ton kilometer</v>
      </c>
      <c r="E9156" t="str">
        <f>VLOOKUP(J9156,'dataset mapping'!$A$4:$E$69,4,0)</f>
        <v>CH</v>
      </c>
      <c r="F9156" t="s">
        <v>86</v>
      </c>
      <c r="G9156" t="str">
        <f>VLOOKUP(J9156,'dataset mapping'!$A$4:$E$69,3,0)</f>
        <v>transport, freight train</v>
      </c>
      <c r="H9156" t="s">
        <v>88</v>
      </c>
      <c r="I9156" t="s">
        <v>1052</v>
      </c>
      <c r="J9156" t="s">
        <v>295</v>
      </c>
      <c r="K9156" t="str">
        <f>B9110</f>
        <v>electricity, residential, by combustion of hydrogen using CHP, allocated by exergy, transported by train, produced by Electrolysis, PEM using water and electricity from Wind (DK)</v>
      </c>
      <c r="L9156">
        <f t="shared" si="391"/>
        <v>2</v>
      </c>
      <c r="M9156">
        <f t="shared" si="392"/>
        <v>-2.4504439130586051</v>
      </c>
      <c r="N9156">
        <v>1.05</v>
      </c>
      <c r="O9156" s="15">
        <v>1.2</v>
      </c>
      <c r="P9156">
        <v>1</v>
      </c>
      <c r="Q9156">
        <v>1.01</v>
      </c>
      <c r="R9156">
        <v>1.2</v>
      </c>
      <c r="S9156">
        <v>1.2</v>
      </c>
      <c r="T9156">
        <v>2</v>
      </c>
      <c r="U9156">
        <f t="shared" si="393"/>
        <v>0.38165951885721477</v>
      </c>
    </row>
    <row r="9157" spans="1:22" x14ac:dyDescent="0.2">
      <c r="A9157" t="str">
        <f>VLOOKUP(J9157,'dataset mapping'!$A$4:$E$69,2,0)</f>
        <v>high pressure hydrogen storage tank</v>
      </c>
      <c r="B9157" s="52">
        <f>((B9145/10)/(B9143*B9139*20))*IF(B9144&lt;&gt;0,B9144,1)</f>
        <v>6.7154714683034044E-6</v>
      </c>
      <c r="C9157" t="str">
        <f>VLOOKUP(J9157,'dataset mapping'!$A$4:$E$69,5,0)</f>
        <v>kilogram</v>
      </c>
      <c r="E9157" t="str">
        <f>VLOOKUP(J9157,'dataset mapping'!$A$4:$E$69,4,0)</f>
        <v>GLO</v>
      </c>
      <c r="F9157" t="s">
        <v>86</v>
      </c>
      <c r="G9157" t="str">
        <f>VLOOKUP(J9157,'dataset mapping'!$A$4:$E$69,3,0)</f>
        <v>high pressure hydrogen storage tank</v>
      </c>
      <c r="H9157" t="s">
        <v>88</v>
      </c>
      <c r="I9157" t="s">
        <v>279</v>
      </c>
      <c r="J9157" t="s">
        <v>229</v>
      </c>
      <c r="K9157" t="str">
        <f>B9110</f>
        <v>electricity, residential, by combustion of hydrogen using CHP, allocated by exergy, transported by train, produced by Electrolysis, PEM using water and electricity from Wind (DK)</v>
      </c>
      <c r="L9157">
        <f t="shared" si="391"/>
        <v>2</v>
      </c>
      <c r="M9157">
        <f t="shared" si="392"/>
        <v>-11.911096519239557</v>
      </c>
      <c r="N9157">
        <v>1.05</v>
      </c>
      <c r="O9157" s="15">
        <v>1.2</v>
      </c>
      <c r="P9157">
        <v>1</v>
      </c>
      <c r="Q9157">
        <v>1.01</v>
      </c>
      <c r="R9157">
        <v>1.2</v>
      </c>
      <c r="S9157">
        <v>1.2</v>
      </c>
      <c r="T9157">
        <v>3</v>
      </c>
      <c r="U9157">
        <f t="shared" si="393"/>
        <v>0.57209088006881903</v>
      </c>
    </row>
    <row r="9158" spans="1:22" x14ac:dyDescent="0.2">
      <c r="A9158" t="s">
        <v>134</v>
      </c>
      <c r="B9158" s="45">
        <f>B9155*9</f>
        <v>0.59715199488909487</v>
      </c>
      <c r="C9158" t="s">
        <v>56</v>
      </c>
      <c r="D9158" t="s">
        <v>100</v>
      </c>
      <c r="F9158" t="s">
        <v>99</v>
      </c>
      <c r="H9158" t="s">
        <v>131</v>
      </c>
      <c r="I9158" t="s">
        <v>1058</v>
      </c>
      <c r="K9158" t="str">
        <f>B9110</f>
        <v>electricity, residential, by combustion of hydrogen using CHP, allocated by exergy, transported by train, produced by Electrolysis, PEM using water and electricity from Wind (DK)</v>
      </c>
      <c r="L9158">
        <f t="shared" si="391"/>
        <v>2</v>
      </c>
      <c r="M9158">
        <f t="shared" si="392"/>
        <v>-0.51558360018987692</v>
      </c>
      <c r="N9158">
        <v>1.05</v>
      </c>
      <c r="O9158" s="15">
        <v>1.2</v>
      </c>
      <c r="P9158">
        <v>1</v>
      </c>
      <c r="Q9158">
        <v>1.01</v>
      </c>
      <c r="R9158">
        <v>1.2</v>
      </c>
      <c r="S9158">
        <v>1.2</v>
      </c>
      <c r="T9158">
        <v>1.05</v>
      </c>
      <c r="U9158">
        <f t="shared" si="393"/>
        <v>0.16169679924070957</v>
      </c>
    </row>
    <row r="9159" spans="1:22" x14ac:dyDescent="0.2">
      <c r="A9159" t="s">
        <v>135</v>
      </c>
      <c r="B9159" s="45">
        <f>912.5/1000000*B9156</f>
        <v>7.8707950437465415E-5</v>
      </c>
      <c r="C9159" t="s">
        <v>56</v>
      </c>
      <c r="D9159" t="s">
        <v>100</v>
      </c>
      <c r="F9159" t="s">
        <v>99</v>
      </c>
      <c r="H9159" t="s">
        <v>131</v>
      </c>
      <c r="I9159" t="s">
        <v>1217</v>
      </c>
      <c r="K9159" t="str">
        <f>B9110</f>
        <v>electricity, residential, by combustion of hydrogen using CHP, allocated by exergy, transported by train, produced by Electrolysis, PEM using water and electricity from Wind (DK)</v>
      </c>
      <c r="L9159">
        <f t="shared" si="391"/>
        <v>2</v>
      </c>
      <c r="M9159">
        <f t="shared" si="392"/>
        <v>-9.4497663855662335</v>
      </c>
      <c r="N9159">
        <v>1.05</v>
      </c>
      <c r="O9159" s="15">
        <v>1.2</v>
      </c>
      <c r="P9159">
        <v>1</v>
      </c>
      <c r="Q9159">
        <v>1.01</v>
      </c>
      <c r="R9159">
        <v>1.2</v>
      </c>
      <c r="S9159">
        <v>1.2</v>
      </c>
      <c r="T9159">
        <v>1.5</v>
      </c>
      <c r="U9159">
        <f t="shared" si="393"/>
        <v>0.25816898211842121</v>
      </c>
    </row>
    <row r="9161" spans="1:22" x14ac:dyDescent="0.2">
      <c r="A9161" s="2" t="s">
        <v>50</v>
      </c>
      <c r="B9161" s="44" t="str">
        <f>IF(B9167="megajoule","heat","electricity")&amp;", residential, by "&amp;B9172&amp;" of "&amp;B9171&amp;" using "&amp;B9173&amp;IF(B9174&lt;&gt;0,", allocated by "&amp;B9174,"")&amp;", transported by "&amp;B9175&amp;", produced by "&amp;B9179&amp;" using "&amp;B9180&amp;" from "&amp;B9181</f>
        <v>electricity, residential, by conversion of hydrogen using fuel cell, PEM, allocated by exergy, transported by train, produced by Electrolysis, PEM using water and electricity from Wind (DK)</v>
      </c>
    </row>
    <row r="9162" spans="1:22" x14ac:dyDescent="0.2">
      <c r="A9162" t="s">
        <v>51</v>
      </c>
      <c r="B9162" s="45" t="str">
        <f>"This dataset represents the supply of 1 "&amp;IF(B9167="megajoule","megajoule of heat","kilowatt hour of electricity")&amp;" in a residence, by "&amp;B9171&amp;" "&amp;B9172&amp;" in a "&amp;B9173&amp;". "&amp;" The hydrogen is transported by "&amp;B9175&amp;" over "&amp;B9176&amp;" km from regional storage. "&amp;" The "&amp;B9171&amp;" is produced by  "&amp;B9179&amp;", with "&amp;B9180&amp;" from "&amp;B9181&amp;" as feedstock. "&amp;A9183&amp;": "&amp;(B9183*100)&amp;"%. "&amp;A9184&amp;": "&amp;B9184&amp;". "&amp;A9185&amp;": "&amp;B9185&amp;". "&amp;A9186&amp;": "&amp;(B9186*100)&amp;"%. "&amp;A9187&amp;": "&amp;(B9187*100)&amp;"%. "&amp;A9188&amp;": "&amp;(B9188*100)&amp;"%. "&amp;A9189&amp;": "&amp;B9189&amp;". "&amp;A9190&amp;": "&amp;B9190&amp;". "&amp;A9191&amp;": "&amp;(B9191*100)&amp;"%. "&amp;A9192&amp;": "&amp;B9192&amp;". "&amp;A9193&amp;": "&amp;B9193&amp;". "&amp;A9194&amp;": "&amp;B9194&amp;". "&amp;A9195&amp;": "&amp;B9195&amp;".  For more information, refer to: "&amp;B9163</f>
        <v>This dataset represents the supply of 1 kilowatt hour of electricity in a residence, by hydrogen conversion in a fuel cell, PEM.  The hydrogen is transported by train over 1300 km from regional storage.  The hydrogen is produced by  Electrolysis, PEM,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9163" spans="1:22" x14ac:dyDescent="0.2">
      <c r="A9163" t="s">
        <v>63</v>
      </c>
      <c r="B9163" s="45" t="s">
        <v>1223</v>
      </c>
    </row>
    <row r="9164" spans="1:22" x14ac:dyDescent="0.2">
      <c r="A9164" t="s">
        <v>52</v>
      </c>
      <c r="B9164" s="45" t="s">
        <v>64</v>
      </c>
    </row>
    <row r="9165" spans="1:22" x14ac:dyDescent="0.2">
      <c r="A9165" t="s">
        <v>48</v>
      </c>
      <c r="B9165" s="45" t="s">
        <v>947</v>
      </c>
    </row>
    <row r="9166" spans="1:22" x14ac:dyDescent="0.2">
      <c r="A9166" t="s">
        <v>54</v>
      </c>
      <c r="B9166" s="45" t="str">
        <f>INDEX(overview!$B$4:$R$338,MATCH('hydrogen - electrolysis'!B9165,overview!$A$4:$A$338,0),MATCH('hydrogen - electrolysis'!A9166,overview!$B$3:$R$3,0))</f>
        <v>electricity, from residential heating system</v>
      </c>
    </row>
    <row r="9167" spans="1:22" x14ac:dyDescent="0.2">
      <c r="A9167" t="s">
        <v>55</v>
      </c>
      <c r="B9167" s="45" t="str">
        <f>INDEX(overview!$B$4:$R$338,MATCH('hydrogen - electrolysis'!B9165,overview!$A$4:$A$338,0),MATCH('hydrogen - electrolysis'!A9167,overview!$B$3:$R$3,0))</f>
        <v>kilowatt hour</v>
      </c>
    </row>
    <row r="9168" spans="1:22" x14ac:dyDescent="0.2">
      <c r="A9168" t="s">
        <v>0</v>
      </c>
      <c r="B9168" s="45" t="str">
        <f>INDEX(overview!$B$4:$R$338,MATCH('hydrogen - electrolysis'!B9165,overview!$A$4:$A$338,0),MATCH('hydrogen - electrolysis'!A9168,overview!$B$3:$R$3,0))</f>
        <v>Switzerland</v>
      </c>
    </row>
    <row r="9169" spans="1:2" x14ac:dyDescent="0.2">
      <c r="A9169" t="s">
        <v>1</v>
      </c>
      <c r="B9169" s="45">
        <f>INDEX(overview!$B$4:$R$338,MATCH('hydrogen - electrolysis'!B9165,overview!$A$4:$A$338,0),MATCH('hydrogen - electrolysis'!A9169,overview!$B$3:$R$3,0))</f>
        <v>2020</v>
      </c>
    </row>
    <row r="9170" spans="1:2" x14ac:dyDescent="0.2">
      <c r="A9170" t="s">
        <v>2</v>
      </c>
      <c r="B9170" s="45" t="str">
        <f>INDEX(overview!$B$4:$R$338,MATCH('hydrogen - electrolysis'!B9165,overview!$A$4:$A$338,0),MATCH('hydrogen - electrolysis'!A9170,overview!$B$3:$R$3,0))</f>
        <v>1 kWh electricity</v>
      </c>
    </row>
    <row r="9171" spans="1:2" x14ac:dyDescent="0.2">
      <c r="A9171" t="s">
        <v>5</v>
      </c>
      <c r="B9171" s="45" t="str">
        <f>INDEX(overview!$B$4:$R$338,MATCH('hydrogen - electrolysis'!B9165,overview!$A$4:$A$338,0),MATCH('hydrogen - electrolysis'!A9171,overview!$B$3:$R$3,0))</f>
        <v>hydrogen</v>
      </c>
    </row>
    <row r="9172" spans="1:2" x14ac:dyDescent="0.2">
      <c r="A9172" t="s">
        <v>3</v>
      </c>
      <c r="B9172" s="45" t="str">
        <f>INDEX(overview!$B$4:$R$338,MATCH('hydrogen - electrolysis'!B9165,overview!$A$4:$A$338,0),MATCH('hydrogen - electrolysis'!A9172,overview!$B$3:$R$3,0))</f>
        <v>conversion</v>
      </c>
    </row>
    <row r="9173" spans="1:2" x14ac:dyDescent="0.2">
      <c r="A9173" t="s">
        <v>6</v>
      </c>
      <c r="B9173" s="45" t="str">
        <f>INDEX(overview!$B$4:$R$338,MATCH('hydrogen - electrolysis'!B9165,overview!$A$4:$A$338,0),MATCH('hydrogen - electrolysis'!A9173,overview!$B$3:$R$3,0))</f>
        <v>fuel cell, PEM</v>
      </c>
    </row>
    <row r="9174" spans="1:2" x14ac:dyDescent="0.2">
      <c r="A9174" t="s">
        <v>39</v>
      </c>
      <c r="B9174" s="45" t="str">
        <f>INDEX(overview!$B$4:$R$338,MATCH('hydrogen - electrolysis'!B9165,overview!$A$4:$A$338,0),MATCH('hydrogen - electrolysis'!A9174,overview!$B$3:$R$3,0))</f>
        <v>exergy</v>
      </c>
    </row>
    <row r="9175" spans="1:2" x14ac:dyDescent="0.2">
      <c r="A9175" t="s">
        <v>4</v>
      </c>
      <c r="B9175" s="45" t="str">
        <f>INDEX(overview!$B$4:$R$338,MATCH('hydrogen - electrolysis'!B9165,overview!$A$4:$A$338,0),MATCH('hydrogen - electrolysis'!A9175,overview!$B$3:$R$3,0))</f>
        <v>train</v>
      </c>
    </row>
    <row r="9176" spans="1:2" x14ac:dyDescent="0.2">
      <c r="A9176" t="s">
        <v>38</v>
      </c>
      <c r="B9176" s="45">
        <f>INDEX(overview!$B$4:$R$338,MATCH('hydrogen - electrolysis'!B9165,overview!$A$4:$A$338,0),MATCH('hydrogen - electrolysis'!A9176,overview!$B$3:$R$3,0))</f>
        <v>1300</v>
      </c>
    </row>
    <row r="9177" spans="1:2" x14ac:dyDescent="0.2">
      <c r="A9177" t="s">
        <v>12</v>
      </c>
      <c r="B9177" s="45" t="str">
        <f>INDEX(overview!$B$4:$R$338,MATCH('hydrogen - electrolysis'!B9165,overview!$A$4:$A$338,0),MATCH('hydrogen - electrolysis'!A9177,overview!$B$3:$R$3,0))</f>
        <v>Pressure vessel for stationary storage</v>
      </c>
    </row>
    <row r="9178" spans="1:2" x14ac:dyDescent="0.2">
      <c r="A9178" t="s">
        <v>34</v>
      </c>
      <c r="B9178" s="45">
        <f>INDEX(overview!$B$4:$R$338,MATCH('hydrogen - electrolysis'!B9165,overview!$A$4:$A$338,0),MATCH('hydrogen - electrolysis'!A9178,overview!$B$3:$R$3,0))</f>
        <v>0</v>
      </c>
    </row>
    <row r="9179" spans="1:2" x14ac:dyDescent="0.2">
      <c r="A9179" t="s">
        <v>15</v>
      </c>
      <c r="B9179" s="45" t="str">
        <f>INDEX(overview!$B$4:$R$338,MATCH('hydrogen - electrolysis'!B9165,overview!$A$4:$A$338,0),MATCH('hydrogen - electrolysis'!A9179,overview!$B$3:$R$3,0))</f>
        <v>Electrolysis, PEM</v>
      </c>
    </row>
    <row r="9180" spans="1:2" x14ac:dyDescent="0.2">
      <c r="A9180" t="s">
        <v>14</v>
      </c>
      <c r="B9180" s="45" t="str">
        <f>INDEX(overview!$B$4:$R$338,MATCH('hydrogen - electrolysis'!B9165,overview!$A$4:$A$338,0),MATCH('hydrogen - electrolysis'!A9180,overview!$B$3:$R$3,0))</f>
        <v>water and electricity</v>
      </c>
    </row>
    <row r="9181" spans="1:2" x14ac:dyDescent="0.2">
      <c r="A9181" t="s">
        <v>26</v>
      </c>
      <c r="B9181" s="45" t="str">
        <f>INDEX(overview!$B$4:$R$338,MATCH('hydrogen - electrolysis'!B9165,overview!$A$4:$A$338,0),MATCH('hydrogen - electrolysis'!A9181,overview!$B$3:$R$3,0))</f>
        <v>Wind (DK)</v>
      </c>
    </row>
    <row r="9182" spans="1:2" x14ac:dyDescent="0.2">
      <c r="A9182" t="s">
        <v>29</v>
      </c>
      <c r="B9182" s="45">
        <f>INDEX(overview!$B$4:$R$338,MATCH('hydrogen - electrolysis'!B9165,overview!$A$4:$A$338,0),MATCH('hydrogen - electrolysis'!A9182,overview!$B$3:$R$3,0))</f>
        <v>0</v>
      </c>
    </row>
    <row r="9183" spans="1:2" x14ac:dyDescent="0.2">
      <c r="A9183" t="str">
        <f>IF(B9167="megajoule","Heat","Electricity")&amp;" conversion efficiency [% LHV input]"</f>
        <v>Electricity conversion efficiency [% LHV input]</v>
      </c>
      <c r="B9183" s="46">
        <f>INDEX(parameters!$D$4:$N$20,MATCH('hydrogen - electrolysis'!B9171&amp;'hydrogen - electrolysis'!B9173,parameters!$A$4:$A$20,0),MATCH('hydrogen - electrolysis'!A9183,parameters!$D$3:$N$3,0))</f>
        <v>0.45</v>
      </c>
    </row>
    <row r="9184" spans="1:2" x14ac:dyDescent="0.2">
      <c r="A9184" t="str">
        <f>IF(B9167="megajoule","LHV [MJ/kg]","LHV [kWh/kg]")</f>
        <v>LHV [kWh/kg]</v>
      </c>
      <c r="B9184" s="47">
        <f>INDEX(parameters!$D$4:$N$20,MATCH('hydrogen - electrolysis'!B9171&amp;'hydrogen - electrolysis'!B9173,parameters!$A$4:$A$20,0),MATCH('hydrogen - electrolysis'!A9184,parameters!$D$3:$N$3,0))</f>
        <v>33.333333333333336</v>
      </c>
    </row>
    <row r="9185" spans="1:22" x14ac:dyDescent="0.2">
      <c r="A9185" t="s">
        <v>41</v>
      </c>
      <c r="B9185" s="48">
        <f>INDEX(parameters!$D$4:$N$20,MATCH('hydrogen - electrolysis'!B9171&amp;'hydrogen - electrolysis'!B9173,parameters!$A$4:$A$20,0),MATCH('hydrogen - electrolysis'!A9185,parameters!$D$3:$N$3,0))</f>
        <v>2.6666666666666665E-2</v>
      </c>
    </row>
    <row r="9186" spans="1:22" x14ac:dyDescent="0.2">
      <c r="A9186" t="s">
        <v>45</v>
      </c>
      <c r="B9186" s="46">
        <f>INDEX(parameters!$D$4:$N$20,MATCH('hydrogen - electrolysis'!B9171&amp;'hydrogen - electrolysis'!B9173,parameters!$A$4:$A$20,0),MATCH('hydrogen - electrolysis'!A9186,parameters!$D$3:$N$3,0))</f>
        <v>0</v>
      </c>
    </row>
    <row r="9187" spans="1:22" x14ac:dyDescent="0.2">
      <c r="A9187" t="s">
        <v>46</v>
      </c>
      <c r="B9187" s="46">
        <f>INDEX(parameters!$D$4:$N$20,MATCH('hydrogen - electrolysis'!B9171&amp;'hydrogen - electrolysis'!B9173,parameters!$A$4:$A$20,0),MATCH('hydrogen - electrolysis'!A9187,parameters!$D$3:$N$3,0))</f>
        <v>1.4999999999999999E-2</v>
      </c>
    </row>
    <row r="9188" spans="1:22" x14ac:dyDescent="0.2">
      <c r="A9188" t="s">
        <v>43</v>
      </c>
      <c r="B9188" s="46">
        <f>INDEX(parameters!$D$4:$N$20,MATCH('hydrogen - electrolysis'!B9171&amp;'hydrogen - electrolysis'!B9173,parameters!$A$4:$A$20,0),MATCH('hydrogen - electrolysis'!A9188,parameters!$D$3:$N$3,0))</f>
        <v>0</v>
      </c>
    </row>
    <row r="9189" spans="1:22" x14ac:dyDescent="0.2">
      <c r="A9189" t="s">
        <v>44</v>
      </c>
      <c r="B9189" s="46">
        <f>INDEX(parameters!$D$4:$N$20,MATCH('hydrogen - electrolysis'!B9171&amp;'hydrogen - electrolysis'!B9173,parameters!$A$4:$A$20,0),MATCH('hydrogen - electrolysis'!A9189,parameters!$D$3:$N$3,0))</f>
        <v>0</v>
      </c>
    </row>
    <row r="9190" spans="1:22" x14ac:dyDescent="0.2">
      <c r="A9190" t="s">
        <v>634</v>
      </c>
      <c r="B9190" s="51">
        <f>INDEX(parameters!$D$4:$Y$20,MATCH('hydrogen - electrolysis'!B9171&amp;'hydrogen - electrolysis'!B9173,parameters!$A$4:$A$20,0),MATCH('hydrogen - electrolysis'!A9190,parameters!$D$3:$Y$3,0))</f>
        <v>1.8947368421052633</v>
      </c>
    </row>
    <row r="9191" spans="1:22" x14ac:dyDescent="0.2">
      <c r="A9191" t="s">
        <v>82</v>
      </c>
      <c r="B9191" s="46">
        <f>IF(B9182&lt;&gt;0,VLOOKUP(B9182,parameters!A5844:B5846,2,0),0)</f>
        <v>0</v>
      </c>
    </row>
    <row r="9192" spans="1:22" x14ac:dyDescent="0.2">
      <c r="A9192" t="s">
        <v>548</v>
      </c>
      <c r="B9192" s="50">
        <f>INDEX(parameters!$D$4:$P$20,MATCH(B9171&amp;B9173,parameters!$A$4:$A$20,0),MATCH(A9192,parameters!$D$3:$P$3,0))</f>
        <v>0.8</v>
      </c>
    </row>
    <row r="9193" spans="1:22" x14ac:dyDescent="0.2">
      <c r="A9193" t="s">
        <v>547</v>
      </c>
      <c r="B9193" s="51">
        <f>INDEX(parameters!$D$4:$P$20,MATCH(B9171&amp;B9173,parameters!$A$4:$A$20,0),MATCH(A9193,parameters!$D$3:$P$3,0))</f>
        <v>4.8780487804878048</v>
      </c>
    </row>
    <row r="9194" spans="1:22" x14ac:dyDescent="0.2">
      <c r="A9194" t="s">
        <v>630</v>
      </c>
      <c r="B9194" s="51">
        <f>INDEX(parameters!$D$4:$T$20,MATCH(B9171&amp;B9173,parameters!$A$4:$A$20,0),MATCH(A9194,parameters!$D$3:$T$3,0))</f>
        <v>4100</v>
      </c>
    </row>
    <row r="9195" spans="1:22" x14ac:dyDescent="0.2">
      <c r="A9195" t="s">
        <v>1005</v>
      </c>
      <c r="B9195" s="50">
        <f>IF(B9167="megajoule",SUMIFS(allocation!$I$4:$I$30,allocation!$B$4:$B$30,B9173,allocation!$C$4:$C$30,B9174),SUMIFS(allocation!$J$4:$J$30,allocation!$B$4:$B$30,B9173,allocation!$C$4:$C$30,B9174))</f>
        <v>0.86066019201025545</v>
      </c>
    </row>
    <row r="9196" spans="1:22" x14ac:dyDescent="0.2">
      <c r="A9196" t="s">
        <v>1050</v>
      </c>
      <c r="B9196" s="51">
        <f>INDEX(parameters!$D$4:$AB$20,MATCH(B9171&amp;B9173,parameters!$A$4:$A$20,0),MATCH(A9196,parameters!$D$3:$AB$3,0))</f>
        <v>10.221606648199446</v>
      </c>
    </row>
    <row r="9198" spans="1:22" x14ac:dyDescent="0.2">
      <c r="A9198" s="3" t="s">
        <v>57</v>
      </c>
    </row>
    <row r="9199" spans="1:22" x14ac:dyDescent="0.2">
      <c r="A9199" s="2" t="s">
        <v>58</v>
      </c>
      <c r="B9199" s="44" t="s">
        <v>59</v>
      </c>
      <c r="C9199" s="2" t="s">
        <v>55</v>
      </c>
      <c r="D9199" s="2" t="s">
        <v>60</v>
      </c>
      <c r="E9199" s="2" t="s">
        <v>52</v>
      </c>
      <c r="F9199" s="2" t="s">
        <v>61</v>
      </c>
      <c r="G9199" s="2" t="s">
        <v>54</v>
      </c>
      <c r="H9199" s="2" t="s">
        <v>87</v>
      </c>
      <c r="I9199" s="2" t="s">
        <v>51</v>
      </c>
      <c r="J9199" s="2" t="s">
        <v>138</v>
      </c>
      <c r="K9199" s="2" t="s">
        <v>136</v>
      </c>
      <c r="L9199" s="2" t="s">
        <v>221</v>
      </c>
      <c r="M9199" s="2" t="s">
        <v>379</v>
      </c>
      <c r="N9199" s="2" t="s">
        <v>1059</v>
      </c>
      <c r="O9199" s="2" t="s">
        <v>1060</v>
      </c>
      <c r="P9199" s="2" t="s">
        <v>1061</v>
      </c>
      <c r="Q9199" s="2" t="s">
        <v>1062</v>
      </c>
      <c r="R9199" s="2" t="s">
        <v>1063</v>
      </c>
      <c r="S9199" s="2" t="s">
        <v>1064</v>
      </c>
      <c r="T9199" s="2" t="s">
        <v>1065</v>
      </c>
      <c r="U9199" s="2" t="s">
        <v>380</v>
      </c>
      <c r="V9199" s="2" t="s">
        <v>1128</v>
      </c>
    </row>
    <row r="9200" spans="1:22" x14ac:dyDescent="0.2">
      <c r="A9200" t="str">
        <f>B9161</f>
        <v>electricity, residential, by conversion of hydrogen using fuel cell, PEM, allocated by exergy, transported by train, produced by Electrolysis, PEM using water and electricity from Wind (DK)</v>
      </c>
      <c r="B9200" s="45">
        <v>1</v>
      </c>
      <c r="C9200" t="str">
        <f>B9167</f>
        <v>kilowatt hour</v>
      </c>
      <c r="E9200" t="str">
        <f>B9164</f>
        <v>CH</v>
      </c>
      <c r="F9200" t="s">
        <v>62</v>
      </c>
      <c r="G9200" t="str">
        <f>B9166</f>
        <v>electricity, from residential heating system</v>
      </c>
      <c r="K9200" t="str">
        <f>B9161</f>
        <v>electricity, residential, by conversion of hydrogen using fuel cell, PEM, allocated by exergy, transported by train, produced by Electrolysis, PEM using water and electricity from Wind (DK)</v>
      </c>
    </row>
    <row r="9201" spans="1:21" x14ac:dyDescent="0.2">
      <c r="A9201" t="str">
        <f>VLOOKUP(J9201,'dataset mapping'!$A$4:$E$69,2,0)</f>
        <v>fuel cell system assembly, 1 kWe, proton exchange membrane (PEM)</v>
      </c>
      <c r="B9201" s="52">
        <f>1/(80000)/0.5*SUMIFS(allocation!$I$4:$I$30,allocation!$B$4:$B$30,'hydrogen - electrolysis'!B9173,allocation!$C$4:$C$30,'hydrogen - electrolysis'!B9174)</f>
        <v>3.4834951997436147E-6</v>
      </c>
      <c r="C9201" t="str">
        <f>VLOOKUP(J9201,'dataset mapping'!$A$4:$E$69,5,0)</f>
        <v>unit</v>
      </c>
      <c r="E9201" t="str">
        <f>VLOOKUP(J9201,'dataset mapping'!$A$4:$E$69,4,0)</f>
        <v>GLO</v>
      </c>
      <c r="F9201" t="s">
        <v>86</v>
      </c>
      <c r="G9201" t="str">
        <f>VLOOKUP(J9201,'dataset mapping'!$A$4:$E$69,3,0)</f>
        <v>fuel cell system, 1 kWe, proton exchange membrane (PEM)</v>
      </c>
      <c r="H9201" t="s">
        <v>88</v>
      </c>
      <c r="I9201" t="s">
        <v>272</v>
      </c>
      <c r="J9201" t="s">
        <v>273</v>
      </c>
      <c r="K9201" t="str">
        <f>B9161</f>
        <v>electricity, residential, by conversion of hydrogen using fuel cell, PEM, allocated by exergy, transported by train, produced by Electrolysis, PEM using water and electricity from Wind (DK)</v>
      </c>
      <c r="L9201">
        <f t="shared" ref="L9201:L9205" si="394">IF(OR(B9201&lt;0,B9201=0),1,2)</f>
        <v>2</v>
      </c>
      <c r="M9201">
        <f t="shared" ref="M9201:M9205" si="395">IF(L9201=2,LN(B9201),"")</f>
        <v>-12.567474400475287</v>
      </c>
      <c r="N9201">
        <v>1</v>
      </c>
      <c r="O9201" s="15">
        <v>1.2</v>
      </c>
      <c r="P9201">
        <v>1</v>
      </c>
      <c r="Q9201">
        <v>1.01</v>
      </c>
      <c r="R9201">
        <v>1.2</v>
      </c>
      <c r="S9201">
        <v>1.2</v>
      </c>
      <c r="T9201">
        <v>3</v>
      </c>
      <c r="U9201">
        <f t="shared" ref="U9201:U9205" si="396">LN(SQRT(EXP(
SQRT(
+POWER(LN(N9201),2)
+POWER(LN(O9201),2)
+POWER(LN(P9201),2)
+POWER(LN(Q9201),2)
+POWER(LN(R9201),2)
+POWER(LN(S9201),2)
+POWER(LN(T9201),2)
)
)))</f>
        <v>0.57157051623399524</v>
      </c>
    </row>
    <row r="9202" spans="1:21" x14ac:dyDescent="0.2">
      <c r="A9202" s="45" t="str">
        <f>"hydrogen supply, transported by "&amp;B9175&amp;", produced by "&amp;B9179&amp;" using "&amp;B9180&amp;" from "&amp;B9181</f>
        <v>hydrogen supply, transported by train, produced by Electrolysis, PEM using water and electricity from Wind (DK)</v>
      </c>
      <c r="B9202" s="53">
        <f>(B9200/B9184)/B9183*B9195</f>
        <v>5.7377346134017029E-2</v>
      </c>
      <c r="C9202" t="s">
        <v>56</v>
      </c>
      <c r="E9202" t="s">
        <v>64</v>
      </c>
      <c r="F9202" t="s">
        <v>86</v>
      </c>
      <c r="G9202" t="str">
        <f>"hydrogen, gaseous, from "&amp;B9175</f>
        <v>hydrogen, gaseous, from train</v>
      </c>
      <c r="H9202" t="s">
        <v>76</v>
      </c>
      <c r="I9202" t="s">
        <v>1054</v>
      </c>
      <c r="J9202" t="s">
        <v>303</v>
      </c>
      <c r="K9202" t="str">
        <f>B9161</f>
        <v>electricity, residential, by conversion of hydrogen using fuel cell, PEM, allocated by exergy, transported by train, produced by Electrolysis, PEM using water and electricity from Wind (DK)</v>
      </c>
      <c r="L9202">
        <f t="shared" si="394"/>
        <v>2</v>
      </c>
      <c r="M9202">
        <f t="shared" si="395"/>
        <v>-2.8581057202127536</v>
      </c>
      <c r="N9202">
        <v>1</v>
      </c>
      <c r="O9202" s="15">
        <v>1.2</v>
      </c>
      <c r="P9202">
        <v>1</v>
      </c>
      <c r="Q9202">
        <v>1.01</v>
      </c>
      <c r="R9202">
        <v>1.2</v>
      </c>
      <c r="S9202">
        <v>1.2</v>
      </c>
      <c r="T9202">
        <v>1.05</v>
      </c>
      <c r="U9202">
        <f t="shared" si="396"/>
        <v>0.15984597228197622</v>
      </c>
    </row>
    <row r="9203" spans="1:21" x14ac:dyDescent="0.2">
      <c r="A9203" t="str">
        <f>VLOOKUP(J9203,'dataset mapping'!$A$4:$E$69,2,0)</f>
        <v>market for transport, freight train</v>
      </c>
      <c r="B9203" s="45">
        <f>SUM(B9202:B9202)/1000*B9176*SUMIFS(allocation!$I$4:$I$30,allocation!$B$4:$B$30,'hydrogen - electrolysis'!B9173,allocation!$C$4:$C$30,'hydrogen - electrolysis'!B9174)</f>
        <v>1.039343291125756E-2</v>
      </c>
      <c r="C9203" t="str">
        <f>VLOOKUP(J9203,'dataset mapping'!$A$4:$E$69,5,0)</f>
        <v>ton kilometer</v>
      </c>
      <c r="E9203" t="str">
        <f>VLOOKUP(J9203,'dataset mapping'!$A$4:$E$69,4,0)</f>
        <v>CH</v>
      </c>
      <c r="F9203" t="s">
        <v>86</v>
      </c>
      <c r="G9203" t="str">
        <f>VLOOKUP(J9203,'dataset mapping'!$A$4:$E$69,3,0)</f>
        <v>transport, freight train</v>
      </c>
      <c r="H9203" t="s">
        <v>88</v>
      </c>
      <c r="I9203" t="s">
        <v>1052</v>
      </c>
      <c r="J9203" t="s">
        <v>295</v>
      </c>
      <c r="K9203" t="str">
        <f>B9161</f>
        <v>electricity, residential, by conversion of hydrogen using fuel cell, PEM, allocated by exergy, transported by train, produced by Electrolysis, PEM using water and electricity from Wind (DK)</v>
      </c>
      <c r="L9203">
        <f t="shared" si="394"/>
        <v>2</v>
      </c>
      <c r="M9203">
        <f t="shared" si="395"/>
        <v>-4.5665811231244771</v>
      </c>
      <c r="N9203">
        <v>1</v>
      </c>
      <c r="O9203" s="15">
        <v>1.2</v>
      </c>
      <c r="P9203">
        <v>1</v>
      </c>
      <c r="Q9203">
        <v>1.01</v>
      </c>
      <c r="R9203">
        <v>1.2</v>
      </c>
      <c r="S9203">
        <v>1.2</v>
      </c>
      <c r="T9203">
        <v>2</v>
      </c>
      <c r="U9203">
        <f t="shared" si="396"/>
        <v>0.38087907307228186</v>
      </c>
    </row>
    <row r="9204" spans="1:21" x14ac:dyDescent="0.2">
      <c r="A9204" t="str">
        <f>VLOOKUP(J9204,'dataset mapping'!$A$4:$E$69,2,0)</f>
        <v>high pressure hydrogen storage tank</v>
      </c>
      <c r="B9204" s="52">
        <f>((B9196/10)/(B9194*B9190*20))*IF(B9195&lt;&gt;0,B9195,1)</f>
        <v>5.6622381053306285E-6</v>
      </c>
      <c r="C9204" t="str">
        <f>VLOOKUP(J9204,'dataset mapping'!$A$4:$E$69,5,0)</f>
        <v>kilogram</v>
      </c>
      <c r="E9204" t="str">
        <f>VLOOKUP(J9204,'dataset mapping'!$A$4:$E$69,4,0)</f>
        <v>GLO</v>
      </c>
      <c r="F9204" t="s">
        <v>86</v>
      </c>
      <c r="G9204" t="str">
        <f>VLOOKUP(J9204,'dataset mapping'!$A$4:$E$69,3,0)</f>
        <v>high pressure hydrogen storage tank</v>
      </c>
      <c r="H9204" t="s">
        <v>88</v>
      </c>
      <c r="I9204" t="s">
        <v>280</v>
      </c>
      <c r="J9204" t="s">
        <v>229</v>
      </c>
      <c r="K9204" t="str">
        <f>B9161</f>
        <v>electricity, residential, by conversion of hydrogen using fuel cell, PEM, allocated by exergy, transported by train, produced by Electrolysis, PEM using water and electricity from Wind (DK)</v>
      </c>
      <c r="L9204">
        <f t="shared" si="394"/>
        <v>2</v>
      </c>
      <c r="M9204">
        <f t="shared" si="395"/>
        <v>-12.081691318938956</v>
      </c>
      <c r="N9204">
        <v>1</v>
      </c>
      <c r="O9204" s="15">
        <v>1.2</v>
      </c>
      <c r="P9204">
        <v>1</v>
      </c>
      <c r="Q9204">
        <v>1.01</v>
      </c>
      <c r="R9204">
        <v>1.2</v>
      </c>
      <c r="S9204">
        <v>1.2</v>
      </c>
      <c r="T9204">
        <v>3</v>
      </c>
      <c r="U9204">
        <f t="shared" si="396"/>
        <v>0.57157051623399524</v>
      </c>
    </row>
    <row r="9205" spans="1:21" x14ac:dyDescent="0.2">
      <c r="A9205" t="s">
        <v>134</v>
      </c>
      <c r="B9205" s="45">
        <f>B9202*9</f>
        <v>0.51639611520615325</v>
      </c>
      <c r="C9205" t="s">
        <v>56</v>
      </c>
      <c r="D9205" t="s">
        <v>100</v>
      </c>
      <c r="F9205" t="s">
        <v>99</v>
      </c>
      <c r="H9205" t="s">
        <v>131</v>
      </c>
      <c r="I9205" t="s">
        <v>1057</v>
      </c>
      <c r="K9205" t="str">
        <f>B9161</f>
        <v>electricity, residential, by conversion of hydrogen using fuel cell, PEM, allocated by exergy, transported by train, produced by Electrolysis, PEM using water and electricity from Wind (DK)</v>
      </c>
      <c r="L9205">
        <f t="shared" si="394"/>
        <v>2</v>
      </c>
      <c r="M9205">
        <f t="shared" si="395"/>
        <v>-0.6608811428765341</v>
      </c>
      <c r="N9205">
        <v>1</v>
      </c>
      <c r="O9205" s="15">
        <v>1.2</v>
      </c>
      <c r="P9205">
        <v>1</v>
      </c>
      <c r="Q9205">
        <v>1.01</v>
      </c>
      <c r="R9205">
        <v>1.2</v>
      </c>
      <c r="S9205">
        <v>1.2</v>
      </c>
      <c r="T9205">
        <v>1.05</v>
      </c>
      <c r="U9205">
        <f t="shared" si="396"/>
        <v>0.15984597228197622</v>
      </c>
    </row>
    <row r="9207" spans="1:21" x14ac:dyDescent="0.2">
      <c r="A9207" s="2" t="s">
        <v>50</v>
      </c>
      <c r="B9207" s="44" t="str">
        <f>IF(B9213="megajoule","heat","electricity")&amp;", residential, by "&amp;B9218&amp;" of "&amp;B9217&amp;" using "&amp;B9219&amp;IF(B9220&lt;&gt;0,", allocated by "&amp;B9220,"")&amp;", transported by "&amp;B9221&amp;", produced by "&amp;B9225&amp;" using "&amp;B9226&amp;" from "&amp;B9227</f>
        <v>electricity, residential, by conversion of hydrogen using fuel cell, SOFC, allocated by exergy, transported by train, produced by Electrolysis, PEM using water and electricity from Wind (DK)</v>
      </c>
    </row>
    <row r="9208" spans="1:21" x14ac:dyDescent="0.2">
      <c r="A9208" t="s">
        <v>51</v>
      </c>
      <c r="B9208" s="45" t="str">
        <f>"This dataset represents the supply of 1 "&amp;IF(B9213="megajoule","megajoule of heat","kilowatt hour of electricity")&amp;" in a residence, by "&amp;B9217&amp;" "&amp;B9218&amp;" in a "&amp;B9219&amp;". "&amp;" The hydrogen is transported by "&amp;B9221&amp;" over "&amp;B9222&amp;" km from regional storage. "&amp;" The "&amp;B9217&amp;" is produced by  "&amp;B9225&amp;", with "&amp;B9226&amp;" from "&amp;B9227&amp;" as feedstock. "&amp;A9229&amp;": "&amp;(B9229*100)&amp;"%. "&amp;A9230&amp;": "&amp;B9230&amp;". "&amp;A9231&amp;": "&amp;B9231&amp;". "&amp;A9232&amp;": "&amp;(B9232*100)&amp;"%. "&amp;A9233&amp;": "&amp;(B9233*100)&amp;"%. "&amp;A9234&amp;": "&amp;(B9234*100)&amp;"%. "&amp;A9235&amp;": "&amp;B9235&amp;". "&amp;A9236&amp;": "&amp;B9236&amp;". "&amp;A9237&amp;": "&amp;(B9237*100)&amp;"%. "&amp;A9238&amp;": "&amp;B9238&amp;". "&amp;A9239&amp;": "&amp;B9239&amp;". "&amp;A9240&amp;": "&amp;B9240&amp;". "&amp;A9241&amp;": "&amp;B9241&amp;".  For more information, refer to: "&amp;B9209</f>
        <v>This dataset represents the supply of 1 kilowatt hour of electricity in a residence, by hydrogen conversion in a fuel cell, SOFC.  The hydrogen is transported by train over 1300 km from regional storage.  The hydrogen is produced by  Electrolysis, PEM,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9209" spans="1:21" x14ac:dyDescent="0.2">
      <c r="A9209" t="s">
        <v>63</v>
      </c>
      <c r="B9209" s="45" t="s">
        <v>1223</v>
      </c>
    </row>
    <row r="9210" spans="1:21" x14ac:dyDescent="0.2">
      <c r="A9210" t="s">
        <v>52</v>
      </c>
      <c r="B9210" s="45" t="s">
        <v>64</v>
      </c>
    </row>
    <row r="9211" spans="1:21" x14ac:dyDescent="0.2">
      <c r="A9211" t="s">
        <v>48</v>
      </c>
      <c r="B9211" s="45" t="s">
        <v>948</v>
      </c>
    </row>
    <row r="9212" spans="1:21" x14ac:dyDescent="0.2">
      <c r="A9212" t="s">
        <v>54</v>
      </c>
      <c r="B9212" s="45" t="str">
        <f>INDEX(overview!$B$4:$R$338,MATCH('hydrogen - electrolysis'!B9211,overview!$A$4:$A$338,0),MATCH('hydrogen - electrolysis'!A9212,overview!$B$3:$R$3,0))</f>
        <v>electricity, from residential heating system</v>
      </c>
    </row>
    <row r="9213" spans="1:21" x14ac:dyDescent="0.2">
      <c r="A9213" t="s">
        <v>55</v>
      </c>
      <c r="B9213" s="45" t="str">
        <f>INDEX(overview!$B$4:$R$338,MATCH('hydrogen - electrolysis'!B9211,overview!$A$4:$A$338,0),MATCH('hydrogen - electrolysis'!A9213,overview!$B$3:$R$3,0))</f>
        <v>kilowatt hour</v>
      </c>
    </row>
    <row r="9214" spans="1:21" x14ac:dyDescent="0.2">
      <c r="A9214" t="s">
        <v>0</v>
      </c>
      <c r="B9214" s="45" t="str">
        <f>INDEX(overview!$B$4:$R$338,MATCH('hydrogen - electrolysis'!B9211,overview!$A$4:$A$338,0),MATCH('hydrogen - electrolysis'!A9214,overview!$B$3:$R$3,0))</f>
        <v>Switzerland</v>
      </c>
    </row>
    <row r="9215" spans="1:21" x14ac:dyDescent="0.2">
      <c r="A9215" t="s">
        <v>1</v>
      </c>
      <c r="B9215" s="45">
        <f>INDEX(overview!$B$4:$R$338,MATCH('hydrogen - electrolysis'!B9211,overview!$A$4:$A$338,0),MATCH('hydrogen - electrolysis'!A9215,overview!$B$3:$R$3,0))</f>
        <v>2020</v>
      </c>
    </row>
    <row r="9216" spans="1:21" x14ac:dyDescent="0.2">
      <c r="A9216" t="s">
        <v>2</v>
      </c>
      <c r="B9216" s="45" t="str">
        <f>INDEX(overview!$B$4:$R$338,MATCH('hydrogen - electrolysis'!B9211,overview!$A$4:$A$338,0),MATCH('hydrogen - electrolysis'!A9216,overview!$B$3:$R$3,0))</f>
        <v>1 kWh electricity</v>
      </c>
    </row>
    <row r="9217" spans="1:2" x14ac:dyDescent="0.2">
      <c r="A9217" t="s">
        <v>5</v>
      </c>
      <c r="B9217" s="45" t="str">
        <f>INDEX(overview!$B$4:$R$338,MATCH('hydrogen - electrolysis'!B9211,overview!$A$4:$A$338,0),MATCH('hydrogen - electrolysis'!A9217,overview!$B$3:$R$3,0))</f>
        <v>hydrogen</v>
      </c>
    </row>
    <row r="9218" spans="1:2" x14ac:dyDescent="0.2">
      <c r="A9218" t="s">
        <v>3</v>
      </c>
      <c r="B9218" s="45" t="str">
        <f>INDEX(overview!$B$4:$R$338,MATCH('hydrogen - electrolysis'!B9211,overview!$A$4:$A$338,0),MATCH('hydrogen - electrolysis'!A9218,overview!$B$3:$R$3,0))</f>
        <v>conversion</v>
      </c>
    </row>
    <row r="9219" spans="1:2" x14ac:dyDescent="0.2">
      <c r="A9219" t="s">
        <v>6</v>
      </c>
      <c r="B9219" s="45" t="str">
        <f>INDEX(overview!$B$4:$R$338,MATCH('hydrogen - electrolysis'!B9211,overview!$A$4:$A$338,0),MATCH('hydrogen - electrolysis'!A9219,overview!$B$3:$R$3,0))</f>
        <v>fuel cell, SOFC</v>
      </c>
    </row>
    <row r="9220" spans="1:2" x14ac:dyDescent="0.2">
      <c r="A9220" t="s">
        <v>39</v>
      </c>
      <c r="B9220" s="45" t="str">
        <f>INDEX(overview!$B$4:$R$338,MATCH('hydrogen - electrolysis'!B9211,overview!$A$4:$A$338,0),MATCH('hydrogen - electrolysis'!A9220,overview!$B$3:$R$3,0))</f>
        <v>exergy</v>
      </c>
    </row>
    <row r="9221" spans="1:2" x14ac:dyDescent="0.2">
      <c r="A9221" t="s">
        <v>4</v>
      </c>
      <c r="B9221" s="45" t="str">
        <f>INDEX(overview!$B$4:$R$338,MATCH('hydrogen - electrolysis'!B9211,overview!$A$4:$A$338,0),MATCH('hydrogen - electrolysis'!A9221,overview!$B$3:$R$3,0))</f>
        <v>train</v>
      </c>
    </row>
    <row r="9222" spans="1:2" x14ac:dyDescent="0.2">
      <c r="A9222" t="s">
        <v>38</v>
      </c>
      <c r="B9222" s="45">
        <f>INDEX(overview!$B$4:$R$338,MATCH('hydrogen - electrolysis'!B9211,overview!$A$4:$A$338,0),MATCH('hydrogen - electrolysis'!A9222,overview!$B$3:$R$3,0))</f>
        <v>1300</v>
      </c>
    </row>
    <row r="9223" spans="1:2" x14ac:dyDescent="0.2">
      <c r="A9223" t="s">
        <v>12</v>
      </c>
      <c r="B9223" s="45" t="str">
        <f>INDEX(overview!$B$4:$R$338,MATCH('hydrogen - electrolysis'!B9211,overview!$A$4:$A$338,0),MATCH('hydrogen - electrolysis'!A9223,overview!$B$3:$R$3,0))</f>
        <v>Pressure vessel for stationary storage</v>
      </c>
    </row>
    <row r="9224" spans="1:2" x14ac:dyDescent="0.2">
      <c r="A9224" t="s">
        <v>34</v>
      </c>
      <c r="B9224" s="45">
        <f>INDEX(overview!$B$4:$R$338,MATCH('hydrogen - electrolysis'!B9211,overview!$A$4:$A$338,0),MATCH('hydrogen - electrolysis'!A9224,overview!$B$3:$R$3,0))</f>
        <v>0</v>
      </c>
    </row>
    <row r="9225" spans="1:2" x14ac:dyDescent="0.2">
      <c r="A9225" t="s">
        <v>15</v>
      </c>
      <c r="B9225" s="45" t="str">
        <f>INDEX(overview!$B$4:$R$338,MATCH('hydrogen - electrolysis'!B9211,overview!$A$4:$A$338,0),MATCH('hydrogen - electrolysis'!A9225,overview!$B$3:$R$3,0))</f>
        <v>Electrolysis, PEM</v>
      </c>
    </row>
    <row r="9226" spans="1:2" x14ac:dyDescent="0.2">
      <c r="A9226" t="s">
        <v>14</v>
      </c>
      <c r="B9226" s="45" t="str">
        <f>INDEX(overview!$B$4:$R$338,MATCH('hydrogen - electrolysis'!B9211,overview!$A$4:$A$338,0),MATCH('hydrogen - electrolysis'!A9226,overview!$B$3:$R$3,0))</f>
        <v>water and electricity</v>
      </c>
    </row>
    <row r="9227" spans="1:2" x14ac:dyDescent="0.2">
      <c r="A9227" t="s">
        <v>26</v>
      </c>
      <c r="B9227" s="45" t="str">
        <f>INDEX(overview!$B$4:$R$338,MATCH('hydrogen - electrolysis'!B9211,overview!$A$4:$A$338,0),MATCH('hydrogen - electrolysis'!A9227,overview!$B$3:$R$3,0))</f>
        <v>Wind (DK)</v>
      </c>
    </row>
    <row r="9228" spans="1:2" x14ac:dyDescent="0.2">
      <c r="A9228" t="s">
        <v>29</v>
      </c>
      <c r="B9228" s="45">
        <f>INDEX(overview!$B$4:$R$338,MATCH('hydrogen - electrolysis'!B9211,overview!$A$4:$A$338,0),MATCH('hydrogen - electrolysis'!A9228,overview!$B$3:$R$3,0))</f>
        <v>0</v>
      </c>
    </row>
    <row r="9229" spans="1:2" x14ac:dyDescent="0.2">
      <c r="A9229" t="str">
        <f>IF(B9213="megajoule","Heat","Electricity")&amp;" conversion efficiency [% LHV input]"</f>
        <v>Electricity conversion efficiency [% LHV input]</v>
      </c>
      <c r="B9229" s="46">
        <f>INDEX(parameters!$D$4:$N$20,MATCH('hydrogen - electrolysis'!B9217&amp;'hydrogen - electrolysis'!B9219,parameters!$A$4:$A$20,0),MATCH('hydrogen - electrolysis'!A9229,parameters!$D$3:$N$3,0))</f>
        <v>0.47</v>
      </c>
    </row>
    <row r="9230" spans="1:2" x14ac:dyDescent="0.2">
      <c r="A9230" t="str">
        <f>IF(B9213="megajoule","LHV [MJ/kg]","LHV [kWh/kg]")</f>
        <v>LHV [kWh/kg]</v>
      </c>
      <c r="B9230" s="47">
        <f>INDEX(parameters!$D$4:$N$20,MATCH('hydrogen - electrolysis'!B9217&amp;'hydrogen - electrolysis'!B9219,parameters!$A$4:$A$20,0),MATCH('hydrogen - electrolysis'!A9230,parameters!$D$3:$N$3,0))</f>
        <v>33.333333333333336</v>
      </c>
    </row>
    <row r="9231" spans="1:2" x14ac:dyDescent="0.2">
      <c r="A9231" t="s">
        <v>41</v>
      </c>
      <c r="B9231" s="48">
        <f>INDEX(parameters!$D$4:$N$20,MATCH('hydrogen - electrolysis'!B9217&amp;'hydrogen - electrolysis'!B9219,parameters!$A$4:$A$20,0),MATCH('hydrogen - electrolysis'!A9231,parameters!$D$3:$N$3,0))</f>
        <v>2.6666666666666665E-2</v>
      </c>
    </row>
    <row r="9232" spans="1:2" x14ac:dyDescent="0.2">
      <c r="A9232" t="s">
        <v>45</v>
      </c>
      <c r="B9232" s="46">
        <f>INDEX(parameters!$D$4:$N$20,MATCH('hydrogen - electrolysis'!B9217&amp;'hydrogen - electrolysis'!B9219,parameters!$A$4:$A$20,0),MATCH('hydrogen - electrolysis'!A9232,parameters!$D$3:$N$3,0))</f>
        <v>0</v>
      </c>
    </row>
    <row r="9233" spans="1:22" x14ac:dyDescent="0.2">
      <c r="A9233" t="s">
        <v>46</v>
      </c>
      <c r="B9233" s="46">
        <f>INDEX(parameters!$D$4:$N$20,MATCH('hydrogen - electrolysis'!B9217&amp;'hydrogen - electrolysis'!B9219,parameters!$A$4:$A$20,0),MATCH('hydrogen - electrolysis'!A9233,parameters!$D$3:$N$3,0))</f>
        <v>1.4999999999999999E-2</v>
      </c>
    </row>
    <row r="9234" spans="1:22" x14ac:dyDescent="0.2">
      <c r="A9234" t="s">
        <v>43</v>
      </c>
      <c r="B9234" s="46">
        <f>INDEX(parameters!$D$4:$N$20,MATCH('hydrogen - electrolysis'!B9217&amp;'hydrogen - electrolysis'!B9219,parameters!$A$4:$A$20,0),MATCH('hydrogen - electrolysis'!A9234,parameters!$D$3:$N$3,0))</f>
        <v>0</v>
      </c>
    </row>
    <row r="9235" spans="1:22" x14ac:dyDescent="0.2">
      <c r="A9235" t="s">
        <v>44</v>
      </c>
      <c r="B9235" s="46">
        <f>INDEX(parameters!$D$4:$N$20,MATCH('hydrogen - electrolysis'!B9217&amp;'hydrogen - electrolysis'!B9219,parameters!$A$4:$A$20,0),MATCH('hydrogen - electrolysis'!A9235,parameters!$D$3:$N$3,0))</f>
        <v>0</v>
      </c>
    </row>
    <row r="9236" spans="1:22" x14ac:dyDescent="0.2">
      <c r="A9236" t="s">
        <v>634</v>
      </c>
      <c r="B9236" s="51">
        <f>INDEX(parameters!$D$4:$Y$20,MATCH('hydrogen - electrolysis'!B9217&amp;'hydrogen - electrolysis'!B9219,parameters!$A$4:$A$20,0),MATCH('hydrogen - electrolysis'!A9236,parameters!$D$3:$Y$3,0))</f>
        <v>225</v>
      </c>
      <c r="D9236" s="8"/>
    </row>
    <row r="9237" spans="1:22" x14ac:dyDescent="0.2">
      <c r="A9237" t="s">
        <v>82</v>
      </c>
      <c r="B9237" s="46">
        <f>IF(B9228&lt;&gt;0,VLOOKUP(B9228,parameters!A5892:B5894,2,0),0)</f>
        <v>0</v>
      </c>
    </row>
    <row r="9238" spans="1:22" x14ac:dyDescent="0.2">
      <c r="A9238" t="s">
        <v>548</v>
      </c>
      <c r="B9238" s="50">
        <f>INDEX(parameters!$D$4:$P$20,MATCH(B9217&amp;B9219,parameters!$A$4:$A$20,0),MATCH(A9238,parameters!$D$3:$P$3,0))</f>
        <v>100</v>
      </c>
    </row>
    <row r="9239" spans="1:22" x14ac:dyDescent="0.2">
      <c r="A9239" t="s">
        <v>547</v>
      </c>
      <c r="B9239" s="51">
        <f>INDEX(parameters!$D$4:$P$20,MATCH(B9217&amp;B9219,parameters!$A$4:$A$20,0),MATCH(A9239,parameters!$D$3:$P$3,0))</f>
        <v>6</v>
      </c>
    </row>
    <row r="9240" spans="1:22" x14ac:dyDescent="0.2">
      <c r="A9240" t="s">
        <v>630</v>
      </c>
      <c r="B9240" s="51">
        <f>INDEX(parameters!$D$4:$T$20,MATCH(B9217&amp;B9219,parameters!$A$4:$A$20,0),MATCH(A9240,parameters!$D$3:$T$3,0))</f>
        <v>4100</v>
      </c>
    </row>
    <row r="9241" spans="1:22" x14ac:dyDescent="0.2">
      <c r="A9241" t="s">
        <v>1005</v>
      </c>
      <c r="B9241" s="50">
        <f>IF(B9213="megajoule",SUMIFS(allocation!$I$4:$I$30,allocation!$B$4:$B$30,B9219,allocation!$C$4:$C$30,B9220),SUMIFS(allocation!$J$4:$J$30,allocation!$B$4:$B$30,B9219,allocation!$C$4:$C$30,B9220))</f>
        <v>0.86412493489600906</v>
      </c>
    </row>
    <row r="9242" spans="1:22" x14ac:dyDescent="0.2">
      <c r="A9242" t="s">
        <v>1050</v>
      </c>
      <c r="B9242" s="51">
        <f>INDEX(parameters!$D$4:$AB$20,MATCH(B9217&amp;B9219,parameters!$A$4:$A$20,0),MATCH(A9242,parameters!$D$3:$AB$3,0))</f>
        <v>1153.1249999999998</v>
      </c>
    </row>
    <row r="9244" spans="1:22" x14ac:dyDescent="0.2">
      <c r="A9244" s="3" t="s">
        <v>57</v>
      </c>
    </row>
    <row r="9245" spans="1:22" x14ac:dyDescent="0.2">
      <c r="A9245" s="2" t="s">
        <v>58</v>
      </c>
      <c r="B9245" s="44" t="s">
        <v>59</v>
      </c>
      <c r="C9245" s="2" t="s">
        <v>55</v>
      </c>
      <c r="D9245" s="2" t="s">
        <v>60</v>
      </c>
      <c r="E9245" s="2" t="s">
        <v>52</v>
      </c>
      <c r="F9245" s="2" t="s">
        <v>61</v>
      </c>
      <c r="G9245" s="2" t="s">
        <v>54</v>
      </c>
      <c r="H9245" s="2" t="s">
        <v>87</v>
      </c>
      <c r="I9245" s="2" t="s">
        <v>51</v>
      </c>
      <c r="J9245" s="2" t="s">
        <v>138</v>
      </c>
      <c r="K9245" s="2" t="s">
        <v>136</v>
      </c>
      <c r="L9245" s="2" t="s">
        <v>221</v>
      </c>
      <c r="M9245" s="2" t="s">
        <v>379</v>
      </c>
      <c r="N9245" s="2" t="s">
        <v>1059</v>
      </c>
      <c r="O9245" s="2" t="s">
        <v>1060</v>
      </c>
      <c r="P9245" s="2" t="s">
        <v>1061</v>
      </c>
      <c r="Q9245" s="2" t="s">
        <v>1062</v>
      </c>
      <c r="R9245" s="2" t="s">
        <v>1063</v>
      </c>
      <c r="S9245" s="2" t="s">
        <v>1064</v>
      </c>
      <c r="T9245" s="2" t="s">
        <v>1065</v>
      </c>
      <c r="U9245" s="2" t="s">
        <v>380</v>
      </c>
      <c r="V9245" s="2" t="s">
        <v>1128</v>
      </c>
    </row>
    <row r="9246" spans="1:22" x14ac:dyDescent="0.2">
      <c r="A9246" t="str">
        <f>B9207</f>
        <v>electricity, residential, by conversion of hydrogen using fuel cell, SOFC, allocated by exergy, transported by train, produced by Electrolysis, PEM using water and electricity from Wind (DK)</v>
      </c>
      <c r="B9246" s="45">
        <v>1</v>
      </c>
      <c r="C9246" t="str">
        <f>B9213</f>
        <v>kilowatt hour</v>
      </c>
      <c r="E9246" t="str">
        <f>B9210</f>
        <v>CH</v>
      </c>
      <c r="F9246" t="s">
        <v>62</v>
      </c>
      <c r="G9246" t="str">
        <f>B9212</f>
        <v>electricity, from residential heating system</v>
      </c>
      <c r="K9246" t="str">
        <f>B9207</f>
        <v>electricity, residential, by conversion of hydrogen using fuel cell, SOFC, allocated by exergy, transported by train, produced by Electrolysis, PEM using water and electricity from Wind (DK)</v>
      </c>
    </row>
    <row r="9247" spans="1:22" x14ac:dyDescent="0.2">
      <c r="A9247" t="str">
        <f>VLOOKUP(J9247,'dataset mapping'!$A$4:$E$69,2,0)</f>
        <v>fuel cell production, stack solid oxide, 125kW electrical, future</v>
      </c>
      <c r="B9247" s="52">
        <f>(1/(B9236*B9240*B9239))*B9241</f>
        <v>1.5612013277254003E-7</v>
      </c>
      <c r="C9247" t="str">
        <f>VLOOKUP(J9247,'dataset mapping'!$A$4:$E$69,5,0)</f>
        <v>unit</v>
      </c>
      <c r="E9247" t="str">
        <f>VLOOKUP(J9247,'dataset mapping'!$A$4:$E$69,4,0)</f>
        <v>CH</v>
      </c>
      <c r="F9247" t="s">
        <v>86</v>
      </c>
      <c r="G9247" t="str">
        <f>VLOOKUP(J9247,'dataset mapping'!$A$4:$E$69,3,0)</f>
        <v>fuel cell, stack solid oxide, 125kW electrical, future</v>
      </c>
      <c r="H9247" t="s">
        <v>88</v>
      </c>
      <c r="I9247" t="s">
        <v>277</v>
      </c>
      <c r="J9247" t="s">
        <v>274</v>
      </c>
      <c r="K9247" t="str">
        <f>B9207</f>
        <v>electricity, residential, by conversion of hydrogen using fuel cell, SOFC, allocated by exergy, transported by train, produced by Electrolysis, PEM using water and electricity from Wind (DK)</v>
      </c>
      <c r="L9247">
        <f t="shared" ref="L9247:L9253" si="397">IF(OR(B9247&lt;0,B9247=0),1,2)</f>
        <v>2</v>
      </c>
      <c r="M9247">
        <f t="shared" ref="M9247:M9253" si="398">IF(L9247=2,LN(B9247),"")</f>
        <v>-15.672640044182527</v>
      </c>
      <c r="N9247">
        <v>1</v>
      </c>
      <c r="O9247" s="15">
        <v>1.2</v>
      </c>
      <c r="P9247">
        <v>1</v>
      </c>
      <c r="Q9247">
        <v>1.01</v>
      </c>
      <c r="R9247">
        <v>1.2</v>
      </c>
      <c r="S9247">
        <v>1.2</v>
      </c>
      <c r="T9247">
        <v>3</v>
      </c>
      <c r="U9247">
        <f t="shared" ref="U9247:U9253" si="399">LN(SQRT(EXP(
SQRT(
+POWER(LN(N9247),2)
+POWER(LN(O9247),2)
+POWER(LN(P9247),2)
+POWER(LN(Q9247),2)
+POWER(LN(R9247),2)
+POWER(LN(S9247),2)
+POWER(LN(T9247),2)
)
)))</f>
        <v>0.57157051623399524</v>
      </c>
    </row>
    <row r="9248" spans="1:22" x14ac:dyDescent="0.2">
      <c r="A9248" t="s">
        <v>283</v>
      </c>
      <c r="B9248" s="52">
        <f>(1/(B9236*B9240*B9239))*B9241</f>
        <v>1.5612013277254003E-7</v>
      </c>
      <c r="C9248" t="s">
        <v>55</v>
      </c>
      <c r="E9248" t="s">
        <v>64</v>
      </c>
      <c r="F9248" t="s">
        <v>86</v>
      </c>
      <c r="G9248" t="s">
        <v>284</v>
      </c>
      <c r="H9248" t="s">
        <v>88</v>
      </c>
      <c r="I9248" t="s">
        <v>277</v>
      </c>
      <c r="K9248" t="str">
        <f>B9207</f>
        <v>electricity, residential, by conversion of hydrogen using fuel cell, SOFC, allocated by exergy, transported by train, produced by Electrolysis, PEM using water and electricity from Wind (DK)</v>
      </c>
      <c r="L9248">
        <f t="shared" si="397"/>
        <v>2</v>
      </c>
      <c r="M9248">
        <f t="shared" si="398"/>
        <v>-15.672640044182527</v>
      </c>
      <c r="N9248">
        <v>1</v>
      </c>
      <c r="O9248" s="15">
        <v>1.2</v>
      </c>
      <c r="P9248">
        <v>1</v>
      </c>
      <c r="Q9248">
        <v>1.01</v>
      </c>
      <c r="R9248">
        <v>1.2</v>
      </c>
      <c r="S9248">
        <v>1.2</v>
      </c>
      <c r="T9248">
        <v>3</v>
      </c>
      <c r="U9248">
        <f t="shared" si="399"/>
        <v>0.57157051623399524</v>
      </c>
    </row>
    <row r="9249" spans="1:21" x14ac:dyDescent="0.2">
      <c r="A9249" t="s">
        <v>288</v>
      </c>
      <c r="B9249" s="52">
        <f>0.000024*B9241</f>
        <v>2.0738998437504217E-5</v>
      </c>
      <c r="C9249" t="s">
        <v>56</v>
      </c>
      <c r="E9249" t="s">
        <v>64</v>
      </c>
      <c r="F9249" t="s">
        <v>86</v>
      </c>
      <c r="G9249" t="s">
        <v>287</v>
      </c>
      <c r="H9249" t="s">
        <v>88</v>
      </c>
      <c r="K9249" t="str">
        <f>B9207</f>
        <v>electricity, residential, by conversion of hydrogen using fuel cell, SOFC, allocated by exergy, transported by train, produced by Electrolysis, PEM using water and electricity from Wind (DK)</v>
      </c>
      <c r="L9249">
        <f t="shared" si="397"/>
        <v>2</v>
      </c>
      <c r="M9249">
        <f t="shared" si="398"/>
        <v>-10.783494647673981</v>
      </c>
      <c r="N9249">
        <v>1</v>
      </c>
      <c r="O9249" s="15">
        <v>1.2</v>
      </c>
      <c r="P9249">
        <v>1</v>
      </c>
      <c r="Q9249">
        <v>1.01</v>
      </c>
      <c r="R9249">
        <v>1.2</v>
      </c>
      <c r="S9249">
        <v>1.2</v>
      </c>
      <c r="T9249">
        <v>1.05</v>
      </c>
      <c r="U9249">
        <f t="shared" si="399"/>
        <v>0.15984597228197622</v>
      </c>
    </row>
    <row r="9250" spans="1:21" x14ac:dyDescent="0.2">
      <c r="A9250" s="45" t="str">
        <f>"hydrogen supply, transported by "&amp;B9221&amp;", produced by "&amp;B9225&amp;" using "&amp;B9226&amp;" from "&amp;B9227</f>
        <v>hydrogen supply, transported by train, produced by Electrolysis, PEM using water and electricity from Wind (DK)</v>
      </c>
      <c r="B9250" s="53">
        <f>(B9246/B9230)/B9229*B9241</f>
        <v>5.515691073804313E-2</v>
      </c>
      <c r="C9250" t="s">
        <v>56</v>
      </c>
      <c r="E9250" t="s">
        <v>64</v>
      </c>
      <c r="F9250" t="s">
        <v>86</v>
      </c>
      <c r="G9250" t="str">
        <f>"hydrogen, gaseous, from "&amp;B9221</f>
        <v>hydrogen, gaseous, from train</v>
      </c>
      <c r="H9250" t="s">
        <v>76</v>
      </c>
      <c r="I9250" t="s">
        <v>1054</v>
      </c>
      <c r="J9250" t="s">
        <v>303</v>
      </c>
      <c r="K9250" t="str">
        <f>B9207</f>
        <v>electricity, residential, by conversion of hydrogen using fuel cell, SOFC, allocated by exergy, transported by train, produced by Electrolysis, PEM using water and electricity from Wind (DK)</v>
      </c>
      <c r="L9250">
        <f t="shared" si="397"/>
        <v>2</v>
      </c>
      <c r="M9250">
        <f t="shared" si="398"/>
        <v>-2.8975732330996009</v>
      </c>
      <c r="N9250">
        <v>1</v>
      </c>
      <c r="O9250" s="15">
        <v>1.2</v>
      </c>
      <c r="P9250">
        <v>1</v>
      </c>
      <c r="Q9250">
        <v>1.01</v>
      </c>
      <c r="R9250">
        <v>1.2</v>
      </c>
      <c r="S9250">
        <v>1.2</v>
      </c>
      <c r="T9250">
        <v>1.05</v>
      </c>
      <c r="U9250">
        <f t="shared" si="399"/>
        <v>0.15984597228197622</v>
      </c>
    </row>
    <row r="9251" spans="1:21" x14ac:dyDescent="0.2">
      <c r="A9251" t="str">
        <f>VLOOKUP(J9251,'dataset mapping'!$A$4:$E$69,2,0)</f>
        <v>market for transport, freight train</v>
      </c>
      <c r="B9251" s="45">
        <f>SUM(B9250:B9250)/1000*B9222</f>
        <v>7.1703983959456069E-2</v>
      </c>
      <c r="C9251" t="str">
        <f>VLOOKUP(J9251,'dataset mapping'!$A$4:$E$69,5,0)</f>
        <v>ton kilometer</v>
      </c>
      <c r="E9251" t="str">
        <f>VLOOKUP(J9251,'dataset mapping'!$A$4:$E$69,4,0)</f>
        <v>CH</v>
      </c>
      <c r="F9251" t="s">
        <v>86</v>
      </c>
      <c r="G9251" t="str">
        <f>VLOOKUP(J9251,'dataset mapping'!$A$4:$E$69,3,0)</f>
        <v>transport, freight train</v>
      </c>
      <c r="H9251" t="s">
        <v>88</v>
      </c>
      <c r="I9251" t="s">
        <v>1052</v>
      </c>
      <c r="J9251" t="s">
        <v>295</v>
      </c>
      <c r="K9251" t="str">
        <f>B9207</f>
        <v>electricity, residential, by conversion of hydrogen using fuel cell, SOFC, allocated by exergy, transported by train, produced by Electrolysis, PEM using water and electricity from Wind (DK)</v>
      </c>
      <c r="L9251">
        <f t="shared" si="397"/>
        <v>2</v>
      </c>
      <c r="M9251">
        <f t="shared" si="398"/>
        <v>-2.6352089686321101</v>
      </c>
      <c r="N9251">
        <v>1</v>
      </c>
      <c r="O9251" s="15">
        <v>1.2</v>
      </c>
      <c r="P9251">
        <v>1</v>
      </c>
      <c r="Q9251">
        <v>1.01</v>
      </c>
      <c r="R9251">
        <v>1.2</v>
      </c>
      <c r="S9251">
        <v>1.2</v>
      </c>
      <c r="T9251">
        <v>2</v>
      </c>
      <c r="U9251">
        <f t="shared" si="399"/>
        <v>0.38087907307228186</v>
      </c>
    </row>
    <row r="9252" spans="1:21" x14ac:dyDescent="0.2">
      <c r="A9252" t="str">
        <f>VLOOKUP(J9252,'dataset mapping'!$A$4:$E$69,2,0)</f>
        <v>high pressure hydrogen storage tank</v>
      </c>
      <c r="B9252" s="52">
        <f>((B9242/10)/(B9240*B9236*20))*IF(B9241&lt;&gt;0,B9241,1)</f>
        <v>5.400780843100055E-6</v>
      </c>
      <c r="C9252" t="str">
        <f>VLOOKUP(J9252,'dataset mapping'!$A$4:$E$69,5,0)</f>
        <v>kilogram</v>
      </c>
      <c r="E9252" t="str">
        <f>VLOOKUP(J9252,'dataset mapping'!$A$4:$E$69,4,0)</f>
        <v>GLO</v>
      </c>
      <c r="F9252" t="s">
        <v>86</v>
      </c>
      <c r="G9252" t="str">
        <f>VLOOKUP(J9252,'dataset mapping'!$A$4:$E$69,3,0)</f>
        <v>high pressure hydrogen storage tank</v>
      </c>
      <c r="H9252" t="s">
        <v>88</v>
      </c>
      <c r="I9252" t="s">
        <v>230</v>
      </c>
      <c r="J9252" t="s">
        <v>229</v>
      </c>
      <c r="K9252" t="str">
        <f>B9207</f>
        <v>electricity, residential, by conversion of hydrogen using fuel cell, SOFC, allocated by exergy, transported by train, produced by Electrolysis, PEM using water and electricity from Wind (DK)</v>
      </c>
      <c r="L9252">
        <f t="shared" si="397"/>
        <v>2</v>
      </c>
      <c r="M9252">
        <f t="shared" si="398"/>
        <v>-12.128967014273616</v>
      </c>
      <c r="N9252">
        <v>1</v>
      </c>
      <c r="O9252" s="15">
        <v>1.2</v>
      </c>
      <c r="P9252">
        <v>1</v>
      </c>
      <c r="Q9252">
        <v>1.01</v>
      </c>
      <c r="R9252">
        <v>1.2</v>
      </c>
      <c r="S9252">
        <v>1.2</v>
      </c>
      <c r="T9252">
        <v>3</v>
      </c>
      <c r="U9252">
        <f t="shared" si="399"/>
        <v>0.57157051623399524</v>
      </c>
    </row>
    <row r="9253" spans="1:21" x14ac:dyDescent="0.2">
      <c r="A9253" t="s">
        <v>134</v>
      </c>
      <c r="B9253" s="45">
        <f>B9250*9</f>
        <v>0.49641219664238817</v>
      </c>
      <c r="C9253" t="s">
        <v>56</v>
      </c>
      <c r="D9253" t="s">
        <v>100</v>
      </c>
      <c r="F9253" t="s">
        <v>99</v>
      </c>
      <c r="H9253" t="s">
        <v>131</v>
      </c>
      <c r="I9253" t="s">
        <v>1057</v>
      </c>
      <c r="K9253" t="str">
        <f>B9207</f>
        <v>electricity, residential, by conversion of hydrogen using fuel cell, SOFC, allocated by exergy, transported by train, produced by Electrolysis, PEM using water and electricity from Wind (DK)</v>
      </c>
      <c r="L9253">
        <f t="shared" si="397"/>
        <v>2</v>
      </c>
      <c r="M9253">
        <f t="shared" si="398"/>
        <v>-0.70034865576338168</v>
      </c>
      <c r="N9253">
        <v>1</v>
      </c>
      <c r="O9253" s="15">
        <v>1.2</v>
      </c>
      <c r="P9253">
        <v>1</v>
      </c>
      <c r="Q9253">
        <v>1.01</v>
      </c>
      <c r="R9253">
        <v>1.2</v>
      </c>
      <c r="S9253">
        <v>1.2</v>
      </c>
      <c r="T9253">
        <v>1.05</v>
      </c>
      <c r="U9253">
        <f t="shared" si="399"/>
        <v>0.15984597228197622</v>
      </c>
    </row>
    <row r="9256" spans="1:21" x14ac:dyDescent="0.2">
      <c r="A9256" s="2" t="s">
        <v>50</v>
      </c>
      <c r="B9256" s="44" t="str">
        <f>IF(B9262="megajoule","heat","electricity")&amp;", residential, by "&amp;B9267&amp;" of "&amp;B9266&amp;" using "&amp;B9268&amp;IF(B9269&lt;&gt;0,", allocated by "&amp;B9269,"")&amp;", transported by "&amp;B9270&amp;", produced by "&amp;B9274&amp;" using "&amp;B9275&amp;" from "&amp;B9276</f>
        <v>heat, residential, by combustion of hydrogen using boiler, transported by pipeline, produced by Electrolysis, SOEC using water and electricity from Wind (DK)</v>
      </c>
    </row>
    <row r="9257" spans="1:21" x14ac:dyDescent="0.2">
      <c r="A9257" t="s">
        <v>51</v>
      </c>
      <c r="B9257" s="45" t="str">
        <f>"This dataset represents the supply of 1 "&amp;IF(B9262="megajoule","megajoule of heat","kilowatt hour of electricity")&amp;" in a residence, by "&amp;B9266&amp;" "&amp;B9267&amp;" in a "&amp;B9268&amp;". "&amp;" The hydrogen is transported by "&amp;B9270&amp;" over "&amp;B9271&amp;" km from regional storage. "&amp;" The "&amp;B9266&amp;" is produced by  "&amp;B9274&amp;", with "&amp;B9275&amp;" from "&amp;B9276&amp;" as feedstock. "&amp;A9278&amp;": "&amp;(B9278*100)&amp;"%. "&amp;A9279&amp;": "&amp;B9279&amp;". "&amp;A9280&amp;": "&amp;B9280&amp;". "&amp;A9281&amp;": "&amp;(B9281*100)&amp;"%. "&amp;A9282&amp;": "&amp;(B9282*100)&amp;"%. "&amp;A9283&amp;": "&amp;(B9283*100)&amp;"%. "&amp;A9284&amp;": "&amp;B9284&amp;". "&amp;A9285&amp;": "&amp;B9285&amp;". "&amp;A9286&amp;": "&amp;(B9286*100)&amp;"%. "&amp;A9287&amp;": "&amp;B9287&amp;". "&amp;A9288&amp;": "&amp;B9288&amp;". "&amp;A9289&amp;": "&amp;B9289&amp;". "&amp;A9290&amp;": "&amp;B9290&amp;".  For more information, refer to: "&amp;B9258</f>
        <v>This dataset represents the supply of 1 megajoule of heat in a residence, by hydrogen combustion in a boiler.  The hydrogen is transported by pipeline over 1300 km from regional storage.  The hydrogen is produced by  Electrolysis, SOEC,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9258" spans="1:21" x14ac:dyDescent="0.2">
      <c r="A9258" t="s">
        <v>63</v>
      </c>
      <c r="B9258" s="45" t="s">
        <v>1223</v>
      </c>
    </row>
    <row r="9259" spans="1:21" x14ac:dyDescent="0.2">
      <c r="A9259" t="s">
        <v>52</v>
      </c>
      <c r="B9259" s="45" t="s">
        <v>64</v>
      </c>
    </row>
    <row r="9260" spans="1:21" x14ac:dyDescent="0.2">
      <c r="A9260" t="s">
        <v>48</v>
      </c>
      <c r="B9260" s="45">
        <v>113</v>
      </c>
    </row>
    <row r="9261" spans="1:21" x14ac:dyDescent="0.2">
      <c r="A9261" t="s">
        <v>54</v>
      </c>
      <c r="B9261" s="45" t="str">
        <f>INDEX(overview!$B$4:$R$338,MATCH('hydrogen - electrolysis'!B9260,overview!$A$4:$A$338,0),MATCH('hydrogen - electrolysis'!A9261,overview!$B$3:$R$3,0))</f>
        <v>heat, from residential heating system</v>
      </c>
    </row>
    <row r="9262" spans="1:21" x14ac:dyDescent="0.2">
      <c r="A9262" t="s">
        <v>55</v>
      </c>
      <c r="B9262" s="45" t="str">
        <f>INDEX(overview!$B$4:$R$338,MATCH('hydrogen - electrolysis'!B9260,overview!$A$4:$A$338,0),MATCH('hydrogen - electrolysis'!A9262,overview!$B$3:$R$3,0))</f>
        <v>megajoule</v>
      </c>
    </row>
    <row r="9263" spans="1:21" x14ac:dyDescent="0.2">
      <c r="A9263" t="s">
        <v>0</v>
      </c>
      <c r="B9263" s="45" t="str">
        <f>INDEX(overview!$B$4:$R$338,MATCH('hydrogen - electrolysis'!B9260,overview!$A$4:$A$338,0),MATCH('hydrogen - electrolysis'!A9263,overview!$B$3:$R$3,0))</f>
        <v>Switzerland</v>
      </c>
    </row>
    <row r="9264" spans="1:21" x14ac:dyDescent="0.2">
      <c r="A9264" t="s">
        <v>1</v>
      </c>
      <c r="B9264" s="45">
        <f>INDEX(overview!$B$4:$R$338,MATCH('hydrogen - electrolysis'!B9260,overview!$A$4:$A$338,0),MATCH('hydrogen - electrolysis'!A9264,overview!$B$3:$R$3,0))</f>
        <v>2020</v>
      </c>
    </row>
    <row r="9265" spans="1:2" x14ac:dyDescent="0.2">
      <c r="A9265" t="s">
        <v>2</v>
      </c>
      <c r="B9265" s="45" t="str">
        <f>INDEX(overview!$B$4:$R$338,MATCH('hydrogen - electrolysis'!B9260,overview!$A$4:$A$338,0),MATCH('hydrogen - electrolysis'!A9265,overview!$B$3:$R$3,0))</f>
        <v>1 MJ heat</v>
      </c>
    </row>
    <row r="9266" spans="1:2" x14ac:dyDescent="0.2">
      <c r="A9266" t="s">
        <v>5</v>
      </c>
      <c r="B9266" s="45" t="str">
        <f>INDEX(overview!$B$4:$R$338,MATCH('hydrogen - electrolysis'!B9260,overview!$A$4:$A$338,0),MATCH('hydrogen - electrolysis'!A9266,overview!$B$3:$R$3,0))</f>
        <v>hydrogen</v>
      </c>
    </row>
    <row r="9267" spans="1:2" x14ac:dyDescent="0.2">
      <c r="A9267" t="s">
        <v>3</v>
      </c>
      <c r="B9267" s="45" t="str">
        <f>INDEX(overview!$B$4:$R$338,MATCH('hydrogen - electrolysis'!B9260,overview!$A$4:$A$338,0),MATCH('hydrogen - electrolysis'!A9267,overview!$B$3:$R$3,0))</f>
        <v>combustion</v>
      </c>
    </row>
    <row r="9268" spans="1:2" x14ac:dyDescent="0.2">
      <c r="A9268" t="s">
        <v>6</v>
      </c>
      <c r="B9268" s="45" t="str">
        <f>INDEX(overview!$B$4:$R$338,MATCH('hydrogen - electrolysis'!B9260,overview!$A$4:$A$338,0),MATCH('hydrogen - electrolysis'!A9268,overview!$B$3:$R$3,0))</f>
        <v>boiler</v>
      </c>
    </row>
    <row r="9269" spans="1:2" x14ac:dyDescent="0.2">
      <c r="A9269" t="s">
        <v>39</v>
      </c>
      <c r="B9269" s="45">
        <f>INDEX(overview!$B$4:$R$338,MATCH('hydrogen - electrolysis'!B9260,overview!$A$4:$A$338,0),MATCH('hydrogen - electrolysis'!A9269,overview!$B$3:$R$3,0))</f>
        <v>0</v>
      </c>
    </row>
    <row r="9270" spans="1:2" x14ac:dyDescent="0.2">
      <c r="A9270" t="s">
        <v>4</v>
      </c>
      <c r="B9270" s="45" t="str">
        <f>INDEX(overview!$B$4:$R$338,MATCH('hydrogen - electrolysis'!B9260,overview!$A$4:$A$338,0),MATCH('hydrogen - electrolysis'!A9270,overview!$B$3:$R$3,0))</f>
        <v>pipeline</v>
      </c>
    </row>
    <row r="9271" spans="1:2" x14ac:dyDescent="0.2">
      <c r="A9271" t="s">
        <v>38</v>
      </c>
      <c r="B9271" s="45">
        <f>INDEX(overview!$B$4:$R$338,MATCH('hydrogen - electrolysis'!B9260,overview!$A$4:$A$338,0),MATCH('hydrogen - electrolysis'!A9271,overview!$B$3:$R$3,0))</f>
        <v>1300</v>
      </c>
    </row>
    <row r="9272" spans="1:2" x14ac:dyDescent="0.2">
      <c r="A9272" t="s">
        <v>12</v>
      </c>
      <c r="B9272" s="45" t="str">
        <f>INDEX(overview!$B$4:$R$338,MATCH('hydrogen - electrolysis'!B9260,overview!$A$4:$A$338,0),MATCH('hydrogen - electrolysis'!A9272,overview!$B$3:$R$3,0))</f>
        <v>Pressure vessel for stationary storage</v>
      </c>
    </row>
    <row r="9273" spans="1:2" x14ac:dyDescent="0.2">
      <c r="A9273" t="s">
        <v>34</v>
      </c>
      <c r="B9273" s="45">
        <f>INDEX(overview!$B$4:$R$338,MATCH('hydrogen - electrolysis'!B9260,overview!$A$4:$A$338,0),MATCH('hydrogen - electrolysis'!A9273,overview!$B$3:$R$3,0))</f>
        <v>0</v>
      </c>
    </row>
    <row r="9274" spans="1:2" x14ac:dyDescent="0.2">
      <c r="A9274" t="s">
        <v>15</v>
      </c>
      <c r="B9274" s="45" t="str">
        <f>INDEX(overview!$B$4:$R$338,MATCH('hydrogen - electrolysis'!B9260,overview!$A$4:$A$338,0),MATCH('hydrogen - electrolysis'!A9274,overview!$B$3:$R$3,0))</f>
        <v>Electrolysis, SOEC</v>
      </c>
    </row>
    <row r="9275" spans="1:2" x14ac:dyDescent="0.2">
      <c r="A9275" t="s">
        <v>14</v>
      </c>
      <c r="B9275" s="45" t="str">
        <f>INDEX(overview!$B$4:$R$338,MATCH('hydrogen - electrolysis'!B9260,overview!$A$4:$A$338,0),MATCH('hydrogen - electrolysis'!A9275,overview!$B$3:$R$3,0))</f>
        <v>water and electricity</v>
      </c>
    </row>
    <row r="9276" spans="1:2" x14ac:dyDescent="0.2">
      <c r="A9276" t="s">
        <v>26</v>
      </c>
      <c r="B9276" s="45" t="str">
        <f>INDEX(overview!$B$4:$R$338,MATCH('hydrogen - electrolysis'!B9260,overview!$A$4:$A$338,0),MATCH('hydrogen - electrolysis'!A9276,overview!$B$3:$R$3,0))</f>
        <v>Wind (DK)</v>
      </c>
    </row>
    <row r="9277" spans="1:2" x14ac:dyDescent="0.2">
      <c r="A9277" t="s">
        <v>29</v>
      </c>
      <c r="B9277" s="45">
        <f>INDEX(overview!$B$4:$R$338,MATCH('hydrogen - electrolysis'!B9260,overview!$A$4:$A$338,0),MATCH('hydrogen - electrolysis'!A9277,overview!$B$3:$R$3,0))</f>
        <v>0</v>
      </c>
    </row>
    <row r="9278" spans="1:2" x14ac:dyDescent="0.2">
      <c r="A9278" t="str">
        <f>IF(B9262="megajoule","Heat","Electricity")&amp;" conversion efficiency [% LHV input]"</f>
        <v>Heat conversion efficiency [% LHV input]</v>
      </c>
      <c r="B9278" s="46">
        <f>INDEX(parameters!$D$4:$N$20,MATCH('hydrogen - electrolysis'!B9266&amp;'hydrogen - electrolysis'!B9268,parameters!$A$4:$A$20,0),MATCH('hydrogen - electrolysis'!A9278,parameters!$D$3:$N$3,0))</f>
        <v>0.94</v>
      </c>
    </row>
    <row r="9279" spans="1:2" x14ac:dyDescent="0.2">
      <c r="A9279" t="str">
        <f>IF(B9262="megajoule","LHV [MJ/kg]","LHV [kWh/kg]")</f>
        <v>LHV [MJ/kg]</v>
      </c>
      <c r="B9279" s="47">
        <f>INDEX(parameters!$D$4:$N$20,MATCH('hydrogen - electrolysis'!B9266&amp;'hydrogen - electrolysis'!B9268,parameters!$A$4:$A$20,0),MATCH('hydrogen - electrolysis'!A9279,parameters!$D$3:$N$3,0))</f>
        <v>120</v>
      </c>
    </row>
    <row r="9280" spans="1:2" x14ac:dyDescent="0.2">
      <c r="A9280" t="s">
        <v>41</v>
      </c>
      <c r="B9280" s="48">
        <f>INDEX(parameters!$D$4:$N$20,MATCH('hydrogen - electrolysis'!B9266&amp;'hydrogen - electrolysis'!B9268,parameters!$A$4:$A$20,0),MATCH('hydrogen - electrolysis'!A9280,parameters!$D$3:$N$3,0))</f>
        <v>2.6666666666666665E-2</v>
      </c>
    </row>
    <row r="9281" spans="1:22" x14ac:dyDescent="0.2">
      <c r="A9281" t="s">
        <v>45</v>
      </c>
      <c r="B9281" s="49">
        <f>INDEX(parameters!$D$4:$N$20,MATCH('hydrogen - electrolysis'!B9266&amp;'hydrogen - electrolysis'!B9268,parameters!$A$4:$A$20,0),MATCH('hydrogen - electrolysis'!A9281,parameters!$D$3:$N$3,0))</f>
        <v>0</v>
      </c>
    </row>
    <row r="9282" spans="1:22" x14ac:dyDescent="0.2">
      <c r="A9282" t="s">
        <v>46</v>
      </c>
      <c r="B9282" s="49">
        <f>INDEX(parameters!$D$4:$N$20,MATCH('hydrogen - electrolysis'!B9266&amp;'hydrogen - electrolysis'!B9268,parameters!$A$4:$A$20,0),MATCH('hydrogen - electrolysis'!A9282,parameters!$D$3:$N$3,0))</f>
        <v>1.4999999999999999E-2</v>
      </c>
    </row>
    <row r="9283" spans="1:22" x14ac:dyDescent="0.2">
      <c r="A9283" t="s">
        <v>43</v>
      </c>
      <c r="B9283" s="49">
        <f>INDEX(parameters!$D$4:$N$20,MATCH('hydrogen - electrolysis'!B9266&amp;'hydrogen - electrolysis'!B9268,parameters!$A$4:$A$20,0),MATCH('hydrogen - electrolysis'!A9283,parameters!$D$3:$N$3,0))</f>
        <v>0</v>
      </c>
    </row>
    <row r="9284" spans="1:22" x14ac:dyDescent="0.2">
      <c r="A9284" t="s">
        <v>44</v>
      </c>
      <c r="B9284" s="49">
        <f>INDEX(parameters!$D$4:$N$20,MATCH('hydrogen - electrolysis'!B9266&amp;'hydrogen - electrolysis'!B9268,parameters!$A$4:$A$20,0),MATCH('hydrogen - electrolysis'!A9284,parameters!$D$3:$N$3,0))</f>
        <v>0</v>
      </c>
    </row>
    <row r="9285" spans="1:22" x14ac:dyDescent="0.2">
      <c r="A9285" t="s">
        <v>634</v>
      </c>
      <c r="B9285" s="51">
        <f>INDEX(parameters!$D$4:$Y$20,MATCH('hydrogen - electrolysis'!B9266&amp;'hydrogen - electrolysis'!B9268,parameters!$A$4:$A$20,0),MATCH('hydrogen - electrolysis'!A9285,parameters!$D$3:$Y$3,0))</f>
        <v>15.957446808510639</v>
      </c>
    </row>
    <row r="9286" spans="1:22" x14ac:dyDescent="0.2">
      <c r="A9286" t="s">
        <v>82</v>
      </c>
      <c r="B9286" s="46">
        <f>IF(B9277&lt;&gt;0,VLOOKUP(B9277,parameters!A5792:B5794,2,0),0)</f>
        <v>0</v>
      </c>
    </row>
    <row r="9287" spans="1:22" x14ac:dyDescent="0.2">
      <c r="A9287" t="s">
        <v>548</v>
      </c>
      <c r="B9287" s="50">
        <f>INDEX(parameters!$D$4:$P$20,MATCH(B9266&amp;B9268,parameters!$A$4:$A$20,0),MATCH(A9287,parameters!$D$3:$P$3,0))</f>
        <v>15</v>
      </c>
    </row>
    <row r="9288" spans="1:22" x14ac:dyDescent="0.2">
      <c r="A9288" t="s">
        <v>547</v>
      </c>
      <c r="B9288" s="51">
        <f>INDEX(parameters!$D$4:$P$20,MATCH(B9266&amp;B9268,parameters!$A$4:$A$20,0),MATCH(A9288,parameters!$D$3:$P$3,0))</f>
        <v>20</v>
      </c>
    </row>
    <row r="9289" spans="1:22" x14ac:dyDescent="0.2">
      <c r="A9289" t="s">
        <v>630</v>
      </c>
      <c r="B9289" s="51">
        <f>INDEX(parameters!$D$4:$T$20,MATCH(B9266&amp;B9268,parameters!$A$4:$A$20,0),MATCH(A9289,parameters!$D$3:$T$3,0))</f>
        <v>2100</v>
      </c>
    </row>
    <row r="9290" spans="1:22" x14ac:dyDescent="0.2">
      <c r="A9290" t="s">
        <v>1005</v>
      </c>
      <c r="B9290" s="50">
        <f>IF(B9262="megajoule",SUMIFS(allocation!$I$4:$I$30,allocation!$B$4:$B$30,B9268,allocation!$C$4:$C$30,B9269),SUMIFS(allocation!$J$4:$J$30,allocation!$B$4:$B$30,B9268,allocation!$C$4:$C$30,B9269))</f>
        <v>0</v>
      </c>
    </row>
    <row r="9291" spans="1:22" x14ac:dyDescent="0.2">
      <c r="A9291" t="s">
        <v>1050</v>
      </c>
      <c r="B9291" s="51">
        <f>INDEX(parameters!$D$4:$AB$20,MATCH(B9266&amp;B9268,parameters!$A$4:$A$20,0),MATCH(A9291,parameters!$D$3:$AB$3,0))</f>
        <v>44.562019013128115</v>
      </c>
    </row>
    <row r="9293" spans="1:22" x14ac:dyDescent="0.2">
      <c r="A9293" s="3" t="s">
        <v>57</v>
      </c>
    </row>
    <row r="9294" spans="1:22" x14ac:dyDescent="0.2">
      <c r="A9294" s="2" t="s">
        <v>58</v>
      </c>
      <c r="B9294" s="44" t="s">
        <v>59</v>
      </c>
      <c r="C9294" s="2" t="s">
        <v>55</v>
      </c>
      <c r="D9294" s="2" t="s">
        <v>60</v>
      </c>
      <c r="E9294" s="2" t="s">
        <v>52</v>
      </c>
      <c r="F9294" s="2" t="s">
        <v>61</v>
      </c>
      <c r="G9294" s="2" t="s">
        <v>54</v>
      </c>
      <c r="H9294" s="2" t="s">
        <v>87</v>
      </c>
      <c r="I9294" s="2" t="s">
        <v>51</v>
      </c>
      <c r="J9294" s="2" t="s">
        <v>138</v>
      </c>
      <c r="K9294" s="2" t="s">
        <v>136</v>
      </c>
      <c r="L9294" s="2" t="s">
        <v>221</v>
      </c>
      <c r="M9294" s="2" t="s">
        <v>379</v>
      </c>
      <c r="N9294" s="2" t="s">
        <v>1059</v>
      </c>
      <c r="O9294" s="2" t="s">
        <v>1060</v>
      </c>
      <c r="P9294" s="2" t="s">
        <v>1061</v>
      </c>
      <c r="Q9294" s="2" t="s">
        <v>1062</v>
      </c>
      <c r="R9294" s="2" t="s">
        <v>1063</v>
      </c>
      <c r="S9294" s="2" t="s">
        <v>1064</v>
      </c>
      <c r="T9294" s="2" t="s">
        <v>1065</v>
      </c>
      <c r="U9294" s="2" t="s">
        <v>380</v>
      </c>
      <c r="V9294" s="2" t="s">
        <v>1128</v>
      </c>
    </row>
    <row r="9295" spans="1:22" x14ac:dyDescent="0.2">
      <c r="A9295" t="str">
        <f>B9256</f>
        <v>heat, residential, by combustion of hydrogen using boiler, transported by pipeline, produced by Electrolysis, SOEC using water and electricity from Wind (DK)</v>
      </c>
      <c r="B9295" s="45">
        <v>1</v>
      </c>
      <c r="C9295" t="str">
        <f>B9262</f>
        <v>megajoule</v>
      </c>
      <c r="E9295" t="str">
        <f>B9259</f>
        <v>CH</v>
      </c>
      <c r="F9295" t="s">
        <v>62</v>
      </c>
      <c r="G9295" t="str">
        <f>B9261</f>
        <v>heat, from residential heating system</v>
      </c>
      <c r="K9295" t="str">
        <f>B9256</f>
        <v>heat, residential, by combustion of hydrogen using boiler, transported by pipeline, produced by Electrolysis, SOEC using water and electricity from Wind (DK)</v>
      </c>
    </row>
    <row r="9296" spans="1:22" x14ac:dyDescent="0.2">
      <c r="A9296" t="s">
        <v>83</v>
      </c>
      <c r="B9296" s="52">
        <f>1/(B9287*B9289*B9288*3.6)</f>
        <v>4.4091710758377425E-7</v>
      </c>
      <c r="C9296" t="s">
        <v>55</v>
      </c>
      <c r="E9296" t="s">
        <v>85</v>
      </c>
      <c r="F9296" t="s">
        <v>86</v>
      </c>
      <c r="G9296" t="s">
        <v>84</v>
      </c>
      <c r="H9296" t="s">
        <v>88</v>
      </c>
      <c r="K9296" t="str">
        <f>B9256</f>
        <v>heat, residential, by combustion of hydrogen using boiler, transported by pipeline, produced by Electrolysis, SOEC using water and electricity from Wind (DK)</v>
      </c>
      <c r="L9296">
        <f t="shared" ref="L9296:L9301" si="400">IF(OR(B9296&lt;0,B9296=0),1,2)</f>
        <v>2</v>
      </c>
      <c r="M9296">
        <f t="shared" ref="M9296:M9301" si="401">IF(L9296=2,LN(B9296),"")</f>
        <v>-14.634408943829779</v>
      </c>
      <c r="N9296">
        <v>1.05</v>
      </c>
      <c r="O9296" s="15">
        <v>1.2</v>
      </c>
      <c r="P9296">
        <v>1</v>
      </c>
      <c r="Q9296">
        <v>1.01</v>
      </c>
      <c r="R9296">
        <v>1.2</v>
      </c>
      <c r="S9296">
        <v>1.2</v>
      </c>
      <c r="T9296">
        <v>3</v>
      </c>
      <c r="U9296">
        <f t="shared" ref="U9296:U9301" si="402">LN(SQRT(EXP(
SQRT(
+POWER(LN(N9296),2)
+POWER(LN(O9296),2)
+POWER(LN(P9296),2)
+POWER(LN(Q9296),2)
+POWER(LN(R9296),2)
+POWER(LN(S9296),2)
+POWER(LN(T9296),2)
)
)))</f>
        <v>0.57209088006881903</v>
      </c>
    </row>
    <row r="9297" spans="1:21" x14ac:dyDescent="0.2">
      <c r="A9297" t="s">
        <v>500</v>
      </c>
      <c r="B9297" s="52">
        <f>B9296*2</f>
        <v>8.8183421516754851E-7</v>
      </c>
      <c r="C9297" t="s">
        <v>267</v>
      </c>
      <c r="E9297" t="s">
        <v>85</v>
      </c>
      <c r="F9297" t="s">
        <v>86</v>
      </c>
      <c r="G9297" t="s">
        <v>501</v>
      </c>
      <c r="H9297" t="s">
        <v>88</v>
      </c>
      <c r="I9297" t="s">
        <v>621</v>
      </c>
      <c r="K9297" t="str">
        <f>B9256</f>
        <v>heat, residential, by combustion of hydrogen using boiler, transported by pipeline, produced by Electrolysis, SOEC using water and electricity from Wind (DK)</v>
      </c>
      <c r="L9297">
        <f t="shared" si="400"/>
        <v>2</v>
      </c>
      <c r="M9297">
        <f t="shared" si="401"/>
        <v>-13.941261763269834</v>
      </c>
      <c r="N9297">
        <v>1.05</v>
      </c>
      <c r="O9297" s="15">
        <v>1.2</v>
      </c>
      <c r="P9297">
        <v>1</v>
      </c>
      <c r="Q9297">
        <v>1.01</v>
      </c>
      <c r="R9297">
        <v>1.2</v>
      </c>
      <c r="S9297">
        <v>1.2</v>
      </c>
      <c r="T9297">
        <v>3</v>
      </c>
      <c r="U9297">
        <f t="shared" si="402"/>
        <v>0.57209088006881903</v>
      </c>
    </row>
    <row r="9298" spans="1:21" x14ac:dyDescent="0.2">
      <c r="A9298" t="s">
        <v>130</v>
      </c>
      <c r="B9298" s="52">
        <v>2.64E-3</v>
      </c>
      <c r="C9298" t="s">
        <v>92</v>
      </c>
      <c r="E9298" t="s">
        <v>64</v>
      </c>
      <c r="F9298" t="s">
        <v>86</v>
      </c>
      <c r="G9298" t="s">
        <v>93</v>
      </c>
      <c r="H9298" t="s">
        <v>78</v>
      </c>
      <c r="I9298" t="s">
        <v>270</v>
      </c>
      <c r="J9298" t="s">
        <v>67</v>
      </c>
      <c r="K9298" t="str">
        <f>B9256</f>
        <v>heat, residential, by combustion of hydrogen using boiler, transported by pipeline, produced by Electrolysis, SOEC using water and electricity from Wind (DK)</v>
      </c>
      <c r="L9298">
        <f t="shared" si="400"/>
        <v>2</v>
      </c>
      <c r="M9298">
        <f t="shared" si="401"/>
        <v>-5.9369763618239126</v>
      </c>
      <c r="N9298">
        <v>1.05</v>
      </c>
      <c r="O9298" s="15">
        <v>1.2</v>
      </c>
      <c r="P9298">
        <v>1</v>
      </c>
      <c r="Q9298">
        <v>1.01</v>
      </c>
      <c r="R9298">
        <v>1.2</v>
      </c>
      <c r="S9298">
        <v>1.2</v>
      </c>
      <c r="T9298">
        <v>1.05</v>
      </c>
      <c r="U9298">
        <f t="shared" si="402"/>
        <v>0.16169679924070957</v>
      </c>
    </row>
    <row r="9299" spans="1:21" x14ac:dyDescent="0.2">
      <c r="A9299" s="45" t="str">
        <f>"hydrogen supply, transported by "&amp;B9270&amp;", produced by "&amp;B9274&amp;" using "&amp;B9275&amp;" from "&amp;B9276</f>
        <v>hydrogen supply, transported by pipeline, produced by Electrolysis, SOEC using water and electricity from Wind (DK)</v>
      </c>
      <c r="B9299" s="53">
        <f>(B9295/B9279)/B9278</f>
        <v>8.8652482269503553E-3</v>
      </c>
      <c r="C9299" t="s">
        <v>56</v>
      </c>
      <c r="E9299" t="s">
        <v>64</v>
      </c>
      <c r="F9299" t="s">
        <v>86</v>
      </c>
      <c r="G9299" t="str">
        <f>"hydrogen, gaseous, from "&amp;B9270</f>
        <v>hydrogen, gaseous, from pipeline</v>
      </c>
      <c r="H9299" t="s">
        <v>76</v>
      </c>
      <c r="I9299" t="s">
        <v>1054</v>
      </c>
      <c r="J9299" t="s">
        <v>304</v>
      </c>
      <c r="K9299" t="str">
        <f>B9256</f>
        <v>heat, residential, by combustion of hydrogen using boiler, transported by pipeline, produced by Electrolysis, SOEC using water and electricity from Wind (DK)</v>
      </c>
      <c r="L9299">
        <f t="shared" si="400"/>
        <v>2</v>
      </c>
      <c r="M9299">
        <f t="shared" si="401"/>
        <v>-4.7256163390639587</v>
      </c>
      <c r="N9299">
        <v>1.05</v>
      </c>
      <c r="O9299" s="15">
        <v>1.2</v>
      </c>
      <c r="P9299">
        <v>1</v>
      </c>
      <c r="Q9299">
        <v>1.01</v>
      </c>
      <c r="R9299">
        <v>1.2</v>
      </c>
      <c r="S9299">
        <v>1.2</v>
      </c>
      <c r="T9299">
        <v>1.05</v>
      </c>
      <c r="U9299">
        <f t="shared" si="402"/>
        <v>0.16169679924070957</v>
      </c>
    </row>
    <row r="9300" spans="1:21" x14ac:dyDescent="0.2">
      <c r="A9300" t="s">
        <v>134</v>
      </c>
      <c r="B9300" s="45">
        <f>B9299*9</f>
        <v>7.9787234042553196E-2</v>
      </c>
      <c r="C9300" t="s">
        <v>56</v>
      </c>
      <c r="D9300" t="s">
        <v>100</v>
      </c>
      <c r="F9300" t="s">
        <v>99</v>
      </c>
      <c r="H9300" t="s">
        <v>131</v>
      </c>
      <c r="I9300" t="s">
        <v>1058</v>
      </c>
      <c r="K9300" t="str">
        <f>B9256</f>
        <v>heat, residential, by combustion of hydrogen using boiler, transported by pipeline, produced by Electrolysis, SOEC using water and electricity from Wind (DK)</v>
      </c>
      <c r="L9300">
        <f t="shared" si="400"/>
        <v>2</v>
      </c>
      <c r="M9300">
        <f t="shared" si="401"/>
        <v>-2.5283917617277392</v>
      </c>
      <c r="N9300">
        <v>1.05</v>
      </c>
      <c r="O9300" s="15">
        <v>1.2</v>
      </c>
      <c r="P9300">
        <v>1</v>
      </c>
      <c r="Q9300">
        <v>1.01</v>
      </c>
      <c r="R9300">
        <v>1.2</v>
      </c>
      <c r="S9300">
        <v>1.2</v>
      </c>
      <c r="T9300">
        <v>1.05</v>
      </c>
      <c r="U9300">
        <f t="shared" si="402"/>
        <v>0.16169679924070957</v>
      </c>
    </row>
    <row r="9301" spans="1:21" x14ac:dyDescent="0.2">
      <c r="A9301" t="s">
        <v>135</v>
      </c>
      <c r="B9301" s="45">
        <f>912.5/1000000*B9299</f>
        <v>8.0895390070921995E-6</v>
      </c>
      <c r="C9301" t="s">
        <v>56</v>
      </c>
      <c r="D9301" t="s">
        <v>100</v>
      </c>
      <c r="F9301" t="s">
        <v>99</v>
      </c>
      <c r="H9301" t="s">
        <v>131</v>
      </c>
      <c r="I9301" t="s">
        <v>1217</v>
      </c>
      <c r="K9301" t="str">
        <f>B9256</f>
        <v>heat, residential, by combustion of hydrogen using boiler, transported by pipeline, produced by Electrolysis, SOEC using water and electricity from Wind (DK)</v>
      </c>
      <c r="L9301">
        <f t="shared" si="400"/>
        <v>2</v>
      </c>
      <c r="M9301">
        <f t="shared" si="401"/>
        <v>-11.724938811571587</v>
      </c>
      <c r="N9301">
        <v>1.05</v>
      </c>
      <c r="O9301" s="15">
        <v>1.2</v>
      </c>
      <c r="P9301">
        <v>1</v>
      </c>
      <c r="Q9301">
        <v>1.01</v>
      </c>
      <c r="R9301">
        <v>1.2</v>
      </c>
      <c r="S9301">
        <v>1.2</v>
      </c>
      <c r="T9301">
        <v>1.5</v>
      </c>
      <c r="U9301">
        <f t="shared" si="402"/>
        <v>0.25816898211842121</v>
      </c>
    </row>
    <row r="9303" spans="1:21" x14ac:dyDescent="0.2">
      <c r="A9303" s="2" t="s">
        <v>50</v>
      </c>
      <c r="B9303" s="44" t="str">
        <f>IF(B9309="megajoule","heat","electricity")&amp;", residential, by "&amp;B9314&amp;" of "&amp;B9313&amp;" using "&amp;B9315&amp;IF(B9316&lt;&gt;0,", allocated by "&amp;B9316,"")&amp;", transported by "&amp;B9317&amp;", produced by "&amp;B9321&amp;" using "&amp;B9322&amp;" from "&amp;B9323</f>
        <v>heat, residential, by combustion of hydrogen using CHP, allocated by exergy, transported by pipeline, produced by Electrolysis, SOEC using water and electricity from Wind (DK)</v>
      </c>
    </row>
    <row r="9304" spans="1:21" x14ac:dyDescent="0.2">
      <c r="A9304" t="s">
        <v>51</v>
      </c>
      <c r="B9304" s="45" t="str">
        <f>"This dataset represents the supply of 1 "&amp;IF(B9309="megajoule","megajoule of heat","kilowatt hour of electricity")&amp;" in a residence, by "&amp;B9313&amp;" "&amp;B9314&amp;" in a "&amp;B9315&amp;". "&amp;" The hydrogen is transported by "&amp;B9317&amp;" over "&amp;B9318&amp;" km from regional storage. "&amp;" The "&amp;B9313&amp;" is produced by  "&amp;B9321&amp;", with "&amp;B9322&amp;" from "&amp;B9323&amp;" as feedstock. "&amp;A9325&amp;": "&amp;(B9325*100)&amp;"%. "&amp;A9326&amp;": "&amp;B9326&amp;". "&amp;A9327&amp;": "&amp;B9327&amp;". "&amp;A9328&amp;": "&amp;(B9328*100)&amp;"%. "&amp;A9329&amp;": "&amp;(B9329*100)&amp;"%. "&amp;A9330&amp;": "&amp;(B9330*100)&amp;"%. "&amp;A9331&amp;": "&amp;B9331&amp;". "&amp;A9332&amp;": "&amp;B9332&amp;". "&amp;A9333&amp;": "&amp;(B9333*100)&amp;"%. "&amp;A9334&amp;": "&amp;B9334&amp;". "&amp;A9335&amp;": "&amp;B9335&amp;". "&amp;A9336&amp;": "&amp;B9336&amp;". "&amp;A9337&amp;": "&amp;B9337&amp;".  For more information, refer to: "&amp;B9305</f>
        <v>This dataset represents the supply of 1 megajoule of heat in a residence, by hydrogen combustion in a CHP.  The hydrogen is transported by pipeline over 1300 km from regional storage.  The hydrogen is produced by  Electrolysis, SOEC,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9305" spans="1:21" x14ac:dyDescent="0.2">
      <c r="A9305" t="s">
        <v>63</v>
      </c>
      <c r="B9305" s="45" t="s">
        <v>1223</v>
      </c>
    </row>
    <row r="9306" spans="1:21" x14ac:dyDescent="0.2">
      <c r="A9306" t="s">
        <v>52</v>
      </c>
      <c r="B9306" s="45" t="s">
        <v>64</v>
      </c>
    </row>
    <row r="9307" spans="1:21" x14ac:dyDescent="0.2">
      <c r="A9307" t="s">
        <v>48</v>
      </c>
      <c r="B9307" s="45">
        <v>114</v>
      </c>
    </row>
    <row r="9308" spans="1:21" x14ac:dyDescent="0.2">
      <c r="A9308" t="s">
        <v>54</v>
      </c>
      <c r="B9308" s="45" t="str">
        <f>INDEX(overview!$B$4:$R$338,MATCH('hydrogen - electrolysis'!B9307,overview!$A$4:$A$338,0),MATCH('hydrogen - electrolysis'!A9308,overview!$B$3:$R$3,0))</f>
        <v>heat, from residential heating system</v>
      </c>
    </row>
    <row r="9309" spans="1:21" x14ac:dyDescent="0.2">
      <c r="A9309" t="s">
        <v>55</v>
      </c>
      <c r="B9309" s="45" t="str">
        <f>INDEX(overview!$B$4:$R$338,MATCH('hydrogen - electrolysis'!B9307,overview!$A$4:$A$338,0),MATCH('hydrogen - electrolysis'!A9309,overview!$B$3:$R$3,0))</f>
        <v>megajoule</v>
      </c>
    </row>
    <row r="9310" spans="1:21" x14ac:dyDescent="0.2">
      <c r="A9310" t="s">
        <v>0</v>
      </c>
      <c r="B9310" s="45" t="str">
        <f>INDEX(overview!$B$4:$R$338,MATCH('hydrogen - electrolysis'!B9307,overview!$A$4:$A$338,0),MATCH('hydrogen - electrolysis'!A9310,overview!$B$3:$R$3,0))</f>
        <v>Switzerland</v>
      </c>
    </row>
    <row r="9311" spans="1:21" x14ac:dyDescent="0.2">
      <c r="A9311" t="s">
        <v>1</v>
      </c>
      <c r="B9311" s="45">
        <f>INDEX(overview!$B$4:$R$338,MATCH('hydrogen - electrolysis'!B9307,overview!$A$4:$A$338,0),MATCH('hydrogen - electrolysis'!A9311,overview!$B$3:$R$3,0))</f>
        <v>2020</v>
      </c>
    </row>
    <row r="9312" spans="1:21" x14ac:dyDescent="0.2">
      <c r="A9312" t="s">
        <v>2</v>
      </c>
      <c r="B9312" s="45" t="str">
        <f>INDEX(overview!$B$4:$R$338,MATCH('hydrogen - electrolysis'!B9307,overview!$A$4:$A$338,0),MATCH('hydrogen - electrolysis'!A9312,overview!$B$3:$R$3,0))</f>
        <v>1 MJ heat</v>
      </c>
    </row>
    <row r="9313" spans="1:2" x14ac:dyDescent="0.2">
      <c r="A9313" t="s">
        <v>5</v>
      </c>
      <c r="B9313" s="45" t="str">
        <f>INDEX(overview!$B$4:$R$338,MATCH('hydrogen - electrolysis'!B9307,overview!$A$4:$A$338,0),MATCH('hydrogen - electrolysis'!A9313,overview!$B$3:$R$3,0))</f>
        <v>hydrogen</v>
      </c>
    </row>
    <row r="9314" spans="1:2" x14ac:dyDescent="0.2">
      <c r="A9314" t="s">
        <v>3</v>
      </c>
      <c r="B9314" s="45" t="str">
        <f>INDEX(overview!$B$4:$R$338,MATCH('hydrogen - electrolysis'!B9307,overview!$A$4:$A$338,0),MATCH('hydrogen - electrolysis'!A9314,overview!$B$3:$R$3,0))</f>
        <v>combustion</v>
      </c>
    </row>
    <row r="9315" spans="1:2" x14ac:dyDescent="0.2">
      <c r="A9315" t="s">
        <v>6</v>
      </c>
      <c r="B9315" s="45" t="str">
        <f>INDEX(overview!$B$4:$R$338,MATCH('hydrogen - electrolysis'!B9307,overview!$A$4:$A$338,0),MATCH('hydrogen - electrolysis'!A9315,overview!$B$3:$R$3,0))</f>
        <v>CHP</v>
      </c>
    </row>
    <row r="9316" spans="1:2" x14ac:dyDescent="0.2">
      <c r="A9316" t="s">
        <v>39</v>
      </c>
      <c r="B9316" s="45" t="str">
        <f>INDEX(overview!$B$4:$R$338,MATCH('hydrogen - electrolysis'!B9307,overview!$A$4:$A$338,0),MATCH('hydrogen - electrolysis'!A9316,overview!$B$3:$R$3,0))</f>
        <v>exergy</v>
      </c>
    </row>
    <row r="9317" spans="1:2" x14ac:dyDescent="0.2">
      <c r="A9317" t="s">
        <v>4</v>
      </c>
      <c r="B9317" s="45" t="str">
        <f>INDEX(overview!$B$4:$R$338,MATCH('hydrogen - electrolysis'!B9307,overview!$A$4:$A$338,0),MATCH('hydrogen - electrolysis'!A9317,overview!$B$3:$R$3,0))</f>
        <v>pipeline</v>
      </c>
    </row>
    <row r="9318" spans="1:2" x14ac:dyDescent="0.2">
      <c r="A9318" t="s">
        <v>38</v>
      </c>
      <c r="B9318" s="45">
        <f>INDEX(overview!$B$4:$R$338,MATCH('hydrogen - electrolysis'!B9307,overview!$A$4:$A$338,0),MATCH('hydrogen - electrolysis'!A9318,overview!$B$3:$R$3,0))</f>
        <v>1300</v>
      </c>
    </row>
    <row r="9319" spans="1:2" x14ac:dyDescent="0.2">
      <c r="A9319" t="s">
        <v>12</v>
      </c>
      <c r="B9319" s="45" t="str">
        <f>INDEX(overview!$B$4:$R$338,MATCH('hydrogen - electrolysis'!B9307,overview!$A$4:$A$338,0),MATCH('hydrogen - electrolysis'!A9319,overview!$B$3:$R$3,0))</f>
        <v>Pressure vessel for stationary storage</v>
      </c>
    </row>
    <row r="9320" spans="1:2" x14ac:dyDescent="0.2">
      <c r="A9320" t="s">
        <v>34</v>
      </c>
      <c r="B9320" s="45">
        <f>INDEX(overview!$B$4:$R$338,MATCH('hydrogen - electrolysis'!B9307,overview!$A$4:$A$338,0),MATCH('hydrogen - electrolysis'!A9320,overview!$B$3:$R$3,0))</f>
        <v>0</v>
      </c>
    </row>
    <row r="9321" spans="1:2" x14ac:dyDescent="0.2">
      <c r="A9321" t="s">
        <v>15</v>
      </c>
      <c r="B9321" s="45" t="str">
        <f>INDEX(overview!$B$4:$R$338,MATCH('hydrogen - electrolysis'!B9307,overview!$A$4:$A$338,0),MATCH('hydrogen - electrolysis'!A9321,overview!$B$3:$R$3,0))</f>
        <v>Electrolysis, SOEC</v>
      </c>
    </row>
    <row r="9322" spans="1:2" x14ac:dyDescent="0.2">
      <c r="A9322" t="s">
        <v>14</v>
      </c>
      <c r="B9322" s="45" t="str">
        <f>INDEX(overview!$B$4:$R$338,MATCH('hydrogen - electrolysis'!B9307,overview!$A$4:$A$338,0),MATCH('hydrogen - electrolysis'!A9322,overview!$B$3:$R$3,0))</f>
        <v>water and electricity</v>
      </c>
    </row>
    <row r="9323" spans="1:2" x14ac:dyDescent="0.2">
      <c r="A9323" t="s">
        <v>26</v>
      </c>
      <c r="B9323" s="45" t="str">
        <f>INDEX(overview!$B$4:$R$338,MATCH('hydrogen - electrolysis'!B9307,overview!$A$4:$A$338,0),MATCH('hydrogen - electrolysis'!A9323,overview!$B$3:$R$3,0))</f>
        <v>Wind (DK)</v>
      </c>
    </row>
    <row r="9324" spans="1:2" x14ac:dyDescent="0.2">
      <c r="A9324" t="s">
        <v>29</v>
      </c>
      <c r="B9324" s="45">
        <f>INDEX(overview!$B$4:$R$338,MATCH('hydrogen - electrolysis'!B9307,overview!$A$4:$A$338,0),MATCH('hydrogen - electrolysis'!A9324,overview!$B$3:$R$3,0))</f>
        <v>0</v>
      </c>
    </row>
    <row r="9325" spans="1:2" x14ac:dyDescent="0.2">
      <c r="A9325" t="str">
        <f>IF(B9309="megajoule","Heat","Electricity")&amp;" conversion efficiency [% LHV input]"</f>
        <v>Heat conversion efficiency [% LHV input]</v>
      </c>
      <c r="B9325" s="46">
        <f>INDEX(parameters!$D$4:$N$20,MATCH('hydrogen - electrolysis'!B9313&amp;'hydrogen - electrolysis'!B9315,parameters!$A$4:$A$20,0),MATCH('hydrogen - electrolysis'!A9325,parameters!$D$3:$N$3,0))</f>
        <v>0.41699999999999998</v>
      </c>
    </row>
    <row r="9326" spans="1:2" x14ac:dyDescent="0.2">
      <c r="A9326" t="str">
        <f>IF(B9309="megajoule","LHV [MJ/kg]","LHV [kWh/kg]")</f>
        <v>LHV [MJ/kg]</v>
      </c>
      <c r="B9326" s="47">
        <f>INDEX(parameters!$D$4:$N$20,MATCH('hydrogen - electrolysis'!B9313&amp;'hydrogen - electrolysis'!B9315,parameters!$A$4:$A$20,0),MATCH('hydrogen - electrolysis'!A9326,parameters!$D$3:$N$3,0))</f>
        <v>120</v>
      </c>
    </row>
    <row r="9327" spans="1:2" x14ac:dyDescent="0.2">
      <c r="A9327" t="s">
        <v>41</v>
      </c>
      <c r="B9327" s="48">
        <f>INDEX(parameters!$D$4:$N$20,MATCH('hydrogen - electrolysis'!B9313&amp;'hydrogen - electrolysis'!B9315,parameters!$A$4:$A$20,0),MATCH('hydrogen - electrolysis'!A9327,parameters!$D$3:$N$3,0))</f>
        <v>2.6666666666666665E-2</v>
      </c>
    </row>
    <row r="9328" spans="1:2" x14ac:dyDescent="0.2">
      <c r="A9328" t="s">
        <v>45</v>
      </c>
      <c r="B9328" s="46">
        <f>INDEX(parameters!$D$4:$N$20,MATCH('hydrogen - electrolysis'!B9313&amp;'hydrogen - electrolysis'!B9315,parameters!$A$4:$A$20,0),MATCH('hydrogen - electrolysis'!A9328,parameters!$D$3:$N$3,0))</f>
        <v>0</v>
      </c>
    </row>
    <row r="9329" spans="1:22" x14ac:dyDescent="0.2">
      <c r="A9329" t="s">
        <v>46</v>
      </c>
      <c r="B9329" s="46">
        <f>INDEX(parameters!$D$4:$N$20,MATCH('hydrogen - electrolysis'!B9313&amp;'hydrogen - electrolysis'!B9315,parameters!$A$4:$A$20,0),MATCH('hydrogen - electrolysis'!A9329,parameters!$D$3:$N$3,0))</f>
        <v>1.4999999999999999E-2</v>
      </c>
    </row>
    <row r="9330" spans="1:22" x14ac:dyDescent="0.2">
      <c r="A9330" t="s">
        <v>43</v>
      </c>
      <c r="B9330" s="46">
        <f>INDEX(parameters!$D$4:$N$20,MATCH('hydrogen - electrolysis'!B9313&amp;'hydrogen - electrolysis'!B9315,parameters!$A$4:$A$20,0),MATCH('hydrogen - electrolysis'!A9330,parameters!$D$3:$N$3,0))</f>
        <v>0</v>
      </c>
    </row>
    <row r="9331" spans="1:22" x14ac:dyDescent="0.2">
      <c r="A9331" t="s">
        <v>44</v>
      </c>
      <c r="B9331" s="46">
        <f>INDEX(parameters!$D$4:$N$20,MATCH('hydrogen - electrolysis'!B9313&amp;'hydrogen - electrolysis'!B9315,parameters!$A$4:$A$20,0),MATCH('hydrogen - electrolysis'!A9331,parameters!$D$3:$N$3,0))</f>
        <v>0</v>
      </c>
    </row>
    <row r="9332" spans="1:22" x14ac:dyDescent="0.2">
      <c r="A9332" t="s">
        <v>634</v>
      </c>
      <c r="B9332" s="51">
        <f>INDEX(parameters!$D$4:$Y$20,MATCH('hydrogen - electrolysis'!B9313&amp;'hydrogen - electrolysis'!B9315,parameters!$A$4:$A$20,0),MATCH('hydrogen - electrolysis'!A9332,parameters!$D$3:$Y$3,0))</f>
        <v>351.41800246609125</v>
      </c>
    </row>
    <row r="9333" spans="1:22" x14ac:dyDescent="0.2">
      <c r="A9333" t="s">
        <v>82</v>
      </c>
      <c r="B9333" s="46">
        <f>IF(B9324&lt;&gt;0,VLOOKUP(B9324,parameters!A5844:B5846,2,0),0)</f>
        <v>0</v>
      </c>
    </row>
    <row r="9334" spans="1:22" x14ac:dyDescent="0.2">
      <c r="A9334" t="s">
        <v>548</v>
      </c>
      <c r="B9334" s="50">
        <f>INDEX(parameters!$D$4:$P$20,MATCH(B9313&amp;B9315,parameters!$A$4:$A$20,0),MATCH(A9334,parameters!$D$3:$P$3,0))</f>
        <v>125</v>
      </c>
    </row>
    <row r="9335" spans="1:22" x14ac:dyDescent="0.2">
      <c r="A9335" t="s">
        <v>547</v>
      </c>
      <c r="B9335" s="51">
        <f>INDEX(parameters!$D$4:$P$20,MATCH(B9313&amp;B9315,parameters!$A$4:$A$20,0),MATCH(A9335,parameters!$D$3:$P$3,0))</f>
        <v>19.512195121951219</v>
      </c>
    </row>
    <row r="9336" spans="1:22" x14ac:dyDescent="0.2">
      <c r="A9336" t="s">
        <v>630</v>
      </c>
      <c r="B9336" s="51">
        <f>INDEX(parameters!$D$4:$T$20,MATCH(B9313&amp;B9315,parameters!$A$4:$A$20,0),MATCH(A9336,parameters!$D$3:$T$3,0))</f>
        <v>4100</v>
      </c>
    </row>
    <row r="9337" spans="1:22" x14ac:dyDescent="0.2">
      <c r="A9337" t="s">
        <v>1005</v>
      </c>
      <c r="B9337" s="50">
        <f>IF(B9309="megajoule",SUMIFS(allocation!$I$4:$I$30,allocation!$B$4:$B$30,B9315,allocation!$C$4:$C$30,B9316),SUMIFS(allocation!$J$4:$J$30,allocation!$B$4:$B$30,B9315,allocation!$C$4:$C$30,B9316))</f>
        <v>0.12860042227295038</v>
      </c>
    </row>
    <row r="9338" spans="1:22" x14ac:dyDescent="0.2">
      <c r="A9338" t="s">
        <v>1050</v>
      </c>
      <c r="B9338" s="51">
        <f>INDEX(parameters!$D$4:$AB$20,MATCH(B9313&amp;B9315,parameters!$A$4:$A$20,0),MATCH(A9338,parameters!$D$3:$AB$3,0))</f>
        <v>2220.7364520822662</v>
      </c>
    </row>
    <row r="9340" spans="1:22" x14ac:dyDescent="0.2">
      <c r="A9340" s="3" t="s">
        <v>57</v>
      </c>
    </row>
    <row r="9341" spans="1:22" x14ac:dyDescent="0.2">
      <c r="A9341" s="2" t="s">
        <v>58</v>
      </c>
      <c r="B9341" s="44" t="s">
        <v>59</v>
      </c>
      <c r="C9341" s="2" t="s">
        <v>55</v>
      </c>
      <c r="D9341" s="2" t="s">
        <v>60</v>
      </c>
      <c r="E9341" s="2" t="s">
        <v>52</v>
      </c>
      <c r="F9341" s="2" t="s">
        <v>61</v>
      </c>
      <c r="G9341" s="2" t="s">
        <v>54</v>
      </c>
      <c r="H9341" s="2" t="s">
        <v>87</v>
      </c>
      <c r="I9341" s="2" t="s">
        <v>51</v>
      </c>
      <c r="J9341" s="2" t="s">
        <v>138</v>
      </c>
      <c r="K9341" s="2" t="s">
        <v>136</v>
      </c>
      <c r="L9341" s="2" t="s">
        <v>221</v>
      </c>
      <c r="M9341" s="2" t="s">
        <v>379</v>
      </c>
      <c r="N9341" s="2" t="s">
        <v>1059</v>
      </c>
      <c r="O9341" s="2" t="s">
        <v>1060</v>
      </c>
      <c r="P9341" s="2" t="s">
        <v>1061</v>
      </c>
      <c r="Q9341" s="2" t="s">
        <v>1062</v>
      </c>
      <c r="R9341" s="2" t="s">
        <v>1063</v>
      </c>
      <c r="S9341" s="2" t="s">
        <v>1064</v>
      </c>
      <c r="T9341" s="2" t="s">
        <v>1065</v>
      </c>
      <c r="U9341" s="2" t="s">
        <v>380</v>
      </c>
      <c r="V9341" s="2" t="s">
        <v>1128</v>
      </c>
    </row>
    <row r="9342" spans="1:22" x14ac:dyDescent="0.2">
      <c r="A9342" t="str">
        <f>B9303</f>
        <v>heat, residential, by combustion of hydrogen using CHP, allocated by exergy, transported by pipeline, produced by Electrolysis, SOEC using water and electricity from Wind (DK)</v>
      </c>
      <c r="B9342" s="45">
        <v>1</v>
      </c>
      <c r="C9342" t="str">
        <f>B9309</f>
        <v>megajoule</v>
      </c>
      <c r="E9342" t="str">
        <f>B9306</f>
        <v>CH</v>
      </c>
      <c r="F9342" t="s">
        <v>62</v>
      </c>
      <c r="G9342" t="str">
        <f>B9308</f>
        <v>heat, from residential heating system</v>
      </c>
      <c r="K9342" t="str">
        <f>B9303</f>
        <v>heat, residential, by combustion of hydrogen using CHP, allocated by exergy, transported by pipeline, produced by Electrolysis, SOEC using water and electricity from Wind (DK)</v>
      </c>
    </row>
    <row r="9343" spans="1:22" x14ac:dyDescent="0.2">
      <c r="A9343" t="str">
        <f>VLOOKUP(J9343,'dataset mapping'!$A$4:$E$69,2,0)</f>
        <v>heat and power co-generation unit construction, 160kW electrical, common components for heat+electricity</v>
      </c>
      <c r="B9343" s="52">
        <f>(1/(B9332*B9336*B9335*3.6))*B9337</f>
        <v>1.270649883812899E-9</v>
      </c>
      <c r="C9343" t="str">
        <f>VLOOKUP(J9343,'dataset mapping'!$A$4:$E$69,5,0)</f>
        <v>unit</v>
      </c>
      <c r="E9343" t="str">
        <f>VLOOKUP(J9343,'dataset mapping'!$A$4:$E$69,4,0)</f>
        <v>RER</v>
      </c>
      <c r="F9343" t="s">
        <v>86</v>
      </c>
      <c r="G9343" t="str">
        <f>VLOOKUP(J9343,'dataset mapping'!$A$4:$E$69,3,0)</f>
        <v>heat and power co-generation unit, 160kW electrical, common components for heat+electricity</v>
      </c>
      <c r="H9343" t="s">
        <v>88</v>
      </c>
      <c r="J9343" t="s">
        <v>145</v>
      </c>
      <c r="K9343" t="str">
        <f>B9303</f>
        <v>heat, residential, by combustion of hydrogen using CHP, allocated by exergy, transported by pipeline, produced by Electrolysis, SOEC using water and electricity from Wind (DK)</v>
      </c>
      <c r="L9343">
        <f t="shared" ref="L9343:L9350" si="403">IF(OR(B9343&lt;0,B9343=0),1,2)</f>
        <v>2</v>
      </c>
      <c r="M9343">
        <f t="shared" ref="M9343:M9350" si="404">IF(L9343=2,LN(B9343),"")</f>
        <v>-20.48373734782199</v>
      </c>
      <c r="N9343">
        <v>1.05</v>
      </c>
      <c r="O9343" s="15">
        <v>1.2</v>
      </c>
      <c r="P9343">
        <v>1</v>
      </c>
      <c r="Q9343">
        <v>1.01</v>
      </c>
      <c r="R9343">
        <v>1.2</v>
      </c>
      <c r="S9343">
        <v>1.2</v>
      </c>
      <c r="T9343">
        <v>3</v>
      </c>
      <c r="U9343">
        <f t="shared" ref="U9343:U9350" si="405">LN(SQRT(EXP(
SQRT(
+POWER(LN(N9343),2)
+POWER(LN(O9343),2)
+POWER(LN(P9343),2)
+POWER(LN(Q9343),2)
+POWER(LN(R9343),2)
+POWER(LN(S9343),2)
+POWER(LN(T9343),2)
)
)))</f>
        <v>0.57209088006881903</v>
      </c>
    </row>
    <row r="9344" spans="1:22" x14ac:dyDescent="0.2">
      <c r="A9344" t="str">
        <f>VLOOKUP(J9344,'dataset mapping'!$A$4:$E$69,2,0)</f>
        <v>heat and power co-generation unit construction, 160kW electrical, components for electricity only</v>
      </c>
      <c r="B9344" s="52">
        <f>(1/(B9332*B9336*B9335*3.6))*B9337</f>
        <v>1.270649883812899E-9</v>
      </c>
      <c r="C9344" t="str">
        <f>VLOOKUP(J9344,'dataset mapping'!$A$4:$E$69,5,0)</f>
        <v>unit</v>
      </c>
      <c r="E9344" t="str">
        <f>VLOOKUP(J9344,'dataset mapping'!$A$4:$E$69,4,0)</f>
        <v>RER</v>
      </c>
      <c r="F9344" t="s">
        <v>86</v>
      </c>
      <c r="G9344" t="str">
        <f>VLOOKUP(J9344,'dataset mapping'!$A$4:$E$69,3,0)</f>
        <v>heat and power co-generation unit, 160kW electrical, components for electricity only</v>
      </c>
      <c r="H9344" t="s">
        <v>88</v>
      </c>
      <c r="J9344" t="s">
        <v>146</v>
      </c>
      <c r="K9344" t="str">
        <f>B9303</f>
        <v>heat, residential, by combustion of hydrogen using CHP, allocated by exergy, transported by pipeline, produced by Electrolysis, SOEC using water and electricity from Wind (DK)</v>
      </c>
      <c r="L9344">
        <f t="shared" si="403"/>
        <v>2</v>
      </c>
      <c r="M9344">
        <f t="shared" si="404"/>
        <v>-20.48373734782199</v>
      </c>
      <c r="N9344">
        <v>1.05</v>
      </c>
      <c r="O9344" s="15">
        <v>1.2</v>
      </c>
      <c r="P9344">
        <v>1</v>
      </c>
      <c r="Q9344">
        <v>1.01</v>
      </c>
      <c r="R9344">
        <v>1.2</v>
      </c>
      <c r="S9344">
        <v>1.2</v>
      </c>
      <c r="T9344">
        <v>3</v>
      </c>
      <c r="U9344">
        <f t="shared" si="405"/>
        <v>0.57209088006881903</v>
      </c>
    </row>
    <row r="9345" spans="1:22" x14ac:dyDescent="0.2">
      <c r="A9345" t="str">
        <f>VLOOKUP(J9345,'dataset mapping'!$A$4:$E$69,2,0)</f>
        <v>heat and power co-generation unit construction, 160kW electrical, components for heat only</v>
      </c>
      <c r="B9345" s="52">
        <f>(1/(B9332*B9336*B9335*3.6))*B9337</f>
        <v>1.270649883812899E-9</v>
      </c>
      <c r="C9345" t="str">
        <f>VLOOKUP(J9345,'dataset mapping'!$A$4:$E$69,5,0)</f>
        <v>unit</v>
      </c>
      <c r="E9345" t="str">
        <f>VLOOKUP(J9345,'dataset mapping'!$A$4:$E$69,4,0)</f>
        <v>RER</v>
      </c>
      <c r="F9345" t="s">
        <v>86</v>
      </c>
      <c r="G9345" t="str">
        <f>VLOOKUP(J9345,'dataset mapping'!$A$4:$E$69,3,0)</f>
        <v>heat and power co-generation unit, 160kW electrical, components for heat only</v>
      </c>
      <c r="H9345" t="s">
        <v>88</v>
      </c>
      <c r="J9345" t="s">
        <v>147</v>
      </c>
      <c r="K9345" t="str">
        <f>B9303</f>
        <v>heat, residential, by combustion of hydrogen using CHP, allocated by exergy, transported by pipeline, produced by Electrolysis, SOEC using water and electricity from Wind (DK)</v>
      </c>
      <c r="L9345">
        <f t="shared" si="403"/>
        <v>2</v>
      </c>
      <c r="M9345">
        <f t="shared" si="404"/>
        <v>-20.48373734782199</v>
      </c>
      <c r="N9345">
        <v>1.05</v>
      </c>
      <c r="O9345" s="15">
        <v>1.2</v>
      </c>
      <c r="P9345">
        <v>1</v>
      </c>
      <c r="Q9345">
        <v>1.01</v>
      </c>
      <c r="R9345">
        <v>1.2</v>
      </c>
      <c r="S9345">
        <v>1.2</v>
      </c>
      <c r="T9345">
        <v>3</v>
      </c>
      <c r="U9345">
        <f t="shared" si="405"/>
        <v>0.57209088006881903</v>
      </c>
    </row>
    <row r="9346" spans="1:22" x14ac:dyDescent="0.2">
      <c r="A9346" t="s">
        <v>156</v>
      </c>
      <c r="B9346" s="52">
        <f>0.00000011366*B9337</f>
        <v>1.461672399554354E-8</v>
      </c>
      <c r="C9346" t="s">
        <v>56</v>
      </c>
      <c r="E9346" t="s">
        <v>90</v>
      </c>
      <c r="F9346" t="s">
        <v>86</v>
      </c>
      <c r="G9346" t="s">
        <v>154</v>
      </c>
      <c r="H9346" t="s">
        <v>155</v>
      </c>
      <c r="K9346" t="str">
        <f>B9303</f>
        <v>heat, residential, by combustion of hydrogen using CHP, allocated by exergy, transported by pipeline, produced by Electrolysis, SOEC using water and electricity from Wind (DK)</v>
      </c>
      <c r="L9346">
        <f t="shared" si="403"/>
        <v>2</v>
      </c>
      <c r="M9346">
        <f t="shared" si="404"/>
        <v>-18.041099484645969</v>
      </c>
      <c r="N9346">
        <v>1.05</v>
      </c>
      <c r="O9346" s="15">
        <v>1.2</v>
      </c>
      <c r="P9346">
        <v>1</v>
      </c>
      <c r="Q9346">
        <v>1.01</v>
      </c>
      <c r="R9346">
        <v>1.2</v>
      </c>
      <c r="S9346">
        <v>1.2</v>
      </c>
      <c r="T9346">
        <v>1.05</v>
      </c>
      <c r="U9346">
        <f t="shared" si="405"/>
        <v>0.16169679924070957</v>
      </c>
    </row>
    <row r="9347" spans="1:22" x14ac:dyDescent="0.2">
      <c r="A9347" t="s">
        <v>157</v>
      </c>
      <c r="B9347" s="52">
        <f>0.00000011366*B9337*-1</f>
        <v>-1.461672399554354E-8</v>
      </c>
      <c r="C9347" t="s">
        <v>56</v>
      </c>
      <c r="E9347" t="s">
        <v>64</v>
      </c>
      <c r="F9347" t="s">
        <v>86</v>
      </c>
      <c r="G9347" t="s">
        <v>158</v>
      </c>
      <c r="H9347" t="s">
        <v>155</v>
      </c>
      <c r="K9347" t="str">
        <f>B9303</f>
        <v>heat, residential, by combustion of hydrogen using CHP, allocated by exergy, transported by pipeline, produced by Electrolysis, SOEC using water and electricity from Wind (DK)</v>
      </c>
      <c r="L9347">
        <v>2</v>
      </c>
      <c r="M9347">
        <f>IF(L9347=2,LN(B9347*-1),"")</f>
        <v>-18.041099484645969</v>
      </c>
      <c r="N9347">
        <v>1.05</v>
      </c>
      <c r="O9347" s="15">
        <v>1.2</v>
      </c>
      <c r="P9347">
        <v>1</v>
      </c>
      <c r="Q9347">
        <v>1.01</v>
      </c>
      <c r="R9347">
        <v>1.2</v>
      </c>
      <c r="S9347">
        <v>1.2</v>
      </c>
      <c r="T9347">
        <v>3</v>
      </c>
      <c r="U9347">
        <f>LN(SQRT(EXP(
SQRT(
+POWER(LN(N9347),2)
+POWER(LN(O9347),2)
+POWER(LN(P9347),2)
+POWER(LN(Q9347),2)
+POWER(LN(R9347),2)
+POWER(LN(S9347),2)
+POWER(LN(T9347),2)
)
)))</f>
        <v>0.57209088006881903</v>
      </c>
      <c r="V9347" t="b">
        <v>1</v>
      </c>
    </row>
    <row r="9348" spans="1:22" x14ac:dyDescent="0.2">
      <c r="A9348" s="45" t="str">
        <f>"hydrogen supply, transported by "&amp;B9317&amp;", produced by "&amp;B9321&amp;" using "&amp;B9322&amp;" from "&amp;B9323</f>
        <v>hydrogen supply, transported by pipeline, produced by Electrolysis, SOEC using water and electricity from Wind (DK)</v>
      </c>
      <c r="B9348" s="53">
        <f>(B9342/B9326)/B9325*B9337</f>
        <v>2.56995248347223E-3</v>
      </c>
      <c r="C9348" t="s">
        <v>56</v>
      </c>
      <c r="E9348" t="s">
        <v>64</v>
      </c>
      <c r="F9348" t="s">
        <v>86</v>
      </c>
      <c r="G9348" t="str">
        <f>"hydrogen, gaseous, from "&amp;B9317</f>
        <v>hydrogen, gaseous, from pipeline</v>
      </c>
      <c r="H9348" t="s">
        <v>76</v>
      </c>
      <c r="I9348" t="s">
        <v>1054</v>
      </c>
      <c r="J9348" t="s">
        <v>304</v>
      </c>
      <c r="K9348" t="str">
        <f>B9303</f>
        <v>heat, residential, by combustion of hydrogen using CHP, allocated by exergy, transported by pipeline, produced by Electrolysis, SOEC using water and electricity from Wind (DK)</v>
      </c>
      <c r="L9348">
        <f t="shared" si="403"/>
        <v>2</v>
      </c>
      <c r="M9348">
        <f t="shared" si="404"/>
        <v>-5.9638678691672418</v>
      </c>
      <c r="N9348">
        <v>1.05</v>
      </c>
      <c r="O9348" s="15">
        <v>1.2</v>
      </c>
      <c r="P9348">
        <v>1</v>
      </c>
      <c r="Q9348">
        <v>1.01</v>
      </c>
      <c r="R9348">
        <v>1.2</v>
      </c>
      <c r="S9348">
        <v>1.2</v>
      </c>
      <c r="T9348">
        <v>1.05</v>
      </c>
      <c r="U9348">
        <f t="shared" si="405"/>
        <v>0.16169679924070957</v>
      </c>
    </row>
    <row r="9349" spans="1:22" x14ac:dyDescent="0.2">
      <c r="A9349" t="s">
        <v>134</v>
      </c>
      <c r="B9349" s="45">
        <f>B9348*9</f>
        <v>2.3129572351250072E-2</v>
      </c>
      <c r="C9349" t="s">
        <v>56</v>
      </c>
      <c r="D9349" t="s">
        <v>100</v>
      </c>
      <c r="F9349" t="s">
        <v>99</v>
      </c>
      <c r="H9349" t="s">
        <v>131</v>
      </c>
      <c r="I9349" t="s">
        <v>1058</v>
      </c>
      <c r="K9349" t="str">
        <f>B9303</f>
        <v>heat, residential, by combustion of hydrogen using CHP, allocated by exergy, transported by pipeline, produced by Electrolysis, SOEC using water and electricity from Wind (DK)</v>
      </c>
      <c r="L9349">
        <f t="shared" si="403"/>
        <v>2</v>
      </c>
      <c r="M9349">
        <f t="shared" si="404"/>
        <v>-3.7666432918310226</v>
      </c>
      <c r="N9349">
        <v>1.05</v>
      </c>
      <c r="O9349" s="15">
        <v>1.2</v>
      </c>
      <c r="P9349">
        <v>1</v>
      </c>
      <c r="Q9349">
        <v>1.01</v>
      </c>
      <c r="R9349">
        <v>1.2</v>
      </c>
      <c r="S9349">
        <v>1.2</v>
      </c>
      <c r="T9349">
        <v>1.05</v>
      </c>
      <c r="U9349">
        <f t="shared" si="405"/>
        <v>0.16169679924070957</v>
      </c>
    </row>
    <row r="9350" spans="1:22" x14ac:dyDescent="0.2">
      <c r="A9350" t="s">
        <v>135</v>
      </c>
      <c r="B9350" s="45">
        <f>912.5/1000000*B9348</f>
        <v>2.3450816411684101E-6</v>
      </c>
      <c r="C9350" t="s">
        <v>56</v>
      </c>
      <c r="D9350" t="s">
        <v>100</v>
      </c>
      <c r="F9350" t="s">
        <v>99</v>
      </c>
      <c r="H9350" t="s">
        <v>131</v>
      </c>
      <c r="I9350" t="s">
        <v>1217</v>
      </c>
      <c r="K9350" t="str">
        <f>B9303</f>
        <v>heat, residential, by combustion of hydrogen using CHP, allocated by exergy, transported by pipeline, produced by Electrolysis, SOEC using water and electricity from Wind (DK)</v>
      </c>
      <c r="L9350">
        <f t="shared" si="403"/>
        <v>2</v>
      </c>
      <c r="M9350">
        <f t="shared" si="404"/>
        <v>-12.963190341674869</v>
      </c>
      <c r="N9350">
        <v>1.05</v>
      </c>
      <c r="O9350" s="15">
        <v>1.2</v>
      </c>
      <c r="P9350">
        <v>1</v>
      </c>
      <c r="Q9350">
        <v>1.01</v>
      </c>
      <c r="R9350">
        <v>1.2</v>
      </c>
      <c r="S9350">
        <v>1.2</v>
      </c>
      <c r="T9350">
        <v>1.5</v>
      </c>
      <c r="U9350">
        <f t="shared" si="405"/>
        <v>0.25816898211842121</v>
      </c>
    </row>
    <row r="9352" spans="1:22" x14ac:dyDescent="0.2">
      <c r="A9352" s="2" t="s">
        <v>50</v>
      </c>
      <c r="B9352" s="44" t="str">
        <f>IF(B9358="megajoule","heat","electricity")&amp;", residential, by "&amp;B9363&amp;" of "&amp;B9362&amp;" using "&amp;B9364&amp;IF(B9365&lt;&gt;0,", allocated by "&amp;B9365,"")&amp;", transported by "&amp;B9366&amp;", produced by "&amp;B9370&amp;" using "&amp;B9371&amp;" from "&amp;B9372</f>
        <v>heat, residential, by conversion of hydrogen using fuel cell, PEM, allocated by exergy, transported by pipeline, produced by Electrolysis, SOEC using water and electricity from Wind (DK)</v>
      </c>
    </row>
    <row r="9353" spans="1:22" x14ac:dyDescent="0.2">
      <c r="A9353" t="s">
        <v>51</v>
      </c>
      <c r="B9353" s="45" t="str">
        <f>"This dataset represents the supply of 1 "&amp;IF(B9358="megajoule","megajoule of heat","kilowatt hour of electricity")&amp;" in a residence, by "&amp;B9362&amp;" "&amp;B9363&amp;" in a "&amp;B9364&amp;". "&amp;" The hydrogen is transported by "&amp;B9366&amp;" over "&amp;B9367&amp;" km from regional storage. "&amp;" The "&amp;B9362&amp;" is produced by  "&amp;B9370&amp;", with "&amp;B9371&amp;" from "&amp;B9372&amp;" as feedstock. "&amp;A9374&amp;": "&amp;(B9374*100)&amp;"%. "&amp;A9375&amp;": "&amp;B9375&amp;". "&amp;A9376&amp;": "&amp;B9376&amp;". "&amp;A9377&amp;": "&amp;(B9377*100)&amp;"%. "&amp;A9378&amp;": "&amp;(B9378*100)&amp;"%. "&amp;A9379&amp;": "&amp;(B9379*100)&amp;"%. "&amp;A9380&amp;": "&amp;B9380&amp;". "&amp;A9381&amp;": "&amp;B9381&amp;". "&amp;A9382&amp;": "&amp;(B9382*100)&amp;"%. "&amp;A9383&amp;": "&amp;B9383&amp;". "&amp;A9384&amp;": "&amp;B9384&amp;". "&amp;A9385&amp;": "&amp;B9385&amp;". "&amp;A9386&amp;": "&amp;B9386&amp;".  For more information, refer to: "&amp;B9354</f>
        <v>This dataset represents the supply of 1 megajoule of heat in a residence, by hydrogen conversion in a fuel cell, PEM.  The hydrogen is transported by pipeline over 1300 km from regional storage.  The hydrogen is produced by  Electrolysis, SOEC,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9354" spans="1:22" x14ac:dyDescent="0.2">
      <c r="A9354" t="s">
        <v>63</v>
      </c>
      <c r="B9354" s="45" t="s">
        <v>1223</v>
      </c>
    </row>
    <row r="9355" spans="1:22" x14ac:dyDescent="0.2">
      <c r="A9355" t="s">
        <v>52</v>
      </c>
      <c r="B9355" s="45" t="s">
        <v>64</v>
      </c>
    </row>
    <row r="9356" spans="1:22" x14ac:dyDescent="0.2">
      <c r="A9356" t="s">
        <v>48</v>
      </c>
      <c r="B9356" s="45">
        <v>115</v>
      </c>
    </row>
    <row r="9357" spans="1:22" x14ac:dyDescent="0.2">
      <c r="A9357" t="s">
        <v>54</v>
      </c>
      <c r="B9357" s="45" t="str">
        <f>INDEX(overview!$B$4:$R$338,MATCH('hydrogen - electrolysis'!B9356,overview!$A$4:$A$338,0),MATCH('hydrogen - electrolysis'!A9357,overview!$B$3:$R$3,0))</f>
        <v>heat, from residential heating system</v>
      </c>
    </row>
    <row r="9358" spans="1:22" x14ac:dyDescent="0.2">
      <c r="A9358" t="s">
        <v>55</v>
      </c>
      <c r="B9358" s="45" t="str">
        <f>INDEX(overview!$B$4:$R$338,MATCH('hydrogen - electrolysis'!B9356,overview!$A$4:$A$338,0),MATCH('hydrogen - electrolysis'!A9358,overview!$B$3:$R$3,0))</f>
        <v>megajoule</v>
      </c>
    </row>
    <row r="9359" spans="1:22" x14ac:dyDescent="0.2">
      <c r="A9359" t="s">
        <v>0</v>
      </c>
      <c r="B9359" s="45" t="str">
        <f>INDEX(overview!$B$4:$R$338,MATCH('hydrogen - electrolysis'!B9356,overview!$A$4:$A$338,0),MATCH('hydrogen - electrolysis'!A9359,overview!$B$3:$R$3,0))</f>
        <v>Switzerland</v>
      </c>
    </row>
    <row r="9360" spans="1:22" x14ac:dyDescent="0.2">
      <c r="A9360" t="s">
        <v>1</v>
      </c>
      <c r="B9360" s="45">
        <f>INDEX(overview!$B$4:$R$338,MATCH('hydrogen - electrolysis'!B9356,overview!$A$4:$A$338,0),MATCH('hydrogen - electrolysis'!A9360,overview!$B$3:$R$3,0))</f>
        <v>2020</v>
      </c>
    </row>
    <row r="9361" spans="1:2" x14ac:dyDescent="0.2">
      <c r="A9361" t="s">
        <v>2</v>
      </c>
      <c r="B9361" s="45" t="str">
        <f>INDEX(overview!$B$4:$R$338,MATCH('hydrogen - electrolysis'!B9356,overview!$A$4:$A$338,0),MATCH('hydrogen - electrolysis'!A9361,overview!$B$3:$R$3,0))</f>
        <v>1 MJ heat</v>
      </c>
    </row>
    <row r="9362" spans="1:2" x14ac:dyDescent="0.2">
      <c r="A9362" t="s">
        <v>5</v>
      </c>
      <c r="B9362" s="45" t="str">
        <f>INDEX(overview!$B$4:$R$338,MATCH('hydrogen - electrolysis'!B9356,overview!$A$4:$A$338,0),MATCH('hydrogen - electrolysis'!A9362,overview!$B$3:$R$3,0))</f>
        <v>hydrogen</v>
      </c>
    </row>
    <row r="9363" spans="1:2" x14ac:dyDescent="0.2">
      <c r="A9363" t="s">
        <v>3</v>
      </c>
      <c r="B9363" s="45" t="str">
        <f>INDEX(overview!$B$4:$R$338,MATCH('hydrogen - electrolysis'!B9356,overview!$A$4:$A$338,0),MATCH('hydrogen - electrolysis'!A9363,overview!$B$3:$R$3,0))</f>
        <v>conversion</v>
      </c>
    </row>
    <row r="9364" spans="1:2" x14ac:dyDescent="0.2">
      <c r="A9364" t="s">
        <v>6</v>
      </c>
      <c r="B9364" s="45" t="str">
        <f>INDEX(overview!$B$4:$R$338,MATCH('hydrogen - electrolysis'!B9356,overview!$A$4:$A$338,0),MATCH('hydrogen - electrolysis'!A9364,overview!$B$3:$R$3,0))</f>
        <v>fuel cell, PEM</v>
      </c>
    </row>
    <row r="9365" spans="1:2" x14ac:dyDescent="0.2">
      <c r="A9365" t="s">
        <v>39</v>
      </c>
      <c r="B9365" s="45" t="str">
        <f>INDEX(overview!$B$4:$R$338,MATCH('hydrogen - electrolysis'!B9356,overview!$A$4:$A$338,0),MATCH('hydrogen - electrolysis'!A9365,overview!$B$3:$R$3,0))</f>
        <v>exergy</v>
      </c>
    </row>
    <row r="9366" spans="1:2" x14ac:dyDescent="0.2">
      <c r="A9366" t="s">
        <v>4</v>
      </c>
      <c r="B9366" s="45" t="str">
        <f>INDEX(overview!$B$4:$R$338,MATCH('hydrogen - electrolysis'!B9356,overview!$A$4:$A$338,0),MATCH('hydrogen - electrolysis'!A9366,overview!$B$3:$R$3,0))</f>
        <v>pipeline</v>
      </c>
    </row>
    <row r="9367" spans="1:2" x14ac:dyDescent="0.2">
      <c r="A9367" t="s">
        <v>38</v>
      </c>
      <c r="B9367" s="45">
        <f>INDEX(overview!$B$4:$R$338,MATCH('hydrogen - electrolysis'!B9356,overview!$A$4:$A$338,0),MATCH('hydrogen - electrolysis'!A9367,overview!$B$3:$R$3,0))</f>
        <v>1300</v>
      </c>
    </row>
    <row r="9368" spans="1:2" x14ac:dyDescent="0.2">
      <c r="A9368" t="s">
        <v>12</v>
      </c>
      <c r="B9368" s="45" t="str">
        <f>INDEX(overview!$B$4:$R$338,MATCH('hydrogen - electrolysis'!B9356,overview!$A$4:$A$338,0),MATCH('hydrogen - electrolysis'!A9368,overview!$B$3:$R$3,0))</f>
        <v>Pressure vessel for stationary storage</v>
      </c>
    </row>
    <row r="9369" spans="1:2" x14ac:dyDescent="0.2">
      <c r="A9369" t="s">
        <v>34</v>
      </c>
      <c r="B9369" s="45">
        <f>INDEX(overview!$B$4:$R$338,MATCH('hydrogen - electrolysis'!B9356,overview!$A$4:$A$338,0),MATCH('hydrogen - electrolysis'!A9369,overview!$B$3:$R$3,0))</f>
        <v>0</v>
      </c>
    </row>
    <row r="9370" spans="1:2" x14ac:dyDescent="0.2">
      <c r="A9370" t="s">
        <v>15</v>
      </c>
      <c r="B9370" s="45" t="str">
        <f>INDEX(overview!$B$4:$R$338,MATCH('hydrogen - electrolysis'!B9356,overview!$A$4:$A$338,0),MATCH('hydrogen - electrolysis'!A9370,overview!$B$3:$R$3,0))</f>
        <v>Electrolysis, SOEC</v>
      </c>
    </row>
    <row r="9371" spans="1:2" x14ac:dyDescent="0.2">
      <c r="A9371" t="s">
        <v>14</v>
      </c>
      <c r="B9371" s="45" t="str">
        <f>INDEX(overview!$B$4:$R$338,MATCH('hydrogen - electrolysis'!B9356,overview!$A$4:$A$338,0),MATCH('hydrogen - electrolysis'!A9371,overview!$B$3:$R$3,0))</f>
        <v>water and electricity</v>
      </c>
    </row>
    <row r="9372" spans="1:2" x14ac:dyDescent="0.2">
      <c r="A9372" t="s">
        <v>26</v>
      </c>
      <c r="B9372" s="45" t="str">
        <f>INDEX(overview!$B$4:$R$338,MATCH('hydrogen - electrolysis'!B9356,overview!$A$4:$A$338,0),MATCH('hydrogen - electrolysis'!A9372,overview!$B$3:$R$3,0))</f>
        <v>Wind (DK)</v>
      </c>
    </row>
    <row r="9373" spans="1:2" x14ac:dyDescent="0.2">
      <c r="A9373" t="s">
        <v>29</v>
      </c>
      <c r="B9373" s="45">
        <f>INDEX(overview!$B$4:$R$338,MATCH('hydrogen - electrolysis'!B9356,overview!$A$4:$A$338,0),MATCH('hydrogen - electrolysis'!A9373,overview!$B$3:$R$3,0))</f>
        <v>0</v>
      </c>
    </row>
    <row r="9374" spans="1:2" x14ac:dyDescent="0.2">
      <c r="A9374" t="str">
        <f>IF(B9358="megajoule","Heat","Electricity")&amp;" conversion efficiency [% LHV input]"</f>
        <v>Heat conversion efficiency [% LHV input]</v>
      </c>
      <c r="B9374" s="46">
        <f>INDEX(parameters!$D$4:$N$20,MATCH('hydrogen - electrolysis'!B9362&amp;'hydrogen - electrolysis'!B9364,parameters!$A$4:$A$20,0),MATCH('hydrogen - electrolysis'!A9374,parameters!$D$3:$N$3,0))</f>
        <v>0.5</v>
      </c>
    </row>
    <row r="9375" spans="1:2" x14ac:dyDescent="0.2">
      <c r="A9375" t="str">
        <f>IF(B9358="megajoule","LHV [MJ/kg]","LHV [kWh/kg]")</f>
        <v>LHV [MJ/kg]</v>
      </c>
      <c r="B9375" s="47">
        <f>INDEX(parameters!$D$4:$N$20,MATCH('hydrogen - electrolysis'!B9362&amp;'hydrogen - electrolysis'!B9364,parameters!$A$4:$A$20,0),MATCH('hydrogen - electrolysis'!A9375,parameters!$D$3:$N$3,0))</f>
        <v>120</v>
      </c>
    </row>
    <row r="9376" spans="1:2" x14ac:dyDescent="0.2">
      <c r="A9376" t="s">
        <v>41</v>
      </c>
      <c r="B9376" s="48">
        <f>INDEX(parameters!$D$4:$N$20,MATCH('hydrogen - electrolysis'!B9362&amp;'hydrogen - electrolysis'!B9364,parameters!$A$4:$A$20,0),MATCH('hydrogen - electrolysis'!A9376,parameters!$D$3:$N$3,0))</f>
        <v>2.6666666666666665E-2</v>
      </c>
    </row>
    <row r="9377" spans="1:22" x14ac:dyDescent="0.2">
      <c r="A9377" t="s">
        <v>45</v>
      </c>
      <c r="B9377" s="46">
        <f>INDEX(parameters!$D$4:$N$20,MATCH('hydrogen - electrolysis'!B9362&amp;'hydrogen - electrolysis'!B9364,parameters!$A$4:$A$20,0),MATCH('hydrogen - electrolysis'!A9377,parameters!$D$3:$N$3,0))</f>
        <v>0</v>
      </c>
    </row>
    <row r="9378" spans="1:22" x14ac:dyDescent="0.2">
      <c r="A9378" t="s">
        <v>46</v>
      </c>
      <c r="B9378" s="46">
        <f>INDEX(parameters!$D$4:$N$20,MATCH('hydrogen - electrolysis'!B9362&amp;'hydrogen - electrolysis'!B9364,parameters!$A$4:$A$20,0),MATCH('hydrogen - electrolysis'!A9378,parameters!$D$3:$N$3,0))</f>
        <v>1.4999999999999999E-2</v>
      </c>
    </row>
    <row r="9379" spans="1:22" x14ac:dyDescent="0.2">
      <c r="A9379" t="s">
        <v>43</v>
      </c>
      <c r="B9379" s="46">
        <f>INDEX(parameters!$D$4:$N$20,MATCH('hydrogen - electrolysis'!B9362&amp;'hydrogen - electrolysis'!B9364,parameters!$A$4:$A$20,0),MATCH('hydrogen - electrolysis'!A9379,parameters!$D$3:$N$3,0))</f>
        <v>0</v>
      </c>
    </row>
    <row r="9380" spans="1:22" x14ac:dyDescent="0.2">
      <c r="A9380" t="s">
        <v>44</v>
      </c>
      <c r="B9380" s="46">
        <f>INDEX(parameters!$D$4:$N$20,MATCH('hydrogen - electrolysis'!B9362&amp;'hydrogen - electrolysis'!B9364,parameters!$A$4:$A$20,0),MATCH('hydrogen - electrolysis'!A9380,parameters!$D$3:$N$3,0))</f>
        <v>0</v>
      </c>
    </row>
    <row r="9381" spans="1:22" x14ac:dyDescent="0.2">
      <c r="A9381" t="s">
        <v>634</v>
      </c>
      <c r="B9381" s="51">
        <f>INDEX(parameters!$D$4:$Y$20,MATCH('hydrogen - electrolysis'!B9362&amp;'hydrogen - electrolysis'!B9364,parameters!$A$4:$A$20,0),MATCH('hydrogen - electrolysis'!A9381,parameters!$D$3:$Y$3,0))</f>
        <v>1.8947368421052633</v>
      </c>
    </row>
    <row r="9382" spans="1:22" x14ac:dyDescent="0.2">
      <c r="A9382" t="s">
        <v>82</v>
      </c>
      <c r="B9382" s="46">
        <f>IF(B9373&lt;&gt;0,VLOOKUP(B9373,parameters!A5898:B5900,2,0),0)</f>
        <v>0</v>
      </c>
    </row>
    <row r="9383" spans="1:22" x14ac:dyDescent="0.2">
      <c r="A9383" t="s">
        <v>548</v>
      </c>
      <c r="B9383" s="50">
        <f>INDEX(parameters!$D$4:$P$20,MATCH(B9362&amp;B9364,parameters!$A$4:$A$20,0),MATCH(A9383,parameters!$D$3:$P$3,0))</f>
        <v>0.8</v>
      </c>
    </row>
    <row r="9384" spans="1:22" x14ac:dyDescent="0.2">
      <c r="A9384" t="s">
        <v>547</v>
      </c>
      <c r="B9384" s="51">
        <f>INDEX(parameters!$D$4:$P$20,MATCH(B9362&amp;B9364,parameters!$A$4:$A$20,0),MATCH(A9384,parameters!$D$3:$P$3,0))</f>
        <v>4.8780487804878048</v>
      </c>
    </row>
    <row r="9385" spans="1:22" x14ac:dyDescent="0.2">
      <c r="A9385" t="s">
        <v>630</v>
      </c>
      <c r="B9385" s="51">
        <f>INDEX(parameters!$D$4:$T$20,MATCH(B9362&amp;B9364,parameters!$A$4:$A$20,0),MATCH(A9385,parameters!$D$3:$T$3,0))</f>
        <v>4100</v>
      </c>
    </row>
    <row r="9386" spans="1:22" x14ac:dyDescent="0.2">
      <c r="A9386" t="s">
        <v>1005</v>
      </c>
      <c r="B9386" s="50">
        <f>IF(B9358="megajoule",SUMIFS(allocation!$I$4:$I$30,allocation!$B$4:$B$30,B9364,allocation!$C$4:$C$30,B9365),SUMIFS(allocation!$J$4:$J$30,allocation!$B$4:$B$30,B9364,allocation!$C$4:$C$30,B9365))</f>
        <v>0.13933980798974457</v>
      </c>
    </row>
    <row r="9387" spans="1:22" x14ac:dyDescent="0.2">
      <c r="A9387" t="s">
        <v>1050</v>
      </c>
      <c r="B9387" s="51">
        <f>INDEX(parameters!$D$4:$AB$20,MATCH(B9362&amp;B9364,parameters!$A$4:$A$20,0),MATCH(A9387,parameters!$D$3:$AB$3,0))</f>
        <v>10.221606648199446</v>
      </c>
    </row>
    <row r="9389" spans="1:22" x14ac:dyDescent="0.2">
      <c r="A9389" s="3" t="s">
        <v>57</v>
      </c>
    </row>
    <row r="9390" spans="1:22" x14ac:dyDescent="0.2">
      <c r="A9390" s="2" t="s">
        <v>58</v>
      </c>
      <c r="B9390" s="44" t="s">
        <v>59</v>
      </c>
      <c r="C9390" s="2" t="s">
        <v>55</v>
      </c>
      <c r="D9390" s="2" t="s">
        <v>60</v>
      </c>
      <c r="E9390" s="2" t="s">
        <v>52</v>
      </c>
      <c r="F9390" s="2" t="s">
        <v>61</v>
      </c>
      <c r="G9390" s="2" t="s">
        <v>54</v>
      </c>
      <c r="H9390" s="2" t="s">
        <v>87</v>
      </c>
      <c r="I9390" s="2" t="s">
        <v>51</v>
      </c>
      <c r="J9390" s="2" t="s">
        <v>138</v>
      </c>
      <c r="K9390" s="2" t="s">
        <v>136</v>
      </c>
      <c r="L9390" s="2" t="s">
        <v>221</v>
      </c>
      <c r="M9390" s="2" t="s">
        <v>379</v>
      </c>
      <c r="N9390" s="2" t="s">
        <v>1059</v>
      </c>
      <c r="O9390" s="2" t="s">
        <v>1060</v>
      </c>
      <c r="P9390" s="2" t="s">
        <v>1061</v>
      </c>
      <c r="Q9390" s="2" t="s">
        <v>1062</v>
      </c>
      <c r="R9390" s="2" t="s">
        <v>1063</v>
      </c>
      <c r="S9390" s="2" t="s">
        <v>1064</v>
      </c>
      <c r="T9390" s="2" t="s">
        <v>1065</v>
      </c>
      <c r="U9390" s="2" t="s">
        <v>380</v>
      </c>
      <c r="V9390" s="2" t="s">
        <v>1128</v>
      </c>
    </row>
    <row r="9391" spans="1:22" x14ac:dyDescent="0.2">
      <c r="A9391" t="str">
        <f>B9352</f>
        <v>heat, residential, by conversion of hydrogen using fuel cell, PEM, allocated by exergy, transported by pipeline, produced by Electrolysis, SOEC using water and electricity from Wind (DK)</v>
      </c>
      <c r="B9391" s="45">
        <v>1</v>
      </c>
      <c r="C9391" t="str">
        <f>B9358</f>
        <v>megajoule</v>
      </c>
      <c r="E9391" t="str">
        <f>B9355</f>
        <v>CH</v>
      </c>
      <c r="F9391" t="s">
        <v>62</v>
      </c>
      <c r="G9391" t="str">
        <f>B9357</f>
        <v>heat, from residential heating system</v>
      </c>
      <c r="K9391" t="str">
        <f>B9352</f>
        <v>heat, residential, by conversion of hydrogen using fuel cell, PEM, allocated by exergy, transported by pipeline, produced by Electrolysis, SOEC using water and electricity from Wind (DK)</v>
      </c>
    </row>
    <row r="9392" spans="1:22" x14ac:dyDescent="0.2">
      <c r="A9392" t="str">
        <f>VLOOKUP(J9392,'dataset mapping'!$A$4:$E$69,2,0)</f>
        <v>fuel cell system assembly, 1 kWe, proton exchange membrane (PEM)</v>
      </c>
      <c r="B9392" s="52">
        <f>(1/(B9381*B9385*B9384*3.6))*B9386</f>
        <v>1.0213951974556892E-6</v>
      </c>
      <c r="C9392" t="str">
        <f>VLOOKUP(J9392,'dataset mapping'!$A$4:$E$69,5,0)</f>
        <v>unit</v>
      </c>
      <c r="E9392" t="str">
        <f>VLOOKUP(J9392,'dataset mapping'!$A$4:$E$69,4,0)</f>
        <v>GLO</v>
      </c>
      <c r="F9392" t="s">
        <v>86</v>
      </c>
      <c r="G9392" t="str">
        <f>VLOOKUP(J9392,'dataset mapping'!$A$4:$E$69,3,0)</f>
        <v>fuel cell system, 1 kWe, proton exchange membrane (PEM)</v>
      </c>
      <c r="H9392" t="s">
        <v>88</v>
      </c>
      <c r="I9392" t="s">
        <v>272</v>
      </c>
      <c r="J9392" t="s">
        <v>273</v>
      </c>
      <c r="K9392" t="str">
        <f>B9352</f>
        <v>heat, residential, by conversion of hydrogen using fuel cell, PEM, allocated by exergy, transported by pipeline, produced by Electrolysis, SOEC using water and electricity from Wind (DK)</v>
      </c>
      <c r="L9392">
        <f>IF(OR(B9392&lt;0,B9392=0),1,2)</f>
        <v>2</v>
      </c>
      <c r="M9392">
        <f>IF(L9392=2,LN(B9392),"")</f>
        <v>-13.794341024667077</v>
      </c>
      <c r="N9392">
        <v>1</v>
      </c>
      <c r="O9392" s="15">
        <v>1.2</v>
      </c>
      <c r="P9392">
        <v>1</v>
      </c>
      <c r="Q9392">
        <v>1.01</v>
      </c>
      <c r="R9392">
        <v>1.2</v>
      </c>
      <c r="S9392">
        <v>1.2</v>
      </c>
      <c r="T9392">
        <v>3</v>
      </c>
      <c r="U9392">
        <f>LN(SQRT(EXP(
SQRT(
+POWER(LN(N9392),2)
+POWER(LN(O9392),2)
+POWER(LN(P9392),2)
+POWER(LN(Q9392),2)
+POWER(LN(R9392),2)
+POWER(LN(S9392),2)
+POWER(LN(T9392),2)
)
)))</f>
        <v>0.57157051623399524</v>
      </c>
    </row>
    <row r="9393" spans="1:21" x14ac:dyDescent="0.2">
      <c r="A9393" s="45" t="str">
        <f>"hydrogen supply, transported by "&amp;B9366&amp;", produced by "&amp;B9370&amp;" using "&amp;B9371&amp;" from "&amp;B9372</f>
        <v>hydrogen supply, transported by pipeline, produced by Electrolysis, SOEC using water and electricity from Wind (DK)</v>
      </c>
      <c r="B9393" s="53">
        <f>(B9391/B9375)/B9374*B9386</f>
        <v>2.3223301331624095E-3</v>
      </c>
      <c r="C9393" t="s">
        <v>56</v>
      </c>
      <c r="E9393" t="s">
        <v>64</v>
      </c>
      <c r="F9393" t="s">
        <v>86</v>
      </c>
      <c r="G9393" t="str">
        <f>"hydrogen, gaseous, from "&amp;B9366</f>
        <v>hydrogen, gaseous, from pipeline</v>
      </c>
      <c r="H9393" t="s">
        <v>76</v>
      </c>
      <c r="I9393" t="s">
        <v>1054</v>
      </c>
      <c r="J9393" t="s">
        <v>304</v>
      </c>
      <c r="K9393" t="str">
        <f>B9352</f>
        <v>heat, residential, by conversion of hydrogen using fuel cell, PEM, allocated by exergy, transported by pipeline, produced by Electrolysis, SOEC using water and electricity from Wind (DK)</v>
      </c>
      <c r="L9393">
        <f>IF(OR(B9393&lt;0,B9393=0),1,2)</f>
        <v>2</v>
      </c>
      <c r="M9393">
        <f>IF(L9393=2,LN(B9393),"")</f>
        <v>-6.0651842296013152</v>
      </c>
      <c r="N9393">
        <v>1</v>
      </c>
      <c r="O9393" s="15">
        <v>1.2</v>
      </c>
      <c r="P9393">
        <v>1</v>
      </c>
      <c r="Q9393">
        <v>1.01</v>
      </c>
      <c r="R9393">
        <v>1.2</v>
      </c>
      <c r="S9393">
        <v>1.2</v>
      </c>
      <c r="T9393">
        <v>1.05</v>
      </c>
      <c r="U9393">
        <f>LN(SQRT(EXP(
SQRT(
+POWER(LN(N9393),2)
+POWER(LN(O9393),2)
+POWER(LN(P9393),2)
+POWER(LN(Q9393),2)
+POWER(LN(R9393),2)
+POWER(LN(S9393),2)
+POWER(LN(T9393),2)
)
)))</f>
        <v>0.15984597228197622</v>
      </c>
    </row>
    <row r="9394" spans="1:21" x14ac:dyDescent="0.2">
      <c r="A9394" t="s">
        <v>134</v>
      </c>
      <c r="B9394" s="53">
        <f>B9393*9</f>
        <v>2.0900971198461685E-2</v>
      </c>
      <c r="C9394" t="s">
        <v>56</v>
      </c>
      <c r="D9394" t="s">
        <v>100</v>
      </c>
      <c r="F9394" t="s">
        <v>99</v>
      </c>
      <c r="H9394" t="s">
        <v>131</v>
      </c>
      <c r="I9394" t="s">
        <v>1057</v>
      </c>
      <c r="K9394" t="str">
        <f>B9352</f>
        <v>heat, residential, by conversion of hydrogen using fuel cell, PEM, allocated by exergy, transported by pipeline, produced by Electrolysis, SOEC using water and electricity from Wind (DK)</v>
      </c>
      <c r="L9394">
        <f>IF(OR(B9394&lt;0,B9394=0),1,2)</f>
        <v>2</v>
      </c>
      <c r="M9394">
        <f>IF(L9394=2,LN(B9394),"")</f>
        <v>-3.8679596522650961</v>
      </c>
      <c r="N9394">
        <v>1</v>
      </c>
      <c r="O9394" s="15">
        <v>1.2</v>
      </c>
      <c r="P9394">
        <v>1</v>
      </c>
      <c r="Q9394">
        <v>1.01</v>
      </c>
      <c r="R9394">
        <v>1.2</v>
      </c>
      <c r="S9394">
        <v>1.2</v>
      </c>
      <c r="T9394">
        <v>1.05</v>
      </c>
      <c r="U9394">
        <f>LN(SQRT(EXP(
SQRT(
+POWER(LN(N9394),2)
+POWER(LN(O9394),2)
+POWER(LN(P9394),2)
+POWER(LN(Q9394),2)
+POWER(LN(R9394),2)
+POWER(LN(S9394),2)
+POWER(LN(T9394),2)
)
)))</f>
        <v>0.15984597228197622</v>
      </c>
    </row>
    <row r="9396" spans="1:21" x14ac:dyDescent="0.2">
      <c r="A9396" s="2" t="s">
        <v>50</v>
      </c>
      <c r="B9396" s="44" t="str">
        <f>IF(B9402="megajoule","heat","electricity")&amp;", residential, by "&amp;B9407&amp;" of "&amp;B9406&amp;" using "&amp;B9408&amp;IF(B9409&lt;&gt;0,", allocated by "&amp;B9409,"")&amp;", transported by "&amp;B9410&amp;", produced by "&amp;B9414&amp;" using "&amp;B9415&amp;" from "&amp;B9416</f>
        <v>heat, residential, by conversion of hydrogen using fuel cell, SOFC, allocated by exergy, transported by pipeline, produced by Electrolysis, SOEC using water and electricity from Wind (DK)</v>
      </c>
    </row>
    <row r="9397" spans="1:21" x14ac:dyDescent="0.2">
      <c r="A9397" t="s">
        <v>51</v>
      </c>
      <c r="B9397" s="45" t="str">
        <f>"This dataset represents the supply of 1 "&amp;IF(B9402="megajoule","megajoule of heat","kilowatt hour of electricity")&amp;" in a residence, by "&amp;B9406&amp;" "&amp;B9407&amp;" in a "&amp;B9408&amp;". "&amp;" The hydrogen is transported by "&amp;B9410&amp;" over "&amp;B9411&amp;" km from regional storage. "&amp;" The "&amp;B9406&amp;" is produced by  "&amp;B9414&amp;", with "&amp;B9415&amp;" from "&amp;B9416&amp;" as feedstock. "&amp;A9418&amp;": "&amp;(B9418*100)&amp;"%. "&amp;A9419&amp;": "&amp;B9419&amp;". "&amp;A9420&amp;": "&amp;B9420&amp;". "&amp;A9421&amp;": "&amp;(B9421*100)&amp;"%. "&amp;A9422&amp;": "&amp;(B9422*100)&amp;"%. "&amp;A9423&amp;": "&amp;(B9423*100)&amp;"%. "&amp;A9424&amp;": "&amp;B9424&amp;". "&amp;A9425&amp;": "&amp;B9425&amp;". "&amp;A9426&amp;": "&amp;(B9426*100)&amp;"%. "&amp;A9427&amp;": "&amp;B9427&amp;". "&amp;A9428&amp;": "&amp;B9428&amp;". "&amp;A9429&amp;": "&amp;B9429&amp;". "&amp;A9430&amp;": "&amp;B9430&amp;".  For more information, refer to: "&amp;B9398</f>
        <v>This dataset represents the supply of 1 megajoule of heat in a residence, by hydrogen conversion in a fuel cell, SOFC.  The hydrogen is transported by pipeline over 1300 km from regional storage.  The hydrogen is produced by  Electrolysis, SOEC,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9398" spans="1:21" x14ac:dyDescent="0.2">
      <c r="A9398" t="s">
        <v>63</v>
      </c>
      <c r="B9398" s="45" t="s">
        <v>1223</v>
      </c>
    </row>
    <row r="9399" spans="1:21" x14ac:dyDescent="0.2">
      <c r="A9399" t="s">
        <v>52</v>
      </c>
      <c r="B9399" s="45" t="s">
        <v>64</v>
      </c>
    </row>
    <row r="9400" spans="1:21" x14ac:dyDescent="0.2">
      <c r="A9400" t="s">
        <v>48</v>
      </c>
      <c r="B9400" s="45">
        <v>116</v>
      </c>
    </row>
    <row r="9401" spans="1:21" x14ac:dyDescent="0.2">
      <c r="A9401" t="s">
        <v>54</v>
      </c>
      <c r="B9401" s="45" t="str">
        <f>INDEX(overview!$B$4:$R$338,MATCH('hydrogen - electrolysis'!B9400,overview!$A$4:$A$338,0),MATCH('hydrogen - electrolysis'!A9401,overview!$B$3:$R$3,0))</f>
        <v>heat, from residential heating system</v>
      </c>
    </row>
    <row r="9402" spans="1:21" x14ac:dyDescent="0.2">
      <c r="A9402" t="s">
        <v>55</v>
      </c>
      <c r="B9402" s="45" t="str">
        <f>INDEX(overview!$B$4:$R$338,MATCH('hydrogen - electrolysis'!B9400,overview!$A$4:$A$338,0),MATCH('hydrogen - electrolysis'!A9402,overview!$B$3:$R$3,0))</f>
        <v>megajoule</v>
      </c>
    </row>
    <row r="9403" spans="1:21" x14ac:dyDescent="0.2">
      <c r="A9403" t="s">
        <v>0</v>
      </c>
      <c r="B9403" s="45" t="str">
        <f>INDEX(overview!$B$4:$R$338,MATCH('hydrogen - electrolysis'!B9400,overview!$A$4:$A$338,0),MATCH('hydrogen - electrolysis'!A9403,overview!$B$3:$R$3,0))</f>
        <v>Switzerland</v>
      </c>
    </row>
    <row r="9404" spans="1:21" x14ac:dyDescent="0.2">
      <c r="A9404" t="s">
        <v>1</v>
      </c>
      <c r="B9404" s="45">
        <f>INDEX(overview!$B$4:$R$338,MATCH('hydrogen - electrolysis'!B9400,overview!$A$4:$A$338,0),MATCH('hydrogen - electrolysis'!A9404,overview!$B$3:$R$3,0))</f>
        <v>2020</v>
      </c>
    </row>
    <row r="9405" spans="1:21" x14ac:dyDescent="0.2">
      <c r="A9405" t="s">
        <v>2</v>
      </c>
      <c r="B9405" s="45" t="str">
        <f>INDEX(overview!$B$4:$R$338,MATCH('hydrogen - electrolysis'!B9400,overview!$A$4:$A$338,0),MATCH('hydrogen - electrolysis'!A9405,overview!$B$3:$R$3,0))</f>
        <v>1 MJ heat</v>
      </c>
    </row>
    <row r="9406" spans="1:21" x14ac:dyDescent="0.2">
      <c r="A9406" t="s">
        <v>5</v>
      </c>
      <c r="B9406" s="45" t="str">
        <f>INDEX(overview!$B$4:$R$338,MATCH('hydrogen - electrolysis'!B9400,overview!$A$4:$A$338,0),MATCH('hydrogen - electrolysis'!A9406,overview!$B$3:$R$3,0))</f>
        <v>hydrogen</v>
      </c>
    </row>
    <row r="9407" spans="1:21" x14ac:dyDescent="0.2">
      <c r="A9407" t="s">
        <v>3</v>
      </c>
      <c r="B9407" s="45" t="str">
        <f>INDEX(overview!$B$4:$R$338,MATCH('hydrogen - electrolysis'!B9400,overview!$A$4:$A$338,0),MATCH('hydrogen - electrolysis'!A9407,overview!$B$3:$R$3,0))</f>
        <v>conversion</v>
      </c>
    </row>
    <row r="9408" spans="1:21" x14ac:dyDescent="0.2">
      <c r="A9408" t="s">
        <v>6</v>
      </c>
      <c r="B9408" s="45" t="str">
        <f>INDEX(overview!$B$4:$R$338,MATCH('hydrogen - electrolysis'!B9400,overview!$A$4:$A$338,0),MATCH('hydrogen - electrolysis'!A9408,overview!$B$3:$R$3,0))</f>
        <v>fuel cell, SOFC</v>
      </c>
    </row>
    <row r="9409" spans="1:2" x14ac:dyDescent="0.2">
      <c r="A9409" t="s">
        <v>39</v>
      </c>
      <c r="B9409" s="45" t="str">
        <f>INDEX(overview!$B$4:$R$338,MATCH('hydrogen - electrolysis'!B9400,overview!$A$4:$A$338,0),MATCH('hydrogen - electrolysis'!A9409,overview!$B$3:$R$3,0))</f>
        <v>exergy</v>
      </c>
    </row>
    <row r="9410" spans="1:2" x14ac:dyDescent="0.2">
      <c r="A9410" t="s">
        <v>4</v>
      </c>
      <c r="B9410" s="45" t="str">
        <f>INDEX(overview!$B$4:$R$338,MATCH('hydrogen - electrolysis'!B9400,overview!$A$4:$A$338,0),MATCH('hydrogen - electrolysis'!A9410,overview!$B$3:$R$3,0))</f>
        <v>pipeline</v>
      </c>
    </row>
    <row r="9411" spans="1:2" x14ac:dyDescent="0.2">
      <c r="A9411" t="s">
        <v>38</v>
      </c>
      <c r="B9411" s="45">
        <f>INDEX(overview!$B$4:$R$338,MATCH('hydrogen - electrolysis'!B9400,overview!$A$4:$A$338,0),MATCH('hydrogen - electrolysis'!A9411,overview!$B$3:$R$3,0))</f>
        <v>1300</v>
      </c>
    </row>
    <row r="9412" spans="1:2" x14ac:dyDescent="0.2">
      <c r="A9412" t="s">
        <v>12</v>
      </c>
      <c r="B9412" s="45" t="str">
        <f>INDEX(overview!$B$4:$R$338,MATCH('hydrogen - electrolysis'!B9400,overview!$A$4:$A$338,0),MATCH('hydrogen - electrolysis'!A9412,overview!$B$3:$R$3,0))</f>
        <v>Pressure vessel for stationary storage</v>
      </c>
    </row>
    <row r="9413" spans="1:2" x14ac:dyDescent="0.2">
      <c r="A9413" t="s">
        <v>34</v>
      </c>
      <c r="B9413" s="45">
        <f>INDEX(overview!$B$4:$R$338,MATCH('hydrogen - electrolysis'!B9400,overview!$A$4:$A$338,0),MATCH('hydrogen - electrolysis'!A9413,overview!$B$3:$R$3,0))</f>
        <v>0</v>
      </c>
    </row>
    <row r="9414" spans="1:2" x14ac:dyDescent="0.2">
      <c r="A9414" t="s">
        <v>15</v>
      </c>
      <c r="B9414" s="45" t="str">
        <f>INDEX(overview!$B$4:$R$338,MATCH('hydrogen - electrolysis'!B9400,overview!$A$4:$A$338,0),MATCH('hydrogen - electrolysis'!A9414,overview!$B$3:$R$3,0))</f>
        <v>Electrolysis, SOEC</v>
      </c>
    </row>
    <row r="9415" spans="1:2" x14ac:dyDescent="0.2">
      <c r="A9415" t="s">
        <v>14</v>
      </c>
      <c r="B9415" s="45" t="str">
        <f>INDEX(overview!$B$4:$R$338,MATCH('hydrogen - electrolysis'!B9400,overview!$A$4:$A$338,0),MATCH('hydrogen - electrolysis'!A9415,overview!$B$3:$R$3,0))</f>
        <v>water and electricity</v>
      </c>
    </row>
    <row r="9416" spans="1:2" x14ac:dyDescent="0.2">
      <c r="A9416" t="s">
        <v>26</v>
      </c>
      <c r="B9416" s="45" t="str">
        <f>INDEX(overview!$B$4:$R$338,MATCH('hydrogen - electrolysis'!B9400,overview!$A$4:$A$338,0),MATCH('hydrogen - electrolysis'!A9416,overview!$B$3:$R$3,0))</f>
        <v>Wind (DK)</v>
      </c>
    </row>
    <row r="9417" spans="1:2" x14ac:dyDescent="0.2">
      <c r="A9417" t="s">
        <v>29</v>
      </c>
      <c r="B9417" s="45">
        <f>INDEX(overview!$B$4:$R$338,MATCH('hydrogen - electrolysis'!B9400,overview!$A$4:$A$338,0),MATCH('hydrogen - electrolysis'!A9417,overview!$B$3:$R$3,0))</f>
        <v>0</v>
      </c>
    </row>
    <row r="9418" spans="1:2" x14ac:dyDescent="0.2">
      <c r="A9418" t="str">
        <f>IF(B9402="megajoule","Heat","Electricity")&amp;" conversion efficiency [% LHV input]"</f>
        <v>Heat conversion efficiency [% LHV input]</v>
      </c>
      <c r="B9418" s="46">
        <f>INDEX(parameters!$D$4:$N$20,MATCH('hydrogen - electrolysis'!B9406&amp;'hydrogen - electrolysis'!B9408,parameters!$A$4:$A$20,0),MATCH('hydrogen - electrolysis'!A9418,parameters!$D$3:$N$3,0))</f>
        <v>0.53</v>
      </c>
    </row>
    <row r="9419" spans="1:2" x14ac:dyDescent="0.2">
      <c r="A9419" t="str">
        <f>IF(B9402="megajoule","LHV [MJ/kg]","LHV [kWh/kg]")</f>
        <v>LHV [MJ/kg]</v>
      </c>
      <c r="B9419" s="47">
        <f>INDEX(parameters!$D$4:$N$20,MATCH('hydrogen - electrolysis'!B9406&amp;'hydrogen - electrolysis'!B9408,parameters!$A$4:$A$20,0),MATCH('hydrogen - electrolysis'!A9419,parameters!$D$3:$N$3,0))</f>
        <v>120</v>
      </c>
    </row>
    <row r="9420" spans="1:2" x14ac:dyDescent="0.2">
      <c r="A9420" t="s">
        <v>41</v>
      </c>
      <c r="B9420" s="48">
        <f>INDEX(parameters!$D$4:$N$20,MATCH('hydrogen - electrolysis'!B9406&amp;'hydrogen - electrolysis'!B9408,parameters!$A$4:$A$20,0),MATCH('hydrogen - electrolysis'!A9420,parameters!$D$3:$N$3,0))</f>
        <v>2.6666666666666665E-2</v>
      </c>
    </row>
    <row r="9421" spans="1:2" x14ac:dyDescent="0.2">
      <c r="A9421" t="s">
        <v>45</v>
      </c>
      <c r="B9421" s="46">
        <f>INDEX(parameters!$D$4:$N$20,MATCH('hydrogen - electrolysis'!B9406&amp;'hydrogen - electrolysis'!B9408,parameters!$A$4:$A$20,0),MATCH('hydrogen - electrolysis'!A9421,parameters!$D$3:$N$3,0))</f>
        <v>0</v>
      </c>
    </row>
    <row r="9422" spans="1:2" x14ac:dyDescent="0.2">
      <c r="A9422" t="s">
        <v>46</v>
      </c>
      <c r="B9422" s="46">
        <f>INDEX(parameters!$D$4:$N$20,MATCH('hydrogen - electrolysis'!B9406&amp;'hydrogen - electrolysis'!B9408,parameters!$A$4:$A$20,0),MATCH('hydrogen - electrolysis'!A9422,parameters!$D$3:$N$3,0))</f>
        <v>1.4999999999999999E-2</v>
      </c>
    </row>
    <row r="9423" spans="1:2" x14ac:dyDescent="0.2">
      <c r="A9423" t="s">
        <v>43</v>
      </c>
      <c r="B9423" s="46">
        <f>INDEX(parameters!$D$4:$N$20,MATCH('hydrogen - electrolysis'!B9406&amp;'hydrogen - electrolysis'!B9408,parameters!$A$4:$A$20,0),MATCH('hydrogen - electrolysis'!A9423,parameters!$D$3:$N$3,0))</f>
        <v>0</v>
      </c>
    </row>
    <row r="9424" spans="1:2" x14ac:dyDescent="0.2">
      <c r="A9424" t="s">
        <v>44</v>
      </c>
      <c r="B9424" s="46">
        <f>INDEX(parameters!$D$4:$N$20,MATCH('hydrogen - electrolysis'!B9406&amp;'hydrogen - electrolysis'!B9408,parameters!$A$4:$A$20,0),MATCH('hydrogen - electrolysis'!A9424,parameters!$D$3:$N$3,0))</f>
        <v>0</v>
      </c>
    </row>
    <row r="9425" spans="1:22" x14ac:dyDescent="0.2">
      <c r="A9425" t="s">
        <v>634</v>
      </c>
      <c r="B9425" s="51">
        <f>INDEX(parameters!$D$4:$Y$20,MATCH('hydrogen - electrolysis'!B9406&amp;'hydrogen - electrolysis'!B9408,parameters!$A$4:$A$20,0),MATCH('hydrogen - electrolysis'!A9425,parameters!$D$3:$Y$3,0))</f>
        <v>225</v>
      </c>
      <c r="D9425" s="8"/>
    </row>
    <row r="9426" spans="1:22" x14ac:dyDescent="0.2">
      <c r="A9426" t="s">
        <v>82</v>
      </c>
      <c r="B9426" s="46">
        <f>IF(B9417&lt;&gt;0,VLOOKUP(B9417,parameters!A5947:B5949,2,0),0)</f>
        <v>0</v>
      </c>
    </row>
    <row r="9427" spans="1:22" x14ac:dyDescent="0.2">
      <c r="A9427" t="s">
        <v>548</v>
      </c>
      <c r="B9427" s="50">
        <f>INDEX(parameters!$D$4:$P$20,MATCH(B9406&amp;B9408,parameters!$A$4:$A$20,0),MATCH(A9427,parameters!$D$3:$P$3,0))</f>
        <v>100</v>
      </c>
    </row>
    <row r="9428" spans="1:22" x14ac:dyDescent="0.2">
      <c r="A9428" t="s">
        <v>547</v>
      </c>
      <c r="B9428" s="51">
        <f>INDEX(parameters!$D$4:$P$20,MATCH(B9406&amp;B9408,parameters!$A$4:$A$20,0),MATCH(A9428,parameters!$D$3:$P$3,0))</f>
        <v>6</v>
      </c>
    </row>
    <row r="9429" spans="1:22" x14ac:dyDescent="0.2">
      <c r="A9429" t="s">
        <v>630</v>
      </c>
      <c r="B9429" s="51">
        <f>INDEX(parameters!$D$4:$T$20,MATCH(B9406&amp;B9408,parameters!$A$4:$A$20,0),MATCH(A9429,parameters!$D$3:$T$3,0))</f>
        <v>4100</v>
      </c>
    </row>
    <row r="9430" spans="1:22" x14ac:dyDescent="0.2">
      <c r="A9430" t="s">
        <v>1005</v>
      </c>
      <c r="B9430" s="50">
        <f>IF(B9402="megajoule",SUMIFS(allocation!$I$4:$I$30,allocation!$B$4:$B$30,B9408,allocation!$C$4:$C$30,B9409),SUMIFS(allocation!$J$4:$J$30,allocation!$B$4:$B$30,B9408,allocation!$C$4:$C$30,B9409))</f>
        <v>0.13587506510399097</v>
      </c>
    </row>
    <row r="9431" spans="1:22" x14ac:dyDescent="0.2">
      <c r="A9431" t="s">
        <v>1050</v>
      </c>
      <c r="B9431" s="51">
        <f>INDEX(parameters!$D$4:$AB$20,MATCH(B9406&amp;B9408,parameters!$A$4:$A$20,0),MATCH(A9431,parameters!$D$3:$AB$3,0))</f>
        <v>1153.1249999999998</v>
      </c>
    </row>
    <row r="9433" spans="1:22" x14ac:dyDescent="0.2">
      <c r="A9433" s="3" t="s">
        <v>57</v>
      </c>
    </row>
    <row r="9434" spans="1:22" x14ac:dyDescent="0.2">
      <c r="A9434" s="2" t="s">
        <v>58</v>
      </c>
      <c r="B9434" s="44" t="s">
        <v>59</v>
      </c>
      <c r="C9434" s="2" t="s">
        <v>55</v>
      </c>
      <c r="D9434" s="2" t="s">
        <v>60</v>
      </c>
      <c r="E9434" s="2" t="s">
        <v>52</v>
      </c>
      <c r="F9434" s="2" t="s">
        <v>61</v>
      </c>
      <c r="G9434" s="2" t="s">
        <v>54</v>
      </c>
      <c r="H9434" s="2" t="s">
        <v>87</v>
      </c>
      <c r="I9434" s="2" t="s">
        <v>51</v>
      </c>
      <c r="J9434" s="2" t="s">
        <v>138</v>
      </c>
      <c r="K9434" s="2" t="s">
        <v>136</v>
      </c>
      <c r="L9434" s="2" t="s">
        <v>221</v>
      </c>
      <c r="M9434" s="2" t="s">
        <v>379</v>
      </c>
      <c r="N9434" s="2" t="s">
        <v>1059</v>
      </c>
      <c r="O9434" s="2" t="s">
        <v>1060</v>
      </c>
      <c r="P9434" s="2" t="s">
        <v>1061</v>
      </c>
      <c r="Q9434" s="2" t="s">
        <v>1062</v>
      </c>
      <c r="R9434" s="2" t="s">
        <v>1063</v>
      </c>
      <c r="S9434" s="2" t="s">
        <v>1064</v>
      </c>
      <c r="T9434" s="2" t="s">
        <v>1065</v>
      </c>
      <c r="U9434" s="2" t="s">
        <v>380</v>
      </c>
      <c r="V9434" s="2" t="s">
        <v>1128</v>
      </c>
    </row>
    <row r="9435" spans="1:22" x14ac:dyDescent="0.2">
      <c r="A9435" t="str">
        <f>B9396</f>
        <v>heat, residential, by conversion of hydrogen using fuel cell, SOFC, allocated by exergy, transported by pipeline, produced by Electrolysis, SOEC using water and electricity from Wind (DK)</v>
      </c>
      <c r="B9435" s="45">
        <v>1</v>
      </c>
      <c r="C9435" t="str">
        <f>B9402</f>
        <v>megajoule</v>
      </c>
      <c r="E9435" t="str">
        <f>B9399</f>
        <v>CH</v>
      </c>
      <c r="F9435" t="s">
        <v>62</v>
      </c>
      <c r="G9435" t="str">
        <f>B9401</f>
        <v>heat, from residential heating system</v>
      </c>
      <c r="K9435" t="str">
        <f>B9396</f>
        <v>heat, residential, by conversion of hydrogen using fuel cell, SOFC, allocated by exergy, transported by pipeline, produced by Electrolysis, SOEC using water and electricity from Wind (DK)</v>
      </c>
    </row>
    <row r="9436" spans="1:22" x14ac:dyDescent="0.2">
      <c r="A9436" t="str">
        <f>VLOOKUP(J9436,'dataset mapping'!$A$4:$E$69,2,0)</f>
        <v>fuel cell production, stack solid oxide, 125kW electrical, future</v>
      </c>
      <c r="B9436" s="52">
        <f>(1/(B9425*B9429*B9428*3.6))*B9430</f>
        <v>6.8189834941278219E-9</v>
      </c>
      <c r="C9436" t="str">
        <f>VLOOKUP(J9436,'dataset mapping'!$A$4:$E$69,5,0)</f>
        <v>unit</v>
      </c>
      <c r="E9436" t="str">
        <f>VLOOKUP(J9436,'dataset mapping'!$A$4:$E$69,4,0)</f>
        <v>CH</v>
      </c>
      <c r="F9436" t="s">
        <v>86</v>
      </c>
      <c r="G9436" t="str">
        <f>VLOOKUP(J9436,'dataset mapping'!$A$4:$E$69,3,0)</f>
        <v>fuel cell, stack solid oxide, 125kW electrical, future</v>
      </c>
      <c r="H9436" t="s">
        <v>88</v>
      </c>
      <c r="I9436" t="s">
        <v>277</v>
      </c>
      <c r="J9436" t="s">
        <v>274</v>
      </c>
      <c r="K9436" t="str">
        <f>B9396</f>
        <v>heat, residential, by conversion of hydrogen using fuel cell, SOFC, allocated by exergy, transported by pipeline, produced by Electrolysis, SOEC using water and electricity from Wind (DK)</v>
      </c>
      <c r="L9436">
        <f>IF(OR(B9436&lt;0,B9436=0),1,2)</f>
        <v>2</v>
      </c>
      <c r="M9436">
        <f>IF(L9436=2,LN(B9436),"")</f>
        <v>-18.80355542398161</v>
      </c>
      <c r="N9436">
        <v>1</v>
      </c>
      <c r="O9436" s="15">
        <v>1.2</v>
      </c>
      <c r="P9436">
        <v>1</v>
      </c>
      <c r="Q9436">
        <v>1.01</v>
      </c>
      <c r="R9436">
        <v>1.2</v>
      </c>
      <c r="S9436">
        <v>1.2</v>
      </c>
      <c r="T9436">
        <v>3</v>
      </c>
      <c r="U9436">
        <f>LN(SQRT(EXP(
SQRT(
+POWER(LN(N9436),2)
+POWER(LN(O9436),2)
+POWER(LN(P9436),2)
+POWER(LN(Q9436),2)
+POWER(LN(R9436),2)
+POWER(LN(S9436),2)
+POWER(LN(T9436),2)
)
)))</f>
        <v>0.57157051623399524</v>
      </c>
    </row>
    <row r="9437" spans="1:22" x14ac:dyDescent="0.2">
      <c r="A9437" t="s">
        <v>283</v>
      </c>
      <c r="B9437" s="52">
        <f>(1/(B9425*B9429*B9428*3.6))*B9430</f>
        <v>6.8189834941278219E-9</v>
      </c>
      <c r="C9437" t="s">
        <v>55</v>
      </c>
      <c r="E9437" t="s">
        <v>64</v>
      </c>
      <c r="F9437" t="s">
        <v>86</v>
      </c>
      <c r="G9437" t="s">
        <v>284</v>
      </c>
      <c r="H9437" t="s">
        <v>88</v>
      </c>
      <c r="I9437" t="s">
        <v>277</v>
      </c>
      <c r="K9437" t="str">
        <f>B9396</f>
        <v>heat, residential, by conversion of hydrogen using fuel cell, SOFC, allocated by exergy, transported by pipeline, produced by Electrolysis, SOEC using water and electricity from Wind (DK)</v>
      </c>
      <c r="L9437">
        <f>IF(OR(B9437&lt;0,B9437=0),1,2)</f>
        <v>2</v>
      </c>
      <c r="M9437">
        <f>IF(L9437=2,LN(B9437),"")</f>
        <v>-18.80355542398161</v>
      </c>
      <c r="N9437">
        <v>1</v>
      </c>
      <c r="O9437" s="15">
        <v>1.2</v>
      </c>
      <c r="P9437">
        <v>1</v>
      </c>
      <c r="Q9437">
        <v>1.01</v>
      </c>
      <c r="R9437">
        <v>1.2</v>
      </c>
      <c r="S9437">
        <v>1.2</v>
      </c>
      <c r="T9437">
        <v>3</v>
      </c>
      <c r="U9437">
        <f>LN(SQRT(EXP(
SQRT(
+POWER(LN(N9437),2)
+POWER(LN(O9437),2)
+POWER(LN(P9437),2)
+POWER(LN(Q9437),2)
+POWER(LN(R9437),2)
+POWER(LN(S9437),2)
+POWER(LN(T9437),2)
)
)))</f>
        <v>0.57157051623399524</v>
      </c>
    </row>
    <row r="9438" spans="1:22" x14ac:dyDescent="0.2">
      <c r="A9438" t="s">
        <v>288</v>
      </c>
      <c r="B9438" s="52">
        <f>0.000024*B9430</f>
        <v>3.2610015624957834E-6</v>
      </c>
      <c r="C9438" t="s">
        <v>56</v>
      </c>
      <c r="E9438" t="s">
        <v>64</v>
      </c>
      <c r="F9438" t="s">
        <v>86</v>
      </c>
      <c r="G9438" t="s">
        <v>287</v>
      </c>
      <c r="H9438" t="s">
        <v>88</v>
      </c>
      <c r="K9438" t="str">
        <f>B9396</f>
        <v>heat, residential, by conversion of hydrogen using fuel cell, SOFC, allocated by exergy, transported by pipeline, produced by Electrolysis, SOEC using water and electricity from Wind (DK)</v>
      </c>
      <c r="L9438">
        <f>IF(OR(B9438&lt;0,B9438=0),1,2)</f>
        <v>2</v>
      </c>
      <c r="M9438">
        <f>IF(L9438=2,LN(B9438),"")</f>
        <v>-12.633476182011</v>
      </c>
      <c r="N9438">
        <v>1</v>
      </c>
      <c r="O9438" s="15">
        <v>1.2</v>
      </c>
      <c r="P9438">
        <v>1</v>
      </c>
      <c r="Q9438">
        <v>1.01</v>
      </c>
      <c r="R9438">
        <v>1.2</v>
      </c>
      <c r="S9438">
        <v>1.2</v>
      </c>
      <c r="T9438">
        <v>1.05</v>
      </c>
      <c r="U9438">
        <f>LN(SQRT(EXP(
SQRT(
+POWER(LN(N9438),2)
+POWER(LN(O9438),2)
+POWER(LN(P9438),2)
+POWER(LN(Q9438),2)
+POWER(LN(R9438),2)
+POWER(LN(S9438),2)
+POWER(LN(T9438),2)
)
)))</f>
        <v>0.15984597228197622</v>
      </c>
    </row>
    <row r="9439" spans="1:22" x14ac:dyDescent="0.2">
      <c r="A9439" s="45" t="str">
        <f>"hydrogen supply, transported by "&amp;B9410&amp;", produced by "&amp;B9414&amp;" using "&amp;B9415&amp;" from "&amp;B9416</f>
        <v>hydrogen supply, transported by pipeline, produced by Electrolysis, SOEC using water and electricity from Wind (DK)</v>
      </c>
      <c r="B9439" s="53">
        <f>(B9435/B9419)/B9418*B9430</f>
        <v>2.1364003947168392E-3</v>
      </c>
      <c r="C9439" t="s">
        <v>56</v>
      </c>
      <c r="E9439" t="s">
        <v>64</v>
      </c>
      <c r="F9439" t="s">
        <v>86</v>
      </c>
      <c r="G9439" t="str">
        <f>"hydrogen, gaseous, from "&amp;B9410</f>
        <v>hydrogen, gaseous, from pipeline</v>
      </c>
      <c r="H9439" t="s">
        <v>76</v>
      </c>
      <c r="I9439" t="s">
        <v>1054</v>
      </c>
      <c r="J9439" t="s">
        <v>304</v>
      </c>
      <c r="K9439" t="str">
        <f>B9396</f>
        <v>heat, residential, by conversion of hydrogen using fuel cell, SOFC, allocated by exergy, transported by pipeline, produced by Electrolysis, SOEC using water and electricity from Wind (DK)</v>
      </c>
      <c r="L9439">
        <f>IF(OR(B9439&lt;0,B9439=0),1,2)</f>
        <v>2</v>
      </c>
      <c r="M9439">
        <f>IF(L9439=2,LN(B9439),"")</f>
        <v>-6.1486329247407472</v>
      </c>
      <c r="N9439">
        <v>1</v>
      </c>
      <c r="O9439" s="15">
        <v>1.2</v>
      </c>
      <c r="P9439">
        <v>1</v>
      </c>
      <c r="Q9439">
        <v>1.01</v>
      </c>
      <c r="R9439">
        <v>1.2</v>
      </c>
      <c r="S9439">
        <v>1.2</v>
      </c>
      <c r="T9439">
        <v>1.05</v>
      </c>
      <c r="U9439">
        <f>LN(SQRT(EXP(
SQRT(
+POWER(LN(N9439),2)
+POWER(LN(O9439),2)
+POWER(LN(P9439),2)
+POWER(LN(Q9439),2)
+POWER(LN(R9439),2)
+POWER(LN(S9439),2)
+POWER(LN(T9439),2)
)
)))</f>
        <v>0.15984597228197622</v>
      </c>
    </row>
    <row r="9440" spans="1:22" x14ac:dyDescent="0.2">
      <c r="A9440" t="s">
        <v>134</v>
      </c>
      <c r="B9440" s="45">
        <f>B9439*9</f>
        <v>1.9227603552451553E-2</v>
      </c>
      <c r="C9440" t="s">
        <v>56</v>
      </c>
      <c r="D9440" t="s">
        <v>100</v>
      </c>
      <c r="F9440" t="s">
        <v>99</v>
      </c>
      <c r="H9440" t="s">
        <v>131</v>
      </c>
      <c r="I9440" t="s">
        <v>1057</v>
      </c>
      <c r="K9440" t="str">
        <f>B9396</f>
        <v>heat, residential, by conversion of hydrogen using fuel cell, SOFC, allocated by exergy, transported by pipeline, produced by Electrolysis, SOEC using water and electricity from Wind (DK)</v>
      </c>
      <c r="L9440">
        <f>IF(OR(B9440&lt;0,B9440=0),1,2)</f>
        <v>2</v>
      </c>
      <c r="M9440">
        <f>IF(L9440=2,LN(B9440),"")</f>
        <v>-3.9514083474045276</v>
      </c>
      <c r="N9440">
        <v>1</v>
      </c>
      <c r="O9440" s="15">
        <v>1.2</v>
      </c>
      <c r="P9440">
        <v>1</v>
      </c>
      <c r="Q9440">
        <v>1.01</v>
      </c>
      <c r="R9440">
        <v>1.2</v>
      </c>
      <c r="S9440">
        <v>1.2</v>
      </c>
      <c r="T9440">
        <v>1.05</v>
      </c>
      <c r="U9440">
        <f>LN(SQRT(EXP(
SQRT(
+POWER(LN(N9440),2)
+POWER(LN(O9440),2)
+POWER(LN(P9440),2)
+POWER(LN(Q9440),2)
+POWER(LN(R9440),2)
+POWER(LN(S9440),2)
+POWER(LN(T9440),2)
)
)))</f>
        <v>0.15984597228197622</v>
      </c>
    </row>
    <row r="9442" spans="1:2" x14ac:dyDescent="0.2">
      <c r="A9442" s="2" t="s">
        <v>50</v>
      </c>
      <c r="B9442" s="44" t="str">
        <f>IF(B9448="megajoule","heat","electricity")&amp;", residential, by "&amp;B9453&amp;" of "&amp;B9452&amp;" using "&amp;B9454&amp;IF(B9455&lt;&gt;0,", allocated by "&amp;B9455,"")&amp;", transported by "&amp;B9456&amp;", produced by "&amp;B9460&amp;" using "&amp;B9461&amp;" from "&amp;B9462</f>
        <v>electricity, residential, by combustion of hydrogen using CHP, allocated by exergy, transported by pipeline, produced by Electrolysis, SOEC using water and electricity from Wind (DK)</v>
      </c>
    </row>
    <row r="9443" spans="1:2" x14ac:dyDescent="0.2">
      <c r="A9443" t="s">
        <v>51</v>
      </c>
      <c r="B9443" s="45" t="str">
        <f>"This dataset represents the supply of 1 "&amp;IF(B9448="megajoule","megajoule of heat","kilowatt hour of electricity")&amp;" in a residence, by "&amp;B9452&amp;" "&amp;B9453&amp;" in a "&amp;B9454&amp;". "&amp;" The hydrogen is transported by "&amp;B9456&amp;" over "&amp;B9457&amp;" km from regional storage. "&amp;" The "&amp;B9452&amp;" is produced by  "&amp;B9460&amp;", with "&amp;B9461&amp;" from "&amp;B9462&amp;" as feedstock. "&amp;A9464&amp;": "&amp;(B9464*100)&amp;"%. "&amp;A9465&amp;": "&amp;B9465&amp;". "&amp;A9466&amp;": "&amp;B9466&amp;". "&amp;A9467&amp;": "&amp;(B9467*100)&amp;"%. "&amp;A9468&amp;": "&amp;(B9468*100)&amp;"%. "&amp;A9469&amp;": "&amp;(B9469*100)&amp;"%. "&amp;A9470&amp;": "&amp;B9470&amp;". "&amp;A9471&amp;": "&amp;B9471&amp;". "&amp;A9472&amp;": "&amp;(B9472*100)&amp;"%. "&amp;A9473&amp;": "&amp;B9473&amp;". "&amp;A9474&amp;": "&amp;B9474&amp;". "&amp;A9475&amp;": "&amp;B9475&amp;". "&amp;A9476&amp;": "&amp;B9476&amp;".  For more information, refer to: "&amp;B9444</f>
        <v>This dataset represents the supply of 1 kilowatt hour of electricity in a residence, by hydrogen combustion in a CHP.  The hydrogen is transported by pipeline over 1300 km from regional storage.  The hydrogen is produced by  Electrolysis, SOEC,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9444" spans="1:2" x14ac:dyDescent="0.2">
      <c r="A9444" t="s">
        <v>63</v>
      </c>
      <c r="B9444" s="45" t="s">
        <v>1223</v>
      </c>
    </row>
    <row r="9445" spans="1:2" x14ac:dyDescent="0.2">
      <c r="A9445" t="s">
        <v>52</v>
      </c>
      <c r="B9445" s="45" t="s">
        <v>64</v>
      </c>
    </row>
    <row r="9446" spans="1:2" x14ac:dyDescent="0.2">
      <c r="A9446" t="s">
        <v>48</v>
      </c>
      <c r="B9446" s="45" t="s">
        <v>949</v>
      </c>
    </row>
    <row r="9447" spans="1:2" x14ac:dyDescent="0.2">
      <c r="A9447" t="s">
        <v>54</v>
      </c>
      <c r="B9447" s="45" t="str">
        <f>INDEX(overview!$B$4:$R$338,MATCH('hydrogen - electrolysis'!B9446,overview!$A$4:$A$338,0),MATCH('hydrogen - electrolysis'!A9447,overview!$B$3:$R$3,0))</f>
        <v>electricity, from residential heating system</v>
      </c>
    </row>
    <row r="9448" spans="1:2" x14ac:dyDescent="0.2">
      <c r="A9448" t="s">
        <v>55</v>
      </c>
      <c r="B9448" s="45" t="str">
        <f>INDEX(overview!$B$4:$R$338,MATCH('hydrogen - electrolysis'!B9446,overview!$A$4:$A$338,0),MATCH('hydrogen - electrolysis'!A9448,overview!$B$3:$R$3,0))</f>
        <v>kilowatt hour</v>
      </c>
    </row>
    <row r="9449" spans="1:2" x14ac:dyDescent="0.2">
      <c r="A9449" t="s">
        <v>0</v>
      </c>
      <c r="B9449" s="45" t="str">
        <f>INDEX(overview!$B$4:$R$338,MATCH('hydrogen - electrolysis'!B9446,overview!$A$4:$A$338,0),MATCH('hydrogen - electrolysis'!A9449,overview!$B$3:$R$3,0))</f>
        <v>Switzerland</v>
      </c>
    </row>
    <row r="9450" spans="1:2" x14ac:dyDescent="0.2">
      <c r="A9450" t="s">
        <v>1</v>
      </c>
      <c r="B9450" s="45">
        <f>INDEX(overview!$B$4:$R$338,MATCH('hydrogen - electrolysis'!B9446,overview!$A$4:$A$338,0),MATCH('hydrogen - electrolysis'!A9450,overview!$B$3:$R$3,0))</f>
        <v>2020</v>
      </c>
    </row>
    <row r="9451" spans="1:2" x14ac:dyDescent="0.2">
      <c r="A9451" t="s">
        <v>2</v>
      </c>
      <c r="B9451" s="45" t="str">
        <f>INDEX(overview!$B$4:$R$338,MATCH('hydrogen - electrolysis'!B9446,overview!$A$4:$A$338,0),MATCH('hydrogen - electrolysis'!A9451,overview!$B$3:$R$3,0))</f>
        <v>1 kWh electricity</v>
      </c>
    </row>
    <row r="9452" spans="1:2" x14ac:dyDescent="0.2">
      <c r="A9452" t="s">
        <v>5</v>
      </c>
      <c r="B9452" s="45" t="str">
        <f>INDEX(overview!$B$4:$R$338,MATCH('hydrogen - electrolysis'!B9446,overview!$A$4:$A$338,0),MATCH('hydrogen - electrolysis'!A9452,overview!$B$3:$R$3,0))</f>
        <v>hydrogen</v>
      </c>
    </row>
    <row r="9453" spans="1:2" x14ac:dyDescent="0.2">
      <c r="A9453" t="s">
        <v>3</v>
      </c>
      <c r="B9453" s="45" t="str">
        <f>INDEX(overview!$B$4:$R$338,MATCH('hydrogen - electrolysis'!B9446,overview!$A$4:$A$338,0),MATCH('hydrogen - electrolysis'!A9453,overview!$B$3:$R$3,0))</f>
        <v>combustion</v>
      </c>
    </row>
    <row r="9454" spans="1:2" x14ac:dyDescent="0.2">
      <c r="A9454" t="s">
        <v>6</v>
      </c>
      <c r="B9454" s="45" t="str">
        <f>INDEX(overview!$B$4:$R$338,MATCH('hydrogen - electrolysis'!B9446,overview!$A$4:$A$338,0),MATCH('hydrogen - electrolysis'!A9454,overview!$B$3:$R$3,0))</f>
        <v>CHP</v>
      </c>
    </row>
    <row r="9455" spans="1:2" x14ac:dyDescent="0.2">
      <c r="A9455" t="s">
        <v>39</v>
      </c>
      <c r="B9455" s="45" t="str">
        <f>INDEX(overview!$B$4:$R$338,MATCH('hydrogen - electrolysis'!B9446,overview!$A$4:$A$338,0),MATCH('hydrogen - electrolysis'!A9455,overview!$B$3:$R$3,0))</f>
        <v>exergy</v>
      </c>
    </row>
    <row r="9456" spans="1:2" x14ac:dyDescent="0.2">
      <c r="A9456" t="s">
        <v>4</v>
      </c>
      <c r="B9456" s="45" t="str">
        <f>INDEX(overview!$B$4:$R$338,MATCH('hydrogen - electrolysis'!B9446,overview!$A$4:$A$338,0),MATCH('hydrogen - electrolysis'!A9456,overview!$B$3:$R$3,0))</f>
        <v>pipeline</v>
      </c>
    </row>
    <row r="9457" spans="1:2" x14ac:dyDescent="0.2">
      <c r="A9457" t="s">
        <v>38</v>
      </c>
      <c r="B9457" s="45">
        <f>INDEX(overview!$B$4:$R$338,MATCH('hydrogen - electrolysis'!B9446,overview!$A$4:$A$338,0),MATCH('hydrogen - electrolysis'!A9457,overview!$B$3:$R$3,0))</f>
        <v>1300</v>
      </c>
    </row>
    <row r="9458" spans="1:2" x14ac:dyDescent="0.2">
      <c r="A9458" t="s">
        <v>12</v>
      </c>
      <c r="B9458" s="45" t="str">
        <f>INDEX(overview!$B$4:$R$338,MATCH('hydrogen - electrolysis'!B9446,overview!$A$4:$A$338,0),MATCH('hydrogen - electrolysis'!A9458,overview!$B$3:$R$3,0))</f>
        <v>Pressure vessel for stationary storage</v>
      </c>
    </row>
    <row r="9459" spans="1:2" x14ac:dyDescent="0.2">
      <c r="A9459" t="s">
        <v>34</v>
      </c>
      <c r="B9459" s="45">
        <f>INDEX(overview!$B$4:$R$338,MATCH('hydrogen - electrolysis'!B9446,overview!$A$4:$A$338,0),MATCH('hydrogen - electrolysis'!A9459,overview!$B$3:$R$3,0))</f>
        <v>0</v>
      </c>
    </row>
    <row r="9460" spans="1:2" x14ac:dyDescent="0.2">
      <c r="A9460" t="s">
        <v>15</v>
      </c>
      <c r="B9460" s="45" t="str">
        <f>INDEX(overview!$B$4:$R$338,MATCH('hydrogen - electrolysis'!B9446,overview!$A$4:$A$338,0),MATCH('hydrogen - electrolysis'!A9460,overview!$B$3:$R$3,0))</f>
        <v>Electrolysis, SOEC</v>
      </c>
    </row>
    <row r="9461" spans="1:2" x14ac:dyDescent="0.2">
      <c r="A9461" t="s">
        <v>14</v>
      </c>
      <c r="B9461" s="45" t="str">
        <f>INDEX(overview!$B$4:$R$338,MATCH('hydrogen - electrolysis'!B9446,overview!$A$4:$A$338,0),MATCH('hydrogen - electrolysis'!A9461,overview!$B$3:$R$3,0))</f>
        <v>water and electricity</v>
      </c>
    </row>
    <row r="9462" spans="1:2" x14ac:dyDescent="0.2">
      <c r="A9462" t="s">
        <v>26</v>
      </c>
      <c r="B9462" s="45" t="str">
        <f>INDEX(overview!$B$4:$R$338,MATCH('hydrogen - electrolysis'!B9446,overview!$A$4:$A$338,0),MATCH('hydrogen - electrolysis'!A9462,overview!$B$3:$R$3,0))</f>
        <v>Wind (DK)</v>
      </c>
    </row>
    <row r="9463" spans="1:2" x14ac:dyDescent="0.2">
      <c r="A9463" t="s">
        <v>29</v>
      </c>
      <c r="B9463" s="45">
        <f>INDEX(overview!$B$4:$R$338,MATCH('hydrogen - electrolysis'!B9446,overview!$A$4:$A$338,0),MATCH('hydrogen - electrolysis'!A9463,overview!$B$3:$R$3,0))</f>
        <v>0</v>
      </c>
    </row>
    <row r="9464" spans="1:2" x14ac:dyDescent="0.2">
      <c r="A9464" t="str">
        <f>IF(B9448="megajoule","Heat","Electricity")&amp;" conversion efficiency [% LHV input]"</f>
        <v>Electricity conversion efficiency [% LHV input]</v>
      </c>
      <c r="B9464" s="46">
        <f>INDEX(parameters!$D$4:$N$20,MATCH('hydrogen - electrolysis'!B9452&amp;'hydrogen - electrolysis'!B9454,parameters!$A$4:$A$20,0),MATCH('hydrogen - electrolysis'!A9464,parameters!$D$3:$N$3,0))</f>
        <v>0.39400000000000002</v>
      </c>
    </row>
    <row r="9465" spans="1:2" x14ac:dyDescent="0.2">
      <c r="A9465" t="str">
        <f>IF(B9448="megajoule","LHV [MJ/kg]","LHV [kWh/kg]")</f>
        <v>LHV [kWh/kg]</v>
      </c>
      <c r="B9465" s="47">
        <f>INDEX(parameters!$D$4:$N$20,MATCH('hydrogen - electrolysis'!B9452&amp;'hydrogen - electrolysis'!B9454,parameters!$A$4:$A$20,0),MATCH('hydrogen - electrolysis'!A9465,parameters!$D$3:$N$3,0))</f>
        <v>33.333333333333336</v>
      </c>
    </row>
    <row r="9466" spans="1:2" x14ac:dyDescent="0.2">
      <c r="A9466" t="s">
        <v>41</v>
      </c>
      <c r="B9466" s="48">
        <f>INDEX(parameters!$D$4:$N$20,MATCH('hydrogen - electrolysis'!B9452&amp;'hydrogen - electrolysis'!B9454,parameters!$A$4:$A$20,0),MATCH('hydrogen - electrolysis'!A9466,parameters!$D$3:$N$3,0))</f>
        <v>2.6666666666666665E-2</v>
      </c>
    </row>
    <row r="9467" spans="1:2" x14ac:dyDescent="0.2">
      <c r="A9467" t="s">
        <v>45</v>
      </c>
      <c r="B9467" s="46">
        <f>INDEX(parameters!$D$4:$N$20,MATCH('hydrogen - electrolysis'!B9452&amp;'hydrogen - electrolysis'!B9454,parameters!$A$4:$A$20,0),MATCH('hydrogen - electrolysis'!A9467,parameters!$D$3:$N$3,0))</f>
        <v>0</v>
      </c>
    </row>
    <row r="9468" spans="1:2" x14ac:dyDescent="0.2">
      <c r="A9468" t="s">
        <v>46</v>
      </c>
      <c r="B9468" s="46">
        <f>INDEX(parameters!$D$4:$N$20,MATCH('hydrogen - electrolysis'!B9452&amp;'hydrogen - electrolysis'!B9454,parameters!$A$4:$A$20,0),MATCH('hydrogen - electrolysis'!A9468,parameters!$D$3:$N$3,0))</f>
        <v>1.4999999999999999E-2</v>
      </c>
    </row>
    <row r="9469" spans="1:2" x14ac:dyDescent="0.2">
      <c r="A9469" t="s">
        <v>43</v>
      </c>
      <c r="B9469" s="46">
        <f>INDEX(parameters!$D$4:$N$20,MATCH('hydrogen - electrolysis'!B9452&amp;'hydrogen - electrolysis'!B9454,parameters!$A$4:$A$20,0),MATCH('hydrogen - electrolysis'!A9469,parameters!$D$3:$N$3,0))</f>
        <v>0</v>
      </c>
    </row>
    <row r="9470" spans="1:2" x14ac:dyDescent="0.2">
      <c r="A9470" t="s">
        <v>44</v>
      </c>
      <c r="B9470" s="46">
        <f>INDEX(parameters!$D$4:$N$20,MATCH('hydrogen - electrolysis'!B9452&amp;'hydrogen - electrolysis'!B9454,parameters!$A$4:$A$20,0),MATCH('hydrogen - electrolysis'!A9470,parameters!$D$3:$N$3,0))</f>
        <v>0</v>
      </c>
    </row>
    <row r="9471" spans="1:2" x14ac:dyDescent="0.2">
      <c r="A9471" t="s">
        <v>634</v>
      </c>
      <c r="B9471" s="51">
        <f>INDEX(parameters!$D$4:$Y$20,MATCH('hydrogen - electrolysis'!B9452&amp;'hydrogen - electrolysis'!B9454,parameters!$A$4:$A$20,0),MATCH('hydrogen - electrolysis'!A9471,parameters!$D$3:$Y$3,0))</f>
        <v>351.41800246609125</v>
      </c>
    </row>
    <row r="9472" spans="1:2" x14ac:dyDescent="0.2">
      <c r="A9472" t="s">
        <v>82</v>
      </c>
      <c r="B9472" s="46">
        <f>IF(B9463&lt;&gt;0,VLOOKUP(B9463,parameters!A5999:B6001,2,0),0)</f>
        <v>0</v>
      </c>
    </row>
    <row r="9473" spans="1:22" x14ac:dyDescent="0.2">
      <c r="A9473" t="s">
        <v>548</v>
      </c>
      <c r="B9473" s="50">
        <f>INDEX(parameters!$D$4:$P$20,MATCH(B9452&amp;B9454,parameters!$A$4:$A$20,0),MATCH(A9473,parameters!$D$3:$P$3,0))</f>
        <v>125</v>
      </c>
    </row>
    <row r="9474" spans="1:22" x14ac:dyDescent="0.2">
      <c r="A9474" t="s">
        <v>547</v>
      </c>
      <c r="B9474" s="51">
        <f>INDEX(parameters!$D$4:$P$20,MATCH(B9452&amp;B9454,parameters!$A$4:$A$20,0),MATCH(A9474,parameters!$D$3:$P$3,0))</f>
        <v>19.512195121951219</v>
      </c>
    </row>
    <row r="9475" spans="1:22" x14ac:dyDescent="0.2">
      <c r="A9475" t="s">
        <v>630</v>
      </c>
      <c r="B9475" s="51">
        <f>INDEX(parameters!$D$4:$T$20,MATCH(B9452&amp;B9454,parameters!$A$4:$A$20,0),MATCH(A9475,parameters!$D$3:$T$3,0))</f>
        <v>4100</v>
      </c>
    </row>
    <row r="9476" spans="1:22" x14ac:dyDescent="0.2">
      <c r="A9476" t="s">
        <v>1005</v>
      </c>
      <c r="B9476" s="50">
        <f>IF(B9448="megajoule",SUMIFS(allocation!$I$4:$I$30,allocation!$B$4:$B$30,B9454,allocation!$C$4:$C$30,B9455),SUMIFS(allocation!$J$4:$J$30,allocation!$B$4:$B$30,B9454,allocation!$C$4:$C$30,B9455))</f>
        <v>0.87139957772704957</v>
      </c>
    </row>
    <row r="9477" spans="1:22" x14ac:dyDescent="0.2">
      <c r="A9477" t="s">
        <v>1050</v>
      </c>
      <c r="B9477" s="51">
        <f>INDEX(parameters!$D$4:$AB$20,MATCH(B9452&amp;B9454,parameters!$A$4:$A$20,0),MATCH(A9477,parameters!$D$3:$AB$3,0))</f>
        <v>2220.7364520822662</v>
      </c>
    </row>
    <row r="9479" spans="1:22" x14ac:dyDescent="0.2">
      <c r="A9479" s="3" t="s">
        <v>57</v>
      </c>
    </row>
    <row r="9480" spans="1:22" x14ac:dyDescent="0.2">
      <c r="A9480" s="2" t="s">
        <v>58</v>
      </c>
      <c r="B9480" s="44" t="s">
        <v>59</v>
      </c>
      <c r="C9480" s="2" t="s">
        <v>55</v>
      </c>
      <c r="D9480" s="2" t="s">
        <v>60</v>
      </c>
      <c r="E9480" s="2" t="s">
        <v>52</v>
      </c>
      <c r="F9480" s="2" t="s">
        <v>61</v>
      </c>
      <c r="G9480" s="2" t="s">
        <v>54</v>
      </c>
      <c r="H9480" s="2" t="s">
        <v>87</v>
      </c>
      <c r="I9480" s="2" t="s">
        <v>51</v>
      </c>
      <c r="J9480" s="2" t="s">
        <v>138</v>
      </c>
      <c r="K9480" s="2" t="s">
        <v>136</v>
      </c>
      <c r="L9480" s="2" t="s">
        <v>221</v>
      </c>
      <c r="M9480" s="2" t="s">
        <v>379</v>
      </c>
      <c r="N9480" s="2" t="s">
        <v>1059</v>
      </c>
      <c r="O9480" s="2" t="s">
        <v>1060</v>
      </c>
      <c r="P9480" s="2" t="s">
        <v>1061</v>
      </c>
      <c r="Q9480" s="2" t="s">
        <v>1062</v>
      </c>
      <c r="R9480" s="2" t="s">
        <v>1063</v>
      </c>
      <c r="S9480" s="2" t="s">
        <v>1064</v>
      </c>
      <c r="T9480" s="2" t="s">
        <v>1065</v>
      </c>
      <c r="U9480" s="2" t="s">
        <v>380</v>
      </c>
      <c r="V9480" s="2" t="s">
        <v>1128</v>
      </c>
    </row>
    <row r="9481" spans="1:22" x14ac:dyDescent="0.2">
      <c r="A9481" t="str">
        <f>B9442</f>
        <v>electricity, residential, by combustion of hydrogen using CHP, allocated by exergy, transported by pipeline, produced by Electrolysis, SOEC using water and electricity from Wind (DK)</v>
      </c>
      <c r="B9481" s="45">
        <v>1</v>
      </c>
      <c r="C9481" t="str">
        <f>B9448</f>
        <v>kilowatt hour</v>
      </c>
      <c r="E9481" t="str">
        <f>B9445</f>
        <v>CH</v>
      </c>
      <c r="F9481" t="s">
        <v>62</v>
      </c>
      <c r="G9481" t="str">
        <f>B9447</f>
        <v>electricity, from residential heating system</v>
      </c>
      <c r="K9481" t="str">
        <f>B9442</f>
        <v>electricity, residential, by combustion of hydrogen using CHP, allocated by exergy, transported by pipeline, produced by Electrolysis, SOEC using water and electricity from Wind (DK)</v>
      </c>
    </row>
    <row r="9482" spans="1:22" x14ac:dyDescent="0.2">
      <c r="A9482" t="str">
        <f>VLOOKUP(J9482,'dataset mapping'!$A$4:$E$69,2,0)</f>
        <v>heat and power co-generation unit construction, 160kW electrical, common components for heat+electricity</v>
      </c>
      <c r="B9482" s="52">
        <f>(1/(B9471*B9475*B9474))*B9476</f>
        <v>3.0995835856870056E-8</v>
      </c>
      <c r="C9482" t="str">
        <f>VLOOKUP(J9482,'dataset mapping'!$A$4:$E$69,5,0)</f>
        <v>unit</v>
      </c>
      <c r="E9482" t="str">
        <f>VLOOKUP(J9482,'dataset mapping'!$A$4:$E$69,4,0)</f>
        <v>RER</v>
      </c>
      <c r="F9482" t="s">
        <v>86</v>
      </c>
      <c r="G9482" t="str">
        <f>VLOOKUP(J9482,'dataset mapping'!$A$4:$E$69,3,0)</f>
        <v>heat and power co-generation unit, 160kW electrical, common components for heat+electricity</v>
      </c>
      <c r="H9482" t="s">
        <v>88</v>
      </c>
      <c r="J9482" t="s">
        <v>145</v>
      </c>
      <c r="K9482" t="str">
        <f>B9442</f>
        <v>electricity, residential, by combustion of hydrogen using CHP, allocated by exergy, transported by pipeline, produced by Electrolysis, SOEC using water and electricity from Wind (DK)</v>
      </c>
      <c r="L9482">
        <f t="shared" ref="L9482:L9489" si="406">IF(OR(B9482&lt;0,B9482=0),1,2)</f>
        <v>2</v>
      </c>
      <c r="M9482">
        <f t="shared" ref="M9482:M9489" si="407">IF(L9482=2,LN(B9482),"")</f>
        <v>-17.28941296868171</v>
      </c>
      <c r="N9482">
        <v>1.05</v>
      </c>
      <c r="O9482" s="15">
        <v>1.2</v>
      </c>
      <c r="P9482">
        <v>1</v>
      </c>
      <c r="Q9482">
        <v>1.01</v>
      </c>
      <c r="R9482">
        <v>1.2</v>
      </c>
      <c r="S9482">
        <v>1.2</v>
      </c>
      <c r="T9482">
        <v>3</v>
      </c>
      <c r="U9482">
        <f t="shared" ref="U9482:U9489" si="408">LN(SQRT(EXP(
SQRT(
+POWER(LN(N9482),2)
+POWER(LN(O9482),2)
+POWER(LN(P9482),2)
+POWER(LN(Q9482),2)
+POWER(LN(R9482),2)
+POWER(LN(S9482),2)
+POWER(LN(T9482),2)
)
)))</f>
        <v>0.57209088006881903</v>
      </c>
    </row>
    <row r="9483" spans="1:22" x14ac:dyDescent="0.2">
      <c r="A9483" t="str">
        <f>VLOOKUP(J9483,'dataset mapping'!$A$4:$E$69,2,0)</f>
        <v>heat and power co-generation unit construction, 160kW electrical, components for electricity only</v>
      </c>
      <c r="B9483" s="52">
        <f>(1/(B9471*B9475*B9474))*B9476</f>
        <v>3.0995835856870056E-8</v>
      </c>
      <c r="C9483" t="str">
        <f>VLOOKUP(J9483,'dataset mapping'!$A$4:$E$69,5,0)</f>
        <v>unit</v>
      </c>
      <c r="E9483" t="str">
        <f>VLOOKUP(J9483,'dataset mapping'!$A$4:$E$69,4,0)</f>
        <v>RER</v>
      </c>
      <c r="F9483" t="s">
        <v>86</v>
      </c>
      <c r="G9483" t="str">
        <f>VLOOKUP(J9483,'dataset mapping'!$A$4:$E$69,3,0)</f>
        <v>heat and power co-generation unit, 160kW electrical, components for electricity only</v>
      </c>
      <c r="H9483" t="s">
        <v>88</v>
      </c>
      <c r="J9483" t="s">
        <v>146</v>
      </c>
      <c r="K9483" t="str">
        <f>B9442</f>
        <v>electricity, residential, by combustion of hydrogen using CHP, allocated by exergy, transported by pipeline, produced by Electrolysis, SOEC using water and electricity from Wind (DK)</v>
      </c>
      <c r="L9483">
        <f t="shared" si="406"/>
        <v>2</v>
      </c>
      <c r="M9483">
        <f t="shared" si="407"/>
        <v>-17.28941296868171</v>
      </c>
      <c r="N9483">
        <v>1.05</v>
      </c>
      <c r="O9483" s="15">
        <v>1.2</v>
      </c>
      <c r="P9483">
        <v>1</v>
      </c>
      <c r="Q9483">
        <v>1.01</v>
      </c>
      <c r="R9483">
        <v>1.2</v>
      </c>
      <c r="S9483">
        <v>1.2</v>
      </c>
      <c r="T9483">
        <v>3</v>
      </c>
      <c r="U9483">
        <f t="shared" si="408"/>
        <v>0.57209088006881903</v>
      </c>
    </row>
    <row r="9484" spans="1:22" x14ac:dyDescent="0.2">
      <c r="A9484" t="str">
        <f>VLOOKUP(J9484,'dataset mapping'!$A$4:$E$69,2,0)</f>
        <v>heat and power co-generation unit construction, 160kW electrical, components for heat only</v>
      </c>
      <c r="B9484" s="52">
        <f>(1/(B9471*B9475*B9474))*B9476</f>
        <v>3.0995835856870056E-8</v>
      </c>
      <c r="C9484" t="str">
        <f>VLOOKUP(J9484,'dataset mapping'!$A$4:$E$69,5,0)</f>
        <v>unit</v>
      </c>
      <c r="E9484" t="str">
        <f>VLOOKUP(J9484,'dataset mapping'!$A$4:$E$69,4,0)</f>
        <v>RER</v>
      </c>
      <c r="F9484" t="s">
        <v>86</v>
      </c>
      <c r="G9484" t="str">
        <f>VLOOKUP(J9484,'dataset mapping'!$A$4:$E$69,3,0)</f>
        <v>heat and power co-generation unit, 160kW electrical, components for heat only</v>
      </c>
      <c r="H9484" t="s">
        <v>88</v>
      </c>
      <c r="J9484" t="s">
        <v>147</v>
      </c>
      <c r="K9484" t="str">
        <f>B9442</f>
        <v>electricity, residential, by combustion of hydrogen using CHP, allocated by exergy, transported by pipeline, produced by Electrolysis, SOEC using water and electricity from Wind (DK)</v>
      </c>
      <c r="L9484">
        <f t="shared" si="406"/>
        <v>2</v>
      </c>
      <c r="M9484">
        <f t="shared" si="407"/>
        <v>-17.28941296868171</v>
      </c>
      <c r="N9484">
        <v>1.05</v>
      </c>
      <c r="O9484" s="15">
        <v>1.2</v>
      </c>
      <c r="P9484">
        <v>1</v>
      </c>
      <c r="Q9484">
        <v>1.01</v>
      </c>
      <c r="R9484">
        <v>1.2</v>
      </c>
      <c r="S9484">
        <v>1.2</v>
      </c>
      <c r="T9484">
        <v>3</v>
      </c>
      <c r="U9484">
        <f t="shared" si="408"/>
        <v>0.57209088006881903</v>
      </c>
    </row>
    <row r="9485" spans="1:22" x14ac:dyDescent="0.2">
      <c r="A9485" t="s">
        <v>156</v>
      </c>
      <c r="B9485" s="52">
        <f>0.00000011366*B9476</f>
        <v>9.9043276004456456E-8</v>
      </c>
      <c r="C9485" t="s">
        <v>56</v>
      </c>
      <c r="E9485" t="s">
        <v>90</v>
      </c>
      <c r="F9485" t="s">
        <v>86</v>
      </c>
      <c r="G9485" t="s">
        <v>154</v>
      </c>
      <c r="H9485" t="s">
        <v>155</v>
      </c>
      <c r="K9485" t="str">
        <f>B9442</f>
        <v>electricity, residential, by combustion of hydrogen using CHP, allocated by exergy, transported by pipeline, produced by Electrolysis, SOEC using water and electricity from Wind (DK)</v>
      </c>
      <c r="L9485">
        <f t="shared" si="406"/>
        <v>2</v>
      </c>
      <c r="M9485">
        <f t="shared" si="407"/>
        <v>-16.127708950967754</v>
      </c>
      <c r="N9485">
        <v>1.05</v>
      </c>
      <c r="O9485" s="15">
        <v>1.2</v>
      </c>
      <c r="P9485">
        <v>1</v>
      </c>
      <c r="Q9485">
        <v>1.01</v>
      </c>
      <c r="R9485">
        <v>1.2</v>
      </c>
      <c r="S9485">
        <v>1.2</v>
      </c>
      <c r="T9485">
        <v>1.05</v>
      </c>
      <c r="U9485">
        <f t="shared" si="408"/>
        <v>0.16169679924070957</v>
      </c>
    </row>
    <row r="9486" spans="1:22" x14ac:dyDescent="0.2">
      <c r="A9486" t="s">
        <v>157</v>
      </c>
      <c r="B9486" s="52">
        <f>0.00000011366*B9476*-1</f>
        <v>-9.9043276004456456E-8</v>
      </c>
      <c r="C9486" t="s">
        <v>56</v>
      </c>
      <c r="E9486" t="s">
        <v>64</v>
      </c>
      <c r="F9486" t="s">
        <v>86</v>
      </c>
      <c r="G9486" t="s">
        <v>158</v>
      </c>
      <c r="H9486" t="s">
        <v>155</v>
      </c>
      <c r="K9486" t="str">
        <f>B9442</f>
        <v>electricity, residential, by combustion of hydrogen using CHP, allocated by exergy, transported by pipeline, produced by Electrolysis, SOEC using water and electricity from Wind (DK)</v>
      </c>
      <c r="L9486">
        <v>2</v>
      </c>
      <c r="M9486">
        <f>IF(L9486=2,LN(B9486*-1),"")</f>
        <v>-16.127708950967754</v>
      </c>
      <c r="N9486">
        <v>1.05</v>
      </c>
      <c r="O9486" s="15">
        <v>1.2</v>
      </c>
      <c r="P9486">
        <v>1</v>
      </c>
      <c r="Q9486">
        <v>1.01</v>
      </c>
      <c r="R9486">
        <v>1.2</v>
      </c>
      <c r="S9486">
        <v>1.2</v>
      </c>
      <c r="T9486">
        <v>3</v>
      </c>
      <c r="U9486">
        <f>LN(SQRT(EXP(
SQRT(
+POWER(LN(N9486),2)
+POWER(LN(O9486),2)
+POWER(LN(P9486),2)
+POWER(LN(Q9486),2)
+POWER(LN(R9486),2)
+POWER(LN(S9486),2)
+POWER(LN(T9486),2)
)
)))</f>
        <v>0.57209088006881903</v>
      </c>
      <c r="V9486" t="b">
        <v>1</v>
      </c>
    </row>
    <row r="9487" spans="1:22" x14ac:dyDescent="0.2">
      <c r="A9487" s="45" t="str">
        <f>"hydrogen supply, transported by "&amp;B9456&amp;", produced by "&amp;B9460&amp;" using "&amp;B9461&amp;" from "&amp;B9462</f>
        <v>hydrogen supply, transported by pipeline, produced by Electrolysis, SOEC using water and electricity from Wind (DK)</v>
      </c>
      <c r="B9487" s="53">
        <f>(B9481/B9465)/B9464*B9476</f>
        <v>6.6350221654343872E-2</v>
      </c>
      <c r="C9487" t="s">
        <v>56</v>
      </c>
      <c r="E9487" t="s">
        <v>64</v>
      </c>
      <c r="F9487" t="s">
        <v>86</v>
      </c>
      <c r="G9487" t="str">
        <f>"hydrogen, gaseous, from "&amp;B9456</f>
        <v>hydrogen, gaseous, from pipeline</v>
      </c>
      <c r="H9487" t="s">
        <v>76</v>
      </c>
      <c r="I9487" t="s">
        <v>1054</v>
      </c>
      <c r="J9487" t="s">
        <v>304</v>
      </c>
      <c r="K9487" t="str">
        <f>B9442</f>
        <v>electricity, residential, by combustion of hydrogen using CHP, allocated by exergy, transported by pipeline, produced by Electrolysis, SOEC using water and electricity from Wind (DK)</v>
      </c>
      <c r="L9487">
        <f t="shared" si="406"/>
        <v>2</v>
      </c>
      <c r="M9487">
        <f t="shared" si="407"/>
        <v>-2.7128081775260964</v>
      </c>
      <c r="N9487">
        <v>1.05</v>
      </c>
      <c r="O9487" s="15">
        <v>1.2</v>
      </c>
      <c r="P9487">
        <v>1</v>
      </c>
      <c r="Q9487">
        <v>1.01</v>
      </c>
      <c r="R9487">
        <v>1.2</v>
      </c>
      <c r="S9487">
        <v>1.2</v>
      </c>
      <c r="T9487">
        <v>1.05</v>
      </c>
      <c r="U9487">
        <f t="shared" si="408"/>
        <v>0.16169679924070957</v>
      </c>
    </row>
    <row r="9488" spans="1:22" x14ac:dyDescent="0.2">
      <c r="A9488" t="s">
        <v>134</v>
      </c>
      <c r="B9488" s="45">
        <f>B9487*9</f>
        <v>0.59715199488909487</v>
      </c>
      <c r="C9488" t="s">
        <v>56</v>
      </c>
      <c r="D9488" t="s">
        <v>100</v>
      </c>
      <c r="F9488" t="s">
        <v>99</v>
      </c>
      <c r="H9488" t="s">
        <v>131</v>
      </c>
      <c r="I9488" t="s">
        <v>1058</v>
      </c>
      <c r="K9488" t="str">
        <f>B9442</f>
        <v>electricity, residential, by combustion of hydrogen using CHP, allocated by exergy, transported by pipeline, produced by Electrolysis, SOEC using water and electricity from Wind (DK)</v>
      </c>
      <c r="L9488">
        <f t="shared" si="406"/>
        <v>2</v>
      </c>
      <c r="M9488">
        <f t="shared" si="407"/>
        <v>-0.51558360018987692</v>
      </c>
      <c r="N9488">
        <v>1.05</v>
      </c>
      <c r="O9488" s="15">
        <v>1.2</v>
      </c>
      <c r="P9488">
        <v>1</v>
      </c>
      <c r="Q9488">
        <v>1.01</v>
      </c>
      <c r="R9488">
        <v>1.2</v>
      </c>
      <c r="S9488">
        <v>1.2</v>
      </c>
      <c r="T9488">
        <v>1.05</v>
      </c>
      <c r="U9488">
        <f t="shared" si="408"/>
        <v>0.16169679924070957</v>
      </c>
    </row>
    <row r="9489" spans="1:21" x14ac:dyDescent="0.2">
      <c r="A9489" t="s">
        <v>135</v>
      </c>
      <c r="B9489" s="45">
        <f>912.5/1000000*B9487</f>
        <v>6.0544577259588785E-5</v>
      </c>
      <c r="C9489" t="s">
        <v>56</v>
      </c>
      <c r="D9489" t="s">
        <v>100</v>
      </c>
      <c r="F9489" t="s">
        <v>99</v>
      </c>
      <c r="H9489" t="s">
        <v>131</v>
      </c>
      <c r="I9489" t="s">
        <v>1217</v>
      </c>
      <c r="K9489" t="str">
        <f>B9442</f>
        <v>electricity, residential, by combustion of hydrogen using CHP, allocated by exergy, transported by pipeline, produced by Electrolysis, SOEC using water and electricity from Wind (DK)</v>
      </c>
      <c r="L9489">
        <f t="shared" si="406"/>
        <v>2</v>
      </c>
      <c r="M9489">
        <f t="shared" si="407"/>
        <v>-9.712130650033723</v>
      </c>
      <c r="N9489">
        <v>1.05</v>
      </c>
      <c r="O9489" s="15">
        <v>1.2</v>
      </c>
      <c r="P9489">
        <v>1</v>
      </c>
      <c r="Q9489">
        <v>1.01</v>
      </c>
      <c r="R9489">
        <v>1.2</v>
      </c>
      <c r="S9489">
        <v>1.2</v>
      </c>
      <c r="T9489">
        <v>1.5</v>
      </c>
      <c r="U9489">
        <f t="shared" si="408"/>
        <v>0.25816898211842121</v>
      </c>
    </row>
    <row r="9491" spans="1:21" x14ac:dyDescent="0.2">
      <c r="A9491" s="2" t="s">
        <v>50</v>
      </c>
      <c r="B9491" s="44" t="str">
        <f>IF(B9497="megajoule","heat","electricity")&amp;", residential, by "&amp;B9502&amp;" of "&amp;B9501&amp;" using "&amp;B9503&amp;IF(B9504&lt;&gt;0,", allocated by "&amp;B9504,"")&amp;", transported by "&amp;B9505&amp;", produced by "&amp;B9509&amp;" using "&amp;B9510&amp;" from "&amp;B9511</f>
        <v>electricity, residential, by conversion of hydrogen using fuel cell, PEM, allocated by exergy, transported by pipeline, produced by Electrolysis, SOEC using water and electricity from Wind (DK)</v>
      </c>
    </row>
    <row r="9492" spans="1:21" x14ac:dyDescent="0.2">
      <c r="A9492" t="s">
        <v>51</v>
      </c>
      <c r="B9492" s="45" t="str">
        <f>"This dataset represents the supply of 1 "&amp;IF(B9497="megajoule","megajoule of heat","kilowatt hour of electricity")&amp;" in a residence, by "&amp;B9501&amp;" "&amp;B9502&amp;" in a "&amp;B9503&amp;". "&amp;" The hydrogen is transported by "&amp;B9505&amp;" over "&amp;B9506&amp;" km from regional storage. "&amp;" The "&amp;B9501&amp;" is produced by  "&amp;B9509&amp;", with "&amp;B9510&amp;" from "&amp;B9511&amp;" as feedstock. "&amp;A9513&amp;": "&amp;(B9513*100)&amp;"%. "&amp;A9514&amp;": "&amp;B9514&amp;". "&amp;A9515&amp;": "&amp;B9515&amp;". "&amp;A9516&amp;": "&amp;(B9516*100)&amp;"%. "&amp;A9517&amp;": "&amp;(B9517*100)&amp;"%. "&amp;A9518&amp;": "&amp;(B9518*100)&amp;"%. "&amp;A9519&amp;": "&amp;B9519&amp;". "&amp;A9520&amp;": "&amp;B9520&amp;". "&amp;A9521&amp;": "&amp;(B9521*100)&amp;"%. "&amp;A9522&amp;": "&amp;B9522&amp;". "&amp;A9523&amp;": "&amp;B9523&amp;". "&amp;A9524&amp;": "&amp;B9524&amp;". "&amp;A9525&amp;": "&amp;B9525&amp;".  For more information, refer to: "&amp;B9493</f>
        <v>This dataset represents the supply of 1 kilowatt hour of electricity in a residence, by hydrogen conversion in a fuel cell, PEM.  The hydrogen is transported by pipeline over 1300 km from regional storage.  The hydrogen is produced by  Electrolysis, SOEC,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9493" spans="1:21" x14ac:dyDescent="0.2">
      <c r="A9493" t="s">
        <v>63</v>
      </c>
      <c r="B9493" s="45" t="s">
        <v>1223</v>
      </c>
    </row>
    <row r="9494" spans="1:21" x14ac:dyDescent="0.2">
      <c r="A9494" t="s">
        <v>52</v>
      </c>
      <c r="B9494" s="45" t="s">
        <v>64</v>
      </c>
    </row>
    <row r="9495" spans="1:21" x14ac:dyDescent="0.2">
      <c r="A9495" t="s">
        <v>48</v>
      </c>
      <c r="B9495" s="45" t="s">
        <v>950</v>
      </c>
    </row>
    <row r="9496" spans="1:21" x14ac:dyDescent="0.2">
      <c r="A9496" t="s">
        <v>54</v>
      </c>
      <c r="B9496" s="45" t="str">
        <f>INDEX(overview!$B$4:$R$338,MATCH('hydrogen - electrolysis'!B9495,overview!$A$4:$A$338,0),MATCH('hydrogen - electrolysis'!A9496,overview!$B$3:$R$3,0))</f>
        <v>electricity, from residential heating system</v>
      </c>
    </row>
    <row r="9497" spans="1:21" x14ac:dyDescent="0.2">
      <c r="A9497" t="s">
        <v>55</v>
      </c>
      <c r="B9497" s="45" t="str">
        <f>INDEX(overview!$B$4:$R$338,MATCH('hydrogen - electrolysis'!B9495,overview!$A$4:$A$338,0),MATCH('hydrogen - electrolysis'!A9497,overview!$B$3:$R$3,0))</f>
        <v>kilowatt hour</v>
      </c>
    </row>
    <row r="9498" spans="1:21" x14ac:dyDescent="0.2">
      <c r="A9498" t="s">
        <v>0</v>
      </c>
      <c r="B9498" s="45" t="str">
        <f>INDEX(overview!$B$4:$R$338,MATCH('hydrogen - electrolysis'!B9495,overview!$A$4:$A$338,0),MATCH('hydrogen - electrolysis'!A9498,overview!$B$3:$R$3,0))</f>
        <v>Switzerland</v>
      </c>
    </row>
    <row r="9499" spans="1:21" x14ac:dyDescent="0.2">
      <c r="A9499" t="s">
        <v>1</v>
      </c>
      <c r="B9499" s="45">
        <f>INDEX(overview!$B$4:$R$338,MATCH('hydrogen - electrolysis'!B9495,overview!$A$4:$A$338,0),MATCH('hydrogen - electrolysis'!A9499,overview!$B$3:$R$3,0))</f>
        <v>2020</v>
      </c>
    </row>
    <row r="9500" spans="1:21" x14ac:dyDescent="0.2">
      <c r="A9500" t="s">
        <v>2</v>
      </c>
      <c r="B9500" s="45" t="str">
        <f>INDEX(overview!$B$4:$R$338,MATCH('hydrogen - electrolysis'!B9495,overview!$A$4:$A$338,0),MATCH('hydrogen - electrolysis'!A9500,overview!$B$3:$R$3,0))</f>
        <v>1 kWh electricity</v>
      </c>
    </row>
    <row r="9501" spans="1:21" x14ac:dyDescent="0.2">
      <c r="A9501" t="s">
        <v>5</v>
      </c>
      <c r="B9501" s="45" t="str">
        <f>INDEX(overview!$B$4:$R$338,MATCH('hydrogen - electrolysis'!B9495,overview!$A$4:$A$338,0),MATCH('hydrogen - electrolysis'!A9501,overview!$B$3:$R$3,0))</f>
        <v>hydrogen</v>
      </c>
    </row>
    <row r="9502" spans="1:21" x14ac:dyDescent="0.2">
      <c r="A9502" t="s">
        <v>3</v>
      </c>
      <c r="B9502" s="45" t="str">
        <f>INDEX(overview!$B$4:$R$338,MATCH('hydrogen - electrolysis'!B9495,overview!$A$4:$A$338,0),MATCH('hydrogen - electrolysis'!A9502,overview!$B$3:$R$3,0))</f>
        <v>conversion</v>
      </c>
    </row>
    <row r="9503" spans="1:21" x14ac:dyDescent="0.2">
      <c r="A9503" t="s">
        <v>6</v>
      </c>
      <c r="B9503" s="45" t="str">
        <f>INDEX(overview!$B$4:$R$338,MATCH('hydrogen - electrolysis'!B9495,overview!$A$4:$A$338,0),MATCH('hydrogen - electrolysis'!A9503,overview!$B$3:$R$3,0))</f>
        <v>fuel cell, PEM</v>
      </c>
    </row>
    <row r="9504" spans="1:21" x14ac:dyDescent="0.2">
      <c r="A9504" t="s">
        <v>39</v>
      </c>
      <c r="B9504" s="45" t="str">
        <f>INDEX(overview!$B$4:$R$338,MATCH('hydrogen - electrolysis'!B9495,overview!$A$4:$A$338,0),MATCH('hydrogen - electrolysis'!A9504,overview!$B$3:$R$3,0))</f>
        <v>exergy</v>
      </c>
    </row>
    <row r="9505" spans="1:2" x14ac:dyDescent="0.2">
      <c r="A9505" t="s">
        <v>4</v>
      </c>
      <c r="B9505" s="45" t="str">
        <f>INDEX(overview!$B$4:$R$338,MATCH('hydrogen - electrolysis'!B9495,overview!$A$4:$A$338,0),MATCH('hydrogen - electrolysis'!A9505,overview!$B$3:$R$3,0))</f>
        <v>pipeline</v>
      </c>
    </row>
    <row r="9506" spans="1:2" x14ac:dyDescent="0.2">
      <c r="A9506" t="s">
        <v>38</v>
      </c>
      <c r="B9506" s="45">
        <f>INDEX(overview!$B$4:$R$338,MATCH('hydrogen - electrolysis'!B9495,overview!$A$4:$A$338,0),MATCH('hydrogen - electrolysis'!A9506,overview!$B$3:$R$3,0))</f>
        <v>1300</v>
      </c>
    </row>
    <row r="9507" spans="1:2" x14ac:dyDescent="0.2">
      <c r="A9507" t="s">
        <v>12</v>
      </c>
      <c r="B9507" s="45" t="str">
        <f>INDEX(overview!$B$4:$R$338,MATCH('hydrogen - electrolysis'!B9495,overview!$A$4:$A$338,0),MATCH('hydrogen - electrolysis'!A9507,overview!$B$3:$R$3,0))</f>
        <v>Pressure vessel for stationary storage</v>
      </c>
    </row>
    <row r="9508" spans="1:2" x14ac:dyDescent="0.2">
      <c r="A9508" t="s">
        <v>34</v>
      </c>
      <c r="B9508" s="45">
        <f>INDEX(overview!$B$4:$R$338,MATCH('hydrogen - electrolysis'!B9495,overview!$A$4:$A$338,0),MATCH('hydrogen - electrolysis'!A9508,overview!$B$3:$R$3,0))</f>
        <v>0</v>
      </c>
    </row>
    <row r="9509" spans="1:2" x14ac:dyDescent="0.2">
      <c r="A9509" t="s">
        <v>15</v>
      </c>
      <c r="B9509" s="45" t="str">
        <f>INDEX(overview!$B$4:$R$338,MATCH('hydrogen - electrolysis'!B9495,overview!$A$4:$A$338,0),MATCH('hydrogen - electrolysis'!A9509,overview!$B$3:$R$3,0))</f>
        <v>Electrolysis, SOEC</v>
      </c>
    </row>
    <row r="9510" spans="1:2" x14ac:dyDescent="0.2">
      <c r="A9510" t="s">
        <v>14</v>
      </c>
      <c r="B9510" s="45" t="str">
        <f>INDEX(overview!$B$4:$R$338,MATCH('hydrogen - electrolysis'!B9495,overview!$A$4:$A$338,0),MATCH('hydrogen - electrolysis'!A9510,overview!$B$3:$R$3,0))</f>
        <v>water and electricity</v>
      </c>
    </row>
    <row r="9511" spans="1:2" x14ac:dyDescent="0.2">
      <c r="A9511" t="s">
        <v>26</v>
      </c>
      <c r="B9511" s="45" t="str">
        <f>INDEX(overview!$B$4:$R$338,MATCH('hydrogen - electrolysis'!B9495,overview!$A$4:$A$338,0),MATCH('hydrogen - electrolysis'!A9511,overview!$B$3:$R$3,0))</f>
        <v>Wind (DK)</v>
      </c>
    </row>
    <row r="9512" spans="1:2" x14ac:dyDescent="0.2">
      <c r="A9512" t="s">
        <v>29</v>
      </c>
      <c r="B9512" s="45">
        <f>INDEX(overview!$B$4:$R$338,MATCH('hydrogen - electrolysis'!B9495,overview!$A$4:$A$338,0),MATCH('hydrogen - electrolysis'!A9512,overview!$B$3:$R$3,0))</f>
        <v>0</v>
      </c>
    </row>
    <row r="9513" spans="1:2" x14ac:dyDescent="0.2">
      <c r="A9513" t="str">
        <f>IF(B9497="megajoule","Heat","Electricity")&amp;" conversion efficiency [% LHV input]"</f>
        <v>Electricity conversion efficiency [% LHV input]</v>
      </c>
      <c r="B9513" s="46">
        <f>INDEX(parameters!$D$4:$N$20,MATCH('hydrogen - electrolysis'!B9501&amp;'hydrogen - electrolysis'!B9503,parameters!$A$4:$A$20,0),MATCH('hydrogen - electrolysis'!A9513,parameters!$D$3:$N$3,0))</f>
        <v>0.45</v>
      </c>
    </row>
    <row r="9514" spans="1:2" x14ac:dyDescent="0.2">
      <c r="A9514" t="str">
        <f>IF(B9497="megajoule","LHV [MJ/kg]","LHV [kWh/kg]")</f>
        <v>LHV [kWh/kg]</v>
      </c>
      <c r="B9514" s="47">
        <f>INDEX(parameters!$D$4:$N$20,MATCH('hydrogen - electrolysis'!B9501&amp;'hydrogen - electrolysis'!B9503,parameters!$A$4:$A$20,0),MATCH('hydrogen - electrolysis'!A9514,parameters!$D$3:$N$3,0))</f>
        <v>33.333333333333336</v>
      </c>
    </row>
    <row r="9515" spans="1:2" x14ac:dyDescent="0.2">
      <c r="A9515" t="s">
        <v>41</v>
      </c>
      <c r="B9515" s="48">
        <f>INDEX(parameters!$D$4:$N$20,MATCH('hydrogen - electrolysis'!B9501&amp;'hydrogen - electrolysis'!B9503,parameters!$A$4:$A$20,0),MATCH('hydrogen - electrolysis'!A9515,parameters!$D$3:$N$3,0))</f>
        <v>2.6666666666666665E-2</v>
      </c>
    </row>
    <row r="9516" spans="1:2" x14ac:dyDescent="0.2">
      <c r="A9516" t="s">
        <v>45</v>
      </c>
      <c r="B9516" s="46">
        <f>INDEX(parameters!$D$4:$N$20,MATCH('hydrogen - electrolysis'!B9501&amp;'hydrogen - electrolysis'!B9503,parameters!$A$4:$A$20,0),MATCH('hydrogen - electrolysis'!A9516,parameters!$D$3:$N$3,0))</f>
        <v>0</v>
      </c>
    </row>
    <row r="9517" spans="1:2" x14ac:dyDescent="0.2">
      <c r="A9517" t="s">
        <v>46</v>
      </c>
      <c r="B9517" s="46">
        <f>INDEX(parameters!$D$4:$N$20,MATCH('hydrogen - electrolysis'!B9501&amp;'hydrogen - electrolysis'!B9503,parameters!$A$4:$A$20,0),MATCH('hydrogen - electrolysis'!A9517,parameters!$D$3:$N$3,0))</f>
        <v>1.4999999999999999E-2</v>
      </c>
    </row>
    <row r="9518" spans="1:2" x14ac:dyDescent="0.2">
      <c r="A9518" t="s">
        <v>43</v>
      </c>
      <c r="B9518" s="46">
        <f>INDEX(parameters!$D$4:$N$20,MATCH('hydrogen - electrolysis'!B9501&amp;'hydrogen - electrolysis'!B9503,parameters!$A$4:$A$20,0),MATCH('hydrogen - electrolysis'!A9518,parameters!$D$3:$N$3,0))</f>
        <v>0</v>
      </c>
    </row>
    <row r="9519" spans="1:2" x14ac:dyDescent="0.2">
      <c r="A9519" t="s">
        <v>44</v>
      </c>
      <c r="B9519" s="46">
        <f>INDEX(parameters!$D$4:$N$20,MATCH('hydrogen - electrolysis'!B9501&amp;'hydrogen - electrolysis'!B9503,parameters!$A$4:$A$20,0),MATCH('hydrogen - electrolysis'!A9519,parameters!$D$3:$N$3,0))</f>
        <v>0</v>
      </c>
    </row>
    <row r="9520" spans="1:2" x14ac:dyDescent="0.2">
      <c r="A9520" t="s">
        <v>634</v>
      </c>
      <c r="B9520" s="51">
        <f>INDEX(parameters!$D$4:$Y$20,MATCH('hydrogen - electrolysis'!B9501&amp;'hydrogen - electrolysis'!B9503,parameters!$A$4:$A$20,0),MATCH('hydrogen - electrolysis'!A9520,parameters!$D$3:$Y$3,0))</f>
        <v>1.8947368421052633</v>
      </c>
    </row>
    <row r="9521" spans="1:22" x14ac:dyDescent="0.2">
      <c r="A9521" t="s">
        <v>82</v>
      </c>
      <c r="B9521" s="46">
        <f>IF(B9512&lt;&gt;0,VLOOKUP(B9512,parameters!A6053:B6055,2,0),0)</f>
        <v>0</v>
      </c>
    </row>
    <row r="9522" spans="1:22" x14ac:dyDescent="0.2">
      <c r="A9522" t="s">
        <v>548</v>
      </c>
      <c r="B9522" s="50">
        <f>INDEX(parameters!$D$4:$P$20,MATCH(B9501&amp;B9503,parameters!$A$4:$A$20,0),MATCH(A9522,parameters!$D$3:$P$3,0))</f>
        <v>0.8</v>
      </c>
    </row>
    <row r="9523" spans="1:22" x14ac:dyDescent="0.2">
      <c r="A9523" t="s">
        <v>547</v>
      </c>
      <c r="B9523" s="51">
        <f>INDEX(parameters!$D$4:$P$20,MATCH(B9501&amp;B9503,parameters!$A$4:$A$20,0),MATCH(A9523,parameters!$D$3:$P$3,0))</f>
        <v>4.8780487804878048</v>
      </c>
    </row>
    <row r="9524" spans="1:22" x14ac:dyDescent="0.2">
      <c r="A9524" t="s">
        <v>630</v>
      </c>
      <c r="B9524" s="51">
        <f>INDEX(parameters!$D$4:$T$20,MATCH(B9501&amp;B9503,parameters!$A$4:$A$20,0),MATCH(A9524,parameters!$D$3:$T$3,0))</f>
        <v>4100</v>
      </c>
    </row>
    <row r="9525" spans="1:22" x14ac:dyDescent="0.2">
      <c r="A9525" t="s">
        <v>1005</v>
      </c>
      <c r="B9525" s="50">
        <f>IF(B9497="megajoule",SUMIFS(allocation!$I$4:$I$30,allocation!$B$4:$B$30,B9503,allocation!$C$4:$C$30,B9504),SUMIFS(allocation!$J$4:$J$30,allocation!$B$4:$B$30,B9503,allocation!$C$4:$C$30,B9504))</f>
        <v>0.86066019201025545</v>
      </c>
    </row>
    <row r="9526" spans="1:22" x14ac:dyDescent="0.2">
      <c r="A9526" t="s">
        <v>1050</v>
      </c>
      <c r="B9526" s="51">
        <f>INDEX(parameters!$D$4:$AB$20,MATCH(B9501&amp;B9503,parameters!$A$4:$A$20,0),MATCH(A9526,parameters!$D$3:$AB$3,0))</f>
        <v>10.221606648199446</v>
      </c>
    </row>
    <row r="9528" spans="1:22" x14ac:dyDescent="0.2">
      <c r="A9528" s="3" t="s">
        <v>57</v>
      </c>
    </row>
    <row r="9529" spans="1:22" x14ac:dyDescent="0.2">
      <c r="A9529" s="2" t="s">
        <v>58</v>
      </c>
      <c r="B9529" s="44" t="s">
        <v>59</v>
      </c>
      <c r="C9529" s="2" t="s">
        <v>55</v>
      </c>
      <c r="D9529" s="2" t="s">
        <v>60</v>
      </c>
      <c r="E9529" s="2" t="s">
        <v>52</v>
      </c>
      <c r="F9529" s="2" t="s">
        <v>61</v>
      </c>
      <c r="G9529" s="2" t="s">
        <v>54</v>
      </c>
      <c r="H9529" s="2" t="s">
        <v>87</v>
      </c>
      <c r="I9529" s="2" t="s">
        <v>51</v>
      </c>
      <c r="J9529" s="2" t="s">
        <v>138</v>
      </c>
      <c r="K9529" s="2" t="s">
        <v>136</v>
      </c>
      <c r="L9529" s="2" t="s">
        <v>221</v>
      </c>
      <c r="M9529" s="2" t="s">
        <v>379</v>
      </c>
      <c r="N9529" s="2" t="s">
        <v>1059</v>
      </c>
      <c r="O9529" s="2" t="s">
        <v>1060</v>
      </c>
      <c r="P9529" s="2" t="s">
        <v>1061</v>
      </c>
      <c r="Q9529" s="2" t="s">
        <v>1062</v>
      </c>
      <c r="R9529" s="2" t="s">
        <v>1063</v>
      </c>
      <c r="S9529" s="2" t="s">
        <v>1064</v>
      </c>
      <c r="T9529" s="2" t="s">
        <v>1065</v>
      </c>
      <c r="U9529" s="2" t="s">
        <v>380</v>
      </c>
      <c r="V9529" s="2" t="s">
        <v>1128</v>
      </c>
    </row>
    <row r="9530" spans="1:22" x14ac:dyDescent="0.2">
      <c r="A9530" t="str">
        <f>B9491</f>
        <v>electricity, residential, by conversion of hydrogen using fuel cell, PEM, allocated by exergy, transported by pipeline, produced by Electrolysis, SOEC using water and electricity from Wind (DK)</v>
      </c>
      <c r="B9530" s="45">
        <v>1</v>
      </c>
      <c r="C9530" t="str">
        <f>B9497</f>
        <v>kilowatt hour</v>
      </c>
      <c r="E9530" t="str">
        <f>B9494</f>
        <v>CH</v>
      </c>
      <c r="F9530" t="s">
        <v>62</v>
      </c>
      <c r="G9530" t="str">
        <f>B9496</f>
        <v>electricity, from residential heating system</v>
      </c>
      <c r="K9530" t="str">
        <f>B9491</f>
        <v>electricity, residential, by conversion of hydrogen using fuel cell, PEM, allocated by exergy, transported by pipeline, produced by Electrolysis, SOEC using water and electricity from Wind (DK)</v>
      </c>
    </row>
    <row r="9531" spans="1:22" x14ac:dyDescent="0.2">
      <c r="A9531" t="str">
        <f>VLOOKUP(J9531,'dataset mapping'!$A$4:$E$69,2,0)</f>
        <v>fuel cell system assembly, 1 kWe, proton exchange membrane (PEM)</v>
      </c>
      <c r="B9531" s="52">
        <f>(1/(B9520*B9524*B9523))*B9525</f>
        <v>2.2711866178048405E-5</v>
      </c>
      <c r="C9531" t="str">
        <f>VLOOKUP(J9531,'dataset mapping'!$A$4:$E$69,5,0)</f>
        <v>unit</v>
      </c>
      <c r="E9531" t="str">
        <f>VLOOKUP(J9531,'dataset mapping'!$A$4:$E$69,4,0)</f>
        <v>GLO</v>
      </c>
      <c r="F9531" t="s">
        <v>86</v>
      </c>
      <c r="G9531" t="str">
        <f>VLOOKUP(J9531,'dataset mapping'!$A$4:$E$69,3,0)</f>
        <v>fuel cell system, 1 kWe, proton exchange membrane (PEM)</v>
      </c>
      <c r="H9531" t="s">
        <v>88</v>
      </c>
      <c r="I9531" t="s">
        <v>272</v>
      </c>
      <c r="J9531" t="s">
        <v>273</v>
      </c>
      <c r="K9531" t="str">
        <f>B9491</f>
        <v>electricity, residential, by conversion of hydrogen using fuel cell, PEM, allocated by exergy, transported by pipeline, produced by Electrolysis, SOEC using water and electricity from Wind (DK)</v>
      </c>
      <c r="L9531">
        <f>IF(OR(B9531&lt;0,B9531=0),1,2)</f>
        <v>2</v>
      </c>
      <c r="M9531">
        <f>IF(L9531=2,LN(B9531),"")</f>
        <v>-10.692623030936341</v>
      </c>
      <c r="N9531">
        <v>1</v>
      </c>
      <c r="O9531" s="15">
        <v>1.2</v>
      </c>
      <c r="P9531">
        <v>1</v>
      </c>
      <c r="Q9531">
        <v>1.01</v>
      </c>
      <c r="R9531">
        <v>1.2</v>
      </c>
      <c r="S9531">
        <v>1.2</v>
      </c>
      <c r="T9531">
        <v>3</v>
      </c>
      <c r="U9531">
        <f>LN(SQRT(EXP(
SQRT(
+POWER(LN(N9531),2)
+POWER(LN(O9531),2)
+POWER(LN(P9531),2)
+POWER(LN(Q9531),2)
+POWER(LN(R9531),2)
+POWER(LN(S9531),2)
+POWER(LN(T9531),2)
)
)))</f>
        <v>0.57157051623399524</v>
      </c>
    </row>
    <row r="9532" spans="1:22" x14ac:dyDescent="0.2">
      <c r="A9532" s="45" t="str">
        <f>"hydrogen supply, transported by "&amp;B9505&amp;", produced by "&amp;B9509&amp;" using "&amp;B9510&amp;" from "&amp;B9511</f>
        <v>hydrogen supply, transported by pipeline, produced by Electrolysis, SOEC using water and electricity from Wind (DK)</v>
      </c>
      <c r="B9532" s="53">
        <f>(B9530/B9514)/B9513*B9525</f>
        <v>5.7377346134017029E-2</v>
      </c>
      <c r="C9532" t="s">
        <v>56</v>
      </c>
      <c r="E9532" t="s">
        <v>64</v>
      </c>
      <c r="F9532" t="s">
        <v>86</v>
      </c>
      <c r="G9532" t="str">
        <f>"hydrogen, gaseous, from "&amp;B9505</f>
        <v>hydrogen, gaseous, from pipeline</v>
      </c>
      <c r="H9532" t="s">
        <v>76</v>
      </c>
      <c r="I9532" t="s">
        <v>1054</v>
      </c>
      <c r="J9532" t="s">
        <v>304</v>
      </c>
      <c r="K9532" t="str">
        <f>B9491</f>
        <v>electricity, residential, by conversion of hydrogen using fuel cell, PEM, allocated by exergy, transported by pipeline, produced by Electrolysis, SOEC using water and electricity from Wind (DK)</v>
      </c>
      <c r="L9532">
        <f>IF(OR(B9532&lt;0,B9532=0),1,2)</f>
        <v>2</v>
      </c>
      <c r="M9532">
        <f>IF(L9532=2,LN(B9532),"")</f>
        <v>-2.8581057202127536</v>
      </c>
      <c r="N9532">
        <v>1</v>
      </c>
      <c r="O9532" s="15">
        <v>1.2</v>
      </c>
      <c r="P9532">
        <v>1</v>
      </c>
      <c r="Q9532">
        <v>1.01</v>
      </c>
      <c r="R9532">
        <v>1.2</v>
      </c>
      <c r="S9532">
        <v>1.2</v>
      </c>
      <c r="T9532">
        <v>1.05</v>
      </c>
      <c r="U9532">
        <f>LN(SQRT(EXP(
SQRT(
+POWER(LN(N9532),2)
+POWER(LN(O9532),2)
+POWER(LN(P9532),2)
+POWER(LN(Q9532),2)
+POWER(LN(R9532),2)
+POWER(LN(S9532),2)
+POWER(LN(T9532),2)
)
)))</f>
        <v>0.15984597228197622</v>
      </c>
    </row>
    <row r="9533" spans="1:22" x14ac:dyDescent="0.2">
      <c r="A9533" t="s">
        <v>134</v>
      </c>
      <c r="B9533" s="53">
        <f>B9532*9</f>
        <v>0.51639611520615325</v>
      </c>
      <c r="C9533" t="s">
        <v>56</v>
      </c>
      <c r="D9533" t="s">
        <v>100</v>
      </c>
      <c r="F9533" t="s">
        <v>99</v>
      </c>
      <c r="H9533" t="s">
        <v>131</v>
      </c>
      <c r="I9533" t="s">
        <v>1057</v>
      </c>
      <c r="K9533" t="str">
        <f>B9491</f>
        <v>electricity, residential, by conversion of hydrogen using fuel cell, PEM, allocated by exergy, transported by pipeline, produced by Electrolysis, SOEC using water and electricity from Wind (DK)</v>
      </c>
      <c r="L9533">
        <f>IF(OR(B9533&lt;0,B9533=0),1,2)</f>
        <v>2</v>
      </c>
      <c r="M9533">
        <f>IF(L9533=2,LN(B9533),"")</f>
        <v>-0.6608811428765341</v>
      </c>
      <c r="N9533">
        <v>1</v>
      </c>
      <c r="O9533" s="15">
        <v>1.2</v>
      </c>
      <c r="P9533">
        <v>1</v>
      </c>
      <c r="Q9533">
        <v>1.01</v>
      </c>
      <c r="R9533">
        <v>1.2</v>
      </c>
      <c r="S9533">
        <v>1.2</v>
      </c>
      <c r="T9533">
        <v>1.05</v>
      </c>
      <c r="U9533">
        <f>LN(SQRT(EXP(
SQRT(
+POWER(LN(N9533),2)
+POWER(LN(O9533),2)
+POWER(LN(P9533),2)
+POWER(LN(Q9533),2)
+POWER(LN(R9533),2)
+POWER(LN(S9533),2)
+POWER(LN(T9533),2)
)
)))</f>
        <v>0.15984597228197622</v>
      </c>
    </row>
    <row r="9535" spans="1:22" x14ac:dyDescent="0.2">
      <c r="A9535" s="2" t="s">
        <v>50</v>
      </c>
      <c r="B9535" s="44" t="str">
        <f>IF(B9541="megajoule","heat","electricity")&amp;", residential, by "&amp;B9546&amp;" of "&amp;B9545&amp;" using "&amp;B9547&amp;IF(B9548&lt;&gt;0,", allocated by "&amp;B9548,"")&amp;", transported by "&amp;B9549&amp;", produced by "&amp;B9553&amp;" using "&amp;B9554&amp;" from "&amp;B9555</f>
        <v>electricity, residential, by conversion of hydrogen using fuel cell, SOFC, allocated by exergy, transported by pipeline, produced by Electrolysis, SOEC using water and electricity from Wind (DK)</v>
      </c>
    </row>
    <row r="9536" spans="1:22" x14ac:dyDescent="0.2">
      <c r="A9536" t="s">
        <v>51</v>
      </c>
      <c r="B9536" s="45" t="str">
        <f>"This dataset represents the supply of 1 "&amp;IF(B9541="megajoule","megajoule of heat","kilowatt hour of electricity")&amp;" in a residence, by "&amp;B9545&amp;" "&amp;B9546&amp;" in a "&amp;B9547&amp;". "&amp;" The hydrogen is transported by "&amp;B9549&amp;" over "&amp;B9550&amp;" km from regional storage. "&amp;" The "&amp;B9545&amp;" is produced by  "&amp;B9553&amp;", with "&amp;B9554&amp;" from "&amp;B9555&amp;" as feedstock. "&amp;A9557&amp;": "&amp;(B9557*100)&amp;"%. "&amp;A9558&amp;": "&amp;B9558&amp;". "&amp;A9559&amp;": "&amp;B9559&amp;". "&amp;A9560&amp;": "&amp;(B9560*100)&amp;"%. "&amp;A9561&amp;": "&amp;(B9561*100)&amp;"%. "&amp;A9562&amp;": "&amp;(B9562*100)&amp;"%. "&amp;A9563&amp;": "&amp;B9563&amp;". "&amp;A9564&amp;": "&amp;B9564&amp;". "&amp;A9565&amp;": "&amp;(B9565*100)&amp;"%. "&amp;A9566&amp;": "&amp;B9566&amp;". "&amp;A9567&amp;": "&amp;B9567&amp;". "&amp;A9568&amp;": "&amp;B9568&amp;". "&amp;A9569&amp;": "&amp;B9569&amp;".  For more information, refer to: "&amp;B9537</f>
        <v>This dataset represents the supply of 1 kilowatt hour of electricity in a residence, by hydrogen conversion in a fuel cell, SOFC.  The hydrogen is transported by pipeline over 1300 km from regional storage.  The hydrogen is produced by  Electrolysis, SOEC,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9537" spans="1:2" x14ac:dyDescent="0.2">
      <c r="A9537" t="s">
        <v>63</v>
      </c>
      <c r="B9537" s="45" t="s">
        <v>1223</v>
      </c>
    </row>
    <row r="9538" spans="1:2" x14ac:dyDescent="0.2">
      <c r="A9538" t="s">
        <v>52</v>
      </c>
      <c r="B9538" s="45" t="s">
        <v>64</v>
      </c>
    </row>
    <row r="9539" spans="1:2" x14ac:dyDescent="0.2">
      <c r="A9539" t="s">
        <v>48</v>
      </c>
      <c r="B9539" s="45" t="s">
        <v>951</v>
      </c>
    </row>
    <row r="9540" spans="1:2" x14ac:dyDescent="0.2">
      <c r="A9540" t="s">
        <v>54</v>
      </c>
      <c r="B9540" s="45" t="str">
        <f>INDEX(overview!$B$4:$R$338,MATCH('hydrogen - electrolysis'!B9539,overview!$A$4:$A$338,0),MATCH('hydrogen - electrolysis'!A9540,overview!$B$3:$R$3,0))</f>
        <v>electricity, from residential heating system</v>
      </c>
    </row>
    <row r="9541" spans="1:2" x14ac:dyDescent="0.2">
      <c r="A9541" t="s">
        <v>55</v>
      </c>
      <c r="B9541" s="45" t="str">
        <f>INDEX(overview!$B$4:$R$338,MATCH('hydrogen - electrolysis'!B9539,overview!$A$4:$A$338,0),MATCH('hydrogen - electrolysis'!A9541,overview!$B$3:$R$3,0))</f>
        <v>kilowatt hour</v>
      </c>
    </row>
    <row r="9542" spans="1:2" x14ac:dyDescent="0.2">
      <c r="A9542" t="s">
        <v>0</v>
      </c>
      <c r="B9542" s="45" t="str">
        <f>INDEX(overview!$B$4:$R$338,MATCH('hydrogen - electrolysis'!B9539,overview!$A$4:$A$338,0),MATCH('hydrogen - electrolysis'!A9542,overview!$B$3:$R$3,0))</f>
        <v>Switzerland</v>
      </c>
    </row>
    <row r="9543" spans="1:2" x14ac:dyDescent="0.2">
      <c r="A9543" t="s">
        <v>1</v>
      </c>
      <c r="B9543" s="45">
        <f>INDEX(overview!$B$4:$R$338,MATCH('hydrogen - electrolysis'!B9539,overview!$A$4:$A$338,0),MATCH('hydrogen - electrolysis'!A9543,overview!$B$3:$R$3,0))</f>
        <v>2020</v>
      </c>
    </row>
    <row r="9544" spans="1:2" x14ac:dyDescent="0.2">
      <c r="A9544" t="s">
        <v>2</v>
      </c>
      <c r="B9544" s="45" t="str">
        <f>INDEX(overview!$B$4:$R$338,MATCH('hydrogen - electrolysis'!B9539,overview!$A$4:$A$338,0),MATCH('hydrogen - electrolysis'!A9544,overview!$B$3:$R$3,0))</f>
        <v>1 kWh electricity</v>
      </c>
    </row>
    <row r="9545" spans="1:2" x14ac:dyDescent="0.2">
      <c r="A9545" t="s">
        <v>5</v>
      </c>
      <c r="B9545" s="45" t="str">
        <f>INDEX(overview!$B$4:$R$338,MATCH('hydrogen - electrolysis'!B9539,overview!$A$4:$A$338,0),MATCH('hydrogen - electrolysis'!A9545,overview!$B$3:$R$3,0))</f>
        <v>hydrogen</v>
      </c>
    </row>
    <row r="9546" spans="1:2" x14ac:dyDescent="0.2">
      <c r="A9546" t="s">
        <v>3</v>
      </c>
      <c r="B9546" s="45" t="str">
        <f>INDEX(overview!$B$4:$R$338,MATCH('hydrogen - electrolysis'!B9539,overview!$A$4:$A$338,0),MATCH('hydrogen - electrolysis'!A9546,overview!$B$3:$R$3,0))</f>
        <v>conversion</v>
      </c>
    </row>
    <row r="9547" spans="1:2" x14ac:dyDescent="0.2">
      <c r="A9547" t="s">
        <v>6</v>
      </c>
      <c r="B9547" s="45" t="str">
        <f>INDEX(overview!$B$4:$R$338,MATCH('hydrogen - electrolysis'!B9539,overview!$A$4:$A$338,0),MATCH('hydrogen - electrolysis'!A9547,overview!$B$3:$R$3,0))</f>
        <v>fuel cell, SOFC</v>
      </c>
    </row>
    <row r="9548" spans="1:2" x14ac:dyDescent="0.2">
      <c r="A9548" t="s">
        <v>39</v>
      </c>
      <c r="B9548" s="45" t="str">
        <f>INDEX(overview!$B$4:$R$338,MATCH('hydrogen - electrolysis'!B9539,overview!$A$4:$A$338,0),MATCH('hydrogen - electrolysis'!A9548,overview!$B$3:$R$3,0))</f>
        <v>exergy</v>
      </c>
    </row>
    <row r="9549" spans="1:2" x14ac:dyDescent="0.2">
      <c r="A9549" t="s">
        <v>4</v>
      </c>
      <c r="B9549" s="45" t="str">
        <f>INDEX(overview!$B$4:$R$338,MATCH('hydrogen - electrolysis'!B9539,overview!$A$4:$A$338,0),MATCH('hydrogen - electrolysis'!A9549,overview!$B$3:$R$3,0))</f>
        <v>pipeline</v>
      </c>
    </row>
    <row r="9550" spans="1:2" x14ac:dyDescent="0.2">
      <c r="A9550" t="s">
        <v>38</v>
      </c>
      <c r="B9550" s="45">
        <f>INDEX(overview!$B$4:$R$338,MATCH('hydrogen - electrolysis'!B9539,overview!$A$4:$A$338,0),MATCH('hydrogen - electrolysis'!A9550,overview!$B$3:$R$3,0))</f>
        <v>1300</v>
      </c>
    </row>
    <row r="9551" spans="1:2" x14ac:dyDescent="0.2">
      <c r="A9551" t="s">
        <v>12</v>
      </c>
      <c r="B9551" s="45" t="str">
        <f>INDEX(overview!$B$4:$R$338,MATCH('hydrogen - electrolysis'!B9539,overview!$A$4:$A$338,0),MATCH('hydrogen - electrolysis'!A9551,overview!$B$3:$R$3,0))</f>
        <v>Pressure vessel for stationary storage</v>
      </c>
    </row>
    <row r="9552" spans="1:2" x14ac:dyDescent="0.2">
      <c r="A9552" t="s">
        <v>34</v>
      </c>
      <c r="B9552" s="45">
        <f>INDEX(overview!$B$4:$R$338,MATCH('hydrogen - electrolysis'!B9539,overview!$A$4:$A$338,0),MATCH('hydrogen - electrolysis'!A9552,overview!$B$3:$R$3,0))</f>
        <v>0</v>
      </c>
    </row>
    <row r="9553" spans="1:4" x14ac:dyDescent="0.2">
      <c r="A9553" t="s">
        <v>15</v>
      </c>
      <c r="B9553" s="45" t="str">
        <f>INDEX(overview!$B$4:$R$338,MATCH('hydrogen - electrolysis'!B9539,overview!$A$4:$A$338,0),MATCH('hydrogen - electrolysis'!A9553,overview!$B$3:$R$3,0))</f>
        <v>Electrolysis, SOEC</v>
      </c>
    </row>
    <row r="9554" spans="1:4" x14ac:dyDescent="0.2">
      <c r="A9554" t="s">
        <v>14</v>
      </c>
      <c r="B9554" s="45" t="str">
        <f>INDEX(overview!$B$4:$R$338,MATCH('hydrogen - electrolysis'!B9539,overview!$A$4:$A$338,0),MATCH('hydrogen - electrolysis'!A9554,overview!$B$3:$R$3,0))</f>
        <v>water and electricity</v>
      </c>
    </row>
    <row r="9555" spans="1:4" x14ac:dyDescent="0.2">
      <c r="A9555" t="s">
        <v>26</v>
      </c>
      <c r="B9555" s="45" t="str">
        <f>INDEX(overview!$B$4:$R$338,MATCH('hydrogen - electrolysis'!B9539,overview!$A$4:$A$338,0),MATCH('hydrogen - electrolysis'!A9555,overview!$B$3:$R$3,0))</f>
        <v>Wind (DK)</v>
      </c>
    </row>
    <row r="9556" spans="1:4" x14ac:dyDescent="0.2">
      <c r="A9556" t="s">
        <v>29</v>
      </c>
      <c r="B9556" s="45">
        <f>INDEX(overview!$B$4:$R$338,MATCH('hydrogen - electrolysis'!B9539,overview!$A$4:$A$338,0),MATCH('hydrogen - electrolysis'!A9556,overview!$B$3:$R$3,0))</f>
        <v>0</v>
      </c>
    </row>
    <row r="9557" spans="1:4" x14ac:dyDescent="0.2">
      <c r="A9557" t="str">
        <f>IF(B9541="megajoule","Heat","Electricity")&amp;" conversion efficiency [% LHV input]"</f>
        <v>Electricity conversion efficiency [% LHV input]</v>
      </c>
      <c r="B9557" s="46">
        <f>INDEX(parameters!$D$4:$N$20,MATCH('hydrogen - electrolysis'!B9545&amp;'hydrogen - electrolysis'!B9547,parameters!$A$4:$A$20,0),MATCH('hydrogen - electrolysis'!A9557,parameters!$D$3:$N$3,0))</f>
        <v>0.47</v>
      </c>
    </row>
    <row r="9558" spans="1:4" x14ac:dyDescent="0.2">
      <c r="A9558" t="str">
        <f>IF(B9541="megajoule","LHV [MJ/kg]","LHV [kWh/kg]")</f>
        <v>LHV [kWh/kg]</v>
      </c>
      <c r="B9558" s="47">
        <f>INDEX(parameters!$D$4:$N$20,MATCH('hydrogen - electrolysis'!B9545&amp;'hydrogen - electrolysis'!B9547,parameters!$A$4:$A$20,0),MATCH('hydrogen - electrolysis'!A9558,parameters!$D$3:$N$3,0))</f>
        <v>33.333333333333336</v>
      </c>
    </row>
    <row r="9559" spans="1:4" x14ac:dyDescent="0.2">
      <c r="A9559" t="s">
        <v>41</v>
      </c>
      <c r="B9559" s="48">
        <f>INDEX(parameters!$D$4:$N$20,MATCH('hydrogen - electrolysis'!B9545&amp;'hydrogen - electrolysis'!B9547,parameters!$A$4:$A$20,0),MATCH('hydrogen - electrolysis'!A9559,parameters!$D$3:$N$3,0))</f>
        <v>2.6666666666666665E-2</v>
      </c>
    </row>
    <row r="9560" spans="1:4" x14ac:dyDescent="0.2">
      <c r="A9560" t="s">
        <v>45</v>
      </c>
      <c r="B9560" s="46">
        <f>INDEX(parameters!$D$4:$N$20,MATCH('hydrogen - electrolysis'!B9545&amp;'hydrogen - electrolysis'!B9547,parameters!$A$4:$A$20,0),MATCH('hydrogen - electrolysis'!A9560,parameters!$D$3:$N$3,0))</f>
        <v>0</v>
      </c>
    </row>
    <row r="9561" spans="1:4" x14ac:dyDescent="0.2">
      <c r="A9561" t="s">
        <v>46</v>
      </c>
      <c r="B9561" s="46">
        <f>INDEX(parameters!$D$4:$N$20,MATCH('hydrogen - electrolysis'!B9545&amp;'hydrogen - electrolysis'!B9547,parameters!$A$4:$A$20,0),MATCH('hydrogen - electrolysis'!A9561,parameters!$D$3:$N$3,0))</f>
        <v>1.4999999999999999E-2</v>
      </c>
    </row>
    <row r="9562" spans="1:4" x14ac:dyDescent="0.2">
      <c r="A9562" t="s">
        <v>43</v>
      </c>
      <c r="B9562" s="46">
        <f>INDEX(parameters!$D$4:$N$20,MATCH('hydrogen - electrolysis'!B9545&amp;'hydrogen - electrolysis'!B9547,parameters!$A$4:$A$20,0),MATCH('hydrogen - electrolysis'!A9562,parameters!$D$3:$N$3,0))</f>
        <v>0</v>
      </c>
    </row>
    <row r="9563" spans="1:4" x14ac:dyDescent="0.2">
      <c r="A9563" t="s">
        <v>44</v>
      </c>
      <c r="B9563" s="46">
        <f>INDEX(parameters!$D$4:$N$20,MATCH('hydrogen - electrolysis'!B9545&amp;'hydrogen - electrolysis'!B9547,parameters!$A$4:$A$20,0),MATCH('hydrogen - electrolysis'!A9563,parameters!$D$3:$N$3,0))</f>
        <v>0</v>
      </c>
    </row>
    <row r="9564" spans="1:4" x14ac:dyDescent="0.2">
      <c r="A9564" t="s">
        <v>634</v>
      </c>
      <c r="B9564" s="51">
        <f>INDEX(parameters!$D$4:$Y$20,MATCH('hydrogen - electrolysis'!B9545&amp;'hydrogen - electrolysis'!B9547,parameters!$A$4:$A$20,0),MATCH('hydrogen - electrolysis'!A9564,parameters!$D$3:$Y$3,0))</f>
        <v>225</v>
      </c>
      <c r="D9564" s="8"/>
    </row>
    <row r="9565" spans="1:4" x14ac:dyDescent="0.2">
      <c r="A9565" t="s">
        <v>82</v>
      </c>
      <c r="B9565" s="46">
        <f>IF(B9556&lt;&gt;0,VLOOKUP(B9556,parameters!A6102:B6104,2,0),0)</f>
        <v>0</v>
      </c>
    </row>
    <row r="9566" spans="1:4" x14ac:dyDescent="0.2">
      <c r="A9566" t="s">
        <v>548</v>
      </c>
      <c r="B9566" s="50">
        <f>INDEX(parameters!$D$4:$P$20,MATCH(B9545&amp;B9547,parameters!$A$4:$A$20,0),MATCH(A9566,parameters!$D$3:$P$3,0))</f>
        <v>100</v>
      </c>
    </row>
    <row r="9567" spans="1:4" x14ac:dyDescent="0.2">
      <c r="A9567" t="s">
        <v>547</v>
      </c>
      <c r="B9567" s="51">
        <f>INDEX(parameters!$D$4:$P$20,MATCH(B9545&amp;B9547,parameters!$A$4:$A$20,0),MATCH(A9567,parameters!$D$3:$P$3,0))</f>
        <v>6</v>
      </c>
    </row>
    <row r="9568" spans="1:4" x14ac:dyDescent="0.2">
      <c r="A9568" t="s">
        <v>630</v>
      </c>
      <c r="B9568" s="51">
        <f>INDEX(parameters!$D$4:$T$20,MATCH(B9545&amp;B9547,parameters!$A$4:$A$20,0),MATCH(A9568,parameters!$D$3:$T$3,0))</f>
        <v>4100</v>
      </c>
    </row>
    <row r="9569" spans="1:22" x14ac:dyDescent="0.2">
      <c r="A9569" t="s">
        <v>1005</v>
      </c>
      <c r="B9569" s="50">
        <f>IF(B9541="megajoule",SUMIFS(allocation!$I$4:$I$30,allocation!$B$4:$B$30,B9547,allocation!$C$4:$C$30,B9548),SUMIFS(allocation!$J$4:$J$30,allocation!$B$4:$B$30,B9547,allocation!$C$4:$C$30,B9548))</f>
        <v>0.86412493489600906</v>
      </c>
    </row>
    <row r="9570" spans="1:22" x14ac:dyDescent="0.2">
      <c r="A9570" t="s">
        <v>1050</v>
      </c>
      <c r="B9570" s="51">
        <f>INDEX(parameters!$D$4:$AB$20,MATCH(B9545&amp;B9547,parameters!$A$4:$A$20,0),MATCH(A9570,parameters!$D$3:$AB$3,0))</f>
        <v>1153.1249999999998</v>
      </c>
    </row>
    <row r="9572" spans="1:22" x14ac:dyDescent="0.2">
      <c r="A9572" s="3" t="s">
        <v>57</v>
      </c>
    </row>
    <row r="9573" spans="1:22" x14ac:dyDescent="0.2">
      <c r="A9573" s="2" t="s">
        <v>58</v>
      </c>
      <c r="B9573" s="44" t="s">
        <v>59</v>
      </c>
      <c r="C9573" s="2" t="s">
        <v>55</v>
      </c>
      <c r="D9573" s="2" t="s">
        <v>60</v>
      </c>
      <c r="E9573" s="2" t="s">
        <v>52</v>
      </c>
      <c r="F9573" s="2" t="s">
        <v>61</v>
      </c>
      <c r="G9573" s="2" t="s">
        <v>54</v>
      </c>
      <c r="H9573" s="2" t="s">
        <v>87</v>
      </c>
      <c r="I9573" s="2" t="s">
        <v>51</v>
      </c>
      <c r="J9573" s="2" t="s">
        <v>138</v>
      </c>
      <c r="K9573" s="2" t="s">
        <v>136</v>
      </c>
      <c r="L9573" s="2" t="s">
        <v>221</v>
      </c>
      <c r="M9573" s="2" t="s">
        <v>379</v>
      </c>
      <c r="N9573" s="2" t="s">
        <v>1059</v>
      </c>
      <c r="O9573" s="2" t="s">
        <v>1060</v>
      </c>
      <c r="P9573" s="2" t="s">
        <v>1061</v>
      </c>
      <c r="Q9573" s="2" t="s">
        <v>1062</v>
      </c>
      <c r="R9573" s="2" t="s">
        <v>1063</v>
      </c>
      <c r="S9573" s="2" t="s">
        <v>1064</v>
      </c>
      <c r="T9573" s="2" t="s">
        <v>1065</v>
      </c>
      <c r="U9573" s="2" t="s">
        <v>380</v>
      </c>
      <c r="V9573" s="2" t="s">
        <v>1128</v>
      </c>
    </row>
    <row r="9574" spans="1:22" x14ac:dyDescent="0.2">
      <c r="A9574" t="str">
        <f>B9535</f>
        <v>electricity, residential, by conversion of hydrogen using fuel cell, SOFC, allocated by exergy, transported by pipeline, produced by Electrolysis, SOEC using water and electricity from Wind (DK)</v>
      </c>
      <c r="B9574" s="45">
        <v>1</v>
      </c>
      <c r="C9574" t="str">
        <f>B9541</f>
        <v>kilowatt hour</v>
      </c>
      <c r="E9574" t="str">
        <f>B9538</f>
        <v>CH</v>
      </c>
      <c r="F9574" t="s">
        <v>62</v>
      </c>
      <c r="G9574" t="str">
        <f>B9540</f>
        <v>electricity, from residential heating system</v>
      </c>
      <c r="K9574" t="str">
        <f>B9535</f>
        <v>electricity, residential, by conversion of hydrogen using fuel cell, SOFC, allocated by exergy, transported by pipeline, produced by Electrolysis, SOEC using water and electricity from Wind (DK)</v>
      </c>
    </row>
    <row r="9575" spans="1:22" x14ac:dyDescent="0.2">
      <c r="A9575" t="str">
        <f>VLOOKUP(J9575,'dataset mapping'!$A$4:$E$69,2,0)</f>
        <v>fuel cell production, stack solid oxide, 125kW electrical, future</v>
      </c>
      <c r="B9575" s="52">
        <f>(1/(B9564*B9568*B9567))*B9569</f>
        <v>1.5612013277254003E-7</v>
      </c>
      <c r="C9575" t="str">
        <f>VLOOKUP(J9575,'dataset mapping'!$A$4:$E$69,5,0)</f>
        <v>unit</v>
      </c>
      <c r="E9575" t="str">
        <f>VLOOKUP(J9575,'dataset mapping'!$A$4:$E$69,4,0)</f>
        <v>CH</v>
      </c>
      <c r="F9575" t="s">
        <v>86</v>
      </c>
      <c r="G9575" t="str">
        <f>VLOOKUP(J9575,'dataset mapping'!$A$4:$E$69,3,0)</f>
        <v>fuel cell, stack solid oxide, 125kW electrical, future</v>
      </c>
      <c r="H9575" t="s">
        <v>88</v>
      </c>
      <c r="I9575" t="s">
        <v>277</v>
      </c>
      <c r="J9575" t="s">
        <v>274</v>
      </c>
      <c r="K9575" t="str">
        <f>B9535</f>
        <v>electricity, residential, by conversion of hydrogen using fuel cell, SOFC, allocated by exergy, transported by pipeline, produced by Electrolysis, SOEC using water and electricity from Wind (DK)</v>
      </c>
      <c r="L9575">
        <f>IF(OR(B9575&lt;0,B9575=0),1,2)</f>
        <v>2</v>
      </c>
      <c r="M9575">
        <f>IF(L9575=2,LN(B9575),"")</f>
        <v>-15.672640044182527</v>
      </c>
      <c r="N9575">
        <v>1</v>
      </c>
      <c r="O9575" s="15">
        <v>1.2</v>
      </c>
      <c r="P9575">
        <v>1</v>
      </c>
      <c r="Q9575">
        <v>1.01</v>
      </c>
      <c r="R9575">
        <v>1.2</v>
      </c>
      <c r="S9575">
        <v>1.2</v>
      </c>
      <c r="T9575">
        <v>3</v>
      </c>
      <c r="U9575">
        <f>LN(SQRT(EXP(
SQRT(
+POWER(LN(N9575),2)
+POWER(LN(O9575),2)
+POWER(LN(P9575),2)
+POWER(LN(Q9575),2)
+POWER(LN(R9575),2)
+POWER(LN(S9575),2)
+POWER(LN(T9575),2)
)
)))</f>
        <v>0.57157051623399524</v>
      </c>
    </row>
    <row r="9576" spans="1:22" x14ac:dyDescent="0.2">
      <c r="A9576" t="s">
        <v>283</v>
      </c>
      <c r="B9576" s="52">
        <f>(1/(B9564*B9568*B9567))*B9569</f>
        <v>1.5612013277254003E-7</v>
      </c>
      <c r="C9576" t="s">
        <v>55</v>
      </c>
      <c r="E9576" t="s">
        <v>64</v>
      </c>
      <c r="F9576" t="s">
        <v>86</v>
      </c>
      <c r="G9576" t="s">
        <v>284</v>
      </c>
      <c r="H9576" t="s">
        <v>88</v>
      </c>
      <c r="I9576" t="s">
        <v>277</v>
      </c>
      <c r="K9576" t="str">
        <f>B9535</f>
        <v>electricity, residential, by conversion of hydrogen using fuel cell, SOFC, allocated by exergy, transported by pipeline, produced by Electrolysis, SOEC using water and electricity from Wind (DK)</v>
      </c>
      <c r="L9576">
        <f>IF(OR(B9576&lt;0,B9576=0),1,2)</f>
        <v>2</v>
      </c>
      <c r="M9576">
        <f>IF(L9576=2,LN(B9576),"")</f>
        <v>-15.672640044182527</v>
      </c>
      <c r="N9576">
        <v>1</v>
      </c>
      <c r="O9576" s="15">
        <v>1.2</v>
      </c>
      <c r="P9576">
        <v>1</v>
      </c>
      <c r="Q9576">
        <v>1.01</v>
      </c>
      <c r="R9576">
        <v>1.2</v>
      </c>
      <c r="S9576">
        <v>1.2</v>
      </c>
      <c r="T9576">
        <v>3</v>
      </c>
      <c r="U9576">
        <f>LN(SQRT(EXP(
SQRT(
+POWER(LN(N9576),2)
+POWER(LN(O9576),2)
+POWER(LN(P9576),2)
+POWER(LN(Q9576),2)
+POWER(LN(R9576),2)
+POWER(LN(S9576),2)
+POWER(LN(T9576),2)
)
)))</f>
        <v>0.57157051623399524</v>
      </c>
    </row>
    <row r="9577" spans="1:22" x14ac:dyDescent="0.2">
      <c r="A9577" t="s">
        <v>288</v>
      </c>
      <c r="B9577" s="52">
        <f>0.000024*B9569</f>
        <v>2.0738998437504217E-5</v>
      </c>
      <c r="C9577" t="s">
        <v>56</v>
      </c>
      <c r="E9577" t="s">
        <v>64</v>
      </c>
      <c r="F9577" t="s">
        <v>86</v>
      </c>
      <c r="G9577" t="s">
        <v>287</v>
      </c>
      <c r="H9577" t="s">
        <v>88</v>
      </c>
      <c r="K9577" t="str">
        <f>B9535</f>
        <v>electricity, residential, by conversion of hydrogen using fuel cell, SOFC, allocated by exergy, transported by pipeline, produced by Electrolysis, SOEC using water and electricity from Wind (DK)</v>
      </c>
      <c r="L9577">
        <f>IF(OR(B9577&lt;0,B9577=0),1,2)</f>
        <v>2</v>
      </c>
      <c r="M9577">
        <f>IF(L9577=2,LN(B9577),"")</f>
        <v>-10.783494647673981</v>
      </c>
      <c r="N9577">
        <v>1</v>
      </c>
      <c r="O9577" s="15">
        <v>1.2</v>
      </c>
      <c r="P9577">
        <v>1</v>
      </c>
      <c r="Q9577">
        <v>1.01</v>
      </c>
      <c r="R9577">
        <v>1.2</v>
      </c>
      <c r="S9577">
        <v>1.2</v>
      </c>
      <c r="T9577">
        <v>1.05</v>
      </c>
      <c r="U9577">
        <f>LN(SQRT(EXP(
SQRT(
+POWER(LN(N9577),2)
+POWER(LN(O9577),2)
+POWER(LN(P9577),2)
+POWER(LN(Q9577),2)
+POWER(LN(R9577),2)
+POWER(LN(S9577),2)
+POWER(LN(T9577),2)
)
)))</f>
        <v>0.15984597228197622</v>
      </c>
    </row>
    <row r="9578" spans="1:22" x14ac:dyDescent="0.2">
      <c r="A9578" s="45" t="str">
        <f>"hydrogen supply, transported by "&amp;B9549&amp;", produced by "&amp;B9553&amp;" using "&amp;B9554&amp;" from "&amp;B9555</f>
        <v>hydrogen supply, transported by pipeline, produced by Electrolysis, SOEC using water and electricity from Wind (DK)</v>
      </c>
      <c r="B9578" s="53">
        <f>(B9574/B9558)/B9557*B9569</f>
        <v>5.515691073804313E-2</v>
      </c>
      <c r="C9578" t="s">
        <v>56</v>
      </c>
      <c r="E9578" t="s">
        <v>64</v>
      </c>
      <c r="F9578" t="s">
        <v>86</v>
      </c>
      <c r="G9578" t="str">
        <f>"hydrogen, gaseous, from "&amp;B9549</f>
        <v>hydrogen, gaseous, from pipeline</v>
      </c>
      <c r="H9578" t="s">
        <v>76</v>
      </c>
      <c r="I9578" t="s">
        <v>1054</v>
      </c>
      <c r="J9578" t="s">
        <v>304</v>
      </c>
      <c r="K9578" t="str">
        <f>B9535</f>
        <v>electricity, residential, by conversion of hydrogen using fuel cell, SOFC, allocated by exergy, transported by pipeline, produced by Electrolysis, SOEC using water and electricity from Wind (DK)</v>
      </c>
      <c r="L9578">
        <f>IF(OR(B9578&lt;0,B9578=0),1,2)</f>
        <v>2</v>
      </c>
      <c r="M9578">
        <f>IF(L9578=2,LN(B9578),"")</f>
        <v>-2.8975732330996009</v>
      </c>
      <c r="N9578">
        <v>1</v>
      </c>
      <c r="O9578" s="15">
        <v>1.2</v>
      </c>
      <c r="P9578">
        <v>1</v>
      </c>
      <c r="Q9578">
        <v>1.01</v>
      </c>
      <c r="R9578">
        <v>1.2</v>
      </c>
      <c r="S9578">
        <v>1.2</v>
      </c>
      <c r="T9578">
        <v>1.05</v>
      </c>
      <c r="U9578">
        <f>LN(SQRT(EXP(
SQRT(
+POWER(LN(N9578),2)
+POWER(LN(O9578),2)
+POWER(LN(P9578),2)
+POWER(LN(Q9578),2)
+POWER(LN(R9578),2)
+POWER(LN(S9578),2)
+POWER(LN(T9578),2)
)
)))</f>
        <v>0.15984597228197622</v>
      </c>
    </row>
    <row r="9579" spans="1:22" x14ac:dyDescent="0.2">
      <c r="A9579" t="s">
        <v>134</v>
      </c>
      <c r="B9579" s="45">
        <f>B9578*9</f>
        <v>0.49641219664238817</v>
      </c>
      <c r="C9579" t="s">
        <v>56</v>
      </c>
      <c r="D9579" t="s">
        <v>100</v>
      </c>
      <c r="F9579" t="s">
        <v>99</v>
      </c>
      <c r="H9579" t="s">
        <v>131</v>
      </c>
      <c r="I9579" t="s">
        <v>1057</v>
      </c>
      <c r="K9579" t="str">
        <f>B9535</f>
        <v>electricity, residential, by conversion of hydrogen using fuel cell, SOFC, allocated by exergy, transported by pipeline, produced by Electrolysis, SOEC using water and electricity from Wind (DK)</v>
      </c>
      <c r="L9579">
        <f>IF(OR(B9579&lt;0,B9579=0),1,2)</f>
        <v>2</v>
      </c>
      <c r="M9579">
        <f>IF(L9579=2,LN(B9579),"")</f>
        <v>-0.70034865576338168</v>
      </c>
      <c r="N9579">
        <v>1</v>
      </c>
      <c r="O9579" s="15">
        <v>1.2</v>
      </c>
      <c r="P9579">
        <v>1</v>
      </c>
      <c r="Q9579">
        <v>1.01</v>
      </c>
      <c r="R9579">
        <v>1.2</v>
      </c>
      <c r="S9579">
        <v>1.2</v>
      </c>
      <c r="T9579">
        <v>1.05</v>
      </c>
      <c r="U9579">
        <f>LN(SQRT(EXP(
SQRT(
+POWER(LN(N9579),2)
+POWER(LN(O9579),2)
+POWER(LN(P9579),2)
+POWER(LN(Q9579),2)
+POWER(LN(R9579),2)
+POWER(LN(S9579),2)
+POWER(LN(T9579),2)
)
)))</f>
        <v>0.15984597228197622</v>
      </c>
    </row>
    <row r="9581" spans="1:22" x14ac:dyDescent="0.2">
      <c r="A9581" s="2" t="s">
        <v>50</v>
      </c>
      <c r="B9581" s="44" t="str">
        <f>IF(B9587="megajoule","heat","electricity")&amp;", residential, by "&amp;B9592&amp;" of "&amp;B9591&amp;" using "&amp;B9593&amp;IF(B9594&lt;&gt;0,", allocated by "&amp;B9594,"")&amp;", transported by "&amp;B9595&amp;", produced by "&amp;B9599&amp;" using "&amp;B9600&amp;" from "&amp;B9601</f>
        <v>heat, residential, by combustion of hydrogen using boiler, transported by train, produced by Electrolysis, SOEC using water and electricity from Wind (DK)</v>
      </c>
    </row>
    <row r="9582" spans="1:22" x14ac:dyDescent="0.2">
      <c r="A9582" t="s">
        <v>51</v>
      </c>
      <c r="B9582" s="45" t="str">
        <f>"This dataset represents the supply of 1 "&amp;IF(B9587="megajoule","megajoule of heat","kilowatt hour of electricity")&amp;" in a residence, by "&amp;B9591&amp;" "&amp;B9592&amp;" in a "&amp;B9593&amp;". "&amp;" The hydrogen is transported by "&amp;B9595&amp;" over "&amp;B9596&amp;" km from regional storage. "&amp;" The "&amp;B9591&amp;" is produced by  "&amp;B9599&amp;", with "&amp;B9600&amp;" from "&amp;B9601&amp;" as feedstock. "&amp;A9603&amp;": "&amp;(B9603*100)&amp;"%. "&amp;A9604&amp;": "&amp;B9604&amp;". "&amp;A9605&amp;": "&amp;B9605&amp;". "&amp;A9606&amp;": "&amp;(B9606*100)&amp;"%. "&amp;A9607&amp;": "&amp;(B9607*100)&amp;"%. "&amp;A9608&amp;": "&amp;(B9608*100)&amp;"%. "&amp;A9609&amp;": "&amp;B9609&amp;". "&amp;A9610&amp;": "&amp;B9610&amp;". "&amp;A9611&amp;": "&amp;(B9611*100)&amp;"%. "&amp;A9612&amp;": "&amp;B9612&amp;". "&amp;A9613&amp;": "&amp;B9613&amp;". "&amp;A9614&amp;": "&amp;B9614&amp;". "&amp;A9615&amp;": "&amp;B9615&amp;".  For more information, refer to: "&amp;B9583</f>
        <v>This dataset represents the supply of 1 megajoule of heat in a residence, by hydrogen combustion in a boiler.  The hydrogen is transported by train over 1300 km from regional storage.  The hydrogen is produced by  Electrolysis, SOEC, with water and electricity from Wind (DK)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and Bauer, C. Life Cycle Assessment of Power-to-X processes and associated electricity and heat applications in the residential sector. Paul Scherrer Institut, 2023.</v>
      </c>
    </row>
    <row r="9583" spans="1:22" x14ac:dyDescent="0.2">
      <c r="A9583" t="s">
        <v>63</v>
      </c>
      <c r="B9583" s="45" t="s">
        <v>1223</v>
      </c>
    </row>
    <row r="9584" spans="1:22" x14ac:dyDescent="0.2">
      <c r="A9584" t="s">
        <v>52</v>
      </c>
      <c r="B9584" s="45" t="s">
        <v>64</v>
      </c>
    </row>
    <row r="9585" spans="1:2" x14ac:dyDescent="0.2">
      <c r="A9585" t="s">
        <v>48</v>
      </c>
      <c r="B9585" s="45">
        <v>117</v>
      </c>
    </row>
    <row r="9586" spans="1:2" x14ac:dyDescent="0.2">
      <c r="A9586" t="s">
        <v>54</v>
      </c>
      <c r="B9586" s="45" t="str">
        <f>INDEX(overview!$B$4:$R$338,MATCH('hydrogen - electrolysis'!B9585,overview!$A$4:$A$338,0),MATCH('hydrogen - electrolysis'!A9586,overview!$B$3:$R$3,0))</f>
        <v>heat, from residential heating system</v>
      </c>
    </row>
    <row r="9587" spans="1:2" x14ac:dyDescent="0.2">
      <c r="A9587" t="s">
        <v>55</v>
      </c>
      <c r="B9587" s="45" t="str">
        <f>INDEX(overview!$B$4:$R$338,MATCH('hydrogen - electrolysis'!B9585,overview!$A$4:$A$338,0),MATCH('hydrogen - electrolysis'!A9587,overview!$B$3:$R$3,0))</f>
        <v>megajoule</v>
      </c>
    </row>
    <row r="9588" spans="1:2" x14ac:dyDescent="0.2">
      <c r="A9588" t="s">
        <v>0</v>
      </c>
      <c r="B9588" s="45" t="str">
        <f>INDEX(overview!$B$4:$R$338,MATCH('hydrogen - electrolysis'!B9585,overview!$A$4:$A$338,0),MATCH('hydrogen - electrolysis'!A9588,overview!$B$3:$R$3,0))</f>
        <v>Switzerland</v>
      </c>
    </row>
    <row r="9589" spans="1:2" x14ac:dyDescent="0.2">
      <c r="A9589" t="s">
        <v>1</v>
      </c>
      <c r="B9589" s="45">
        <f>INDEX(overview!$B$4:$R$338,MATCH('hydrogen - electrolysis'!B9585,overview!$A$4:$A$338,0),MATCH('hydrogen - electrolysis'!A9589,overview!$B$3:$R$3,0))</f>
        <v>2020</v>
      </c>
    </row>
    <row r="9590" spans="1:2" x14ac:dyDescent="0.2">
      <c r="A9590" t="s">
        <v>2</v>
      </c>
      <c r="B9590" s="45" t="str">
        <f>INDEX(overview!$B$4:$R$338,MATCH('hydrogen - electrolysis'!B9585,overview!$A$4:$A$338,0),MATCH('hydrogen - electrolysis'!A9590,overview!$B$3:$R$3,0))</f>
        <v>1 MJ heat</v>
      </c>
    </row>
    <row r="9591" spans="1:2" x14ac:dyDescent="0.2">
      <c r="A9591" t="s">
        <v>5</v>
      </c>
      <c r="B9591" s="45" t="str">
        <f>INDEX(overview!$B$4:$R$338,MATCH('hydrogen - electrolysis'!B9585,overview!$A$4:$A$338,0),MATCH('hydrogen - electrolysis'!A9591,overview!$B$3:$R$3,0))</f>
        <v>hydrogen</v>
      </c>
    </row>
    <row r="9592" spans="1:2" x14ac:dyDescent="0.2">
      <c r="A9592" t="s">
        <v>3</v>
      </c>
      <c r="B9592" s="45" t="str">
        <f>INDEX(overview!$B$4:$R$338,MATCH('hydrogen - electrolysis'!B9585,overview!$A$4:$A$338,0),MATCH('hydrogen - electrolysis'!A9592,overview!$B$3:$R$3,0))</f>
        <v>combustion</v>
      </c>
    </row>
    <row r="9593" spans="1:2" x14ac:dyDescent="0.2">
      <c r="A9593" t="s">
        <v>6</v>
      </c>
      <c r="B9593" s="45" t="str">
        <f>INDEX(overview!$B$4:$R$338,MATCH('hydrogen - electrolysis'!B9585,overview!$A$4:$A$338,0),MATCH('hydrogen - electrolysis'!A9593,overview!$B$3:$R$3,0))</f>
        <v>boiler</v>
      </c>
    </row>
    <row r="9594" spans="1:2" x14ac:dyDescent="0.2">
      <c r="A9594" t="s">
        <v>39</v>
      </c>
      <c r="B9594" s="45">
        <f>INDEX(overview!$B$4:$R$338,MATCH('hydrogen - electrolysis'!B9585,overview!$A$4:$A$338,0),MATCH('hydrogen - electrolysis'!A9594,overview!$B$3:$R$3,0))</f>
        <v>0</v>
      </c>
    </row>
    <row r="9595" spans="1:2" x14ac:dyDescent="0.2">
      <c r="A9595" t="s">
        <v>4</v>
      </c>
      <c r="B9595" s="45" t="str">
        <f>INDEX(overview!$B$4:$R$338,MATCH('hydrogen - electrolysis'!B9585,overview!$A$4:$A$338,0),MATCH('hydrogen - electrolysis'!A9595,overview!$B$3:$R$3,0))</f>
        <v>train</v>
      </c>
    </row>
    <row r="9596" spans="1:2" x14ac:dyDescent="0.2">
      <c r="A9596" t="s">
        <v>38</v>
      </c>
      <c r="B9596" s="45">
        <f>INDEX(overview!$B$4:$R$338,MATCH('hydrogen - electrolysis'!B9585,overview!$A$4:$A$338,0),MATCH('hydrogen - electrolysis'!A9596,overview!$B$3:$R$3,0))</f>
        <v>1300</v>
      </c>
    </row>
    <row r="9597" spans="1:2" x14ac:dyDescent="0.2">
      <c r="A9597" t="s">
        <v>12</v>
      </c>
      <c r="B9597" s="45" t="str">
        <f>INDEX(overview!$B$4:$R$338,MATCH('hydrogen - electrolysis'!B9585,overview!$A$4:$A$338,0),MATCH('hydrogen - electrolysis'!A9597,overview!$B$3:$R$3,0))</f>
        <v>Pressure vessel for stationary storage</v>
      </c>
    </row>
    <row r="9598" spans="1:2" x14ac:dyDescent="0.2">
      <c r="A9598" t="s">
        <v>34</v>
      </c>
      <c r="B9598" s="45">
        <f>INDEX(overview!$B$4:$R$338,MATCH('hydrogen - electrolysis'!B9585,overview!$A$4:$A$338,0),MATCH('hydrogen - electrolysis'!A9598,overview!$B$3:$R$3,0))</f>
        <v>0</v>
      </c>
    </row>
    <row r="9599" spans="1:2" x14ac:dyDescent="0.2">
      <c r="A9599" t="s">
        <v>15</v>
      </c>
      <c r="B9599" s="45" t="str">
        <f>INDEX(overview!$B$4:$R$338,MATCH('hydrogen - electrolysis'!B9585,overview!$A$4:$A$338,0),MATCH('hydrogen - electrolysis'!A9599,overview!$B$3:$R$3,0))</f>
        <v>Electrolysis, SOEC</v>
      </c>
    </row>
    <row r="9600" spans="1:2" x14ac:dyDescent="0.2">
      <c r="A9600" t="s">
        <v>14</v>
      </c>
      <c r="B9600" s="45" t="str">
        <f>INDEX(overview!$B$4:$R$338,MATCH('hydrogen - electrolysis'!B9585,overview!$A$4:$A$338,0),MATCH('hydrogen - electrolysis'!A9600,overview!$B$3:$R$3,0))</f>
        <v>water and electricity</v>
      </c>
    </row>
    <row r="9601" spans="1:2" x14ac:dyDescent="0.2">
      <c r="A9601" t="s">
        <v>26</v>
      </c>
      <c r="B9601" s="45" t="str">
        <f>INDEX(overview!$B$4:$R$338,MATCH('hydrogen - electrolysis'!B9585,overview!$A$4:$A$338,0),MATCH('hydrogen - electrolysis'!A9601,overview!$B$3:$R$3,0))</f>
        <v>Wind (DK)</v>
      </c>
    </row>
    <row r="9602" spans="1:2" x14ac:dyDescent="0.2">
      <c r="A9602" t="s">
        <v>29</v>
      </c>
      <c r="B9602" s="45">
        <f>INDEX(overview!$B$4:$R$338,MATCH('hydrogen - electrolysis'!B9585,overview!$A$4:$A$338,0),MATCH('hydrogen - electrolysis'!A9602,overview!$B$3:$R$3,0))</f>
        <v>0</v>
      </c>
    </row>
    <row r="9603" spans="1:2" x14ac:dyDescent="0.2">
      <c r="A9603" t="str">
        <f>IF(B9587="megajoule","Heat","Electricity")&amp;" conversion efficiency [% LHV input]"</f>
        <v>Heat conversion efficiency [% LHV input]</v>
      </c>
      <c r="B9603" s="46">
        <f>INDEX(parameters!$D$4:$N$20,MATCH('hydrogen - electrolysis'!B9591&amp;'hydrogen - electrolysis'!B9593,parameters!$A$4:$A$20,0),MATCH('hydrogen - electrolysis'!A9603,parameters!$D$3:$N$3,0))</f>
        <v>0.94</v>
      </c>
    </row>
    <row r="9604" spans="1:2" x14ac:dyDescent="0.2">
      <c r="A9604" t="str">
        <f>IF(B9587="megajoule","LHV [MJ/kg]","LHV [kWh/kg]")</f>
        <v>LHV [MJ/kg]</v>
      </c>
      <c r="B9604" s="47">
        <f>INDEX(parameters!$D$4:$N$20,MATCH('hydrogen - electrolysis'!B9591&amp;'hydrogen - electrolysis'!B9593,parameters!$A$4:$A$20,0),MATCH('hydrogen - electrolysis'!A9604,parameters!$D$3:$N$3,0))</f>
        <v>120</v>
      </c>
    </row>
    <row r="9605" spans="1:2" x14ac:dyDescent="0.2">
      <c r="A9605" t="s">
        <v>41</v>
      </c>
      <c r="B9605" s="48">
        <f>INDEX(parameters!$D$4:$N$20,MATCH('hydrogen - electrolysis'!B9591&amp;'hydrogen - electrolysis'!B9593,parameters!$A$4:$A$20,0),MATCH('hydrogen - electrolysis'!A9605,parameters!$D$3:$N$3,0))</f>
        <v>2.6666666666666665E-2</v>
      </c>
    </row>
    <row r="9606" spans="1:2" x14ac:dyDescent="0.2">
      <c r="A9606" t="s">
        <v>45</v>
      </c>
      <c r="B9606" s="49">
        <f>INDEX(parameters!$D$4:$N$20,MATCH('hydrogen - electrolysis'!B9591&amp;'hydrogen - electrolysis'!B9593,parameters!$A$4:$A$20,0),MATCH('hydrogen - electrolysis'!A9606,parameters!$D$3:$N$3,0))</f>
        <v>0</v>
      </c>
    </row>
    <row r="9607" spans="1:2" x14ac:dyDescent="0.2">
      <c r="A9607" t="s">
        <v>46</v>
      </c>
      <c r="B9607" s="49">
        <f>INDEX(parameters!$D$4:$N$20,MATCH('hydrogen - electrolysis'!B9591&amp;'hydrogen - electrolysis'!B9593,parameters!$A$4:$A$20,0),MATCH('hydrogen - electrolysis'!A9607,parameters!$D$3:$N$3,0))</f>
        <v>1.4999999999999999E-2</v>
      </c>
    </row>
    <row r="9608" spans="1:2" x14ac:dyDescent="0.2">
      <c r="A9608" t="s">
        <v>43</v>
      </c>
      <c r="B9608" s="49">
        <f>INDEX(parameters!$D$4:$N$20,MATCH('hydrogen - electrolysis'!B9591&amp;'hydrogen - electrolysis'!B9593,parameters!$A$4:$A$20,0),MATCH('hydrogen - electrolysis'!A9608,parameters!$D$3:$N$3,0))</f>
        <v>0</v>
      </c>
    </row>
    <row r="9609" spans="1:2" x14ac:dyDescent="0.2">
      <c r="A9609" t="s">
        <v>44</v>
      </c>
      <c r="B9609" s="49">
        <f>INDEX(parameters!$D$4:$N$20,MATCH('hydrogen - electrolysis'!B9591&amp;'hydrogen - electrolysis'!B9593,parameters!$A$4:$A$20,0),MATCH('hydrogen - electrolysis'!A9609,parameters!$D$3:$N$3,0))</f>
        <v>0</v>
      </c>
    </row>
    <row r="9610" spans="1:2" x14ac:dyDescent="0.2">
      <c r="A9610" t="s">
        <v>634</v>
      </c>
      <c r="B9610" s="51">
        <f>INDEX(parameters!$D$4:$Y$20,MATCH('hydrogen - electrolysis'!B9591&amp;'hydrogen - electrolysis'!B9593,parameters!$A$4:$A$20,0),MATCH('hydrogen - electrolysis'!A9610,parameters!$D$3:$Y$3,0))</f>
        <v>15.957446808510639</v>
      </c>
    </row>
    <row r="9611" spans="1:2" x14ac:dyDescent="0.2">
      <c r="A9611" t="s">
        <v>82</v>
      </c>
      <c r="B9611" s="46">
        <f>IF(B9602&lt;&gt;0,VLOOKUP(B9602,parameters!A5999:B6001,2,0),0)</f>
        <v>0</v>
      </c>
    </row>
    <row r="9612" spans="1:2" x14ac:dyDescent="0.2">
      <c r="A9612" t="s">
        <v>548</v>
      </c>
      <c r="B9612" s="50">
        <f>INDEX(parameters!$D$4:$P$20,MATCH(B9591&amp;B9593,parameters!$A$4:$A$20,0),MATCH(A9612,parameters!$D$3:$P$3,0))</f>
        <v>15</v>
      </c>
    </row>
    <row r="9613" spans="1:2" x14ac:dyDescent="0.2">
      <c r="A9613" t="s">
        <v>547</v>
      </c>
      <c r="B9613" s="51">
        <f>INDEX(parameters!$D$4:$P$20,MATCH(B9591&amp;B9593,parameters!$A$4:$A$20,0),MATCH(A9613,parameters!$D$3:$P$3,0))</f>
        <v>20</v>
      </c>
    </row>
    <row r="9614" spans="1:2" x14ac:dyDescent="0.2">
      <c r="A9614" t="s">
        <v>630</v>
      </c>
      <c r="B9614" s="51">
        <f>INDEX(parameters!$D$4:$T$20,MATCH(B9591&amp;B9593,parameters!$A$4:$A$20,0),MATCH(A9614,parameters!$D$3:$T$3,0))</f>
        <v>2100</v>
      </c>
    </row>
    <row r="9615" spans="1:2" x14ac:dyDescent="0.2">
      <c r="A9615" t="s">
        <v>1005</v>
      </c>
      <c r="B9615" s="50">
        <f>IF(B9587="megajoule",SUMIFS(allocation!$I$4:$I$30,allocation!$B$4:$B$30,B9593,allocation!$C$4:$C$30,B9594),SUMIFS(allocation!$J$4:$J$30,allocation!$B$4:$B$30,B9593,allocation!$C$4:$C$30,B9594))</f>
        <v>0</v>
      </c>
    </row>
    <row r="9616" spans="1:2" x14ac:dyDescent="0.2">
      <c r="A9616" t="s">
        <v>1050</v>
      </c>
      <c r="B9616" s="51">
        <f>INDEX(parameters!$D$4:$AB$20,MATCH(B9591&amp;B9593,parameters!$A$4:$A$20,0),MATCH(A9616,parameters!$D$3:$AB$3,0))</f>
        <v>44.562019013128115</v>
      </c>
    </row>
    <row r="9618" spans="1:22" x14ac:dyDescent="0.2">
      <c r="A9618" s="3" t="s">
        <v>57</v>
      </c>
    </row>
    <row r="9619" spans="1:22" x14ac:dyDescent="0.2">
      <c r="A9619" s="2" t="s">
        <v>58</v>
      </c>
      <c r="B9619" s="44" t="s">
        <v>59</v>
      </c>
      <c r="C9619" s="2" t="s">
        <v>55</v>
      </c>
      <c r="D9619" s="2" t="s">
        <v>60</v>
      </c>
      <c r="E9619" s="2" t="s">
        <v>52</v>
      </c>
      <c r="F9619" s="2" t="s">
        <v>61</v>
      </c>
      <c r="G9619" s="2" t="s">
        <v>54</v>
      </c>
      <c r="H9619" s="2" t="s">
        <v>87</v>
      </c>
      <c r="I9619" s="2" t="s">
        <v>51</v>
      </c>
      <c r="J9619" s="2" t="s">
        <v>138</v>
      </c>
      <c r="K9619" s="2" t="s">
        <v>136</v>
      </c>
      <c r="L9619" s="2" t="s">
        <v>221</v>
      </c>
      <c r="M9619" s="2" t="s">
        <v>379</v>
      </c>
      <c r="N9619" s="2" t="s">
        <v>1059</v>
      </c>
      <c r="O9619" s="2" t="s">
        <v>1060</v>
      </c>
      <c r="P9619" s="2" t="s">
        <v>1061</v>
      </c>
      <c r="Q9619" s="2" t="s">
        <v>1062</v>
      </c>
      <c r="R9619" s="2" t="s">
        <v>1063</v>
      </c>
      <c r="S9619" s="2" t="s">
        <v>1064</v>
      </c>
      <c r="T9619" s="2" t="s">
        <v>1065</v>
      </c>
      <c r="U9619" s="2" t="s">
        <v>380</v>
      </c>
      <c r="V9619" s="2" t="s">
        <v>1128</v>
      </c>
    </row>
    <row r="9620" spans="1:22" x14ac:dyDescent="0.2">
      <c r="A9620" t="str">
        <f>B9581</f>
        <v>heat, residential, by combustion of hydrogen using boiler, transported by train, produced by Electrolysis, SOEC using water and electricity from Wind (DK)</v>
      </c>
      <c r="B9620" s="45">
        <v>1</v>
      </c>
      <c r="C9620" t="str">
        <f>B9587</f>
        <v>megajoule</v>
      </c>
      <c r="E9620" t="str">
        <f>B9584</f>
        <v>CH</v>
      </c>
      <c r="F9620" t="s">
        <v>62</v>
      </c>
      <c r="G9620" t="str">
        <f>B9586</f>
        <v>heat, from residential heating system</v>
      </c>
      <c r="K9620" t="str">
        <f>B9581</f>
        <v>heat, residential, by combustion of hydrogen using boiler, transported by train, produced by Electrolysis, SOEC using water and electricity from Wind (DK)</v>
      </c>
    </row>
    <row r="9621" spans="1:22" x14ac:dyDescent="0.2">
      <c r="A9621" t="s">
        <v>83</v>
      </c>
      <c r="B9621" s="52">
        <f>1/(B9612*B9614*B9613*3.6)</f>
        <v>4.4091710758377425E-7</v>
      </c>
      <c r="C9621" t="s">
        <v>55</v>
      </c>
      <c r="E9621" t="s">
        <v>85</v>
      </c>
      <c r="F9621" t="s">
        <v>86</v>
      </c>
      <c r="G9621" t="s">
        <v>84</v>
      </c>
      <c r="H9621" t="s">
        <v>88</v>
      </c>
      <c r="K9621" t="str">
        <f>B9581</f>
        <v>heat, residential, by combustion of hydrogen using boiler, transported by train, produced by Electrolysis, SOEC using water and electricity from Wind (DK)</v>
      </c>
      <c r="L9621">
        <f t="shared" ref="L9621:L9628" si="409">IF(OR(B9621&lt;0,B9621=0),1,2)</f>
        <v>2</v>
      </c>
      <c r="M9621">
        <f t="shared" ref="M9621:M9628" si="410">IF(L9621=2,LN(B9621),"")</f>
        <v>-14.634408943829779</v>
      </c>
      <c r="N9621">
        <v>1.05</v>
      </c>
      <c r="O9621" s="15">
        <v>1.2</v>
      </c>
      <c r="P9621">
        <v>1</v>
      </c>
      <c r="Q9621">
        <v>1.01</v>
      </c>
      <c r="R9621">
        <v>1.2</v>
      </c>
      <c r="S9621">
        <v>1.2</v>
      </c>
      <c r="T9621">
        <v>3</v>
      </c>
      <c r="U9621">
        <f t="shared" ref="U9621:U9628" si="411">LN(SQRT(EXP(
SQRT(
+POWER(LN(N9621),2)
+POWER(LN(O9621),2)
+POWER(LN(P9621),2)
+POWER(LN(Q9621),2)
+POWER(LN(R9621),2)
+POWER(LN(S9621),2)
+POWER(LN(T9621),2)
)
)))</f>
        <v>0.57209088006881903</v>
      </c>
    </row>
    <row r="9622" spans="1:22" x14ac:dyDescent="0.2">
      <c r="A9622" t="s">
        <v>500</v>
      </c>
      <c r="B9622" s="52">
        <f>B9621*2</f>
        <v>8.8183421516754851E-7</v>
      </c>
      <c r="C9622" t="s">
        <v>267</v>
      </c>
      <c r="E9622" t="s">
        <v>85</v>
      </c>
      <c r="F9622" t="s">
        <v>86</v>
      </c>
      <c r="G9622" t="s">
        <v>501</v>
      </c>
      <c r="H9622" t="s">
        <v>88</v>
      </c>
      <c r="I9622" t="s">
        <v>621</v>
      </c>
      <c r="K9622" t="str">
        <f>B9581</f>
        <v>heat, residential, by combustion of hydrogen using boiler, transported by train, produced by Electrolysis, SOEC using water and electricity from Wind (DK)</v>
      </c>
      <c r="L9622">
        <f t="shared" si="409"/>
        <v>2</v>
      </c>
      <c r="M9622">
        <f t="shared" si="410"/>
        <v>-13.941261763269834</v>
      </c>
      <c r="N9622">
        <v>1.05</v>
      </c>
      <c r="O9622" s="15">
        <v>1.2</v>
      </c>
      <c r="P9622">
        <v>1</v>
      </c>
      <c r="Q9622">
        <v>1.01</v>
      </c>
      <c r="R9622">
        <v>1.2</v>
      </c>
      <c r="S9622">
        <v>1.2</v>
      </c>
      <c r="T9622">
        <v>3</v>
      </c>
      <c r="U9622">
        <f t="shared" si="411"/>
        <v>0.57209088006881903</v>
      </c>
    </row>
    <row r="9623" spans="1:22" x14ac:dyDescent="0.2">
      <c r="A9623" t="s">
        <v>130</v>
      </c>
      <c r="B9623" s="52">
        <v>2.64E-3</v>
      </c>
      <c r="C9623" t="s">
        <v>92</v>
      </c>
      <c r="E9623" t="s">
        <v>64</v>
      </c>
      <c r="F9623" t="s">
        <v>86</v>
      </c>
      <c r="G9623" t="s">
        <v>93</v>
      </c>
      <c r="H9623" t="s">
        <v>78</v>
      </c>
      <c r="I9623" t="s">
        <v>270</v>
      </c>
      <c r="J9623" t="s">
        <v>67</v>
      </c>
      <c r="K9623" t="str">
        <f>B9581</f>
        <v>heat, residential, by combustion of hydrogen using boiler, transported by train, produced by Electrolysis, SOEC using water and electricity from Wind (DK)</v>
      </c>
      <c r="L9623">
        <f t="shared" si="409"/>
        <v>2</v>
      </c>
      <c r="M9623">
        <f t="shared" si="410"/>
        <v>-5.9369763618239126</v>
      </c>
      <c r="N9623">
        <v>1.05</v>
      </c>
      <c r="O9623" s="15">
        <v>1.2</v>
      </c>
      <c r="P9623">
        <v>1</v>
      </c>
      <c r="Q9623">
        <v>1.01</v>
      </c>
      <c r="R9623">
        <v>1.2</v>
      </c>
      <c r="S9623">
        <v>1.2</v>
      </c>
      <c r="T9623">
        <v>1.05</v>
      </c>
      <c r="U9623">
        <f t="shared" si="411"/>
        <v>0.16169679924070957</v>
      </c>
    </row>
    <row r="9624" spans="1:22" x14ac:dyDescent="0.2">
      <c r="A9624" s="45" t="str">
        <f>"hydrogen supply, transported by "&amp;B9595&amp;", produced by "&amp;B9599&amp;" using "&amp;B9600&amp;" from "&amp;B9601</f>
        <v>hydrogen supply, transported by train, produced by Electrolysis, SOEC using water and electricity from Wind (DK)</v>
      </c>
      <c r="B9624" s="53">
        <f>(B9620/B9604)/B9603</f>
        <v>8.8652482269503553E-3</v>
      </c>
      <c r="C9624" t="s">
        <v>56</v>
      </c>
      <c r="E9624" t="s">
        <v>64</v>
      </c>
      <c r="F9624" t="s">
        <v>86</v>
      </c>
      <c r="G9624" t="str">
        <f>"hydrogen, gaseous, from "&amp;B9595</f>
        <v>hydrogen, gaseous, from train</v>
      </c>
      <c r="H9624" t="s">
        <v>76</v>
      </c>
      <c r="I9624" t="s">
        <v>1054</v>
      </c>
      <c r="J9624" t="s">
        <v>304</v>
      </c>
      <c r="K9624" t="str">
        <f>B9581</f>
        <v>heat, residential, by combustion of hydrogen using boiler, transported by train, produced by Electrolysis, SOEC using water and electricity from Wind (DK)</v>
      </c>
      <c r="L9624">
        <f t="shared" si="409"/>
        <v>2</v>
      </c>
      <c r="M9624">
        <f t="shared" si="410"/>
        <v>-4.7256163390639587</v>
      </c>
      <c r="N9624">
        <v>1.05</v>
      </c>
      <c r="O9624" s="15">
        <v>1.2</v>
      </c>
      <c r="P9624">
        <v>1</v>
      </c>
      <c r="Q9624">
        <v>1.01</v>
      </c>
      <c r="R9624">
        <v>1.2</v>
      </c>
      <c r="S9624">
        <v>1.2</v>
      </c>
      <c r="T9624">
        <v>1.05</v>
      </c>
      <c r="U9624">
        <f t="shared" si="411"/>
        <v>0.16169679924070957</v>
      </c>
    </row>
    <row r="9625" spans="1:22" x14ac:dyDescent="0.2">
      <c r="A9625" t="str">
        <f>VLOOKUP(J9625,'dataset mapping'!$A$4:$E$69,2,0)</f>
        <v>market for transport, freight train</v>
      </c>
      <c r="B9625" s="45">
        <f>SUM(B9624:B9624)/1000*B9596</f>
        <v>1.152482269503546E-2</v>
      </c>
      <c r="C9625" t="str">
        <f>VLOOKUP(J9625,'dataset mapping'!$A$4:$E$69,5,0)</f>
        <v>ton kilometer</v>
      </c>
      <c r="E9625" t="str">
        <f>VLOOKUP(J9625,'dataset mapping'!$A$4:$E$69,4,0)</f>
        <v>CH</v>
      </c>
      <c r="F9625" t="s">
        <v>86</v>
      </c>
      <c r="G9625" t="str">
        <f>VLOOKUP(J9625,'dataset mapping'!$A$4:$E$69,3,0)</f>
        <v>transport, freight train</v>
      </c>
      <c r="H9625" t="s">
        <v>88</v>
      </c>
      <c r="I9625" t="s">
        <v>1051</v>
      </c>
      <c r="J9625" t="s">
        <v>295</v>
      </c>
      <c r="K9625" t="str">
        <f>B9581</f>
        <v>heat, residential, by combustion of hydrogen using boiler, transported by train, produced by Electrolysis, SOEC using water and electricity from Wind (DK)</v>
      </c>
      <c r="L9625">
        <f t="shared" si="409"/>
        <v>2</v>
      </c>
      <c r="M9625">
        <f t="shared" si="410"/>
        <v>-4.4632520745964674</v>
      </c>
      <c r="N9625">
        <v>1.05</v>
      </c>
      <c r="O9625" s="15">
        <v>1.2</v>
      </c>
      <c r="P9625">
        <v>1</v>
      </c>
      <c r="Q9625">
        <v>1.01</v>
      </c>
      <c r="R9625">
        <v>1.2</v>
      </c>
      <c r="S9625">
        <v>1.2</v>
      </c>
      <c r="T9625">
        <v>2</v>
      </c>
      <c r="U9625">
        <f t="shared" si="411"/>
        <v>0.38165951885721477</v>
      </c>
    </row>
    <row r="9626" spans="1:22" x14ac:dyDescent="0.2">
      <c r="A9626" t="str">
        <f>VLOOKUP(J9626,'dataset mapping'!$A$4:$E$69,2,0)</f>
        <v>high pressure hydrogen storage tank</v>
      </c>
      <c r="B9626" s="52">
        <f>((B9616/10)/(B9614*B9610*20*3.6))*IF(B9615&lt;&gt;0,B9615,1)</f>
        <v>1.8469267139479905E-6</v>
      </c>
      <c r="C9626" t="str">
        <f>VLOOKUP(J9626,'dataset mapping'!$A$4:$E$69,5,0)</f>
        <v>kilogram</v>
      </c>
      <c r="E9626" t="str">
        <f>VLOOKUP(J9626,'dataset mapping'!$A$4:$E$69,4,0)</f>
        <v>GLO</v>
      </c>
      <c r="F9626" t="s">
        <v>86</v>
      </c>
      <c r="G9626" t="str">
        <f>VLOOKUP(J9626,'dataset mapping'!$A$4:$E$69,3,0)</f>
        <v>high pressure hydrogen storage tank</v>
      </c>
      <c r="H9626" t="s">
        <v>88</v>
      </c>
      <c r="I9626" t="s">
        <v>230</v>
      </c>
      <c r="J9626" t="s">
        <v>229</v>
      </c>
      <c r="K9626" t="str">
        <f>B9581</f>
        <v>heat, residential, by combustion of hydrogen using boiler, transported by train, produced by Electrolysis, SOEC using water and electricity from Wind (DK)</v>
      </c>
      <c r="L9626">
        <f t="shared" si="409"/>
        <v>2</v>
      </c>
      <c r="M9626">
        <f t="shared" si="410"/>
        <v>-13.20198753595994</v>
      </c>
      <c r="N9626">
        <v>1.05</v>
      </c>
      <c r="O9626" s="15">
        <v>1.2</v>
      </c>
      <c r="P9626">
        <v>1</v>
      </c>
      <c r="Q9626">
        <v>1.01</v>
      </c>
      <c r="R9626">
        <v>1.2</v>
      </c>
      <c r="S9626">
        <v>1.2</v>
      </c>
      <c r="T9626">
        <v>3</v>
      </c>
      <c r="U9626">
        <f t="shared" si="411"/>
        <v>0.57209088006881903</v>
      </c>
    </row>
    <row r="9627" spans="1:22" x14ac:dyDescent="0.2">
      <c r="A9627" t="s">
        <v>134</v>
      </c>
      <c r="B9627" s="45">
        <f>B9624*9</f>
        <v>7.9787234042553196E-2</v>
      </c>
      <c r="C9627" t="s">
        <v>56</v>
      </c>
      <c r="D9627" t="s">
        <v>100</v>
      </c>
      <c r="F9627" t="s">
        <v>99</v>
      </c>
      <c r="H9627" t="s">
        <v>131</v>
      </c>
      <c r="I9627" t="s">
        <v>1058</v>
      </c>
      <c r="K9627" t="str">
        <f>B9581</f>
        <v>heat, residential, by combustion of hydrogen using boiler, transported by train, produced by Electrolysis, SOEC using water and electricity from Wind (DK)</v>
      </c>
      <c r="L9627">
        <f t="shared" si="409"/>
        <v>2</v>
      </c>
      <c r="M9627">
        <f t="shared" si="410"/>
        <v>-2.5283917617277392</v>
      </c>
      <c r="N9627">
        <v>1.05</v>
      </c>
      <c r="O9627" s="15">
        <v>1.2</v>
      </c>
      <c r="P9627">
        <v>1</v>
      </c>
      <c r="Q9627">
        <v>1.01</v>
      </c>
      <c r="R9627">
        <v>1.2</v>
      </c>
      <c r="S9627">
        <v>1.2</v>
      </c>
      <c r="T9627">
        <v>1.05</v>
      </c>
      <c r="U9627">
        <f t="shared" si="411"/>
        <v>0.16169679924070957</v>
      </c>
    </row>
    <row r="9628" spans="1:22" x14ac:dyDescent="0.2">
      <c r="A9628" t="s">
        <v>135</v>
      </c>
      <c r="B9628" s="45">
        <f>912.5/1000000*B9624</f>
        <v>8.0895390070921995E-6</v>
      </c>
      <c r="C9628" t="s">
        <v>56</v>
      </c>
      <c r="D9628" t="s">
        <v>100</v>
      </c>
      <c r="F9628" t="s">
        <v>99</v>
      </c>
      <c r="H9628" t="s">
        <v>131</v>
      </c>
      <c r="I9628" t="s">
        <v>1217</v>
      </c>
      <c r="K9628" t="str">
        <f>B9581</f>
        <v>heat, residential, by combustion of hydrogen using boiler, transported by train, produced by Electrolysis, SOEC using water and electricity from Wind (DK)</v>
      </c>
      <c r="L9628">
        <f t="shared" si="409"/>
        <v>2</v>
      </c>
      <c r="M9628">
        <f t="shared" si="410"/>
        <v>-11.724938811571587</v>
      </c>
      <c r="N9628">
        <v>1.05</v>
      </c>
      <c r="O9628" s="15">
        <v>1.2</v>
      </c>
      <c r="P9628">
        <v>1</v>
      </c>
      <c r="Q9628">
        <v>1.01</v>
      </c>
      <c r="R9628">
        <v>1.2</v>
      </c>
      <c r="S9628">
        <v>1.2</v>
      </c>
      <c r="T9628">
        <v>1.5</v>
      </c>
      <c r="U9628">
        <f t="shared" si="411"/>
        <v>0.25816898211842121</v>
      </c>
    </row>
    <row r="9630" spans="1:22" x14ac:dyDescent="0.2">
      <c r="A9630" s="2" t="s">
        <v>50</v>
      </c>
      <c r="B9630" s="44" t="str">
        <f>IF(B9636="megajoule","heat","electricity")&amp;", residential, by "&amp;B9641&amp;" of "&amp;B9640&amp;" using "&amp;B9642&amp;IF(B9643&lt;&gt;0,", allocated by "&amp;B9643,"")&amp;", transported by "&amp;B9644&amp;", produced by "&amp;B9648&amp;" using "&amp;B9649&amp;" from "&amp;B9650</f>
        <v>heat, residential, by combustion of hydrogen using CHP, allocated by exergy, transported by train, produced by Electrolysis, SOEC using water and electricity from Wind (DK)</v>
      </c>
    </row>
    <row r="9631" spans="1:22" x14ac:dyDescent="0.2">
      <c r="A9631" t="s">
        <v>51</v>
      </c>
      <c r="B9631" s="45" t="str">
        <f>"This dataset represents the supply of 1 "&amp;IF(B9636="megajoule","megajoule of heat","kilowatt hour of electricity")&amp;" in a residence, by "&amp;B9640&amp;" "&amp;B9641&amp;" in a "&amp;B9642&amp;". "&amp;" The hydrogen is transported by "&amp;B9644&amp;" over "&amp;B9645&amp;" km from regional storage. "&amp;" The "&amp;B9640&amp;" is produced by  "&amp;B9648&amp;", with "&amp;B9649&amp;" from "&amp;B9650&amp;" as feedstock. "&amp;A9652&amp;": "&amp;(B9652*100)&amp;"%. "&amp;A9653&amp;": "&amp;B9653&amp;". "&amp;A9654&amp;": "&amp;B9654&amp;". "&amp;A9655&amp;": "&amp;(B9655*100)&amp;"%. "&amp;A9656&amp;": "&amp;(B9656*100)&amp;"%. "&amp;A9657&amp;": "&amp;(B9657*100)&amp;"%. "&amp;A9658&amp;": "&amp;B9658&amp;". "&amp;A9659&amp;": "&amp;B9659&amp;". "&amp;A9660&amp;": "&amp;(B9660*100)&amp;"%. "&amp;A9661&amp;": "&amp;B9661&amp;". "&amp;A9662&amp;": "&amp;B9662&amp;". "&amp;A9663&amp;": "&amp;B9663&amp;". "&amp;A9664&amp;": "&amp;B9664&amp;".  For more information, refer to: "&amp;B9632</f>
        <v>This dataset represents the supply of 1 megajoule of heat in a residence, by hydrogen combustion in a CHP.  The hydrogen is transported by train over 1300 km from regional storage.  The hydrogen is produced by  Electrolysis, SOEC, with water and electricity from Wind (DK)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and Bauer, C. Life Cycle Assessment of Power-to-X processes and associated electricity and heat applications in the residential sector. Paul Scherrer Institut, 2023.</v>
      </c>
    </row>
    <row r="9632" spans="1:22" x14ac:dyDescent="0.2">
      <c r="A9632" t="s">
        <v>63</v>
      </c>
      <c r="B9632" s="45" t="s">
        <v>1223</v>
      </c>
    </row>
    <row r="9633" spans="1:2" x14ac:dyDescent="0.2">
      <c r="A9633" t="s">
        <v>52</v>
      </c>
      <c r="B9633" s="45" t="s">
        <v>64</v>
      </c>
    </row>
    <row r="9634" spans="1:2" x14ac:dyDescent="0.2">
      <c r="A9634" t="s">
        <v>48</v>
      </c>
      <c r="B9634" s="45">
        <v>118</v>
      </c>
    </row>
    <row r="9635" spans="1:2" x14ac:dyDescent="0.2">
      <c r="A9635" t="s">
        <v>54</v>
      </c>
      <c r="B9635" s="45" t="str">
        <f>INDEX(overview!$B$4:$R$338,MATCH('hydrogen - electrolysis'!B9634,overview!$A$4:$A$338,0),MATCH('hydrogen - electrolysis'!A9635,overview!$B$3:$R$3,0))</f>
        <v>heat, from residential heating system</v>
      </c>
    </row>
    <row r="9636" spans="1:2" x14ac:dyDescent="0.2">
      <c r="A9636" t="s">
        <v>55</v>
      </c>
      <c r="B9636" s="45" t="str">
        <f>INDEX(overview!$B$4:$R$338,MATCH('hydrogen - electrolysis'!B9634,overview!$A$4:$A$338,0),MATCH('hydrogen - electrolysis'!A9636,overview!$B$3:$R$3,0))</f>
        <v>megajoule</v>
      </c>
    </row>
    <row r="9637" spans="1:2" x14ac:dyDescent="0.2">
      <c r="A9637" t="s">
        <v>0</v>
      </c>
      <c r="B9637" s="45" t="str">
        <f>INDEX(overview!$B$4:$R$338,MATCH('hydrogen - electrolysis'!B9634,overview!$A$4:$A$338,0),MATCH('hydrogen - electrolysis'!A9637,overview!$B$3:$R$3,0))</f>
        <v>Switzerland</v>
      </c>
    </row>
    <row r="9638" spans="1:2" x14ac:dyDescent="0.2">
      <c r="A9638" t="s">
        <v>1</v>
      </c>
      <c r="B9638" s="45">
        <f>INDEX(overview!$B$4:$R$338,MATCH('hydrogen - electrolysis'!B9634,overview!$A$4:$A$338,0),MATCH('hydrogen - electrolysis'!A9638,overview!$B$3:$R$3,0))</f>
        <v>2020</v>
      </c>
    </row>
    <row r="9639" spans="1:2" x14ac:dyDescent="0.2">
      <c r="A9639" t="s">
        <v>2</v>
      </c>
      <c r="B9639" s="45" t="str">
        <f>INDEX(overview!$B$4:$R$338,MATCH('hydrogen - electrolysis'!B9634,overview!$A$4:$A$338,0),MATCH('hydrogen - electrolysis'!A9639,overview!$B$3:$R$3,0))</f>
        <v>1 MJ heat</v>
      </c>
    </row>
    <row r="9640" spans="1:2" x14ac:dyDescent="0.2">
      <c r="A9640" t="s">
        <v>5</v>
      </c>
      <c r="B9640" s="45" t="str">
        <f>INDEX(overview!$B$4:$R$338,MATCH('hydrogen - electrolysis'!B9634,overview!$A$4:$A$338,0),MATCH('hydrogen - electrolysis'!A9640,overview!$B$3:$R$3,0))</f>
        <v>hydrogen</v>
      </c>
    </row>
    <row r="9641" spans="1:2" x14ac:dyDescent="0.2">
      <c r="A9641" t="s">
        <v>3</v>
      </c>
      <c r="B9641" s="45" t="str">
        <f>INDEX(overview!$B$4:$R$338,MATCH('hydrogen - electrolysis'!B9634,overview!$A$4:$A$338,0),MATCH('hydrogen - electrolysis'!A9641,overview!$B$3:$R$3,0))</f>
        <v>combustion</v>
      </c>
    </row>
    <row r="9642" spans="1:2" x14ac:dyDescent="0.2">
      <c r="A9642" t="s">
        <v>6</v>
      </c>
      <c r="B9642" s="45" t="str">
        <f>INDEX(overview!$B$4:$R$338,MATCH('hydrogen - electrolysis'!B9634,overview!$A$4:$A$338,0),MATCH('hydrogen - electrolysis'!A9642,overview!$B$3:$R$3,0))</f>
        <v>CHP</v>
      </c>
    </row>
    <row r="9643" spans="1:2" x14ac:dyDescent="0.2">
      <c r="A9643" t="s">
        <v>39</v>
      </c>
      <c r="B9643" s="45" t="str">
        <f>INDEX(overview!$B$4:$R$338,MATCH('hydrogen - electrolysis'!B9634,overview!$A$4:$A$338,0),MATCH('hydrogen - electrolysis'!A9643,overview!$B$3:$R$3,0))</f>
        <v>exergy</v>
      </c>
    </row>
    <row r="9644" spans="1:2" x14ac:dyDescent="0.2">
      <c r="A9644" t="s">
        <v>4</v>
      </c>
      <c r="B9644" s="45" t="str">
        <f>INDEX(overview!$B$4:$R$338,MATCH('hydrogen - electrolysis'!B9634,overview!$A$4:$A$338,0),MATCH('hydrogen - electrolysis'!A9644,overview!$B$3:$R$3,0))</f>
        <v>train</v>
      </c>
    </row>
    <row r="9645" spans="1:2" x14ac:dyDescent="0.2">
      <c r="A9645" t="s">
        <v>38</v>
      </c>
      <c r="B9645" s="45">
        <f>INDEX(overview!$B$4:$R$338,MATCH('hydrogen - electrolysis'!B9634,overview!$A$4:$A$338,0),MATCH('hydrogen - electrolysis'!A9645,overview!$B$3:$R$3,0))</f>
        <v>1300</v>
      </c>
    </row>
    <row r="9646" spans="1:2" x14ac:dyDescent="0.2">
      <c r="A9646" t="s">
        <v>12</v>
      </c>
      <c r="B9646" s="45" t="str">
        <f>INDEX(overview!$B$4:$R$338,MATCH('hydrogen - electrolysis'!B9634,overview!$A$4:$A$338,0),MATCH('hydrogen - electrolysis'!A9646,overview!$B$3:$R$3,0))</f>
        <v>Pressure vessel for stationary storage</v>
      </c>
    </row>
    <row r="9647" spans="1:2" x14ac:dyDescent="0.2">
      <c r="A9647" t="s">
        <v>34</v>
      </c>
      <c r="B9647" s="45">
        <f>INDEX(overview!$B$4:$R$338,MATCH('hydrogen - electrolysis'!B9634,overview!$A$4:$A$338,0),MATCH('hydrogen - electrolysis'!A9647,overview!$B$3:$R$3,0))</f>
        <v>0</v>
      </c>
    </row>
    <row r="9648" spans="1:2" x14ac:dyDescent="0.2">
      <c r="A9648" t="s">
        <v>15</v>
      </c>
      <c r="B9648" s="45" t="str">
        <f>INDEX(overview!$B$4:$R$338,MATCH('hydrogen - electrolysis'!B9634,overview!$A$4:$A$338,0),MATCH('hydrogen - electrolysis'!A9648,overview!$B$3:$R$3,0))</f>
        <v>Electrolysis, SOEC</v>
      </c>
    </row>
    <row r="9649" spans="1:2" x14ac:dyDescent="0.2">
      <c r="A9649" t="s">
        <v>14</v>
      </c>
      <c r="B9649" s="45" t="str">
        <f>INDEX(overview!$B$4:$R$338,MATCH('hydrogen - electrolysis'!B9634,overview!$A$4:$A$338,0),MATCH('hydrogen - electrolysis'!A9649,overview!$B$3:$R$3,0))</f>
        <v>water and electricity</v>
      </c>
    </row>
    <row r="9650" spans="1:2" x14ac:dyDescent="0.2">
      <c r="A9650" t="s">
        <v>26</v>
      </c>
      <c r="B9650" s="45" t="str">
        <f>INDEX(overview!$B$4:$R$338,MATCH('hydrogen - electrolysis'!B9634,overview!$A$4:$A$338,0),MATCH('hydrogen - electrolysis'!A9650,overview!$B$3:$R$3,0))</f>
        <v>Wind (DK)</v>
      </c>
    </row>
    <row r="9651" spans="1:2" x14ac:dyDescent="0.2">
      <c r="A9651" t="s">
        <v>29</v>
      </c>
      <c r="B9651" s="45">
        <f>INDEX(overview!$B$4:$R$338,MATCH('hydrogen - electrolysis'!B9634,overview!$A$4:$A$338,0),MATCH('hydrogen - electrolysis'!A9651,overview!$B$3:$R$3,0))</f>
        <v>0</v>
      </c>
    </row>
    <row r="9652" spans="1:2" x14ac:dyDescent="0.2">
      <c r="A9652" t="str">
        <f>IF(B9636="megajoule","Heat","Electricity")&amp;" conversion efficiency [% LHV input]"</f>
        <v>Heat conversion efficiency [% LHV input]</v>
      </c>
      <c r="B9652" s="46">
        <f>INDEX(parameters!$D$4:$N$20,MATCH('hydrogen - electrolysis'!B9640&amp;'hydrogen - electrolysis'!B9642,parameters!$A$4:$A$20,0),MATCH('hydrogen - electrolysis'!A9652,parameters!$D$3:$N$3,0))</f>
        <v>0.41699999999999998</v>
      </c>
    </row>
    <row r="9653" spans="1:2" x14ac:dyDescent="0.2">
      <c r="A9653" t="str">
        <f>IF(B9636="megajoule","LHV [MJ/kg]","LHV [kWh/kg]")</f>
        <v>LHV [MJ/kg]</v>
      </c>
      <c r="B9653" s="47">
        <f>INDEX(parameters!$D$4:$N$20,MATCH('hydrogen - electrolysis'!B9640&amp;'hydrogen - electrolysis'!B9642,parameters!$A$4:$A$20,0),MATCH('hydrogen - electrolysis'!A9653,parameters!$D$3:$N$3,0))</f>
        <v>120</v>
      </c>
    </row>
    <row r="9654" spans="1:2" x14ac:dyDescent="0.2">
      <c r="A9654" t="s">
        <v>41</v>
      </c>
      <c r="B9654" s="48">
        <f>INDEX(parameters!$D$4:$N$20,MATCH('hydrogen - electrolysis'!B9640&amp;'hydrogen - electrolysis'!B9642,parameters!$A$4:$A$20,0),MATCH('hydrogen - electrolysis'!A9654,parameters!$D$3:$N$3,0))</f>
        <v>2.6666666666666665E-2</v>
      </c>
    </row>
    <row r="9655" spans="1:2" x14ac:dyDescent="0.2">
      <c r="A9655" t="s">
        <v>45</v>
      </c>
      <c r="B9655" s="46">
        <f>INDEX(parameters!$D$4:$N$20,MATCH('hydrogen - electrolysis'!B9640&amp;'hydrogen - electrolysis'!B9642,parameters!$A$4:$A$20,0),MATCH('hydrogen - electrolysis'!A9655,parameters!$D$3:$N$3,0))</f>
        <v>0</v>
      </c>
    </row>
    <row r="9656" spans="1:2" x14ac:dyDescent="0.2">
      <c r="A9656" t="s">
        <v>46</v>
      </c>
      <c r="B9656" s="46">
        <f>INDEX(parameters!$D$4:$N$20,MATCH('hydrogen - electrolysis'!B9640&amp;'hydrogen - electrolysis'!B9642,parameters!$A$4:$A$20,0),MATCH('hydrogen - electrolysis'!A9656,parameters!$D$3:$N$3,0))</f>
        <v>1.4999999999999999E-2</v>
      </c>
    </row>
    <row r="9657" spans="1:2" x14ac:dyDescent="0.2">
      <c r="A9657" t="s">
        <v>43</v>
      </c>
      <c r="B9657" s="46">
        <f>INDEX(parameters!$D$4:$N$20,MATCH('hydrogen - electrolysis'!B9640&amp;'hydrogen - electrolysis'!B9642,parameters!$A$4:$A$20,0),MATCH('hydrogen - electrolysis'!A9657,parameters!$D$3:$N$3,0))</f>
        <v>0</v>
      </c>
    </row>
    <row r="9658" spans="1:2" x14ac:dyDescent="0.2">
      <c r="A9658" t="s">
        <v>44</v>
      </c>
      <c r="B9658" s="46">
        <f>INDEX(parameters!$D$4:$N$20,MATCH('hydrogen - electrolysis'!B9640&amp;'hydrogen - electrolysis'!B9642,parameters!$A$4:$A$20,0),MATCH('hydrogen - electrolysis'!A9658,parameters!$D$3:$N$3,0))</f>
        <v>0</v>
      </c>
    </row>
    <row r="9659" spans="1:2" x14ac:dyDescent="0.2">
      <c r="A9659" t="s">
        <v>634</v>
      </c>
      <c r="B9659" s="51">
        <f>INDEX(parameters!$D$4:$Y$20,MATCH('hydrogen - electrolysis'!B9640&amp;'hydrogen - electrolysis'!B9642,parameters!$A$4:$A$20,0),MATCH('hydrogen - electrolysis'!A9659,parameters!$D$3:$Y$3,0))</f>
        <v>351.41800246609125</v>
      </c>
    </row>
    <row r="9660" spans="1:2" x14ac:dyDescent="0.2">
      <c r="A9660" t="s">
        <v>82</v>
      </c>
      <c r="B9660" s="46">
        <f>IF(B9651&lt;&gt;0,VLOOKUP(B9651,parameters!A6050:B6052,2,0),0)</f>
        <v>0</v>
      </c>
    </row>
    <row r="9661" spans="1:2" x14ac:dyDescent="0.2">
      <c r="A9661" t="s">
        <v>548</v>
      </c>
      <c r="B9661" s="50">
        <f>INDEX(parameters!$D$4:$P$20,MATCH(B9640&amp;B9642,parameters!$A$4:$A$20,0),MATCH(A9661,parameters!$D$3:$P$3,0))</f>
        <v>125</v>
      </c>
    </row>
    <row r="9662" spans="1:2" x14ac:dyDescent="0.2">
      <c r="A9662" t="s">
        <v>547</v>
      </c>
      <c r="B9662" s="51">
        <f>INDEX(parameters!$D$4:$P$20,MATCH(B9640&amp;B9642,parameters!$A$4:$A$20,0),MATCH(A9662,parameters!$D$3:$P$3,0))</f>
        <v>19.512195121951219</v>
      </c>
    </row>
    <row r="9663" spans="1:2" x14ac:dyDescent="0.2">
      <c r="A9663" t="s">
        <v>630</v>
      </c>
      <c r="B9663" s="51">
        <f>INDEX(parameters!$D$4:$T$20,MATCH(B9640&amp;B9642,parameters!$A$4:$A$20,0),MATCH(A9663,parameters!$D$3:$T$3,0))</f>
        <v>4100</v>
      </c>
    </row>
    <row r="9664" spans="1:2" x14ac:dyDescent="0.2">
      <c r="A9664" t="s">
        <v>1005</v>
      </c>
      <c r="B9664" s="50">
        <f>IF(B9636="megajoule",SUMIFS(allocation!$I$4:$I$30,allocation!$B$4:$B$30,B9642,allocation!$C$4:$C$30,B9643),SUMIFS(allocation!$J$4:$J$30,allocation!$B$4:$B$30,B9642,allocation!$C$4:$C$30,B9643))</f>
        <v>0.12860042227295038</v>
      </c>
    </row>
    <row r="9665" spans="1:22" x14ac:dyDescent="0.2">
      <c r="A9665" t="s">
        <v>1050</v>
      </c>
      <c r="B9665" s="51">
        <f>INDEX(parameters!$D$4:$AB$20,MATCH(B9640&amp;B9642,parameters!$A$4:$A$20,0),MATCH(A9665,parameters!$D$3:$AB$3,0))</f>
        <v>2220.7364520822662</v>
      </c>
    </row>
    <row r="9667" spans="1:22" x14ac:dyDescent="0.2">
      <c r="A9667" s="3" t="s">
        <v>57</v>
      </c>
    </row>
    <row r="9668" spans="1:22" x14ac:dyDescent="0.2">
      <c r="A9668" s="2" t="s">
        <v>58</v>
      </c>
      <c r="B9668" s="44" t="s">
        <v>59</v>
      </c>
      <c r="C9668" s="2" t="s">
        <v>55</v>
      </c>
      <c r="D9668" s="2" t="s">
        <v>60</v>
      </c>
      <c r="E9668" s="2" t="s">
        <v>52</v>
      </c>
      <c r="F9668" s="2" t="s">
        <v>61</v>
      </c>
      <c r="G9668" s="2" t="s">
        <v>54</v>
      </c>
      <c r="H9668" s="2" t="s">
        <v>87</v>
      </c>
      <c r="I9668" s="2" t="s">
        <v>51</v>
      </c>
      <c r="J9668" s="2" t="s">
        <v>138</v>
      </c>
      <c r="K9668" s="2" t="s">
        <v>136</v>
      </c>
      <c r="L9668" s="2" t="s">
        <v>221</v>
      </c>
      <c r="M9668" s="2" t="s">
        <v>379</v>
      </c>
      <c r="N9668" s="2" t="s">
        <v>1059</v>
      </c>
      <c r="O9668" s="2" t="s">
        <v>1060</v>
      </c>
      <c r="P9668" s="2" t="s">
        <v>1061</v>
      </c>
      <c r="Q9668" s="2" t="s">
        <v>1062</v>
      </c>
      <c r="R9668" s="2" t="s">
        <v>1063</v>
      </c>
      <c r="S9668" s="2" t="s">
        <v>1064</v>
      </c>
      <c r="T9668" s="2" t="s">
        <v>1065</v>
      </c>
      <c r="U9668" s="2" t="s">
        <v>380</v>
      </c>
      <c r="V9668" s="2" t="s">
        <v>1128</v>
      </c>
    </row>
    <row r="9669" spans="1:22" x14ac:dyDescent="0.2">
      <c r="A9669" t="str">
        <f>B9630</f>
        <v>heat, residential, by combustion of hydrogen using CHP, allocated by exergy, transported by train, produced by Electrolysis, SOEC using water and electricity from Wind (DK)</v>
      </c>
      <c r="B9669" s="45">
        <v>1</v>
      </c>
      <c r="C9669" t="str">
        <f>B9636</f>
        <v>megajoule</v>
      </c>
      <c r="E9669" t="str">
        <f>B9633</f>
        <v>CH</v>
      </c>
      <c r="F9669" t="s">
        <v>62</v>
      </c>
      <c r="G9669" t="str">
        <f>B9635</f>
        <v>heat, from residential heating system</v>
      </c>
      <c r="K9669" t="str">
        <f>B9630</f>
        <v>heat, residential, by combustion of hydrogen using CHP, allocated by exergy, transported by train, produced by Electrolysis, SOEC using water and electricity from Wind (DK)</v>
      </c>
    </row>
    <row r="9670" spans="1:22" x14ac:dyDescent="0.2">
      <c r="A9670" t="str">
        <f>VLOOKUP(J9670,'dataset mapping'!$A$4:$E$69,2,0)</f>
        <v>heat and power co-generation unit construction, 160kW electrical, common components for heat+electricity</v>
      </c>
      <c r="B9670" s="52">
        <f>(1/(B9659*B9663*B9662*3.6))*B9664</f>
        <v>1.270649883812899E-9</v>
      </c>
      <c r="C9670" t="str">
        <f>VLOOKUP(J9670,'dataset mapping'!$A$4:$E$69,5,0)</f>
        <v>unit</v>
      </c>
      <c r="E9670" t="str">
        <f>VLOOKUP(J9670,'dataset mapping'!$A$4:$E$69,4,0)</f>
        <v>RER</v>
      </c>
      <c r="F9670" t="s">
        <v>86</v>
      </c>
      <c r="G9670" t="str">
        <f>VLOOKUP(J9670,'dataset mapping'!$A$4:$E$69,3,0)</f>
        <v>heat and power co-generation unit, 160kW electrical, common components for heat+electricity</v>
      </c>
      <c r="H9670" t="s">
        <v>88</v>
      </c>
      <c r="J9670" t="s">
        <v>145</v>
      </c>
      <c r="K9670" t="str">
        <f>B9630</f>
        <v>heat, residential, by combustion of hydrogen using CHP, allocated by exergy, transported by train, produced by Electrolysis, SOEC using water and electricity from Wind (DK)</v>
      </c>
      <c r="L9670">
        <f t="shared" ref="L9670:L9679" si="412">IF(OR(B9670&lt;0,B9670=0),1,2)</f>
        <v>2</v>
      </c>
      <c r="M9670">
        <f t="shared" ref="M9670:M9679" si="413">IF(L9670=2,LN(B9670),"")</f>
        <v>-20.48373734782199</v>
      </c>
      <c r="N9670">
        <v>1.05</v>
      </c>
      <c r="O9670" s="15">
        <v>1.2</v>
      </c>
      <c r="P9670">
        <v>1</v>
      </c>
      <c r="Q9670">
        <v>1.01</v>
      </c>
      <c r="R9670">
        <v>1.2</v>
      </c>
      <c r="S9670">
        <v>1.2</v>
      </c>
      <c r="T9670">
        <v>3</v>
      </c>
      <c r="U9670">
        <f t="shared" ref="U9670:U9679" si="414">LN(SQRT(EXP(
SQRT(
+POWER(LN(N9670),2)
+POWER(LN(O9670),2)
+POWER(LN(P9670),2)
+POWER(LN(Q9670),2)
+POWER(LN(R9670),2)
+POWER(LN(S9670),2)
+POWER(LN(T9670),2)
)
)))</f>
        <v>0.57209088006881903</v>
      </c>
    </row>
    <row r="9671" spans="1:22" x14ac:dyDescent="0.2">
      <c r="A9671" t="str">
        <f>VLOOKUP(J9671,'dataset mapping'!$A$4:$E$69,2,0)</f>
        <v>heat and power co-generation unit construction, 160kW electrical, components for electricity only</v>
      </c>
      <c r="B9671" s="52">
        <f>(1/(B9659*B9663*B9662*3.6))*B9664</f>
        <v>1.270649883812899E-9</v>
      </c>
      <c r="C9671" t="str">
        <f>VLOOKUP(J9671,'dataset mapping'!$A$4:$E$69,5,0)</f>
        <v>unit</v>
      </c>
      <c r="E9671" t="str">
        <f>VLOOKUP(J9671,'dataset mapping'!$A$4:$E$69,4,0)</f>
        <v>RER</v>
      </c>
      <c r="F9671" t="s">
        <v>86</v>
      </c>
      <c r="G9671" t="str">
        <f>VLOOKUP(J9671,'dataset mapping'!$A$4:$E$69,3,0)</f>
        <v>heat and power co-generation unit, 160kW electrical, components for electricity only</v>
      </c>
      <c r="H9671" t="s">
        <v>88</v>
      </c>
      <c r="J9671" t="s">
        <v>146</v>
      </c>
      <c r="K9671" t="str">
        <f>B9630</f>
        <v>heat, residential, by combustion of hydrogen using CHP, allocated by exergy, transported by train, produced by Electrolysis, SOEC using water and electricity from Wind (DK)</v>
      </c>
      <c r="L9671">
        <f t="shared" si="412"/>
        <v>2</v>
      </c>
      <c r="M9671">
        <f t="shared" si="413"/>
        <v>-20.48373734782199</v>
      </c>
      <c r="N9671">
        <v>1.05</v>
      </c>
      <c r="O9671" s="15">
        <v>1.2</v>
      </c>
      <c r="P9671">
        <v>1</v>
      </c>
      <c r="Q9671">
        <v>1.01</v>
      </c>
      <c r="R9671">
        <v>1.2</v>
      </c>
      <c r="S9671">
        <v>1.2</v>
      </c>
      <c r="T9671">
        <v>3</v>
      </c>
      <c r="U9671">
        <f t="shared" si="414"/>
        <v>0.57209088006881903</v>
      </c>
    </row>
    <row r="9672" spans="1:22" x14ac:dyDescent="0.2">
      <c r="A9672" t="str">
        <f>VLOOKUP(J9672,'dataset mapping'!$A$4:$E$69,2,0)</f>
        <v>heat and power co-generation unit construction, 160kW electrical, components for heat only</v>
      </c>
      <c r="B9672" s="52">
        <f>(1/(B9659*B9663*B9662*3.6))*B9664</f>
        <v>1.270649883812899E-9</v>
      </c>
      <c r="C9672" t="str">
        <f>VLOOKUP(J9672,'dataset mapping'!$A$4:$E$69,5,0)</f>
        <v>unit</v>
      </c>
      <c r="E9672" t="str">
        <f>VLOOKUP(J9672,'dataset mapping'!$A$4:$E$69,4,0)</f>
        <v>RER</v>
      </c>
      <c r="F9672" t="s">
        <v>86</v>
      </c>
      <c r="G9672" t="str">
        <f>VLOOKUP(J9672,'dataset mapping'!$A$4:$E$69,3,0)</f>
        <v>heat and power co-generation unit, 160kW electrical, components for heat only</v>
      </c>
      <c r="H9672" t="s">
        <v>88</v>
      </c>
      <c r="J9672" t="s">
        <v>147</v>
      </c>
      <c r="K9672" t="str">
        <f>B9630</f>
        <v>heat, residential, by combustion of hydrogen using CHP, allocated by exergy, transported by train, produced by Electrolysis, SOEC using water and electricity from Wind (DK)</v>
      </c>
      <c r="L9672">
        <f t="shared" si="412"/>
        <v>2</v>
      </c>
      <c r="M9672">
        <f t="shared" si="413"/>
        <v>-20.48373734782199</v>
      </c>
      <c r="N9672">
        <v>1.05</v>
      </c>
      <c r="O9672" s="15">
        <v>1.2</v>
      </c>
      <c r="P9672">
        <v>1</v>
      </c>
      <c r="Q9672">
        <v>1.01</v>
      </c>
      <c r="R9672">
        <v>1.2</v>
      </c>
      <c r="S9672">
        <v>1.2</v>
      </c>
      <c r="T9672">
        <v>3</v>
      </c>
      <c r="U9672">
        <f t="shared" si="414"/>
        <v>0.57209088006881903</v>
      </c>
    </row>
    <row r="9673" spans="1:22" x14ac:dyDescent="0.2">
      <c r="A9673" t="s">
        <v>156</v>
      </c>
      <c r="B9673" s="52">
        <f>0.00000011366*B9664</f>
        <v>1.461672399554354E-8</v>
      </c>
      <c r="C9673" t="s">
        <v>56</v>
      </c>
      <c r="E9673" t="s">
        <v>90</v>
      </c>
      <c r="F9673" t="s">
        <v>86</v>
      </c>
      <c r="G9673" t="s">
        <v>154</v>
      </c>
      <c r="H9673" t="s">
        <v>155</v>
      </c>
      <c r="K9673" t="str">
        <f>B9630</f>
        <v>heat, residential, by combustion of hydrogen using CHP, allocated by exergy, transported by train, produced by Electrolysis, SOEC using water and electricity from Wind (DK)</v>
      </c>
      <c r="L9673">
        <f t="shared" si="412"/>
        <v>2</v>
      </c>
      <c r="M9673">
        <f t="shared" si="413"/>
        <v>-18.041099484645969</v>
      </c>
      <c r="N9673">
        <v>1.05</v>
      </c>
      <c r="O9673" s="15">
        <v>1.2</v>
      </c>
      <c r="P9673">
        <v>1</v>
      </c>
      <c r="Q9673">
        <v>1.01</v>
      </c>
      <c r="R9673">
        <v>1.2</v>
      </c>
      <c r="S9673">
        <v>1.2</v>
      </c>
      <c r="T9673">
        <v>1.05</v>
      </c>
      <c r="U9673">
        <f t="shared" si="414"/>
        <v>0.16169679924070957</v>
      </c>
    </row>
    <row r="9674" spans="1:22" x14ac:dyDescent="0.2">
      <c r="A9674" t="s">
        <v>157</v>
      </c>
      <c r="B9674" s="52">
        <f>0.00000011366*B9664*-1</f>
        <v>-1.461672399554354E-8</v>
      </c>
      <c r="C9674" t="s">
        <v>56</v>
      </c>
      <c r="E9674" t="s">
        <v>64</v>
      </c>
      <c r="F9674" t="s">
        <v>86</v>
      </c>
      <c r="G9674" t="s">
        <v>158</v>
      </c>
      <c r="H9674" t="s">
        <v>155</v>
      </c>
      <c r="K9674" t="str">
        <f>B9630</f>
        <v>heat, residential, by combustion of hydrogen using CHP, allocated by exergy, transported by train, produced by Electrolysis, SOEC using water and electricity from Wind (DK)</v>
      </c>
      <c r="L9674">
        <v>2</v>
      </c>
      <c r="M9674">
        <f>IF(L9674=2,LN(B9674*-1),"")</f>
        <v>-18.041099484645969</v>
      </c>
      <c r="N9674">
        <v>1.05</v>
      </c>
      <c r="O9674" s="15">
        <v>1.2</v>
      </c>
      <c r="P9674">
        <v>1</v>
      </c>
      <c r="Q9674">
        <v>1.01</v>
      </c>
      <c r="R9674">
        <v>1.2</v>
      </c>
      <c r="S9674">
        <v>1.2</v>
      </c>
      <c r="T9674">
        <v>3</v>
      </c>
      <c r="U9674">
        <f>LN(SQRT(EXP(
SQRT(
+POWER(LN(N9674),2)
+POWER(LN(O9674),2)
+POWER(LN(P9674),2)
+POWER(LN(Q9674),2)
+POWER(LN(R9674),2)
+POWER(LN(S9674),2)
+POWER(LN(T9674),2)
)
)))</f>
        <v>0.57209088006881903</v>
      </c>
      <c r="V9674" t="b">
        <v>1</v>
      </c>
    </row>
    <row r="9675" spans="1:22" x14ac:dyDescent="0.2">
      <c r="A9675" s="45" t="str">
        <f>"hydrogen supply, transported by "&amp;B9644&amp;", produced by "&amp;B9648&amp;" using "&amp;B9649&amp;" from "&amp;B9650</f>
        <v>hydrogen supply, transported by train, produced by Electrolysis, SOEC using water and electricity from Wind (DK)</v>
      </c>
      <c r="B9675" s="53">
        <f>(B9669/B9653)/B9652*B9664</f>
        <v>2.56995248347223E-3</v>
      </c>
      <c r="C9675" t="s">
        <v>56</v>
      </c>
      <c r="E9675" t="s">
        <v>64</v>
      </c>
      <c r="F9675" t="s">
        <v>86</v>
      </c>
      <c r="G9675" t="str">
        <f>"hydrogen, gaseous, from "&amp;B9644</f>
        <v>hydrogen, gaseous, from train</v>
      </c>
      <c r="H9675" t="s">
        <v>76</v>
      </c>
      <c r="I9675" t="s">
        <v>1054</v>
      </c>
      <c r="J9675" t="s">
        <v>304</v>
      </c>
      <c r="K9675" t="str">
        <f>B9630</f>
        <v>heat, residential, by combustion of hydrogen using CHP, allocated by exergy, transported by train, produced by Electrolysis, SOEC using water and electricity from Wind (DK)</v>
      </c>
      <c r="L9675">
        <f t="shared" si="412"/>
        <v>2</v>
      </c>
      <c r="M9675">
        <f t="shared" si="413"/>
        <v>-5.9638678691672418</v>
      </c>
      <c r="N9675">
        <v>1.05</v>
      </c>
      <c r="O9675" s="15">
        <v>1.2</v>
      </c>
      <c r="P9675">
        <v>1</v>
      </c>
      <c r="Q9675">
        <v>1.01</v>
      </c>
      <c r="R9675">
        <v>1.2</v>
      </c>
      <c r="S9675">
        <v>1.2</v>
      </c>
      <c r="T9675">
        <v>1.05</v>
      </c>
      <c r="U9675">
        <f t="shared" si="414"/>
        <v>0.16169679924070957</v>
      </c>
    </row>
    <row r="9676" spans="1:22" x14ac:dyDescent="0.2">
      <c r="A9676" t="str">
        <f>VLOOKUP(J9676,'dataset mapping'!$A$4:$E$69,2,0)</f>
        <v>market for transport, freight train</v>
      </c>
      <c r="B9676" s="45">
        <f>SUM(B9675:B9675)/1000*B9645</f>
        <v>3.3409382285138995E-3</v>
      </c>
      <c r="C9676" t="str">
        <f>VLOOKUP(J9676,'dataset mapping'!$A$4:$E$69,5,0)</f>
        <v>ton kilometer</v>
      </c>
      <c r="E9676" t="str">
        <f>VLOOKUP(J9676,'dataset mapping'!$A$4:$E$69,4,0)</f>
        <v>CH</v>
      </c>
      <c r="F9676" t="s">
        <v>86</v>
      </c>
      <c r="G9676" t="str">
        <f>VLOOKUP(J9676,'dataset mapping'!$A$4:$E$69,3,0)</f>
        <v>transport, freight train</v>
      </c>
      <c r="H9676" t="s">
        <v>88</v>
      </c>
      <c r="I9676" t="s">
        <v>1051</v>
      </c>
      <c r="J9676" t="s">
        <v>295</v>
      </c>
      <c r="K9676" t="str">
        <f>B9630</f>
        <v>heat, residential, by combustion of hydrogen using CHP, allocated by exergy, transported by train, produced by Electrolysis, SOEC using water and electricity from Wind (DK)</v>
      </c>
      <c r="L9676">
        <f t="shared" si="412"/>
        <v>2</v>
      </c>
      <c r="M9676">
        <f t="shared" si="413"/>
        <v>-5.7015036046997505</v>
      </c>
      <c r="N9676">
        <v>1.05</v>
      </c>
      <c r="O9676" s="15">
        <v>1.2</v>
      </c>
      <c r="P9676">
        <v>1</v>
      </c>
      <c r="Q9676">
        <v>1.01</v>
      </c>
      <c r="R9676">
        <v>1.2</v>
      </c>
      <c r="S9676">
        <v>1.2</v>
      </c>
      <c r="T9676">
        <v>2</v>
      </c>
      <c r="U9676">
        <f t="shared" si="414"/>
        <v>0.38165951885721477</v>
      </c>
    </row>
    <row r="9677" spans="1:22" x14ac:dyDescent="0.2">
      <c r="A9677" t="str">
        <f>VLOOKUP(J9677,'dataset mapping'!$A$4:$E$69,2,0)</f>
        <v>high pressure hydrogen storage tank</v>
      </c>
      <c r="B9677" s="52">
        <f>((B9665/10)/(B9663*B9659*20*3.6))*IF(B9664&lt;&gt;0,B9664,1)</f>
        <v>2.7529546486023421E-7</v>
      </c>
      <c r="C9677" t="str">
        <f>VLOOKUP(J9677,'dataset mapping'!$A$4:$E$69,5,0)</f>
        <v>kilogram</v>
      </c>
      <c r="E9677" t="str">
        <f>VLOOKUP(J9677,'dataset mapping'!$A$4:$E$69,4,0)</f>
        <v>GLO</v>
      </c>
      <c r="F9677" t="s">
        <v>86</v>
      </c>
      <c r="G9677" t="str">
        <f>VLOOKUP(J9677,'dataset mapping'!$A$4:$E$69,3,0)</f>
        <v>high pressure hydrogen storage tank</v>
      </c>
      <c r="H9677" t="s">
        <v>88</v>
      </c>
      <c r="I9677" t="s">
        <v>279</v>
      </c>
      <c r="J9677" t="s">
        <v>229</v>
      </c>
      <c r="K9677" t="str">
        <f>B9630</f>
        <v>heat, residential, by combustion of hydrogen using CHP, allocated by exergy, transported by train, produced by Electrolysis, SOEC using water and electricity from Wind (DK)</v>
      </c>
      <c r="L9677">
        <f t="shared" si="412"/>
        <v>2</v>
      </c>
      <c r="M9677">
        <f t="shared" si="413"/>
        <v>-15.105420898379837</v>
      </c>
      <c r="N9677">
        <v>1.05</v>
      </c>
      <c r="O9677" s="15">
        <v>1.2</v>
      </c>
      <c r="P9677">
        <v>1</v>
      </c>
      <c r="Q9677">
        <v>1.01</v>
      </c>
      <c r="R9677">
        <v>1.2</v>
      </c>
      <c r="S9677">
        <v>1.2</v>
      </c>
      <c r="T9677">
        <v>3</v>
      </c>
      <c r="U9677">
        <f t="shared" si="414"/>
        <v>0.57209088006881903</v>
      </c>
    </row>
    <row r="9678" spans="1:22" x14ac:dyDescent="0.2">
      <c r="A9678" t="s">
        <v>134</v>
      </c>
      <c r="B9678" s="45">
        <f>B9675*9</f>
        <v>2.3129572351250072E-2</v>
      </c>
      <c r="C9678" t="s">
        <v>56</v>
      </c>
      <c r="D9678" t="s">
        <v>100</v>
      </c>
      <c r="F9678" t="s">
        <v>99</v>
      </c>
      <c r="H9678" t="s">
        <v>131</v>
      </c>
      <c r="I9678" t="s">
        <v>1058</v>
      </c>
      <c r="K9678" t="str">
        <f>B9630</f>
        <v>heat, residential, by combustion of hydrogen using CHP, allocated by exergy, transported by train, produced by Electrolysis, SOEC using water and electricity from Wind (DK)</v>
      </c>
      <c r="L9678">
        <f t="shared" si="412"/>
        <v>2</v>
      </c>
      <c r="M9678">
        <f t="shared" si="413"/>
        <v>-3.7666432918310226</v>
      </c>
      <c r="N9678">
        <v>1.05</v>
      </c>
      <c r="O9678" s="15">
        <v>1.2</v>
      </c>
      <c r="P9678">
        <v>1</v>
      </c>
      <c r="Q9678">
        <v>1.01</v>
      </c>
      <c r="R9678">
        <v>1.2</v>
      </c>
      <c r="S9678">
        <v>1.2</v>
      </c>
      <c r="T9678">
        <v>1.05</v>
      </c>
      <c r="U9678">
        <f t="shared" si="414"/>
        <v>0.16169679924070957</v>
      </c>
    </row>
    <row r="9679" spans="1:22" x14ac:dyDescent="0.2">
      <c r="A9679" t="s">
        <v>135</v>
      </c>
      <c r="B9679" s="45">
        <f>912.5/1000000*B9676</f>
        <v>3.0486061335189335E-6</v>
      </c>
      <c r="C9679" t="s">
        <v>56</v>
      </c>
      <c r="D9679" t="s">
        <v>100</v>
      </c>
      <c r="F9679" t="s">
        <v>99</v>
      </c>
      <c r="H9679" t="s">
        <v>131</v>
      </c>
      <c r="I9679" t="s">
        <v>1217</v>
      </c>
      <c r="K9679" t="str">
        <f>B9630</f>
        <v>heat, residential, by combustion of hydrogen using CHP, allocated by exergy, transported by train, produced by Electrolysis, SOEC using water and electricity from Wind (DK)</v>
      </c>
      <c r="L9679">
        <f t="shared" si="412"/>
        <v>2</v>
      </c>
      <c r="M9679">
        <f t="shared" si="413"/>
        <v>-12.700826077207378</v>
      </c>
      <c r="N9679">
        <v>1.05</v>
      </c>
      <c r="O9679" s="15">
        <v>1.2</v>
      </c>
      <c r="P9679">
        <v>1</v>
      </c>
      <c r="Q9679">
        <v>1.01</v>
      </c>
      <c r="R9679">
        <v>1.2</v>
      </c>
      <c r="S9679">
        <v>1.2</v>
      </c>
      <c r="T9679">
        <v>1.5</v>
      </c>
      <c r="U9679">
        <f t="shared" si="414"/>
        <v>0.25816898211842121</v>
      </c>
    </row>
    <row r="9681" spans="1:2" x14ac:dyDescent="0.2">
      <c r="A9681" s="2" t="s">
        <v>50</v>
      </c>
      <c r="B9681" s="44" t="str">
        <f>IF(B9687="megajoule","heat","electricity")&amp;", residential, by "&amp;B9692&amp;" of "&amp;B9691&amp;" using "&amp;B9693&amp;IF(B9694&lt;&gt;0,", allocated by "&amp;B9694,"")&amp;", transported by "&amp;B9695&amp;", produced by "&amp;B9699&amp;" using "&amp;B9700&amp;" from "&amp;B9701</f>
        <v>heat, residential, by conversion of hydrogen using fuel cell, PEM, allocated by exergy, transported by train, produced by Electrolysis, SOEC using water and electricity from Wind (DK)</v>
      </c>
    </row>
    <row r="9682" spans="1:2" x14ac:dyDescent="0.2">
      <c r="A9682" t="s">
        <v>51</v>
      </c>
      <c r="B9682" s="45" t="str">
        <f>"This dataset represents the supply of 1 "&amp;IF(B9687="megajoule","megajoule of heat","kilowatt hour of electricity")&amp;" in a residence, by "&amp;B9691&amp;" "&amp;B9692&amp;" in a "&amp;B9693&amp;". "&amp;" The hydrogen is transported by "&amp;B9695&amp;" over "&amp;B9696&amp;" km from regional storage. "&amp;" The "&amp;B9691&amp;" is produced by  "&amp;B9699&amp;", with "&amp;B9700&amp;" from "&amp;B9701&amp;" as feedstock. "&amp;A9703&amp;": "&amp;(B9703*100)&amp;"%. "&amp;A9704&amp;": "&amp;B9704&amp;". "&amp;A9705&amp;": "&amp;B9705&amp;". "&amp;A9706&amp;": "&amp;(B9706*100)&amp;"%. "&amp;A9707&amp;": "&amp;(B9707*100)&amp;"%. "&amp;A9708&amp;": "&amp;(B9708*100)&amp;"%. "&amp;A9709&amp;": "&amp;B9709&amp;". "&amp;A9710&amp;": "&amp;B9710&amp;". "&amp;A9711&amp;": "&amp;(B9711*100)&amp;"%. "&amp;A9712&amp;": "&amp;B9712&amp;". "&amp;A9713&amp;": "&amp;B9713&amp;". "&amp;A9714&amp;": "&amp;B9714&amp;". "&amp;A9715&amp;": "&amp;B9715&amp;".  For more information, refer to: "&amp;B9683</f>
        <v>This dataset represents the supply of 1 megajoule of heat in a residence, by hydrogen conversion in a fuel cell, PEM.  The hydrogen is transported by train over 1300 km from regional storage.  The hydrogen is produced by  Electrolysis, SOEC, with water and electricity from Wind (DK)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and Bauer, C. Life Cycle Assessment of Power-to-X processes and associated electricity and heat applications in the residential sector. Paul Scherrer Institut, 2023.</v>
      </c>
    </row>
    <row r="9683" spans="1:2" x14ac:dyDescent="0.2">
      <c r="A9683" t="s">
        <v>63</v>
      </c>
      <c r="B9683" s="45" t="s">
        <v>1223</v>
      </c>
    </row>
    <row r="9684" spans="1:2" x14ac:dyDescent="0.2">
      <c r="A9684" t="s">
        <v>52</v>
      </c>
      <c r="B9684" s="45" t="s">
        <v>64</v>
      </c>
    </row>
    <row r="9685" spans="1:2" x14ac:dyDescent="0.2">
      <c r="A9685" t="s">
        <v>48</v>
      </c>
      <c r="B9685" s="45">
        <v>119</v>
      </c>
    </row>
    <row r="9686" spans="1:2" x14ac:dyDescent="0.2">
      <c r="A9686" t="s">
        <v>54</v>
      </c>
      <c r="B9686" s="45" t="str">
        <f>INDEX(overview!$B$4:$R$338,MATCH('hydrogen - electrolysis'!B9685,overview!$A$4:$A$338,0),MATCH('hydrogen - electrolysis'!A9686,overview!$B$3:$R$3,0))</f>
        <v>heat, from residential heating system</v>
      </c>
    </row>
    <row r="9687" spans="1:2" x14ac:dyDescent="0.2">
      <c r="A9687" t="s">
        <v>55</v>
      </c>
      <c r="B9687" s="45" t="str">
        <f>INDEX(overview!$B$4:$R$338,MATCH('hydrogen - electrolysis'!B9685,overview!$A$4:$A$338,0),MATCH('hydrogen - electrolysis'!A9687,overview!$B$3:$R$3,0))</f>
        <v>megajoule</v>
      </c>
    </row>
    <row r="9688" spans="1:2" x14ac:dyDescent="0.2">
      <c r="A9688" t="s">
        <v>0</v>
      </c>
      <c r="B9688" s="45" t="str">
        <f>INDEX(overview!$B$4:$R$338,MATCH('hydrogen - electrolysis'!B9685,overview!$A$4:$A$338,0),MATCH('hydrogen - electrolysis'!A9688,overview!$B$3:$R$3,0))</f>
        <v>Switzerland</v>
      </c>
    </row>
    <row r="9689" spans="1:2" x14ac:dyDescent="0.2">
      <c r="A9689" t="s">
        <v>1</v>
      </c>
      <c r="B9689" s="45">
        <f>INDEX(overview!$B$4:$R$338,MATCH('hydrogen - electrolysis'!B9685,overview!$A$4:$A$338,0),MATCH('hydrogen - electrolysis'!A9689,overview!$B$3:$R$3,0))</f>
        <v>2020</v>
      </c>
    </row>
    <row r="9690" spans="1:2" x14ac:dyDescent="0.2">
      <c r="A9690" t="s">
        <v>2</v>
      </c>
      <c r="B9690" s="45" t="str">
        <f>INDEX(overview!$B$4:$R$338,MATCH('hydrogen - electrolysis'!B9685,overview!$A$4:$A$338,0),MATCH('hydrogen - electrolysis'!A9690,overview!$B$3:$R$3,0))</f>
        <v>1 MJ heat</v>
      </c>
    </row>
    <row r="9691" spans="1:2" x14ac:dyDescent="0.2">
      <c r="A9691" t="s">
        <v>5</v>
      </c>
      <c r="B9691" s="45" t="str">
        <f>INDEX(overview!$B$4:$R$338,MATCH('hydrogen - electrolysis'!B9685,overview!$A$4:$A$338,0),MATCH('hydrogen - electrolysis'!A9691,overview!$B$3:$R$3,0))</f>
        <v>hydrogen</v>
      </c>
    </row>
    <row r="9692" spans="1:2" x14ac:dyDescent="0.2">
      <c r="A9692" t="s">
        <v>3</v>
      </c>
      <c r="B9692" s="45" t="str">
        <f>INDEX(overview!$B$4:$R$338,MATCH('hydrogen - electrolysis'!B9685,overview!$A$4:$A$338,0),MATCH('hydrogen - electrolysis'!A9692,overview!$B$3:$R$3,0))</f>
        <v>conversion</v>
      </c>
    </row>
    <row r="9693" spans="1:2" x14ac:dyDescent="0.2">
      <c r="A9693" t="s">
        <v>6</v>
      </c>
      <c r="B9693" s="45" t="str">
        <f>INDEX(overview!$B$4:$R$338,MATCH('hydrogen - electrolysis'!B9685,overview!$A$4:$A$338,0),MATCH('hydrogen - electrolysis'!A9693,overview!$B$3:$R$3,0))</f>
        <v>fuel cell, PEM</v>
      </c>
    </row>
    <row r="9694" spans="1:2" x14ac:dyDescent="0.2">
      <c r="A9694" t="s">
        <v>39</v>
      </c>
      <c r="B9694" s="45" t="str">
        <f>INDEX(overview!$B$4:$R$338,MATCH('hydrogen - electrolysis'!B9685,overview!$A$4:$A$338,0),MATCH('hydrogen - electrolysis'!A9694,overview!$B$3:$R$3,0))</f>
        <v>exergy</v>
      </c>
    </row>
    <row r="9695" spans="1:2" x14ac:dyDescent="0.2">
      <c r="A9695" t="s">
        <v>4</v>
      </c>
      <c r="B9695" s="45" t="str">
        <f>INDEX(overview!$B$4:$R$338,MATCH('hydrogen - electrolysis'!B9685,overview!$A$4:$A$338,0),MATCH('hydrogen - electrolysis'!A9695,overview!$B$3:$R$3,0))</f>
        <v>train</v>
      </c>
    </row>
    <row r="9696" spans="1:2" x14ac:dyDescent="0.2">
      <c r="A9696" t="s">
        <v>38</v>
      </c>
      <c r="B9696" s="45">
        <f>INDEX(overview!$B$4:$R$338,MATCH('hydrogen - electrolysis'!B9685,overview!$A$4:$A$338,0),MATCH('hydrogen - electrolysis'!A9696,overview!$B$3:$R$3,0))</f>
        <v>1300</v>
      </c>
    </row>
    <row r="9697" spans="1:2" x14ac:dyDescent="0.2">
      <c r="A9697" t="s">
        <v>12</v>
      </c>
      <c r="B9697" s="45" t="str">
        <f>INDEX(overview!$B$4:$R$338,MATCH('hydrogen - electrolysis'!B9685,overview!$A$4:$A$338,0),MATCH('hydrogen - electrolysis'!A9697,overview!$B$3:$R$3,0))</f>
        <v>Pressure vessel for stationary storage</v>
      </c>
    </row>
    <row r="9698" spans="1:2" x14ac:dyDescent="0.2">
      <c r="A9698" t="s">
        <v>34</v>
      </c>
      <c r="B9698" s="45">
        <f>INDEX(overview!$B$4:$R$338,MATCH('hydrogen - electrolysis'!B9685,overview!$A$4:$A$338,0),MATCH('hydrogen - electrolysis'!A9698,overview!$B$3:$R$3,0))</f>
        <v>0</v>
      </c>
    </row>
    <row r="9699" spans="1:2" x14ac:dyDescent="0.2">
      <c r="A9699" t="s">
        <v>15</v>
      </c>
      <c r="B9699" s="45" t="str">
        <f>INDEX(overview!$B$4:$R$338,MATCH('hydrogen - electrolysis'!B9685,overview!$A$4:$A$338,0),MATCH('hydrogen - electrolysis'!A9699,overview!$B$3:$R$3,0))</f>
        <v>Electrolysis, SOEC</v>
      </c>
    </row>
    <row r="9700" spans="1:2" x14ac:dyDescent="0.2">
      <c r="A9700" t="s">
        <v>14</v>
      </c>
      <c r="B9700" s="45" t="str">
        <f>INDEX(overview!$B$4:$R$338,MATCH('hydrogen - electrolysis'!B9685,overview!$A$4:$A$338,0),MATCH('hydrogen - electrolysis'!A9700,overview!$B$3:$R$3,0))</f>
        <v>water and electricity</v>
      </c>
    </row>
    <row r="9701" spans="1:2" x14ac:dyDescent="0.2">
      <c r="A9701" t="s">
        <v>26</v>
      </c>
      <c r="B9701" s="45" t="str">
        <f>INDEX(overview!$B$4:$R$338,MATCH('hydrogen - electrolysis'!B9685,overview!$A$4:$A$338,0),MATCH('hydrogen - electrolysis'!A9701,overview!$B$3:$R$3,0))</f>
        <v>Wind (DK)</v>
      </c>
    </row>
    <row r="9702" spans="1:2" x14ac:dyDescent="0.2">
      <c r="A9702" t="s">
        <v>29</v>
      </c>
      <c r="B9702" s="45">
        <f>INDEX(overview!$B$4:$R$338,MATCH('hydrogen - electrolysis'!B9685,overview!$A$4:$A$338,0),MATCH('hydrogen - electrolysis'!A9702,overview!$B$3:$R$3,0))</f>
        <v>0</v>
      </c>
    </row>
    <row r="9703" spans="1:2" x14ac:dyDescent="0.2">
      <c r="A9703" t="str">
        <f>IF(B9687="megajoule","Heat","Electricity")&amp;" conversion efficiency [% LHV input]"</f>
        <v>Heat conversion efficiency [% LHV input]</v>
      </c>
      <c r="B9703" s="46">
        <f>INDEX(parameters!$D$4:$N$20,MATCH('hydrogen - electrolysis'!B9691&amp;'hydrogen - electrolysis'!B9693,parameters!$A$4:$A$20,0),MATCH('hydrogen - electrolysis'!A9703,parameters!$D$3:$N$3,0))</f>
        <v>0.5</v>
      </c>
    </row>
    <row r="9704" spans="1:2" x14ac:dyDescent="0.2">
      <c r="A9704" t="str">
        <f>IF(B9687="megajoule","LHV [MJ/kg]","LHV [kWh/kg]")</f>
        <v>LHV [MJ/kg]</v>
      </c>
      <c r="B9704" s="47">
        <f>INDEX(parameters!$D$4:$N$20,MATCH('hydrogen - electrolysis'!B9691&amp;'hydrogen - electrolysis'!B9693,parameters!$A$4:$A$20,0),MATCH('hydrogen - electrolysis'!A9704,parameters!$D$3:$N$3,0))</f>
        <v>120</v>
      </c>
    </row>
    <row r="9705" spans="1:2" x14ac:dyDescent="0.2">
      <c r="A9705" t="s">
        <v>41</v>
      </c>
      <c r="B9705" s="48">
        <f>INDEX(parameters!$D$4:$N$20,MATCH('hydrogen - electrolysis'!B9691&amp;'hydrogen - electrolysis'!B9693,parameters!$A$4:$A$20,0),MATCH('hydrogen - electrolysis'!A9705,parameters!$D$3:$N$3,0))</f>
        <v>2.6666666666666665E-2</v>
      </c>
    </row>
    <row r="9706" spans="1:2" x14ac:dyDescent="0.2">
      <c r="A9706" t="s">
        <v>45</v>
      </c>
      <c r="B9706" s="46">
        <f>INDEX(parameters!$D$4:$N$20,MATCH('hydrogen - electrolysis'!B9691&amp;'hydrogen - electrolysis'!B9693,parameters!$A$4:$A$20,0),MATCH('hydrogen - electrolysis'!A9706,parameters!$D$3:$N$3,0))</f>
        <v>0</v>
      </c>
    </row>
    <row r="9707" spans="1:2" x14ac:dyDescent="0.2">
      <c r="A9707" t="s">
        <v>46</v>
      </c>
      <c r="B9707" s="46">
        <f>INDEX(parameters!$D$4:$N$20,MATCH('hydrogen - electrolysis'!B9691&amp;'hydrogen - electrolysis'!B9693,parameters!$A$4:$A$20,0),MATCH('hydrogen - electrolysis'!A9707,parameters!$D$3:$N$3,0))</f>
        <v>1.4999999999999999E-2</v>
      </c>
    </row>
    <row r="9708" spans="1:2" x14ac:dyDescent="0.2">
      <c r="A9708" t="s">
        <v>43</v>
      </c>
      <c r="B9708" s="46">
        <f>INDEX(parameters!$D$4:$N$20,MATCH('hydrogen - electrolysis'!B9691&amp;'hydrogen - electrolysis'!B9693,parameters!$A$4:$A$20,0),MATCH('hydrogen - electrolysis'!A9708,parameters!$D$3:$N$3,0))</f>
        <v>0</v>
      </c>
    </row>
    <row r="9709" spans="1:2" x14ac:dyDescent="0.2">
      <c r="A9709" t="s">
        <v>44</v>
      </c>
      <c r="B9709" s="46">
        <f>INDEX(parameters!$D$4:$N$20,MATCH('hydrogen - electrolysis'!B9691&amp;'hydrogen - electrolysis'!B9693,parameters!$A$4:$A$20,0),MATCH('hydrogen - electrolysis'!A9709,parameters!$D$3:$N$3,0))</f>
        <v>0</v>
      </c>
    </row>
    <row r="9710" spans="1:2" x14ac:dyDescent="0.2">
      <c r="A9710" t="s">
        <v>634</v>
      </c>
      <c r="B9710" s="51">
        <f>INDEX(parameters!$D$4:$Y$20,MATCH('hydrogen - electrolysis'!B9691&amp;'hydrogen - electrolysis'!B9693,parameters!$A$4:$A$20,0),MATCH('hydrogen - electrolysis'!A9710,parameters!$D$3:$Y$3,0))</f>
        <v>1.8947368421052633</v>
      </c>
    </row>
    <row r="9711" spans="1:2" x14ac:dyDescent="0.2">
      <c r="A9711" t="s">
        <v>82</v>
      </c>
      <c r="B9711" s="46">
        <f>IF(B9702&lt;&gt;0,VLOOKUP(B9702,parameters!A6103:B6105,2,0),0)</f>
        <v>0</v>
      </c>
    </row>
    <row r="9712" spans="1:2" x14ac:dyDescent="0.2">
      <c r="A9712" t="s">
        <v>548</v>
      </c>
      <c r="B9712" s="50">
        <f>INDEX(parameters!$D$4:$P$20,MATCH(B9691&amp;B9693,parameters!$A$4:$A$20,0),MATCH(A9712,parameters!$D$3:$P$3,0))</f>
        <v>0.8</v>
      </c>
    </row>
    <row r="9713" spans="1:22" x14ac:dyDescent="0.2">
      <c r="A9713" t="s">
        <v>547</v>
      </c>
      <c r="B9713" s="51">
        <f>INDEX(parameters!$D$4:$P$20,MATCH(B9691&amp;B9693,parameters!$A$4:$A$20,0),MATCH(A9713,parameters!$D$3:$P$3,0))</f>
        <v>4.8780487804878048</v>
      </c>
    </row>
    <row r="9714" spans="1:22" x14ac:dyDescent="0.2">
      <c r="A9714" t="s">
        <v>630</v>
      </c>
      <c r="B9714" s="51">
        <f>INDEX(parameters!$D$4:$T$20,MATCH(B9691&amp;B9693,parameters!$A$4:$A$20,0),MATCH(A9714,parameters!$D$3:$T$3,0))</f>
        <v>4100</v>
      </c>
    </row>
    <row r="9715" spans="1:22" x14ac:dyDescent="0.2">
      <c r="A9715" t="s">
        <v>1005</v>
      </c>
      <c r="B9715" s="50">
        <f>IF(B9687="megajoule",SUMIFS(allocation!$I$4:$I$30,allocation!$B$4:$B$30,B9693,allocation!$C$4:$C$30,B9694),SUMIFS(allocation!$J$4:$J$30,allocation!$B$4:$B$30,B9693,allocation!$C$4:$C$30,B9694))</f>
        <v>0.13933980798974457</v>
      </c>
    </row>
    <row r="9716" spans="1:22" x14ac:dyDescent="0.2">
      <c r="A9716" t="s">
        <v>1050</v>
      </c>
      <c r="B9716" s="51">
        <f>INDEX(parameters!$D$4:$AB$20,MATCH(B9691&amp;B9693,parameters!$A$4:$A$20,0),MATCH(A9716,parameters!$D$3:$AB$3,0))</f>
        <v>10.221606648199446</v>
      </c>
    </row>
    <row r="9718" spans="1:22" x14ac:dyDescent="0.2">
      <c r="A9718" s="3" t="s">
        <v>57</v>
      </c>
    </row>
    <row r="9719" spans="1:22" x14ac:dyDescent="0.2">
      <c r="A9719" s="2" t="s">
        <v>58</v>
      </c>
      <c r="B9719" s="44" t="s">
        <v>59</v>
      </c>
      <c r="C9719" s="2" t="s">
        <v>55</v>
      </c>
      <c r="D9719" s="2" t="s">
        <v>60</v>
      </c>
      <c r="E9719" s="2" t="s">
        <v>52</v>
      </c>
      <c r="F9719" s="2" t="s">
        <v>61</v>
      </c>
      <c r="G9719" s="2" t="s">
        <v>54</v>
      </c>
      <c r="H9719" s="2" t="s">
        <v>87</v>
      </c>
      <c r="I9719" s="2" t="s">
        <v>51</v>
      </c>
      <c r="J9719" s="2" t="s">
        <v>138</v>
      </c>
      <c r="K9719" s="2" t="s">
        <v>136</v>
      </c>
      <c r="L9719" s="2" t="s">
        <v>221</v>
      </c>
      <c r="M9719" s="2" t="s">
        <v>379</v>
      </c>
      <c r="N9719" s="2" t="s">
        <v>1059</v>
      </c>
      <c r="O9719" s="2" t="s">
        <v>1060</v>
      </c>
      <c r="P9719" s="2" t="s">
        <v>1061</v>
      </c>
      <c r="Q9719" s="2" t="s">
        <v>1062</v>
      </c>
      <c r="R9719" s="2" t="s">
        <v>1063</v>
      </c>
      <c r="S9719" s="2" t="s">
        <v>1064</v>
      </c>
      <c r="T9719" s="2" t="s">
        <v>1065</v>
      </c>
      <c r="U9719" s="2" t="s">
        <v>380</v>
      </c>
      <c r="V9719" s="2" t="s">
        <v>1128</v>
      </c>
    </row>
    <row r="9720" spans="1:22" x14ac:dyDescent="0.2">
      <c r="A9720" t="str">
        <f>B9681</f>
        <v>heat, residential, by conversion of hydrogen using fuel cell, PEM, allocated by exergy, transported by train, produced by Electrolysis, SOEC using water and electricity from Wind (DK)</v>
      </c>
      <c r="B9720" s="45">
        <v>1</v>
      </c>
      <c r="C9720" t="str">
        <f>B9687</f>
        <v>megajoule</v>
      </c>
      <c r="E9720" t="str">
        <f>B9684</f>
        <v>CH</v>
      </c>
      <c r="F9720" t="s">
        <v>62</v>
      </c>
      <c r="G9720" t="str">
        <f>B9686</f>
        <v>heat, from residential heating system</v>
      </c>
      <c r="K9720" t="str">
        <f>B9681</f>
        <v>heat, residential, by conversion of hydrogen using fuel cell, PEM, allocated by exergy, transported by train, produced by Electrolysis, SOEC using water and electricity from Wind (DK)</v>
      </c>
    </row>
    <row r="9721" spans="1:22" x14ac:dyDescent="0.2">
      <c r="A9721" t="str">
        <f>VLOOKUP(J9721,'dataset mapping'!$A$4:$E$69,2,0)</f>
        <v>fuel cell system assembly, 1 kWe, proton exchange membrane (PEM)</v>
      </c>
      <c r="B9721" s="52">
        <f>1/(80000*3.6)/0.5*SUMIFS(allocation!$I$4:$I$30,allocation!$B$4:$B$30,'hydrogen - electrolysis'!B9693,allocation!$C$4:$C$30,'hydrogen - electrolysis'!B9694)</f>
        <v>9.6763755548433728E-7</v>
      </c>
      <c r="C9721" t="str">
        <f>VLOOKUP(J9721,'dataset mapping'!$A$4:$E$69,5,0)</f>
        <v>unit</v>
      </c>
      <c r="E9721" t="str">
        <f>VLOOKUP(J9721,'dataset mapping'!$A$4:$E$69,4,0)</f>
        <v>GLO</v>
      </c>
      <c r="F9721" t="s">
        <v>86</v>
      </c>
      <c r="G9721" t="str">
        <f>VLOOKUP(J9721,'dataset mapping'!$A$4:$E$69,3,0)</f>
        <v>fuel cell system, 1 kWe, proton exchange membrane (PEM)</v>
      </c>
      <c r="H9721" t="s">
        <v>88</v>
      </c>
      <c r="I9721" t="s">
        <v>272</v>
      </c>
      <c r="J9721" t="s">
        <v>273</v>
      </c>
      <c r="K9721" t="str">
        <f>B9681</f>
        <v>heat, residential, by conversion of hydrogen using fuel cell, PEM, allocated by exergy, transported by train, produced by Electrolysis, SOEC using water and electricity from Wind (DK)</v>
      </c>
      <c r="L9721">
        <f t="shared" ref="L9721:L9725" si="415">IF(OR(B9721&lt;0,B9721=0),1,2)</f>
        <v>2</v>
      </c>
      <c r="M9721">
        <f t="shared" ref="M9721:M9725" si="416">IF(L9721=2,LN(B9721),"")</f>
        <v>-13.848408245937353</v>
      </c>
      <c r="N9721">
        <v>1</v>
      </c>
      <c r="O9721" s="15">
        <v>1.2</v>
      </c>
      <c r="P9721">
        <v>1</v>
      </c>
      <c r="Q9721">
        <v>1.01</v>
      </c>
      <c r="R9721">
        <v>1.2</v>
      </c>
      <c r="S9721">
        <v>1.2</v>
      </c>
      <c r="T9721">
        <v>3</v>
      </c>
      <c r="U9721">
        <f t="shared" ref="U9721:U9725" si="417">LN(SQRT(EXP(
SQRT(
+POWER(LN(N9721),2)
+POWER(LN(O9721),2)
+POWER(LN(P9721),2)
+POWER(LN(Q9721),2)
+POWER(LN(R9721),2)
+POWER(LN(S9721),2)
+POWER(LN(T9721),2)
)
)))</f>
        <v>0.57157051623399524</v>
      </c>
    </row>
    <row r="9722" spans="1:22" x14ac:dyDescent="0.2">
      <c r="A9722" s="45" t="str">
        <f>"hydrogen supply, transported by "&amp;B9695&amp;", produced by "&amp;B9699&amp;" using "&amp;B9700&amp;" from "&amp;B9701</f>
        <v>hydrogen supply, transported by train, produced by Electrolysis, SOEC using water and electricity from Wind (DK)</v>
      </c>
      <c r="B9722" s="53">
        <f>(B9720/B9704)/B9703*B9715</f>
        <v>2.3223301331624095E-3</v>
      </c>
      <c r="C9722" t="s">
        <v>56</v>
      </c>
      <c r="E9722" t="s">
        <v>64</v>
      </c>
      <c r="F9722" t="s">
        <v>86</v>
      </c>
      <c r="G9722" t="str">
        <f>"hydrogen, gaseous, from "&amp;B9695</f>
        <v>hydrogen, gaseous, from train</v>
      </c>
      <c r="H9722" t="s">
        <v>76</v>
      </c>
      <c r="I9722" t="s">
        <v>1054</v>
      </c>
      <c r="J9722" t="s">
        <v>304</v>
      </c>
      <c r="K9722" t="str">
        <f>B9681</f>
        <v>heat, residential, by conversion of hydrogen using fuel cell, PEM, allocated by exergy, transported by train, produced by Electrolysis, SOEC using water and electricity from Wind (DK)</v>
      </c>
      <c r="L9722">
        <f t="shared" si="415"/>
        <v>2</v>
      </c>
      <c r="M9722">
        <f t="shared" si="416"/>
        <v>-6.0651842296013152</v>
      </c>
      <c r="N9722">
        <v>1</v>
      </c>
      <c r="O9722" s="15">
        <v>1.2</v>
      </c>
      <c r="P9722">
        <v>1</v>
      </c>
      <c r="Q9722">
        <v>1.01</v>
      </c>
      <c r="R9722">
        <v>1.2</v>
      </c>
      <c r="S9722">
        <v>1.2</v>
      </c>
      <c r="T9722">
        <v>1.05</v>
      </c>
      <c r="U9722">
        <f t="shared" si="417"/>
        <v>0.15984597228197622</v>
      </c>
    </row>
    <row r="9723" spans="1:22" x14ac:dyDescent="0.2">
      <c r="A9723" t="str">
        <f>VLOOKUP(J9723,'dataset mapping'!$A$4:$E$69,2,0)</f>
        <v>market for transport, freight train</v>
      </c>
      <c r="B9723" s="45">
        <f>SUM(B9722:B9722)/1000*B9696*SUMIFS(allocation!$I$4:$I$30,allocation!$B$4:$B$30,'hydrogen - electrolysis'!B9693,allocation!$C$4:$C$30,'hydrogen - electrolysis'!B9694)</f>
        <v>4.2067094529674246E-4</v>
      </c>
      <c r="C9723" t="str">
        <f>VLOOKUP(J9723,'dataset mapping'!$A$4:$E$69,5,0)</f>
        <v>ton kilometer</v>
      </c>
      <c r="E9723" t="str">
        <f>VLOOKUP(J9723,'dataset mapping'!$A$4:$E$69,4,0)</f>
        <v>CH</v>
      </c>
      <c r="F9723" t="s">
        <v>86</v>
      </c>
      <c r="G9723" t="str">
        <f>VLOOKUP(J9723,'dataset mapping'!$A$4:$E$69,3,0)</f>
        <v>transport, freight train</v>
      </c>
      <c r="H9723" t="s">
        <v>88</v>
      </c>
      <c r="I9723" t="s">
        <v>1051</v>
      </c>
      <c r="J9723" t="s">
        <v>295</v>
      </c>
      <c r="K9723" t="str">
        <f>B9681</f>
        <v>heat, residential, by conversion of hydrogen using fuel cell, PEM, allocated by exergy, transported by train, produced by Electrolysis, SOEC using water and electricity from Wind (DK)</v>
      </c>
      <c r="L9723">
        <f t="shared" si="415"/>
        <v>2</v>
      </c>
      <c r="M9723">
        <f t="shared" si="416"/>
        <v>-7.7736596325130396</v>
      </c>
      <c r="N9723">
        <v>1</v>
      </c>
      <c r="O9723" s="15">
        <v>1.2</v>
      </c>
      <c r="P9723">
        <v>1</v>
      </c>
      <c r="Q9723">
        <v>1.01</v>
      </c>
      <c r="R9723">
        <v>1.2</v>
      </c>
      <c r="S9723">
        <v>1.2</v>
      </c>
      <c r="T9723">
        <v>2</v>
      </c>
      <c r="U9723">
        <f t="shared" si="417"/>
        <v>0.38087907307228186</v>
      </c>
    </row>
    <row r="9724" spans="1:22" x14ac:dyDescent="0.2">
      <c r="A9724" t="str">
        <f>VLOOKUP(J9724,'dataset mapping'!$A$4:$E$69,2,0)</f>
        <v>high pressure hydrogen storage tank</v>
      </c>
      <c r="B9724" s="52">
        <f>((B9716/10)/(B9714*B9710*20*3.6))*IF(B9715&lt;&gt;0,B9715,1)</f>
        <v>2.5464146196956242E-7</v>
      </c>
      <c r="C9724" t="str">
        <f>VLOOKUP(J9724,'dataset mapping'!$A$4:$E$69,5,0)</f>
        <v>kilogram</v>
      </c>
      <c r="E9724" t="str">
        <f>VLOOKUP(J9724,'dataset mapping'!$A$4:$E$69,4,0)</f>
        <v>GLO</v>
      </c>
      <c r="F9724" t="s">
        <v>86</v>
      </c>
      <c r="G9724" t="str">
        <f>VLOOKUP(J9724,'dataset mapping'!$A$4:$E$69,3,0)</f>
        <v>high pressure hydrogen storage tank</v>
      </c>
      <c r="H9724" t="s">
        <v>88</v>
      </c>
      <c r="I9724" t="s">
        <v>280</v>
      </c>
      <c r="J9724" t="s">
        <v>229</v>
      </c>
      <c r="K9724" t="str">
        <f>B9681</f>
        <v>heat, residential, by conversion of hydrogen using fuel cell, PEM, allocated by exergy, transported by train, produced by Electrolysis, SOEC using water and electricity from Wind (DK)</v>
      </c>
      <c r="L9724">
        <f t="shared" si="415"/>
        <v>2</v>
      </c>
      <c r="M9724">
        <f t="shared" si="416"/>
        <v>-15.183409312669692</v>
      </c>
      <c r="N9724">
        <v>1</v>
      </c>
      <c r="O9724" s="15">
        <v>1.2</v>
      </c>
      <c r="P9724">
        <v>1</v>
      </c>
      <c r="Q9724">
        <v>1.01</v>
      </c>
      <c r="R9724">
        <v>1.2</v>
      </c>
      <c r="S9724">
        <v>1.2</v>
      </c>
      <c r="T9724">
        <v>3</v>
      </c>
      <c r="U9724">
        <f t="shared" si="417"/>
        <v>0.57157051623399524</v>
      </c>
    </row>
    <row r="9725" spans="1:22" x14ac:dyDescent="0.2">
      <c r="A9725" t="s">
        <v>134</v>
      </c>
      <c r="B9725" s="45">
        <f>B9722*9</f>
        <v>2.0900971198461685E-2</v>
      </c>
      <c r="C9725" t="s">
        <v>56</v>
      </c>
      <c r="D9725" t="s">
        <v>100</v>
      </c>
      <c r="F9725" t="s">
        <v>99</v>
      </c>
      <c r="H9725" t="s">
        <v>131</v>
      </c>
      <c r="I9725" t="s">
        <v>1057</v>
      </c>
      <c r="K9725" t="str">
        <f>B9681</f>
        <v>heat, residential, by conversion of hydrogen using fuel cell, PEM, allocated by exergy, transported by train, produced by Electrolysis, SOEC using water and electricity from Wind (DK)</v>
      </c>
      <c r="L9725">
        <f t="shared" si="415"/>
        <v>2</v>
      </c>
      <c r="M9725">
        <f t="shared" si="416"/>
        <v>-3.8679596522650961</v>
      </c>
      <c r="N9725">
        <v>1</v>
      </c>
      <c r="O9725" s="15">
        <v>1.2</v>
      </c>
      <c r="P9725">
        <v>1</v>
      </c>
      <c r="Q9725">
        <v>1.01</v>
      </c>
      <c r="R9725">
        <v>1.2</v>
      </c>
      <c r="S9725">
        <v>1.2</v>
      </c>
      <c r="T9725">
        <v>1.05</v>
      </c>
      <c r="U9725">
        <f t="shared" si="417"/>
        <v>0.15984597228197622</v>
      </c>
    </row>
    <row r="9727" spans="1:22" x14ac:dyDescent="0.2">
      <c r="A9727" s="2" t="s">
        <v>50</v>
      </c>
      <c r="B9727" s="44" t="str">
        <f>IF(B9733="megajoule","heat","electricity")&amp;", residential, by "&amp;B9738&amp;" of "&amp;B9737&amp;" using "&amp;B9739&amp;IF(B9740&lt;&gt;0,", allocated by "&amp;B9740,"")&amp;", transported by "&amp;B9741&amp;", produced by "&amp;B9745&amp;" using "&amp;B9746&amp;" from "&amp;B9747</f>
        <v>heat, residential, by conversion of hydrogen using fuel cell, SOFC, allocated by exergy, transported by train, produced by Electrolysis, SOEC using water and electricity from Wind (DK)</v>
      </c>
    </row>
    <row r="9728" spans="1:22" x14ac:dyDescent="0.2">
      <c r="A9728" t="s">
        <v>51</v>
      </c>
      <c r="B9728" s="45" t="str">
        <f>"This dataset represents the supply of 1 "&amp;IF(B9733="megajoule","megajoule of heat","kilowatt hour of electricity")&amp;" in a residence, by "&amp;B9737&amp;" "&amp;B9738&amp;" in a "&amp;B9739&amp;". "&amp;" The hydrogen is transported by "&amp;B9741&amp;" over "&amp;B9742&amp;" km from regional storage. "&amp;" The "&amp;B9737&amp;" is produced by  "&amp;B9745&amp;", with "&amp;B9746&amp;" from "&amp;B9747&amp;" as feedstock. "&amp;A9749&amp;": "&amp;(B9749*100)&amp;"%. "&amp;A9750&amp;": "&amp;B9750&amp;". "&amp;A9751&amp;": "&amp;B9751&amp;". "&amp;A9752&amp;": "&amp;(B9752*100)&amp;"%. "&amp;A9753&amp;": "&amp;(B9753*100)&amp;"%. "&amp;A9754&amp;": "&amp;(B9754*100)&amp;"%. "&amp;A9755&amp;": "&amp;B9755&amp;". "&amp;A9756&amp;": "&amp;B9756&amp;". "&amp;A9757&amp;": "&amp;(B9757*100)&amp;"%. "&amp;A9758&amp;": "&amp;B9758&amp;". "&amp;A9759&amp;": "&amp;B9759&amp;". "&amp;A9760&amp;": "&amp;B9760&amp;". "&amp;A9761&amp;": "&amp;B9761&amp;".  For more information, refer to: "&amp;B9729</f>
        <v>This dataset represents the supply of 1 megajoule of heat in a residence, by hydrogen conversion in a fuel cell, SOFC.  The hydrogen is transported by train over 1300 km from regional storage.  The hydrogen is produced by  Electrolysis, SOEC, with water and electricity from Wind (DK)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and Bauer, C. Life Cycle Assessment of Power-to-X processes and associated electricity and heat applications in the residential sector. Paul Scherrer Institut, 2023.</v>
      </c>
    </row>
    <row r="9729" spans="1:2" x14ac:dyDescent="0.2">
      <c r="A9729" t="s">
        <v>63</v>
      </c>
      <c r="B9729" s="45" t="s">
        <v>1223</v>
      </c>
    </row>
    <row r="9730" spans="1:2" x14ac:dyDescent="0.2">
      <c r="A9730" t="s">
        <v>52</v>
      </c>
      <c r="B9730" s="45" t="s">
        <v>64</v>
      </c>
    </row>
    <row r="9731" spans="1:2" x14ac:dyDescent="0.2">
      <c r="A9731" t="s">
        <v>48</v>
      </c>
      <c r="B9731" s="45">
        <v>120</v>
      </c>
    </row>
    <row r="9732" spans="1:2" x14ac:dyDescent="0.2">
      <c r="A9732" t="s">
        <v>54</v>
      </c>
      <c r="B9732" s="45" t="str">
        <f>INDEX(overview!$B$4:$R$338,MATCH('hydrogen - electrolysis'!B9731,overview!$A$4:$A$338,0),MATCH('hydrogen - electrolysis'!A9732,overview!$B$3:$R$3,0))</f>
        <v>heat, from residential heating system</v>
      </c>
    </row>
    <row r="9733" spans="1:2" x14ac:dyDescent="0.2">
      <c r="A9733" t="s">
        <v>55</v>
      </c>
      <c r="B9733" s="45" t="str">
        <f>INDEX(overview!$B$4:$R$338,MATCH('hydrogen - electrolysis'!B9731,overview!$A$4:$A$338,0),MATCH('hydrogen - electrolysis'!A9733,overview!$B$3:$R$3,0))</f>
        <v>megajoule</v>
      </c>
    </row>
    <row r="9734" spans="1:2" x14ac:dyDescent="0.2">
      <c r="A9734" t="s">
        <v>0</v>
      </c>
      <c r="B9734" s="45" t="str">
        <f>INDEX(overview!$B$4:$R$338,MATCH('hydrogen - electrolysis'!B9731,overview!$A$4:$A$338,0),MATCH('hydrogen - electrolysis'!A9734,overview!$B$3:$R$3,0))</f>
        <v>Switzerland</v>
      </c>
    </row>
    <row r="9735" spans="1:2" x14ac:dyDescent="0.2">
      <c r="A9735" t="s">
        <v>1</v>
      </c>
      <c r="B9735" s="45">
        <f>INDEX(overview!$B$4:$R$338,MATCH('hydrogen - electrolysis'!B9731,overview!$A$4:$A$338,0),MATCH('hydrogen - electrolysis'!A9735,overview!$B$3:$R$3,0))</f>
        <v>2020</v>
      </c>
    </row>
    <row r="9736" spans="1:2" x14ac:dyDescent="0.2">
      <c r="A9736" t="s">
        <v>2</v>
      </c>
      <c r="B9736" s="45" t="str">
        <f>INDEX(overview!$B$4:$R$338,MATCH('hydrogen - electrolysis'!B9731,overview!$A$4:$A$338,0),MATCH('hydrogen - electrolysis'!A9736,overview!$B$3:$R$3,0))</f>
        <v>1 MJ heat</v>
      </c>
    </row>
    <row r="9737" spans="1:2" x14ac:dyDescent="0.2">
      <c r="A9737" t="s">
        <v>5</v>
      </c>
      <c r="B9737" s="45" t="str">
        <f>INDEX(overview!$B$4:$R$338,MATCH('hydrogen - electrolysis'!B9731,overview!$A$4:$A$338,0),MATCH('hydrogen - electrolysis'!A9737,overview!$B$3:$R$3,0))</f>
        <v>hydrogen</v>
      </c>
    </row>
    <row r="9738" spans="1:2" x14ac:dyDescent="0.2">
      <c r="A9738" t="s">
        <v>3</v>
      </c>
      <c r="B9738" s="45" t="str">
        <f>INDEX(overview!$B$4:$R$338,MATCH('hydrogen - electrolysis'!B9731,overview!$A$4:$A$338,0),MATCH('hydrogen - electrolysis'!A9738,overview!$B$3:$R$3,0))</f>
        <v>conversion</v>
      </c>
    </row>
    <row r="9739" spans="1:2" x14ac:dyDescent="0.2">
      <c r="A9739" t="s">
        <v>6</v>
      </c>
      <c r="B9739" s="45" t="str">
        <f>INDEX(overview!$B$4:$R$338,MATCH('hydrogen - electrolysis'!B9731,overview!$A$4:$A$338,0),MATCH('hydrogen - electrolysis'!A9739,overview!$B$3:$R$3,0))</f>
        <v>fuel cell, SOFC</v>
      </c>
    </row>
    <row r="9740" spans="1:2" x14ac:dyDescent="0.2">
      <c r="A9740" t="s">
        <v>39</v>
      </c>
      <c r="B9740" s="45" t="str">
        <f>INDEX(overview!$B$4:$R$338,MATCH('hydrogen - electrolysis'!B9731,overview!$A$4:$A$338,0),MATCH('hydrogen - electrolysis'!A9740,overview!$B$3:$R$3,0))</f>
        <v>exergy</v>
      </c>
    </row>
    <row r="9741" spans="1:2" x14ac:dyDescent="0.2">
      <c r="A9741" t="s">
        <v>4</v>
      </c>
      <c r="B9741" s="45" t="str">
        <f>INDEX(overview!$B$4:$R$338,MATCH('hydrogen - electrolysis'!B9731,overview!$A$4:$A$338,0),MATCH('hydrogen - electrolysis'!A9741,overview!$B$3:$R$3,0))</f>
        <v>train</v>
      </c>
    </row>
    <row r="9742" spans="1:2" x14ac:dyDescent="0.2">
      <c r="A9742" t="s">
        <v>38</v>
      </c>
      <c r="B9742" s="45">
        <f>INDEX(overview!$B$4:$R$338,MATCH('hydrogen - electrolysis'!B9731,overview!$A$4:$A$338,0),MATCH('hydrogen - electrolysis'!A9742,overview!$B$3:$R$3,0))</f>
        <v>1300</v>
      </c>
    </row>
    <row r="9743" spans="1:2" x14ac:dyDescent="0.2">
      <c r="A9743" t="s">
        <v>12</v>
      </c>
      <c r="B9743" s="45" t="str">
        <f>INDEX(overview!$B$4:$R$338,MATCH('hydrogen - electrolysis'!B9731,overview!$A$4:$A$338,0),MATCH('hydrogen - electrolysis'!A9743,overview!$B$3:$R$3,0))</f>
        <v>Pressure vessel for stationary storage</v>
      </c>
    </row>
    <row r="9744" spans="1:2" x14ac:dyDescent="0.2">
      <c r="A9744" t="s">
        <v>34</v>
      </c>
      <c r="B9744" s="45">
        <f>INDEX(overview!$B$4:$R$338,MATCH('hydrogen - electrolysis'!B9731,overview!$A$4:$A$338,0),MATCH('hydrogen - electrolysis'!A9744,overview!$B$3:$R$3,0))</f>
        <v>0</v>
      </c>
    </row>
    <row r="9745" spans="1:4" x14ac:dyDescent="0.2">
      <c r="A9745" t="s">
        <v>15</v>
      </c>
      <c r="B9745" s="45" t="str">
        <f>INDEX(overview!$B$4:$R$338,MATCH('hydrogen - electrolysis'!B9731,overview!$A$4:$A$338,0),MATCH('hydrogen - electrolysis'!A9745,overview!$B$3:$R$3,0))</f>
        <v>Electrolysis, SOEC</v>
      </c>
    </row>
    <row r="9746" spans="1:4" x14ac:dyDescent="0.2">
      <c r="A9746" t="s">
        <v>14</v>
      </c>
      <c r="B9746" s="45" t="str">
        <f>INDEX(overview!$B$4:$R$338,MATCH('hydrogen - electrolysis'!B9731,overview!$A$4:$A$338,0),MATCH('hydrogen - electrolysis'!A9746,overview!$B$3:$R$3,0))</f>
        <v>water and electricity</v>
      </c>
    </row>
    <row r="9747" spans="1:4" x14ac:dyDescent="0.2">
      <c r="A9747" t="s">
        <v>26</v>
      </c>
      <c r="B9747" s="45" t="str">
        <f>INDEX(overview!$B$4:$R$338,MATCH('hydrogen - electrolysis'!B9731,overview!$A$4:$A$338,0),MATCH('hydrogen - electrolysis'!A9747,overview!$B$3:$R$3,0))</f>
        <v>Wind (DK)</v>
      </c>
    </row>
    <row r="9748" spans="1:4" x14ac:dyDescent="0.2">
      <c r="A9748" t="s">
        <v>29</v>
      </c>
      <c r="B9748" s="45">
        <f>INDEX(overview!$B$4:$R$338,MATCH('hydrogen - electrolysis'!B9731,overview!$A$4:$A$338,0),MATCH('hydrogen - electrolysis'!A9748,overview!$B$3:$R$3,0))</f>
        <v>0</v>
      </c>
    </row>
    <row r="9749" spans="1:4" x14ac:dyDescent="0.2">
      <c r="A9749" t="str">
        <f>IF(B9733="megajoule","Heat","Electricity")&amp;" conversion efficiency [% LHV input]"</f>
        <v>Heat conversion efficiency [% LHV input]</v>
      </c>
      <c r="B9749" s="46">
        <f>INDEX(parameters!$D$4:$N$20,MATCH('hydrogen - electrolysis'!B9737&amp;'hydrogen - electrolysis'!B9739,parameters!$A$4:$A$20,0),MATCH('hydrogen - electrolysis'!A9749,parameters!$D$3:$N$3,0))</f>
        <v>0.53</v>
      </c>
    </row>
    <row r="9750" spans="1:4" x14ac:dyDescent="0.2">
      <c r="A9750" t="str">
        <f>IF(B9733="megajoule","LHV [MJ/kg]","LHV [kWh/kg]")</f>
        <v>LHV [MJ/kg]</v>
      </c>
      <c r="B9750" s="47">
        <f>INDEX(parameters!$D$4:$N$20,MATCH('hydrogen - electrolysis'!B9737&amp;'hydrogen - electrolysis'!B9739,parameters!$A$4:$A$20,0),MATCH('hydrogen - electrolysis'!A9750,parameters!$D$3:$N$3,0))</f>
        <v>120</v>
      </c>
    </row>
    <row r="9751" spans="1:4" x14ac:dyDescent="0.2">
      <c r="A9751" t="s">
        <v>41</v>
      </c>
      <c r="B9751" s="48">
        <f>INDEX(parameters!$D$4:$N$20,MATCH('hydrogen - electrolysis'!B9737&amp;'hydrogen - electrolysis'!B9739,parameters!$A$4:$A$20,0),MATCH('hydrogen - electrolysis'!A9751,parameters!$D$3:$N$3,0))</f>
        <v>2.6666666666666665E-2</v>
      </c>
    </row>
    <row r="9752" spans="1:4" x14ac:dyDescent="0.2">
      <c r="A9752" t="s">
        <v>45</v>
      </c>
      <c r="B9752" s="46">
        <f>INDEX(parameters!$D$4:$N$20,MATCH('hydrogen - electrolysis'!B9737&amp;'hydrogen - electrolysis'!B9739,parameters!$A$4:$A$20,0),MATCH('hydrogen - electrolysis'!A9752,parameters!$D$3:$N$3,0))</f>
        <v>0</v>
      </c>
    </row>
    <row r="9753" spans="1:4" x14ac:dyDescent="0.2">
      <c r="A9753" t="s">
        <v>46</v>
      </c>
      <c r="B9753" s="46">
        <f>INDEX(parameters!$D$4:$N$20,MATCH('hydrogen - electrolysis'!B9737&amp;'hydrogen - electrolysis'!B9739,parameters!$A$4:$A$20,0),MATCH('hydrogen - electrolysis'!A9753,parameters!$D$3:$N$3,0))</f>
        <v>1.4999999999999999E-2</v>
      </c>
    </row>
    <row r="9754" spans="1:4" x14ac:dyDescent="0.2">
      <c r="A9754" t="s">
        <v>43</v>
      </c>
      <c r="B9754" s="46">
        <f>INDEX(parameters!$D$4:$N$20,MATCH('hydrogen - electrolysis'!B9737&amp;'hydrogen - electrolysis'!B9739,parameters!$A$4:$A$20,0),MATCH('hydrogen - electrolysis'!A9754,parameters!$D$3:$N$3,0))</f>
        <v>0</v>
      </c>
    </row>
    <row r="9755" spans="1:4" x14ac:dyDescent="0.2">
      <c r="A9755" t="s">
        <v>44</v>
      </c>
      <c r="B9755" s="46">
        <f>INDEX(parameters!$D$4:$N$20,MATCH('hydrogen - electrolysis'!B9737&amp;'hydrogen - electrolysis'!B9739,parameters!$A$4:$A$20,0),MATCH('hydrogen - electrolysis'!A9755,parameters!$D$3:$N$3,0))</f>
        <v>0</v>
      </c>
    </row>
    <row r="9756" spans="1:4" x14ac:dyDescent="0.2">
      <c r="A9756" t="s">
        <v>634</v>
      </c>
      <c r="B9756" s="51">
        <f>INDEX(parameters!$D$4:$Y$20,MATCH('hydrogen - electrolysis'!B9737&amp;'hydrogen - electrolysis'!B9739,parameters!$A$4:$A$20,0),MATCH('hydrogen - electrolysis'!A9756,parameters!$D$3:$Y$3,0))</f>
        <v>225</v>
      </c>
      <c r="D9756" s="8"/>
    </row>
    <row r="9757" spans="1:4" x14ac:dyDescent="0.2">
      <c r="A9757" t="s">
        <v>82</v>
      </c>
      <c r="B9757" s="46">
        <f>IF(B9748&lt;&gt;0,VLOOKUP(B9748,parameters!A6151:B6153,2,0),0)</f>
        <v>0</v>
      </c>
    </row>
    <row r="9758" spans="1:4" x14ac:dyDescent="0.2">
      <c r="A9758" t="s">
        <v>548</v>
      </c>
      <c r="B9758" s="50">
        <f>INDEX(parameters!$D$4:$P$20,MATCH(B9737&amp;B9739,parameters!$A$4:$A$20,0),MATCH(A9758,parameters!$D$3:$P$3,0))</f>
        <v>100</v>
      </c>
    </row>
    <row r="9759" spans="1:4" x14ac:dyDescent="0.2">
      <c r="A9759" t="s">
        <v>547</v>
      </c>
      <c r="B9759" s="51">
        <f>INDEX(parameters!$D$4:$P$20,MATCH(B9737&amp;B9739,parameters!$A$4:$A$20,0),MATCH(A9759,parameters!$D$3:$P$3,0))</f>
        <v>6</v>
      </c>
    </row>
    <row r="9760" spans="1:4" x14ac:dyDescent="0.2">
      <c r="A9760" t="s">
        <v>630</v>
      </c>
      <c r="B9760" s="51">
        <f>INDEX(parameters!$D$4:$T$20,MATCH(B9737&amp;B9739,parameters!$A$4:$A$20,0),MATCH(A9760,parameters!$D$3:$T$3,0))</f>
        <v>4100</v>
      </c>
    </row>
    <row r="9761" spans="1:22" x14ac:dyDescent="0.2">
      <c r="A9761" t="s">
        <v>1005</v>
      </c>
      <c r="B9761" s="50">
        <f>IF(B9733="megajoule",SUMIFS(allocation!$I$4:$I$30,allocation!$B$4:$B$30,B9739,allocation!$C$4:$C$30,B9740),SUMIFS(allocation!$J$4:$J$30,allocation!$B$4:$B$30,B9739,allocation!$C$4:$C$30,B9740))</f>
        <v>0.13587506510399097</v>
      </c>
    </row>
    <row r="9762" spans="1:22" x14ac:dyDescent="0.2">
      <c r="A9762" t="s">
        <v>1050</v>
      </c>
      <c r="B9762" s="51">
        <f>INDEX(parameters!$D$4:$AB$20,MATCH(B9737&amp;B9739,parameters!$A$4:$A$20,0),MATCH(A9762,parameters!$D$3:$AB$3,0))</f>
        <v>1153.1249999999998</v>
      </c>
    </row>
    <row r="9764" spans="1:22" x14ac:dyDescent="0.2">
      <c r="A9764" s="3" t="s">
        <v>57</v>
      </c>
    </row>
    <row r="9765" spans="1:22" x14ac:dyDescent="0.2">
      <c r="A9765" s="2" t="s">
        <v>58</v>
      </c>
      <c r="B9765" s="44" t="s">
        <v>59</v>
      </c>
      <c r="C9765" s="2" t="s">
        <v>55</v>
      </c>
      <c r="D9765" s="2" t="s">
        <v>60</v>
      </c>
      <c r="E9765" s="2" t="s">
        <v>52</v>
      </c>
      <c r="F9765" s="2" t="s">
        <v>61</v>
      </c>
      <c r="G9765" s="2" t="s">
        <v>54</v>
      </c>
      <c r="H9765" s="2" t="s">
        <v>87</v>
      </c>
      <c r="I9765" s="2" t="s">
        <v>51</v>
      </c>
      <c r="J9765" s="2" t="s">
        <v>138</v>
      </c>
      <c r="K9765" s="2" t="s">
        <v>136</v>
      </c>
      <c r="L9765" s="2" t="s">
        <v>221</v>
      </c>
      <c r="M9765" s="2" t="s">
        <v>379</v>
      </c>
      <c r="N9765" s="2" t="s">
        <v>1059</v>
      </c>
      <c r="O9765" s="2" t="s">
        <v>1060</v>
      </c>
      <c r="P9765" s="2" t="s">
        <v>1061</v>
      </c>
      <c r="Q9765" s="2" t="s">
        <v>1062</v>
      </c>
      <c r="R9765" s="2" t="s">
        <v>1063</v>
      </c>
      <c r="S9765" s="2" t="s">
        <v>1064</v>
      </c>
      <c r="T9765" s="2" t="s">
        <v>1065</v>
      </c>
      <c r="U9765" s="2" t="s">
        <v>380</v>
      </c>
      <c r="V9765" s="2" t="s">
        <v>1128</v>
      </c>
    </row>
    <row r="9766" spans="1:22" x14ac:dyDescent="0.2">
      <c r="A9766" t="str">
        <f>B9727</f>
        <v>heat, residential, by conversion of hydrogen using fuel cell, SOFC, allocated by exergy, transported by train, produced by Electrolysis, SOEC using water and electricity from Wind (DK)</v>
      </c>
      <c r="B9766" s="45">
        <v>1</v>
      </c>
      <c r="C9766" t="str">
        <f>B9733</f>
        <v>megajoule</v>
      </c>
      <c r="E9766" t="str">
        <f>B9730</f>
        <v>CH</v>
      </c>
      <c r="F9766" t="s">
        <v>62</v>
      </c>
      <c r="G9766" t="str">
        <f>B9732</f>
        <v>heat, from residential heating system</v>
      </c>
      <c r="K9766" t="str">
        <f>B9727</f>
        <v>heat, residential, by conversion of hydrogen using fuel cell, SOFC, allocated by exergy, transported by train, produced by Electrolysis, SOEC using water and electricity from Wind (DK)</v>
      </c>
    </row>
    <row r="9767" spans="1:22" x14ac:dyDescent="0.2">
      <c r="A9767" t="str">
        <f>VLOOKUP(J9767,'dataset mapping'!$A$4:$E$69,2,0)</f>
        <v>fuel cell production, stack solid oxide, 125kW electrical, future</v>
      </c>
      <c r="B9767" s="52">
        <f>(1/(B9756*B9760*B9759*3.6))*B9761</f>
        <v>6.8189834941278219E-9</v>
      </c>
      <c r="C9767" t="str">
        <f>VLOOKUP(J9767,'dataset mapping'!$A$4:$E$69,5,0)</f>
        <v>unit</v>
      </c>
      <c r="E9767" t="str">
        <f>VLOOKUP(J9767,'dataset mapping'!$A$4:$E$69,4,0)</f>
        <v>CH</v>
      </c>
      <c r="F9767" t="s">
        <v>86</v>
      </c>
      <c r="G9767" t="str">
        <f>VLOOKUP(J9767,'dataset mapping'!$A$4:$E$69,3,0)</f>
        <v>fuel cell, stack solid oxide, 125kW electrical, future</v>
      </c>
      <c r="H9767" t="s">
        <v>88</v>
      </c>
      <c r="I9767" t="s">
        <v>277</v>
      </c>
      <c r="J9767" t="s">
        <v>274</v>
      </c>
      <c r="K9767" t="str">
        <f>B9727</f>
        <v>heat, residential, by conversion of hydrogen using fuel cell, SOFC, allocated by exergy, transported by train, produced by Electrolysis, SOEC using water and electricity from Wind (DK)</v>
      </c>
      <c r="L9767">
        <f t="shared" ref="L9767:L9773" si="418">IF(OR(B9767&lt;0,B9767=0),1,2)</f>
        <v>2</v>
      </c>
      <c r="M9767">
        <f t="shared" ref="M9767:M9773" si="419">IF(L9767=2,LN(B9767),"")</f>
        <v>-18.80355542398161</v>
      </c>
      <c r="N9767">
        <v>1</v>
      </c>
      <c r="O9767" s="15">
        <v>1.2</v>
      </c>
      <c r="P9767">
        <v>1</v>
      </c>
      <c r="Q9767">
        <v>1.01</v>
      </c>
      <c r="R9767">
        <v>1.2</v>
      </c>
      <c r="S9767">
        <v>1.2</v>
      </c>
      <c r="T9767">
        <v>3</v>
      </c>
      <c r="U9767">
        <f t="shared" ref="U9767:U9773" si="420">LN(SQRT(EXP(
SQRT(
+POWER(LN(N9767),2)
+POWER(LN(O9767),2)
+POWER(LN(P9767),2)
+POWER(LN(Q9767),2)
+POWER(LN(R9767),2)
+POWER(LN(S9767),2)
+POWER(LN(T9767),2)
)
)))</f>
        <v>0.57157051623399524</v>
      </c>
    </row>
    <row r="9768" spans="1:22" x14ac:dyDescent="0.2">
      <c r="A9768" t="s">
        <v>283</v>
      </c>
      <c r="B9768" s="52">
        <f>(1/(B9756*B9760*B9759*3.6))*B9761</f>
        <v>6.8189834941278219E-9</v>
      </c>
      <c r="C9768" t="s">
        <v>55</v>
      </c>
      <c r="E9768" t="s">
        <v>64</v>
      </c>
      <c r="F9768" t="s">
        <v>86</v>
      </c>
      <c r="G9768" t="s">
        <v>284</v>
      </c>
      <c r="H9768" t="s">
        <v>88</v>
      </c>
      <c r="I9768" t="s">
        <v>277</v>
      </c>
      <c r="K9768" t="str">
        <f>B9727</f>
        <v>heat, residential, by conversion of hydrogen using fuel cell, SOFC, allocated by exergy, transported by train, produced by Electrolysis, SOEC using water and electricity from Wind (DK)</v>
      </c>
      <c r="L9768">
        <f t="shared" si="418"/>
        <v>2</v>
      </c>
      <c r="M9768">
        <f t="shared" si="419"/>
        <v>-18.80355542398161</v>
      </c>
      <c r="N9768">
        <v>1</v>
      </c>
      <c r="O9768" s="15">
        <v>1.2</v>
      </c>
      <c r="P9768">
        <v>1</v>
      </c>
      <c r="Q9768">
        <v>1.01</v>
      </c>
      <c r="R9768">
        <v>1.2</v>
      </c>
      <c r="S9768">
        <v>1.2</v>
      </c>
      <c r="T9768">
        <v>3</v>
      </c>
      <c r="U9768">
        <f t="shared" si="420"/>
        <v>0.57157051623399524</v>
      </c>
    </row>
    <row r="9769" spans="1:22" x14ac:dyDescent="0.2">
      <c r="A9769" t="s">
        <v>288</v>
      </c>
      <c r="B9769" s="52">
        <f>0.000024*B9761</f>
        <v>3.2610015624957834E-6</v>
      </c>
      <c r="C9769" t="s">
        <v>56</v>
      </c>
      <c r="E9769" t="s">
        <v>64</v>
      </c>
      <c r="F9769" t="s">
        <v>86</v>
      </c>
      <c r="G9769" t="s">
        <v>287</v>
      </c>
      <c r="H9769" t="s">
        <v>88</v>
      </c>
      <c r="K9769" t="str">
        <f>B9727</f>
        <v>heat, residential, by conversion of hydrogen using fuel cell, SOFC, allocated by exergy, transported by train, produced by Electrolysis, SOEC using water and electricity from Wind (DK)</v>
      </c>
      <c r="L9769">
        <f t="shared" si="418"/>
        <v>2</v>
      </c>
      <c r="M9769">
        <f t="shared" si="419"/>
        <v>-12.633476182011</v>
      </c>
      <c r="N9769">
        <v>1</v>
      </c>
      <c r="O9769" s="15">
        <v>1.2</v>
      </c>
      <c r="P9769">
        <v>1</v>
      </c>
      <c r="Q9769">
        <v>1.01</v>
      </c>
      <c r="R9769">
        <v>1.2</v>
      </c>
      <c r="S9769">
        <v>1.2</v>
      </c>
      <c r="T9769">
        <v>1.05</v>
      </c>
      <c r="U9769">
        <f t="shared" si="420"/>
        <v>0.15984597228197622</v>
      </c>
    </row>
    <row r="9770" spans="1:22" x14ac:dyDescent="0.2">
      <c r="A9770" s="45" t="str">
        <f>"hydrogen supply, transported by "&amp;B9741&amp;", produced by "&amp;B9745&amp;" using "&amp;B9746&amp;" from "&amp;B9747</f>
        <v>hydrogen supply, transported by train, produced by Electrolysis, SOEC using water and electricity from Wind (DK)</v>
      </c>
      <c r="B9770" s="53">
        <f>(B9766/B9750)/B9749*B9761</f>
        <v>2.1364003947168392E-3</v>
      </c>
      <c r="C9770" t="s">
        <v>56</v>
      </c>
      <c r="E9770" t="s">
        <v>64</v>
      </c>
      <c r="F9770" t="s">
        <v>86</v>
      </c>
      <c r="G9770" t="str">
        <f>"hydrogen, gaseous, from "&amp;B9741</f>
        <v>hydrogen, gaseous, from train</v>
      </c>
      <c r="H9770" t="s">
        <v>76</v>
      </c>
      <c r="I9770" t="s">
        <v>1054</v>
      </c>
      <c r="J9770" t="s">
        <v>304</v>
      </c>
      <c r="K9770" t="str">
        <f>B9727</f>
        <v>heat, residential, by conversion of hydrogen using fuel cell, SOFC, allocated by exergy, transported by train, produced by Electrolysis, SOEC using water and electricity from Wind (DK)</v>
      </c>
      <c r="L9770">
        <f t="shared" si="418"/>
        <v>2</v>
      </c>
      <c r="M9770">
        <f t="shared" si="419"/>
        <v>-6.1486329247407472</v>
      </c>
      <c r="N9770">
        <v>1</v>
      </c>
      <c r="O9770" s="15">
        <v>1.2</v>
      </c>
      <c r="P9770">
        <v>1</v>
      </c>
      <c r="Q9770">
        <v>1.01</v>
      </c>
      <c r="R9770">
        <v>1.2</v>
      </c>
      <c r="S9770">
        <v>1.2</v>
      </c>
      <c r="T9770">
        <v>1.05</v>
      </c>
      <c r="U9770">
        <f t="shared" si="420"/>
        <v>0.15984597228197622</v>
      </c>
    </row>
    <row r="9771" spans="1:22" x14ac:dyDescent="0.2">
      <c r="A9771" t="str">
        <f>VLOOKUP(J9771,'dataset mapping'!$A$4:$E$69,2,0)</f>
        <v>market for transport, freight train</v>
      </c>
      <c r="B9771" s="45">
        <f>SUM(B9770:B9770)/1000*B9742</f>
        <v>2.7773205131318909E-3</v>
      </c>
      <c r="C9771" t="str">
        <f>VLOOKUP(J9771,'dataset mapping'!$A$4:$E$69,5,0)</f>
        <v>ton kilometer</v>
      </c>
      <c r="E9771" t="str">
        <f>VLOOKUP(J9771,'dataset mapping'!$A$4:$E$69,4,0)</f>
        <v>CH</v>
      </c>
      <c r="F9771" t="s">
        <v>86</v>
      </c>
      <c r="G9771" t="str">
        <f>VLOOKUP(J9771,'dataset mapping'!$A$4:$E$69,3,0)</f>
        <v>transport, freight train</v>
      </c>
      <c r="H9771" t="s">
        <v>88</v>
      </c>
      <c r="I9771" t="s">
        <v>1051</v>
      </c>
      <c r="J9771" t="s">
        <v>295</v>
      </c>
      <c r="K9771" t="str">
        <f>B9727</f>
        <v>heat, residential, by conversion of hydrogen using fuel cell, SOFC, allocated by exergy, transported by train, produced by Electrolysis, SOEC using water and electricity from Wind (DK)</v>
      </c>
      <c r="L9771">
        <f t="shared" si="418"/>
        <v>2</v>
      </c>
      <c r="M9771">
        <f t="shared" si="419"/>
        <v>-5.8862686602732559</v>
      </c>
      <c r="N9771">
        <v>1</v>
      </c>
      <c r="O9771" s="15">
        <v>1.2</v>
      </c>
      <c r="P9771">
        <v>1</v>
      </c>
      <c r="Q9771">
        <v>1.01</v>
      </c>
      <c r="R9771">
        <v>1.2</v>
      </c>
      <c r="S9771">
        <v>1.2</v>
      </c>
      <c r="T9771">
        <v>2</v>
      </c>
      <c r="U9771">
        <f t="shared" si="420"/>
        <v>0.38087907307228186</v>
      </c>
    </row>
    <row r="9772" spans="1:22" x14ac:dyDescent="0.2">
      <c r="A9772" t="str">
        <f>VLOOKUP(J9772,'dataset mapping'!$A$4:$E$69,2,0)</f>
        <v>high pressure hydrogen storage tank</v>
      </c>
      <c r="B9772" s="52">
        <f>((B9762/10)/(B9760*B9756*20*3.6))*IF(B9761&lt;&gt;0,B9761,1)</f>
        <v>2.3589421024998428E-7</v>
      </c>
      <c r="C9772" t="str">
        <f>VLOOKUP(J9772,'dataset mapping'!$A$4:$E$69,5,0)</f>
        <v>kilogram</v>
      </c>
      <c r="E9772" t="str">
        <f>VLOOKUP(J9772,'dataset mapping'!$A$4:$E$69,4,0)</f>
        <v>GLO</v>
      </c>
      <c r="F9772" t="s">
        <v>86</v>
      </c>
      <c r="G9772" t="str">
        <f>VLOOKUP(J9772,'dataset mapping'!$A$4:$E$69,3,0)</f>
        <v>high pressure hydrogen storage tank</v>
      </c>
      <c r="H9772" t="s">
        <v>88</v>
      </c>
      <c r="I9772" t="s">
        <v>230</v>
      </c>
      <c r="J9772" t="s">
        <v>229</v>
      </c>
      <c r="K9772" t="str">
        <f>B9727</f>
        <v>heat, residential, by conversion of hydrogen using fuel cell, SOFC, allocated by exergy, transported by train, produced by Electrolysis, SOEC using water and electricity from Wind (DK)</v>
      </c>
      <c r="L9772">
        <f t="shared" si="418"/>
        <v>2</v>
      </c>
      <c r="M9772">
        <f t="shared" si="419"/>
        <v>-15.259882394072699</v>
      </c>
      <c r="N9772">
        <v>1</v>
      </c>
      <c r="O9772" s="15">
        <v>1.2</v>
      </c>
      <c r="P9772">
        <v>1</v>
      </c>
      <c r="Q9772">
        <v>1.01</v>
      </c>
      <c r="R9772">
        <v>1.2</v>
      </c>
      <c r="S9772">
        <v>1.2</v>
      </c>
      <c r="T9772">
        <v>3</v>
      </c>
      <c r="U9772">
        <f t="shared" si="420"/>
        <v>0.57157051623399524</v>
      </c>
    </row>
    <row r="9773" spans="1:22" x14ac:dyDescent="0.2">
      <c r="A9773" t="s">
        <v>134</v>
      </c>
      <c r="B9773" s="45">
        <f>B9770*9</f>
        <v>1.9227603552451553E-2</v>
      </c>
      <c r="C9773" t="s">
        <v>56</v>
      </c>
      <c r="D9773" t="s">
        <v>100</v>
      </c>
      <c r="F9773" t="s">
        <v>99</v>
      </c>
      <c r="H9773" t="s">
        <v>131</v>
      </c>
      <c r="I9773" t="s">
        <v>1057</v>
      </c>
      <c r="K9773" t="str">
        <f>B9727</f>
        <v>heat, residential, by conversion of hydrogen using fuel cell, SOFC, allocated by exergy, transported by train, produced by Electrolysis, SOEC using water and electricity from Wind (DK)</v>
      </c>
      <c r="L9773">
        <f t="shared" si="418"/>
        <v>2</v>
      </c>
      <c r="M9773">
        <f t="shared" si="419"/>
        <v>-3.9514083474045276</v>
      </c>
      <c r="N9773">
        <v>1</v>
      </c>
      <c r="O9773" s="15">
        <v>1.2</v>
      </c>
      <c r="P9773">
        <v>1</v>
      </c>
      <c r="Q9773">
        <v>1.01</v>
      </c>
      <c r="R9773">
        <v>1.2</v>
      </c>
      <c r="S9773">
        <v>1.2</v>
      </c>
      <c r="T9773">
        <v>1.05</v>
      </c>
      <c r="U9773">
        <f t="shared" si="420"/>
        <v>0.15984597228197622</v>
      </c>
    </row>
    <row r="9775" spans="1:22" x14ac:dyDescent="0.2">
      <c r="A9775" s="2" t="s">
        <v>50</v>
      </c>
      <c r="B9775" s="44" t="str">
        <f>IF(B9781="megajoule","heat","electricity")&amp;", residential, by "&amp;B9786&amp;" of "&amp;B9785&amp;" using "&amp;B9787&amp;IF(B9788&lt;&gt;0,", allocated by "&amp;B9788,"")&amp;", transported by "&amp;B9789&amp;", produced by "&amp;B9793&amp;" using "&amp;B9794&amp;" from "&amp;B9795</f>
        <v>electricity, residential, by combustion of hydrogen using CHP, allocated by exergy, transported by train, produced by Electrolysis, SOEC using water and electricity from Wind (DK)</v>
      </c>
    </row>
    <row r="9776" spans="1:22" x14ac:dyDescent="0.2">
      <c r="A9776" t="s">
        <v>51</v>
      </c>
      <c r="B9776" s="45" t="str">
        <f>"This dataset represents the supply of 1 "&amp;IF(B9781="megajoule","megajoule of heat","kilowatt hour of electricity")&amp;" in a residence, by "&amp;B9785&amp;" "&amp;B9786&amp;" in a "&amp;B9787&amp;". "&amp;" The hydrogen is transported by "&amp;B9789&amp;" over "&amp;B9790&amp;" km from regional storage. "&amp;" The "&amp;B9785&amp;" is produced by  "&amp;B9793&amp;", with "&amp;B9794&amp;" from "&amp;B9795&amp;" as feedstock. "&amp;A9797&amp;": "&amp;(B9797*100)&amp;"%. "&amp;A9798&amp;": "&amp;B9798&amp;". "&amp;A9799&amp;": "&amp;B9799&amp;". "&amp;A9800&amp;": "&amp;(B9800*100)&amp;"%. "&amp;A9801&amp;": "&amp;(B9801*100)&amp;"%. "&amp;A9802&amp;": "&amp;(B9802*100)&amp;"%. "&amp;A9803&amp;": "&amp;B9803&amp;". "&amp;A9804&amp;": "&amp;B9804&amp;". "&amp;A9805&amp;": "&amp;(B9805*100)&amp;"%. "&amp;A9806&amp;": "&amp;B9806&amp;". "&amp;A9807&amp;": "&amp;B9807&amp;". "&amp;A9808&amp;": "&amp;B9808&amp;". "&amp;A9809&amp;": "&amp;B9809&amp;".  For more information, refer to: "&amp;B9777</f>
        <v>This dataset represents the supply of 1 kilowatt hour of electricity in a residence, by hydrogen combustion in a CHP.  The hydrogen is transported by train over 1300 km from regional storage.  The hydrogen is produced by  Electrolysis, SOEC, with water and electricity from Wind (DK)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and Bauer, C. Life Cycle Assessment of Power-to-X processes and associated electricity and heat applications in the residential sector. Paul Scherrer Institut, 2023.</v>
      </c>
    </row>
    <row r="9777" spans="1:2" x14ac:dyDescent="0.2">
      <c r="A9777" t="s">
        <v>63</v>
      </c>
      <c r="B9777" s="45" t="s">
        <v>1223</v>
      </c>
    </row>
    <row r="9778" spans="1:2" x14ac:dyDescent="0.2">
      <c r="A9778" t="s">
        <v>52</v>
      </c>
      <c r="B9778" s="45" t="s">
        <v>64</v>
      </c>
    </row>
    <row r="9779" spans="1:2" x14ac:dyDescent="0.2">
      <c r="A9779" t="s">
        <v>48</v>
      </c>
      <c r="B9779" s="45" t="s">
        <v>952</v>
      </c>
    </row>
    <row r="9780" spans="1:2" x14ac:dyDescent="0.2">
      <c r="A9780" t="s">
        <v>54</v>
      </c>
      <c r="B9780" s="45" t="str">
        <f>INDEX(overview!$B$4:$R$338,MATCH('hydrogen - electrolysis'!B9779,overview!$A$4:$A$338,0),MATCH('hydrogen - electrolysis'!A9780,overview!$B$3:$R$3,0))</f>
        <v>electricity, from residential heating system</v>
      </c>
    </row>
    <row r="9781" spans="1:2" x14ac:dyDescent="0.2">
      <c r="A9781" t="s">
        <v>55</v>
      </c>
      <c r="B9781" s="45" t="str">
        <f>INDEX(overview!$B$4:$R$338,MATCH('hydrogen - electrolysis'!B9779,overview!$A$4:$A$338,0),MATCH('hydrogen - electrolysis'!A9781,overview!$B$3:$R$3,0))</f>
        <v>kilowatt hour</v>
      </c>
    </row>
    <row r="9782" spans="1:2" x14ac:dyDescent="0.2">
      <c r="A9782" t="s">
        <v>0</v>
      </c>
      <c r="B9782" s="45" t="str">
        <f>INDEX(overview!$B$4:$R$338,MATCH('hydrogen - electrolysis'!B9779,overview!$A$4:$A$338,0),MATCH('hydrogen - electrolysis'!A9782,overview!$B$3:$R$3,0))</f>
        <v>Switzerland</v>
      </c>
    </row>
    <row r="9783" spans="1:2" x14ac:dyDescent="0.2">
      <c r="A9783" t="s">
        <v>1</v>
      </c>
      <c r="B9783" s="45">
        <f>INDEX(overview!$B$4:$R$338,MATCH('hydrogen - electrolysis'!B9779,overview!$A$4:$A$338,0),MATCH('hydrogen - electrolysis'!A9783,overview!$B$3:$R$3,0))</f>
        <v>2020</v>
      </c>
    </row>
    <row r="9784" spans="1:2" x14ac:dyDescent="0.2">
      <c r="A9784" t="s">
        <v>2</v>
      </c>
      <c r="B9784" s="45" t="str">
        <f>INDEX(overview!$B$4:$R$338,MATCH('hydrogen - electrolysis'!B9779,overview!$A$4:$A$338,0),MATCH('hydrogen - electrolysis'!A9784,overview!$B$3:$R$3,0))</f>
        <v>1 kWh electricity</v>
      </c>
    </row>
    <row r="9785" spans="1:2" x14ac:dyDescent="0.2">
      <c r="A9785" t="s">
        <v>5</v>
      </c>
      <c r="B9785" s="45" t="str">
        <f>INDEX(overview!$B$4:$R$338,MATCH('hydrogen - electrolysis'!B9779,overview!$A$4:$A$338,0),MATCH('hydrogen - electrolysis'!A9785,overview!$B$3:$R$3,0))</f>
        <v>hydrogen</v>
      </c>
    </row>
    <row r="9786" spans="1:2" x14ac:dyDescent="0.2">
      <c r="A9786" t="s">
        <v>3</v>
      </c>
      <c r="B9786" s="45" t="str">
        <f>INDEX(overview!$B$4:$R$338,MATCH('hydrogen - electrolysis'!B9779,overview!$A$4:$A$338,0),MATCH('hydrogen - electrolysis'!A9786,overview!$B$3:$R$3,0))</f>
        <v>combustion</v>
      </c>
    </row>
    <row r="9787" spans="1:2" x14ac:dyDescent="0.2">
      <c r="A9787" t="s">
        <v>6</v>
      </c>
      <c r="B9787" s="45" t="str">
        <f>INDEX(overview!$B$4:$R$338,MATCH('hydrogen - electrolysis'!B9779,overview!$A$4:$A$338,0),MATCH('hydrogen - electrolysis'!A9787,overview!$B$3:$R$3,0))</f>
        <v>CHP</v>
      </c>
    </row>
    <row r="9788" spans="1:2" x14ac:dyDescent="0.2">
      <c r="A9788" t="s">
        <v>39</v>
      </c>
      <c r="B9788" s="45" t="str">
        <f>INDEX(overview!$B$4:$R$338,MATCH('hydrogen - electrolysis'!B9779,overview!$A$4:$A$338,0),MATCH('hydrogen - electrolysis'!A9788,overview!$B$3:$R$3,0))</f>
        <v>exergy</v>
      </c>
    </row>
    <row r="9789" spans="1:2" x14ac:dyDescent="0.2">
      <c r="A9789" t="s">
        <v>4</v>
      </c>
      <c r="B9789" s="45" t="str">
        <f>INDEX(overview!$B$4:$R$338,MATCH('hydrogen - electrolysis'!B9779,overview!$A$4:$A$338,0),MATCH('hydrogen - electrolysis'!A9789,overview!$B$3:$R$3,0))</f>
        <v>train</v>
      </c>
    </row>
    <row r="9790" spans="1:2" x14ac:dyDescent="0.2">
      <c r="A9790" t="s">
        <v>38</v>
      </c>
      <c r="B9790" s="45">
        <f>INDEX(overview!$B$4:$R$338,MATCH('hydrogen - electrolysis'!B9779,overview!$A$4:$A$338,0),MATCH('hydrogen - electrolysis'!A9790,overview!$B$3:$R$3,0))</f>
        <v>1300</v>
      </c>
    </row>
    <row r="9791" spans="1:2" x14ac:dyDescent="0.2">
      <c r="A9791" t="s">
        <v>12</v>
      </c>
      <c r="B9791" s="45" t="str">
        <f>INDEX(overview!$B$4:$R$338,MATCH('hydrogen - electrolysis'!B9779,overview!$A$4:$A$338,0),MATCH('hydrogen - electrolysis'!A9791,overview!$B$3:$R$3,0))</f>
        <v>Pressure vessel for stationary storage</v>
      </c>
    </row>
    <row r="9792" spans="1:2" x14ac:dyDescent="0.2">
      <c r="A9792" t="s">
        <v>34</v>
      </c>
      <c r="B9792" s="45">
        <f>INDEX(overview!$B$4:$R$338,MATCH('hydrogen - electrolysis'!B9779,overview!$A$4:$A$338,0),MATCH('hydrogen - electrolysis'!A9792,overview!$B$3:$R$3,0))</f>
        <v>0</v>
      </c>
    </row>
    <row r="9793" spans="1:2" x14ac:dyDescent="0.2">
      <c r="A9793" t="s">
        <v>15</v>
      </c>
      <c r="B9793" s="45" t="str">
        <f>INDEX(overview!$B$4:$R$338,MATCH('hydrogen - electrolysis'!B9779,overview!$A$4:$A$338,0),MATCH('hydrogen - electrolysis'!A9793,overview!$B$3:$R$3,0))</f>
        <v>Electrolysis, SOEC</v>
      </c>
    </row>
    <row r="9794" spans="1:2" x14ac:dyDescent="0.2">
      <c r="A9794" t="s">
        <v>14</v>
      </c>
      <c r="B9794" s="45" t="str">
        <f>INDEX(overview!$B$4:$R$338,MATCH('hydrogen - electrolysis'!B9779,overview!$A$4:$A$338,0),MATCH('hydrogen - electrolysis'!A9794,overview!$B$3:$R$3,0))</f>
        <v>water and electricity</v>
      </c>
    </row>
    <row r="9795" spans="1:2" x14ac:dyDescent="0.2">
      <c r="A9795" t="s">
        <v>26</v>
      </c>
      <c r="B9795" s="45" t="str">
        <f>INDEX(overview!$B$4:$R$338,MATCH('hydrogen - electrolysis'!B9779,overview!$A$4:$A$338,0),MATCH('hydrogen - electrolysis'!A9795,overview!$B$3:$R$3,0))</f>
        <v>Wind (DK)</v>
      </c>
    </row>
    <row r="9796" spans="1:2" x14ac:dyDescent="0.2">
      <c r="A9796" t="s">
        <v>29</v>
      </c>
      <c r="B9796" s="45">
        <f>INDEX(overview!$B$4:$R$338,MATCH('hydrogen - electrolysis'!B9779,overview!$A$4:$A$338,0),MATCH('hydrogen - electrolysis'!A9796,overview!$B$3:$R$3,0))</f>
        <v>0</v>
      </c>
    </row>
    <row r="9797" spans="1:2" x14ac:dyDescent="0.2">
      <c r="A9797" t="str">
        <f>IF(B9781="megajoule","Heat","Electricity")&amp;" conversion efficiency [% LHV input]"</f>
        <v>Electricity conversion efficiency [% LHV input]</v>
      </c>
      <c r="B9797" s="46">
        <f>INDEX(parameters!$D$4:$N$20,MATCH('hydrogen - electrolysis'!B9785&amp;'hydrogen - electrolysis'!B9787,parameters!$A$4:$A$20,0),MATCH('hydrogen - electrolysis'!A9797,parameters!$D$3:$N$3,0))</f>
        <v>0.39400000000000002</v>
      </c>
    </row>
    <row r="9798" spans="1:2" x14ac:dyDescent="0.2">
      <c r="A9798" t="str">
        <f>IF(B9781="megajoule","LHV [MJ/kg]","LHV [kWh/kg]")</f>
        <v>LHV [kWh/kg]</v>
      </c>
      <c r="B9798" s="47">
        <f>INDEX(parameters!$D$4:$N$20,MATCH('hydrogen - electrolysis'!B9785&amp;'hydrogen - electrolysis'!B9787,parameters!$A$4:$A$20,0),MATCH('hydrogen - electrolysis'!A9798,parameters!$D$3:$N$3,0))</f>
        <v>33.333333333333336</v>
      </c>
    </row>
    <row r="9799" spans="1:2" x14ac:dyDescent="0.2">
      <c r="A9799" t="s">
        <v>41</v>
      </c>
      <c r="B9799" s="48">
        <f>INDEX(parameters!$D$4:$N$20,MATCH('hydrogen - electrolysis'!B9785&amp;'hydrogen - electrolysis'!B9787,parameters!$A$4:$A$20,0),MATCH('hydrogen - electrolysis'!A9799,parameters!$D$3:$N$3,0))</f>
        <v>2.6666666666666665E-2</v>
      </c>
    </row>
    <row r="9800" spans="1:2" x14ac:dyDescent="0.2">
      <c r="A9800" t="s">
        <v>45</v>
      </c>
      <c r="B9800" s="46">
        <f>INDEX(parameters!$D$4:$N$20,MATCH('hydrogen - electrolysis'!B9785&amp;'hydrogen - electrolysis'!B9787,parameters!$A$4:$A$20,0),MATCH('hydrogen - electrolysis'!A9800,parameters!$D$3:$N$3,0))</f>
        <v>0</v>
      </c>
    </row>
    <row r="9801" spans="1:2" x14ac:dyDescent="0.2">
      <c r="A9801" t="s">
        <v>46</v>
      </c>
      <c r="B9801" s="46">
        <f>INDEX(parameters!$D$4:$N$20,MATCH('hydrogen - electrolysis'!B9785&amp;'hydrogen - electrolysis'!B9787,parameters!$A$4:$A$20,0),MATCH('hydrogen - electrolysis'!A9801,parameters!$D$3:$N$3,0))</f>
        <v>1.4999999999999999E-2</v>
      </c>
    </row>
    <row r="9802" spans="1:2" x14ac:dyDescent="0.2">
      <c r="A9802" t="s">
        <v>43</v>
      </c>
      <c r="B9802" s="46">
        <f>INDEX(parameters!$D$4:$N$20,MATCH('hydrogen - electrolysis'!B9785&amp;'hydrogen - electrolysis'!B9787,parameters!$A$4:$A$20,0),MATCH('hydrogen - electrolysis'!A9802,parameters!$D$3:$N$3,0))</f>
        <v>0</v>
      </c>
    </row>
    <row r="9803" spans="1:2" x14ac:dyDescent="0.2">
      <c r="A9803" t="s">
        <v>44</v>
      </c>
      <c r="B9803" s="46">
        <f>INDEX(parameters!$D$4:$N$20,MATCH('hydrogen - electrolysis'!B9785&amp;'hydrogen - electrolysis'!B9787,parameters!$A$4:$A$20,0),MATCH('hydrogen - electrolysis'!A9803,parameters!$D$3:$N$3,0))</f>
        <v>0</v>
      </c>
    </row>
    <row r="9804" spans="1:2" x14ac:dyDescent="0.2">
      <c r="A9804" t="s">
        <v>634</v>
      </c>
      <c r="B9804" s="51">
        <f>INDEX(parameters!$D$4:$Y$20,MATCH('hydrogen - electrolysis'!B9785&amp;'hydrogen - electrolysis'!B9787,parameters!$A$4:$A$20,0),MATCH('hydrogen - electrolysis'!A9804,parameters!$D$3:$Y$3,0))</f>
        <v>351.41800246609125</v>
      </c>
    </row>
    <row r="9805" spans="1:2" x14ac:dyDescent="0.2">
      <c r="A9805" t="s">
        <v>82</v>
      </c>
      <c r="B9805" s="46">
        <f>IF(B9796&lt;&gt;0,VLOOKUP(B9796,parameters!A6202:B6204,2,0),0)</f>
        <v>0</v>
      </c>
    </row>
    <row r="9806" spans="1:2" x14ac:dyDescent="0.2">
      <c r="A9806" t="s">
        <v>548</v>
      </c>
      <c r="B9806" s="50">
        <f>INDEX(parameters!$D$4:$P$20,MATCH(B9785&amp;B9787,parameters!$A$4:$A$20,0),MATCH(A9806,parameters!$D$3:$P$3,0))</f>
        <v>125</v>
      </c>
    </row>
    <row r="9807" spans="1:2" x14ac:dyDescent="0.2">
      <c r="A9807" t="s">
        <v>547</v>
      </c>
      <c r="B9807" s="51">
        <f>INDEX(parameters!$D$4:$P$20,MATCH(B9785&amp;B9787,parameters!$A$4:$A$20,0),MATCH(A9807,parameters!$D$3:$P$3,0))</f>
        <v>19.512195121951219</v>
      </c>
    </row>
    <row r="9808" spans="1:2" x14ac:dyDescent="0.2">
      <c r="A9808" t="s">
        <v>630</v>
      </c>
      <c r="B9808" s="51">
        <f>INDEX(parameters!$D$4:$T$20,MATCH(B9785&amp;B9787,parameters!$A$4:$A$20,0),MATCH(A9808,parameters!$D$3:$T$3,0))</f>
        <v>4100</v>
      </c>
    </row>
    <row r="9809" spans="1:22" x14ac:dyDescent="0.2">
      <c r="A9809" t="s">
        <v>1005</v>
      </c>
      <c r="B9809" s="50">
        <f>IF(B9781="megajoule",SUMIFS(allocation!$I$4:$I$30,allocation!$B$4:$B$30,B9787,allocation!$C$4:$C$30,B9788),SUMIFS(allocation!$J$4:$J$30,allocation!$B$4:$B$30,B9787,allocation!$C$4:$C$30,B9788))</f>
        <v>0.87139957772704957</v>
      </c>
    </row>
    <row r="9810" spans="1:22" x14ac:dyDescent="0.2">
      <c r="A9810" t="s">
        <v>1050</v>
      </c>
      <c r="B9810" s="51">
        <f>INDEX(parameters!$D$4:$AB$20,MATCH(B9785&amp;B9787,parameters!$A$4:$A$20,0),MATCH(A9810,parameters!$D$3:$AB$3,0))</f>
        <v>2220.7364520822662</v>
      </c>
    </row>
    <row r="9812" spans="1:22" x14ac:dyDescent="0.2">
      <c r="A9812" s="3" t="s">
        <v>57</v>
      </c>
    </row>
    <row r="9813" spans="1:22" x14ac:dyDescent="0.2">
      <c r="A9813" s="2" t="s">
        <v>58</v>
      </c>
      <c r="B9813" s="44" t="s">
        <v>59</v>
      </c>
      <c r="C9813" s="2" t="s">
        <v>55</v>
      </c>
      <c r="D9813" s="2" t="s">
        <v>60</v>
      </c>
      <c r="E9813" s="2" t="s">
        <v>52</v>
      </c>
      <c r="F9813" s="2" t="s">
        <v>61</v>
      </c>
      <c r="G9813" s="2" t="s">
        <v>54</v>
      </c>
      <c r="H9813" s="2" t="s">
        <v>87</v>
      </c>
      <c r="I9813" s="2" t="s">
        <v>51</v>
      </c>
      <c r="J9813" s="2" t="s">
        <v>138</v>
      </c>
      <c r="K9813" s="2" t="s">
        <v>136</v>
      </c>
      <c r="L9813" s="2" t="s">
        <v>221</v>
      </c>
      <c r="M9813" s="2" t="s">
        <v>379</v>
      </c>
      <c r="N9813" s="2" t="s">
        <v>1059</v>
      </c>
      <c r="O9813" s="2" t="s">
        <v>1060</v>
      </c>
      <c r="P9813" s="2" t="s">
        <v>1061</v>
      </c>
      <c r="Q9813" s="2" t="s">
        <v>1062</v>
      </c>
      <c r="R9813" s="2" t="s">
        <v>1063</v>
      </c>
      <c r="S9813" s="2" t="s">
        <v>1064</v>
      </c>
      <c r="T9813" s="2" t="s">
        <v>1065</v>
      </c>
      <c r="U9813" s="2" t="s">
        <v>380</v>
      </c>
      <c r="V9813" s="2" t="s">
        <v>1128</v>
      </c>
    </row>
    <row r="9814" spans="1:22" x14ac:dyDescent="0.2">
      <c r="A9814" t="str">
        <f>B9775</f>
        <v>electricity, residential, by combustion of hydrogen using CHP, allocated by exergy, transported by train, produced by Electrolysis, SOEC using water and electricity from Wind (DK)</v>
      </c>
      <c r="B9814" s="45">
        <v>1</v>
      </c>
      <c r="C9814" t="str">
        <f>B9781</f>
        <v>kilowatt hour</v>
      </c>
      <c r="E9814" t="str">
        <f>B9778</f>
        <v>CH</v>
      </c>
      <c r="F9814" t="s">
        <v>62</v>
      </c>
      <c r="G9814" t="str">
        <f>B9780</f>
        <v>electricity, from residential heating system</v>
      </c>
      <c r="K9814" t="str">
        <f>B9775</f>
        <v>electricity, residential, by combustion of hydrogen using CHP, allocated by exergy, transported by train, produced by Electrolysis, SOEC using water and electricity from Wind (DK)</v>
      </c>
    </row>
    <row r="9815" spans="1:22" x14ac:dyDescent="0.2">
      <c r="A9815" t="str">
        <f>VLOOKUP(J9815,'dataset mapping'!$A$4:$E$69,2,0)</f>
        <v>heat and power co-generation unit construction, 160kW electrical, common components for heat+electricity</v>
      </c>
      <c r="B9815" s="52">
        <f>(1/(B9804*B9808*B9807))*B9809</f>
        <v>3.0995835856870056E-8</v>
      </c>
      <c r="C9815" t="str">
        <f>VLOOKUP(J9815,'dataset mapping'!$A$4:$E$69,5,0)</f>
        <v>unit</v>
      </c>
      <c r="E9815" t="str">
        <f>VLOOKUP(J9815,'dataset mapping'!$A$4:$E$69,4,0)</f>
        <v>RER</v>
      </c>
      <c r="F9815" t="s">
        <v>86</v>
      </c>
      <c r="G9815" t="str">
        <f>VLOOKUP(J9815,'dataset mapping'!$A$4:$E$69,3,0)</f>
        <v>heat and power co-generation unit, 160kW electrical, common components for heat+electricity</v>
      </c>
      <c r="H9815" t="s">
        <v>88</v>
      </c>
      <c r="J9815" t="s">
        <v>145</v>
      </c>
      <c r="K9815" t="str">
        <f>B9775</f>
        <v>electricity, residential, by combustion of hydrogen using CHP, allocated by exergy, transported by train, produced by Electrolysis, SOEC using water and electricity from Wind (DK)</v>
      </c>
      <c r="L9815">
        <f t="shared" ref="L9815:L9824" si="421">IF(OR(B9815&lt;0,B9815=0),1,2)</f>
        <v>2</v>
      </c>
      <c r="M9815">
        <f t="shared" ref="M9815:M9824" si="422">IF(L9815=2,LN(B9815),"")</f>
        <v>-17.28941296868171</v>
      </c>
      <c r="N9815">
        <v>1.05</v>
      </c>
      <c r="O9815" s="15">
        <v>1.2</v>
      </c>
      <c r="P9815">
        <v>1</v>
      </c>
      <c r="Q9815">
        <v>1.01</v>
      </c>
      <c r="R9815">
        <v>1.2</v>
      </c>
      <c r="S9815">
        <v>1.2</v>
      </c>
      <c r="T9815">
        <v>3</v>
      </c>
      <c r="U9815">
        <f t="shared" ref="U9815:U9824" si="423">LN(SQRT(EXP(
SQRT(
+POWER(LN(N9815),2)
+POWER(LN(O9815),2)
+POWER(LN(P9815),2)
+POWER(LN(Q9815),2)
+POWER(LN(R9815),2)
+POWER(LN(S9815),2)
+POWER(LN(T9815),2)
)
)))</f>
        <v>0.57209088006881903</v>
      </c>
    </row>
    <row r="9816" spans="1:22" x14ac:dyDescent="0.2">
      <c r="A9816" t="str">
        <f>VLOOKUP(J9816,'dataset mapping'!$A$4:$E$69,2,0)</f>
        <v>heat and power co-generation unit construction, 160kW electrical, components for electricity only</v>
      </c>
      <c r="B9816" s="52">
        <f>(1/(B9804*B9808*B9807))*B9809</f>
        <v>3.0995835856870056E-8</v>
      </c>
      <c r="C9816" t="str">
        <f>VLOOKUP(J9816,'dataset mapping'!$A$4:$E$69,5,0)</f>
        <v>unit</v>
      </c>
      <c r="E9816" t="str">
        <f>VLOOKUP(J9816,'dataset mapping'!$A$4:$E$69,4,0)</f>
        <v>RER</v>
      </c>
      <c r="F9816" t="s">
        <v>86</v>
      </c>
      <c r="G9816" t="str">
        <f>VLOOKUP(J9816,'dataset mapping'!$A$4:$E$69,3,0)</f>
        <v>heat and power co-generation unit, 160kW electrical, components for electricity only</v>
      </c>
      <c r="H9816" t="s">
        <v>88</v>
      </c>
      <c r="J9816" t="s">
        <v>146</v>
      </c>
      <c r="K9816" t="str">
        <f>B9775</f>
        <v>electricity, residential, by combustion of hydrogen using CHP, allocated by exergy, transported by train, produced by Electrolysis, SOEC using water and electricity from Wind (DK)</v>
      </c>
      <c r="L9816">
        <f t="shared" si="421"/>
        <v>2</v>
      </c>
      <c r="M9816">
        <f t="shared" si="422"/>
        <v>-17.28941296868171</v>
      </c>
      <c r="N9816">
        <v>1.05</v>
      </c>
      <c r="O9816" s="15">
        <v>1.2</v>
      </c>
      <c r="P9816">
        <v>1</v>
      </c>
      <c r="Q9816">
        <v>1.01</v>
      </c>
      <c r="R9816">
        <v>1.2</v>
      </c>
      <c r="S9816">
        <v>1.2</v>
      </c>
      <c r="T9816">
        <v>3</v>
      </c>
      <c r="U9816">
        <f t="shared" si="423"/>
        <v>0.57209088006881903</v>
      </c>
    </row>
    <row r="9817" spans="1:22" x14ac:dyDescent="0.2">
      <c r="A9817" t="str">
        <f>VLOOKUP(J9817,'dataset mapping'!$A$4:$E$69,2,0)</f>
        <v>heat and power co-generation unit construction, 160kW electrical, components for heat only</v>
      </c>
      <c r="B9817" s="52">
        <f>(1/(B9804*B9808*B9807))*B9809</f>
        <v>3.0995835856870056E-8</v>
      </c>
      <c r="C9817" t="str">
        <f>VLOOKUP(J9817,'dataset mapping'!$A$4:$E$69,5,0)</f>
        <v>unit</v>
      </c>
      <c r="E9817" t="str">
        <f>VLOOKUP(J9817,'dataset mapping'!$A$4:$E$69,4,0)</f>
        <v>RER</v>
      </c>
      <c r="F9817" t="s">
        <v>86</v>
      </c>
      <c r="G9817" t="str">
        <f>VLOOKUP(J9817,'dataset mapping'!$A$4:$E$69,3,0)</f>
        <v>heat and power co-generation unit, 160kW electrical, components for heat only</v>
      </c>
      <c r="H9817" t="s">
        <v>88</v>
      </c>
      <c r="J9817" t="s">
        <v>147</v>
      </c>
      <c r="K9817" t="str">
        <f>B9775</f>
        <v>electricity, residential, by combustion of hydrogen using CHP, allocated by exergy, transported by train, produced by Electrolysis, SOEC using water and electricity from Wind (DK)</v>
      </c>
      <c r="L9817">
        <f t="shared" si="421"/>
        <v>2</v>
      </c>
      <c r="M9817">
        <f t="shared" si="422"/>
        <v>-17.28941296868171</v>
      </c>
      <c r="N9817">
        <v>1.05</v>
      </c>
      <c r="O9817" s="15">
        <v>1.2</v>
      </c>
      <c r="P9817">
        <v>1</v>
      </c>
      <c r="Q9817">
        <v>1.01</v>
      </c>
      <c r="R9817">
        <v>1.2</v>
      </c>
      <c r="S9817">
        <v>1.2</v>
      </c>
      <c r="T9817">
        <v>3</v>
      </c>
      <c r="U9817">
        <f t="shared" si="423"/>
        <v>0.57209088006881903</v>
      </c>
    </row>
    <row r="9818" spans="1:22" x14ac:dyDescent="0.2">
      <c r="A9818" t="s">
        <v>156</v>
      </c>
      <c r="B9818" s="52">
        <f>0.00000011366*B9809</f>
        <v>9.9043276004456456E-8</v>
      </c>
      <c r="C9818" t="s">
        <v>56</v>
      </c>
      <c r="E9818" t="s">
        <v>90</v>
      </c>
      <c r="F9818" t="s">
        <v>86</v>
      </c>
      <c r="G9818" t="s">
        <v>154</v>
      </c>
      <c r="H9818" t="s">
        <v>155</v>
      </c>
      <c r="K9818" t="str">
        <f>B9775</f>
        <v>electricity, residential, by combustion of hydrogen using CHP, allocated by exergy, transported by train, produced by Electrolysis, SOEC using water and electricity from Wind (DK)</v>
      </c>
      <c r="L9818">
        <f t="shared" si="421"/>
        <v>2</v>
      </c>
      <c r="M9818">
        <f t="shared" si="422"/>
        <v>-16.127708950967754</v>
      </c>
      <c r="N9818">
        <v>1.05</v>
      </c>
      <c r="O9818" s="15">
        <v>1.2</v>
      </c>
      <c r="P9818">
        <v>1</v>
      </c>
      <c r="Q9818">
        <v>1.01</v>
      </c>
      <c r="R9818">
        <v>1.2</v>
      </c>
      <c r="S9818">
        <v>1.2</v>
      </c>
      <c r="T9818">
        <v>1.05</v>
      </c>
      <c r="U9818">
        <f t="shared" si="423"/>
        <v>0.16169679924070957</v>
      </c>
    </row>
    <row r="9819" spans="1:22" x14ac:dyDescent="0.2">
      <c r="A9819" t="s">
        <v>157</v>
      </c>
      <c r="B9819" s="52">
        <f>0.00000011366*B9809*-1</f>
        <v>-9.9043276004456456E-8</v>
      </c>
      <c r="C9819" t="s">
        <v>56</v>
      </c>
      <c r="E9819" t="s">
        <v>64</v>
      </c>
      <c r="F9819" t="s">
        <v>86</v>
      </c>
      <c r="G9819" t="s">
        <v>158</v>
      </c>
      <c r="H9819" t="s">
        <v>155</v>
      </c>
      <c r="K9819" t="str">
        <f>B9775</f>
        <v>electricity, residential, by combustion of hydrogen using CHP, allocated by exergy, transported by train, produced by Electrolysis, SOEC using water and electricity from Wind (DK)</v>
      </c>
      <c r="L9819">
        <v>2</v>
      </c>
      <c r="M9819">
        <f>IF(L9819=2,LN(B9819*-1),"")</f>
        <v>-16.127708950967754</v>
      </c>
      <c r="N9819">
        <v>1.05</v>
      </c>
      <c r="O9819" s="15">
        <v>1.2</v>
      </c>
      <c r="P9819">
        <v>1</v>
      </c>
      <c r="Q9819">
        <v>1.01</v>
      </c>
      <c r="R9819">
        <v>1.2</v>
      </c>
      <c r="S9819">
        <v>1.2</v>
      </c>
      <c r="T9819">
        <v>3</v>
      </c>
      <c r="U9819">
        <f>LN(SQRT(EXP(
SQRT(
+POWER(LN(N9819),2)
+POWER(LN(O9819),2)
+POWER(LN(P9819),2)
+POWER(LN(Q9819),2)
+POWER(LN(R9819),2)
+POWER(LN(S9819),2)
+POWER(LN(T9819),2)
)
)))</f>
        <v>0.57209088006881903</v>
      </c>
      <c r="V9819" t="b">
        <v>1</v>
      </c>
    </row>
    <row r="9820" spans="1:22" x14ac:dyDescent="0.2">
      <c r="A9820" s="45" t="str">
        <f>"hydrogen supply, transported by "&amp;B9789&amp;", produced by "&amp;B9793&amp;" using "&amp;B9794&amp;" from "&amp;B9795</f>
        <v>hydrogen supply, transported by train, produced by Electrolysis, SOEC using water and electricity from Wind (DK)</v>
      </c>
      <c r="B9820" s="53">
        <f>(B9814/B9798)/B9797*B9809</f>
        <v>6.6350221654343872E-2</v>
      </c>
      <c r="C9820" t="s">
        <v>56</v>
      </c>
      <c r="E9820" t="s">
        <v>64</v>
      </c>
      <c r="F9820" t="s">
        <v>86</v>
      </c>
      <c r="G9820" t="str">
        <f>"hydrogen, gaseous, from "&amp;B9789</f>
        <v>hydrogen, gaseous, from train</v>
      </c>
      <c r="H9820" t="s">
        <v>76</v>
      </c>
      <c r="I9820" t="s">
        <v>1054</v>
      </c>
      <c r="J9820" t="s">
        <v>304</v>
      </c>
      <c r="K9820" t="str">
        <f>B9775</f>
        <v>electricity, residential, by combustion of hydrogen using CHP, allocated by exergy, transported by train, produced by Electrolysis, SOEC using water and electricity from Wind (DK)</v>
      </c>
      <c r="L9820">
        <f t="shared" si="421"/>
        <v>2</v>
      </c>
      <c r="M9820">
        <f t="shared" si="422"/>
        <v>-2.7128081775260964</v>
      </c>
      <c r="N9820">
        <v>1.05</v>
      </c>
      <c r="O9820" s="15">
        <v>1.2</v>
      </c>
      <c r="P9820">
        <v>1</v>
      </c>
      <c r="Q9820">
        <v>1.01</v>
      </c>
      <c r="R9820">
        <v>1.2</v>
      </c>
      <c r="S9820">
        <v>1.2</v>
      </c>
      <c r="T9820">
        <v>1.05</v>
      </c>
      <c r="U9820">
        <f t="shared" si="423"/>
        <v>0.16169679924070957</v>
      </c>
    </row>
    <row r="9821" spans="1:22" x14ac:dyDescent="0.2">
      <c r="A9821" t="str">
        <f>VLOOKUP(J9821,'dataset mapping'!$A$4:$E$69,2,0)</f>
        <v>market for transport, freight train</v>
      </c>
      <c r="B9821" s="45">
        <f>SUM(B9820:B9820)/1000*B9790</f>
        <v>8.6255288150647036E-2</v>
      </c>
      <c r="C9821" t="str">
        <f>VLOOKUP(J9821,'dataset mapping'!$A$4:$E$69,5,0)</f>
        <v>ton kilometer</v>
      </c>
      <c r="E9821" t="str">
        <f>VLOOKUP(J9821,'dataset mapping'!$A$4:$E$69,4,0)</f>
        <v>CH</v>
      </c>
      <c r="F9821" t="s">
        <v>86</v>
      </c>
      <c r="G9821" t="str">
        <f>VLOOKUP(J9821,'dataset mapping'!$A$4:$E$69,3,0)</f>
        <v>transport, freight train</v>
      </c>
      <c r="H9821" t="s">
        <v>88</v>
      </c>
      <c r="I9821" t="s">
        <v>1051</v>
      </c>
      <c r="J9821" t="s">
        <v>295</v>
      </c>
      <c r="K9821" t="str">
        <f>B9775</f>
        <v>electricity, residential, by combustion of hydrogen using CHP, allocated by exergy, transported by train, produced by Electrolysis, SOEC using water and electricity from Wind (DK)</v>
      </c>
      <c r="L9821">
        <f t="shared" si="421"/>
        <v>2</v>
      </c>
      <c r="M9821">
        <f t="shared" si="422"/>
        <v>-2.4504439130586051</v>
      </c>
      <c r="N9821">
        <v>1.05</v>
      </c>
      <c r="O9821" s="15">
        <v>1.2</v>
      </c>
      <c r="P9821">
        <v>1</v>
      </c>
      <c r="Q9821">
        <v>1.01</v>
      </c>
      <c r="R9821">
        <v>1.2</v>
      </c>
      <c r="S9821">
        <v>1.2</v>
      </c>
      <c r="T9821">
        <v>2</v>
      </c>
      <c r="U9821">
        <f t="shared" si="423"/>
        <v>0.38165951885721477</v>
      </c>
    </row>
    <row r="9822" spans="1:22" x14ac:dyDescent="0.2">
      <c r="A9822" t="str">
        <f>VLOOKUP(J9822,'dataset mapping'!$A$4:$E$69,2,0)</f>
        <v>high pressure hydrogen storage tank</v>
      </c>
      <c r="B9822" s="52">
        <f>((B9810/10)/(B9808*B9804*20))*IF(B9809&lt;&gt;0,B9809,1)</f>
        <v>6.7154714683034044E-6</v>
      </c>
      <c r="C9822" t="str">
        <f>VLOOKUP(J9822,'dataset mapping'!$A$4:$E$69,5,0)</f>
        <v>kilogram</v>
      </c>
      <c r="E9822" t="str">
        <f>VLOOKUP(J9822,'dataset mapping'!$A$4:$E$69,4,0)</f>
        <v>GLO</v>
      </c>
      <c r="F9822" t="s">
        <v>86</v>
      </c>
      <c r="G9822" t="str">
        <f>VLOOKUP(J9822,'dataset mapping'!$A$4:$E$69,3,0)</f>
        <v>high pressure hydrogen storage tank</v>
      </c>
      <c r="H9822" t="s">
        <v>88</v>
      </c>
      <c r="I9822" t="s">
        <v>279</v>
      </c>
      <c r="J9822" t="s">
        <v>229</v>
      </c>
      <c r="K9822" t="str">
        <f>B9775</f>
        <v>electricity, residential, by combustion of hydrogen using CHP, allocated by exergy, transported by train, produced by Electrolysis, SOEC using water and electricity from Wind (DK)</v>
      </c>
      <c r="L9822">
        <f t="shared" si="421"/>
        <v>2</v>
      </c>
      <c r="M9822">
        <f t="shared" si="422"/>
        <v>-11.911096519239557</v>
      </c>
      <c r="N9822">
        <v>1.05</v>
      </c>
      <c r="O9822" s="15">
        <v>1.2</v>
      </c>
      <c r="P9822">
        <v>1</v>
      </c>
      <c r="Q9822">
        <v>1.01</v>
      </c>
      <c r="R9822">
        <v>1.2</v>
      </c>
      <c r="S9822">
        <v>1.2</v>
      </c>
      <c r="T9822">
        <v>3</v>
      </c>
      <c r="U9822">
        <f t="shared" si="423"/>
        <v>0.57209088006881903</v>
      </c>
    </row>
    <row r="9823" spans="1:22" x14ac:dyDescent="0.2">
      <c r="A9823" t="s">
        <v>134</v>
      </c>
      <c r="B9823" s="45">
        <f>B9820*9</f>
        <v>0.59715199488909487</v>
      </c>
      <c r="C9823" t="s">
        <v>56</v>
      </c>
      <c r="D9823" t="s">
        <v>100</v>
      </c>
      <c r="F9823" t="s">
        <v>99</v>
      </c>
      <c r="H9823" t="s">
        <v>131</v>
      </c>
      <c r="I9823" t="s">
        <v>1058</v>
      </c>
      <c r="K9823" t="str">
        <f>B9775</f>
        <v>electricity, residential, by combustion of hydrogen using CHP, allocated by exergy, transported by train, produced by Electrolysis, SOEC using water and electricity from Wind (DK)</v>
      </c>
      <c r="L9823">
        <f t="shared" si="421"/>
        <v>2</v>
      </c>
      <c r="M9823">
        <f t="shared" si="422"/>
        <v>-0.51558360018987692</v>
      </c>
      <c r="N9823">
        <v>1.05</v>
      </c>
      <c r="O9823" s="15">
        <v>1.2</v>
      </c>
      <c r="P9823">
        <v>1</v>
      </c>
      <c r="Q9823">
        <v>1.01</v>
      </c>
      <c r="R9823">
        <v>1.2</v>
      </c>
      <c r="S9823">
        <v>1.2</v>
      </c>
      <c r="T9823">
        <v>1.05</v>
      </c>
      <c r="U9823">
        <f t="shared" si="423"/>
        <v>0.16169679924070957</v>
      </c>
    </row>
    <row r="9824" spans="1:22" x14ac:dyDescent="0.2">
      <c r="A9824" t="s">
        <v>135</v>
      </c>
      <c r="B9824" s="45">
        <f>912.5/1000000*B9821</f>
        <v>7.8707950437465415E-5</v>
      </c>
      <c r="C9824" t="s">
        <v>56</v>
      </c>
      <c r="D9824" t="s">
        <v>100</v>
      </c>
      <c r="F9824" t="s">
        <v>99</v>
      </c>
      <c r="H9824" t="s">
        <v>131</v>
      </c>
      <c r="I9824" t="s">
        <v>1217</v>
      </c>
      <c r="K9824" t="str">
        <f>B9775</f>
        <v>electricity, residential, by combustion of hydrogen using CHP, allocated by exergy, transported by train, produced by Electrolysis, SOEC using water and electricity from Wind (DK)</v>
      </c>
      <c r="L9824">
        <f t="shared" si="421"/>
        <v>2</v>
      </c>
      <c r="M9824">
        <f t="shared" si="422"/>
        <v>-9.4497663855662335</v>
      </c>
      <c r="N9824">
        <v>1.05</v>
      </c>
      <c r="O9824" s="15">
        <v>1.2</v>
      </c>
      <c r="P9824">
        <v>1</v>
      </c>
      <c r="Q9824">
        <v>1.01</v>
      </c>
      <c r="R9824">
        <v>1.2</v>
      </c>
      <c r="S9824">
        <v>1.2</v>
      </c>
      <c r="T9824">
        <v>1.5</v>
      </c>
      <c r="U9824">
        <f t="shared" si="423"/>
        <v>0.25816898211842121</v>
      </c>
    </row>
    <row r="9826" spans="1:2" x14ac:dyDescent="0.2">
      <c r="A9826" s="2" t="s">
        <v>50</v>
      </c>
      <c r="B9826" s="44" t="str">
        <f>IF(B9832="megajoule","heat","electricity")&amp;", residential, by "&amp;B9837&amp;" of "&amp;B9836&amp;" using "&amp;B9838&amp;IF(B9839&lt;&gt;0,", allocated by "&amp;B9839,"")&amp;", transported by "&amp;B9840&amp;", produced by "&amp;B9844&amp;" using "&amp;B9845&amp;" from "&amp;B9846</f>
        <v>electricity, residential, by conversion of hydrogen using fuel cell, PEM, allocated by exergy, transported by train, produced by Electrolysis, SOEC using water and electricity from Wind (DK)</v>
      </c>
    </row>
    <row r="9827" spans="1:2" x14ac:dyDescent="0.2">
      <c r="A9827" t="s">
        <v>51</v>
      </c>
      <c r="B9827" s="45" t="str">
        <f>"This dataset represents the supply of 1 "&amp;IF(B9832="megajoule","megajoule of heat","kilowatt hour of electricity")&amp;" in a residence, by "&amp;B9836&amp;" "&amp;B9837&amp;" in a "&amp;B9838&amp;". "&amp;" The hydrogen is transported by "&amp;B9840&amp;" over "&amp;B9841&amp;" km from regional storage. "&amp;" The "&amp;B9836&amp;" is produced by  "&amp;B9844&amp;", with "&amp;B9845&amp;" from "&amp;B9846&amp;" as feedstock. "&amp;A9848&amp;": "&amp;(B9848*100)&amp;"%. "&amp;A9849&amp;": "&amp;B9849&amp;". "&amp;A9850&amp;": "&amp;B9850&amp;". "&amp;A9851&amp;": "&amp;(B9851*100)&amp;"%. "&amp;A9852&amp;": "&amp;(B9852*100)&amp;"%. "&amp;A9853&amp;": "&amp;(B9853*100)&amp;"%. "&amp;A9854&amp;": "&amp;B9854&amp;". "&amp;A9855&amp;": "&amp;B9855&amp;". "&amp;A9856&amp;": "&amp;(B9856*100)&amp;"%. "&amp;A9857&amp;": "&amp;B9857&amp;". "&amp;A9858&amp;": "&amp;B9858&amp;". "&amp;A9859&amp;": "&amp;B9859&amp;". "&amp;A9860&amp;": "&amp;B9860&amp;".  For more information, refer to: "&amp;B9828</f>
        <v>This dataset represents the supply of 1 kilowatt hour of electricity in a residence, by hydrogen conversion in a fuel cell, PEM.  The hydrogen is transported by train over 1300 km from regional storage.  The hydrogen is produced by  Electrolysis, SOEC, with water and electricity from Wind (DK)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and Bauer, C. Life Cycle Assessment of Power-to-X processes and associated electricity and heat applications in the residential sector. Paul Scherrer Institut, 2023.</v>
      </c>
    </row>
    <row r="9828" spans="1:2" x14ac:dyDescent="0.2">
      <c r="A9828" t="s">
        <v>63</v>
      </c>
      <c r="B9828" s="45" t="s">
        <v>1223</v>
      </c>
    </row>
    <row r="9829" spans="1:2" x14ac:dyDescent="0.2">
      <c r="A9829" t="s">
        <v>52</v>
      </c>
      <c r="B9829" s="45" t="s">
        <v>64</v>
      </c>
    </row>
    <row r="9830" spans="1:2" x14ac:dyDescent="0.2">
      <c r="A9830" t="s">
        <v>48</v>
      </c>
      <c r="B9830" s="45" t="s">
        <v>953</v>
      </c>
    </row>
    <row r="9831" spans="1:2" x14ac:dyDescent="0.2">
      <c r="A9831" t="s">
        <v>54</v>
      </c>
      <c r="B9831" s="45" t="str">
        <f>INDEX(overview!$B$4:$R$338,MATCH('hydrogen - electrolysis'!B9830,overview!$A$4:$A$338,0),MATCH('hydrogen - electrolysis'!A9831,overview!$B$3:$R$3,0))</f>
        <v>electricity, from residential heating system</v>
      </c>
    </row>
    <row r="9832" spans="1:2" x14ac:dyDescent="0.2">
      <c r="A9832" t="s">
        <v>55</v>
      </c>
      <c r="B9832" s="45" t="str">
        <f>INDEX(overview!$B$4:$R$338,MATCH('hydrogen - electrolysis'!B9830,overview!$A$4:$A$338,0),MATCH('hydrogen - electrolysis'!A9832,overview!$B$3:$R$3,0))</f>
        <v>kilowatt hour</v>
      </c>
    </row>
    <row r="9833" spans="1:2" x14ac:dyDescent="0.2">
      <c r="A9833" t="s">
        <v>0</v>
      </c>
      <c r="B9833" s="45" t="str">
        <f>INDEX(overview!$B$4:$R$338,MATCH('hydrogen - electrolysis'!B9830,overview!$A$4:$A$338,0),MATCH('hydrogen - electrolysis'!A9833,overview!$B$3:$R$3,0))</f>
        <v>Switzerland</v>
      </c>
    </row>
    <row r="9834" spans="1:2" x14ac:dyDescent="0.2">
      <c r="A9834" t="s">
        <v>1</v>
      </c>
      <c r="B9834" s="45">
        <f>INDEX(overview!$B$4:$R$338,MATCH('hydrogen - electrolysis'!B9830,overview!$A$4:$A$338,0),MATCH('hydrogen - electrolysis'!A9834,overview!$B$3:$R$3,0))</f>
        <v>2020</v>
      </c>
    </row>
    <row r="9835" spans="1:2" x14ac:dyDescent="0.2">
      <c r="A9835" t="s">
        <v>2</v>
      </c>
      <c r="B9835" s="45" t="str">
        <f>INDEX(overview!$B$4:$R$338,MATCH('hydrogen - electrolysis'!B9830,overview!$A$4:$A$338,0),MATCH('hydrogen - electrolysis'!A9835,overview!$B$3:$R$3,0))</f>
        <v>1 kWh electricity</v>
      </c>
    </row>
    <row r="9836" spans="1:2" x14ac:dyDescent="0.2">
      <c r="A9836" t="s">
        <v>5</v>
      </c>
      <c r="B9836" s="45" t="str">
        <f>INDEX(overview!$B$4:$R$338,MATCH('hydrogen - electrolysis'!B9830,overview!$A$4:$A$338,0),MATCH('hydrogen - electrolysis'!A9836,overview!$B$3:$R$3,0))</f>
        <v>hydrogen</v>
      </c>
    </row>
    <row r="9837" spans="1:2" x14ac:dyDescent="0.2">
      <c r="A9837" t="s">
        <v>3</v>
      </c>
      <c r="B9837" s="45" t="str">
        <f>INDEX(overview!$B$4:$R$338,MATCH('hydrogen - electrolysis'!B9830,overview!$A$4:$A$338,0),MATCH('hydrogen - electrolysis'!A9837,overview!$B$3:$R$3,0))</f>
        <v>conversion</v>
      </c>
    </row>
    <row r="9838" spans="1:2" x14ac:dyDescent="0.2">
      <c r="A9838" t="s">
        <v>6</v>
      </c>
      <c r="B9838" s="45" t="str">
        <f>INDEX(overview!$B$4:$R$338,MATCH('hydrogen - electrolysis'!B9830,overview!$A$4:$A$338,0),MATCH('hydrogen - electrolysis'!A9838,overview!$B$3:$R$3,0))</f>
        <v>fuel cell, PEM</v>
      </c>
    </row>
    <row r="9839" spans="1:2" x14ac:dyDescent="0.2">
      <c r="A9839" t="s">
        <v>39</v>
      </c>
      <c r="B9839" s="45" t="str">
        <f>INDEX(overview!$B$4:$R$338,MATCH('hydrogen - electrolysis'!B9830,overview!$A$4:$A$338,0),MATCH('hydrogen - electrolysis'!A9839,overview!$B$3:$R$3,0))</f>
        <v>exergy</v>
      </c>
    </row>
    <row r="9840" spans="1:2" x14ac:dyDescent="0.2">
      <c r="A9840" t="s">
        <v>4</v>
      </c>
      <c r="B9840" s="45" t="str">
        <f>INDEX(overview!$B$4:$R$338,MATCH('hydrogen - electrolysis'!B9830,overview!$A$4:$A$338,0),MATCH('hydrogen - electrolysis'!A9840,overview!$B$3:$R$3,0))</f>
        <v>train</v>
      </c>
    </row>
    <row r="9841" spans="1:2" x14ac:dyDescent="0.2">
      <c r="A9841" t="s">
        <v>38</v>
      </c>
      <c r="B9841" s="45">
        <f>INDEX(overview!$B$4:$R$338,MATCH('hydrogen - electrolysis'!B9830,overview!$A$4:$A$338,0),MATCH('hydrogen - electrolysis'!A9841,overview!$B$3:$R$3,0))</f>
        <v>1300</v>
      </c>
    </row>
    <row r="9842" spans="1:2" x14ac:dyDescent="0.2">
      <c r="A9842" t="s">
        <v>12</v>
      </c>
      <c r="B9842" s="45" t="str">
        <f>INDEX(overview!$B$4:$R$338,MATCH('hydrogen - electrolysis'!B9830,overview!$A$4:$A$338,0),MATCH('hydrogen - electrolysis'!A9842,overview!$B$3:$R$3,0))</f>
        <v>Pressure vessel for stationary storage</v>
      </c>
    </row>
    <row r="9843" spans="1:2" x14ac:dyDescent="0.2">
      <c r="A9843" t="s">
        <v>34</v>
      </c>
      <c r="B9843" s="45">
        <f>INDEX(overview!$B$4:$R$338,MATCH('hydrogen - electrolysis'!B9830,overview!$A$4:$A$338,0),MATCH('hydrogen - electrolysis'!A9843,overview!$B$3:$R$3,0))</f>
        <v>0</v>
      </c>
    </row>
    <row r="9844" spans="1:2" x14ac:dyDescent="0.2">
      <c r="A9844" t="s">
        <v>15</v>
      </c>
      <c r="B9844" s="45" t="str">
        <f>INDEX(overview!$B$4:$R$338,MATCH('hydrogen - electrolysis'!B9830,overview!$A$4:$A$338,0),MATCH('hydrogen - electrolysis'!A9844,overview!$B$3:$R$3,0))</f>
        <v>Electrolysis, SOEC</v>
      </c>
    </row>
    <row r="9845" spans="1:2" x14ac:dyDescent="0.2">
      <c r="A9845" t="s">
        <v>14</v>
      </c>
      <c r="B9845" s="45" t="str">
        <f>INDEX(overview!$B$4:$R$338,MATCH('hydrogen - electrolysis'!B9830,overview!$A$4:$A$338,0),MATCH('hydrogen - electrolysis'!A9845,overview!$B$3:$R$3,0))</f>
        <v>water and electricity</v>
      </c>
    </row>
    <row r="9846" spans="1:2" x14ac:dyDescent="0.2">
      <c r="A9846" t="s">
        <v>26</v>
      </c>
      <c r="B9846" s="45" t="str">
        <f>INDEX(overview!$B$4:$R$338,MATCH('hydrogen - electrolysis'!B9830,overview!$A$4:$A$338,0),MATCH('hydrogen - electrolysis'!A9846,overview!$B$3:$R$3,0))</f>
        <v>Wind (DK)</v>
      </c>
    </row>
    <row r="9847" spans="1:2" x14ac:dyDescent="0.2">
      <c r="A9847" t="s">
        <v>29</v>
      </c>
      <c r="B9847" s="45">
        <f>INDEX(overview!$B$4:$R$338,MATCH('hydrogen - electrolysis'!B9830,overview!$A$4:$A$338,0),MATCH('hydrogen - electrolysis'!A9847,overview!$B$3:$R$3,0))</f>
        <v>0</v>
      </c>
    </row>
    <row r="9848" spans="1:2" x14ac:dyDescent="0.2">
      <c r="A9848" t="str">
        <f>IF(B9832="megajoule","Heat","Electricity")&amp;" conversion efficiency [% LHV input]"</f>
        <v>Electricity conversion efficiency [% LHV input]</v>
      </c>
      <c r="B9848" s="46">
        <f>INDEX(parameters!$D$4:$N$20,MATCH('hydrogen - electrolysis'!B9836&amp;'hydrogen - electrolysis'!B9838,parameters!$A$4:$A$20,0),MATCH('hydrogen - electrolysis'!A9848,parameters!$D$3:$N$3,0))</f>
        <v>0.45</v>
      </c>
    </row>
    <row r="9849" spans="1:2" x14ac:dyDescent="0.2">
      <c r="A9849" t="str">
        <f>IF(B9832="megajoule","LHV [MJ/kg]","LHV [kWh/kg]")</f>
        <v>LHV [kWh/kg]</v>
      </c>
      <c r="B9849" s="47">
        <f>INDEX(parameters!$D$4:$N$20,MATCH('hydrogen - electrolysis'!B9836&amp;'hydrogen - electrolysis'!B9838,parameters!$A$4:$A$20,0),MATCH('hydrogen - electrolysis'!A9849,parameters!$D$3:$N$3,0))</f>
        <v>33.333333333333336</v>
      </c>
    </row>
    <row r="9850" spans="1:2" x14ac:dyDescent="0.2">
      <c r="A9850" t="s">
        <v>41</v>
      </c>
      <c r="B9850" s="48">
        <f>INDEX(parameters!$D$4:$N$20,MATCH('hydrogen - electrolysis'!B9836&amp;'hydrogen - electrolysis'!B9838,parameters!$A$4:$A$20,0),MATCH('hydrogen - electrolysis'!A9850,parameters!$D$3:$N$3,0))</f>
        <v>2.6666666666666665E-2</v>
      </c>
    </row>
    <row r="9851" spans="1:2" x14ac:dyDescent="0.2">
      <c r="A9851" t="s">
        <v>45</v>
      </c>
      <c r="B9851" s="46">
        <f>INDEX(parameters!$D$4:$N$20,MATCH('hydrogen - electrolysis'!B9836&amp;'hydrogen - electrolysis'!B9838,parameters!$A$4:$A$20,0),MATCH('hydrogen - electrolysis'!A9851,parameters!$D$3:$N$3,0))</f>
        <v>0</v>
      </c>
    </row>
    <row r="9852" spans="1:2" x14ac:dyDescent="0.2">
      <c r="A9852" t="s">
        <v>46</v>
      </c>
      <c r="B9852" s="46">
        <f>INDEX(parameters!$D$4:$N$20,MATCH('hydrogen - electrolysis'!B9836&amp;'hydrogen - electrolysis'!B9838,parameters!$A$4:$A$20,0),MATCH('hydrogen - electrolysis'!A9852,parameters!$D$3:$N$3,0))</f>
        <v>1.4999999999999999E-2</v>
      </c>
    </row>
    <row r="9853" spans="1:2" x14ac:dyDescent="0.2">
      <c r="A9853" t="s">
        <v>43</v>
      </c>
      <c r="B9853" s="46">
        <f>INDEX(parameters!$D$4:$N$20,MATCH('hydrogen - electrolysis'!B9836&amp;'hydrogen - electrolysis'!B9838,parameters!$A$4:$A$20,0),MATCH('hydrogen - electrolysis'!A9853,parameters!$D$3:$N$3,0))</f>
        <v>0</v>
      </c>
    </row>
    <row r="9854" spans="1:2" x14ac:dyDescent="0.2">
      <c r="A9854" t="s">
        <v>44</v>
      </c>
      <c r="B9854" s="46">
        <f>INDEX(parameters!$D$4:$N$20,MATCH('hydrogen - electrolysis'!B9836&amp;'hydrogen - electrolysis'!B9838,parameters!$A$4:$A$20,0),MATCH('hydrogen - electrolysis'!A9854,parameters!$D$3:$N$3,0))</f>
        <v>0</v>
      </c>
    </row>
    <row r="9855" spans="1:2" x14ac:dyDescent="0.2">
      <c r="A9855" t="s">
        <v>634</v>
      </c>
      <c r="B9855" s="51">
        <f>INDEX(parameters!$D$4:$Y$20,MATCH('hydrogen - electrolysis'!B9836&amp;'hydrogen - electrolysis'!B9838,parameters!$A$4:$A$20,0),MATCH('hydrogen - electrolysis'!A9855,parameters!$D$3:$Y$3,0))</f>
        <v>1.8947368421052633</v>
      </c>
    </row>
    <row r="9856" spans="1:2" x14ac:dyDescent="0.2">
      <c r="A9856" t="s">
        <v>82</v>
      </c>
      <c r="B9856" s="46">
        <f>IF(B9847&lt;&gt;0,VLOOKUP(B9847,parameters!A6255:B6257,2,0),0)</f>
        <v>0</v>
      </c>
    </row>
    <row r="9857" spans="1:22" x14ac:dyDescent="0.2">
      <c r="A9857" t="s">
        <v>548</v>
      </c>
      <c r="B9857" s="50">
        <f>INDEX(parameters!$D$4:$P$20,MATCH(B9836&amp;B9838,parameters!$A$4:$A$20,0),MATCH(A9857,parameters!$D$3:$P$3,0))</f>
        <v>0.8</v>
      </c>
    </row>
    <row r="9858" spans="1:22" x14ac:dyDescent="0.2">
      <c r="A9858" t="s">
        <v>547</v>
      </c>
      <c r="B9858" s="51">
        <f>INDEX(parameters!$D$4:$P$20,MATCH(B9836&amp;B9838,parameters!$A$4:$A$20,0),MATCH(A9858,parameters!$D$3:$P$3,0))</f>
        <v>4.8780487804878048</v>
      </c>
    </row>
    <row r="9859" spans="1:22" x14ac:dyDescent="0.2">
      <c r="A9859" t="s">
        <v>630</v>
      </c>
      <c r="B9859" s="51">
        <f>INDEX(parameters!$D$4:$T$20,MATCH(B9836&amp;B9838,parameters!$A$4:$A$20,0),MATCH(A9859,parameters!$D$3:$T$3,0))</f>
        <v>4100</v>
      </c>
    </row>
    <row r="9860" spans="1:22" x14ac:dyDescent="0.2">
      <c r="A9860" t="s">
        <v>1005</v>
      </c>
      <c r="B9860" s="50">
        <f>IF(B9832="megajoule",SUMIFS(allocation!$I$4:$I$30,allocation!$B$4:$B$30,B9838,allocation!$C$4:$C$30,B9839),SUMIFS(allocation!$J$4:$J$30,allocation!$B$4:$B$30,B9838,allocation!$C$4:$C$30,B9839))</f>
        <v>0.86066019201025545</v>
      </c>
    </row>
    <row r="9861" spans="1:22" x14ac:dyDescent="0.2">
      <c r="A9861" t="s">
        <v>1050</v>
      </c>
      <c r="B9861" s="51">
        <f>INDEX(parameters!$D$4:$AB$20,MATCH(B9836&amp;B9838,parameters!$A$4:$A$20,0),MATCH(A9861,parameters!$D$3:$AB$3,0))</f>
        <v>10.221606648199446</v>
      </c>
    </row>
    <row r="9863" spans="1:22" x14ac:dyDescent="0.2">
      <c r="A9863" s="3" t="s">
        <v>57</v>
      </c>
    </row>
    <row r="9864" spans="1:22" x14ac:dyDescent="0.2">
      <c r="A9864" s="2" t="s">
        <v>58</v>
      </c>
      <c r="B9864" s="44" t="s">
        <v>59</v>
      </c>
      <c r="C9864" s="2" t="s">
        <v>55</v>
      </c>
      <c r="D9864" s="2" t="s">
        <v>60</v>
      </c>
      <c r="E9864" s="2" t="s">
        <v>52</v>
      </c>
      <c r="F9864" s="2" t="s">
        <v>61</v>
      </c>
      <c r="G9864" s="2" t="s">
        <v>54</v>
      </c>
      <c r="H9864" s="2" t="s">
        <v>87</v>
      </c>
      <c r="I9864" s="2" t="s">
        <v>51</v>
      </c>
      <c r="J9864" s="2" t="s">
        <v>138</v>
      </c>
      <c r="K9864" s="2" t="s">
        <v>136</v>
      </c>
      <c r="L9864" s="2" t="s">
        <v>221</v>
      </c>
      <c r="M9864" s="2" t="s">
        <v>379</v>
      </c>
      <c r="N9864" s="2" t="s">
        <v>1059</v>
      </c>
      <c r="O9864" s="2" t="s">
        <v>1060</v>
      </c>
      <c r="P9864" s="2" t="s">
        <v>1061</v>
      </c>
      <c r="Q9864" s="2" t="s">
        <v>1062</v>
      </c>
      <c r="R9864" s="2" t="s">
        <v>1063</v>
      </c>
      <c r="S9864" s="2" t="s">
        <v>1064</v>
      </c>
      <c r="T9864" s="2" t="s">
        <v>1065</v>
      </c>
      <c r="U9864" s="2" t="s">
        <v>380</v>
      </c>
      <c r="V9864" s="2" t="s">
        <v>1128</v>
      </c>
    </row>
    <row r="9865" spans="1:22" x14ac:dyDescent="0.2">
      <c r="A9865" t="str">
        <f>B9826</f>
        <v>electricity, residential, by conversion of hydrogen using fuel cell, PEM, allocated by exergy, transported by train, produced by Electrolysis, SOEC using water and electricity from Wind (DK)</v>
      </c>
      <c r="B9865" s="45">
        <v>1</v>
      </c>
      <c r="C9865" t="str">
        <f>B9832</f>
        <v>kilowatt hour</v>
      </c>
      <c r="E9865" t="str">
        <f>B9829</f>
        <v>CH</v>
      </c>
      <c r="F9865" t="s">
        <v>62</v>
      </c>
      <c r="G9865" t="str">
        <f>B9831</f>
        <v>electricity, from residential heating system</v>
      </c>
      <c r="K9865" t="str">
        <f>B9826</f>
        <v>electricity, residential, by conversion of hydrogen using fuel cell, PEM, allocated by exergy, transported by train, produced by Electrolysis, SOEC using water and electricity from Wind (DK)</v>
      </c>
    </row>
    <row r="9866" spans="1:22" x14ac:dyDescent="0.2">
      <c r="A9866" t="str">
        <f>VLOOKUP(J9866,'dataset mapping'!$A$4:$E$69,2,0)</f>
        <v>fuel cell system assembly, 1 kWe, proton exchange membrane (PEM)</v>
      </c>
      <c r="B9866" s="52">
        <f>1/(80000)/0.5*SUMIFS(allocation!$I$4:$I$30,allocation!$B$4:$B$30,'hydrogen - electrolysis'!B9838,allocation!$C$4:$C$30,'hydrogen - electrolysis'!B9839)</f>
        <v>3.4834951997436147E-6</v>
      </c>
      <c r="C9866" t="str">
        <f>VLOOKUP(J9866,'dataset mapping'!$A$4:$E$69,5,0)</f>
        <v>unit</v>
      </c>
      <c r="E9866" t="str">
        <f>VLOOKUP(J9866,'dataset mapping'!$A$4:$E$69,4,0)</f>
        <v>GLO</v>
      </c>
      <c r="F9866" t="s">
        <v>86</v>
      </c>
      <c r="G9866" t="str">
        <f>VLOOKUP(J9866,'dataset mapping'!$A$4:$E$69,3,0)</f>
        <v>fuel cell system, 1 kWe, proton exchange membrane (PEM)</v>
      </c>
      <c r="H9866" t="s">
        <v>88</v>
      </c>
      <c r="I9866" t="s">
        <v>272</v>
      </c>
      <c r="J9866" t="s">
        <v>273</v>
      </c>
      <c r="K9866" t="str">
        <f>B9826</f>
        <v>electricity, residential, by conversion of hydrogen using fuel cell, PEM, allocated by exergy, transported by train, produced by Electrolysis, SOEC using water and electricity from Wind (DK)</v>
      </c>
      <c r="L9866">
        <f t="shared" ref="L9866:L9870" si="424">IF(OR(B9866&lt;0,B9866=0),1,2)</f>
        <v>2</v>
      </c>
      <c r="M9866">
        <f t="shared" ref="M9866:M9870" si="425">IF(L9866=2,LN(B9866),"")</f>
        <v>-12.567474400475287</v>
      </c>
      <c r="N9866">
        <v>1</v>
      </c>
      <c r="O9866" s="15">
        <v>1.2</v>
      </c>
      <c r="P9866">
        <v>1</v>
      </c>
      <c r="Q9866">
        <v>1.01</v>
      </c>
      <c r="R9866">
        <v>1.2</v>
      </c>
      <c r="S9866">
        <v>1.2</v>
      </c>
      <c r="T9866">
        <v>3</v>
      </c>
      <c r="U9866">
        <f t="shared" ref="U9866:U9870" si="426">LN(SQRT(EXP(
SQRT(
+POWER(LN(N9866),2)
+POWER(LN(O9866),2)
+POWER(LN(P9866),2)
+POWER(LN(Q9866),2)
+POWER(LN(R9866),2)
+POWER(LN(S9866),2)
+POWER(LN(T9866),2)
)
)))</f>
        <v>0.57157051623399524</v>
      </c>
    </row>
    <row r="9867" spans="1:22" x14ac:dyDescent="0.2">
      <c r="A9867" s="45" t="str">
        <f>"hydrogen supply, transported by "&amp;B9840&amp;", produced by "&amp;B9844&amp;" using "&amp;B9845&amp;" from "&amp;B9846</f>
        <v>hydrogen supply, transported by train, produced by Electrolysis, SOEC using water and electricity from Wind (DK)</v>
      </c>
      <c r="B9867" s="53">
        <f>(B9865/B9849)/B9848*B9860</f>
        <v>5.7377346134017029E-2</v>
      </c>
      <c r="C9867" t="s">
        <v>56</v>
      </c>
      <c r="E9867" t="s">
        <v>64</v>
      </c>
      <c r="F9867" t="s">
        <v>86</v>
      </c>
      <c r="G9867" t="str">
        <f>"hydrogen, gaseous, from "&amp;B9840</f>
        <v>hydrogen, gaseous, from train</v>
      </c>
      <c r="H9867" t="s">
        <v>76</v>
      </c>
      <c r="I9867" t="s">
        <v>1054</v>
      </c>
      <c r="J9867" t="s">
        <v>304</v>
      </c>
      <c r="K9867" t="str">
        <f>B9826</f>
        <v>electricity, residential, by conversion of hydrogen using fuel cell, PEM, allocated by exergy, transported by train, produced by Electrolysis, SOEC using water and electricity from Wind (DK)</v>
      </c>
      <c r="L9867">
        <f t="shared" si="424"/>
        <v>2</v>
      </c>
      <c r="M9867">
        <f t="shared" si="425"/>
        <v>-2.8581057202127536</v>
      </c>
      <c r="N9867">
        <v>1</v>
      </c>
      <c r="O9867" s="15">
        <v>1.2</v>
      </c>
      <c r="P9867">
        <v>1</v>
      </c>
      <c r="Q9867">
        <v>1.01</v>
      </c>
      <c r="R9867">
        <v>1.2</v>
      </c>
      <c r="S9867">
        <v>1.2</v>
      </c>
      <c r="T9867">
        <v>1.05</v>
      </c>
      <c r="U9867">
        <f t="shared" si="426"/>
        <v>0.15984597228197622</v>
      </c>
    </row>
    <row r="9868" spans="1:22" x14ac:dyDescent="0.2">
      <c r="A9868" t="str">
        <f>VLOOKUP(J9868,'dataset mapping'!$A$4:$E$69,2,0)</f>
        <v>market for transport, freight train</v>
      </c>
      <c r="B9868" s="45">
        <f>SUM(B9867:B9867)/1000*B9841*SUMIFS(allocation!$I$4:$I$30,allocation!$B$4:$B$30,'hydrogen - electrolysis'!B9838,allocation!$C$4:$C$30,'hydrogen - electrolysis'!B9839)</f>
        <v>1.039343291125756E-2</v>
      </c>
      <c r="C9868" t="str">
        <f>VLOOKUP(J9868,'dataset mapping'!$A$4:$E$69,5,0)</f>
        <v>ton kilometer</v>
      </c>
      <c r="E9868" t="str">
        <f>VLOOKUP(J9868,'dataset mapping'!$A$4:$E$69,4,0)</f>
        <v>CH</v>
      </c>
      <c r="F9868" t="s">
        <v>86</v>
      </c>
      <c r="G9868" t="str">
        <f>VLOOKUP(J9868,'dataset mapping'!$A$4:$E$69,3,0)</f>
        <v>transport, freight train</v>
      </c>
      <c r="H9868" t="s">
        <v>88</v>
      </c>
      <c r="I9868" t="s">
        <v>1051</v>
      </c>
      <c r="J9868" t="s">
        <v>295</v>
      </c>
      <c r="K9868" t="str">
        <f>B9826</f>
        <v>electricity, residential, by conversion of hydrogen using fuel cell, PEM, allocated by exergy, transported by train, produced by Electrolysis, SOEC using water and electricity from Wind (DK)</v>
      </c>
      <c r="L9868">
        <f t="shared" si="424"/>
        <v>2</v>
      </c>
      <c r="M9868">
        <f t="shared" si="425"/>
        <v>-4.5665811231244771</v>
      </c>
      <c r="N9868">
        <v>1</v>
      </c>
      <c r="O9868" s="15">
        <v>1.2</v>
      </c>
      <c r="P9868">
        <v>1</v>
      </c>
      <c r="Q9868">
        <v>1.01</v>
      </c>
      <c r="R9868">
        <v>1.2</v>
      </c>
      <c r="S9868">
        <v>1.2</v>
      </c>
      <c r="T9868">
        <v>2</v>
      </c>
      <c r="U9868">
        <f t="shared" si="426"/>
        <v>0.38087907307228186</v>
      </c>
    </row>
    <row r="9869" spans="1:22" x14ac:dyDescent="0.2">
      <c r="A9869" t="str">
        <f>VLOOKUP(J9869,'dataset mapping'!$A$4:$E$69,2,0)</f>
        <v>high pressure hydrogen storage tank</v>
      </c>
      <c r="B9869" s="52">
        <f>((B9861/10)/(B9859*B9855*20))*IF(B9860&lt;&gt;0,B9860,1)</f>
        <v>5.6622381053306285E-6</v>
      </c>
      <c r="C9869" t="str">
        <f>VLOOKUP(J9869,'dataset mapping'!$A$4:$E$69,5,0)</f>
        <v>kilogram</v>
      </c>
      <c r="E9869" t="str">
        <f>VLOOKUP(J9869,'dataset mapping'!$A$4:$E$69,4,0)</f>
        <v>GLO</v>
      </c>
      <c r="F9869" t="s">
        <v>86</v>
      </c>
      <c r="G9869" t="str">
        <f>VLOOKUP(J9869,'dataset mapping'!$A$4:$E$69,3,0)</f>
        <v>high pressure hydrogen storage tank</v>
      </c>
      <c r="H9869" t="s">
        <v>88</v>
      </c>
      <c r="I9869" t="s">
        <v>280</v>
      </c>
      <c r="J9869" t="s">
        <v>229</v>
      </c>
      <c r="K9869" t="str">
        <f>B9826</f>
        <v>electricity, residential, by conversion of hydrogen using fuel cell, PEM, allocated by exergy, transported by train, produced by Electrolysis, SOEC using water and electricity from Wind (DK)</v>
      </c>
      <c r="L9869">
        <f t="shared" si="424"/>
        <v>2</v>
      </c>
      <c r="M9869">
        <f t="shared" si="425"/>
        <v>-12.081691318938956</v>
      </c>
      <c r="N9869">
        <v>1</v>
      </c>
      <c r="O9869" s="15">
        <v>1.2</v>
      </c>
      <c r="P9869">
        <v>1</v>
      </c>
      <c r="Q9869">
        <v>1.01</v>
      </c>
      <c r="R9869">
        <v>1.2</v>
      </c>
      <c r="S9869">
        <v>1.2</v>
      </c>
      <c r="T9869">
        <v>3</v>
      </c>
      <c r="U9869">
        <f t="shared" si="426"/>
        <v>0.57157051623399524</v>
      </c>
    </row>
    <row r="9870" spans="1:22" x14ac:dyDescent="0.2">
      <c r="A9870" t="s">
        <v>134</v>
      </c>
      <c r="B9870" s="45">
        <f>B9867*9</f>
        <v>0.51639611520615325</v>
      </c>
      <c r="C9870" t="s">
        <v>56</v>
      </c>
      <c r="D9870" t="s">
        <v>100</v>
      </c>
      <c r="F9870" t="s">
        <v>99</v>
      </c>
      <c r="H9870" t="s">
        <v>131</v>
      </c>
      <c r="I9870" t="s">
        <v>1057</v>
      </c>
      <c r="K9870" t="str">
        <f>B9826</f>
        <v>electricity, residential, by conversion of hydrogen using fuel cell, PEM, allocated by exergy, transported by train, produced by Electrolysis, SOEC using water and electricity from Wind (DK)</v>
      </c>
      <c r="L9870">
        <f t="shared" si="424"/>
        <v>2</v>
      </c>
      <c r="M9870">
        <f t="shared" si="425"/>
        <v>-0.6608811428765341</v>
      </c>
      <c r="N9870">
        <v>1</v>
      </c>
      <c r="O9870" s="15">
        <v>1.2</v>
      </c>
      <c r="P9870">
        <v>1</v>
      </c>
      <c r="Q9870">
        <v>1.01</v>
      </c>
      <c r="R9870">
        <v>1.2</v>
      </c>
      <c r="S9870">
        <v>1.2</v>
      </c>
      <c r="T9870">
        <v>1.05</v>
      </c>
      <c r="U9870">
        <f t="shared" si="426"/>
        <v>0.15984597228197622</v>
      </c>
    </row>
    <row r="9872" spans="1:22" x14ac:dyDescent="0.2">
      <c r="A9872" s="2" t="s">
        <v>50</v>
      </c>
      <c r="B9872" s="44" t="str">
        <f>IF(B9878="megajoule","heat","electricity")&amp;", residential, by "&amp;B9883&amp;" of "&amp;B9882&amp;" using "&amp;B9884&amp;IF(B9885&lt;&gt;0,", allocated by "&amp;B9885,"")&amp;", transported by "&amp;B9886&amp;", produced by "&amp;B9890&amp;" using "&amp;B9891&amp;" from "&amp;B9892</f>
        <v>electricity, residential, by conversion of hydrogen using fuel cell, SOFC, allocated by exergy, transported by train, produced by Electrolysis, SOEC using water and electricity from Wind (DK)</v>
      </c>
    </row>
    <row r="9873" spans="1:2" x14ac:dyDescent="0.2">
      <c r="A9873" t="s">
        <v>51</v>
      </c>
      <c r="B9873" s="45" t="str">
        <f>"This dataset represents the supply of 1 "&amp;IF(B9878="megajoule","megajoule of heat","kilowatt hour of electricity")&amp;" in a residence, by "&amp;B9882&amp;" "&amp;B9883&amp;" in a "&amp;B9884&amp;". "&amp;" The hydrogen is transported by "&amp;B9886&amp;" over "&amp;B9887&amp;" km from regional storage. "&amp;" The "&amp;B9882&amp;" is produced by  "&amp;B9890&amp;", with "&amp;B9891&amp;" from "&amp;B9892&amp;" as feedstock. "&amp;A9894&amp;": "&amp;(B9894*100)&amp;"%. "&amp;A9895&amp;": "&amp;B9895&amp;". "&amp;A9896&amp;": "&amp;B9896&amp;". "&amp;A9897&amp;": "&amp;(B9897*100)&amp;"%. "&amp;A9898&amp;": "&amp;(B9898*100)&amp;"%. "&amp;A9899&amp;": "&amp;(B9899*100)&amp;"%. "&amp;A9900&amp;": "&amp;B9900&amp;". "&amp;A9901&amp;": "&amp;B9901&amp;". "&amp;A9902&amp;": "&amp;(B9902*100)&amp;"%. "&amp;A9903&amp;": "&amp;B9903&amp;". "&amp;A9904&amp;": "&amp;B9904&amp;". "&amp;A9905&amp;": "&amp;B9905&amp;". "&amp;A9906&amp;": "&amp;B9906&amp;".  For more information, refer to: "&amp;B9874</f>
        <v>This dataset represents the supply of 1 kilowatt hour of electricity in a residence, by hydrogen conversion in a fuel cell, SOFC.  The hydrogen is transported by train over 1300 km from regional storage.  The hydrogen is produced by  Electrolysis, SOEC, with water and electricity from Wind (DK)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and Bauer, C. Life Cycle Assessment of Power-to-X processes and associated electricity and heat applications in the residential sector. Paul Scherrer Institut, 2023.</v>
      </c>
    </row>
    <row r="9874" spans="1:2" x14ac:dyDescent="0.2">
      <c r="A9874" t="s">
        <v>63</v>
      </c>
      <c r="B9874" s="45" t="s">
        <v>1223</v>
      </c>
    </row>
    <row r="9875" spans="1:2" x14ac:dyDescent="0.2">
      <c r="A9875" t="s">
        <v>52</v>
      </c>
      <c r="B9875" s="45" t="s">
        <v>64</v>
      </c>
    </row>
    <row r="9876" spans="1:2" x14ac:dyDescent="0.2">
      <c r="A9876" t="s">
        <v>48</v>
      </c>
      <c r="B9876" s="45" t="s">
        <v>954</v>
      </c>
    </row>
    <row r="9877" spans="1:2" x14ac:dyDescent="0.2">
      <c r="A9877" t="s">
        <v>54</v>
      </c>
      <c r="B9877" s="45" t="str">
        <f>INDEX(overview!$B$4:$R$338,MATCH('hydrogen - electrolysis'!B9876,overview!$A$4:$A$338,0),MATCH('hydrogen - electrolysis'!A9877,overview!$B$3:$R$3,0))</f>
        <v>electricity, from residential heating system</v>
      </c>
    </row>
    <row r="9878" spans="1:2" x14ac:dyDescent="0.2">
      <c r="A9878" t="s">
        <v>55</v>
      </c>
      <c r="B9878" s="45" t="str">
        <f>INDEX(overview!$B$4:$R$338,MATCH('hydrogen - electrolysis'!B9876,overview!$A$4:$A$338,0),MATCH('hydrogen - electrolysis'!A9878,overview!$B$3:$R$3,0))</f>
        <v>kilowatt hour</v>
      </c>
    </row>
    <row r="9879" spans="1:2" x14ac:dyDescent="0.2">
      <c r="A9879" t="s">
        <v>0</v>
      </c>
      <c r="B9879" s="45" t="str">
        <f>INDEX(overview!$B$4:$R$338,MATCH('hydrogen - electrolysis'!B9876,overview!$A$4:$A$338,0),MATCH('hydrogen - electrolysis'!A9879,overview!$B$3:$R$3,0))</f>
        <v>Switzerland</v>
      </c>
    </row>
    <row r="9880" spans="1:2" x14ac:dyDescent="0.2">
      <c r="A9880" t="s">
        <v>1</v>
      </c>
      <c r="B9880" s="45">
        <f>INDEX(overview!$B$4:$R$338,MATCH('hydrogen - electrolysis'!B9876,overview!$A$4:$A$338,0),MATCH('hydrogen - electrolysis'!A9880,overview!$B$3:$R$3,0))</f>
        <v>2020</v>
      </c>
    </row>
    <row r="9881" spans="1:2" x14ac:dyDescent="0.2">
      <c r="A9881" t="s">
        <v>2</v>
      </c>
      <c r="B9881" s="45" t="str">
        <f>INDEX(overview!$B$4:$R$338,MATCH('hydrogen - electrolysis'!B9876,overview!$A$4:$A$338,0),MATCH('hydrogen - electrolysis'!A9881,overview!$B$3:$R$3,0))</f>
        <v>1 kWh electricity</v>
      </c>
    </row>
    <row r="9882" spans="1:2" x14ac:dyDescent="0.2">
      <c r="A9882" t="s">
        <v>5</v>
      </c>
      <c r="B9882" s="45" t="str">
        <f>INDEX(overview!$B$4:$R$338,MATCH('hydrogen - electrolysis'!B9876,overview!$A$4:$A$338,0),MATCH('hydrogen - electrolysis'!A9882,overview!$B$3:$R$3,0))</f>
        <v>hydrogen</v>
      </c>
    </row>
    <row r="9883" spans="1:2" x14ac:dyDescent="0.2">
      <c r="A9883" t="s">
        <v>3</v>
      </c>
      <c r="B9883" s="45" t="str">
        <f>INDEX(overview!$B$4:$R$338,MATCH('hydrogen - electrolysis'!B9876,overview!$A$4:$A$338,0),MATCH('hydrogen - electrolysis'!A9883,overview!$B$3:$R$3,0))</f>
        <v>conversion</v>
      </c>
    </row>
    <row r="9884" spans="1:2" x14ac:dyDescent="0.2">
      <c r="A9884" t="s">
        <v>6</v>
      </c>
      <c r="B9884" s="45" t="str">
        <f>INDEX(overview!$B$4:$R$338,MATCH('hydrogen - electrolysis'!B9876,overview!$A$4:$A$338,0),MATCH('hydrogen - electrolysis'!A9884,overview!$B$3:$R$3,0))</f>
        <v>fuel cell, SOFC</v>
      </c>
    </row>
    <row r="9885" spans="1:2" x14ac:dyDescent="0.2">
      <c r="A9885" t="s">
        <v>39</v>
      </c>
      <c r="B9885" s="45" t="str">
        <f>INDEX(overview!$B$4:$R$338,MATCH('hydrogen - electrolysis'!B9876,overview!$A$4:$A$338,0),MATCH('hydrogen - electrolysis'!A9885,overview!$B$3:$R$3,0))</f>
        <v>exergy</v>
      </c>
    </row>
    <row r="9886" spans="1:2" x14ac:dyDescent="0.2">
      <c r="A9886" t="s">
        <v>4</v>
      </c>
      <c r="B9886" s="45" t="str">
        <f>INDEX(overview!$B$4:$R$338,MATCH('hydrogen - electrolysis'!B9876,overview!$A$4:$A$338,0),MATCH('hydrogen - electrolysis'!A9886,overview!$B$3:$R$3,0))</f>
        <v>train</v>
      </c>
    </row>
    <row r="9887" spans="1:2" x14ac:dyDescent="0.2">
      <c r="A9887" t="s">
        <v>38</v>
      </c>
      <c r="B9887" s="45">
        <f>INDEX(overview!$B$4:$R$338,MATCH('hydrogen - electrolysis'!B9876,overview!$A$4:$A$338,0),MATCH('hydrogen - electrolysis'!A9887,overview!$B$3:$R$3,0))</f>
        <v>1300</v>
      </c>
    </row>
    <row r="9888" spans="1:2" x14ac:dyDescent="0.2">
      <c r="A9888" t="s">
        <v>12</v>
      </c>
      <c r="B9888" s="45" t="str">
        <f>INDEX(overview!$B$4:$R$338,MATCH('hydrogen - electrolysis'!B9876,overview!$A$4:$A$338,0),MATCH('hydrogen - electrolysis'!A9888,overview!$B$3:$R$3,0))</f>
        <v>Pressure vessel for stationary storage</v>
      </c>
    </row>
    <row r="9889" spans="1:4" x14ac:dyDescent="0.2">
      <c r="A9889" t="s">
        <v>34</v>
      </c>
      <c r="B9889" s="45">
        <f>INDEX(overview!$B$4:$R$338,MATCH('hydrogen - electrolysis'!B9876,overview!$A$4:$A$338,0),MATCH('hydrogen - electrolysis'!A9889,overview!$B$3:$R$3,0))</f>
        <v>0</v>
      </c>
    </row>
    <row r="9890" spans="1:4" x14ac:dyDescent="0.2">
      <c r="A9890" t="s">
        <v>15</v>
      </c>
      <c r="B9890" s="45" t="str">
        <f>INDEX(overview!$B$4:$R$338,MATCH('hydrogen - electrolysis'!B9876,overview!$A$4:$A$338,0),MATCH('hydrogen - electrolysis'!A9890,overview!$B$3:$R$3,0))</f>
        <v>Electrolysis, SOEC</v>
      </c>
    </row>
    <row r="9891" spans="1:4" x14ac:dyDescent="0.2">
      <c r="A9891" t="s">
        <v>14</v>
      </c>
      <c r="B9891" s="45" t="str">
        <f>INDEX(overview!$B$4:$R$338,MATCH('hydrogen - electrolysis'!B9876,overview!$A$4:$A$338,0),MATCH('hydrogen - electrolysis'!A9891,overview!$B$3:$R$3,0))</f>
        <v>water and electricity</v>
      </c>
    </row>
    <row r="9892" spans="1:4" x14ac:dyDescent="0.2">
      <c r="A9892" t="s">
        <v>26</v>
      </c>
      <c r="B9892" s="45" t="str">
        <f>INDEX(overview!$B$4:$R$338,MATCH('hydrogen - electrolysis'!B9876,overview!$A$4:$A$338,0),MATCH('hydrogen - electrolysis'!A9892,overview!$B$3:$R$3,0))</f>
        <v>Wind (DK)</v>
      </c>
    </row>
    <row r="9893" spans="1:4" x14ac:dyDescent="0.2">
      <c r="A9893" t="s">
        <v>29</v>
      </c>
      <c r="B9893" s="45">
        <f>INDEX(overview!$B$4:$R$338,MATCH('hydrogen - electrolysis'!B9876,overview!$A$4:$A$338,0),MATCH('hydrogen - electrolysis'!A9893,overview!$B$3:$R$3,0))</f>
        <v>0</v>
      </c>
    </row>
    <row r="9894" spans="1:4" x14ac:dyDescent="0.2">
      <c r="A9894" t="str">
        <f>IF(B9878="megajoule","Heat","Electricity")&amp;" conversion efficiency [% LHV input]"</f>
        <v>Electricity conversion efficiency [% LHV input]</v>
      </c>
      <c r="B9894" s="46">
        <f>INDEX(parameters!$D$4:$N$20,MATCH('hydrogen - electrolysis'!B9882&amp;'hydrogen - electrolysis'!B9884,parameters!$A$4:$A$20,0),MATCH('hydrogen - electrolysis'!A9894,parameters!$D$3:$N$3,0))</f>
        <v>0.47</v>
      </c>
    </row>
    <row r="9895" spans="1:4" x14ac:dyDescent="0.2">
      <c r="A9895" t="str">
        <f>IF(B9878="megajoule","LHV [MJ/kg]","LHV [kWh/kg]")</f>
        <v>LHV [kWh/kg]</v>
      </c>
      <c r="B9895" s="47">
        <f>INDEX(parameters!$D$4:$N$20,MATCH('hydrogen - electrolysis'!B9882&amp;'hydrogen - electrolysis'!B9884,parameters!$A$4:$A$20,0),MATCH('hydrogen - electrolysis'!A9895,parameters!$D$3:$N$3,0))</f>
        <v>33.333333333333336</v>
      </c>
    </row>
    <row r="9896" spans="1:4" x14ac:dyDescent="0.2">
      <c r="A9896" t="s">
        <v>41</v>
      </c>
      <c r="B9896" s="48">
        <f>INDEX(parameters!$D$4:$N$20,MATCH('hydrogen - electrolysis'!B9882&amp;'hydrogen - electrolysis'!B9884,parameters!$A$4:$A$20,0),MATCH('hydrogen - electrolysis'!A9896,parameters!$D$3:$N$3,0))</f>
        <v>2.6666666666666665E-2</v>
      </c>
    </row>
    <row r="9897" spans="1:4" x14ac:dyDescent="0.2">
      <c r="A9897" t="s">
        <v>45</v>
      </c>
      <c r="B9897" s="46">
        <f>INDEX(parameters!$D$4:$N$20,MATCH('hydrogen - electrolysis'!B9882&amp;'hydrogen - electrolysis'!B9884,parameters!$A$4:$A$20,0),MATCH('hydrogen - electrolysis'!A9897,parameters!$D$3:$N$3,0))</f>
        <v>0</v>
      </c>
    </row>
    <row r="9898" spans="1:4" x14ac:dyDescent="0.2">
      <c r="A9898" t="s">
        <v>46</v>
      </c>
      <c r="B9898" s="46">
        <f>INDEX(parameters!$D$4:$N$20,MATCH('hydrogen - electrolysis'!B9882&amp;'hydrogen - electrolysis'!B9884,parameters!$A$4:$A$20,0),MATCH('hydrogen - electrolysis'!A9898,parameters!$D$3:$N$3,0))</f>
        <v>1.4999999999999999E-2</v>
      </c>
    </row>
    <row r="9899" spans="1:4" x14ac:dyDescent="0.2">
      <c r="A9899" t="s">
        <v>43</v>
      </c>
      <c r="B9899" s="46">
        <f>INDEX(parameters!$D$4:$N$20,MATCH('hydrogen - electrolysis'!B9882&amp;'hydrogen - electrolysis'!B9884,parameters!$A$4:$A$20,0),MATCH('hydrogen - electrolysis'!A9899,parameters!$D$3:$N$3,0))</f>
        <v>0</v>
      </c>
    </row>
    <row r="9900" spans="1:4" x14ac:dyDescent="0.2">
      <c r="A9900" t="s">
        <v>44</v>
      </c>
      <c r="B9900" s="46">
        <f>INDEX(parameters!$D$4:$N$20,MATCH('hydrogen - electrolysis'!B9882&amp;'hydrogen - electrolysis'!B9884,parameters!$A$4:$A$20,0),MATCH('hydrogen - electrolysis'!A9900,parameters!$D$3:$N$3,0))</f>
        <v>0</v>
      </c>
    </row>
    <row r="9901" spans="1:4" x14ac:dyDescent="0.2">
      <c r="A9901" t="s">
        <v>634</v>
      </c>
      <c r="B9901" s="51">
        <f>INDEX(parameters!$D$4:$Y$20,MATCH('hydrogen - electrolysis'!B9882&amp;'hydrogen - electrolysis'!B9884,parameters!$A$4:$A$20,0),MATCH('hydrogen - electrolysis'!A9901,parameters!$D$3:$Y$3,0))</f>
        <v>225</v>
      </c>
      <c r="D9901" s="8"/>
    </row>
    <row r="9902" spans="1:4" x14ac:dyDescent="0.2">
      <c r="A9902" t="s">
        <v>82</v>
      </c>
      <c r="B9902" s="46">
        <f>IF(B9893&lt;&gt;0,VLOOKUP(B9893,parameters!A6303:B6305,2,0),0)</f>
        <v>0</v>
      </c>
    </row>
    <row r="9903" spans="1:4" x14ac:dyDescent="0.2">
      <c r="A9903" t="s">
        <v>548</v>
      </c>
      <c r="B9903" s="50">
        <f>INDEX(parameters!$D$4:$P$20,MATCH(B9882&amp;B9884,parameters!$A$4:$A$20,0),MATCH(A9903,parameters!$D$3:$P$3,0))</f>
        <v>100</v>
      </c>
    </row>
    <row r="9904" spans="1:4" x14ac:dyDescent="0.2">
      <c r="A9904" t="s">
        <v>547</v>
      </c>
      <c r="B9904" s="51">
        <f>INDEX(parameters!$D$4:$P$20,MATCH(B9882&amp;B9884,parameters!$A$4:$A$20,0),MATCH(A9904,parameters!$D$3:$P$3,0))</f>
        <v>6</v>
      </c>
    </row>
    <row r="9905" spans="1:22" x14ac:dyDescent="0.2">
      <c r="A9905" t="s">
        <v>630</v>
      </c>
      <c r="B9905" s="51">
        <f>INDEX(parameters!$D$4:$T$20,MATCH(B9882&amp;B9884,parameters!$A$4:$A$20,0),MATCH(A9905,parameters!$D$3:$T$3,0))</f>
        <v>4100</v>
      </c>
    </row>
    <row r="9906" spans="1:22" x14ac:dyDescent="0.2">
      <c r="A9906" t="s">
        <v>1005</v>
      </c>
      <c r="B9906" s="50">
        <f>IF(B9878="megajoule",SUMIFS(allocation!$I$4:$I$30,allocation!$B$4:$B$30,B9884,allocation!$C$4:$C$30,B9885),SUMIFS(allocation!$J$4:$J$30,allocation!$B$4:$B$30,B9884,allocation!$C$4:$C$30,B9885))</f>
        <v>0.86412493489600906</v>
      </c>
    </row>
    <row r="9907" spans="1:22" x14ac:dyDescent="0.2">
      <c r="A9907" t="s">
        <v>1050</v>
      </c>
      <c r="B9907" s="51">
        <f>INDEX(parameters!$D$4:$AB$20,MATCH(B9882&amp;B9884,parameters!$A$4:$A$20,0),MATCH(A9907,parameters!$D$3:$AB$3,0))</f>
        <v>1153.1249999999998</v>
      </c>
    </row>
    <row r="9909" spans="1:22" x14ac:dyDescent="0.2">
      <c r="A9909" s="3" t="s">
        <v>57</v>
      </c>
    </row>
    <row r="9910" spans="1:22" x14ac:dyDescent="0.2">
      <c r="A9910" s="2" t="s">
        <v>58</v>
      </c>
      <c r="B9910" s="44" t="s">
        <v>59</v>
      </c>
      <c r="C9910" s="2" t="s">
        <v>55</v>
      </c>
      <c r="D9910" s="2" t="s">
        <v>60</v>
      </c>
      <c r="E9910" s="2" t="s">
        <v>52</v>
      </c>
      <c r="F9910" s="2" t="s">
        <v>61</v>
      </c>
      <c r="G9910" s="2" t="s">
        <v>54</v>
      </c>
      <c r="H9910" s="2" t="s">
        <v>87</v>
      </c>
      <c r="I9910" s="2" t="s">
        <v>51</v>
      </c>
      <c r="J9910" s="2" t="s">
        <v>138</v>
      </c>
      <c r="K9910" s="2" t="s">
        <v>136</v>
      </c>
      <c r="L9910" s="2" t="s">
        <v>221</v>
      </c>
      <c r="M9910" s="2" t="s">
        <v>379</v>
      </c>
      <c r="N9910" s="2" t="s">
        <v>1059</v>
      </c>
      <c r="O9910" s="2" t="s">
        <v>1060</v>
      </c>
      <c r="P9910" s="2" t="s">
        <v>1061</v>
      </c>
      <c r="Q9910" s="2" t="s">
        <v>1062</v>
      </c>
      <c r="R9910" s="2" t="s">
        <v>1063</v>
      </c>
      <c r="S9910" s="2" t="s">
        <v>1064</v>
      </c>
      <c r="T9910" s="2" t="s">
        <v>1065</v>
      </c>
      <c r="U9910" s="2" t="s">
        <v>380</v>
      </c>
      <c r="V9910" s="2" t="s">
        <v>1128</v>
      </c>
    </row>
    <row r="9911" spans="1:22" x14ac:dyDescent="0.2">
      <c r="A9911" t="str">
        <f>B9872</f>
        <v>electricity, residential, by conversion of hydrogen using fuel cell, SOFC, allocated by exergy, transported by train, produced by Electrolysis, SOEC using water and electricity from Wind (DK)</v>
      </c>
      <c r="B9911" s="45">
        <v>1</v>
      </c>
      <c r="C9911" t="str">
        <f>B9878</f>
        <v>kilowatt hour</v>
      </c>
      <c r="E9911" t="str">
        <f>B9875</f>
        <v>CH</v>
      </c>
      <c r="F9911" t="s">
        <v>62</v>
      </c>
      <c r="G9911" t="str">
        <f>B9877</f>
        <v>electricity, from residential heating system</v>
      </c>
      <c r="K9911" t="str">
        <f>B9872</f>
        <v>electricity, residential, by conversion of hydrogen using fuel cell, SOFC, allocated by exergy, transported by train, produced by Electrolysis, SOEC using water and electricity from Wind (DK)</v>
      </c>
    </row>
    <row r="9912" spans="1:22" x14ac:dyDescent="0.2">
      <c r="A9912" t="str">
        <f>VLOOKUP(J9912,'dataset mapping'!$A$4:$E$69,2,0)</f>
        <v>fuel cell production, stack solid oxide, 125kW electrical, future</v>
      </c>
      <c r="B9912" s="52">
        <f>(1/(B9901*B9905*B9904))*B9906</f>
        <v>1.5612013277254003E-7</v>
      </c>
      <c r="C9912" t="str">
        <f>VLOOKUP(J9912,'dataset mapping'!$A$4:$E$69,5,0)</f>
        <v>unit</v>
      </c>
      <c r="E9912" t="str">
        <f>VLOOKUP(J9912,'dataset mapping'!$A$4:$E$69,4,0)</f>
        <v>CH</v>
      </c>
      <c r="F9912" t="s">
        <v>86</v>
      </c>
      <c r="G9912" t="str">
        <f>VLOOKUP(J9912,'dataset mapping'!$A$4:$E$69,3,0)</f>
        <v>fuel cell, stack solid oxide, 125kW electrical, future</v>
      </c>
      <c r="H9912" t="s">
        <v>88</v>
      </c>
      <c r="I9912" t="s">
        <v>277</v>
      </c>
      <c r="J9912" t="s">
        <v>274</v>
      </c>
      <c r="K9912" t="str">
        <f>B9872</f>
        <v>electricity, residential, by conversion of hydrogen using fuel cell, SOFC, allocated by exergy, transported by train, produced by Electrolysis, SOEC using water and electricity from Wind (DK)</v>
      </c>
      <c r="L9912">
        <f t="shared" ref="L9912:L9918" si="427">IF(OR(B9912&lt;0,B9912=0),1,2)</f>
        <v>2</v>
      </c>
      <c r="M9912">
        <f t="shared" ref="M9912:M9918" si="428">IF(L9912=2,LN(B9912),"")</f>
        <v>-15.672640044182527</v>
      </c>
      <c r="N9912">
        <v>1</v>
      </c>
      <c r="O9912" s="15">
        <v>1.2</v>
      </c>
      <c r="P9912">
        <v>1</v>
      </c>
      <c r="Q9912">
        <v>1.01</v>
      </c>
      <c r="R9912">
        <v>1.2</v>
      </c>
      <c r="S9912">
        <v>1.2</v>
      </c>
      <c r="T9912">
        <v>3</v>
      </c>
      <c r="U9912">
        <f t="shared" ref="U9912:U9918" si="429">LN(SQRT(EXP(
SQRT(
+POWER(LN(N9912),2)
+POWER(LN(O9912),2)
+POWER(LN(P9912),2)
+POWER(LN(Q9912),2)
+POWER(LN(R9912),2)
+POWER(LN(S9912),2)
+POWER(LN(T9912),2)
)
)))</f>
        <v>0.57157051623399524</v>
      </c>
    </row>
    <row r="9913" spans="1:22" x14ac:dyDescent="0.2">
      <c r="A9913" t="s">
        <v>283</v>
      </c>
      <c r="B9913" s="52">
        <f>(1/(B9901*B9905*B9904))*B9906</f>
        <v>1.5612013277254003E-7</v>
      </c>
      <c r="C9913" t="s">
        <v>55</v>
      </c>
      <c r="E9913" t="s">
        <v>64</v>
      </c>
      <c r="F9913" t="s">
        <v>86</v>
      </c>
      <c r="G9913" t="s">
        <v>284</v>
      </c>
      <c r="H9913" t="s">
        <v>88</v>
      </c>
      <c r="I9913" t="s">
        <v>277</v>
      </c>
      <c r="K9913" t="str">
        <f>B9872</f>
        <v>electricity, residential, by conversion of hydrogen using fuel cell, SOFC, allocated by exergy, transported by train, produced by Electrolysis, SOEC using water and electricity from Wind (DK)</v>
      </c>
      <c r="L9913">
        <f t="shared" si="427"/>
        <v>2</v>
      </c>
      <c r="M9913">
        <f t="shared" si="428"/>
        <v>-15.672640044182527</v>
      </c>
      <c r="N9913">
        <v>1</v>
      </c>
      <c r="O9913" s="15">
        <v>1.2</v>
      </c>
      <c r="P9913">
        <v>1</v>
      </c>
      <c r="Q9913">
        <v>1.01</v>
      </c>
      <c r="R9913">
        <v>1.2</v>
      </c>
      <c r="S9913">
        <v>1.2</v>
      </c>
      <c r="T9913">
        <v>3</v>
      </c>
      <c r="U9913">
        <f t="shared" si="429"/>
        <v>0.57157051623399524</v>
      </c>
    </row>
    <row r="9914" spans="1:22" x14ac:dyDescent="0.2">
      <c r="A9914" t="s">
        <v>288</v>
      </c>
      <c r="B9914" s="52">
        <f>0.000024*B9906</f>
        <v>2.0738998437504217E-5</v>
      </c>
      <c r="C9914" t="s">
        <v>56</v>
      </c>
      <c r="E9914" t="s">
        <v>64</v>
      </c>
      <c r="F9914" t="s">
        <v>86</v>
      </c>
      <c r="G9914" t="s">
        <v>287</v>
      </c>
      <c r="H9914" t="s">
        <v>88</v>
      </c>
      <c r="K9914" t="str">
        <f>B9872</f>
        <v>electricity, residential, by conversion of hydrogen using fuel cell, SOFC, allocated by exergy, transported by train, produced by Electrolysis, SOEC using water and electricity from Wind (DK)</v>
      </c>
      <c r="L9914">
        <f t="shared" si="427"/>
        <v>2</v>
      </c>
      <c r="M9914">
        <f t="shared" si="428"/>
        <v>-10.783494647673981</v>
      </c>
      <c r="N9914">
        <v>1</v>
      </c>
      <c r="O9914" s="15">
        <v>1.2</v>
      </c>
      <c r="P9914">
        <v>1</v>
      </c>
      <c r="Q9914">
        <v>1.01</v>
      </c>
      <c r="R9914">
        <v>1.2</v>
      </c>
      <c r="S9914">
        <v>1.2</v>
      </c>
      <c r="T9914">
        <v>1.05</v>
      </c>
      <c r="U9914">
        <f t="shared" si="429"/>
        <v>0.15984597228197622</v>
      </c>
    </row>
    <row r="9915" spans="1:22" x14ac:dyDescent="0.2">
      <c r="A9915" s="45" t="str">
        <f>"hydrogen supply, transported by "&amp;B9886&amp;", produced by "&amp;B9890&amp;" using "&amp;B9891&amp;" from "&amp;B9892</f>
        <v>hydrogen supply, transported by train, produced by Electrolysis, SOEC using water and electricity from Wind (DK)</v>
      </c>
      <c r="B9915" s="53">
        <f>(B9911/B9895)/B9894*B9906</f>
        <v>5.515691073804313E-2</v>
      </c>
      <c r="C9915" t="s">
        <v>56</v>
      </c>
      <c r="E9915" t="s">
        <v>64</v>
      </c>
      <c r="F9915" t="s">
        <v>86</v>
      </c>
      <c r="G9915" t="str">
        <f>"hydrogen, gaseous, from "&amp;B9886</f>
        <v>hydrogen, gaseous, from train</v>
      </c>
      <c r="H9915" t="s">
        <v>76</v>
      </c>
      <c r="I9915" t="s">
        <v>1054</v>
      </c>
      <c r="J9915" t="s">
        <v>304</v>
      </c>
      <c r="K9915" t="str">
        <f>B9872</f>
        <v>electricity, residential, by conversion of hydrogen using fuel cell, SOFC, allocated by exergy, transported by train, produced by Electrolysis, SOEC using water and electricity from Wind (DK)</v>
      </c>
      <c r="L9915">
        <f t="shared" si="427"/>
        <v>2</v>
      </c>
      <c r="M9915">
        <f t="shared" si="428"/>
        <v>-2.8975732330996009</v>
      </c>
      <c r="N9915">
        <v>1</v>
      </c>
      <c r="O9915" s="15">
        <v>1.2</v>
      </c>
      <c r="P9915">
        <v>1</v>
      </c>
      <c r="Q9915">
        <v>1.01</v>
      </c>
      <c r="R9915">
        <v>1.2</v>
      </c>
      <c r="S9915">
        <v>1.2</v>
      </c>
      <c r="T9915">
        <v>1.05</v>
      </c>
      <c r="U9915">
        <f t="shared" si="429"/>
        <v>0.15984597228197622</v>
      </c>
    </row>
    <row r="9916" spans="1:22" x14ac:dyDescent="0.2">
      <c r="A9916" t="str">
        <f>VLOOKUP(J9916,'dataset mapping'!$A$4:$E$69,2,0)</f>
        <v>market for transport, freight train</v>
      </c>
      <c r="B9916" s="45">
        <f>SUM(B9915:B9915)/1000*B9887</f>
        <v>7.1703983959456069E-2</v>
      </c>
      <c r="C9916" t="str">
        <f>VLOOKUP(J9916,'dataset mapping'!$A$4:$E$69,5,0)</f>
        <v>ton kilometer</v>
      </c>
      <c r="E9916" t="str">
        <f>VLOOKUP(J9916,'dataset mapping'!$A$4:$E$69,4,0)</f>
        <v>CH</v>
      </c>
      <c r="F9916" t="s">
        <v>86</v>
      </c>
      <c r="G9916" t="str">
        <f>VLOOKUP(J9916,'dataset mapping'!$A$4:$E$69,3,0)</f>
        <v>transport, freight train</v>
      </c>
      <c r="H9916" t="s">
        <v>88</v>
      </c>
      <c r="I9916" t="s">
        <v>1051</v>
      </c>
      <c r="J9916" t="s">
        <v>295</v>
      </c>
      <c r="K9916" t="str">
        <f>B9872</f>
        <v>electricity, residential, by conversion of hydrogen using fuel cell, SOFC, allocated by exergy, transported by train, produced by Electrolysis, SOEC using water and electricity from Wind (DK)</v>
      </c>
      <c r="L9916">
        <f t="shared" si="427"/>
        <v>2</v>
      </c>
      <c r="M9916">
        <f t="shared" si="428"/>
        <v>-2.6352089686321101</v>
      </c>
      <c r="N9916">
        <v>1</v>
      </c>
      <c r="O9916" s="15">
        <v>1.2</v>
      </c>
      <c r="P9916">
        <v>1</v>
      </c>
      <c r="Q9916">
        <v>1.01</v>
      </c>
      <c r="R9916">
        <v>1.2</v>
      </c>
      <c r="S9916">
        <v>1.2</v>
      </c>
      <c r="T9916">
        <v>2</v>
      </c>
      <c r="U9916">
        <f t="shared" si="429"/>
        <v>0.38087907307228186</v>
      </c>
    </row>
    <row r="9917" spans="1:22" x14ac:dyDescent="0.2">
      <c r="A9917" t="str">
        <f>VLOOKUP(J9917,'dataset mapping'!$A$4:$E$69,2,0)</f>
        <v>high pressure hydrogen storage tank</v>
      </c>
      <c r="B9917" s="52">
        <f>((B9907/10)/(B9905*B9901*20))*IF(B9906&lt;&gt;0,B9906,1)</f>
        <v>5.400780843100055E-6</v>
      </c>
      <c r="C9917" t="str">
        <f>VLOOKUP(J9917,'dataset mapping'!$A$4:$E$69,5,0)</f>
        <v>kilogram</v>
      </c>
      <c r="E9917" t="str">
        <f>VLOOKUP(J9917,'dataset mapping'!$A$4:$E$69,4,0)</f>
        <v>GLO</v>
      </c>
      <c r="F9917" t="s">
        <v>86</v>
      </c>
      <c r="G9917" t="str">
        <f>VLOOKUP(J9917,'dataset mapping'!$A$4:$E$69,3,0)</f>
        <v>high pressure hydrogen storage tank</v>
      </c>
      <c r="H9917" t="s">
        <v>88</v>
      </c>
      <c r="I9917" t="s">
        <v>230</v>
      </c>
      <c r="J9917" t="s">
        <v>229</v>
      </c>
      <c r="K9917" t="str">
        <f>B9872</f>
        <v>electricity, residential, by conversion of hydrogen using fuel cell, SOFC, allocated by exergy, transported by train, produced by Electrolysis, SOEC using water and electricity from Wind (DK)</v>
      </c>
      <c r="L9917">
        <f t="shared" si="427"/>
        <v>2</v>
      </c>
      <c r="M9917">
        <f t="shared" si="428"/>
        <v>-12.128967014273616</v>
      </c>
      <c r="N9917">
        <v>1</v>
      </c>
      <c r="O9917" s="15">
        <v>1.2</v>
      </c>
      <c r="P9917">
        <v>1</v>
      </c>
      <c r="Q9917">
        <v>1.01</v>
      </c>
      <c r="R9917">
        <v>1.2</v>
      </c>
      <c r="S9917">
        <v>1.2</v>
      </c>
      <c r="T9917">
        <v>3</v>
      </c>
      <c r="U9917">
        <f t="shared" si="429"/>
        <v>0.57157051623399524</v>
      </c>
    </row>
    <row r="9918" spans="1:22" x14ac:dyDescent="0.2">
      <c r="A9918" t="s">
        <v>134</v>
      </c>
      <c r="B9918" s="45">
        <f>B9915*9</f>
        <v>0.49641219664238817</v>
      </c>
      <c r="C9918" t="s">
        <v>56</v>
      </c>
      <c r="D9918" t="s">
        <v>100</v>
      </c>
      <c r="F9918" t="s">
        <v>99</v>
      </c>
      <c r="H9918" t="s">
        <v>131</v>
      </c>
      <c r="I9918" t="s">
        <v>1057</v>
      </c>
      <c r="K9918" t="str">
        <f>B9872</f>
        <v>electricity, residential, by conversion of hydrogen using fuel cell, SOFC, allocated by exergy, transported by train, produced by Electrolysis, SOEC using water and electricity from Wind (DK)</v>
      </c>
      <c r="L9918">
        <f t="shared" si="427"/>
        <v>2</v>
      </c>
      <c r="M9918">
        <f t="shared" si="428"/>
        <v>-0.70034865576338168</v>
      </c>
      <c r="N9918">
        <v>1</v>
      </c>
      <c r="O9918" s="15">
        <v>1.2</v>
      </c>
      <c r="P9918">
        <v>1</v>
      </c>
      <c r="Q9918">
        <v>1.01</v>
      </c>
      <c r="R9918">
        <v>1.2</v>
      </c>
      <c r="S9918">
        <v>1.2</v>
      </c>
      <c r="T9918">
        <v>1.05</v>
      </c>
      <c r="U9918">
        <f t="shared" si="429"/>
        <v>0.15984597228197622</v>
      </c>
    </row>
  </sheetData>
  <autoFilter ref="A1:V9918" xr:uid="{552F2772-030F-BE49-B360-296F8569FCC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BA531-3531-5649-ADEB-6E378E7801CE}">
  <sheetPr filterMode="1"/>
  <dimension ref="A1:V2643"/>
  <sheetViews>
    <sheetView workbookViewId="0">
      <selection activeCell="A136" sqref="A136:A2636"/>
    </sheetView>
  </sheetViews>
  <sheetFormatPr baseColWidth="10" defaultRowHeight="16" x14ac:dyDescent="0.2"/>
  <cols>
    <col min="1" max="1" width="77.83203125" customWidth="1"/>
    <col min="2" max="2" width="12.1640625" style="45" bestFit="1" customWidth="1"/>
    <col min="7" max="7" width="31.6640625" customWidth="1"/>
    <col min="9" max="9" width="58.6640625" customWidth="1"/>
    <col min="10" max="10" width="7.33203125" customWidth="1"/>
    <col min="11" max="11" width="52.1640625" customWidth="1"/>
    <col min="14" max="14" width="5.1640625" bestFit="1" customWidth="1"/>
    <col min="15" max="15" width="4.1640625" bestFit="1" customWidth="1"/>
    <col min="16" max="16" width="5.5" customWidth="1"/>
    <col min="17" max="17" width="5.1640625" bestFit="1" customWidth="1"/>
    <col min="18" max="19" width="4.1640625" bestFit="1" customWidth="1"/>
    <col min="20" max="20" width="5.1640625" bestFit="1" customWidth="1"/>
  </cols>
  <sheetData>
    <row r="1" spans="1:2" x14ac:dyDescent="0.2">
      <c r="A1" s="2" t="s">
        <v>50</v>
      </c>
      <c r="B1" s="44" t="str">
        <f>IF(B7="megajoule","heat","electricity")&amp;", residential, by "&amp;B12&amp;" of "&amp;B11&amp;" using "&amp;B13&amp;IF(B14&lt;&gt;0,", allocated by "&amp;B14,"")&amp;", transported by "&amp;B15&amp;", produced by "&amp;B19&amp;" using "&amp;B20&amp;" from "&amp;B21</f>
        <v>heat, residential, by combustion of hydrogen using boiler, transported by pipeline, produced by Steam Methane Reforming using natural gas from Switzerland</v>
      </c>
    </row>
    <row r="2" spans="1:2" hidden="1" x14ac:dyDescent="0.2">
      <c r="A2" t="s">
        <v>51</v>
      </c>
      <c r="B2" s="45" t="str">
        <f>"This dataset represents the supply of 1 "&amp;IF(B7="megajoule","megajoule of heat","kilowatt hour of electricity")&amp;" in a residence, by "&amp;B11&amp;" "&amp;B12&amp;" in a "&amp;B13&amp;". "&amp;" The hydrogen is transported by "&amp;B15&amp;" over "&amp;B16&amp;" km from regional storage. "&amp;" The "&amp;B11&amp;" is produced by  "&amp;B19&amp;", with "&amp;B20&amp;" from "&amp;B21&amp;" as feedstock.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hydrogen combustion in a boiler.  The hydrogen is transported by pipeline over 500 km from regional storage.  The hydrogen is produced by  Steam Methane Reforming,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 spans="1:2" hidden="1" x14ac:dyDescent="0.2">
      <c r="A3" t="s">
        <v>63</v>
      </c>
      <c r="B3" s="45" t="s">
        <v>660</v>
      </c>
    </row>
    <row r="4" spans="1:2" hidden="1" x14ac:dyDescent="0.2">
      <c r="A4" t="s">
        <v>52</v>
      </c>
      <c r="B4" s="45" t="s">
        <v>64</v>
      </c>
    </row>
    <row r="5" spans="1:2" hidden="1" x14ac:dyDescent="0.2">
      <c r="A5" t="s">
        <v>48</v>
      </c>
      <c r="B5" s="45">
        <v>121</v>
      </c>
    </row>
    <row r="6" spans="1:2" hidden="1" x14ac:dyDescent="0.2">
      <c r="A6" t="s">
        <v>54</v>
      </c>
      <c r="B6" s="45" t="str">
        <f>INDEX(overview!$B$4:$R$338,MATCH(B5,overview!$A$4:$A$338,0),MATCH(A6,overview!$B$3:$R$3,0))</f>
        <v>heat, from residential heating system</v>
      </c>
    </row>
    <row r="7" spans="1:2" hidden="1" x14ac:dyDescent="0.2">
      <c r="A7" t="s">
        <v>55</v>
      </c>
      <c r="B7" s="45" t="str">
        <f>INDEX(overview!$B$4:$R$338,MATCH(B5,overview!$A$4:$A$338,0),MATCH(A7,overview!$B$3:$R$3,0))</f>
        <v>megajoule</v>
      </c>
    </row>
    <row r="8" spans="1:2" hidden="1" x14ac:dyDescent="0.2">
      <c r="A8" t="s">
        <v>0</v>
      </c>
      <c r="B8" s="45" t="str">
        <f>INDEX(overview!$B$4:$R$338,MATCH(B5,overview!$A$4:$A$338,0),MATCH(A8,overview!$B$3:$R$3,0))</f>
        <v>Switzerland</v>
      </c>
    </row>
    <row r="9" spans="1:2" hidden="1" x14ac:dyDescent="0.2">
      <c r="A9" t="s">
        <v>1</v>
      </c>
      <c r="B9" s="45">
        <f>INDEX(overview!$B$4:$R$338,MATCH(B5,overview!$A$4:$A$338,0),MATCH(A9,overview!$B$3:$R$3,0))</f>
        <v>2020</v>
      </c>
    </row>
    <row r="10" spans="1:2" hidden="1" x14ac:dyDescent="0.2">
      <c r="A10" t="s">
        <v>2</v>
      </c>
      <c r="B10" s="45" t="str">
        <f>INDEX(overview!$B$4:$R$338,MATCH(B5,overview!$A$4:$A$338,0),MATCH(A10,overview!$B$3:$R$3,0))</f>
        <v>1 MJ heat</v>
      </c>
    </row>
    <row r="11" spans="1:2" hidden="1" x14ac:dyDescent="0.2">
      <c r="A11" t="s">
        <v>5</v>
      </c>
      <c r="B11" s="45" t="str">
        <f>INDEX(overview!$B$4:$R$338,MATCH(B5,overview!$A$4:$A$338,0),MATCH(A11,overview!$B$3:$R$3,0))</f>
        <v>hydrogen</v>
      </c>
    </row>
    <row r="12" spans="1:2" hidden="1" x14ac:dyDescent="0.2">
      <c r="A12" t="s">
        <v>3</v>
      </c>
      <c r="B12" s="45" t="str">
        <f>INDEX(overview!$B$4:$R$338,MATCH(B5,overview!$A$4:$A$338,0),MATCH(A12,overview!$B$3:$R$3,0))</f>
        <v>combustion</v>
      </c>
    </row>
    <row r="13" spans="1:2" hidden="1" x14ac:dyDescent="0.2">
      <c r="A13" t="s">
        <v>6</v>
      </c>
      <c r="B13" s="45" t="str">
        <f>INDEX(overview!$B$4:$R$338,MATCH(B5,overview!$A$4:$A$338,0),MATCH(A13,overview!$B$3:$R$3,0))</f>
        <v>boiler</v>
      </c>
    </row>
    <row r="14" spans="1:2" hidden="1" x14ac:dyDescent="0.2">
      <c r="A14" t="s">
        <v>39</v>
      </c>
      <c r="B14" s="45">
        <f>INDEX(overview!$B$4:$R$338,MATCH(B5,overview!$A$4:$A$338,0),MATCH(A14,overview!$B$3:$R$3,0))</f>
        <v>0</v>
      </c>
    </row>
    <row r="15" spans="1:2" hidden="1" x14ac:dyDescent="0.2">
      <c r="A15" t="s">
        <v>4</v>
      </c>
      <c r="B15" s="45" t="str">
        <f>INDEX(overview!$B$4:$R$338,MATCH(B5,overview!$A$4:$A$338,0),MATCH(A15,overview!$B$3:$R$3,0))</f>
        <v>pipeline</v>
      </c>
    </row>
    <row r="16" spans="1:2" hidden="1" x14ac:dyDescent="0.2">
      <c r="A16" t="s">
        <v>38</v>
      </c>
      <c r="B16" s="45">
        <f>INDEX(overview!$B$4:$R$338,MATCH(B5,overview!$A$4:$A$338,0),MATCH(A16,overview!$B$3:$R$3,0))</f>
        <v>500</v>
      </c>
    </row>
    <row r="17" spans="1:2" hidden="1" x14ac:dyDescent="0.2">
      <c r="A17" t="s">
        <v>12</v>
      </c>
      <c r="B17" s="45" t="str">
        <f>INDEX(overview!$B$4:$R$338,MATCH(B5,overview!$A$4:$A$338,0),MATCH(A17,overview!$B$3:$R$3,0))</f>
        <v>Pressure vessel for stationary storage</v>
      </c>
    </row>
    <row r="18" spans="1:2" hidden="1" x14ac:dyDescent="0.2">
      <c r="A18" t="s">
        <v>34</v>
      </c>
      <c r="B18" s="45">
        <f>INDEX(overview!$B$4:$R$338,MATCH(B5,overview!$A$4:$A$338,0),MATCH(A18,overview!$B$3:$R$3,0))</f>
        <v>0</v>
      </c>
    </row>
    <row r="19" spans="1:2" hidden="1" x14ac:dyDescent="0.2">
      <c r="A19" t="s">
        <v>15</v>
      </c>
      <c r="B19" s="45" t="str">
        <f>INDEX(overview!$B$4:$R$338,MATCH(B5,overview!$A$4:$A$338,0),MATCH(A19,overview!$B$3:$R$3,0))</f>
        <v>Steam Methane Reforming</v>
      </c>
    </row>
    <row r="20" spans="1:2" hidden="1" x14ac:dyDescent="0.2">
      <c r="A20" t="s">
        <v>14</v>
      </c>
      <c r="B20" s="45" t="str">
        <f>INDEX(overview!$B$4:$R$338,MATCH(B5,overview!$A$4:$A$338,0),MATCH(A20,overview!$B$3:$R$3,0))</f>
        <v>natural gas</v>
      </c>
    </row>
    <row r="21" spans="1:2" hidden="1" x14ac:dyDescent="0.2">
      <c r="A21" t="s">
        <v>26</v>
      </c>
      <c r="B21" s="45" t="str">
        <f>INDEX(overview!$B$4:$R$338,MATCH(B5,overview!$A$4:$A$338,0),MATCH(A21,overview!$B$3:$R$3,0))</f>
        <v>Switzerland</v>
      </c>
    </row>
    <row r="22" spans="1:2" hidden="1" x14ac:dyDescent="0.2">
      <c r="A22" t="s">
        <v>29</v>
      </c>
      <c r="B22" s="45">
        <f>INDEX(overview!$B$4:$R$338,MATCH(B5,overview!$A$4:$A$338,0),MATCH(A22,overview!$B$3:$R$3,0))</f>
        <v>0</v>
      </c>
    </row>
    <row r="23" spans="1:2" hidden="1" x14ac:dyDescent="0.2">
      <c r="A23" t="str">
        <f>IF(B7="megajoule","Heat","Electricity")&amp;" conversion efficiency [% LHV input]"</f>
        <v>Heat conversion efficiency [% LHV input]</v>
      </c>
      <c r="B23" s="46">
        <f>INDEX(parameters!$D$4:$N$20,MATCH(B11&amp;B13,parameters!$A$4:$A$20,0),MATCH(A23,parameters!$D$3:$N$3,0))</f>
        <v>0.94</v>
      </c>
    </row>
    <row r="24" spans="1:2" hidden="1" x14ac:dyDescent="0.2">
      <c r="A24" t="str">
        <f>IF(B7="megajoule","LHV [MJ/kg]","LHV [kWh/kg]")</f>
        <v>LHV [MJ/kg]</v>
      </c>
      <c r="B24" s="47">
        <f>INDEX(parameters!$D$4:$N$20,MATCH(B11&amp;B13,parameters!$A$4:$A$20,0),MATCH(A24,parameters!$D$3:$N$3,0))</f>
        <v>120</v>
      </c>
    </row>
    <row r="25" spans="1:2" hidden="1" x14ac:dyDescent="0.2">
      <c r="A25" t="s">
        <v>41</v>
      </c>
      <c r="B25" s="48">
        <f>INDEX(parameters!$D$4:$N$20,MATCH(B11&amp;B13,parameters!$A$4:$A$20,0),MATCH(A25,parameters!$D$3:$N$3,0))</f>
        <v>2.6666666666666665E-2</v>
      </c>
    </row>
    <row r="26" spans="1:2" hidden="1" x14ac:dyDescent="0.2">
      <c r="A26" t="s">
        <v>45</v>
      </c>
      <c r="B26" s="49">
        <f>INDEX(parameters!$D$4:$N$20,MATCH(B11&amp;B13,parameters!$A$4:$A$20,0),MATCH(A26,parameters!$D$3:$N$3,0))</f>
        <v>0</v>
      </c>
    </row>
    <row r="27" spans="1:2" hidden="1" x14ac:dyDescent="0.2">
      <c r="A27" t="s">
        <v>46</v>
      </c>
      <c r="B27" s="49">
        <f>INDEX(parameters!$D$4:$N$20,MATCH(B11&amp;B13,parameters!$A$4:$A$20,0),MATCH(A27,parameters!$D$3:$N$3,0))</f>
        <v>1.4999999999999999E-2</v>
      </c>
    </row>
    <row r="28" spans="1:2" hidden="1" x14ac:dyDescent="0.2">
      <c r="A28" t="s">
        <v>43</v>
      </c>
      <c r="B28" s="49">
        <f>INDEX(parameters!$D$4:$N$20,MATCH(B11&amp;B13,parameters!$A$4:$A$20,0),MATCH(A28,parameters!$D$3:$N$3,0))</f>
        <v>0</v>
      </c>
    </row>
    <row r="29" spans="1:2" hidden="1" x14ac:dyDescent="0.2">
      <c r="A29" t="s">
        <v>44</v>
      </c>
      <c r="B29" s="49">
        <f>INDEX(parameters!$D$4:$N$20,MATCH(B11&amp;B13,parameters!$A$4:$A$20,0),MATCH(A29,parameters!$D$3:$N$3,0))</f>
        <v>0</v>
      </c>
    </row>
    <row r="30" spans="1:2" hidden="1" x14ac:dyDescent="0.2">
      <c r="A30" t="s">
        <v>634</v>
      </c>
      <c r="B30" s="50">
        <f>INDEX(parameters!$D$4:$Y$20,MATCH(B11&amp;B13,parameters!$A$4:$A$20,0),MATCH(A30,parameters!$D$3:$Y$3,0))</f>
        <v>15.957446808510639</v>
      </c>
    </row>
    <row r="31" spans="1:2" hidden="1" x14ac:dyDescent="0.2">
      <c r="A31" t="s">
        <v>82</v>
      </c>
      <c r="B31" s="46">
        <f>IF(B22&lt;&gt;0,VLOOKUP(B22,parameters!A26:B28,2,0),0)</f>
        <v>0</v>
      </c>
    </row>
    <row r="32" spans="1:2" hidden="1" x14ac:dyDescent="0.2">
      <c r="A32" t="s">
        <v>548</v>
      </c>
      <c r="B32" s="50">
        <f>INDEX(parameters!$D$4:$P$20,MATCH(B11&amp;B13,parameters!$A$4:$A$20,0),MATCH(A32,parameters!$D$3:$P$3,0))</f>
        <v>15</v>
      </c>
    </row>
    <row r="33" spans="1:22" hidden="1" x14ac:dyDescent="0.2">
      <c r="A33" t="s">
        <v>547</v>
      </c>
      <c r="B33" s="51">
        <f>INDEX(parameters!$D$4:$P$20,MATCH(B11&amp;B13,parameters!$A$4:$A$20,0),MATCH(A33,parameters!$D$3:$P$3,0))</f>
        <v>20</v>
      </c>
    </row>
    <row r="34" spans="1:22" hidden="1" x14ac:dyDescent="0.2">
      <c r="A34" t="s">
        <v>630</v>
      </c>
      <c r="B34" s="51">
        <f>INDEX(parameters!$D$4:$T$20,MATCH(B11&amp;B13,parameters!$A$4:$A$20,0),MATCH(A34,parameters!$D$3:$T$3,0))</f>
        <v>2100</v>
      </c>
    </row>
    <row r="35" spans="1:22" hidden="1" x14ac:dyDescent="0.2">
      <c r="A35" t="s">
        <v>1005</v>
      </c>
      <c r="B35" s="50">
        <f>IF(B7="megajoule",SUMIFS(allocation!$I$4:$I$30,allocation!$B$4:$B$30,B13,allocation!$C$4:$C$30,B14),SUMIFS(allocation!$J$4:$J$30,allocation!$B$4:$B$30,B13,allocation!$C$4:$C$30,B14))</f>
        <v>0</v>
      </c>
    </row>
    <row r="36" spans="1:22" hidden="1" x14ac:dyDescent="0.2">
      <c r="A36" t="s">
        <v>1050</v>
      </c>
      <c r="B36" s="51">
        <f>INDEX(parameters!$D$4:$AB$20,MATCH(B11&amp;B13,parameters!$A$4:$A$20,0),MATCH(A36,parameters!$D$3:$AB$3,0))</f>
        <v>44.562019013128115</v>
      </c>
    </row>
    <row r="37" spans="1:22" hidden="1" x14ac:dyDescent="0.2"/>
    <row r="38" spans="1:22" hidden="1" x14ac:dyDescent="0.2">
      <c r="A38" s="3" t="s">
        <v>57</v>
      </c>
    </row>
    <row r="39" spans="1:22" hidden="1" x14ac:dyDescent="0.2">
      <c r="A39" s="2" t="s">
        <v>58</v>
      </c>
      <c r="B39" s="44" t="s">
        <v>59</v>
      </c>
      <c r="C39" s="2" t="s">
        <v>55</v>
      </c>
      <c r="D39" s="2" t="s">
        <v>60</v>
      </c>
      <c r="E39" s="2" t="s">
        <v>52</v>
      </c>
      <c r="F39" s="2" t="s">
        <v>61</v>
      </c>
      <c r="G39" s="2" t="s">
        <v>54</v>
      </c>
      <c r="H39" s="2" t="s">
        <v>87</v>
      </c>
      <c r="I39" s="2" t="s">
        <v>51</v>
      </c>
      <c r="J39" s="2" t="s">
        <v>138</v>
      </c>
      <c r="K39" s="2" t="s">
        <v>136</v>
      </c>
      <c r="L39" s="2" t="s">
        <v>221</v>
      </c>
      <c r="M39" s="2" t="s">
        <v>379</v>
      </c>
      <c r="N39" s="2" t="s">
        <v>1059</v>
      </c>
      <c r="O39" s="2" t="s">
        <v>1060</v>
      </c>
      <c r="P39" s="2" t="s">
        <v>1061</v>
      </c>
      <c r="Q39" s="2" t="s">
        <v>1062</v>
      </c>
      <c r="R39" s="2" t="s">
        <v>1063</v>
      </c>
      <c r="S39" s="2" t="s">
        <v>1064</v>
      </c>
      <c r="T39" s="2" t="s">
        <v>1065</v>
      </c>
      <c r="U39" s="2" t="s">
        <v>380</v>
      </c>
      <c r="V39" s="2" t="s">
        <v>1128</v>
      </c>
    </row>
    <row r="40" spans="1:22" hidden="1" x14ac:dyDescent="0.2">
      <c r="A40" t="str">
        <f>B1</f>
        <v>heat, residential, by combustion of hydrogen using boiler, transported by pipeline, produced by Steam Methane Reforming using natural gas from Switzerland</v>
      </c>
      <c r="B40" s="45">
        <v>1</v>
      </c>
      <c r="C40" t="str">
        <f>B7</f>
        <v>megajoule</v>
      </c>
      <c r="E40" t="str">
        <f>B4</f>
        <v>CH</v>
      </c>
      <c r="F40" t="s">
        <v>62</v>
      </c>
      <c r="G40" t="str">
        <f>B6</f>
        <v>heat, from residential heating system</v>
      </c>
      <c r="K40" t="str">
        <f>B1</f>
        <v>heat, residential, by combustion of hydrogen using boiler, transported by pipeline, produced by Steam Methane Reforming using natural gas from Switzerland</v>
      </c>
    </row>
    <row r="41" spans="1:22" hidden="1" x14ac:dyDescent="0.2">
      <c r="A41" t="s">
        <v>83</v>
      </c>
      <c r="B41" s="52">
        <f>1/(B32*B34*B33*3.6)</f>
        <v>4.4091710758377425E-7</v>
      </c>
      <c r="C41" t="s">
        <v>55</v>
      </c>
      <c r="E41" t="s">
        <v>85</v>
      </c>
      <c r="F41" t="s">
        <v>86</v>
      </c>
      <c r="G41" t="s">
        <v>84</v>
      </c>
      <c r="H41" t="s">
        <v>88</v>
      </c>
      <c r="K41" t="str">
        <f>B1</f>
        <v>heat, residential, by combustion of hydrogen using boiler, transported by pipeline, produced by Steam Methane Reforming using natural gas from Switzerland</v>
      </c>
      <c r="L41">
        <f t="shared" ref="L41" si="0">IF(OR(B41&lt;0,B41=0),1,2)</f>
        <v>2</v>
      </c>
      <c r="M41">
        <f t="shared" ref="M41" si="1">IF(L41=2,LN(B41),"")</f>
        <v>-14.634408943829779</v>
      </c>
      <c r="N41">
        <v>1.05</v>
      </c>
      <c r="O41" s="15">
        <v>1.2</v>
      </c>
      <c r="P41">
        <v>1</v>
      </c>
      <c r="Q41">
        <v>1.01</v>
      </c>
      <c r="R41">
        <v>1.2</v>
      </c>
      <c r="S41">
        <v>1.2</v>
      </c>
      <c r="T41">
        <v>3</v>
      </c>
      <c r="U41">
        <f>LN(SQRT(EXP(
SQRT(
+POWER(LN(N41),2)
+POWER(LN(O41),2)
+POWER(LN(P41),2)
+POWER(LN(Q41),2)
+POWER(LN(R41),2)
+POWER(LN(S41),2)
+POWER(LN(T41),2)
)
)))</f>
        <v>0.57209088006881903</v>
      </c>
    </row>
    <row r="42" spans="1:22" hidden="1" x14ac:dyDescent="0.2">
      <c r="A42" t="s">
        <v>500</v>
      </c>
      <c r="B42" s="52">
        <f>B41*2</f>
        <v>8.8183421516754851E-7</v>
      </c>
      <c r="C42" t="s">
        <v>267</v>
      </c>
      <c r="E42" t="s">
        <v>85</v>
      </c>
      <c r="F42" t="s">
        <v>86</v>
      </c>
      <c r="G42" t="s">
        <v>501</v>
      </c>
      <c r="H42" t="s">
        <v>88</v>
      </c>
      <c r="I42" t="s">
        <v>621</v>
      </c>
      <c r="K42" t="str">
        <f>B1</f>
        <v>heat, residential, by combustion of hydrogen using boiler, transported by pipeline, produced by Steam Methane Reforming using natural gas from Switzerland</v>
      </c>
      <c r="L42">
        <f t="shared" ref="L42:L46" si="2">IF(OR(B42&lt;0,B42=0),1,2)</f>
        <v>2</v>
      </c>
      <c r="M42">
        <f t="shared" ref="M42:M46" si="3">IF(L42=2,LN(B42),"")</f>
        <v>-13.941261763269834</v>
      </c>
      <c r="N42">
        <v>1.05</v>
      </c>
      <c r="O42" s="15">
        <v>1.2</v>
      </c>
      <c r="P42">
        <v>1</v>
      </c>
      <c r="Q42">
        <v>1.01</v>
      </c>
      <c r="R42">
        <v>1.2</v>
      </c>
      <c r="S42">
        <v>1.2</v>
      </c>
      <c r="T42">
        <v>3</v>
      </c>
      <c r="U42">
        <f t="shared" ref="U42:U46" si="4">LN(SQRT(EXP(
SQRT(
+POWER(LN(N42),2)
+POWER(LN(O42),2)
+POWER(LN(P42),2)
+POWER(LN(Q42),2)
+POWER(LN(R42),2)
+POWER(LN(S42),2)
+POWER(LN(T42),2)
)
)))</f>
        <v>0.57209088006881903</v>
      </c>
    </row>
    <row r="43" spans="1:22" hidden="1" x14ac:dyDescent="0.2">
      <c r="A43" t="s">
        <v>130</v>
      </c>
      <c r="B43" s="52">
        <v>2.64E-3</v>
      </c>
      <c r="C43" t="s">
        <v>92</v>
      </c>
      <c r="E43" t="s">
        <v>64</v>
      </c>
      <c r="F43" t="s">
        <v>86</v>
      </c>
      <c r="G43" t="s">
        <v>93</v>
      </c>
      <c r="H43" t="s">
        <v>78</v>
      </c>
      <c r="I43" t="s">
        <v>270</v>
      </c>
      <c r="J43" t="s">
        <v>67</v>
      </c>
      <c r="K43" t="str">
        <f>B1</f>
        <v>heat, residential, by combustion of hydrogen using boiler, transported by pipeline, produced by Steam Methane Reforming using natural gas from Switzerland</v>
      </c>
      <c r="L43">
        <f t="shared" si="2"/>
        <v>2</v>
      </c>
      <c r="M43">
        <f t="shared" si="3"/>
        <v>-5.9369763618239126</v>
      </c>
      <c r="N43">
        <v>1.05</v>
      </c>
      <c r="O43" s="15">
        <v>1.2</v>
      </c>
      <c r="P43">
        <v>1</v>
      </c>
      <c r="Q43">
        <v>1.01</v>
      </c>
      <c r="R43">
        <v>1.2</v>
      </c>
      <c r="S43">
        <v>1.2</v>
      </c>
      <c r="T43">
        <v>1.05</v>
      </c>
      <c r="U43">
        <f t="shared" si="4"/>
        <v>0.16169679924070957</v>
      </c>
    </row>
    <row r="44" spans="1:22" hidden="1" x14ac:dyDescent="0.2">
      <c r="A44" s="45" t="str">
        <f>"hydrogen supply, transported by "&amp;B15&amp;", produced by "&amp;B19&amp;" using "&amp;B20&amp;" from "&amp;B21</f>
        <v>hydrogen supply, transported by pipeline, produced by Steam Methane Reforming using natural gas from Switzerland</v>
      </c>
      <c r="B44" s="53">
        <f>(B40/B24)/B23</f>
        <v>8.8652482269503553E-3</v>
      </c>
      <c r="C44" t="s">
        <v>56</v>
      </c>
      <c r="E44" t="s">
        <v>64</v>
      </c>
      <c r="F44" t="s">
        <v>86</v>
      </c>
      <c r="G44" s="67" t="s">
        <v>1129</v>
      </c>
      <c r="H44" t="s">
        <v>76</v>
      </c>
      <c r="I44" t="s">
        <v>1054</v>
      </c>
      <c r="J44" t="s">
        <v>305</v>
      </c>
      <c r="K44" t="str">
        <f>B1</f>
        <v>heat, residential, by combustion of hydrogen using boiler, transported by pipeline, produced by Steam Methane Reforming using natural gas from Switzerland</v>
      </c>
      <c r="L44">
        <f t="shared" si="2"/>
        <v>2</v>
      </c>
      <c r="M44">
        <f t="shared" si="3"/>
        <v>-4.7256163390639587</v>
      </c>
      <c r="N44">
        <v>1.05</v>
      </c>
      <c r="O44" s="15">
        <v>1.2</v>
      </c>
      <c r="P44">
        <v>1</v>
      </c>
      <c r="Q44">
        <v>1.01</v>
      </c>
      <c r="R44">
        <v>1.2</v>
      </c>
      <c r="S44">
        <v>1.2</v>
      </c>
      <c r="T44">
        <v>1.05</v>
      </c>
      <c r="U44">
        <f t="shared" si="4"/>
        <v>0.16169679924070957</v>
      </c>
    </row>
    <row r="45" spans="1:22" hidden="1" x14ac:dyDescent="0.2">
      <c r="A45" t="s">
        <v>134</v>
      </c>
      <c r="B45" s="45">
        <f>B44*9</f>
        <v>7.9787234042553196E-2</v>
      </c>
      <c r="C45" t="s">
        <v>56</v>
      </c>
      <c r="D45" t="s">
        <v>100</v>
      </c>
      <c r="F45" t="s">
        <v>99</v>
      </c>
      <c r="H45" t="s">
        <v>131</v>
      </c>
      <c r="I45" t="s">
        <v>1058</v>
      </c>
      <c r="K45" t="str">
        <f>B1</f>
        <v>heat, residential, by combustion of hydrogen using boiler, transported by pipeline, produced by Steam Methane Reforming using natural gas from Switzerland</v>
      </c>
      <c r="L45">
        <f t="shared" si="2"/>
        <v>2</v>
      </c>
      <c r="M45">
        <f t="shared" si="3"/>
        <v>-2.5283917617277392</v>
      </c>
      <c r="N45">
        <v>1.05</v>
      </c>
      <c r="O45" s="15">
        <v>1.2</v>
      </c>
      <c r="P45">
        <v>1</v>
      </c>
      <c r="Q45">
        <v>1.01</v>
      </c>
      <c r="R45">
        <v>1.2</v>
      </c>
      <c r="S45">
        <v>1.2</v>
      </c>
      <c r="T45">
        <v>1.05</v>
      </c>
      <c r="U45">
        <f t="shared" si="4"/>
        <v>0.16169679924070957</v>
      </c>
    </row>
    <row r="46" spans="1:22" hidden="1" x14ac:dyDescent="0.2">
      <c r="A46" t="s">
        <v>135</v>
      </c>
      <c r="B46" s="45">
        <f>912.5/1000000*B44</f>
        <v>8.0895390070921995E-6</v>
      </c>
      <c r="C46" t="s">
        <v>56</v>
      </c>
      <c r="D46" t="s">
        <v>100</v>
      </c>
      <c r="F46" t="s">
        <v>99</v>
      </c>
      <c r="H46" t="s">
        <v>131</v>
      </c>
      <c r="I46" t="s">
        <v>1217</v>
      </c>
      <c r="K46" t="str">
        <f>B1</f>
        <v>heat, residential, by combustion of hydrogen using boiler, transported by pipeline, produced by Steam Methane Reforming using natural gas from Switzerland</v>
      </c>
      <c r="L46">
        <f t="shared" si="2"/>
        <v>2</v>
      </c>
      <c r="M46">
        <f t="shared" si="3"/>
        <v>-11.724938811571587</v>
      </c>
      <c r="N46">
        <v>1.05</v>
      </c>
      <c r="O46" s="15">
        <v>1.2</v>
      </c>
      <c r="P46">
        <v>1</v>
      </c>
      <c r="Q46">
        <v>1.01</v>
      </c>
      <c r="R46">
        <v>1.2</v>
      </c>
      <c r="S46">
        <v>1.2</v>
      </c>
      <c r="T46">
        <v>1.5</v>
      </c>
      <c r="U46">
        <f t="shared" si="4"/>
        <v>0.25816898211842121</v>
      </c>
    </row>
    <row r="47" spans="1:22" hidden="1" x14ac:dyDescent="0.2"/>
    <row r="48" spans="1:22" hidden="1" x14ac:dyDescent="0.2">
      <c r="A48" s="2" t="s">
        <v>50</v>
      </c>
      <c r="B48" s="44" t="str">
        <f>IF(B54="megajoule","heat","electricity")&amp;", residential, by "&amp;B59&amp;" of "&amp;B58&amp;" using "&amp;B60&amp;IF(B61&lt;&gt;0,", allocated by "&amp;B61,"")&amp;", transported by "&amp;B62&amp;", produced by "&amp;B66&amp;" using "&amp;B67&amp;" from "&amp;B68</f>
        <v>heat, residential, by combustion of hydrogen using CHP, allocated by exergy, transported by pipeline, produced by Steam Methane Reforming using natural gas from Switzerland</v>
      </c>
    </row>
    <row r="49" spans="1:2" hidden="1" x14ac:dyDescent="0.2">
      <c r="A49" t="s">
        <v>51</v>
      </c>
      <c r="B49" s="45" t="str">
        <f>"This dataset represents the supply of 1 "&amp;IF(B54="megajoule","megajoule of heat","kilowatt hour of electricity")&amp;" in a residence, by "&amp;B58&amp;" "&amp;B59&amp;" in a "&amp;B60&amp;". "&amp;" The hydrogen is transported by "&amp;B62&amp;" over "&amp;B63&amp;" km from regional storage. "&amp;" The "&amp;B58&amp;" is produced by  "&amp;B66&amp;", with "&amp;B67&amp;" from "&amp;B68&amp;" as feedstock. "&amp;A70&amp;": "&amp;(B70*100)&amp;"%. "&amp;A71&amp;": "&amp;B71&amp;". "&amp;A72&amp;": "&amp;B72&amp;". "&amp;A73&amp;": "&amp;(B73*100)&amp;"%. "&amp;A74&amp;": "&amp;(B74*100)&amp;"%. "&amp;A75&amp;": "&amp;(B75*100)&amp;"%. "&amp;A76&amp;": "&amp;B76&amp;". "&amp;A77&amp;": "&amp;B77&amp;". "&amp;A78&amp;": "&amp;(B78*100)&amp;"%. "&amp;A79&amp;": "&amp;B79&amp;". "&amp;A80&amp;": "&amp;B80&amp;". "&amp;A81&amp;": "&amp;B81&amp;". "&amp;A82&amp;": "&amp;B82&amp;".  For more information, refer to: "&amp;B50</f>
        <v>This dataset represents the supply of 1 megajoule of heat in a residence, by hydrogen combustion in a CHP.  The hydrogen is transported by pipeline over 500 km from regional storage.  The hydrogen is produced by  Steam Methane Reforming,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50" spans="1:2" hidden="1" x14ac:dyDescent="0.2">
      <c r="A50" t="s">
        <v>63</v>
      </c>
      <c r="B50" s="45" t="s">
        <v>660</v>
      </c>
    </row>
    <row r="51" spans="1:2" hidden="1" x14ac:dyDescent="0.2">
      <c r="A51" t="s">
        <v>52</v>
      </c>
      <c r="B51" s="45" t="s">
        <v>64</v>
      </c>
    </row>
    <row r="52" spans="1:2" hidden="1" x14ac:dyDescent="0.2">
      <c r="A52" t="s">
        <v>48</v>
      </c>
      <c r="B52" s="45">
        <v>122</v>
      </c>
    </row>
    <row r="53" spans="1:2" hidden="1" x14ac:dyDescent="0.2">
      <c r="A53" t="s">
        <v>54</v>
      </c>
      <c r="B53" s="45" t="str">
        <f>INDEX(overview!$B$4:$R$338,MATCH(B52,overview!$A$4:$A$338,0),MATCH(A53,overview!$B$3:$R$3,0))</f>
        <v>heat, from residential heating system</v>
      </c>
    </row>
    <row r="54" spans="1:2" hidden="1" x14ac:dyDescent="0.2">
      <c r="A54" t="s">
        <v>55</v>
      </c>
      <c r="B54" s="45" t="str">
        <f>INDEX(overview!$B$4:$R$338,MATCH(B52,overview!$A$4:$A$338,0),MATCH(A54,overview!$B$3:$R$3,0))</f>
        <v>megajoule</v>
      </c>
    </row>
    <row r="55" spans="1:2" hidden="1" x14ac:dyDescent="0.2">
      <c r="A55" t="s">
        <v>0</v>
      </c>
      <c r="B55" s="45" t="str">
        <f>INDEX(overview!$B$4:$R$338,MATCH(B52,overview!$A$4:$A$338,0),MATCH(A55,overview!$B$3:$R$3,0))</f>
        <v>Switzerland</v>
      </c>
    </row>
    <row r="56" spans="1:2" hidden="1" x14ac:dyDescent="0.2">
      <c r="A56" t="s">
        <v>1</v>
      </c>
      <c r="B56" s="45">
        <f>INDEX(overview!$B$4:$R$338,MATCH(B52,overview!$A$4:$A$338,0),MATCH(A56,overview!$B$3:$R$3,0))</f>
        <v>2020</v>
      </c>
    </row>
    <row r="57" spans="1:2" hidden="1" x14ac:dyDescent="0.2">
      <c r="A57" t="s">
        <v>2</v>
      </c>
      <c r="B57" s="45" t="str">
        <f>INDEX(overview!$B$4:$R$338,MATCH(B52,overview!$A$4:$A$338,0),MATCH(A57,overview!$B$3:$R$3,0))</f>
        <v>1 MJ heat</v>
      </c>
    </row>
    <row r="58" spans="1:2" hidden="1" x14ac:dyDescent="0.2">
      <c r="A58" t="s">
        <v>5</v>
      </c>
      <c r="B58" s="45" t="str">
        <f>INDEX(overview!$B$4:$R$338,MATCH(B52,overview!$A$4:$A$338,0),MATCH(A58,overview!$B$3:$R$3,0))</f>
        <v>hydrogen</v>
      </c>
    </row>
    <row r="59" spans="1:2" hidden="1" x14ac:dyDescent="0.2">
      <c r="A59" t="s">
        <v>3</v>
      </c>
      <c r="B59" s="45" t="str">
        <f>INDEX(overview!$B$4:$R$338,MATCH(B52,overview!$A$4:$A$338,0),MATCH(A59,overview!$B$3:$R$3,0))</f>
        <v>combustion</v>
      </c>
    </row>
    <row r="60" spans="1:2" hidden="1" x14ac:dyDescent="0.2">
      <c r="A60" t="s">
        <v>6</v>
      </c>
      <c r="B60" s="45" t="str">
        <f>INDEX(overview!$B$4:$R$338,MATCH(B52,overview!$A$4:$A$338,0),MATCH(A60,overview!$B$3:$R$3,0))</f>
        <v>CHP</v>
      </c>
    </row>
    <row r="61" spans="1:2" hidden="1" x14ac:dyDescent="0.2">
      <c r="A61" t="s">
        <v>39</v>
      </c>
      <c r="B61" s="45" t="str">
        <f>INDEX(overview!$B$4:$R$338,MATCH(B52,overview!$A$4:$A$338,0),MATCH(A61,overview!$B$3:$R$3,0))</f>
        <v>exergy</v>
      </c>
    </row>
    <row r="62" spans="1:2" hidden="1" x14ac:dyDescent="0.2">
      <c r="A62" t="s">
        <v>4</v>
      </c>
      <c r="B62" s="45" t="str">
        <f>INDEX(overview!$B$4:$R$338,MATCH(B52,overview!$A$4:$A$338,0),MATCH(A62,overview!$B$3:$R$3,0))</f>
        <v>pipeline</v>
      </c>
    </row>
    <row r="63" spans="1:2" hidden="1" x14ac:dyDescent="0.2">
      <c r="A63" t="s">
        <v>38</v>
      </c>
      <c r="B63" s="45">
        <f>INDEX(overview!$B$4:$R$338,MATCH(B52,overview!$A$4:$A$338,0),MATCH(A63,overview!$B$3:$R$3,0))</f>
        <v>500</v>
      </c>
    </row>
    <row r="64" spans="1:2" hidden="1" x14ac:dyDescent="0.2">
      <c r="A64" t="s">
        <v>12</v>
      </c>
      <c r="B64" s="45" t="str">
        <f>INDEX(overview!$B$4:$R$338,MATCH(B52,overview!$A$4:$A$338,0),MATCH(A64,overview!$B$3:$R$3,0))</f>
        <v>Pressure vessel for stationary storage</v>
      </c>
    </row>
    <row r="65" spans="1:2" hidden="1" x14ac:dyDescent="0.2">
      <c r="A65" t="s">
        <v>34</v>
      </c>
      <c r="B65" s="45">
        <f>INDEX(overview!$B$4:$R$338,MATCH(B52,overview!$A$4:$A$338,0),MATCH(A65,overview!$B$3:$R$3,0))</f>
        <v>0</v>
      </c>
    </row>
    <row r="66" spans="1:2" hidden="1" x14ac:dyDescent="0.2">
      <c r="A66" t="s">
        <v>15</v>
      </c>
      <c r="B66" s="45" t="str">
        <f>INDEX(overview!$B$4:$R$338,MATCH(B52,overview!$A$4:$A$338,0),MATCH(A66,overview!$B$3:$R$3,0))</f>
        <v>Steam Methane Reforming</v>
      </c>
    </row>
    <row r="67" spans="1:2" hidden="1" x14ac:dyDescent="0.2">
      <c r="A67" t="s">
        <v>14</v>
      </c>
      <c r="B67" s="45" t="str">
        <f>INDEX(overview!$B$4:$R$338,MATCH(B52,overview!$A$4:$A$338,0),MATCH(A67,overview!$B$3:$R$3,0))</f>
        <v>natural gas</v>
      </c>
    </row>
    <row r="68" spans="1:2" hidden="1" x14ac:dyDescent="0.2">
      <c r="A68" t="s">
        <v>26</v>
      </c>
      <c r="B68" s="45" t="str">
        <f>INDEX(overview!$B$4:$R$338,MATCH(B52,overview!$A$4:$A$338,0),MATCH(A68,overview!$B$3:$R$3,0))</f>
        <v>Switzerland</v>
      </c>
    </row>
    <row r="69" spans="1:2" hidden="1" x14ac:dyDescent="0.2">
      <c r="A69" t="s">
        <v>29</v>
      </c>
      <c r="B69" s="45">
        <f>INDEX(overview!$B$4:$R$338,MATCH(B52,overview!$A$4:$A$338,0),MATCH(A69,overview!$B$3:$R$3,0))</f>
        <v>0</v>
      </c>
    </row>
    <row r="70" spans="1:2" hidden="1" x14ac:dyDescent="0.2">
      <c r="A70" t="str">
        <f>IF(B54="megajoule","Heat","Electricity")&amp;" conversion efficiency [% LHV input]"</f>
        <v>Heat conversion efficiency [% LHV input]</v>
      </c>
      <c r="B70" s="46">
        <f>INDEX(parameters!$D$4:$N$20,MATCH(B58&amp;B60,parameters!$A$4:$A$20,0),MATCH(A70,parameters!$D$3:$N$3,0))</f>
        <v>0.41699999999999998</v>
      </c>
    </row>
    <row r="71" spans="1:2" hidden="1" x14ac:dyDescent="0.2">
      <c r="A71" t="str">
        <f>IF(B54="megajoule","LHV [MJ/kg]","LHV [kWh/kg]")</f>
        <v>LHV [MJ/kg]</v>
      </c>
      <c r="B71" s="47">
        <f>INDEX(parameters!$D$4:$N$20,MATCH(B58&amp;B60,parameters!$A$4:$A$20,0),MATCH(A71,parameters!$D$3:$N$3,0))</f>
        <v>120</v>
      </c>
    </row>
    <row r="72" spans="1:2" hidden="1" x14ac:dyDescent="0.2">
      <c r="A72" t="s">
        <v>41</v>
      </c>
      <c r="B72" s="48">
        <f>INDEX(parameters!$D$4:$N$20,MATCH(B58&amp;B60,parameters!$A$4:$A$20,0),MATCH(A72,parameters!$D$3:$N$3,0))</f>
        <v>2.6666666666666665E-2</v>
      </c>
    </row>
    <row r="73" spans="1:2" hidden="1" x14ac:dyDescent="0.2">
      <c r="A73" t="s">
        <v>45</v>
      </c>
      <c r="B73" s="46">
        <f>INDEX(parameters!$D$4:$N$20,MATCH(B58&amp;B60,parameters!$A$4:$A$20,0),MATCH(A73,parameters!$D$3:$N$3,0))</f>
        <v>0</v>
      </c>
    </row>
    <row r="74" spans="1:2" hidden="1" x14ac:dyDescent="0.2">
      <c r="A74" t="s">
        <v>46</v>
      </c>
      <c r="B74" s="46">
        <f>INDEX(parameters!$D$4:$N$20,MATCH(B58&amp;B60,parameters!$A$4:$A$20,0),MATCH(A74,parameters!$D$3:$N$3,0))</f>
        <v>1.4999999999999999E-2</v>
      </c>
    </row>
    <row r="75" spans="1:2" hidden="1" x14ac:dyDescent="0.2">
      <c r="A75" t="s">
        <v>43</v>
      </c>
      <c r="B75" s="46">
        <f>INDEX(parameters!$D$4:$N$20,MATCH(B58&amp;B60,parameters!$A$4:$A$20,0),MATCH(A75,parameters!$D$3:$N$3,0))</f>
        <v>0</v>
      </c>
    </row>
    <row r="76" spans="1:2" hidden="1" x14ac:dyDescent="0.2">
      <c r="A76" t="s">
        <v>44</v>
      </c>
      <c r="B76" s="46">
        <f>INDEX(parameters!$D$4:$N$20,MATCH(B58&amp;B60,parameters!$A$4:$A$20,0),MATCH(A76,parameters!$D$3:$N$3,0))</f>
        <v>0</v>
      </c>
    </row>
    <row r="77" spans="1:2" hidden="1" x14ac:dyDescent="0.2">
      <c r="A77" t="s">
        <v>634</v>
      </c>
      <c r="B77" s="50">
        <f>INDEX(parameters!$D$4:$Y$20,MATCH(B58&amp;B60,parameters!$A$4:$A$20,0),MATCH(A77,parameters!$D$3:$Y$3,0))</f>
        <v>351.41800246609125</v>
      </c>
    </row>
    <row r="78" spans="1:2" hidden="1" x14ac:dyDescent="0.2">
      <c r="A78" t="s">
        <v>82</v>
      </c>
      <c r="B78" s="46">
        <f>IF(B69&lt;&gt;0,VLOOKUP(B69,parameters!A98:B100,2,0),0)</f>
        <v>0</v>
      </c>
    </row>
    <row r="79" spans="1:2" hidden="1" x14ac:dyDescent="0.2">
      <c r="A79" t="s">
        <v>548</v>
      </c>
      <c r="B79" s="50">
        <f>INDEX(parameters!$D$4:$P$20,MATCH(B58&amp;B60,parameters!$A$4:$A$20,0),MATCH(A79,parameters!$D$3:$P$3,0))</f>
        <v>125</v>
      </c>
    </row>
    <row r="80" spans="1:2" hidden="1" x14ac:dyDescent="0.2">
      <c r="A80" t="s">
        <v>547</v>
      </c>
      <c r="B80" s="51">
        <f>INDEX(parameters!$D$4:$P$20,MATCH(B58&amp;B60,parameters!$A$4:$A$20,0),MATCH(A80,parameters!$D$3:$P$3,0))</f>
        <v>19.512195121951219</v>
      </c>
    </row>
    <row r="81" spans="1:22" hidden="1" x14ac:dyDescent="0.2">
      <c r="A81" t="s">
        <v>630</v>
      </c>
      <c r="B81" s="51">
        <f>INDEX(parameters!$D$4:$T$20,MATCH(B58&amp;B60,parameters!$A$4:$A$20,0),MATCH(A81,parameters!$D$3:$T$3,0))</f>
        <v>4100</v>
      </c>
    </row>
    <row r="82" spans="1:22" hidden="1" x14ac:dyDescent="0.2">
      <c r="A82" t="s">
        <v>1005</v>
      </c>
      <c r="B82" s="50">
        <f>IF(B54="megajoule",SUMIFS(allocation!$I$4:$I$30,allocation!$B$4:$B$30,B60,allocation!$C$4:$C$30,B61),SUMIFS(allocation!$J$4:$J$30,allocation!$B$4:$B$30,B60,allocation!$C$4:$C$30,B61))</f>
        <v>0.12860042227295038</v>
      </c>
    </row>
    <row r="83" spans="1:22" hidden="1" x14ac:dyDescent="0.2">
      <c r="A83" t="s">
        <v>1050</v>
      </c>
      <c r="B83" s="51">
        <f>INDEX(parameters!$D$4:$AB$20,MATCH(B58&amp;B60,parameters!$A$4:$A$20,0),MATCH(A83,parameters!$D$3:$AB$3,0))</f>
        <v>2220.7364520822662</v>
      </c>
    </row>
    <row r="84" spans="1:22" hidden="1" x14ac:dyDescent="0.2"/>
    <row r="85" spans="1:22" hidden="1" x14ac:dyDescent="0.2">
      <c r="A85" s="3" t="s">
        <v>57</v>
      </c>
    </row>
    <row r="86" spans="1:22" hidden="1" x14ac:dyDescent="0.2">
      <c r="A86" s="2" t="s">
        <v>58</v>
      </c>
      <c r="B86" s="44" t="s">
        <v>59</v>
      </c>
      <c r="C86" s="2" t="s">
        <v>55</v>
      </c>
      <c r="D86" s="2" t="s">
        <v>60</v>
      </c>
      <c r="E86" s="2" t="s">
        <v>52</v>
      </c>
      <c r="F86" s="2" t="s">
        <v>61</v>
      </c>
      <c r="G86" s="2" t="s">
        <v>54</v>
      </c>
      <c r="H86" s="2" t="s">
        <v>87</v>
      </c>
      <c r="I86" s="2" t="s">
        <v>51</v>
      </c>
      <c r="J86" s="2" t="s">
        <v>138</v>
      </c>
      <c r="K86" s="2" t="s">
        <v>136</v>
      </c>
      <c r="L86" s="2" t="s">
        <v>221</v>
      </c>
      <c r="M86" s="2" t="s">
        <v>379</v>
      </c>
      <c r="N86" s="2" t="s">
        <v>1059</v>
      </c>
      <c r="O86" s="2" t="s">
        <v>1060</v>
      </c>
      <c r="P86" s="2" t="s">
        <v>1061</v>
      </c>
      <c r="Q86" s="2" t="s">
        <v>1062</v>
      </c>
      <c r="R86" s="2" t="s">
        <v>1063</v>
      </c>
      <c r="S86" s="2" t="s">
        <v>1064</v>
      </c>
      <c r="T86" s="2" t="s">
        <v>1065</v>
      </c>
      <c r="U86" s="2" t="s">
        <v>380</v>
      </c>
      <c r="V86" s="2" t="s">
        <v>1128</v>
      </c>
    </row>
    <row r="87" spans="1:22" hidden="1" x14ac:dyDescent="0.2">
      <c r="A87" t="str">
        <f>B48</f>
        <v>heat, residential, by combustion of hydrogen using CHP, allocated by exergy, transported by pipeline, produced by Steam Methane Reforming using natural gas from Switzerland</v>
      </c>
      <c r="B87" s="45">
        <v>1</v>
      </c>
      <c r="C87" t="str">
        <f>B54</f>
        <v>megajoule</v>
      </c>
      <c r="E87" t="str">
        <f>B51</f>
        <v>CH</v>
      </c>
      <c r="F87" t="s">
        <v>62</v>
      </c>
      <c r="G87" t="str">
        <f>B53</f>
        <v>heat, from residential heating system</v>
      </c>
      <c r="K87" t="str">
        <f>B48</f>
        <v>heat, residential, by combustion of hydrogen using CHP, allocated by exergy, transported by pipeline, produced by Steam Methane Reforming using natural gas from Switzerland</v>
      </c>
    </row>
    <row r="88" spans="1:22" hidden="1" x14ac:dyDescent="0.2">
      <c r="A88" t="str">
        <f>VLOOKUP(J88,'dataset mapping'!$A$4:$E$69,2,0)</f>
        <v>heat and power co-generation unit construction, 160kW electrical, common components for heat+electricity</v>
      </c>
      <c r="B88" s="52">
        <f>(1/(B77*B81*B80*3.6))*B82</f>
        <v>1.270649883812899E-9</v>
      </c>
      <c r="C88" t="str">
        <f>VLOOKUP(J88,'dataset mapping'!$A$4:$E$69,5,0)</f>
        <v>unit</v>
      </c>
      <c r="E88" t="str">
        <f>VLOOKUP(J88,'dataset mapping'!$A$4:$E$69,4,0)</f>
        <v>RER</v>
      </c>
      <c r="F88" t="s">
        <v>86</v>
      </c>
      <c r="G88" t="str">
        <f>VLOOKUP(J88,'dataset mapping'!$A$4:$E$69,3,0)</f>
        <v>heat and power co-generation unit, 160kW electrical, common components for heat+electricity</v>
      </c>
      <c r="H88" t="s">
        <v>88</v>
      </c>
      <c r="J88" t="s">
        <v>145</v>
      </c>
      <c r="K88" t="str">
        <f>B48</f>
        <v>heat, residential, by combustion of hydrogen using CHP, allocated by exergy, transported by pipeline, produced by Steam Methane Reforming using natural gas from Switzerland</v>
      </c>
      <c r="L88">
        <f t="shared" ref="L88:L95" si="5">IF(OR(B88&lt;0,B88=0),1,2)</f>
        <v>2</v>
      </c>
      <c r="M88">
        <f t="shared" ref="M88:M95" si="6">IF(L88=2,LN(B88),"")</f>
        <v>-20.48373734782199</v>
      </c>
      <c r="N88">
        <v>1.05</v>
      </c>
      <c r="O88" s="15">
        <v>1.2</v>
      </c>
      <c r="P88">
        <v>1</v>
      </c>
      <c r="Q88">
        <v>1.01</v>
      </c>
      <c r="R88">
        <v>1.2</v>
      </c>
      <c r="S88">
        <v>1.2</v>
      </c>
      <c r="T88">
        <v>3</v>
      </c>
      <c r="U88">
        <f t="shared" ref="U88:U95" si="7">LN(SQRT(EXP(
SQRT(
+POWER(LN(N88),2)
+POWER(LN(O88),2)
+POWER(LN(P88),2)
+POWER(LN(Q88),2)
+POWER(LN(R88),2)
+POWER(LN(S88),2)
+POWER(LN(T88),2)
)
)))</f>
        <v>0.57209088006881903</v>
      </c>
    </row>
    <row r="89" spans="1:22" hidden="1" x14ac:dyDescent="0.2">
      <c r="A89" t="str">
        <f>VLOOKUP(J89,'dataset mapping'!$A$4:$E$69,2,0)</f>
        <v>heat and power co-generation unit construction, 160kW electrical, components for electricity only</v>
      </c>
      <c r="B89" s="52">
        <f>(1/(B77*B81*B80*3.6))*B82</f>
        <v>1.270649883812899E-9</v>
      </c>
      <c r="C89" t="str">
        <f>VLOOKUP(J89,'dataset mapping'!$A$4:$E$69,5,0)</f>
        <v>unit</v>
      </c>
      <c r="E89" t="str">
        <f>VLOOKUP(J89,'dataset mapping'!$A$4:$E$69,4,0)</f>
        <v>RER</v>
      </c>
      <c r="F89" t="s">
        <v>86</v>
      </c>
      <c r="G89" t="str">
        <f>VLOOKUP(J89,'dataset mapping'!$A$4:$E$69,3,0)</f>
        <v>heat and power co-generation unit, 160kW electrical, components for electricity only</v>
      </c>
      <c r="H89" t="s">
        <v>88</v>
      </c>
      <c r="J89" t="s">
        <v>146</v>
      </c>
      <c r="K89" t="str">
        <f>B48</f>
        <v>heat, residential, by combustion of hydrogen using CHP, allocated by exergy, transported by pipeline, produced by Steam Methane Reforming using natural gas from Switzerland</v>
      </c>
      <c r="L89">
        <f t="shared" si="5"/>
        <v>2</v>
      </c>
      <c r="M89">
        <f t="shared" si="6"/>
        <v>-20.48373734782199</v>
      </c>
      <c r="N89">
        <v>1.05</v>
      </c>
      <c r="O89" s="15">
        <v>1.2</v>
      </c>
      <c r="P89">
        <v>1</v>
      </c>
      <c r="Q89">
        <v>1.01</v>
      </c>
      <c r="R89">
        <v>1.2</v>
      </c>
      <c r="S89">
        <v>1.2</v>
      </c>
      <c r="T89">
        <v>3</v>
      </c>
      <c r="U89">
        <f t="shared" si="7"/>
        <v>0.57209088006881903</v>
      </c>
    </row>
    <row r="90" spans="1:22" hidden="1" x14ac:dyDescent="0.2">
      <c r="A90" t="str">
        <f>VLOOKUP(J90,'dataset mapping'!$A$4:$E$69,2,0)</f>
        <v>heat and power co-generation unit construction, 160kW electrical, components for heat only</v>
      </c>
      <c r="B90" s="52">
        <f>(1/(B77*B81*B80*3.6))*B82</f>
        <v>1.270649883812899E-9</v>
      </c>
      <c r="C90" t="str">
        <f>VLOOKUP(J90,'dataset mapping'!$A$4:$E$69,5,0)</f>
        <v>unit</v>
      </c>
      <c r="E90" t="str">
        <f>VLOOKUP(J90,'dataset mapping'!$A$4:$E$69,4,0)</f>
        <v>RER</v>
      </c>
      <c r="F90" t="s">
        <v>86</v>
      </c>
      <c r="G90" t="str">
        <f>VLOOKUP(J90,'dataset mapping'!$A$4:$E$69,3,0)</f>
        <v>heat and power co-generation unit, 160kW electrical, components for heat only</v>
      </c>
      <c r="H90" t="s">
        <v>88</v>
      </c>
      <c r="J90" t="s">
        <v>147</v>
      </c>
      <c r="K90" t="str">
        <f>B48</f>
        <v>heat, residential, by combustion of hydrogen using CHP, allocated by exergy, transported by pipeline, produced by Steam Methane Reforming using natural gas from Switzerland</v>
      </c>
      <c r="L90">
        <f t="shared" si="5"/>
        <v>2</v>
      </c>
      <c r="M90">
        <f t="shared" si="6"/>
        <v>-20.48373734782199</v>
      </c>
      <c r="N90">
        <v>1.05</v>
      </c>
      <c r="O90" s="15">
        <v>1.2</v>
      </c>
      <c r="P90">
        <v>1</v>
      </c>
      <c r="Q90">
        <v>1.01</v>
      </c>
      <c r="R90">
        <v>1.2</v>
      </c>
      <c r="S90">
        <v>1.2</v>
      </c>
      <c r="T90">
        <v>3</v>
      </c>
      <c r="U90">
        <f t="shared" si="7"/>
        <v>0.57209088006881903</v>
      </c>
    </row>
    <row r="91" spans="1:22" hidden="1" x14ac:dyDescent="0.2">
      <c r="A91" t="s">
        <v>156</v>
      </c>
      <c r="B91" s="52">
        <f>0.00000011366*B82</f>
        <v>1.461672399554354E-8</v>
      </c>
      <c r="C91" t="s">
        <v>56</v>
      </c>
      <c r="E91" t="s">
        <v>90</v>
      </c>
      <c r="F91" t="s">
        <v>86</v>
      </c>
      <c r="G91" t="s">
        <v>154</v>
      </c>
      <c r="H91" t="s">
        <v>155</v>
      </c>
      <c r="K91" t="str">
        <f>B48</f>
        <v>heat, residential, by combustion of hydrogen using CHP, allocated by exergy, transported by pipeline, produced by Steam Methane Reforming using natural gas from Switzerland</v>
      </c>
      <c r="L91">
        <f t="shared" si="5"/>
        <v>2</v>
      </c>
      <c r="M91">
        <f t="shared" si="6"/>
        <v>-18.041099484645969</v>
      </c>
      <c r="N91">
        <v>1.05</v>
      </c>
      <c r="O91" s="15">
        <v>1.2</v>
      </c>
      <c r="P91">
        <v>1</v>
      </c>
      <c r="Q91">
        <v>1.01</v>
      </c>
      <c r="R91">
        <v>1.2</v>
      </c>
      <c r="S91">
        <v>1.2</v>
      </c>
      <c r="T91">
        <v>1.05</v>
      </c>
      <c r="U91">
        <f t="shared" si="7"/>
        <v>0.16169679924070957</v>
      </c>
    </row>
    <row r="92" spans="1:22" hidden="1" x14ac:dyDescent="0.2">
      <c r="A92" t="s">
        <v>157</v>
      </c>
      <c r="B92" s="52">
        <f>0.00000011366*B82*-1</f>
        <v>-1.461672399554354E-8</v>
      </c>
      <c r="C92" t="s">
        <v>56</v>
      </c>
      <c r="E92" t="s">
        <v>64</v>
      </c>
      <c r="F92" t="s">
        <v>86</v>
      </c>
      <c r="G92" t="s">
        <v>158</v>
      </c>
      <c r="H92" t="s">
        <v>155</v>
      </c>
      <c r="K92" t="str">
        <f>B48</f>
        <v>heat, residential, by combustion of hydrogen using CHP, allocated by exergy, transported by pipeline, produced by Steam Methane Reforming using natural gas from Switzerland</v>
      </c>
      <c r="L92">
        <v>2</v>
      </c>
      <c r="M92">
        <f>IF(L92=2,LN(B92*-1),"")</f>
        <v>-18.041099484645969</v>
      </c>
      <c r="N92">
        <v>1.05</v>
      </c>
      <c r="O92" s="15">
        <v>1.2</v>
      </c>
      <c r="P92">
        <v>1</v>
      </c>
      <c r="Q92">
        <v>1.01</v>
      </c>
      <c r="R92">
        <v>1.2</v>
      </c>
      <c r="S92">
        <v>1.2</v>
      </c>
      <c r="T92">
        <v>3</v>
      </c>
      <c r="U92">
        <f>LN(SQRT(EXP(
SQRT(
+POWER(LN(N92),2)
+POWER(LN(O92),2)
+POWER(LN(P92),2)
+POWER(LN(Q92),2)
+POWER(LN(R92),2)
+POWER(LN(S92),2)
+POWER(LN(T92),2)
)
)))</f>
        <v>0.57209088006881903</v>
      </c>
      <c r="V92" t="b">
        <v>1</v>
      </c>
    </row>
    <row r="93" spans="1:22" hidden="1" x14ac:dyDescent="0.2">
      <c r="A93" s="45" t="str">
        <f>"hydrogen supply, transported by "&amp;B62&amp;", produced by "&amp;B66&amp;" using "&amp;B67&amp;" from "&amp;B68</f>
        <v>hydrogen supply, transported by pipeline, produced by Steam Methane Reforming using natural gas from Switzerland</v>
      </c>
      <c r="B93" s="53">
        <f>(B87/B71)/B70*B82</f>
        <v>2.56995248347223E-3</v>
      </c>
      <c r="C93" t="s">
        <v>56</v>
      </c>
      <c r="E93" t="s">
        <v>64</v>
      </c>
      <c r="F93" t="s">
        <v>86</v>
      </c>
      <c r="G93" s="67" t="s">
        <v>1129</v>
      </c>
      <c r="H93" t="s">
        <v>76</v>
      </c>
      <c r="I93" t="s">
        <v>1054</v>
      </c>
      <c r="J93" t="s">
        <v>305</v>
      </c>
      <c r="K93" t="str">
        <f>B48</f>
        <v>heat, residential, by combustion of hydrogen using CHP, allocated by exergy, transported by pipeline, produced by Steam Methane Reforming using natural gas from Switzerland</v>
      </c>
      <c r="L93">
        <f t="shared" si="5"/>
        <v>2</v>
      </c>
      <c r="M93">
        <f t="shared" si="6"/>
        <v>-5.9638678691672418</v>
      </c>
      <c r="N93">
        <v>1.05</v>
      </c>
      <c r="O93" s="15">
        <v>1.2</v>
      </c>
      <c r="P93">
        <v>1</v>
      </c>
      <c r="Q93">
        <v>1.01</v>
      </c>
      <c r="R93">
        <v>1.2</v>
      </c>
      <c r="S93">
        <v>1.2</v>
      </c>
      <c r="T93">
        <v>1.05</v>
      </c>
      <c r="U93">
        <f t="shared" si="7"/>
        <v>0.16169679924070957</v>
      </c>
    </row>
    <row r="94" spans="1:22" hidden="1" x14ac:dyDescent="0.2">
      <c r="A94" t="s">
        <v>134</v>
      </c>
      <c r="B94" s="45">
        <f>B93*9</f>
        <v>2.3129572351250072E-2</v>
      </c>
      <c r="C94" t="s">
        <v>56</v>
      </c>
      <c r="D94" t="s">
        <v>100</v>
      </c>
      <c r="F94" t="s">
        <v>99</v>
      </c>
      <c r="H94" t="s">
        <v>131</v>
      </c>
      <c r="I94" t="s">
        <v>1058</v>
      </c>
      <c r="K94" t="str">
        <f>B48</f>
        <v>heat, residential, by combustion of hydrogen using CHP, allocated by exergy, transported by pipeline, produced by Steam Methane Reforming using natural gas from Switzerland</v>
      </c>
      <c r="L94">
        <f t="shared" si="5"/>
        <v>2</v>
      </c>
      <c r="M94">
        <f t="shared" si="6"/>
        <v>-3.7666432918310226</v>
      </c>
      <c r="N94">
        <v>1.05</v>
      </c>
      <c r="O94" s="15">
        <v>1.2</v>
      </c>
      <c r="P94">
        <v>1</v>
      </c>
      <c r="Q94">
        <v>1.01</v>
      </c>
      <c r="R94">
        <v>1.2</v>
      </c>
      <c r="S94">
        <v>1.2</v>
      </c>
      <c r="T94">
        <v>1.05</v>
      </c>
      <c r="U94">
        <f t="shared" si="7"/>
        <v>0.16169679924070957</v>
      </c>
    </row>
    <row r="95" spans="1:22" hidden="1" x14ac:dyDescent="0.2">
      <c r="A95" t="s">
        <v>135</v>
      </c>
      <c r="B95" s="45">
        <f>912.5/1000000*B93</f>
        <v>2.3450816411684101E-6</v>
      </c>
      <c r="C95" t="s">
        <v>56</v>
      </c>
      <c r="D95" t="s">
        <v>100</v>
      </c>
      <c r="F95" t="s">
        <v>99</v>
      </c>
      <c r="H95" t="s">
        <v>131</v>
      </c>
      <c r="I95" t="s">
        <v>1217</v>
      </c>
      <c r="K95" t="str">
        <f>B48</f>
        <v>heat, residential, by combustion of hydrogen using CHP, allocated by exergy, transported by pipeline, produced by Steam Methane Reforming using natural gas from Switzerland</v>
      </c>
      <c r="L95">
        <f t="shared" si="5"/>
        <v>2</v>
      </c>
      <c r="M95">
        <f t="shared" si="6"/>
        <v>-12.963190341674869</v>
      </c>
      <c r="N95">
        <v>1.05</v>
      </c>
      <c r="O95" s="15">
        <v>1.2</v>
      </c>
      <c r="P95">
        <v>1</v>
      </c>
      <c r="Q95">
        <v>1.01</v>
      </c>
      <c r="R95">
        <v>1.2</v>
      </c>
      <c r="S95">
        <v>1.2</v>
      </c>
      <c r="T95">
        <v>1.5</v>
      </c>
      <c r="U95">
        <f t="shared" si="7"/>
        <v>0.25816898211842121</v>
      </c>
    </row>
    <row r="96" spans="1:22" hidden="1" x14ac:dyDescent="0.2"/>
    <row r="97" spans="1:2" hidden="1" x14ac:dyDescent="0.2">
      <c r="A97" s="2" t="s">
        <v>50</v>
      </c>
      <c r="B97" s="44" t="str">
        <f>IF(B103="megajoule","heat","electricity")&amp;", residential, by "&amp;B108&amp;" of "&amp;B107&amp;" using "&amp;B109&amp;IF(B110&lt;&gt;0,", allocated by "&amp;B110,"")&amp;", transported by "&amp;B111&amp;", produced by "&amp;B115&amp;" using "&amp;B116&amp;" from "&amp;B117</f>
        <v>heat, residential, by conversion of hydrogen using fuel cell, PEM, allocated by exergy, transported by pipeline, produced by Steam Methane Reforming using natural gas from Switzerland</v>
      </c>
    </row>
    <row r="98" spans="1:2" hidden="1" x14ac:dyDescent="0.2">
      <c r="A98" t="s">
        <v>51</v>
      </c>
      <c r="B98" s="45" t="e">
        <f>"This dataset represents the supply of 1 "&amp;IF(B103="megajoule","megajoule of heat","kilowatt hour of electricity")&amp;" in a residence, by "&amp;B107/3*40&amp;": "&amp;B128&amp;". "&amp;A129&amp;": "&amp;B129&amp;". "&amp;A130&amp;": "&amp;B130&amp;". "&amp;A131&amp;": "&amp;B131&amp;".  For more information, refer to: "&amp;B99</f>
        <v>#VALUE!</v>
      </c>
    </row>
    <row r="99" spans="1:2" hidden="1" x14ac:dyDescent="0.2">
      <c r="A99" t="s">
        <v>63</v>
      </c>
      <c r="B99" s="45" t="s">
        <v>660</v>
      </c>
    </row>
    <row r="100" spans="1:2" hidden="1" x14ac:dyDescent="0.2">
      <c r="A100" t="s">
        <v>52</v>
      </c>
      <c r="B100" s="45" t="s">
        <v>64</v>
      </c>
    </row>
    <row r="101" spans="1:2" hidden="1" x14ac:dyDescent="0.2">
      <c r="A101" t="s">
        <v>48</v>
      </c>
      <c r="B101" s="45">
        <v>123</v>
      </c>
    </row>
    <row r="102" spans="1:2" hidden="1" x14ac:dyDescent="0.2">
      <c r="A102" t="s">
        <v>54</v>
      </c>
      <c r="B102" s="45" t="str">
        <f>INDEX(overview!$B$4:$R$338,MATCH(B101,overview!$A$4:$A$338,0),MATCH(A102,overview!$B$3:$R$3,0))</f>
        <v>heat, from residential heating system</v>
      </c>
    </row>
    <row r="103" spans="1:2" hidden="1" x14ac:dyDescent="0.2">
      <c r="A103" t="s">
        <v>55</v>
      </c>
      <c r="B103" s="45" t="str">
        <f>INDEX(overview!$B$4:$R$338,MATCH(B101,overview!$A$4:$A$338,0),MATCH(A103,overview!$B$3:$R$3,0))</f>
        <v>megajoule</v>
      </c>
    </row>
    <row r="104" spans="1:2" hidden="1" x14ac:dyDescent="0.2">
      <c r="A104" t="s">
        <v>0</v>
      </c>
      <c r="B104" s="45" t="str">
        <f>INDEX(overview!$B$4:$R$338,MATCH(B101,overview!$A$4:$A$338,0),MATCH(A104,overview!$B$3:$R$3,0))</f>
        <v>Switzerland</v>
      </c>
    </row>
    <row r="105" spans="1:2" hidden="1" x14ac:dyDescent="0.2">
      <c r="A105" t="s">
        <v>1</v>
      </c>
      <c r="B105" s="45">
        <f>INDEX(overview!$B$4:$R$338,MATCH(B101,overview!$A$4:$A$338,0),MATCH(A105,overview!$B$3:$R$3,0))</f>
        <v>2020</v>
      </c>
    </row>
    <row r="106" spans="1:2" hidden="1" x14ac:dyDescent="0.2">
      <c r="A106" t="s">
        <v>2</v>
      </c>
      <c r="B106" s="45" t="str">
        <f>INDEX(overview!$B$4:$R$338,MATCH(B101,overview!$A$4:$A$338,0),MATCH(A106,overview!$B$3:$R$3,0))</f>
        <v>1 MJ heat</v>
      </c>
    </row>
    <row r="107" spans="1:2" hidden="1" x14ac:dyDescent="0.2">
      <c r="A107" t="s">
        <v>5</v>
      </c>
      <c r="B107" s="45" t="str">
        <f>INDEX(overview!$B$4:$R$338,MATCH(B101,overview!$A$4:$A$338,0),MATCH(A107,overview!$B$3:$R$3,0))</f>
        <v>hydrogen</v>
      </c>
    </row>
    <row r="108" spans="1:2" hidden="1" x14ac:dyDescent="0.2">
      <c r="A108" t="s">
        <v>3</v>
      </c>
      <c r="B108" s="45" t="str">
        <f>INDEX(overview!$B$4:$R$338,MATCH(B101,overview!$A$4:$A$338,0),MATCH(A108,overview!$B$3:$R$3,0))</f>
        <v>conversion</v>
      </c>
    </row>
    <row r="109" spans="1:2" hidden="1" x14ac:dyDescent="0.2">
      <c r="A109" t="s">
        <v>6</v>
      </c>
      <c r="B109" s="45" t="str">
        <f>INDEX(overview!$B$4:$R$338,MATCH(B101,overview!$A$4:$A$338,0),MATCH(A109,overview!$B$3:$R$3,0))</f>
        <v>fuel cell, PEM</v>
      </c>
    </row>
    <row r="110" spans="1:2" hidden="1" x14ac:dyDescent="0.2">
      <c r="A110" t="s">
        <v>39</v>
      </c>
      <c r="B110" s="45" t="str">
        <f>INDEX(overview!$B$4:$R$338,MATCH(B101,overview!$A$4:$A$338,0),MATCH(A110,overview!$B$3:$R$3,0))</f>
        <v>exergy</v>
      </c>
    </row>
    <row r="111" spans="1:2" hidden="1" x14ac:dyDescent="0.2">
      <c r="A111" t="s">
        <v>4</v>
      </c>
      <c r="B111" s="45" t="str">
        <f>INDEX(overview!$B$4:$R$338,MATCH(B101,overview!$A$4:$A$338,0),MATCH(A111,overview!$B$3:$R$3,0))</f>
        <v>pipeline</v>
      </c>
    </row>
    <row r="112" spans="1:2" hidden="1" x14ac:dyDescent="0.2">
      <c r="A112" t="s">
        <v>38</v>
      </c>
      <c r="B112" s="45">
        <f>INDEX(overview!$B$4:$R$338,MATCH(B101,overview!$A$4:$A$338,0),MATCH(A112,overview!$B$3:$R$3,0))</f>
        <v>500</v>
      </c>
    </row>
    <row r="113" spans="1:2" hidden="1" x14ac:dyDescent="0.2">
      <c r="A113" t="s">
        <v>12</v>
      </c>
      <c r="B113" s="45" t="str">
        <f>INDEX(overview!$B$4:$R$338,MATCH(B101,overview!$A$4:$A$338,0),MATCH(A113,overview!$B$3:$R$3,0))</f>
        <v>Pressure vessel for stationary storage</v>
      </c>
    </row>
    <row r="114" spans="1:2" hidden="1" x14ac:dyDescent="0.2">
      <c r="A114" t="s">
        <v>34</v>
      </c>
      <c r="B114" s="45">
        <f>INDEX(overview!$B$4:$R$338,MATCH(B101,overview!$A$4:$A$338,0),MATCH(A114,overview!$B$3:$R$3,0))</f>
        <v>0</v>
      </c>
    </row>
    <row r="115" spans="1:2" hidden="1" x14ac:dyDescent="0.2">
      <c r="A115" t="s">
        <v>15</v>
      </c>
      <c r="B115" s="45" t="str">
        <f>INDEX(overview!$B$4:$R$338,MATCH(B101,overview!$A$4:$A$338,0),MATCH(A115,overview!$B$3:$R$3,0))</f>
        <v>Steam Methane Reforming</v>
      </c>
    </row>
    <row r="116" spans="1:2" hidden="1" x14ac:dyDescent="0.2">
      <c r="A116" t="s">
        <v>14</v>
      </c>
      <c r="B116" s="45" t="str">
        <f>INDEX(overview!$B$4:$R$338,MATCH(B101,overview!$A$4:$A$338,0),MATCH(A116,overview!$B$3:$R$3,0))</f>
        <v>natural gas</v>
      </c>
    </row>
    <row r="117" spans="1:2" hidden="1" x14ac:dyDescent="0.2">
      <c r="A117" t="s">
        <v>26</v>
      </c>
      <c r="B117" s="45" t="str">
        <f>INDEX(overview!$B$4:$R$338,MATCH(B101,overview!$A$4:$A$338,0),MATCH(A117,overview!$B$3:$R$3,0))</f>
        <v>Switzerland</v>
      </c>
    </row>
    <row r="118" spans="1:2" hidden="1" x14ac:dyDescent="0.2">
      <c r="A118" t="s">
        <v>29</v>
      </c>
      <c r="B118" s="45">
        <f>INDEX(overview!$B$4:$R$338,MATCH(B101,overview!$A$4:$A$338,0),MATCH(A118,overview!$B$3:$R$3,0))</f>
        <v>0</v>
      </c>
    </row>
    <row r="119" spans="1:2" hidden="1" x14ac:dyDescent="0.2">
      <c r="A119" t="str">
        <f>IF(B103="megajoule","Heat","Electricity")&amp;" conversion efficiency [% LHV input]"</f>
        <v>Heat conversion efficiency [% LHV input]</v>
      </c>
      <c r="B119" s="46">
        <f>INDEX(parameters!$D$4:$N$20,MATCH(B107&amp;B109,parameters!$A$4:$A$20,0),MATCH(A119,parameters!$D$3:$N$3,0))</f>
        <v>0.5</v>
      </c>
    </row>
    <row r="120" spans="1:2" hidden="1" x14ac:dyDescent="0.2">
      <c r="A120" t="str">
        <f>IF(B103="megajoule","LHV [MJ/kg]","LHV [kWh/kg]")</f>
        <v>LHV [MJ/kg]</v>
      </c>
      <c r="B120" s="47">
        <f>INDEX(parameters!$D$4:$N$20,MATCH(B107&amp;B109,parameters!$A$4:$A$20,0),MATCH(A120,parameters!$D$3:$N$3,0))</f>
        <v>120</v>
      </c>
    </row>
    <row r="121" spans="1:2" hidden="1" x14ac:dyDescent="0.2">
      <c r="A121" t="s">
        <v>41</v>
      </c>
      <c r="B121" s="48">
        <f>INDEX(parameters!$D$4:$N$20,MATCH(B107&amp;B109,parameters!$A$4:$A$20,0),MATCH(A121,parameters!$D$3:$N$3,0))</f>
        <v>2.6666666666666665E-2</v>
      </c>
    </row>
    <row r="122" spans="1:2" hidden="1" x14ac:dyDescent="0.2">
      <c r="A122" t="s">
        <v>45</v>
      </c>
      <c r="B122" s="46">
        <f>INDEX(parameters!$D$4:$N$20,MATCH(B107&amp;B109,parameters!$A$4:$A$20,0),MATCH(A122,parameters!$D$3:$N$3,0))</f>
        <v>0</v>
      </c>
    </row>
    <row r="123" spans="1:2" hidden="1" x14ac:dyDescent="0.2">
      <c r="A123" t="s">
        <v>46</v>
      </c>
      <c r="B123" s="46">
        <f>INDEX(parameters!$D$4:$N$20,MATCH(B107&amp;B109,parameters!$A$4:$A$20,0),MATCH(A123,parameters!$D$3:$N$3,0))</f>
        <v>1.4999999999999999E-2</v>
      </c>
    </row>
    <row r="124" spans="1:2" hidden="1" x14ac:dyDescent="0.2">
      <c r="A124" t="s">
        <v>43</v>
      </c>
      <c r="B124" s="46">
        <f>INDEX(parameters!$D$4:$N$20,MATCH(B107&amp;B109,parameters!$A$4:$A$20,0),MATCH(A124,parameters!$D$3:$N$3,0))</f>
        <v>0</v>
      </c>
    </row>
    <row r="125" spans="1:2" hidden="1" x14ac:dyDescent="0.2">
      <c r="A125" t="s">
        <v>44</v>
      </c>
      <c r="B125" s="46">
        <f>INDEX(parameters!$D$4:$N$20,MATCH(B107&amp;B109,parameters!$A$4:$A$20,0),MATCH(A125,parameters!$D$3:$N$3,0))</f>
        <v>0</v>
      </c>
    </row>
    <row r="126" spans="1:2" hidden="1" x14ac:dyDescent="0.2">
      <c r="A126" t="s">
        <v>634</v>
      </c>
      <c r="B126" s="50">
        <f>INDEX(parameters!$D$4:$Y$20,MATCH(B107&amp;B109,parameters!$A$4:$A$20,0),MATCH(A126,parameters!$D$3:$Y$3,0))</f>
        <v>1.8947368421052633</v>
      </c>
    </row>
    <row r="127" spans="1:2" hidden="1" x14ac:dyDescent="0.2">
      <c r="A127" t="s">
        <v>82</v>
      </c>
      <c r="B127" s="46">
        <f>IF(B118&lt;&gt;0,VLOOKUP(B118,parameters!A152:B154,2,0),0)</f>
        <v>0</v>
      </c>
    </row>
    <row r="128" spans="1:2" hidden="1" x14ac:dyDescent="0.2">
      <c r="A128" t="s">
        <v>548</v>
      </c>
      <c r="B128" s="50" t="e">
        <f>INDEX(parameters!$D$4:$P$20,MATCH(B107/3*40,parameters!$D$3:$P$3,0))</f>
        <v>#VALUE!</v>
      </c>
    </row>
    <row r="129" spans="1:22" hidden="1" x14ac:dyDescent="0.2">
      <c r="A129" t="s">
        <v>547</v>
      </c>
      <c r="B129" s="51">
        <f>INDEX(parameters!$D$4:$P$20,MATCH(B107&amp;B109,parameters!$A$4:$A$20,0),MATCH(A129,parameters!$D$3:$P$3,0))</f>
        <v>4.8780487804878048</v>
      </c>
    </row>
    <row r="130" spans="1:22" hidden="1" x14ac:dyDescent="0.2">
      <c r="A130" t="s">
        <v>630</v>
      </c>
      <c r="B130" s="51">
        <f>INDEX(parameters!$D$4:$T$20,MATCH(B107&amp;B109,parameters!$A$4:$A$20,0),MATCH(A130,parameters!$D$3:$T$3,0))</f>
        <v>4100</v>
      </c>
    </row>
    <row r="131" spans="1:22" hidden="1" x14ac:dyDescent="0.2">
      <c r="A131" t="s">
        <v>1005</v>
      </c>
      <c r="B131" s="50">
        <f>IF(B103="megajoule",SUMIFS(allocation!$I$4:$I$30,allocation!$B$4:$B$30,B109,allocation!$C$4:$C$30,B110),SUMIFS(allocation!$J$4:$J$30,allocation!$B$4:$B$30,B109,allocation!$C$4:$C$30,B110))</f>
        <v>0.13933980798974457</v>
      </c>
    </row>
    <row r="132" spans="1:22" hidden="1" x14ac:dyDescent="0.2">
      <c r="A132" t="s">
        <v>1050</v>
      </c>
      <c r="B132" s="51">
        <f>INDEX(parameters!$D$4:$AB$20,MATCH(B107&amp;B109,parameters!$A$4:$A$20,0),MATCH(A132,parameters!$D$3:$AB$3,0))</f>
        <v>10.221606648199446</v>
      </c>
    </row>
    <row r="133" spans="1:22" hidden="1" x14ac:dyDescent="0.2"/>
    <row r="134" spans="1:22" hidden="1" x14ac:dyDescent="0.2">
      <c r="A134" s="3" t="s">
        <v>57</v>
      </c>
    </row>
    <row r="135" spans="1:22" hidden="1" x14ac:dyDescent="0.2">
      <c r="A135" s="2" t="s">
        <v>58</v>
      </c>
      <c r="B135" s="44" t="s">
        <v>59</v>
      </c>
      <c r="C135" s="2" t="s">
        <v>55</v>
      </c>
      <c r="D135" s="2" t="s">
        <v>60</v>
      </c>
      <c r="E135" s="2" t="s">
        <v>52</v>
      </c>
      <c r="F135" s="2" t="s">
        <v>61</v>
      </c>
      <c r="G135" s="2" t="s">
        <v>54</v>
      </c>
      <c r="H135" s="2" t="s">
        <v>87</v>
      </c>
      <c r="I135" s="2" t="s">
        <v>51</v>
      </c>
      <c r="J135" s="2" t="s">
        <v>138</v>
      </c>
      <c r="K135" s="2" t="s">
        <v>136</v>
      </c>
      <c r="L135" s="2" t="s">
        <v>221</v>
      </c>
      <c r="M135" s="2" t="s">
        <v>379</v>
      </c>
      <c r="N135" s="2" t="s">
        <v>1059</v>
      </c>
      <c r="O135" s="2" t="s">
        <v>1060</v>
      </c>
      <c r="P135" s="2" t="s">
        <v>1061</v>
      </c>
      <c r="Q135" s="2" t="s">
        <v>1062</v>
      </c>
      <c r="R135" s="2" t="s">
        <v>1063</v>
      </c>
      <c r="S135" s="2" t="s">
        <v>1064</v>
      </c>
      <c r="T135" s="2" t="s">
        <v>1065</v>
      </c>
      <c r="U135" s="2" t="s">
        <v>380</v>
      </c>
      <c r="V135" s="2" t="s">
        <v>1128</v>
      </c>
    </row>
    <row r="136" spans="1:22" x14ac:dyDescent="0.2">
      <c r="A136" t="str">
        <f>B97</f>
        <v>heat, residential, by conversion of hydrogen using fuel cell, PEM, allocated by exergy, transported by pipeline, produced by Steam Methane Reforming using natural gas from Switzerland</v>
      </c>
      <c r="B136" s="45">
        <v>1</v>
      </c>
      <c r="C136" t="str">
        <f>B103</f>
        <v>megajoule</v>
      </c>
      <c r="E136" t="str">
        <f>B100</f>
        <v>CH</v>
      </c>
      <c r="F136" t="s">
        <v>62</v>
      </c>
      <c r="G136" t="str">
        <f>B102</f>
        <v>heat, from residential heating system</v>
      </c>
      <c r="K136" t="str">
        <f>B97</f>
        <v>heat, residential, by conversion of hydrogen using fuel cell, PEM, allocated by exergy, transported by pipeline, produced by Steam Methane Reforming using natural gas from Switzerland</v>
      </c>
    </row>
    <row r="137" spans="1:22" hidden="1" x14ac:dyDescent="0.2">
      <c r="A137" t="str">
        <f>VLOOKUP(J137,'dataset mapping'!$A$4:$E$69,2,0)</f>
        <v>fuel cell system assembly, 1 kWe, proton exchange membrane (PEM)</v>
      </c>
      <c r="B137" s="52">
        <f>(1/(B126*B130*B129*3.6))*B131</f>
        <v>1.0213951974556892E-6</v>
      </c>
      <c r="C137" t="str">
        <f>VLOOKUP(J137,'dataset mapping'!$A$4:$E$69,5,0)</f>
        <v>unit</v>
      </c>
      <c r="E137" t="str">
        <f>VLOOKUP(J137,'dataset mapping'!$A$4:$E$69,4,0)</f>
        <v>GLO</v>
      </c>
      <c r="F137" t="s">
        <v>86</v>
      </c>
      <c r="G137" t="str">
        <f>VLOOKUP(J137,'dataset mapping'!$A$4:$E$69,3,0)</f>
        <v>fuel cell system, 1 kWe, proton exchange membrane (PEM)</v>
      </c>
      <c r="H137" t="s">
        <v>88</v>
      </c>
      <c r="I137" t="s">
        <v>272</v>
      </c>
      <c r="J137" t="s">
        <v>273</v>
      </c>
      <c r="K137" t="str">
        <f>B97</f>
        <v>heat, residential, by conversion of hydrogen using fuel cell, PEM, allocated by exergy, transported by pipeline, produced by Steam Methane Reforming using natural gas from Switzerland</v>
      </c>
      <c r="L137">
        <f t="shared" ref="L137:L139" si="8">IF(OR(B137&lt;0,B137=0),1,2)</f>
        <v>2</v>
      </c>
      <c r="M137">
        <f t="shared" ref="M137:M139" si="9">IF(L137=2,LN(B137),"")</f>
        <v>-13.794341024667077</v>
      </c>
      <c r="N137">
        <v>1</v>
      </c>
      <c r="O137" s="15">
        <v>1.2</v>
      </c>
      <c r="P137">
        <v>1</v>
      </c>
      <c r="Q137">
        <v>1.01</v>
      </c>
      <c r="R137">
        <v>1.2</v>
      </c>
      <c r="S137">
        <v>1.2</v>
      </c>
      <c r="T137">
        <v>3</v>
      </c>
      <c r="U137">
        <f t="shared" ref="U137:U139" si="10">LN(SQRT(EXP(
SQRT(
+POWER(LN(N137),2)
+POWER(LN(O137),2)
+POWER(LN(P137),2)
+POWER(LN(Q137),2)
+POWER(LN(R137),2)
+POWER(LN(S137),2)
+POWER(LN(T137),2)
)
)))</f>
        <v>0.57157051623399524</v>
      </c>
    </row>
    <row r="138" spans="1:22" hidden="1" x14ac:dyDescent="0.2">
      <c r="A138" s="45" t="str">
        <f>"hydrogen supply, transported by "&amp;B111&amp;", produced by "&amp;B115&amp;" using "&amp;B116&amp;" from "&amp;B117</f>
        <v>hydrogen supply, transported by pipeline, produced by Steam Methane Reforming using natural gas from Switzerland</v>
      </c>
      <c r="B138" s="53">
        <f>(B136/B120)/B119*B131</f>
        <v>2.3223301331624095E-3</v>
      </c>
      <c r="C138" t="s">
        <v>56</v>
      </c>
      <c r="E138" t="s">
        <v>64</v>
      </c>
      <c r="F138" t="s">
        <v>86</v>
      </c>
      <c r="G138" s="67" t="s">
        <v>1129</v>
      </c>
      <c r="H138" t="s">
        <v>76</v>
      </c>
      <c r="I138" t="s">
        <v>1054</v>
      </c>
      <c r="J138" t="s">
        <v>305</v>
      </c>
      <c r="K138" t="str">
        <f>B97</f>
        <v>heat, residential, by conversion of hydrogen using fuel cell, PEM, allocated by exergy, transported by pipeline, produced by Steam Methane Reforming using natural gas from Switzerland</v>
      </c>
      <c r="L138">
        <f t="shared" si="8"/>
        <v>2</v>
      </c>
      <c r="M138">
        <f t="shared" si="9"/>
        <v>-6.0651842296013152</v>
      </c>
      <c r="N138">
        <v>1</v>
      </c>
      <c r="O138" s="15">
        <v>1.2</v>
      </c>
      <c r="P138">
        <v>1</v>
      </c>
      <c r="Q138">
        <v>1.01</v>
      </c>
      <c r="R138">
        <v>1.2</v>
      </c>
      <c r="S138">
        <v>1.2</v>
      </c>
      <c r="T138">
        <v>1.05</v>
      </c>
      <c r="U138">
        <f t="shared" si="10"/>
        <v>0.15984597228197622</v>
      </c>
    </row>
    <row r="139" spans="1:22" hidden="1" x14ac:dyDescent="0.2">
      <c r="A139" t="s">
        <v>134</v>
      </c>
      <c r="B139" s="53">
        <f>B138*9</f>
        <v>2.0900971198461685E-2</v>
      </c>
      <c r="C139" t="s">
        <v>56</v>
      </c>
      <c r="D139" t="s">
        <v>100</v>
      </c>
      <c r="F139" t="s">
        <v>99</v>
      </c>
      <c r="H139" t="s">
        <v>131</v>
      </c>
      <c r="I139" t="s">
        <v>1057</v>
      </c>
      <c r="K139" t="str">
        <f>B97</f>
        <v>heat, residential, by conversion of hydrogen using fuel cell, PEM, allocated by exergy, transported by pipeline, produced by Steam Methane Reforming using natural gas from Switzerland</v>
      </c>
      <c r="L139">
        <f t="shared" si="8"/>
        <v>2</v>
      </c>
      <c r="M139">
        <f t="shared" si="9"/>
        <v>-3.8679596522650961</v>
      </c>
      <c r="N139">
        <v>1</v>
      </c>
      <c r="O139" s="15">
        <v>1.2</v>
      </c>
      <c r="P139">
        <v>1</v>
      </c>
      <c r="Q139">
        <v>1.01</v>
      </c>
      <c r="R139">
        <v>1.2</v>
      </c>
      <c r="S139">
        <v>1.2</v>
      </c>
      <c r="T139">
        <v>1.05</v>
      </c>
      <c r="U139">
        <f t="shared" si="10"/>
        <v>0.15984597228197622</v>
      </c>
    </row>
    <row r="140" spans="1:22" hidden="1" x14ac:dyDescent="0.2"/>
    <row r="141" spans="1:22" hidden="1" x14ac:dyDescent="0.2">
      <c r="A141" s="2" t="s">
        <v>50</v>
      </c>
      <c r="B141" s="44" t="str">
        <f>IF(B147="megajoule","heat","electricity")&amp;", residential, by "&amp;B152&amp;" of "&amp;B151&amp;" using "&amp;B153&amp;IF(B154&lt;&gt;0,", allocated by "&amp;B154,"")&amp;", transported by "&amp;B155&amp;", produced by "&amp;B159&amp;" using "&amp;B160&amp;" from "&amp;B161</f>
        <v>heat, residential, by conversion of hydrogen using fuel cell, SOFC, allocated by exergy, transported by pipeline, produced by Steam Methane Reforming using natural gas from Switzerland</v>
      </c>
    </row>
    <row r="142" spans="1:22" hidden="1" x14ac:dyDescent="0.2">
      <c r="A142" t="s">
        <v>51</v>
      </c>
      <c r="B142" s="45" t="str">
        <f>"This dataset represents the supply of 1 "&amp;IF(B147="megajoule","megajoule of heat","kilowatt hour of electricity")&amp;" in a residence, by "&amp;B151&amp;" "&amp;B152&amp;" in a "&amp;B153&amp;". "&amp;" The hydrogen is transported by "&amp;B155&amp;" over "&amp;B156&amp;" km from regional storage. "&amp;" The "&amp;B151&amp;" is produced by  "&amp;B159&amp;", with "&amp;B160&amp;" from "&amp;B161&amp;" as feedstock. "&amp;A163&amp;": "&amp;(B163*100)&amp;"%. "&amp;A164&amp;": "&amp;B164&amp;". "&amp;A165&amp;": "&amp;B165&amp;". "&amp;A166&amp;": "&amp;(B166*100)&amp;"%. "&amp;A167&amp;": "&amp;(B167*100)&amp;"%. "&amp;A168&amp;": "&amp;(B168*100)&amp;"%. "&amp;A169&amp;": "&amp;B169&amp;". "&amp;A170&amp;": "&amp;B170&amp;". "&amp;A171&amp;": "&amp;(B171*100)&amp;"%. "&amp;A172&amp;": "&amp;B172&amp;". "&amp;A173&amp;": "&amp;B173&amp;". "&amp;A174&amp;": "&amp;B174&amp;". "&amp;A175&amp;": "&amp;B175&amp;".  For more information, refer to: "&amp;B143</f>
        <v>This dataset represents the supply of 1 megajoule of heat in a residence, by hydrogen conversion in a fuel cell, SOFC.  The hydrogen is transported by pipeline over 500 km from regional storage.  The hydrogen is produced by  Steam Methane Reforming,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43" spans="1:22" hidden="1" x14ac:dyDescent="0.2">
      <c r="A143" t="s">
        <v>63</v>
      </c>
      <c r="B143" s="45" t="s">
        <v>660</v>
      </c>
    </row>
    <row r="144" spans="1:22" hidden="1" x14ac:dyDescent="0.2">
      <c r="A144" t="s">
        <v>52</v>
      </c>
      <c r="B144" s="45" t="s">
        <v>64</v>
      </c>
    </row>
    <row r="145" spans="1:2" hidden="1" x14ac:dyDescent="0.2">
      <c r="A145" t="s">
        <v>48</v>
      </c>
      <c r="B145" s="45">
        <v>124</v>
      </c>
    </row>
    <row r="146" spans="1:2" hidden="1" x14ac:dyDescent="0.2">
      <c r="A146" t="s">
        <v>54</v>
      </c>
      <c r="B146" s="45" t="str">
        <f>INDEX(overview!$B$4:$R$338,MATCH(B145,overview!$A$4:$A$338,0),MATCH(A146,overview!$B$3:$R$3,0))</f>
        <v>heat, from residential heating system</v>
      </c>
    </row>
    <row r="147" spans="1:2" hidden="1" x14ac:dyDescent="0.2">
      <c r="A147" t="s">
        <v>55</v>
      </c>
      <c r="B147" s="45" t="str">
        <f>INDEX(overview!$B$4:$R$338,MATCH(B145,overview!$A$4:$A$338,0),MATCH(A147,overview!$B$3:$R$3,0))</f>
        <v>megajoule</v>
      </c>
    </row>
    <row r="148" spans="1:2" hidden="1" x14ac:dyDescent="0.2">
      <c r="A148" t="s">
        <v>0</v>
      </c>
      <c r="B148" s="45" t="str">
        <f>INDEX(overview!$B$4:$R$338,MATCH(B145,overview!$A$4:$A$338,0),MATCH(A148,overview!$B$3:$R$3,0))</f>
        <v>Switzerland</v>
      </c>
    </row>
    <row r="149" spans="1:2" hidden="1" x14ac:dyDescent="0.2">
      <c r="A149" t="s">
        <v>1</v>
      </c>
      <c r="B149" s="45">
        <f>INDEX(overview!$B$4:$R$338,MATCH(B145,overview!$A$4:$A$338,0),MATCH(A149,overview!$B$3:$R$3,0))</f>
        <v>2020</v>
      </c>
    </row>
    <row r="150" spans="1:2" hidden="1" x14ac:dyDescent="0.2">
      <c r="A150" t="s">
        <v>2</v>
      </c>
      <c r="B150" s="45" t="str">
        <f>INDEX(overview!$B$4:$R$338,MATCH(B145,overview!$A$4:$A$338,0),MATCH(A150,overview!$B$3:$R$3,0))</f>
        <v>1 MJ heat</v>
      </c>
    </row>
    <row r="151" spans="1:2" hidden="1" x14ac:dyDescent="0.2">
      <c r="A151" t="s">
        <v>5</v>
      </c>
      <c r="B151" s="45" t="str">
        <f>INDEX(overview!$B$4:$R$338,MATCH(B145,overview!$A$4:$A$338,0),MATCH(A151,overview!$B$3:$R$3,0))</f>
        <v>hydrogen</v>
      </c>
    </row>
    <row r="152" spans="1:2" hidden="1" x14ac:dyDescent="0.2">
      <c r="A152" t="s">
        <v>3</v>
      </c>
      <c r="B152" s="45" t="str">
        <f>INDEX(overview!$B$4:$R$338,MATCH(B145,overview!$A$4:$A$338,0),MATCH(A152,overview!$B$3:$R$3,0))</f>
        <v>conversion</v>
      </c>
    </row>
    <row r="153" spans="1:2" hidden="1" x14ac:dyDescent="0.2">
      <c r="A153" t="s">
        <v>6</v>
      </c>
      <c r="B153" s="45" t="str">
        <f>INDEX(overview!$B$4:$R$338,MATCH(B145,overview!$A$4:$A$338,0),MATCH(A153,overview!$B$3:$R$3,0))</f>
        <v>fuel cell, SOFC</v>
      </c>
    </row>
    <row r="154" spans="1:2" hidden="1" x14ac:dyDescent="0.2">
      <c r="A154" t="s">
        <v>39</v>
      </c>
      <c r="B154" s="45" t="str">
        <f>INDEX(overview!$B$4:$R$338,MATCH(B145,overview!$A$4:$A$338,0),MATCH(A154,overview!$B$3:$R$3,0))</f>
        <v>exergy</v>
      </c>
    </row>
    <row r="155" spans="1:2" hidden="1" x14ac:dyDescent="0.2">
      <c r="A155" t="s">
        <v>4</v>
      </c>
      <c r="B155" s="45" t="str">
        <f>INDEX(overview!$B$4:$R$338,MATCH(B145,overview!$A$4:$A$338,0),MATCH(A155,overview!$B$3:$R$3,0))</f>
        <v>pipeline</v>
      </c>
    </row>
    <row r="156" spans="1:2" hidden="1" x14ac:dyDescent="0.2">
      <c r="A156" t="s">
        <v>38</v>
      </c>
      <c r="B156" s="45">
        <f>INDEX(overview!$B$4:$R$338,MATCH(B145,overview!$A$4:$A$338,0),MATCH(A156,overview!$B$3:$R$3,0))</f>
        <v>500</v>
      </c>
    </row>
    <row r="157" spans="1:2" hidden="1" x14ac:dyDescent="0.2">
      <c r="A157" t="s">
        <v>12</v>
      </c>
      <c r="B157" s="45" t="str">
        <f>INDEX(overview!$B$4:$R$338,MATCH(B145,overview!$A$4:$A$338,0),MATCH(A157,overview!$B$3:$R$3,0))</f>
        <v>Pressure vessel for stationary storage</v>
      </c>
    </row>
    <row r="158" spans="1:2" hidden="1" x14ac:dyDescent="0.2">
      <c r="A158" t="s">
        <v>34</v>
      </c>
      <c r="B158" s="45">
        <f>INDEX(overview!$B$4:$R$338,MATCH(B145,overview!$A$4:$A$338,0),MATCH(A158,overview!$B$3:$R$3,0))</f>
        <v>0</v>
      </c>
    </row>
    <row r="159" spans="1:2" hidden="1" x14ac:dyDescent="0.2">
      <c r="A159" t="s">
        <v>15</v>
      </c>
      <c r="B159" s="45" t="str">
        <f>INDEX(overview!$B$4:$R$338,MATCH(B145,overview!$A$4:$A$338,0),MATCH(A159,overview!$B$3:$R$3,0))</f>
        <v>Steam Methane Reforming</v>
      </c>
    </row>
    <row r="160" spans="1:2" hidden="1" x14ac:dyDescent="0.2">
      <c r="A160" t="s">
        <v>14</v>
      </c>
      <c r="B160" s="45" t="str">
        <f>INDEX(overview!$B$4:$R$338,MATCH(B145,overview!$A$4:$A$338,0),MATCH(A160,overview!$B$3:$R$3,0))</f>
        <v>natural gas</v>
      </c>
    </row>
    <row r="161" spans="1:4" hidden="1" x14ac:dyDescent="0.2">
      <c r="A161" t="s">
        <v>26</v>
      </c>
      <c r="B161" s="45" t="str">
        <f>INDEX(overview!$B$4:$R$338,MATCH(B145,overview!$A$4:$A$338,0),MATCH(A161,overview!$B$3:$R$3,0))</f>
        <v>Switzerland</v>
      </c>
    </row>
    <row r="162" spans="1:4" hidden="1" x14ac:dyDescent="0.2">
      <c r="A162" t="s">
        <v>29</v>
      </c>
      <c r="B162" s="45">
        <f>INDEX(overview!$B$4:$R$338,MATCH(B145,overview!$A$4:$A$338,0),MATCH(A162,overview!$B$3:$R$3,0))</f>
        <v>0</v>
      </c>
    </row>
    <row r="163" spans="1:4" hidden="1" x14ac:dyDescent="0.2">
      <c r="A163" t="str">
        <f>IF(B147="megajoule","Heat","Electricity")&amp;" conversion efficiency [% LHV input]"</f>
        <v>Heat conversion efficiency [% LHV input]</v>
      </c>
      <c r="B163" s="46">
        <f>INDEX(parameters!$D$4:$N$20,MATCH(B151&amp;B153,parameters!$A$4:$A$20,0),MATCH(A163,parameters!$D$3:$N$3,0))</f>
        <v>0.53</v>
      </c>
    </row>
    <row r="164" spans="1:4" hidden="1" x14ac:dyDescent="0.2">
      <c r="A164" t="str">
        <f>IF(B147="megajoule","LHV [MJ/kg]","LHV [kWh/kg]")</f>
        <v>LHV [MJ/kg]</v>
      </c>
      <c r="B164" s="47">
        <f>INDEX(parameters!$D$4:$N$20,MATCH(B151&amp;B153,parameters!$A$4:$A$20,0),MATCH(A164,parameters!$D$3:$N$3,0))</f>
        <v>120</v>
      </c>
    </row>
    <row r="165" spans="1:4" hidden="1" x14ac:dyDescent="0.2">
      <c r="A165" t="s">
        <v>41</v>
      </c>
      <c r="B165" s="48">
        <f>INDEX(parameters!$D$4:$N$20,MATCH(B151&amp;B153,parameters!$A$4:$A$20,0),MATCH(A165,parameters!$D$3:$N$3,0))</f>
        <v>2.6666666666666665E-2</v>
      </c>
    </row>
    <row r="166" spans="1:4" hidden="1" x14ac:dyDescent="0.2">
      <c r="A166" t="s">
        <v>45</v>
      </c>
      <c r="B166" s="46">
        <f>INDEX(parameters!$D$4:$N$20,MATCH(B151&amp;B153,parameters!$A$4:$A$20,0),MATCH(A166,parameters!$D$3:$N$3,0))</f>
        <v>0</v>
      </c>
    </row>
    <row r="167" spans="1:4" hidden="1" x14ac:dyDescent="0.2">
      <c r="A167" t="s">
        <v>46</v>
      </c>
      <c r="B167" s="46">
        <f>INDEX(parameters!$D$4:$N$20,MATCH(B151&amp;B153,parameters!$A$4:$A$20,0),MATCH(A167,parameters!$D$3:$N$3,0))</f>
        <v>1.4999999999999999E-2</v>
      </c>
    </row>
    <row r="168" spans="1:4" hidden="1" x14ac:dyDescent="0.2">
      <c r="A168" t="s">
        <v>43</v>
      </c>
      <c r="B168" s="46">
        <f>INDEX(parameters!$D$4:$N$20,MATCH(B151&amp;B153,parameters!$A$4:$A$20,0),MATCH(A168,parameters!$D$3:$N$3,0))</f>
        <v>0</v>
      </c>
    </row>
    <row r="169" spans="1:4" hidden="1" x14ac:dyDescent="0.2">
      <c r="A169" t="s">
        <v>44</v>
      </c>
      <c r="B169" s="46">
        <f>INDEX(parameters!$D$4:$N$20,MATCH(B151&amp;B153,parameters!$A$4:$A$20,0),MATCH(A169,parameters!$D$3:$N$3,0))</f>
        <v>0</v>
      </c>
    </row>
    <row r="170" spans="1:4" hidden="1" x14ac:dyDescent="0.2">
      <c r="A170" t="s">
        <v>634</v>
      </c>
      <c r="B170" s="50">
        <f>INDEX(parameters!$D$4:$Y$20,MATCH(B151&amp;B153,parameters!$A$4:$A$20,0),MATCH(A170,parameters!$D$3:$Y$3,0))</f>
        <v>225</v>
      </c>
      <c r="D170" s="8"/>
    </row>
    <row r="171" spans="1:4" hidden="1" x14ac:dyDescent="0.2">
      <c r="A171" t="s">
        <v>82</v>
      </c>
      <c r="B171" s="46">
        <f>IF(B162&lt;&gt;0,VLOOKUP(B162,parameters!A201:B203,2,0),0)</f>
        <v>0</v>
      </c>
    </row>
    <row r="172" spans="1:4" hidden="1" x14ac:dyDescent="0.2">
      <c r="A172" t="s">
        <v>548</v>
      </c>
      <c r="B172" s="50">
        <f>INDEX(parameters!$D$4:$P$20,MATCH(B151&amp;B153,parameters!$A$4:$A$20,0),MATCH(A172,parameters!$D$3:$P$3,0))</f>
        <v>100</v>
      </c>
    </row>
    <row r="173" spans="1:4" hidden="1" x14ac:dyDescent="0.2">
      <c r="A173" t="s">
        <v>547</v>
      </c>
      <c r="B173" s="51">
        <f>INDEX(parameters!$D$4:$P$20,MATCH(B151&amp;B153,parameters!$A$4:$A$20,0),MATCH(A173,parameters!$D$3:$P$3,0))</f>
        <v>6</v>
      </c>
    </row>
    <row r="174" spans="1:4" hidden="1" x14ac:dyDescent="0.2">
      <c r="A174" t="s">
        <v>630</v>
      </c>
      <c r="B174" s="51">
        <f>INDEX(parameters!$D$4:$T$20,MATCH(B151&amp;B153,parameters!$A$4:$A$20,0),MATCH(A174,parameters!$D$3:$T$3,0))</f>
        <v>4100</v>
      </c>
    </row>
    <row r="175" spans="1:4" hidden="1" x14ac:dyDescent="0.2">
      <c r="A175" t="s">
        <v>1005</v>
      </c>
      <c r="B175" s="50">
        <f>IF(B147="megajoule",SUMIFS(allocation!$I$4:$I$30,allocation!$B$4:$B$30,B153,allocation!$C$4:$C$30,B154),SUMIFS(allocation!$J$4:$J$30,allocation!$B$4:$B$30,B153,allocation!$C$4:$C$30,B154))</f>
        <v>0.13587506510399097</v>
      </c>
    </row>
    <row r="176" spans="1:4" hidden="1" x14ac:dyDescent="0.2">
      <c r="A176" t="s">
        <v>1050</v>
      </c>
      <c r="B176" s="51">
        <f>INDEX(parameters!$D$4:$AB$20,MATCH(B151&amp;B153,parameters!$A$4:$A$20,0),MATCH(A176,parameters!$D$3:$AB$3,0))</f>
        <v>1153.1249999999998</v>
      </c>
    </row>
    <row r="177" spans="1:22" hidden="1" x14ac:dyDescent="0.2"/>
    <row r="178" spans="1:22" hidden="1" x14ac:dyDescent="0.2">
      <c r="A178" s="3" t="s">
        <v>57</v>
      </c>
    </row>
    <row r="179" spans="1:22" hidden="1" x14ac:dyDescent="0.2">
      <c r="A179" s="2" t="s">
        <v>58</v>
      </c>
      <c r="B179" s="44" t="s">
        <v>59</v>
      </c>
      <c r="C179" s="2" t="s">
        <v>55</v>
      </c>
      <c r="D179" s="2" t="s">
        <v>60</v>
      </c>
      <c r="E179" s="2" t="s">
        <v>52</v>
      </c>
      <c r="F179" s="2" t="s">
        <v>61</v>
      </c>
      <c r="G179" s="2" t="s">
        <v>54</v>
      </c>
      <c r="H179" s="2" t="s">
        <v>87</v>
      </c>
      <c r="I179" s="2" t="s">
        <v>51</v>
      </c>
      <c r="J179" s="2" t="s">
        <v>138</v>
      </c>
      <c r="K179" s="2" t="s">
        <v>136</v>
      </c>
      <c r="L179" s="2" t="s">
        <v>221</v>
      </c>
      <c r="M179" s="2" t="s">
        <v>379</v>
      </c>
      <c r="N179" s="2" t="s">
        <v>1059</v>
      </c>
      <c r="O179" s="2" t="s">
        <v>1060</v>
      </c>
      <c r="P179" s="2" t="s">
        <v>1061</v>
      </c>
      <c r="Q179" s="2" t="s">
        <v>1062</v>
      </c>
      <c r="R179" s="2" t="s">
        <v>1063</v>
      </c>
      <c r="S179" s="2" t="s">
        <v>1064</v>
      </c>
      <c r="T179" s="2" t="s">
        <v>1065</v>
      </c>
      <c r="U179" s="2" t="s">
        <v>380</v>
      </c>
      <c r="V179" s="2" t="s">
        <v>1128</v>
      </c>
    </row>
    <row r="180" spans="1:22" x14ac:dyDescent="0.2">
      <c r="A180" t="str">
        <f>B141</f>
        <v>heat, residential, by conversion of hydrogen using fuel cell, SOFC, allocated by exergy, transported by pipeline, produced by Steam Methane Reforming using natural gas from Switzerland</v>
      </c>
      <c r="B180" s="45">
        <v>1</v>
      </c>
      <c r="C180" t="str">
        <f>B147</f>
        <v>megajoule</v>
      </c>
      <c r="E180" t="str">
        <f>B144</f>
        <v>CH</v>
      </c>
      <c r="F180" t="s">
        <v>62</v>
      </c>
      <c r="G180" t="str">
        <f>B146</f>
        <v>heat, from residential heating system</v>
      </c>
      <c r="K180" t="str">
        <f>B141</f>
        <v>heat, residential, by conversion of hydrogen using fuel cell, SOFC, allocated by exergy, transported by pipeline, produced by Steam Methane Reforming using natural gas from Switzerland</v>
      </c>
    </row>
    <row r="181" spans="1:22" hidden="1" x14ac:dyDescent="0.2">
      <c r="A181" t="str">
        <f>VLOOKUP(J181,'dataset mapping'!$A$4:$E$69,2,0)</f>
        <v>fuel cell production, stack solid oxide, 125kW electrical, future</v>
      </c>
      <c r="B181" s="52">
        <f>1/(62*1000000)/B163*SUMIFS(allocation!$I$4:$I$30,allocation!$B$4:$B$30,B153,allocation!$C$4:$C$30,B154)</f>
        <v>4.1349685059035601E-9</v>
      </c>
      <c r="C181" t="str">
        <f>VLOOKUP(J181,'dataset mapping'!$A$4:$E$69,5,0)</f>
        <v>unit</v>
      </c>
      <c r="E181" t="str">
        <f>VLOOKUP(J181,'dataset mapping'!$A$4:$E$69,4,0)</f>
        <v>CH</v>
      </c>
      <c r="F181" t="s">
        <v>86</v>
      </c>
      <c r="G181" t="str">
        <f>VLOOKUP(J181,'dataset mapping'!$A$4:$E$69,3,0)</f>
        <v>fuel cell, stack solid oxide, 125kW electrical, future</v>
      </c>
      <c r="H181" t="s">
        <v>88</v>
      </c>
      <c r="I181" t="s">
        <v>277</v>
      </c>
      <c r="J181" t="s">
        <v>274</v>
      </c>
      <c r="K181" t="str">
        <f>B141</f>
        <v>heat, residential, by conversion of hydrogen using fuel cell, SOFC, allocated by exergy, transported by pipeline, produced by Steam Methane Reforming using natural gas from Switzerland</v>
      </c>
      <c r="L181">
        <f t="shared" ref="L181:L186" si="11">IF(OR(B181&lt;0,B181=0),1,2)</f>
        <v>2</v>
      </c>
      <c r="M181">
        <f t="shared" ref="M181:M186" si="12">IF(L181=2,LN(B181),"")</f>
        <v>-19.303786124968067</v>
      </c>
      <c r="N181">
        <v>1</v>
      </c>
      <c r="O181" s="15">
        <v>1.2</v>
      </c>
      <c r="P181">
        <v>1</v>
      </c>
      <c r="Q181">
        <v>1.01</v>
      </c>
      <c r="R181">
        <v>1.2</v>
      </c>
      <c r="S181">
        <v>1.2</v>
      </c>
      <c r="T181">
        <v>3</v>
      </c>
      <c r="U181">
        <f t="shared" ref="U181:U186" si="13">LN(SQRT(EXP(
SQRT(
+POWER(LN(N181),2)
+POWER(LN(O181),2)
+POWER(LN(P181),2)
+POWER(LN(Q181),2)
+POWER(LN(R181),2)
+POWER(LN(S181),2)
+POWER(LN(T181),2)
)
)))</f>
        <v>0.57157051623399524</v>
      </c>
    </row>
    <row r="182" spans="1:22" hidden="1" x14ac:dyDescent="0.2">
      <c r="A182" t="s">
        <v>283</v>
      </c>
      <c r="B182" s="52">
        <f>0.000000145/B163*SUMIFS(allocation!$I$4:$I$30,allocation!$B$4:$B$30,B153,allocation!$C$4:$C$30,B154)</f>
        <v>3.7173366868072996E-8</v>
      </c>
      <c r="C182" t="s">
        <v>55</v>
      </c>
      <c r="E182" t="s">
        <v>64</v>
      </c>
      <c r="F182" t="s">
        <v>86</v>
      </c>
      <c r="G182" t="s">
        <v>284</v>
      </c>
      <c r="H182" t="s">
        <v>88</v>
      </c>
      <c r="I182" t="s">
        <v>277</v>
      </c>
      <c r="K182" t="str">
        <f>B141</f>
        <v>heat, residential, by conversion of hydrogen using fuel cell, SOFC, allocated by exergy, transported by pipeline, produced by Steam Methane Reforming using natural gas from Switzerland</v>
      </c>
      <c r="L182">
        <f t="shared" si="11"/>
        <v>2</v>
      </c>
      <c r="M182">
        <f t="shared" si="12"/>
        <v>-17.107673276484537</v>
      </c>
      <c r="N182">
        <v>1</v>
      </c>
      <c r="O182" s="15">
        <v>1.2</v>
      </c>
      <c r="P182">
        <v>1</v>
      </c>
      <c r="Q182">
        <v>1.01</v>
      </c>
      <c r="R182">
        <v>1.2</v>
      </c>
      <c r="S182">
        <v>1.2</v>
      </c>
      <c r="T182">
        <v>3</v>
      </c>
      <c r="U182">
        <f t="shared" si="13"/>
        <v>0.57157051623399524</v>
      </c>
    </row>
    <row r="183" spans="1:22" hidden="1" x14ac:dyDescent="0.2">
      <c r="A183" t="s">
        <v>285</v>
      </c>
      <c r="B183" s="52">
        <f>0.0000000115/B163*SUMIFS(allocation!$I$4:$I$30,allocation!$B$4:$B$30,B153,allocation!$C$4:$C$30,B154)</f>
        <v>2.9482325447092381E-9</v>
      </c>
      <c r="C183" t="s">
        <v>55</v>
      </c>
      <c r="E183" t="s">
        <v>90</v>
      </c>
      <c r="F183" t="s">
        <v>86</v>
      </c>
      <c r="G183" t="s">
        <v>286</v>
      </c>
      <c r="H183" t="s">
        <v>88</v>
      </c>
      <c r="K183" t="str">
        <f>B141</f>
        <v>heat, residential, by conversion of hydrogen using fuel cell, SOFC, allocated by exergy, transported by pipeline, produced by Steam Methane Reforming using natural gas from Switzerland</v>
      </c>
      <c r="L183">
        <f t="shared" si="11"/>
        <v>2</v>
      </c>
      <c r="M183">
        <f t="shared" si="12"/>
        <v>-19.642059983535908</v>
      </c>
      <c r="N183">
        <v>1</v>
      </c>
      <c r="O183" s="15">
        <v>1.2</v>
      </c>
      <c r="P183">
        <v>1</v>
      </c>
      <c r="Q183">
        <v>1.01</v>
      </c>
      <c r="R183">
        <v>1.2</v>
      </c>
      <c r="S183">
        <v>1.2</v>
      </c>
      <c r="T183">
        <v>3</v>
      </c>
      <c r="U183">
        <f t="shared" si="13"/>
        <v>0.57157051623399524</v>
      </c>
    </row>
    <row r="184" spans="1:22" hidden="1" x14ac:dyDescent="0.2">
      <c r="A184" t="s">
        <v>288</v>
      </c>
      <c r="B184" s="52">
        <f>0.000024/B163*SUMIFS(allocation!$I$4:$I$30,allocation!$B$4:$B$30,B153,allocation!$C$4:$C$30,B154)</f>
        <v>6.152833136784497E-6</v>
      </c>
      <c r="C184" t="s">
        <v>56</v>
      </c>
      <c r="E184" t="s">
        <v>64</v>
      </c>
      <c r="F184" t="s">
        <v>86</v>
      </c>
      <c r="G184" t="s">
        <v>287</v>
      </c>
      <c r="H184" t="s">
        <v>88</v>
      </c>
      <c r="K184" t="str">
        <f>B141</f>
        <v>heat, residential, by conversion of hydrogen using fuel cell, SOFC, allocated by exergy, transported by pipeline, produced by Steam Methane Reforming using natural gas from Switzerland</v>
      </c>
      <c r="L184">
        <f t="shared" si="11"/>
        <v>2</v>
      </c>
      <c r="M184">
        <f t="shared" si="12"/>
        <v>-11.998597909575029</v>
      </c>
      <c r="N184">
        <v>1</v>
      </c>
      <c r="O184" s="15">
        <v>1.2</v>
      </c>
      <c r="P184">
        <v>1</v>
      </c>
      <c r="Q184">
        <v>1.01</v>
      </c>
      <c r="R184">
        <v>1.2</v>
      </c>
      <c r="S184">
        <v>1.2</v>
      </c>
      <c r="T184">
        <v>1.05</v>
      </c>
      <c r="U184">
        <f t="shared" si="13"/>
        <v>0.15984597228197622</v>
      </c>
    </row>
    <row r="185" spans="1:22" hidden="1" x14ac:dyDescent="0.2">
      <c r="A185" s="45" t="str">
        <f>"hydrogen supply, transported by "&amp;B155&amp;", produced by "&amp;B159&amp;" using "&amp;B160&amp;" from "&amp;B161</f>
        <v>hydrogen supply, transported by pipeline, produced by Steam Methane Reforming using natural gas from Switzerland</v>
      </c>
      <c r="B185" s="53">
        <f>(B180/B164)/B163*B175</f>
        <v>2.1364003947168392E-3</v>
      </c>
      <c r="C185" t="s">
        <v>56</v>
      </c>
      <c r="E185" t="s">
        <v>64</v>
      </c>
      <c r="F185" t="s">
        <v>86</v>
      </c>
      <c r="G185" s="67" t="s">
        <v>1129</v>
      </c>
      <c r="H185" t="s">
        <v>76</v>
      </c>
      <c r="I185" t="s">
        <v>1054</v>
      </c>
      <c r="J185" t="s">
        <v>305</v>
      </c>
      <c r="K185" t="str">
        <f>B141</f>
        <v>heat, residential, by conversion of hydrogen using fuel cell, SOFC, allocated by exergy, transported by pipeline, produced by Steam Methane Reforming using natural gas from Switzerland</v>
      </c>
      <c r="L185">
        <f t="shared" si="11"/>
        <v>2</v>
      </c>
      <c r="M185">
        <f t="shared" si="12"/>
        <v>-6.1486329247407472</v>
      </c>
      <c r="N185">
        <v>1</v>
      </c>
      <c r="O185" s="15">
        <v>1.2</v>
      </c>
      <c r="P185">
        <v>1</v>
      </c>
      <c r="Q185">
        <v>1.01</v>
      </c>
      <c r="R185">
        <v>1.2</v>
      </c>
      <c r="S185">
        <v>1.2</v>
      </c>
      <c r="T185">
        <v>1.05</v>
      </c>
      <c r="U185">
        <f t="shared" si="13"/>
        <v>0.15984597228197622</v>
      </c>
    </row>
    <row r="186" spans="1:22" hidden="1" x14ac:dyDescent="0.2">
      <c r="A186" t="s">
        <v>134</v>
      </c>
      <c r="B186" s="45">
        <f>B185*9</f>
        <v>1.9227603552451553E-2</v>
      </c>
      <c r="C186" t="s">
        <v>56</v>
      </c>
      <c r="D186" t="s">
        <v>100</v>
      </c>
      <c r="F186" t="s">
        <v>99</v>
      </c>
      <c r="H186" t="s">
        <v>131</v>
      </c>
      <c r="I186" t="s">
        <v>1057</v>
      </c>
      <c r="K186" t="str">
        <f>B141</f>
        <v>heat, residential, by conversion of hydrogen using fuel cell, SOFC, allocated by exergy, transported by pipeline, produced by Steam Methane Reforming using natural gas from Switzerland</v>
      </c>
      <c r="L186">
        <f t="shared" si="11"/>
        <v>2</v>
      </c>
      <c r="M186">
        <f t="shared" si="12"/>
        <v>-3.9514083474045276</v>
      </c>
      <c r="N186">
        <v>1</v>
      </c>
      <c r="O186" s="15">
        <v>1.2</v>
      </c>
      <c r="P186">
        <v>1</v>
      </c>
      <c r="Q186">
        <v>1.01</v>
      </c>
      <c r="R186">
        <v>1.2</v>
      </c>
      <c r="S186">
        <v>1.2</v>
      </c>
      <c r="T186">
        <v>1.05</v>
      </c>
      <c r="U186">
        <f t="shared" si="13"/>
        <v>0.15984597228197622</v>
      </c>
    </row>
    <row r="187" spans="1:22" hidden="1" x14ac:dyDescent="0.2"/>
    <row r="188" spans="1:22" hidden="1" x14ac:dyDescent="0.2">
      <c r="A188" s="2" t="s">
        <v>50</v>
      </c>
      <c r="B188" s="44" t="str">
        <f>IF(B194="megajoule","heat","electricity")&amp;", residential, by "&amp;B199&amp;" of "&amp;B198&amp;" using "&amp;B200&amp;IF(B201&lt;&gt;0,", allocated by "&amp;B201,"")&amp;", transported by "&amp;B202&amp;", produced by "&amp;B206&amp;" using "&amp;B207&amp;" from "&amp;B208</f>
        <v>electricity, residential, by combustion of hydrogen using CHP, allocated by exergy, transported by pipeline, produced by Steam Methane Reforming using natural gas from Switzerland</v>
      </c>
    </row>
    <row r="189" spans="1:22" hidden="1" x14ac:dyDescent="0.2">
      <c r="A189" t="s">
        <v>51</v>
      </c>
      <c r="B189" s="45" t="str">
        <f>"This dataset represents the supply of 1 "&amp;IF(B194="megajoule","megajoule of heat","kilowatt hour of electricity")&amp;" in a residence, by "&amp;B198&amp;" "&amp;B199&amp;" in a "&amp;B200&amp;". "&amp;" The hydrogen is transported by "&amp;B202&amp;" over "&amp;B203&amp;" km from regional storage. "&amp;" The "&amp;B198&amp;" is produced by  "&amp;B206&amp;", with "&amp;B207&amp;" from "&amp;B208&amp;" as feedstock. "&amp;A210&amp;": "&amp;(B210*100)&amp;"%. "&amp;A211&amp;": "&amp;B211&amp;". "&amp;A212&amp;": "&amp;B212&amp;". "&amp;A213&amp;": "&amp;(B213*100)&amp;"%. "&amp;A214&amp;": "&amp;(B214*100)&amp;"%. "&amp;A215&amp;": "&amp;(B215*100)&amp;"%. "&amp;A216&amp;": "&amp;B216&amp;". "&amp;A217&amp;": "&amp;B217&amp;". "&amp;A218&amp;": "&amp;(B218*100)&amp;"%. "&amp;A219&amp;": "&amp;B219&amp;". "&amp;A220&amp;": "&amp;B220&amp;". "&amp;A221&amp;": "&amp;B221&amp;". "&amp;A222&amp;": "&amp;B222&amp;".  For more information, refer to: "&amp;B190</f>
        <v>This dataset represents the supply of 1 kilowatt hour of electricity in a residence, by hydrogen combustion in a CHP.  The hydrogen is transported by pipeline over 500 km from regional storage.  The hydrogen is produced by  Steam Methane Reforming,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90" spans="1:22" hidden="1" x14ac:dyDescent="0.2">
      <c r="A190" t="s">
        <v>63</v>
      </c>
      <c r="B190" s="45" t="s">
        <v>660</v>
      </c>
    </row>
    <row r="191" spans="1:22" hidden="1" x14ac:dyDescent="0.2">
      <c r="A191" t="s">
        <v>52</v>
      </c>
      <c r="B191" s="45" t="s">
        <v>64</v>
      </c>
    </row>
    <row r="192" spans="1:22" hidden="1" x14ac:dyDescent="0.2">
      <c r="A192" t="s">
        <v>48</v>
      </c>
      <c r="B192" s="45" t="s">
        <v>955</v>
      </c>
    </row>
    <row r="193" spans="1:2" hidden="1" x14ac:dyDescent="0.2">
      <c r="A193" t="s">
        <v>54</v>
      </c>
      <c r="B193" s="45" t="str">
        <f>INDEX(overview!$B$4:$R$338,MATCH(B192,overview!$A$4:$A$338,0),MATCH(A193,overview!$B$3:$R$3,0))</f>
        <v>electricity, from residential heating system</v>
      </c>
    </row>
    <row r="194" spans="1:2" hidden="1" x14ac:dyDescent="0.2">
      <c r="A194" t="s">
        <v>55</v>
      </c>
      <c r="B194" s="45" t="str">
        <f>INDEX(overview!$B$4:$R$338,MATCH(B192,overview!$A$4:$A$338,0),MATCH(A194,overview!$B$3:$R$3,0))</f>
        <v>kilowatt hour</v>
      </c>
    </row>
    <row r="195" spans="1:2" hidden="1" x14ac:dyDescent="0.2">
      <c r="A195" t="s">
        <v>0</v>
      </c>
      <c r="B195" s="45" t="str">
        <f>INDEX(overview!$B$4:$R$338,MATCH(B192,overview!$A$4:$A$338,0),MATCH(A195,overview!$B$3:$R$3,0))</f>
        <v>Switzerland</v>
      </c>
    </row>
    <row r="196" spans="1:2" hidden="1" x14ac:dyDescent="0.2">
      <c r="A196" t="s">
        <v>1</v>
      </c>
      <c r="B196" s="45">
        <f>INDEX(overview!$B$4:$R$338,MATCH(B192,overview!$A$4:$A$338,0),MATCH(A196,overview!$B$3:$R$3,0))</f>
        <v>2020</v>
      </c>
    </row>
    <row r="197" spans="1:2" hidden="1" x14ac:dyDescent="0.2">
      <c r="A197" t="s">
        <v>2</v>
      </c>
      <c r="B197" s="45" t="str">
        <f>INDEX(overview!$B$4:$R$338,MATCH(B192,overview!$A$4:$A$338,0),MATCH(A197,overview!$B$3:$R$3,0))</f>
        <v>1 kWh electricity</v>
      </c>
    </row>
    <row r="198" spans="1:2" hidden="1" x14ac:dyDescent="0.2">
      <c r="A198" t="s">
        <v>5</v>
      </c>
      <c r="B198" s="45" t="str">
        <f>INDEX(overview!$B$4:$R$338,MATCH(B192,overview!$A$4:$A$338,0),MATCH(A198,overview!$B$3:$R$3,0))</f>
        <v>hydrogen</v>
      </c>
    </row>
    <row r="199" spans="1:2" hidden="1" x14ac:dyDescent="0.2">
      <c r="A199" t="s">
        <v>3</v>
      </c>
      <c r="B199" s="45" t="str">
        <f>INDEX(overview!$B$4:$R$338,MATCH(B192,overview!$A$4:$A$338,0),MATCH(A199,overview!$B$3:$R$3,0))</f>
        <v>combustion</v>
      </c>
    </row>
    <row r="200" spans="1:2" hidden="1" x14ac:dyDescent="0.2">
      <c r="A200" t="s">
        <v>6</v>
      </c>
      <c r="B200" s="45" t="str">
        <f>INDEX(overview!$B$4:$R$338,MATCH(B192,overview!$A$4:$A$338,0),MATCH(A200,overview!$B$3:$R$3,0))</f>
        <v>CHP</v>
      </c>
    </row>
    <row r="201" spans="1:2" hidden="1" x14ac:dyDescent="0.2">
      <c r="A201" t="s">
        <v>39</v>
      </c>
      <c r="B201" s="45" t="str">
        <f>INDEX(overview!$B$4:$R$338,MATCH(B192,overview!$A$4:$A$338,0),MATCH(A201,overview!$B$3:$R$3,0))</f>
        <v>exergy</v>
      </c>
    </row>
    <row r="202" spans="1:2" hidden="1" x14ac:dyDescent="0.2">
      <c r="A202" t="s">
        <v>4</v>
      </c>
      <c r="B202" s="45" t="str">
        <f>INDEX(overview!$B$4:$R$338,MATCH(B192,overview!$A$4:$A$338,0),MATCH(A202,overview!$B$3:$R$3,0))</f>
        <v>pipeline</v>
      </c>
    </row>
    <row r="203" spans="1:2" hidden="1" x14ac:dyDescent="0.2">
      <c r="A203" t="s">
        <v>38</v>
      </c>
      <c r="B203" s="45">
        <f>INDEX(overview!$B$4:$R$338,MATCH(B192,overview!$A$4:$A$338,0),MATCH(A203,overview!$B$3:$R$3,0))</f>
        <v>500</v>
      </c>
    </row>
    <row r="204" spans="1:2" hidden="1" x14ac:dyDescent="0.2">
      <c r="A204" t="s">
        <v>12</v>
      </c>
      <c r="B204" s="45" t="str">
        <f>INDEX(overview!$B$4:$R$338,MATCH(B192,overview!$A$4:$A$338,0),MATCH(A204,overview!$B$3:$R$3,0))</f>
        <v>Pressure vessel for stationary storage</v>
      </c>
    </row>
    <row r="205" spans="1:2" hidden="1" x14ac:dyDescent="0.2">
      <c r="A205" t="s">
        <v>34</v>
      </c>
      <c r="B205" s="45">
        <f>INDEX(overview!$B$4:$R$338,MATCH(B192,overview!$A$4:$A$338,0),MATCH(A205,overview!$B$3:$R$3,0))</f>
        <v>0</v>
      </c>
    </row>
    <row r="206" spans="1:2" hidden="1" x14ac:dyDescent="0.2">
      <c r="A206" t="s">
        <v>15</v>
      </c>
      <c r="B206" s="45" t="str">
        <f>INDEX(overview!$B$4:$R$338,MATCH(B192,overview!$A$4:$A$338,0),MATCH(A206,overview!$B$3:$R$3,0))</f>
        <v>Steam Methane Reforming</v>
      </c>
    </row>
    <row r="207" spans="1:2" hidden="1" x14ac:dyDescent="0.2">
      <c r="A207" t="s">
        <v>14</v>
      </c>
      <c r="B207" s="45" t="str">
        <f>INDEX(overview!$B$4:$R$338,MATCH(B192,overview!$A$4:$A$338,0),MATCH(A207,overview!$B$3:$R$3,0))</f>
        <v>natural gas</v>
      </c>
    </row>
    <row r="208" spans="1:2" hidden="1" x14ac:dyDescent="0.2">
      <c r="A208" t="s">
        <v>26</v>
      </c>
      <c r="B208" s="45" t="str">
        <f>INDEX(overview!$B$4:$R$338,MATCH(B192,overview!$A$4:$A$338,0),MATCH(A208,overview!$B$3:$R$3,0))</f>
        <v>Switzerland</v>
      </c>
    </row>
    <row r="209" spans="1:2" hidden="1" x14ac:dyDescent="0.2">
      <c r="A209" t="s">
        <v>29</v>
      </c>
      <c r="B209" s="45">
        <f>INDEX(overview!$B$4:$R$338,MATCH(B192,overview!$A$4:$A$338,0),MATCH(A209,overview!$B$3:$R$3,0))</f>
        <v>0</v>
      </c>
    </row>
    <row r="210" spans="1:2" hidden="1" x14ac:dyDescent="0.2">
      <c r="A210" t="str">
        <f>IF(B194="megajoule","Heat","Electricity")&amp;" conversion efficiency [% LHV input]"</f>
        <v>Electricity conversion efficiency [% LHV input]</v>
      </c>
      <c r="B210" s="46">
        <f>INDEX(parameters!$D$4:$N$20,MATCH(B198&amp;B200,parameters!$A$4:$A$20,0),MATCH(A210,parameters!$D$3:$N$3,0))</f>
        <v>0.39400000000000002</v>
      </c>
    </row>
    <row r="211" spans="1:2" hidden="1" x14ac:dyDescent="0.2">
      <c r="A211" t="str">
        <f>IF(B194="megajoule","LHV [MJ/kg]","LHV [kWh/kg]")</f>
        <v>LHV [kWh/kg]</v>
      </c>
      <c r="B211" s="47">
        <f>INDEX(parameters!$D$4:$N$20,MATCH(B198&amp;B200,parameters!$A$4:$A$20,0),MATCH(A211,parameters!$D$3:$N$3,0))</f>
        <v>33.333333333333336</v>
      </c>
    </row>
    <row r="212" spans="1:2" hidden="1" x14ac:dyDescent="0.2">
      <c r="A212" t="s">
        <v>41</v>
      </c>
      <c r="B212" s="48">
        <f>INDEX(parameters!$D$4:$N$20,MATCH(B198&amp;B200,parameters!$A$4:$A$20,0),MATCH(A212,parameters!$D$3:$N$3,0))</f>
        <v>2.6666666666666665E-2</v>
      </c>
    </row>
    <row r="213" spans="1:2" hidden="1" x14ac:dyDescent="0.2">
      <c r="A213" t="s">
        <v>45</v>
      </c>
      <c r="B213" s="46">
        <f>INDEX(parameters!$D$4:$N$20,MATCH(B198&amp;B200,parameters!$A$4:$A$20,0),MATCH(A213,parameters!$D$3:$N$3,0))</f>
        <v>0</v>
      </c>
    </row>
    <row r="214" spans="1:2" hidden="1" x14ac:dyDescent="0.2">
      <c r="A214" t="s">
        <v>46</v>
      </c>
      <c r="B214" s="46">
        <f>INDEX(parameters!$D$4:$N$20,MATCH(B198&amp;B200,parameters!$A$4:$A$20,0),MATCH(A214,parameters!$D$3:$N$3,0))</f>
        <v>1.4999999999999999E-2</v>
      </c>
    </row>
    <row r="215" spans="1:2" hidden="1" x14ac:dyDescent="0.2">
      <c r="A215" t="s">
        <v>43</v>
      </c>
      <c r="B215" s="46">
        <f>INDEX(parameters!$D$4:$N$20,MATCH(B198&amp;B200,parameters!$A$4:$A$20,0),MATCH(A215,parameters!$D$3:$N$3,0))</f>
        <v>0</v>
      </c>
    </row>
    <row r="216" spans="1:2" hidden="1" x14ac:dyDescent="0.2">
      <c r="A216" t="s">
        <v>44</v>
      </c>
      <c r="B216" s="46">
        <f>INDEX(parameters!$D$4:$N$20,MATCH(B198&amp;B200,parameters!$A$4:$A$20,0),MATCH(A216,parameters!$D$3:$N$3,0))</f>
        <v>0</v>
      </c>
    </row>
    <row r="217" spans="1:2" hidden="1" x14ac:dyDescent="0.2">
      <c r="A217" t="s">
        <v>634</v>
      </c>
      <c r="B217" s="50">
        <f>INDEX(parameters!$D$4:$Y$20,MATCH(B198&amp;B200,parameters!$A$4:$A$20,0),MATCH(A217,parameters!$D$3:$Y$3,0))</f>
        <v>351.41800246609125</v>
      </c>
    </row>
    <row r="218" spans="1:2" hidden="1" x14ac:dyDescent="0.2">
      <c r="A218" t="s">
        <v>82</v>
      </c>
      <c r="B218" s="46">
        <f>IF(B209&lt;&gt;0,VLOOKUP(B209,parameters!A253:B255,2,0),0)</f>
        <v>0</v>
      </c>
    </row>
    <row r="219" spans="1:2" hidden="1" x14ac:dyDescent="0.2">
      <c r="A219" t="s">
        <v>548</v>
      </c>
      <c r="B219" s="50">
        <f>INDEX(parameters!$D$4:$P$20,MATCH(B198&amp;B200,parameters!$A$4:$A$20,0),MATCH(A219,parameters!$D$3:$P$3,0))</f>
        <v>125</v>
      </c>
    </row>
    <row r="220" spans="1:2" hidden="1" x14ac:dyDescent="0.2">
      <c r="A220" t="s">
        <v>547</v>
      </c>
      <c r="B220" s="51">
        <f>INDEX(parameters!$D$4:$P$20,MATCH(B198&amp;B200,parameters!$A$4:$A$20,0),MATCH(A220,parameters!$D$3:$P$3,0))</f>
        <v>19.512195121951219</v>
      </c>
    </row>
    <row r="221" spans="1:2" hidden="1" x14ac:dyDescent="0.2">
      <c r="A221" t="s">
        <v>630</v>
      </c>
      <c r="B221" s="51">
        <f>INDEX(parameters!$D$4:$T$20,MATCH(B198&amp;B200,parameters!$A$4:$A$20,0),MATCH(A221,parameters!$D$3:$T$3,0))</f>
        <v>4100</v>
      </c>
    </row>
    <row r="222" spans="1:2" hidden="1" x14ac:dyDescent="0.2">
      <c r="A222" t="s">
        <v>1005</v>
      </c>
      <c r="B222" s="50">
        <f>IF(B194="megajoule",SUMIFS(allocation!$I$4:$I$30,allocation!$B$4:$B$30,B200,allocation!$C$4:$C$30,B201),SUMIFS(allocation!$J$4:$J$30,allocation!$B$4:$B$30,B200,allocation!$C$4:$C$30,B201))</f>
        <v>0.87139957772704957</v>
      </c>
    </row>
    <row r="223" spans="1:2" hidden="1" x14ac:dyDescent="0.2">
      <c r="A223" t="s">
        <v>1050</v>
      </c>
      <c r="B223" s="51">
        <f>INDEX(parameters!$D$4:$AB$20,MATCH(B198&amp;B200,parameters!$A$4:$A$20,0),MATCH(A223,parameters!$D$3:$AB$3,0))</f>
        <v>2220.7364520822662</v>
      </c>
    </row>
    <row r="224" spans="1:2" hidden="1" x14ac:dyDescent="0.2"/>
    <row r="225" spans="1:22" hidden="1" x14ac:dyDescent="0.2">
      <c r="A225" s="3" t="s">
        <v>57</v>
      </c>
    </row>
    <row r="226" spans="1:22" hidden="1" x14ac:dyDescent="0.2">
      <c r="A226" s="2" t="s">
        <v>58</v>
      </c>
      <c r="B226" s="44" t="s">
        <v>59</v>
      </c>
      <c r="C226" s="2" t="s">
        <v>55</v>
      </c>
      <c r="D226" s="2" t="s">
        <v>60</v>
      </c>
      <c r="E226" s="2" t="s">
        <v>52</v>
      </c>
      <c r="F226" s="2" t="s">
        <v>61</v>
      </c>
      <c r="G226" s="2" t="s">
        <v>54</v>
      </c>
      <c r="H226" s="2" t="s">
        <v>87</v>
      </c>
      <c r="I226" s="2" t="s">
        <v>51</v>
      </c>
      <c r="J226" s="2" t="s">
        <v>138</v>
      </c>
      <c r="K226" s="2" t="s">
        <v>136</v>
      </c>
      <c r="L226" s="2" t="s">
        <v>221</v>
      </c>
      <c r="M226" s="2" t="s">
        <v>379</v>
      </c>
      <c r="N226" s="2" t="s">
        <v>1059</v>
      </c>
      <c r="O226" s="2" t="s">
        <v>1060</v>
      </c>
      <c r="P226" s="2" t="s">
        <v>1061</v>
      </c>
      <c r="Q226" s="2" t="s">
        <v>1062</v>
      </c>
      <c r="R226" s="2" t="s">
        <v>1063</v>
      </c>
      <c r="S226" s="2" t="s">
        <v>1064</v>
      </c>
      <c r="T226" s="2" t="s">
        <v>1065</v>
      </c>
      <c r="U226" s="2" t="s">
        <v>380</v>
      </c>
      <c r="V226" s="2" t="s">
        <v>1128</v>
      </c>
    </row>
    <row r="227" spans="1:22" hidden="1" x14ac:dyDescent="0.2">
      <c r="A227" t="str">
        <f>B188</f>
        <v>electricity, residential, by combustion of hydrogen using CHP, allocated by exergy, transported by pipeline, produced by Steam Methane Reforming using natural gas from Switzerland</v>
      </c>
      <c r="B227" s="45">
        <v>1</v>
      </c>
      <c r="C227" t="str">
        <f>B194</f>
        <v>kilowatt hour</v>
      </c>
      <c r="E227" t="str">
        <f>B191</f>
        <v>CH</v>
      </c>
      <c r="F227" t="s">
        <v>62</v>
      </c>
      <c r="G227" t="str">
        <f>B193</f>
        <v>electricity, from residential heating system</v>
      </c>
      <c r="K227" t="str">
        <f>B188</f>
        <v>electricity, residential, by combustion of hydrogen using CHP, allocated by exergy, transported by pipeline, produced by Steam Methane Reforming using natural gas from Switzerland</v>
      </c>
    </row>
    <row r="228" spans="1:22" hidden="1" x14ac:dyDescent="0.2">
      <c r="A228" t="str">
        <f>VLOOKUP(J228,'dataset mapping'!$A$4:$E$69,2,0)</f>
        <v>heat and power co-generation unit construction, 160kW electrical, common components for heat+electricity</v>
      </c>
      <c r="B228" s="52">
        <f>(1/(B217*B221*B220))*B222</f>
        <v>3.0995835856870056E-8</v>
      </c>
      <c r="C228" t="str">
        <f>VLOOKUP(J228,'dataset mapping'!$A$4:$E$69,5,0)</f>
        <v>unit</v>
      </c>
      <c r="E228" t="str">
        <f>VLOOKUP(J228,'dataset mapping'!$A$4:$E$69,4,0)</f>
        <v>RER</v>
      </c>
      <c r="F228" t="s">
        <v>86</v>
      </c>
      <c r="G228" t="str">
        <f>VLOOKUP(J228,'dataset mapping'!$A$4:$E$69,3,0)</f>
        <v>heat and power co-generation unit, 160kW electrical, common components for heat+electricity</v>
      </c>
      <c r="H228" t="s">
        <v>88</v>
      </c>
      <c r="J228" t="s">
        <v>145</v>
      </c>
      <c r="K228" t="str">
        <f>B188</f>
        <v>electricity, residential, by combustion of hydrogen using CHP, allocated by exergy, transported by pipeline, produced by Steam Methane Reforming using natural gas from Switzerland</v>
      </c>
      <c r="L228">
        <f t="shared" ref="L228:L235" si="14">IF(OR(B228&lt;0,B228=0),1,2)</f>
        <v>2</v>
      </c>
      <c r="M228">
        <f t="shared" ref="M228:M235" si="15">IF(L228=2,LN(B228),"")</f>
        <v>-17.28941296868171</v>
      </c>
      <c r="N228">
        <v>1.05</v>
      </c>
      <c r="O228" s="15">
        <v>1.2</v>
      </c>
      <c r="P228">
        <v>1</v>
      </c>
      <c r="Q228">
        <v>1.01</v>
      </c>
      <c r="R228">
        <v>1.2</v>
      </c>
      <c r="S228">
        <v>1.2</v>
      </c>
      <c r="T228">
        <v>3</v>
      </c>
      <c r="U228">
        <f t="shared" ref="U228:U235" si="16">LN(SQRT(EXP(
SQRT(
+POWER(LN(N228),2)
+POWER(LN(O228),2)
+POWER(LN(P228),2)
+POWER(LN(Q228),2)
+POWER(LN(R228),2)
+POWER(LN(S228),2)
+POWER(LN(T228),2)
)
)))</f>
        <v>0.57209088006881903</v>
      </c>
    </row>
    <row r="229" spans="1:22" hidden="1" x14ac:dyDescent="0.2">
      <c r="A229" t="str">
        <f>VLOOKUP(J229,'dataset mapping'!$A$4:$E$69,2,0)</f>
        <v>heat and power co-generation unit construction, 160kW electrical, components for electricity only</v>
      </c>
      <c r="B229" s="52">
        <f>(1/(B217*B221*B220))*B222</f>
        <v>3.0995835856870056E-8</v>
      </c>
      <c r="C229" t="str">
        <f>VLOOKUP(J229,'dataset mapping'!$A$4:$E$69,5,0)</f>
        <v>unit</v>
      </c>
      <c r="E229" t="str">
        <f>VLOOKUP(J229,'dataset mapping'!$A$4:$E$69,4,0)</f>
        <v>RER</v>
      </c>
      <c r="F229" t="s">
        <v>86</v>
      </c>
      <c r="G229" t="str">
        <f>VLOOKUP(J229,'dataset mapping'!$A$4:$E$69,3,0)</f>
        <v>heat and power co-generation unit, 160kW electrical, components for electricity only</v>
      </c>
      <c r="H229" t="s">
        <v>88</v>
      </c>
      <c r="J229" t="s">
        <v>146</v>
      </c>
      <c r="K229" t="str">
        <f>B188</f>
        <v>electricity, residential, by combustion of hydrogen using CHP, allocated by exergy, transported by pipeline, produced by Steam Methane Reforming using natural gas from Switzerland</v>
      </c>
      <c r="L229">
        <f t="shared" si="14"/>
        <v>2</v>
      </c>
      <c r="M229">
        <f t="shared" si="15"/>
        <v>-17.28941296868171</v>
      </c>
      <c r="N229">
        <v>1.05</v>
      </c>
      <c r="O229" s="15">
        <v>1.2</v>
      </c>
      <c r="P229">
        <v>1</v>
      </c>
      <c r="Q229">
        <v>1.01</v>
      </c>
      <c r="R229">
        <v>1.2</v>
      </c>
      <c r="S229">
        <v>1.2</v>
      </c>
      <c r="T229">
        <v>3</v>
      </c>
      <c r="U229">
        <f t="shared" si="16"/>
        <v>0.57209088006881903</v>
      </c>
    </row>
    <row r="230" spans="1:22" hidden="1" x14ac:dyDescent="0.2">
      <c r="A230" t="str">
        <f>VLOOKUP(J230,'dataset mapping'!$A$4:$E$69,2,0)</f>
        <v>heat and power co-generation unit construction, 160kW electrical, components for heat only</v>
      </c>
      <c r="B230" s="52">
        <f>(1/(B217*B221*B220))*B222</f>
        <v>3.0995835856870056E-8</v>
      </c>
      <c r="C230" t="str">
        <f>VLOOKUP(J230,'dataset mapping'!$A$4:$E$69,5,0)</f>
        <v>unit</v>
      </c>
      <c r="E230" t="str">
        <f>VLOOKUP(J230,'dataset mapping'!$A$4:$E$69,4,0)</f>
        <v>RER</v>
      </c>
      <c r="F230" t="s">
        <v>86</v>
      </c>
      <c r="G230" t="str">
        <f>VLOOKUP(J230,'dataset mapping'!$A$4:$E$69,3,0)</f>
        <v>heat and power co-generation unit, 160kW electrical, components for heat only</v>
      </c>
      <c r="H230" t="s">
        <v>88</v>
      </c>
      <c r="J230" t="s">
        <v>147</v>
      </c>
      <c r="K230" t="str">
        <f>B188</f>
        <v>electricity, residential, by combustion of hydrogen using CHP, allocated by exergy, transported by pipeline, produced by Steam Methane Reforming using natural gas from Switzerland</v>
      </c>
      <c r="L230">
        <f t="shared" si="14"/>
        <v>2</v>
      </c>
      <c r="M230">
        <f t="shared" si="15"/>
        <v>-17.28941296868171</v>
      </c>
      <c r="N230">
        <v>1.05</v>
      </c>
      <c r="O230" s="15">
        <v>1.2</v>
      </c>
      <c r="P230">
        <v>1</v>
      </c>
      <c r="Q230">
        <v>1.01</v>
      </c>
      <c r="R230">
        <v>1.2</v>
      </c>
      <c r="S230">
        <v>1.2</v>
      </c>
      <c r="T230">
        <v>3</v>
      </c>
      <c r="U230">
        <f t="shared" si="16"/>
        <v>0.57209088006881903</v>
      </c>
    </row>
    <row r="231" spans="1:22" hidden="1" x14ac:dyDescent="0.2">
      <c r="A231" t="s">
        <v>156</v>
      </c>
      <c r="B231" s="52">
        <f>0.00000011366*B222</f>
        <v>9.9043276004456456E-8</v>
      </c>
      <c r="C231" t="s">
        <v>56</v>
      </c>
      <c r="E231" t="s">
        <v>90</v>
      </c>
      <c r="F231" t="s">
        <v>86</v>
      </c>
      <c r="G231" t="s">
        <v>154</v>
      </c>
      <c r="H231" t="s">
        <v>155</v>
      </c>
      <c r="K231" t="str">
        <f>B188</f>
        <v>electricity, residential, by combustion of hydrogen using CHP, allocated by exergy, transported by pipeline, produced by Steam Methane Reforming using natural gas from Switzerland</v>
      </c>
      <c r="L231">
        <f t="shared" si="14"/>
        <v>2</v>
      </c>
      <c r="M231">
        <f t="shared" si="15"/>
        <v>-16.127708950967754</v>
      </c>
      <c r="N231">
        <v>1.05</v>
      </c>
      <c r="O231" s="15">
        <v>1.2</v>
      </c>
      <c r="P231">
        <v>1</v>
      </c>
      <c r="Q231">
        <v>1.01</v>
      </c>
      <c r="R231">
        <v>1.2</v>
      </c>
      <c r="S231">
        <v>1.2</v>
      </c>
      <c r="T231">
        <v>1.05</v>
      </c>
      <c r="U231">
        <f t="shared" si="16"/>
        <v>0.16169679924070957</v>
      </c>
    </row>
    <row r="232" spans="1:22" hidden="1" x14ac:dyDescent="0.2">
      <c r="A232" t="s">
        <v>157</v>
      </c>
      <c r="B232" s="52">
        <f>0.00000011366*B222*-1</f>
        <v>-9.9043276004456456E-8</v>
      </c>
      <c r="C232" t="s">
        <v>56</v>
      </c>
      <c r="E232" t="s">
        <v>64</v>
      </c>
      <c r="F232" t="s">
        <v>86</v>
      </c>
      <c r="G232" t="s">
        <v>158</v>
      </c>
      <c r="H232" t="s">
        <v>155</v>
      </c>
      <c r="K232" t="str">
        <f>B188</f>
        <v>electricity, residential, by combustion of hydrogen using CHP, allocated by exergy, transported by pipeline, produced by Steam Methane Reforming using natural gas from Switzerland</v>
      </c>
      <c r="L232">
        <v>2</v>
      </c>
      <c r="M232">
        <f>IF(L232=2,LN(B232*-1),"")</f>
        <v>-16.127708950967754</v>
      </c>
      <c r="N232">
        <v>1.05</v>
      </c>
      <c r="O232" s="15">
        <v>1.2</v>
      </c>
      <c r="P232">
        <v>1</v>
      </c>
      <c r="Q232">
        <v>1.01</v>
      </c>
      <c r="R232">
        <v>1.2</v>
      </c>
      <c r="S232">
        <v>1.2</v>
      </c>
      <c r="T232">
        <v>3</v>
      </c>
      <c r="U232">
        <f>LN(SQRT(EXP(
SQRT(
+POWER(LN(N232),2)
+POWER(LN(O232),2)
+POWER(LN(P232),2)
+POWER(LN(Q232),2)
+POWER(LN(R232),2)
+POWER(LN(S232),2)
+POWER(LN(T232),2)
)
)))</f>
        <v>0.57209088006881903</v>
      </c>
      <c r="V232" t="b">
        <v>1</v>
      </c>
    </row>
    <row r="233" spans="1:22" hidden="1" x14ac:dyDescent="0.2">
      <c r="A233" s="45" t="str">
        <f>"hydrogen supply, transported by "&amp;B202&amp;", produced by "&amp;B206&amp;" using "&amp;B207&amp;" from "&amp;B208</f>
        <v>hydrogen supply, transported by pipeline, produced by Steam Methane Reforming using natural gas from Switzerland</v>
      </c>
      <c r="B233" s="53">
        <f>(B227/B211)/B210*B222</f>
        <v>6.6350221654343872E-2</v>
      </c>
      <c r="C233" t="s">
        <v>56</v>
      </c>
      <c r="E233" t="s">
        <v>64</v>
      </c>
      <c r="F233" t="s">
        <v>86</v>
      </c>
      <c r="G233" s="67" t="s">
        <v>1129</v>
      </c>
      <c r="H233" t="s">
        <v>76</v>
      </c>
      <c r="I233" t="s">
        <v>1054</v>
      </c>
      <c r="J233" t="s">
        <v>305</v>
      </c>
      <c r="K233" t="str">
        <f>B188</f>
        <v>electricity, residential, by combustion of hydrogen using CHP, allocated by exergy, transported by pipeline, produced by Steam Methane Reforming using natural gas from Switzerland</v>
      </c>
      <c r="L233">
        <f t="shared" si="14"/>
        <v>2</v>
      </c>
      <c r="M233">
        <f t="shared" si="15"/>
        <v>-2.7128081775260964</v>
      </c>
      <c r="N233">
        <v>1.05</v>
      </c>
      <c r="O233" s="15">
        <v>1.2</v>
      </c>
      <c r="P233">
        <v>1</v>
      </c>
      <c r="Q233">
        <v>1.01</v>
      </c>
      <c r="R233">
        <v>1.2</v>
      </c>
      <c r="S233">
        <v>1.2</v>
      </c>
      <c r="T233">
        <v>1.05</v>
      </c>
      <c r="U233">
        <f t="shared" si="16"/>
        <v>0.16169679924070957</v>
      </c>
    </row>
    <row r="234" spans="1:22" hidden="1" x14ac:dyDescent="0.2">
      <c r="A234" t="s">
        <v>134</v>
      </c>
      <c r="B234" s="45">
        <f>B233*9</f>
        <v>0.59715199488909487</v>
      </c>
      <c r="C234" t="s">
        <v>56</v>
      </c>
      <c r="D234" t="s">
        <v>100</v>
      </c>
      <c r="F234" t="s">
        <v>99</v>
      </c>
      <c r="H234" t="s">
        <v>131</v>
      </c>
      <c r="I234" t="s">
        <v>1058</v>
      </c>
      <c r="K234" t="str">
        <f>B188</f>
        <v>electricity, residential, by combustion of hydrogen using CHP, allocated by exergy, transported by pipeline, produced by Steam Methane Reforming using natural gas from Switzerland</v>
      </c>
      <c r="L234">
        <f t="shared" si="14"/>
        <v>2</v>
      </c>
      <c r="M234">
        <f t="shared" si="15"/>
        <v>-0.51558360018987692</v>
      </c>
      <c r="N234">
        <v>1.05</v>
      </c>
      <c r="O234" s="15">
        <v>1.2</v>
      </c>
      <c r="P234">
        <v>1</v>
      </c>
      <c r="Q234">
        <v>1.01</v>
      </c>
      <c r="R234">
        <v>1.2</v>
      </c>
      <c r="S234">
        <v>1.2</v>
      </c>
      <c r="T234">
        <v>1.05</v>
      </c>
      <c r="U234">
        <f t="shared" si="16"/>
        <v>0.16169679924070957</v>
      </c>
    </row>
    <row r="235" spans="1:22" hidden="1" x14ac:dyDescent="0.2">
      <c r="A235" t="s">
        <v>135</v>
      </c>
      <c r="B235" s="45">
        <f>912.5/1000000*B233</f>
        <v>6.0544577259588785E-5</v>
      </c>
      <c r="C235" t="s">
        <v>56</v>
      </c>
      <c r="D235" t="s">
        <v>100</v>
      </c>
      <c r="F235" t="s">
        <v>99</v>
      </c>
      <c r="H235" t="s">
        <v>131</v>
      </c>
      <c r="I235" t="s">
        <v>1217</v>
      </c>
      <c r="K235" t="str">
        <f>B188</f>
        <v>electricity, residential, by combustion of hydrogen using CHP, allocated by exergy, transported by pipeline, produced by Steam Methane Reforming using natural gas from Switzerland</v>
      </c>
      <c r="L235">
        <f t="shared" si="14"/>
        <v>2</v>
      </c>
      <c r="M235">
        <f t="shared" si="15"/>
        <v>-9.712130650033723</v>
      </c>
      <c r="N235">
        <v>1.05</v>
      </c>
      <c r="O235" s="15">
        <v>1.2</v>
      </c>
      <c r="P235">
        <v>1</v>
      </c>
      <c r="Q235">
        <v>1.01</v>
      </c>
      <c r="R235">
        <v>1.2</v>
      </c>
      <c r="S235">
        <v>1.2</v>
      </c>
      <c r="T235">
        <v>1.5</v>
      </c>
      <c r="U235">
        <f t="shared" si="16"/>
        <v>0.25816898211842121</v>
      </c>
    </row>
    <row r="236" spans="1:22" hidden="1" x14ac:dyDescent="0.2"/>
    <row r="237" spans="1:22" hidden="1" x14ac:dyDescent="0.2">
      <c r="A237" s="2" t="s">
        <v>50</v>
      </c>
      <c r="B237" s="44" t="str">
        <f>IF(B243="megajoule","heat","electricity")&amp;", residential, by "&amp;B248&amp;" of "&amp;B247&amp;" using "&amp;B249&amp;IF(B250&lt;&gt;0,", allocated by "&amp;B250,"")&amp;", transported by "&amp;B251&amp;", produced by "&amp;B255&amp;" using "&amp;B256&amp;" from "&amp;B257</f>
        <v>electricity, residential, by conversion of hydrogen using fuel cell, PEM, allocated by exergy, transported by pipeline, produced by Steam Methane Reforming using natural gas from Switzerland</v>
      </c>
    </row>
    <row r="238" spans="1:22" hidden="1" x14ac:dyDescent="0.2">
      <c r="A238" t="s">
        <v>51</v>
      </c>
      <c r="B238" s="45" t="str">
        <f>"This dataset represents the supply of 1 "&amp;IF(B243="megajoule","megajoule of heat","kilowatt hour of electricity")&amp;" in a residence, by "&amp;B247&amp;" "&amp;B248&amp;" in a "&amp;B249&amp;". "&amp;" The hydrogen is transported by "&amp;B251&amp;" over "&amp;B252&amp;" km from regional storage. "&amp;" The "&amp;B247&amp;" is produced by  "&amp;B255&amp;", with "&amp;B256&amp;" from "&amp;B257&amp;" as feedstock. "&amp;A259&amp;": "&amp;(B259*100)&amp;"%. "&amp;A260&amp;": "&amp;B260&amp;". "&amp;A261&amp;": "&amp;B261&amp;". "&amp;A262&amp;": "&amp;(B262*100)&amp;"%. "&amp;A263&amp;": "&amp;(B263*100)&amp;"%. "&amp;A264&amp;": "&amp;(B264*100)&amp;"%. "&amp;A265&amp;": "&amp;B265&amp;". "&amp;A266&amp;": "&amp;B266&amp;". "&amp;A267&amp;": "&amp;(B267*100)&amp;"%. "&amp;A268&amp;": "&amp;B268&amp;". "&amp;A269&amp;": "&amp;B269&amp;". "&amp;A270&amp;": "&amp;B270&amp;". "&amp;A271&amp;": "&amp;B271&amp;".  For more information, refer to: "&amp;B239</f>
        <v>This dataset represents the supply of 1 kilowatt hour of electricity in a residence, by hydrogen conversion in a fuel cell, PEM.  The hydrogen is transported by pipeline over 500 km from regional storage.  The hydrogen is produced by  Steam Methane Reforming,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239" spans="1:22" hidden="1" x14ac:dyDescent="0.2">
      <c r="A239" t="s">
        <v>63</v>
      </c>
      <c r="B239" s="45" t="s">
        <v>660</v>
      </c>
    </row>
    <row r="240" spans="1:22" hidden="1" x14ac:dyDescent="0.2">
      <c r="A240" t="s">
        <v>52</v>
      </c>
      <c r="B240" s="45" t="s">
        <v>64</v>
      </c>
    </row>
    <row r="241" spans="1:2" hidden="1" x14ac:dyDescent="0.2">
      <c r="A241" t="s">
        <v>48</v>
      </c>
      <c r="B241" s="45" t="s">
        <v>956</v>
      </c>
    </row>
    <row r="242" spans="1:2" hidden="1" x14ac:dyDescent="0.2">
      <c r="A242" t="s">
        <v>54</v>
      </c>
      <c r="B242" s="45" t="str">
        <f>INDEX(overview!$B$4:$R$338,MATCH(B241,overview!$A$4:$A$338,0),MATCH(A242,overview!$B$3:$R$3,0))</f>
        <v>electricity, from residential heating system</v>
      </c>
    </row>
    <row r="243" spans="1:2" hidden="1" x14ac:dyDescent="0.2">
      <c r="A243" t="s">
        <v>55</v>
      </c>
      <c r="B243" s="45" t="str">
        <f>INDEX(overview!$B$4:$R$338,MATCH(B241,overview!$A$4:$A$338,0),MATCH(A243,overview!$B$3:$R$3,0))</f>
        <v>kilowatt hour</v>
      </c>
    </row>
    <row r="244" spans="1:2" hidden="1" x14ac:dyDescent="0.2">
      <c r="A244" t="s">
        <v>0</v>
      </c>
      <c r="B244" s="45" t="str">
        <f>INDEX(overview!$B$4:$R$338,MATCH(B241,overview!$A$4:$A$338,0),MATCH(A244,overview!$B$3:$R$3,0))</f>
        <v>Switzerland</v>
      </c>
    </row>
    <row r="245" spans="1:2" hidden="1" x14ac:dyDescent="0.2">
      <c r="A245" t="s">
        <v>1</v>
      </c>
      <c r="B245" s="45">
        <f>INDEX(overview!$B$4:$R$338,MATCH(B241,overview!$A$4:$A$338,0),MATCH(A245,overview!$B$3:$R$3,0))</f>
        <v>2020</v>
      </c>
    </row>
    <row r="246" spans="1:2" hidden="1" x14ac:dyDescent="0.2">
      <c r="A246" t="s">
        <v>2</v>
      </c>
      <c r="B246" s="45" t="str">
        <f>INDEX(overview!$B$4:$R$338,MATCH(B241,overview!$A$4:$A$338,0),MATCH(A246,overview!$B$3:$R$3,0))</f>
        <v>1 kWh electricity</v>
      </c>
    </row>
    <row r="247" spans="1:2" hidden="1" x14ac:dyDescent="0.2">
      <c r="A247" t="s">
        <v>5</v>
      </c>
      <c r="B247" s="45" t="str">
        <f>INDEX(overview!$B$4:$R$338,MATCH(B241,overview!$A$4:$A$338,0),MATCH(A247,overview!$B$3:$R$3,0))</f>
        <v>hydrogen</v>
      </c>
    </row>
    <row r="248" spans="1:2" hidden="1" x14ac:dyDescent="0.2">
      <c r="A248" t="s">
        <v>3</v>
      </c>
      <c r="B248" s="45" t="str">
        <f>INDEX(overview!$B$4:$R$338,MATCH(B241,overview!$A$4:$A$338,0),MATCH(A248,overview!$B$3:$R$3,0))</f>
        <v>conversion</v>
      </c>
    </row>
    <row r="249" spans="1:2" hidden="1" x14ac:dyDescent="0.2">
      <c r="A249" t="s">
        <v>6</v>
      </c>
      <c r="B249" s="45" t="str">
        <f>INDEX(overview!$B$4:$R$338,MATCH(B241,overview!$A$4:$A$338,0),MATCH(A249,overview!$B$3:$R$3,0))</f>
        <v>fuel cell, PEM</v>
      </c>
    </row>
    <row r="250" spans="1:2" hidden="1" x14ac:dyDescent="0.2">
      <c r="A250" t="s">
        <v>39</v>
      </c>
      <c r="B250" s="45" t="str">
        <f>INDEX(overview!$B$4:$R$338,MATCH(B241,overview!$A$4:$A$338,0),MATCH(A250,overview!$B$3:$R$3,0))</f>
        <v>exergy</v>
      </c>
    </row>
    <row r="251" spans="1:2" hidden="1" x14ac:dyDescent="0.2">
      <c r="A251" t="s">
        <v>4</v>
      </c>
      <c r="B251" s="45" t="str">
        <f>INDEX(overview!$B$4:$R$338,MATCH(B241,overview!$A$4:$A$338,0),MATCH(A251,overview!$B$3:$R$3,0))</f>
        <v>pipeline</v>
      </c>
    </row>
    <row r="252" spans="1:2" hidden="1" x14ac:dyDescent="0.2">
      <c r="A252" t="s">
        <v>38</v>
      </c>
      <c r="B252" s="45">
        <f>INDEX(overview!$B$4:$R$338,MATCH(B241,overview!$A$4:$A$338,0),MATCH(A252,overview!$B$3:$R$3,0))</f>
        <v>500</v>
      </c>
    </row>
    <row r="253" spans="1:2" hidden="1" x14ac:dyDescent="0.2">
      <c r="A253" t="s">
        <v>12</v>
      </c>
      <c r="B253" s="45" t="str">
        <f>INDEX(overview!$B$4:$R$338,MATCH(B241,overview!$A$4:$A$338,0),MATCH(A253,overview!$B$3:$R$3,0))</f>
        <v>Pressure vessel for stationary storage</v>
      </c>
    </row>
    <row r="254" spans="1:2" hidden="1" x14ac:dyDescent="0.2">
      <c r="A254" t="s">
        <v>34</v>
      </c>
      <c r="B254" s="45">
        <f>INDEX(overview!$B$4:$R$338,MATCH(B241,overview!$A$4:$A$338,0),MATCH(A254,overview!$B$3:$R$3,0))</f>
        <v>0</v>
      </c>
    </row>
    <row r="255" spans="1:2" hidden="1" x14ac:dyDescent="0.2">
      <c r="A255" t="s">
        <v>15</v>
      </c>
      <c r="B255" s="45" t="str">
        <f>INDEX(overview!$B$4:$R$338,MATCH(B241,overview!$A$4:$A$338,0),MATCH(A255,overview!$B$3:$R$3,0))</f>
        <v>Steam Methane Reforming</v>
      </c>
    </row>
    <row r="256" spans="1:2" hidden="1" x14ac:dyDescent="0.2">
      <c r="A256" t="s">
        <v>14</v>
      </c>
      <c r="B256" s="45" t="str">
        <f>INDEX(overview!$B$4:$R$338,MATCH(B241,overview!$A$4:$A$338,0),MATCH(A256,overview!$B$3:$R$3,0))</f>
        <v>natural gas</v>
      </c>
    </row>
    <row r="257" spans="1:2" hidden="1" x14ac:dyDescent="0.2">
      <c r="A257" t="s">
        <v>26</v>
      </c>
      <c r="B257" s="45" t="str">
        <f>INDEX(overview!$B$4:$R$338,MATCH(B241,overview!$A$4:$A$338,0),MATCH(A257,overview!$B$3:$R$3,0))</f>
        <v>Switzerland</v>
      </c>
    </row>
    <row r="258" spans="1:2" hidden="1" x14ac:dyDescent="0.2">
      <c r="A258" t="s">
        <v>29</v>
      </c>
      <c r="B258" s="45">
        <f>INDEX(overview!$B$4:$R$338,MATCH(B241,overview!$A$4:$A$338,0),MATCH(A258,overview!$B$3:$R$3,0))</f>
        <v>0</v>
      </c>
    </row>
    <row r="259" spans="1:2" hidden="1" x14ac:dyDescent="0.2">
      <c r="A259" t="str">
        <f>IF(B243="megajoule","Heat","Electricity")&amp;" conversion efficiency [% LHV input]"</f>
        <v>Electricity conversion efficiency [% LHV input]</v>
      </c>
      <c r="B259" s="46">
        <f>INDEX(parameters!$D$4:$N$20,MATCH(B247&amp;B249,parameters!$A$4:$A$20,0),MATCH(A259,parameters!$D$3:$N$3,0))</f>
        <v>0.45</v>
      </c>
    </row>
    <row r="260" spans="1:2" hidden="1" x14ac:dyDescent="0.2">
      <c r="A260" t="str">
        <f>IF(B243="megajoule","LHV [MJ/kg]","LHV [kWh/kg]")</f>
        <v>LHV [kWh/kg]</v>
      </c>
      <c r="B260" s="47">
        <f>INDEX(parameters!$D$4:$N$20,MATCH(B247&amp;B249,parameters!$A$4:$A$20,0),MATCH(A260,parameters!$D$3:$N$3,0))</f>
        <v>33.333333333333336</v>
      </c>
    </row>
    <row r="261" spans="1:2" hidden="1" x14ac:dyDescent="0.2">
      <c r="A261" t="s">
        <v>41</v>
      </c>
      <c r="B261" s="48">
        <f>INDEX(parameters!$D$4:$N$20,MATCH(B247&amp;B249,parameters!$A$4:$A$20,0),MATCH(A261,parameters!$D$3:$N$3,0))</f>
        <v>2.6666666666666665E-2</v>
      </c>
    </row>
    <row r="262" spans="1:2" hidden="1" x14ac:dyDescent="0.2">
      <c r="A262" t="s">
        <v>45</v>
      </c>
      <c r="B262" s="46">
        <f>INDEX(parameters!$D$4:$N$20,MATCH(B247&amp;B249,parameters!$A$4:$A$20,0),MATCH(A262,parameters!$D$3:$N$3,0))</f>
        <v>0</v>
      </c>
    </row>
    <row r="263" spans="1:2" hidden="1" x14ac:dyDescent="0.2">
      <c r="A263" t="s">
        <v>46</v>
      </c>
      <c r="B263" s="46">
        <f>INDEX(parameters!$D$4:$N$20,MATCH(B247&amp;B249,parameters!$A$4:$A$20,0),MATCH(A263,parameters!$D$3:$N$3,0))</f>
        <v>1.4999999999999999E-2</v>
      </c>
    </row>
    <row r="264" spans="1:2" hidden="1" x14ac:dyDescent="0.2">
      <c r="A264" t="s">
        <v>43</v>
      </c>
      <c r="B264" s="46">
        <f>INDEX(parameters!$D$4:$N$20,MATCH(B247&amp;B249,parameters!$A$4:$A$20,0),MATCH(A264,parameters!$D$3:$N$3,0))</f>
        <v>0</v>
      </c>
    </row>
    <row r="265" spans="1:2" hidden="1" x14ac:dyDescent="0.2">
      <c r="A265" t="s">
        <v>44</v>
      </c>
      <c r="B265" s="46">
        <f>INDEX(parameters!$D$4:$N$20,MATCH(B247&amp;B249,parameters!$A$4:$A$20,0),MATCH(A265,parameters!$D$3:$N$3,0))</f>
        <v>0</v>
      </c>
    </row>
    <row r="266" spans="1:2" hidden="1" x14ac:dyDescent="0.2">
      <c r="A266" t="s">
        <v>634</v>
      </c>
      <c r="B266" s="50">
        <f>INDEX(parameters!$D$4:$Y$20,MATCH(B247&amp;B249,parameters!$A$4:$A$20,0),MATCH(A266,parameters!$D$3:$Y$3,0))</f>
        <v>1.8947368421052633</v>
      </c>
    </row>
    <row r="267" spans="1:2" hidden="1" x14ac:dyDescent="0.2">
      <c r="A267" t="s">
        <v>82</v>
      </c>
      <c r="B267" s="46">
        <f>IF(B258&lt;&gt;0,VLOOKUP(B258,parameters!A307:B309,2,0),0)</f>
        <v>0</v>
      </c>
    </row>
    <row r="268" spans="1:2" hidden="1" x14ac:dyDescent="0.2">
      <c r="A268" t="s">
        <v>548</v>
      </c>
      <c r="B268" s="50">
        <f>INDEX(parameters!$D$4:$P$20,MATCH(B247&amp;B249,parameters!$A$4:$A$20,0),MATCH(A268,parameters!$D$3:$P$3,0))</f>
        <v>0.8</v>
      </c>
    </row>
    <row r="269" spans="1:2" hidden="1" x14ac:dyDescent="0.2">
      <c r="A269" t="s">
        <v>547</v>
      </c>
      <c r="B269" s="51">
        <f>INDEX(parameters!$D$4:$P$20,MATCH(B247&amp;B249,parameters!$A$4:$A$20,0),MATCH(A269,parameters!$D$3:$P$3,0))</f>
        <v>4.8780487804878048</v>
      </c>
    </row>
    <row r="270" spans="1:2" hidden="1" x14ac:dyDescent="0.2">
      <c r="A270" t="s">
        <v>630</v>
      </c>
      <c r="B270" s="51">
        <f>INDEX(parameters!$D$4:$T$20,MATCH(B247&amp;B249,parameters!$A$4:$A$20,0),MATCH(A270,parameters!$D$3:$T$3,0))</f>
        <v>4100</v>
      </c>
    </row>
    <row r="271" spans="1:2" hidden="1" x14ac:dyDescent="0.2">
      <c r="A271" t="s">
        <v>1005</v>
      </c>
      <c r="B271" s="50">
        <f>IF(B243="megajoule",SUMIFS(allocation!$I$4:$I$30,allocation!$B$4:$B$30,B249,allocation!$C$4:$C$30,B250),SUMIFS(allocation!$J$4:$J$30,allocation!$B$4:$B$30,B249,allocation!$C$4:$C$30,B250))</f>
        <v>0.86066019201025545</v>
      </c>
    </row>
    <row r="272" spans="1:2" hidden="1" x14ac:dyDescent="0.2">
      <c r="A272" t="s">
        <v>1050</v>
      </c>
      <c r="B272" s="51">
        <f>INDEX(parameters!$D$4:$AB$20,MATCH(B247&amp;B249,parameters!$A$4:$A$20,0),MATCH(A272,parameters!$D$3:$AB$3,0))</f>
        <v>10.221606648199446</v>
      </c>
    </row>
    <row r="273" spans="1:22" hidden="1" x14ac:dyDescent="0.2"/>
    <row r="274" spans="1:22" hidden="1" x14ac:dyDescent="0.2">
      <c r="A274" s="3" t="s">
        <v>57</v>
      </c>
    </row>
    <row r="275" spans="1:22" hidden="1" x14ac:dyDescent="0.2">
      <c r="A275" s="2" t="s">
        <v>58</v>
      </c>
      <c r="B275" s="44" t="s">
        <v>59</v>
      </c>
      <c r="C275" s="2" t="s">
        <v>55</v>
      </c>
      <c r="D275" s="2" t="s">
        <v>60</v>
      </c>
      <c r="E275" s="2" t="s">
        <v>52</v>
      </c>
      <c r="F275" s="2" t="s">
        <v>61</v>
      </c>
      <c r="G275" s="2" t="s">
        <v>54</v>
      </c>
      <c r="H275" s="2" t="s">
        <v>87</v>
      </c>
      <c r="I275" s="2" t="s">
        <v>51</v>
      </c>
      <c r="J275" s="2" t="s">
        <v>138</v>
      </c>
      <c r="K275" s="2" t="s">
        <v>136</v>
      </c>
      <c r="L275" s="2" t="s">
        <v>221</v>
      </c>
      <c r="M275" s="2" t="s">
        <v>379</v>
      </c>
      <c r="N275" s="2" t="s">
        <v>1059</v>
      </c>
      <c r="O275" s="2" t="s">
        <v>1060</v>
      </c>
      <c r="P275" s="2" t="s">
        <v>1061</v>
      </c>
      <c r="Q275" s="2" t="s">
        <v>1062</v>
      </c>
      <c r="R275" s="2" t="s">
        <v>1063</v>
      </c>
      <c r="S275" s="2" t="s">
        <v>1064</v>
      </c>
      <c r="T275" s="2" t="s">
        <v>1065</v>
      </c>
      <c r="U275" s="2" t="s">
        <v>380</v>
      </c>
      <c r="V275" s="2" t="s">
        <v>1128</v>
      </c>
    </row>
    <row r="276" spans="1:22" x14ac:dyDescent="0.2">
      <c r="A276" t="str">
        <f>B237</f>
        <v>electricity, residential, by conversion of hydrogen using fuel cell, PEM, allocated by exergy, transported by pipeline, produced by Steam Methane Reforming using natural gas from Switzerland</v>
      </c>
      <c r="B276" s="45">
        <v>1</v>
      </c>
      <c r="C276" t="str">
        <f>B243</f>
        <v>kilowatt hour</v>
      </c>
      <c r="E276" t="str">
        <f>B240</f>
        <v>CH</v>
      </c>
      <c r="F276" t="s">
        <v>62</v>
      </c>
      <c r="G276" t="str">
        <f>B242</f>
        <v>electricity, from residential heating system</v>
      </c>
      <c r="K276" t="str">
        <f>B237</f>
        <v>electricity, residential, by conversion of hydrogen using fuel cell, PEM, allocated by exergy, transported by pipeline, produced by Steam Methane Reforming using natural gas from Switzerland</v>
      </c>
    </row>
    <row r="277" spans="1:22" hidden="1" x14ac:dyDescent="0.2">
      <c r="A277" t="str">
        <f>VLOOKUP(J277,'dataset mapping'!$A$4:$E$69,2,0)</f>
        <v>fuel cell system assembly, 1 kWe, proton exchange membrane (PEM)</v>
      </c>
      <c r="B277" s="52">
        <f>(1/(B266*B270*B269))*B271</f>
        <v>2.2711866178048405E-5</v>
      </c>
      <c r="C277" t="str">
        <f>VLOOKUP(J277,'dataset mapping'!$A$4:$E$69,5,0)</f>
        <v>unit</v>
      </c>
      <c r="E277" t="str">
        <f>VLOOKUP(J277,'dataset mapping'!$A$4:$E$69,4,0)</f>
        <v>GLO</v>
      </c>
      <c r="F277" t="s">
        <v>86</v>
      </c>
      <c r="G277" t="str">
        <f>VLOOKUP(J277,'dataset mapping'!$A$4:$E$69,3,0)</f>
        <v>fuel cell system, 1 kWe, proton exchange membrane (PEM)</v>
      </c>
      <c r="H277" t="s">
        <v>88</v>
      </c>
      <c r="I277" t="s">
        <v>272</v>
      </c>
      <c r="J277" t="s">
        <v>273</v>
      </c>
      <c r="K277" t="str">
        <f>B237</f>
        <v>electricity, residential, by conversion of hydrogen using fuel cell, PEM, allocated by exergy, transported by pipeline, produced by Steam Methane Reforming using natural gas from Switzerland</v>
      </c>
      <c r="L277">
        <f t="shared" ref="L277:L279" si="17">IF(OR(B277&lt;0,B277=0),1,2)</f>
        <v>2</v>
      </c>
      <c r="M277">
        <f t="shared" ref="M277:M279" si="18">IF(L277=2,LN(B277),"")</f>
        <v>-10.692623030936341</v>
      </c>
      <c r="N277">
        <v>1</v>
      </c>
      <c r="O277" s="15">
        <v>1.2</v>
      </c>
      <c r="P277">
        <v>1</v>
      </c>
      <c r="Q277">
        <v>1.01</v>
      </c>
      <c r="R277">
        <v>1.2</v>
      </c>
      <c r="S277">
        <v>1.2</v>
      </c>
      <c r="T277">
        <v>3</v>
      </c>
      <c r="U277">
        <f t="shared" ref="U277:U279" si="19">LN(SQRT(EXP(
SQRT(
+POWER(LN(N277),2)
+POWER(LN(O277),2)
+POWER(LN(P277),2)
+POWER(LN(Q277),2)
+POWER(LN(R277),2)
+POWER(LN(S277),2)
+POWER(LN(T277),2)
)
)))</f>
        <v>0.57157051623399524</v>
      </c>
    </row>
    <row r="278" spans="1:22" hidden="1" x14ac:dyDescent="0.2">
      <c r="A278" s="45" t="str">
        <f>"hydrogen supply, transported by "&amp;B251&amp;", produced by "&amp;B255&amp;" using "&amp;B256&amp;" from "&amp;B257</f>
        <v>hydrogen supply, transported by pipeline, produced by Steam Methane Reforming using natural gas from Switzerland</v>
      </c>
      <c r="B278" s="53">
        <f>(B276/B260)/B259*B271</f>
        <v>5.7377346134017029E-2</v>
      </c>
      <c r="C278" t="s">
        <v>56</v>
      </c>
      <c r="E278" t="s">
        <v>64</v>
      </c>
      <c r="F278" t="s">
        <v>86</v>
      </c>
      <c r="G278" s="67" t="s">
        <v>1129</v>
      </c>
      <c r="H278" t="s">
        <v>76</v>
      </c>
      <c r="I278" t="s">
        <v>1054</v>
      </c>
      <c r="J278" t="s">
        <v>305</v>
      </c>
      <c r="K278" t="str">
        <f>B237</f>
        <v>electricity, residential, by conversion of hydrogen using fuel cell, PEM, allocated by exergy, transported by pipeline, produced by Steam Methane Reforming using natural gas from Switzerland</v>
      </c>
      <c r="L278">
        <f t="shared" si="17"/>
        <v>2</v>
      </c>
      <c r="M278">
        <f t="shared" si="18"/>
        <v>-2.8581057202127536</v>
      </c>
      <c r="N278">
        <v>1</v>
      </c>
      <c r="O278" s="15">
        <v>1.2</v>
      </c>
      <c r="P278">
        <v>1</v>
      </c>
      <c r="Q278">
        <v>1.01</v>
      </c>
      <c r="R278">
        <v>1.2</v>
      </c>
      <c r="S278">
        <v>1.2</v>
      </c>
      <c r="T278">
        <v>1.05</v>
      </c>
      <c r="U278">
        <f t="shared" si="19"/>
        <v>0.15984597228197622</v>
      </c>
    </row>
    <row r="279" spans="1:22" hidden="1" x14ac:dyDescent="0.2">
      <c r="A279" t="s">
        <v>134</v>
      </c>
      <c r="B279" s="53">
        <f>B278*9</f>
        <v>0.51639611520615325</v>
      </c>
      <c r="C279" t="s">
        <v>56</v>
      </c>
      <c r="D279" t="s">
        <v>100</v>
      </c>
      <c r="F279" t="s">
        <v>99</v>
      </c>
      <c r="H279" t="s">
        <v>131</v>
      </c>
      <c r="I279" t="s">
        <v>1057</v>
      </c>
      <c r="K279" t="str">
        <f>B237</f>
        <v>electricity, residential, by conversion of hydrogen using fuel cell, PEM, allocated by exergy, transported by pipeline, produced by Steam Methane Reforming using natural gas from Switzerland</v>
      </c>
      <c r="L279">
        <f t="shared" si="17"/>
        <v>2</v>
      </c>
      <c r="M279">
        <f t="shared" si="18"/>
        <v>-0.6608811428765341</v>
      </c>
      <c r="N279">
        <v>1</v>
      </c>
      <c r="O279" s="15">
        <v>1.2</v>
      </c>
      <c r="P279">
        <v>1</v>
      </c>
      <c r="Q279">
        <v>1.01</v>
      </c>
      <c r="R279">
        <v>1.2</v>
      </c>
      <c r="S279">
        <v>1.2</v>
      </c>
      <c r="T279">
        <v>1.05</v>
      </c>
      <c r="U279">
        <f t="shared" si="19"/>
        <v>0.15984597228197622</v>
      </c>
    </row>
    <row r="280" spans="1:22" hidden="1" x14ac:dyDescent="0.2"/>
    <row r="281" spans="1:22" hidden="1" x14ac:dyDescent="0.2">
      <c r="A281" s="2" t="s">
        <v>50</v>
      </c>
      <c r="B281" s="44" t="str">
        <f>IF(B287="megajoule","heat","electricity")&amp;", residential, by "&amp;B292&amp;" of "&amp;B291&amp;" using "&amp;B293&amp;IF(B294&lt;&gt;0,", allocated by "&amp;B294,"")&amp;", transported by "&amp;B295&amp;", produced by "&amp;B299&amp;" using "&amp;B300&amp;" from "&amp;B301</f>
        <v>electricity, residential, by conversion of hydrogen using fuel cell, SOFC, allocated by exergy, transported by pipeline, produced by Steam Methane Reforming using natural gas from Switzerland</v>
      </c>
    </row>
    <row r="282" spans="1:22" hidden="1" x14ac:dyDescent="0.2">
      <c r="A282" t="s">
        <v>51</v>
      </c>
      <c r="B282" s="45" t="str">
        <f>"This dataset represents the supply of 1 "&amp;IF(B287="megajoule","megajoule of heat","kilowatt hour of electricity")&amp;" in a residence, by "&amp;B291&amp;" "&amp;B292&amp;" in a "&amp;B293&amp;". "&amp;" The hydrogen is transported by "&amp;B295&amp;" over "&amp;B296&amp;" km from regional storage. "&amp;" The "&amp;B291&amp;" is produced by  "&amp;B299&amp;", with "&amp;B300&amp;" from "&amp;B301&amp;" as feedstock. "&amp;A303&amp;": "&amp;(B303*100)&amp;"%. "&amp;A304&amp;": "&amp;B304&amp;". "&amp;A305&amp;": "&amp;B305&amp;". "&amp;A306&amp;": "&amp;(B306*100)&amp;"%. "&amp;A307&amp;": "&amp;(B307*100)&amp;"%. "&amp;A308&amp;": "&amp;(B308*100)&amp;"%. "&amp;A309&amp;": "&amp;B309&amp;". "&amp;A310&amp;": "&amp;B310&amp;". "&amp;A311&amp;": "&amp;(B311*100)&amp;"%. "&amp;A312&amp;": "&amp;B312&amp;". "&amp;A313&amp;": "&amp;B313&amp;". "&amp;A314&amp;": "&amp;B314&amp;". "&amp;A315&amp;": "&amp;B315&amp;".  For more information, refer to: "&amp;B283</f>
        <v>This dataset represents the supply of 1 kilowatt hour of electricity in a residence, by hydrogen conversion in a fuel cell, SOFC.  The hydrogen is transported by pipeline over 500 km from regional storage.  The hydrogen is produced by  Steam Methane Reforming,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283" spans="1:22" hidden="1" x14ac:dyDescent="0.2">
      <c r="A283" t="s">
        <v>63</v>
      </c>
      <c r="B283" s="45" t="s">
        <v>660</v>
      </c>
    </row>
    <row r="284" spans="1:22" hidden="1" x14ac:dyDescent="0.2">
      <c r="A284" t="s">
        <v>52</v>
      </c>
      <c r="B284" s="45" t="s">
        <v>64</v>
      </c>
    </row>
    <row r="285" spans="1:22" hidden="1" x14ac:dyDescent="0.2">
      <c r="A285" t="s">
        <v>48</v>
      </c>
      <c r="B285" s="45" t="s">
        <v>957</v>
      </c>
    </row>
    <row r="286" spans="1:22" hidden="1" x14ac:dyDescent="0.2">
      <c r="A286" t="s">
        <v>54</v>
      </c>
      <c r="B286" s="45" t="str">
        <f>INDEX(overview!$B$4:$R$338,MATCH(B285,overview!$A$4:$A$338,0),MATCH(A286,overview!$B$3:$R$3,0))</f>
        <v>electricity, from residential heating system</v>
      </c>
    </row>
    <row r="287" spans="1:22" hidden="1" x14ac:dyDescent="0.2">
      <c r="A287" t="s">
        <v>55</v>
      </c>
      <c r="B287" s="45" t="str">
        <f>INDEX(overview!$B$4:$R$338,MATCH(B285,overview!$A$4:$A$338,0),MATCH(A287,overview!$B$3:$R$3,0))</f>
        <v>kilowatt hour</v>
      </c>
    </row>
    <row r="288" spans="1:22" hidden="1" x14ac:dyDescent="0.2">
      <c r="A288" t="s">
        <v>0</v>
      </c>
      <c r="B288" s="45" t="str">
        <f>INDEX(overview!$B$4:$R$338,MATCH(B285,overview!$A$4:$A$338,0),MATCH(A288,overview!$B$3:$R$3,0))</f>
        <v>Switzerland</v>
      </c>
    </row>
    <row r="289" spans="1:2" hidden="1" x14ac:dyDescent="0.2">
      <c r="A289" t="s">
        <v>1</v>
      </c>
      <c r="B289" s="45">
        <f>INDEX(overview!$B$4:$R$338,MATCH(B285,overview!$A$4:$A$338,0),MATCH(A289,overview!$B$3:$R$3,0))</f>
        <v>2020</v>
      </c>
    </row>
    <row r="290" spans="1:2" hidden="1" x14ac:dyDescent="0.2">
      <c r="A290" t="s">
        <v>2</v>
      </c>
      <c r="B290" s="45" t="str">
        <f>INDEX(overview!$B$4:$R$338,MATCH(B285,overview!$A$4:$A$338,0),MATCH(A290,overview!$B$3:$R$3,0))</f>
        <v>1 kWh electricity</v>
      </c>
    </row>
    <row r="291" spans="1:2" hidden="1" x14ac:dyDescent="0.2">
      <c r="A291" t="s">
        <v>5</v>
      </c>
      <c r="B291" s="45" t="str">
        <f>INDEX(overview!$B$4:$R$338,MATCH(B285,overview!$A$4:$A$338,0),MATCH(A291,overview!$B$3:$R$3,0))</f>
        <v>hydrogen</v>
      </c>
    </row>
    <row r="292" spans="1:2" hidden="1" x14ac:dyDescent="0.2">
      <c r="A292" t="s">
        <v>3</v>
      </c>
      <c r="B292" s="45" t="str">
        <f>INDEX(overview!$B$4:$R$338,MATCH(B285,overview!$A$4:$A$338,0),MATCH(A292,overview!$B$3:$R$3,0))</f>
        <v>conversion</v>
      </c>
    </row>
    <row r="293" spans="1:2" hidden="1" x14ac:dyDescent="0.2">
      <c r="A293" t="s">
        <v>6</v>
      </c>
      <c r="B293" s="45" t="str">
        <f>INDEX(overview!$B$4:$R$338,MATCH(B285,overview!$A$4:$A$338,0),MATCH(A293,overview!$B$3:$R$3,0))</f>
        <v>fuel cell, SOFC</v>
      </c>
    </row>
    <row r="294" spans="1:2" hidden="1" x14ac:dyDescent="0.2">
      <c r="A294" t="s">
        <v>39</v>
      </c>
      <c r="B294" s="45" t="str">
        <f>INDEX(overview!$B$4:$R$338,MATCH(B285,overview!$A$4:$A$338,0),MATCH(A294,overview!$B$3:$R$3,0))</f>
        <v>exergy</v>
      </c>
    </row>
    <row r="295" spans="1:2" hidden="1" x14ac:dyDescent="0.2">
      <c r="A295" t="s">
        <v>4</v>
      </c>
      <c r="B295" s="45" t="str">
        <f>INDEX(overview!$B$4:$R$338,MATCH(B285,overview!$A$4:$A$338,0),MATCH(A295,overview!$B$3:$R$3,0))</f>
        <v>pipeline</v>
      </c>
    </row>
    <row r="296" spans="1:2" hidden="1" x14ac:dyDescent="0.2">
      <c r="A296" t="s">
        <v>38</v>
      </c>
      <c r="B296" s="45">
        <f>INDEX(overview!$B$4:$R$338,MATCH(B285,overview!$A$4:$A$338,0),MATCH(A296,overview!$B$3:$R$3,0))</f>
        <v>500</v>
      </c>
    </row>
    <row r="297" spans="1:2" hidden="1" x14ac:dyDescent="0.2">
      <c r="A297" t="s">
        <v>12</v>
      </c>
      <c r="B297" s="45" t="str">
        <f>INDEX(overview!$B$4:$R$338,MATCH(B285,overview!$A$4:$A$338,0),MATCH(A297,overview!$B$3:$R$3,0))</f>
        <v>Pressure vessel for stationary storage</v>
      </c>
    </row>
    <row r="298" spans="1:2" hidden="1" x14ac:dyDescent="0.2">
      <c r="A298" t="s">
        <v>34</v>
      </c>
      <c r="B298" s="45">
        <f>INDEX(overview!$B$4:$R$338,MATCH(B285,overview!$A$4:$A$338,0),MATCH(A298,overview!$B$3:$R$3,0))</f>
        <v>0</v>
      </c>
    </row>
    <row r="299" spans="1:2" hidden="1" x14ac:dyDescent="0.2">
      <c r="A299" t="s">
        <v>15</v>
      </c>
      <c r="B299" s="45" t="str">
        <f>INDEX(overview!$B$4:$R$338,MATCH(B285,overview!$A$4:$A$338,0),MATCH(A299,overview!$B$3:$R$3,0))</f>
        <v>Steam Methane Reforming</v>
      </c>
    </row>
    <row r="300" spans="1:2" hidden="1" x14ac:dyDescent="0.2">
      <c r="A300" t="s">
        <v>14</v>
      </c>
      <c r="B300" s="45" t="str">
        <f>INDEX(overview!$B$4:$R$338,MATCH(B285,overview!$A$4:$A$338,0),MATCH(A300,overview!$B$3:$R$3,0))</f>
        <v>natural gas</v>
      </c>
    </row>
    <row r="301" spans="1:2" hidden="1" x14ac:dyDescent="0.2">
      <c r="A301" t="s">
        <v>26</v>
      </c>
      <c r="B301" s="45" t="str">
        <f>INDEX(overview!$B$4:$R$338,MATCH(B285,overview!$A$4:$A$338,0),MATCH(A301,overview!$B$3:$R$3,0))</f>
        <v>Switzerland</v>
      </c>
    </row>
    <row r="302" spans="1:2" hidden="1" x14ac:dyDescent="0.2">
      <c r="A302" t="s">
        <v>29</v>
      </c>
      <c r="B302" s="45">
        <f>INDEX(overview!$B$4:$R$338,MATCH(B285,overview!$A$4:$A$338,0),MATCH(A302,overview!$B$3:$R$3,0))</f>
        <v>0</v>
      </c>
    </row>
    <row r="303" spans="1:2" hidden="1" x14ac:dyDescent="0.2">
      <c r="A303" t="str">
        <f>IF(B287="megajoule","Heat","Electricity")&amp;" conversion efficiency [% LHV input]"</f>
        <v>Electricity conversion efficiency [% LHV input]</v>
      </c>
      <c r="B303" s="46">
        <f>INDEX(parameters!$D$4:$N$20,MATCH(B291&amp;B293,parameters!$A$4:$A$20,0),MATCH(A303,parameters!$D$3:$N$3,0))</f>
        <v>0.47</v>
      </c>
    </row>
    <row r="304" spans="1:2" hidden="1" x14ac:dyDescent="0.2">
      <c r="A304" t="str">
        <f>IF(B287="megajoule","LHV [MJ/kg]","LHV [kWh/kg]")</f>
        <v>LHV [kWh/kg]</v>
      </c>
      <c r="B304" s="47">
        <f>INDEX(parameters!$D$4:$N$20,MATCH(B291&amp;B293,parameters!$A$4:$A$20,0),MATCH(A304,parameters!$D$3:$N$3,0))</f>
        <v>33.333333333333336</v>
      </c>
    </row>
    <row r="305" spans="1:22" hidden="1" x14ac:dyDescent="0.2">
      <c r="A305" t="s">
        <v>41</v>
      </c>
      <c r="B305" s="48">
        <f>INDEX(parameters!$D$4:$N$20,MATCH(B291&amp;B293,parameters!$A$4:$A$20,0),MATCH(A305,parameters!$D$3:$N$3,0))</f>
        <v>2.6666666666666665E-2</v>
      </c>
    </row>
    <row r="306" spans="1:22" hidden="1" x14ac:dyDescent="0.2">
      <c r="A306" t="s">
        <v>45</v>
      </c>
      <c r="B306" s="46">
        <f>INDEX(parameters!$D$4:$N$20,MATCH(B291&amp;B293,parameters!$A$4:$A$20,0),MATCH(A306,parameters!$D$3:$N$3,0))</f>
        <v>0</v>
      </c>
    </row>
    <row r="307" spans="1:22" hidden="1" x14ac:dyDescent="0.2">
      <c r="A307" t="s">
        <v>46</v>
      </c>
      <c r="B307" s="46">
        <f>INDEX(parameters!$D$4:$N$20,MATCH(B291&amp;B293,parameters!$A$4:$A$20,0),MATCH(A307,parameters!$D$3:$N$3,0))</f>
        <v>1.4999999999999999E-2</v>
      </c>
    </row>
    <row r="308" spans="1:22" hidden="1" x14ac:dyDescent="0.2">
      <c r="A308" t="s">
        <v>43</v>
      </c>
      <c r="B308" s="46">
        <f>INDEX(parameters!$D$4:$N$20,MATCH(B291&amp;B293,parameters!$A$4:$A$20,0),MATCH(A308,parameters!$D$3:$N$3,0))</f>
        <v>0</v>
      </c>
    </row>
    <row r="309" spans="1:22" hidden="1" x14ac:dyDescent="0.2">
      <c r="A309" t="s">
        <v>44</v>
      </c>
      <c r="B309" s="46">
        <f>INDEX(parameters!$D$4:$N$20,MATCH(B291&amp;B293,parameters!$A$4:$A$20,0),MATCH(A309,parameters!$D$3:$N$3,0))</f>
        <v>0</v>
      </c>
    </row>
    <row r="310" spans="1:22" hidden="1" x14ac:dyDescent="0.2">
      <c r="A310" t="s">
        <v>634</v>
      </c>
      <c r="B310" s="50">
        <f>INDEX(parameters!$D$4:$Y$20,MATCH(B291&amp;B293,parameters!$A$4:$A$20,0),MATCH(A310,parameters!$D$3:$Y$3,0))</f>
        <v>225</v>
      </c>
      <c r="D310" s="8"/>
    </row>
    <row r="311" spans="1:22" hidden="1" x14ac:dyDescent="0.2">
      <c r="A311" t="s">
        <v>82</v>
      </c>
      <c r="B311" s="46">
        <f>IF(B302&lt;&gt;0,VLOOKUP(B302,parameters!A356:B358,2,0),0)</f>
        <v>0</v>
      </c>
    </row>
    <row r="312" spans="1:22" hidden="1" x14ac:dyDescent="0.2">
      <c r="A312" t="s">
        <v>548</v>
      </c>
      <c r="B312" s="50">
        <f>INDEX(parameters!$D$4:$P$20,MATCH(B291&amp;B293,parameters!$A$4:$A$20,0),MATCH(A312,parameters!$D$3:$P$3,0))</f>
        <v>100</v>
      </c>
    </row>
    <row r="313" spans="1:22" hidden="1" x14ac:dyDescent="0.2">
      <c r="A313" t="s">
        <v>547</v>
      </c>
      <c r="B313" s="51">
        <f>INDEX(parameters!$D$4:$P$20,MATCH(B291&amp;B293,parameters!$A$4:$A$20,0),MATCH(A313,parameters!$D$3:$P$3,0))</f>
        <v>6</v>
      </c>
    </row>
    <row r="314" spans="1:22" hidden="1" x14ac:dyDescent="0.2">
      <c r="A314" t="s">
        <v>630</v>
      </c>
      <c r="B314" s="51">
        <f>INDEX(parameters!$D$4:$T$20,MATCH(B291&amp;B293,parameters!$A$4:$A$20,0),MATCH(A314,parameters!$D$3:$T$3,0))</f>
        <v>4100</v>
      </c>
    </row>
    <row r="315" spans="1:22" hidden="1" x14ac:dyDescent="0.2">
      <c r="A315" t="s">
        <v>1005</v>
      </c>
      <c r="B315" s="50">
        <f>IF(B287="megajoule",SUMIFS(allocation!$I$4:$I$30,allocation!$B$4:$B$30,B293,allocation!$C$4:$C$30,B294),SUMIFS(allocation!$J$4:$J$30,allocation!$B$4:$B$30,B293,allocation!$C$4:$C$30,B294))</f>
        <v>0.86412493489600906</v>
      </c>
    </row>
    <row r="316" spans="1:22" hidden="1" x14ac:dyDescent="0.2">
      <c r="A316" t="s">
        <v>1050</v>
      </c>
      <c r="B316" s="51">
        <f>INDEX(parameters!$D$4:$AB$20,MATCH(B291&amp;B293,parameters!$A$4:$A$20,0),MATCH(A316,parameters!$D$3:$AB$3,0))</f>
        <v>1153.1249999999998</v>
      </c>
    </row>
    <row r="317" spans="1:22" hidden="1" x14ac:dyDescent="0.2"/>
    <row r="318" spans="1:22" hidden="1" x14ac:dyDescent="0.2">
      <c r="A318" s="3" t="s">
        <v>57</v>
      </c>
    </row>
    <row r="319" spans="1:22" hidden="1" x14ac:dyDescent="0.2">
      <c r="A319" s="2" t="s">
        <v>58</v>
      </c>
      <c r="B319" s="44" t="s">
        <v>59</v>
      </c>
      <c r="C319" s="2" t="s">
        <v>55</v>
      </c>
      <c r="D319" s="2" t="s">
        <v>60</v>
      </c>
      <c r="E319" s="2" t="s">
        <v>52</v>
      </c>
      <c r="F319" s="2" t="s">
        <v>61</v>
      </c>
      <c r="G319" s="2" t="s">
        <v>54</v>
      </c>
      <c r="H319" s="2" t="s">
        <v>87</v>
      </c>
      <c r="I319" s="2" t="s">
        <v>51</v>
      </c>
      <c r="J319" s="2" t="s">
        <v>138</v>
      </c>
      <c r="K319" s="2" t="s">
        <v>136</v>
      </c>
      <c r="L319" s="2" t="s">
        <v>221</v>
      </c>
      <c r="M319" s="2" t="s">
        <v>379</v>
      </c>
      <c r="N319" s="2" t="s">
        <v>1059</v>
      </c>
      <c r="O319" s="2" t="s">
        <v>1060</v>
      </c>
      <c r="P319" s="2" t="s">
        <v>1061</v>
      </c>
      <c r="Q319" s="2" t="s">
        <v>1062</v>
      </c>
      <c r="R319" s="2" t="s">
        <v>1063</v>
      </c>
      <c r="S319" s="2" t="s">
        <v>1064</v>
      </c>
      <c r="T319" s="2" t="s">
        <v>1065</v>
      </c>
      <c r="U319" s="2" t="s">
        <v>380</v>
      </c>
      <c r="V319" s="2" t="s">
        <v>1128</v>
      </c>
    </row>
    <row r="320" spans="1:22" x14ac:dyDescent="0.2">
      <c r="A320" t="str">
        <f>B281</f>
        <v>electricity, residential, by conversion of hydrogen using fuel cell, SOFC, allocated by exergy, transported by pipeline, produced by Steam Methane Reforming using natural gas from Switzerland</v>
      </c>
      <c r="B320" s="45">
        <v>1</v>
      </c>
      <c r="C320" t="str">
        <f>B287</f>
        <v>kilowatt hour</v>
      </c>
      <c r="E320" t="str">
        <f>B284</f>
        <v>CH</v>
      </c>
      <c r="F320" t="s">
        <v>62</v>
      </c>
      <c r="G320" t="str">
        <f>B286</f>
        <v>electricity, from residential heating system</v>
      </c>
      <c r="K320" t="str">
        <f>B281</f>
        <v>electricity, residential, by conversion of hydrogen using fuel cell, SOFC, allocated by exergy, transported by pipeline, produced by Steam Methane Reforming using natural gas from Switzerland</v>
      </c>
    </row>
    <row r="321" spans="1:21" hidden="1" x14ac:dyDescent="0.2">
      <c r="A321" t="str">
        <f>VLOOKUP(J321,'dataset mapping'!$A$4:$E$69,2,0)</f>
        <v>fuel cell production, stack solid oxide, 125kW electrical, future</v>
      </c>
      <c r="B321" s="52">
        <f>1/(62*1000000)/B303*SUMIFS(allocation!$I$4:$I$30,allocation!$B$4:$B$30,B293,allocation!$C$4:$C$30,B294)</f>
        <v>4.6628368258061427E-9</v>
      </c>
      <c r="C321" t="str">
        <f>VLOOKUP(J321,'dataset mapping'!$A$4:$E$69,5,0)</f>
        <v>unit</v>
      </c>
      <c r="E321" t="str">
        <f>VLOOKUP(J321,'dataset mapping'!$A$4:$E$69,4,0)</f>
        <v>CH</v>
      </c>
      <c r="F321" t="s">
        <v>86</v>
      </c>
      <c r="G321" t="str">
        <f>VLOOKUP(J321,'dataset mapping'!$A$4:$E$69,3,0)</f>
        <v>fuel cell, stack solid oxide, 125kW electrical, future</v>
      </c>
      <c r="H321" t="s">
        <v>88</v>
      </c>
      <c r="I321" t="s">
        <v>277</v>
      </c>
      <c r="J321" t="s">
        <v>274</v>
      </c>
      <c r="K321" t="str">
        <f>B281</f>
        <v>electricity, residential, by conversion of hydrogen using fuel cell, SOFC, allocated by exergy, transported by pipeline, produced by Steam Methane Reforming using natural gas from Switzerland</v>
      </c>
      <c r="L321">
        <f t="shared" ref="L321:L326" si="20">IF(OR(B321&lt;0,B321=0),1,2)</f>
        <v>2</v>
      </c>
      <c r="M321">
        <f t="shared" ref="M321:M326" si="21">IF(L321=2,LN(B321),"")</f>
        <v>-19.183641813126002</v>
      </c>
      <c r="N321">
        <v>1</v>
      </c>
      <c r="O321" s="15">
        <v>1.2</v>
      </c>
      <c r="P321">
        <v>1</v>
      </c>
      <c r="Q321">
        <v>1.01</v>
      </c>
      <c r="R321">
        <v>1.2</v>
      </c>
      <c r="S321">
        <v>1.2</v>
      </c>
      <c r="T321">
        <v>3</v>
      </c>
      <c r="U321">
        <f t="shared" ref="U321:U326" si="22">LN(SQRT(EXP(
SQRT(
+POWER(LN(N321),2)
+POWER(LN(O321),2)
+POWER(LN(P321),2)
+POWER(LN(Q321),2)
+POWER(LN(R321),2)
+POWER(LN(S321),2)
+POWER(LN(T321),2)
)
)))</f>
        <v>0.57157051623399524</v>
      </c>
    </row>
    <row r="322" spans="1:21" hidden="1" x14ac:dyDescent="0.2">
      <c r="A322" t="s">
        <v>283</v>
      </c>
      <c r="B322" s="52">
        <f>0.000000145/B303*SUMIFS(allocation!$I$4:$I$30,allocation!$B$4:$B$30,B293,allocation!$C$4:$C$30,B294)</f>
        <v>4.1918903063997216E-8</v>
      </c>
      <c r="C322" t="s">
        <v>55</v>
      </c>
      <c r="E322" t="s">
        <v>64</v>
      </c>
      <c r="F322" t="s">
        <v>86</v>
      </c>
      <c r="G322" t="s">
        <v>284</v>
      </c>
      <c r="H322" t="s">
        <v>88</v>
      </c>
      <c r="I322" t="s">
        <v>277</v>
      </c>
      <c r="K322" t="str">
        <f>B281</f>
        <v>electricity, residential, by conversion of hydrogen using fuel cell, SOFC, allocated by exergy, transported by pipeline, produced by Steam Methane Reforming using natural gas from Switzerland</v>
      </c>
      <c r="L322">
        <f t="shared" si="20"/>
        <v>2</v>
      </c>
      <c r="M322">
        <f t="shared" si="21"/>
        <v>-16.987528964642475</v>
      </c>
      <c r="N322">
        <v>1</v>
      </c>
      <c r="O322" s="15">
        <v>1.2</v>
      </c>
      <c r="P322">
        <v>1</v>
      </c>
      <c r="Q322">
        <v>1.01</v>
      </c>
      <c r="R322">
        <v>1.2</v>
      </c>
      <c r="S322">
        <v>1.2</v>
      </c>
      <c r="T322">
        <v>3</v>
      </c>
      <c r="U322">
        <f t="shared" si="22"/>
        <v>0.57157051623399524</v>
      </c>
    </row>
    <row r="323" spans="1:21" hidden="1" x14ac:dyDescent="0.2">
      <c r="A323" t="s">
        <v>285</v>
      </c>
      <c r="B323" s="52">
        <f>0.0000000115/B303*SUMIFS(allocation!$I$4:$I$30,allocation!$B$4:$B$30,B293,allocation!$C$4:$C$30,B294)</f>
        <v>3.3246026567997794E-9</v>
      </c>
      <c r="C323" t="s">
        <v>55</v>
      </c>
      <c r="E323" t="s">
        <v>90</v>
      </c>
      <c r="F323" t="s">
        <v>86</v>
      </c>
      <c r="G323" t="s">
        <v>286</v>
      </c>
      <c r="H323" t="s">
        <v>88</v>
      </c>
      <c r="K323" t="str">
        <f>B281</f>
        <v>electricity, residential, by conversion of hydrogen using fuel cell, SOFC, allocated by exergy, transported by pipeline, produced by Steam Methane Reforming using natural gas from Switzerland</v>
      </c>
      <c r="L323">
        <f t="shared" si="20"/>
        <v>2</v>
      </c>
      <c r="M323">
        <f t="shared" si="21"/>
        <v>-19.521915671693844</v>
      </c>
      <c r="N323">
        <v>1</v>
      </c>
      <c r="O323" s="15">
        <v>1.2</v>
      </c>
      <c r="P323">
        <v>1</v>
      </c>
      <c r="Q323">
        <v>1.01</v>
      </c>
      <c r="R323">
        <v>1.2</v>
      </c>
      <c r="S323">
        <v>1.2</v>
      </c>
      <c r="T323">
        <v>3</v>
      </c>
      <c r="U323">
        <f t="shared" si="22"/>
        <v>0.57157051623399524</v>
      </c>
    </row>
    <row r="324" spans="1:21" hidden="1" x14ac:dyDescent="0.2">
      <c r="A324" t="s">
        <v>288</v>
      </c>
      <c r="B324" s="52">
        <f>0.000024/B303*SUMIFS(allocation!$I$4:$I$30,allocation!$B$4:$B$30,B293,allocation!$C$4:$C$30,B294)</f>
        <v>6.9383011967995388E-6</v>
      </c>
      <c r="C324" t="s">
        <v>56</v>
      </c>
      <c r="E324" t="s">
        <v>64</v>
      </c>
      <c r="F324" t="s">
        <v>86</v>
      </c>
      <c r="G324" t="s">
        <v>287</v>
      </c>
      <c r="H324" t="s">
        <v>88</v>
      </c>
      <c r="K324" t="str">
        <f>B281</f>
        <v>electricity, residential, by conversion of hydrogen using fuel cell, SOFC, allocated by exergy, transported by pipeline, produced by Steam Methane Reforming using natural gas from Switzerland</v>
      </c>
      <c r="L324">
        <f t="shared" si="20"/>
        <v>2</v>
      </c>
      <c r="M324">
        <f t="shared" si="21"/>
        <v>-11.878453597732966</v>
      </c>
      <c r="N324">
        <v>1</v>
      </c>
      <c r="O324" s="15">
        <v>1.2</v>
      </c>
      <c r="P324">
        <v>1</v>
      </c>
      <c r="Q324">
        <v>1.01</v>
      </c>
      <c r="R324">
        <v>1.2</v>
      </c>
      <c r="S324">
        <v>1.2</v>
      </c>
      <c r="T324">
        <v>1.05</v>
      </c>
      <c r="U324">
        <f t="shared" si="22"/>
        <v>0.15984597228197622</v>
      </c>
    </row>
    <row r="325" spans="1:21" hidden="1" x14ac:dyDescent="0.2">
      <c r="A325" s="45" t="str">
        <f>"hydrogen supply, transported by "&amp;B295&amp;", produced by "&amp;B299&amp;" using "&amp;B300&amp;" from "&amp;B301</f>
        <v>hydrogen supply, transported by pipeline, produced by Steam Methane Reforming using natural gas from Switzerland</v>
      </c>
      <c r="B325" s="53">
        <f>(B320/B304)/B303*B315</f>
        <v>5.515691073804313E-2</v>
      </c>
      <c r="C325" t="s">
        <v>56</v>
      </c>
      <c r="E325" t="s">
        <v>64</v>
      </c>
      <c r="F325" t="s">
        <v>86</v>
      </c>
      <c r="G325" s="67" t="s">
        <v>1129</v>
      </c>
      <c r="H325" t="s">
        <v>76</v>
      </c>
      <c r="I325" t="s">
        <v>1054</v>
      </c>
      <c r="J325" t="s">
        <v>305</v>
      </c>
      <c r="K325" t="str">
        <f>B281</f>
        <v>electricity, residential, by conversion of hydrogen using fuel cell, SOFC, allocated by exergy, transported by pipeline, produced by Steam Methane Reforming using natural gas from Switzerland</v>
      </c>
      <c r="L325">
        <f t="shared" si="20"/>
        <v>2</v>
      </c>
      <c r="M325">
        <f t="shared" si="21"/>
        <v>-2.8975732330996009</v>
      </c>
      <c r="N325">
        <v>1</v>
      </c>
      <c r="O325" s="15">
        <v>1.2</v>
      </c>
      <c r="P325">
        <v>1</v>
      </c>
      <c r="Q325">
        <v>1.01</v>
      </c>
      <c r="R325">
        <v>1.2</v>
      </c>
      <c r="S325">
        <v>1.2</v>
      </c>
      <c r="T325">
        <v>1.05</v>
      </c>
      <c r="U325">
        <f t="shared" si="22"/>
        <v>0.15984597228197622</v>
      </c>
    </row>
    <row r="326" spans="1:21" hidden="1" x14ac:dyDescent="0.2">
      <c r="A326" t="s">
        <v>134</v>
      </c>
      <c r="B326" s="45">
        <f>B325*9</f>
        <v>0.49641219664238817</v>
      </c>
      <c r="C326" t="s">
        <v>56</v>
      </c>
      <c r="D326" t="s">
        <v>100</v>
      </c>
      <c r="F326" t="s">
        <v>99</v>
      </c>
      <c r="H326" t="s">
        <v>131</v>
      </c>
      <c r="I326" t="s">
        <v>1057</v>
      </c>
      <c r="K326" t="str">
        <f>B281</f>
        <v>electricity, residential, by conversion of hydrogen using fuel cell, SOFC, allocated by exergy, transported by pipeline, produced by Steam Methane Reforming using natural gas from Switzerland</v>
      </c>
      <c r="L326">
        <f t="shared" si="20"/>
        <v>2</v>
      </c>
      <c r="M326">
        <f t="shared" si="21"/>
        <v>-0.70034865576338168</v>
      </c>
      <c r="N326">
        <v>1</v>
      </c>
      <c r="O326" s="15">
        <v>1.2</v>
      </c>
      <c r="P326">
        <v>1</v>
      </c>
      <c r="Q326">
        <v>1.01</v>
      </c>
      <c r="R326">
        <v>1.2</v>
      </c>
      <c r="S326">
        <v>1.2</v>
      </c>
      <c r="T326">
        <v>1.05</v>
      </c>
      <c r="U326">
        <f t="shared" si="22"/>
        <v>0.15984597228197622</v>
      </c>
    </row>
    <row r="327" spans="1:21" hidden="1" x14ac:dyDescent="0.2"/>
    <row r="328" spans="1:21" hidden="1" x14ac:dyDescent="0.2">
      <c r="A328" s="2" t="s">
        <v>50</v>
      </c>
      <c r="B328" s="44" t="str">
        <f>IF(B334="megajoule","heat","electricity")&amp;", residential, by "&amp;B339&amp;" of "&amp;B338&amp;" using "&amp;B340&amp;IF(B341&lt;&gt;0,", allocated by "&amp;B341,"")&amp;", transported by "&amp;B342&amp;", produced by "&amp;B346&amp;" using "&amp;B347&amp;" from "&amp;B348</f>
        <v>heat, residential, by combustion of hydrogen using boiler, transported by truck, produced by Steam Methane Reforming using natural gas from Switzerland</v>
      </c>
    </row>
    <row r="329" spans="1:21" hidden="1" x14ac:dyDescent="0.2">
      <c r="A329" t="s">
        <v>51</v>
      </c>
      <c r="B329" s="45" t="str">
        <f>"This dataset represents the supply of 1 "&amp;IF(B334="megajoule","megajoule of heat","kilowatt hour of electricity")&amp;" in a residence, by "&amp;B338&amp;" "&amp;B339&amp;" in a "&amp;B340&amp;". "&amp;" The hydrogen is transported by "&amp;B342&amp;" over "&amp;B343&amp;" km from regional storage. "&amp;" The "&amp;B338&amp;" is produced by  "&amp;B346&amp;", with "&amp;B347&amp;" from "&amp;B348&amp;" as feedstock. "&amp;A350&amp;": "&amp;(B350*100)&amp;"%. "&amp;A351&amp;": "&amp;B351&amp;". "&amp;A352&amp;": "&amp;B352&amp;". "&amp;A353&amp;": "&amp;(B353*100)&amp;"%. "&amp;A354&amp;": "&amp;(B354*100)&amp;"%. "&amp;A355&amp;": "&amp;(B355*100)&amp;"%. "&amp;A356&amp;": "&amp;B356&amp;". "&amp;A357&amp;": "&amp;B357&amp;". "&amp;A358&amp;": "&amp;(B358*100)&amp;"%. "&amp;A359&amp;": "&amp;B359&amp;". "&amp;A360&amp;": "&amp;B360&amp;". "&amp;A361&amp;": "&amp;B361&amp;". "&amp;A362&amp;": "&amp;B362&amp;".  For more information, refer to: "&amp;B330</f>
        <v>This dataset represents the supply of 1 megajoule of heat in a residence, by hydrogen combustion in a boiler.  The hydrogen is transported by truck over 200 km from regional storage.  The hydrogen is produced by  Steam Methane Reforming,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30" spans="1:21" hidden="1" x14ac:dyDescent="0.2">
      <c r="A330" t="s">
        <v>63</v>
      </c>
      <c r="B330" s="45" t="s">
        <v>660</v>
      </c>
    </row>
    <row r="331" spans="1:21" hidden="1" x14ac:dyDescent="0.2">
      <c r="A331" t="s">
        <v>52</v>
      </c>
      <c r="B331" s="45" t="s">
        <v>64</v>
      </c>
    </row>
    <row r="332" spans="1:21" hidden="1" x14ac:dyDescent="0.2">
      <c r="A332" t="s">
        <v>48</v>
      </c>
      <c r="B332" s="45">
        <v>125</v>
      </c>
    </row>
    <row r="333" spans="1:21" hidden="1" x14ac:dyDescent="0.2">
      <c r="A333" t="s">
        <v>54</v>
      </c>
      <c r="B333" s="45" t="str">
        <f>INDEX(overview!$B$4:$R$338,MATCH(B332,overview!$A$4:$A$338,0),MATCH(A333,overview!$B$3:$R$3,0))</f>
        <v>heat, from residential heating system</v>
      </c>
    </row>
    <row r="334" spans="1:21" hidden="1" x14ac:dyDescent="0.2">
      <c r="A334" t="s">
        <v>55</v>
      </c>
      <c r="B334" s="45" t="str">
        <f>INDEX(overview!$B$4:$R$338,MATCH(B332,overview!$A$4:$A$338,0),MATCH(A334,overview!$B$3:$R$3,0))</f>
        <v>megajoule</v>
      </c>
    </row>
    <row r="335" spans="1:21" hidden="1" x14ac:dyDescent="0.2">
      <c r="A335" t="s">
        <v>0</v>
      </c>
      <c r="B335" s="45" t="str">
        <f>INDEX(overview!$B$4:$R$338,MATCH(B332,overview!$A$4:$A$338,0),MATCH(A335,overview!$B$3:$R$3,0))</f>
        <v>Switzerland</v>
      </c>
    </row>
    <row r="336" spans="1:21" hidden="1" x14ac:dyDescent="0.2">
      <c r="A336" t="s">
        <v>1</v>
      </c>
      <c r="B336" s="45">
        <f>INDEX(overview!$B$4:$R$338,MATCH(B332,overview!$A$4:$A$338,0),MATCH(A336,overview!$B$3:$R$3,0))</f>
        <v>2020</v>
      </c>
    </row>
    <row r="337" spans="1:2" hidden="1" x14ac:dyDescent="0.2">
      <c r="A337" t="s">
        <v>2</v>
      </c>
      <c r="B337" s="45" t="str">
        <f>INDEX(overview!$B$4:$R$338,MATCH(B332,overview!$A$4:$A$338,0),MATCH(A337,overview!$B$3:$R$3,0))</f>
        <v>1 MJ heat</v>
      </c>
    </row>
    <row r="338" spans="1:2" hidden="1" x14ac:dyDescent="0.2">
      <c r="A338" t="s">
        <v>5</v>
      </c>
      <c r="B338" s="45" t="str">
        <f>INDEX(overview!$B$4:$R$338,MATCH(B332,overview!$A$4:$A$338,0),MATCH(A338,overview!$B$3:$R$3,0))</f>
        <v>hydrogen</v>
      </c>
    </row>
    <row r="339" spans="1:2" hidden="1" x14ac:dyDescent="0.2">
      <c r="A339" t="s">
        <v>3</v>
      </c>
      <c r="B339" s="45" t="str">
        <f>INDEX(overview!$B$4:$R$338,MATCH(B332,overview!$A$4:$A$338,0),MATCH(A339,overview!$B$3:$R$3,0))</f>
        <v>combustion</v>
      </c>
    </row>
    <row r="340" spans="1:2" hidden="1" x14ac:dyDescent="0.2">
      <c r="A340" t="s">
        <v>6</v>
      </c>
      <c r="B340" s="45" t="str">
        <f>INDEX(overview!$B$4:$R$338,MATCH(B332,overview!$A$4:$A$338,0),MATCH(A340,overview!$B$3:$R$3,0))</f>
        <v>boiler</v>
      </c>
    </row>
    <row r="341" spans="1:2" hidden="1" x14ac:dyDescent="0.2">
      <c r="A341" t="s">
        <v>39</v>
      </c>
      <c r="B341" s="45">
        <f>INDEX(overview!$B$4:$R$338,MATCH(B332,overview!$A$4:$A$338,0),MATCH(A341,overview!$B$3:$R$3,0))</f>
        <v>0</v>
      </c>
    </row>
    <row r="342" spans="1:2" hidden="1" x14ac:dyDescent="0.2">
      <c r="A342" t="s">
        <v>4</v>
      </c>
      <c r="B342" s="45" t="str">
        <f>INDEX(overview!$B$4:$R$338,MATCH(B332,overview!$A$4:$A$338,0),MATCH(A342,overview!$B$3:$R$3,0))</f>
        <v>truck</v>
      </c>
    </row>
    <row r="343" spans="1:2" hidden="1" x14ac:dyDescent="0.2">
      <c r="A343" t="s">
        <v>38</v>
      </c>
      <c r="B343" s="45">
        <f>INDEX(overview!$B$4:$R$338,MATCH(B332,overview!$A$4:$A$338,0),MATCH(A343,overview!$B$3:$R$3,0))</f>
        <v>200</v>
      </c>
    </row>
    <row r="344" spans="1:2" hidden="1" x14ac:dyDescent="0.2">
      <c r="A344" t="s">
        <v>12</v>
      </c>
      <c r="B344" s="45" t="str">
        <f>INDEX(overview!$B$4:$R$338,MATCH(B332,overview!$A$4:$A$338,0),MATCH(A344,overview!$B$3:$R$3,0))</f>
        <v>Pressure vessel for stationary storage</v>
      </c>
    </row>
    <row r="345" spans="1:2" hidden="1" x14ac:dyDescent="0.2">
      <c r="A345" t="s">
        <v>34</v>
      </c>
      <c r="B345" s="45">
        <f>INDEX(overview!$B$4:$R$338,MATCH(B332,overview!$A$4:$A$338,0),MATCH(A345,overview!$B$3:$R$3,0))</f>
        <v>0</v>
      </c>
    </row>
    <row r="346" spans="1:2" hidden="1" x14ac:dyDescent="0.2">
      <c r="A346" t="s">
        <v>15</v>
      </c>
      <c r="B346" s="45" t="str">
        <f>INDEX(overview!$B$4:$R$338,MATCH(B332,overview!$A$4:$A$338,0),MATCH(A346,overview!$B$3:$R$3,0))</f>
        <v>Steam Methane Reforming</v>
      </c>
    </row>
    <row r="347" spans="1:2" hidden="1" x14ac:dyDescent="0.2">
      <c r="A347" t="s">
        <v>14</v>
      </c>
      <c r="B347" s="45" t="str">
        <f>INDEX(overview!$B$4:$R$338,MATCH(B332,overview!$A$4:$A$338,0),MATCH(A347,overview!$B$3:$R$3,0))</f>
        <v>natural gas</v>
      </c>
    </row>
    <row r="348" spans="1:2" hidden="1" x14ac:dyDescent="0.2">
      <c r="A348" t="s">
        <v>26</v>
      </c>
      <c r="B348" s="45" t="str">
        <f>INDEX(overview!$B$4:$R$338,MATCH(B332,overview!$A$4:$A$338,0),MATCH(A348,overview!$B$3:$R$3,0))</f>
        <v>Switzerland</v>
      </c>
    </row>
    <row r="349" spans="1:2" hidden="1" x14ac:dyDescent="0.2">
      <c r="A349" t="s">
        <v>29</v>
      </c>
      <c r="B349" s="45">
        <f>INDEX(overview!$B$4:$R$338,MATCH(B332,overview!$A$4:$A$338,0),MATCH(A349,overview!$B$3:$R$3,0))</f>
        <v>0</v>
      </c>
    </row>
    <row r="350" spans="1:2" hidden="1" x14ac:dyDescent="0.2">
      <c r="A350" t="str">
        <f>IF(B334="megajoule","Heat","Electricity")&amp;" conversion efficiency [% LHV input]"</f>
        <v>Heat conversion efficiency [% LHV input]</v>
      </c>
      <c r="B350" s="46">
        <f>INDEX(parameters!$D$4:$N$20,MATCH(B338&amp;B340,parameters!$A$4:$A$20,0),MATCH(A350,parameters!$D$3:$N$3,0))</f>
        <v>0.94</v>
      </c>
    </row>
    <row r="351" spans="1:2" hidden="1" x14ac:dyDescent="0.2">
      <c r="A351" t="str">
        <f>IF(B334="megajoule","LHV [MJ/kg]","LHV [kWh/kg]")</f>
        <v>LHV [MJ/kg]</v>
      </c>
      <c r="B351" s="47">
        <f>INDEX(parameters!$D$4:$N$20,MATCH(B338&amp;B340,parameters!$A$4:$A$20,0),MATCH(A351,parameters!$D$3:$N$3,0))</f>
        <v>120</v>
      </c>
    </row>
    <row r="352" spans="1:2" hidden="1" x14ac:dyDescent="0.2">
      <c r="A352" t="s">
        <v>41</v>
      </c>
      <c r="B352" s="48">
        <f>INDEX(parameters!$D$4:$N$20,MATCH(B338&amp;B340,parameters!$A$4:$A$20,0),MATCH(A352,parameters!$D$3:$N$3,0))</f>
        <v>2.6666666666666665E-2</v>
      </c>
    </row>
    <row r="353" spans="1:22" hidden="1" x14ac:dyDescent="0.2">
      <c r="A353" t="s">
        <v>45</v>
      </c>
      <c r="B353" s="49">
        <f>INDEX(parameters!$D$4:$N$20,MATCH(B338&amp;B340,parameters!$A$4:$A$20,0),MATCH(A353,parameters!$D$3:$N$3,0))</f>
        <v>0</v>
      </c>
    </row>
    <row r="354" spans="1:22" hidden="1" x14ac:dyDescent="0.2">
      <c r="A354" t="s">
        <v>46</v>
      </c>
      <c r="B354" s="49">
        <f>INDEX(parameters!$D$4:$N$20,MATCH(B338&amp;B340,parameters!$A$4:$A$20,0),MATCH(A354,parameters!$D$3:$N$3,0))</f>
        <v>1.4999999999999999E-2</v>
      </c>
    </row>
    <row r="355" spans="1:22" hidden="1" x14ac:dyDescent="0.2">
      <c r="A355" t="s">
        <v>43</v>
      </c>
      <c r="B355" s="49">
        <f>INDEX(parameters!$D$4:$N$20,MATCH(B338&amp;B340,parameters!$A$4:$A$20,0),MATCH(A355,parameters!$D$3:$N$3,0))</f>
        <v>0</v>
      </c>
    </row>
    <row r="356" spans="1:22" hidden="1" x14ac:dyDescent="0.2">
      <c r="A356" t="s">
        <v>44</v>
      </c>
      <c r="B356" s="49">
        <f>INDEX(parameters!$D$4:$N$20,MATCH(B338&amp;B340,parameters!$A$4:$A$20,0),MATCH(A356,parameters!$D$3:$N$3,0))</f>
        <v>0</v>
      </c>
    </row>
    <row r="357" spans="1:22" hidden="1" x14ac:dyDescent="0.2">
      <c r="A357" t="s">
        <v>634</v>
      </c>
      <c r="B357" s="50">
        <f>INDEX(parameters!$D$4:$Y$20,MATCH(B338&amp;B340,parameters!$A$4:$A$20,0),MATCH(A357,parameters!$D$3:$Y$3,0))</f>
        <v>15.957446808510639</v>
      </c>
    </row>
    <row r="358" spans="1:22" hidden="1" x14ac:dyDescent="0.2">
      <c r="A358" t="s">
        <v>82</v>
      </c>
      <c r="B358" s="46">
        <f>IF(B349&lt;&gt;0,VLOOKUP(B349,parameters!A253:B255,2,0),0)</f>
        <v>0</v>
      </c>
    </row>
    <row r="359" spans="1:22" hidden="1" x14ac:dyDescent="0.2">
      <c r="A359" t="s">
        <v>548</v>
      </c>
      <c r="B359" s="50">
        <f>INDEX(parameters!$D$4:$P$20,MATCH(B338&amp;B340,parameters!$A$4:$A$20,0),MATCH(A359,parameters!$D$3:$P$3,0))</f>
        <v>15</v>
      </c>
    </row>
    <row r="360" spans="1:22" hidden="1" x14ac:dyDescent="0.2">
      <c r="A360" t="s">
        <v>547</v>
      </c>
      <c r="B360" s="51">
        <f>INDEX(parameters!$D$4:$P$20,MATCH(B338&amp;B340,parameters!$A$4:$A$20,0),MATCH(A360,parameters!$D$3:$P$3,0))</f>
        <v>20</v>
      </c>
    </row>
    <row r="361" spans="1:22" hidden="1" x14ac:dyDescent="0.2">
      <c r="A361" t="s">
        <v>630</v>
      </c>
      <c r="B361" s="51">
        <f>INDEX(parameters!$D$4:$T$20,MATCH(B338&amp;B340,parameters!$A$4:$A$20,0),MATCH(A361,parameters!$D$3:$T$3,0))</f>
        <v>2100</v>
      </c>
    </row>
    <row r="362" spans="1:22" hidden="1" x14ac:dyDescent="0.2">
      <c r="A362" t="s">
        <v>1005</v>
      </c>
      <c r="B362" s="50">
        <f>IF(B334="megajoule",SUMIFS(allocation!$I$4:$I$30,allocation!$B$4:$B$30,B340,allocation!$C$4:$C$30,B341),SUMIFS(allocation!$J$4:$J$30,allocation!$B$4:$B$30,B340,allocation!$C$4:$C$30,B341))</f>
        <v>0</v>
      </c>
    </row>
    <row r="363" spans="1:22" hidden="1" x14ac:dyDescent="0.2">
      <c r="A363" t="s">
        <v>1050</v>
      </c>
      <c r="B363" s="51">
        <f>INDEX(parameters!$D$4:$AB$20,MATCH(B338&amp;B340,parameters!$A$4:$A$20,0),MATCH(A363,parameters!$D$3:$AB$3,0))</f>
        <v>44.562019013128115</v>
      </c>
    </row>
    <row r="364" spans="1:22" hidden="1" x14ac:dyDescent="0.2"/>
    <row r="365" spans="1:22" hidden="1" x14ac:dyDescent="0.2">
      <c r="A365" s="3" t="s">
        <v>57</v>
      </c>
    </row>
    <row r="366" spans="1:22" hidden="1" x14ac:dyDescent="0.2">
      <c r="A366" s="2" t="s">
        <v>58</v>
      </c>
      <c r="B366" s="44" t="s">
        <v>59</v>
      </c>
      <c r="C366" s="2" t="s">
        <v>55</v>
      </c>
      <c r="D366" s="2" t="s">
        <v>60</v>
      </c>
      <c r="E366" s="2" t="s">
        <v>52</v>
      </c>
      <c r="F366" s="2" t="s">
        <v>61</v>
      </c>
      <c r="G366" s="2" t="s">
        <v>54</v>
      </c>
      <c r="H366" s="2" t="s">
        <v>87</v>
      </c>
      <c r="I366" s="2" t="s">
        <v>51</v>
      </c>
      <c r="J366" s="2" t="s">
        <v>138</v>
      </c>
      <c r="K366" s="2" t="s">
        <v>136</v>
      </c>
      <c r="L366" s="2" t="s">
        <v>221</v>
      </c>
      <c r="M366" s="2" t="s">
        <v>379</v>
      </c>
      <c r="N366" s="2" t="s">
        <v>1059</v>
      </c>
      <c r="O366" s="2" t="s">
        <v>1060</v>
      </c>
      <c r="P366" s="2" t="s">
        <v>1061</v>
      </c>
      <c r="Q366" s="2" t="s">
        <v>1062</v>
      </c>
      <c r="R366" s="2" t="s">
        <v>1063</v>
      </c>
      <c r="S366" s="2" t="s">
        <v>1064</v>
      </c>
      <c r="T366" s="2" t="s">
        <v>1065</v>
      </c>
      <c r="U366" s="2" t="s">
        <v>380</v>
      </c>
      <c r="V366" s="2" t="s">
        <v>1128</v>
      </c>
    </row>
    <row r="367" spans="1:22" hidden="1" x14ac:dyDescent="0.2">
      <c r="A367" t="str">
        <f>B328</f>
        <v>heat, residential, by combustion of hydrogen using boiler, transported by truck, produced by Steam Methane Reforming using natural gas from Switzerland</v>
      </c>
      <c r="B367" s="45">
        <v>1</v>
      </c>
      <c r="C367" t="str">
        <f>B334</f>
        <v>megajoule</v>
      </c>
      <c r="E367" t="str">
        <f>B331</f>
        <v>CH</v>
      </c>
      <c r="F367" t="s">
        <v>62</v>
      </c>
      <c r="G367" t="str">
        <f>B333</f>
        <v>heat, from residential heating system</v>
      </c>
      <c r="K367" t="str">
        <f>B328</f>
        <v>heat, residential, by combustion of hydrogen using boiler, transported by truck, produced by Steam Methane Reforming using natural gas from Switzerland</v>
      </c>
    </row>
    <row r="368" spans="1:22" hidden="1" x14ac:dyDescent="0.2">
      <c r="A368" t="s">
        <v>83</v>
      </c>
      <c r="B368" s="52">
        <f>1/(B359*B361*B360*3.6)</f>
        <v>4.4091710758377425E-7</v>
      </c>
      <c r="C368" t="s">
        <v>55</v>
      </c>
      <c r="E368" t="s">
        <v>85</v>
      </c>
      <c r="F368" t="s">
        <v>86</v>
      </c>
      <c r="G368" t="s">
        <v>84</v>
      </c>
      <c r="H368" t="s">
        <v>88</v>
      </c>
      <c r="K368" t="str">
        <f>B328</f>
        <v>heat, residential, by combustion of hydrogen using boiler, transported by truck, produced by Steam Methane Reforming using natural gas from Switzerland</v>
      </c>
      <c r="L368">
        <f t="shared" ref="L368:L374" si="23">IF(OR(B368&lt;0,B368=0),1,2)</f>
        <v>2</v>
      </c>
      <c r="M368">
        <f t="shared" ref="M368:M374" si="24">IF(L368=2,LN(B368),"")</f>
        <v>-14.634408943829779</v>
      </c>
      <c r="N368">
        <v>1.05</v>
      </c>
      <c r="O368" s="15">
        <v>1.2</v>
      </c>
      <c r="P368">
        <v>1</v>
      </c>
      <c r="Q368">
        <v>1.01</v>
      </c>
      <c r="R368">
        <v>1.2</v>
      </c>
      <c r="S368">
        <v>1.2</v>
      </c>
      <c r="T368">
        <v>3</v>
      </c>
      <c r="U368">
        <f t="shared" ref="U368:U374" si="25">LN(SQRT(EXP(
SQRT(
+POWER(LN(N368),2)
+POWER(LN(O368),2)
+POWER(LN(P368),2)
+POWER(LN(Q368),2)
+POWER(LN(R368),2)
+POWER(LN(S368),2)
+POWER(LN(T368),2)
)
)))</f>
        <v>0.57209088006881903</v>
      </c>
    </row>
    <row r="369" spans="1:21" hidden="1" x14ac:dyDescent="0.2">
      <c r="A369" t="s">
        <v>500</v>
      </c>
      <c r="B369" s="52">
        <f>B368*2</f>
        <v>8.8183421516754851E-7</v>
      </c>
      <c r="C369" t="s">
        <v>267</v>
      </c>
      <c r="E369" t="s">
        <v>85</v>
      </c>
      <c r="F369" t="s">
        <v>86</v>
      </c>
      <c r="G369" t="s">
        <v>501</v>
      </c>
      <c r="H369" t="s">
        <v>88</v>
      </c>
      <c r="I369" t="s">
        <v>621</v>
      </c>
      <c r="K369" t="str">
        <f>B328</f>
        <v>heat, residential, by combustion of hydrogen using boiler, transported by truck, produced by Steam Methane Reforming using natural gas from Switzerland</v>
      </c>
      <c r="L369">
        <f t="shared" si="23"/>
        <v>2</v>
      </c>
      <c r="M369">
        <f t="shared" si="24"/>
        <v>-13.941261763269834</v>
      </c>
      <c r="N369">
        <v>1.05</v>
      </c>
      <c r="O369" s="15">
        <v>1.2</v>
      </c>
      <c r="P369">
        <v>1</v>
      </c>
      <c r="Q369">
        <v>1.01</v>
      </c>
      <c r="R369">
        <v>1.2</v>
      </c>
      <c r="S369">
        <v>1.2</v>
      </c>
      <c r="T369">
        <v>3</v>
      </c>
      <c r="U369">
        <f t="shared" si="25"/>
        <v>0.57209088006881903</v>
      </c>
    </row>
    <row r="370" spans="1:21" hidden="1" x14ac:dyDescent="0.2">
      <c r="A370" t="s">
        <v>130</v>
      </c>
      <c r="B370" s="52">
        <v>2.64E-3</v>
      </c>
      <c r="C370" t="s">
        <v>92</v>
      </c>
      <c r="E370" t="s">
        <v>64</v>
      </c>
      <c r="F370" t="s">
        <v>86</v>
      </c>
      <c r="G370" t="s">
        <v>93</v>
      </c>
      <c r="H370" t="s">
        <v>78</v>
      </c>
      <c r="I370" t="s">
        <v>270</v>
      </c>
      <c r="J370" t="s">
        <v>67</v>
      </c>
      <c r="K370" t="str">
        <f>B328</f>
        <v>heat, residential, by combustion of hydrogen using boiler, transported by truck, produced by Steam Methane Reforming using natural gas from Switzerland</v>
      </c>
      <c r="L370">
        <f t="shared" si="23"/>
        <v>2</v>
      </c>
      <c r="M370">
        <f t="shared" si="24"/>
        <v>-5.9369763618239126</v>
      </c>
      <c r="N370">
        <v>1.05</v>
      </c>
      <c r="O370" s="15">
        <v>1.2</v>
      </c>
      <c r="P370">
        <v>1</v>
      </c>
      <c r="Q370">
        <v>1.01</v>
      </c>
      <c r="R370">
        <v>1.2</v>
      </c>
      <c r="S370">
        <v>1.2</v>
      </c>
      <c r="T370">
        <v>1.05</v>
      </c>
      <c r="U370">
        <f t="shared" si="25"/>
        <v>0.16169679924070957</v>
      </c>
    </row>
    <row r="371" spans="1:21" hidden="1" x14ac:dyDescent="0.2">
      <c r="A371" s="45" t="str">
        <f>"hydrogen supply, transported by "&amp;B342&amp;", produced by "&amp;B346&amp;" using "&amp;B347&amp;" from "&amp;B348</f>
        <v>hydrogen supply, transported by truck, produced by Steam Methane Reforming using natural gas from Switzerland</v>
      </c>
      <c r="B371" s="53">
        <f>(B367/B351)/B350</f>
        <v>8.8652482269503553E-3</v>
      </c>
      <c r="C371" t="s">
        <v>56</v>
      </c>
      <c r="E371" t="s">
        <v>64</v>
      </c>
      <c r="F371" t="s">
        <v>86</v>
      </c>
      <c r="G371" t="s">
        <v>1137</v>
      </c>
      <c r="H371" t="s">
        <v>76</v>
      </c>
      <c r="I371" t="s">
        <v>1054</v>
      </c>
      <c r="J371" t="s">
        <v>305</v>
      </c>
      <c r="K371" t="str">
        <f>B328</f>
        <v>heat, residential, by combustion of hydrogen using boiler, transported by truck, produced by Steam Methane Reforming using natural gas from Switzerland</v>
      </c>
      <c r="L371">
        <f t="shared" si="23"/>
        <v>2</v>
      </c>
      <c r="M371">
        <f t="shared" si="24"/>
        <v>-4.7256163390639587</v>
      </c>
      <c r="N371">
        <v>1.05</v>
      </c>
      <c r="O371" s="15">
        <v>1.2</v>
      </c>
      <c r="P371">
        <v>1</v>
      </c>
      <c r="Q371">
        <v>1.01</v>
      </c>
      <c r="R371">
        <v>1.2</v>
      </c>
      <c r="S371">
        <v>1.2</v>
      </c>
      <c r="T371">
        <v>1.05</v>
      </c>
      <c r="U371">
        <f t="shared" si="25"/>
        <v>0.16169679924070957</v>
      </c>
    </row>
    <row r="372" spans="1:21" hidden="1" x14ac:dyDescent="0.2">
      <c r="A372" t="str">
        <f>VLOOKUP(J372,'dataset mapping'!$A$4:$E$69,2,0)</f>
        <v>high pressure hydrogen storage tank</v>
      </c>
      <c r="B372" s="52">
        <f>((B363/10)/(B361*B357*20*3.6))*IF(B362&lt;&gt;0,B362,1)</f>
        <v>1.8469267139479905E-6</v>
      </c>
      <c r="C372" t="str">
        <f>VLOOKUP(J372,'dataset mapping'!$A$4:$E$69,5,0)</f>
        <v>kilogram</v>
      </c>
      <c r="E372" t="str">
        <f>VLOOKUP(J372,'dataset mapping'!$A$4:$E$69,4,0)</f>
        <v>GLO</v>
      </c>
      <c r="F372" t="s">
        <v>86</v>
      </c>
      <c r="G372" t="str">
        <f>VLOOKUP(J372,'dataset mapping'!$A$4:$E$69,3,0)</f>
        <v>high pressure hydrogen storage tank</v>
      </c>
      <c r="H372" t="s">
        <v>88</v>
      </c>
      <c r="I372" t="s">
        <v>230</v>
      </c>
      <c r="J372" t="s">
        <v>229</v>
      </c>
      <c r="K372" t="str">
        <f>B328</f>
        <v>heat, residential, by combustion of hydrogen using boiler, transported by truck, produced by Steam Methane Reforming using natural gas from Switzerland</v>
      </c>
      <c r="L372">
        <f t="shared" si="23"/>
        <v>2</v>
      </c>
      <c r="M372">
        <f t="shared" si="24"/>
        <v>-13.20198753595994</v>
      </c>
      <c r="N372">
        <v>1.05</v>
      </c>
      <c r="O372" s="15">
        <v>1.2</v>
      </c>
      <c r="P372">
        <v>1</v>
      </c>
      <c r="Q372">
        <v>1.01</v>
      </c>
      <c r="R372">
        <v>1.2</v>
      </c>
      <c r="S372">
        <v>1.2</v>
      </c>
      <c r="T372">
        <v>3</v>
      </c>
      <c r="U372">
        <f t="shared" si="25"/>
        <v>0.57209088006881903</v>
      </c>
    </row>
    <row r="373" spans="1:21" hidden="1" x14ac:dyDescent="0.2">
      <c r="A373" t="s">
        <v>134</v>
      </c>
      <c r="B373" s="45">
        <f>B371*9</f>
        <v>7.9787234042553196E-2</v>
      </c>
      <c r="C373" t="s">
        <v>56</v>
      </c>
      <c r="D373" t="s">
        <v>100</v>
      </c>
      <c r="F373" t="s">
        <v>99</v>
      </c>
      <c r="H373" t="s">
        <v>131</v>
      </c>
      <c r="I373" t="s">
        <v>1058</v>
      </c>
      <c r="K373" t="str">
        <f>B328</f>
        <v>heat, residential, by combustion of hydrogen using boiler, transported by truck, produced by Steam Methane Reforming using natural gas from Switzerland</v>
      </c>
      <c r="L373">
        <f t="shared" si="23"/>
        <v>2</v>
      </c>
      <c r="M373">
        <f t="shared" si="24"/>
        <v>-2.5283917617277392</v>
      </c>
      <c r="N373">
        <v>1.05</v>
      </c>
      <c r="O373" s="15">
        <v>1.2</v>
      </c>
      <c r="P373">
        <v>1</v>
      </c>
      <c r="Q373">
        <v>1.01</v>
      </c>
      <c r="R373">
        <v>1.2</v>
      </c>
      <c r="S373">
        <v>1.2</v>
      </c>
      <c r="T373">
        <v>1.05</v>
      </c>
      <c r="U373">
        <f t="shared" si="25"/>
        <v>0.16169679924070957</v>
      </c>
    </row>
    <row r="374" spans="1:21" hidden="1" x14ac:dyDescent="0.2">
      <c r="A374" t="s">
        <v>135</v>
      </c>
      <c r="B374" s="45">
        <f>912.5/1000000*B371</f>
        <v>8.0895390070921995E-6</v>
      </c>
      <c r="C374" t="s">
        <v>56</v>
      </c>
      <c r="D374" t="s">
        <v>100</v>
      </c>
      <c r="F374" t="s">
        <v>99</v>
      </c>
      <c r="H374" t="s">
        <v>131</v>
      </c>
      <c r="I374" t="s">
        <v>1217</v>
      </c>
      <c r="K374" t="str">
        <f>B328</f>
        <v>heat, residential, by combustion of hydrogen using boiler, transported by truck, produced by Steam Methane Reforming using natural gas from Switzerland</v>
      </c>
      <c r="L374">
        <f t="shared" si="23"/>
        <v>2</v>
      </c>
      <c r="M374">
        <f t="shared" si="24"/>
        <v>-11.724938811571587</v>
      </c>
      <c r="N374">
        <v>1.05</v>
      </c>
      <c r="O374" s="15">
        <v>1.2</v>
      </c>
      <c r="P374">
        <v>1</v>
      </c>
      <c r="Q374">
        <v>1.01</v>
      </c>
      <c r="R374">
        <v>1.2</v>
      </c>
      <c r="S374">
        <v>1.2</v>
      </c>
      <c r="T374">
        <v>1.5</v>
      </c>
      <c r="U374">
        <f t="shared" si="25"/>
        <v>0.25816898211842121</v>
      </c>
    </row>
    <row r="375" spans="1:21" hidden="1" x14ac:dyDescent="0.2"/>
    <row r="376" spans="1:21" hidden="1" x14ac:dyDescent="0.2">
      <c r="A376" s="2" t="s">
        <v>50</v>
      </c>
      <c r="B376" s="44" t="str">
        <f>IF(B382="megajoule","heat","electricity")&amp;", residential, by "&amp;B387&amp;" of "&amp;B386&amp;" using "&amp;B388&amp;IF(B389&lt;&gt;0,", allocated by "&amp;B389,"")&amp;", transported by "&amp;B390&amp;", produced by "&amp;B394&amp;" using "&amp;B395&amp;" from "&amp;B396</f>
        <v>heat, residential, by combustion of hydrogen using CHP, allocated by exergy, transported by truck, produced by Steam Methane Reforming using natural gas from Switzerland</v>
      </c>
    </row>
    <row r="377" spans="1:21" hidden="1" x14ac:dyDescent="0.2">
      <c r="A377" t="s">
        <v>51</v>
      </c>
      <c r="B377" s="45" t="str">
        <f>"This dataset represents the supply of 1 "&amp;IF(B382="megajoule","megajoule of heat","kilowatt hour of electricity")&amp;" in a residence, by "&amp;B386&amp;" "&amp;B387&amp;" in a "&amp;B388&amp;". "&amp;" The hydrogen is transported by "&amp;B390&amp;" over "&amp;B391&amp;" km from regional storage. "&amp;" The "&amp;B386&amp;" is produced by  "&amp;B394&amp;", with "&amp;B395&amp;" from "&amp;B396&amp;" as feedstock. "&amp;A398&amp;": "&amp;(B398*100)&amp;"%. "&amp;A399&amp;": "&amp;B399&amp;". "&amp;A400&amp;": "&amp;B400&amp;". "&amp;A401&amp;": "&amp;(B401*100)&amp;"%. "&amp;A402&amp;": "&amp;(B402*100)&amp;"%. "&amp;A403&amp;": "&amp;(B403*100)&amp;"%. "&amp;A404&amp;": "&amp;B404&amp;". "&amp;A405&amp;": "&amp;B405&amp;". "&amp;A406&amp;": "&amp;(B406*100)&amp;"%. "&amp;A407&amp;": "&amp;B407&amp;". "&amp;A408&amp;": "&amp;B408&amp;". "&amp;A409&amp;": "&amp;B409&amp;". "&amp;A410&amp;": "&amp;B410&amp;".  For more information, refer to: "&amp;B378</f>
        <v>This dataset represents the supply of 1 megajoule of heat in a residence, by hydrogen combustion in a CHP.  The hydrogen is transported by truck over 200 km from regional storage.  The hydrogen is produced by  Steam Methane Reforming,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378" spans="1:21" hidden="1" x14ac:dyDescent="0.2">
      <c r="A378" t="s">
        <v>63</v>
      </c>
      <c r="B378" s="45" t="s">
        <v>660</v>
      </c>
    </row>
    <row r="379" spans="1:21" hidden="1" x14ac:dyDescent="0.2">
      <c r="A379" t="s">
        <v>52</v>
      </c>
      <c r="B379" s="45" t="s">
        <v>64</v>
      </c>
    </row>
    <row r="380" spans="1:21" hidden="1" x14ac:dyDescent="0.2">
      <c r="A380" t="s">
        <v>48</v>
      </c>
      <c r="B380" s="45">
        <v>126</v>
      </c>
    </row>
    <row r="381" spans="1:21" hidden="1" x14ac:dyDescent="0.2">
      <c r="A381" t="s">
        <v>54</v>
      </c>
      <c r="B381" s="45" t="str">
        <f>INDEX(overview!$B$4:$R$338,MATCH(B380,overview!$A$4:$A$338,0),MATCH(A381,overview!$B$3:$R$3,0))</f>
        <v>heat, from residential heating system</v>
      </c>
    </row>
    <row r="382" spans="1:21" hidden="1" x14ac:dyDescent="0.2">
      <c r="A382" t="s">
        <v>55</v>
      </c>
      <c r="B382" s="45" t="str">
        <f>INDEX(overview!$B$4:$R$338,MATCH(B380,overview!$A$4:$A$338,0),MATCH(A382,overview!$B$3:$R$3,0))</f>
        <v>megajoule</v>
      </c>
    </row>
    <row r="383" spans="1:21" hidden="1" x14ac:dyDescent="0.2">
      <c r="A383" t="s">
        <v>0</v>
      </c>
      <c r="B383" s="45" t="str">
        <f>INDEX(overview!$B$4:$R$338,MATCH(B380,overview!$A$4:$A$338,0),MATCH(A383,overview!$B$3:$R$3,0))</f>
        <v>Switzerland</v>
      </c>
    </row>
    <row r="384" spans="1:21" hidden="1" x14ac:dyDescent="0.2">
      <c r="A384" t="s">
        <v>1</v>
      </c>
      <c r="B384" s="45">
        <f>INDEX(overview!$B$4:$R$338,MATCH(B380,overview!$A$4:$A$338,0),MATCH(A384,overview!$B$3:$R$3,0))</f>
        <v>2020</v>
      </c>
    </row>
    <row r="385" spans="1:2" hidden="1" x14ac:dyDescent="0.2">
      <c r="A385" t="s">
        <v>2</v>
      </c>
      <c r="B385" s="45" t="str">
        <f>INDEX(overview!$B$4:$R$338,MATCH(B380,overview!$A$4:$A$338,0),MATCH(A385,overview!$B$3:$R$3,0))</f>
        <v>1 MJ heat</v>
      </c>
    </row>
    <row r="386" spans="1:2" hidden="1" x14ac:dyDescent="0.2">
      <c r="A386" t="s">
        <v>5</v>
      </c>
      <c r="B386" s="45" t="str">
        <f>INDEX(overview!$B$4:$R$338,MATCH(B380,overview!$A$4:$A$338,0),MATCH(A386,overview!$B$3:$R$3,0))</f>
        <v>hydrogen</v>
      </c>
    </row>
    <row r="387" spans="1:2" hidden="1" x14ac:dyDescent="0.2">
      <c r="A387" t="s">
        <v>3</v>
      </c>
      <c r="B387" s="45" t="str">
        <f>INDEX(overview!$B$4:$R$338,MATCH(B380,overview!$A$4:$A$338,0),MATCH(A387,overview!$B$3:$R$3,0))</f>
        <v>combustion</v>
      </c>
    </row>
    <row r="388" spans="1:2" hidden="1" x14ac:dyDescent="0.2">
      <c r="A388" t="s">
        <v>6</v>
      </c>
      <c r="B388" s="45" t="str">
        <f>INDEX(overview!$B$4:$R$338,MATCH(B380,overview!$A$4:$A$338,0),MATCH(A388,overview!$B$3:$R$3,0))</f>
        <v>CHP</v>
      </c>
    </row>
    <row r="389" spans="1:2" hidden="1" x14ac:dyDescent="0.2">
      <c r="A389" t="s">
        <v>39</v>
      </c>
      <c r="B389" s="45" t="str">
        <f>INDEX(overview!$B$4:$R$338,MATCH(B380,overview!$A$4:$A$338,0),MATCH(A389,overview!$B$3:$R$3,0))</f>
        <v>exergy</v>
      </c>
    </row>
    <row r="390" spans="1:2" hidden="1" x14ac:dyDescent="0.2">
      <c r="A390" t="s">
        <v>4</v>
      </c>
      <c r="B390" s="45" t="str">
        <f>INDEX(overview!$B$4:$R$338,MATCH(B380,overview!$A$4:$A$338,0),MATCH(A390,overview!$B$3:$R$3,0))</f>
        <v>truck</v>
      </c>
    </row>
    <row r="391" spans="1:2" hidden="1" x14ac:dyDescent="0.2">
      <c r="A391" t="s">
        <v>38</v>
      </c>
      <c r="B391" s="45">
        <f>INDEX(overview!$B$4:$R$338,MATCH(B380,overview!$A$4:$A$338,0),MATCH(A391,overview!$B$3:$R$3,0))</f>
        <v>200</v>
      </c>
    </row>
    <row r="392" spans="1:2" hidden="1" x14ac:dyDescent="0.2">
      <c r="A392" t="s">
        <v>12</v>
      </c>
      <c r="B392" s="45" t="str">
        <f>INDEX(overview!$B$4:$R$338,MATCH(B380,overview!$A$4:$A$338,0),MATCH(A392,overview!$B$3:$R$3,0))</f>
        <v>Pressure vessel for stationary storage</v>
      </c>
    </row>
    <row r="393" spans="1:2" hidden="1" x14ac:dyDescent="0.2">
      <c r="A393" t="s">
        <v>34</v>
      </c>
      <c r="B393" s="45">
        <f>INDEX(overview!$B$4:$R$338,MATCH(B380,overview!$A$4:$A$338,0),MATCH(A393,overview!$B$3:$R$3,0))</f>
        <v>0</v>
      </c>
    </row>
    <row r="394" spans="1:2" hidden="1" x14ac:dyDescent="0.2">
      <c r="A394" t="s">
        <v>15</v>
      </c>
      <c r="B394" s="45" t="str">
        <f>INDEX(overview!$B$4:$R$338,MATCH(B380,overview!$A$4:$A$338,0),MATCH(A394,overview!$B$3:$R$3,0))</f>
        <v>Steam Methane Reforming</v>
      </c>
    </row>
    <row r="395" spans="1:2" hidden="1" x14ac:dyDescent="0.2">
      <c r="A395" t="s">
        <v>14</v>
      </c>
      <c r="B395" s="45" t="str">
        <f>INDEX(overview!$B$4:$R$338,MATCH(B380,overview!$A$4:$A$338,0),MATCH(A395,overview!$B$3:$R$3,0))</f>
        <v>natural gas</v>
      </c>
    </row>
    <row r="396" spans="1:2" hidden="1" x14ac:dyDescent="0.2">
      <c r="A396" t="s">
        <v>26</v>
      </c>
      <c r="B396" s="45" t="str">
        <f>INDEX(overview!$B$4:$R$338,MATCH(B380,overview!$A$4:$A$338,0),MATCH(A396,overview!$B$3:$R$3,0))</f>
        <v>Switzerland</v>
      </c>
    </row>
    <row r="397" spans="1:2" hidden="1" x14ac:dyDescent="0.2">
      <c r="A397" t="s">
        <v>29</v>
      </c>
      <c r="B397" s="45">
        <f>INDEX(overview!$B$4:$R$338,MATCH(B380,overview!$A$4:$A$338,0),MATCH(A397,overview!$B$3:$R$3,0))</f>
        <v>0</v>
      </c>
    </row>
    <row r="398" spans="1:2" hidden="1" x14ac:dyDescent="0.2">
      <c r="A398" t="str">
        <f>IF(B382="megajoule","Heat","Electricity")&amp;" conversion efficiency [% LHV input]"</f>
        <v>Heat conversion efficiency [% LHV input]</v>
      </c>
      <c r="B398" s="46">
        <f>INDEX(parameters!$D$4:$N$20,MATCH(B386&amp;B388,parameters!$A$4:$A$20,0),MATCH(A398,parameters!$D$3:$N$3,0))</f>
        <v>0.41699999999999998</v>
      </c>
    </row>
    <row r="399" spans="1:2" hidden="1" x14ac:dyDescent="0.2">
      <c r="A399" t="str">
        <f>IF(B382="megajoule","LHV [MJ/kg]","LHV [kWh/kg]")</f>
        <v>LHV [MJ/kg]</v>
      </c>
      <c r="B399" s="47">
        <f>INDEX(parameters!$D$4:$N$20,MATCH(B386&amp;B388,parameters!$A$4:$A$20,0),MATCH(A399,parameters!$D$3:$N$3,0))</f>
        <v>120</v>
      </c>
    </row>
    <row r="400" spans="1:2" hidden="1" x14ac:dyDescent="0.2">
      <c r="A400" t="s">
        <v>41</v>
      </c>
      <c r="B400" s="48">
        <f>INDEX(parameters!$D$4:$N$20,MATCH(B386&amp;B388,parameters!$A$4:$A$20,0),MATCH(A400,parameters!$D$3:$N$3,0))</f>
        <v>2.6666666666666665E-2</v>
      </c>
    </row>
    <row r="401" spans="1:22" hidden="1" x14ac:dyDescent="0.2">
      <c r="A401" t="s">
        <v>45</v>
      </c>
      <c r="B401" s="46">
        <f>INDEX(parameters!$D$4:$N$20,MATCH(B386&amp;B388,parameters!$A$4:$A$20,0),MATCH(A401,parameters!$D$3:$N$3,0))</f>
        <v>0</v>
      </c>
    </row>
    <row r="402" spans="1:22" hidden="1" x14ac:dyDescent="0.2">
      <c r="A402" t="s">
        <v>46</v>
      </c>
      <c r="B402" s="46">
        <f>INDEX(parameters!$D$4:$N$20,MATCH(B386&amp;B388,parameters!$A$4:$A$20,0),MATCH(A402,parameters!$D$3:$N$3,0))</f>
        <v>1.4999999999999999E-2</v>
      </c>
    </row>
    <row r="403" spans="1:22" hidden="1" x14ac:dyDescent="0.2">
      <c r="A403" t="s">
        <v>43</v>
      </c>
      <c r="B403" s="46">
        <f>INDEX(parameters!$D$4:$N$20,MATCH(B386&amp;B388,parameters!$A$4:$A$20,0),MATCH(A403,parameters!$D$3:$N$3,0))</f>
        <v>0</v>
      </c>
    </row>
    <row r="404" spans="1:22" hidden="1" x14ac:dyDescent="0.2">
      <c r="A404" t="s">
        <v>44</v>
      </c>
      <c r="B404" s="46">
        <f>INDEX(parameters!$D$4:$N$20,MATCH(B386&amp;B388,parameters!$A$4:$A$20,0),MATCH(A404,parameters!$D$3:$N$3,0))</f>
        <v>0</v>
      </c>
    </row>
    <row r="405" spans="1:22" hidden="1" x14ac:dyDescent="0.2">
      <c r="A405" t="s">
        <v>634</v>
      </c>
      <c r="B405" s="50">
        <f>INDEX(parameters!$D$4:$Y$20,MATCH(B386&amp;B388,parameters!$A$4:$A$20,0),MATCH(A405,parameters!$D$3:$Y$3,0))</f>
        <v>351.41800246609125</v>
      </c>
    </row>
    <row r="406" spans="1:22" hidden="1" x14ac:dyDescent="0.2">
      <c r="A406" t="s">
        <v>82</v>
      </c>
      <c r="B406" s="46">
        <f>IF(B397&lt;&gt;0,VLOOKUP(B397,parameters!A304:B306,2,0),0)</f>
        <v>0</v>
      </c>
    </row>
    <row r="407" spans="1:22" hidden="1" x14ac:dyDescent="0.2">
      <c r="A407" t="s">
        <v>548</v>
      </c>
      <c r="B407" s="50">
        <f>INDEX(parameters!$D$4:$P$20,MATCH(B386&amp;B388,parameters!$A$4:$A$20,0),MATCH(A407,parameters!$D$3:$P$3,0))</f>
        <v>125</v>
      </c>
    </row>
    <row r="408" spans="1:22" hidden="1" x14ac:dyDescent="0.2">
      <c r="A408" t="s">
        <v>547</v>
      </c>
      <c r="B408" s="51">
        <f>INDEX(parameters!$D$4:$P$20,MATCH(B386&amp;B388,parameters!$A$4:$A$20,0),MATCH(A408,parameters!$D$3:$P$3,0))</f>
        <v>19.512195121951219</v>
      </c>
    </row>
    <row r="409" spans="1:22" hidden="1" x14ac:dyDescent="0.2">
      <c r="A409" t="s">
        <v>630</v>
      </c>
      <c r="B409" s="51">
        <f>INDEX(parameters!$D$4:$T$20,MATCH(B386&amp;B388,parameters!$A$4:$A$20,0),MATCH(A409,parameters!$D$3:$T$3,0))</f>
        <v>4100</v>
      </c>
    </row>
    <row r="410" spans="1:22" hidden="1" x14ac:dyDescent="0.2">
      <c r="A410" t="s">
        <v>1005</v>
      </c>
      <c r="B410" s="50">
        <f>IF(B382="megajoule",SUMIFS(allocation!$I$4:$I$30,allocation!$B$4:$B$30,B388,allocation!$C$4:$C$30,B389),SUMIFS(allocation!$J$4:$J$30,allocation!$B$4:$B$30,B388,allocation!$C$4:$C$30,B389))</f>
        <v>0.12860042227295038</v>
      </c>
    </row>
    <row r="411" spans="1:22" hidden="1" x14ac:dyDescent="0.2">
      <c r="A411" t="s">
        <v>1050</v>
      </c>
      <c r="B411" s="51">
        <f>INDEX(parameters!$D$4:$AB$20,MATCH(B386&amp;B388,parameters!$A$4:$A$20,0),MATCH(A411,parameters!$D$3:$AB$3,0))</f>
        <v>2220.7364520822662</v>
      </c>
    </row>
    <row r="412" spans="1:22" hidden="1" x14ac:dyDescent="0.2"/>
    <row r="413" spans="1:22" hidden="1" x14ac:dyDescent="0.2">
      <c r="A413" s="3" t="s">
        <v>57</v>
      </c>
    </row>
    <row r="414" spans="1:22" hidden="1" x14ac:dyDescent="0.2">
      <c r="A414" s="2" t="s">
        <v>58</v>
      </c>
      <c r="B414" s="44" t="s">
        <v>59</v>
      </c>
      <c r="C414" s="2" t="s">
        <v>55</v>
      </c>
      <c r="D414" s="2" t="s">
        <v>60</v>
      </c>
      <c r="E414" s="2" t="s">
        <v>52</v>
      </c>
      <c r="F414" s="2" t="s">
        <v>61</v>
      </c>
      <c r="G414" s="2" t="s">
        <v>54</v>
      </c>
      <c r="H414" s="2" t="s">
        <v>87</v>
      </c>
      <c r="I414" s="2" t="s">
        <v>51</v>
      </c>
      <c r="J414" s="2" t="s">
        <v>138</v>
      </c>
      <c r="K414" s="2" t="s">
        <v>136</v>
      </c>
      <c r="L414" s="2" t="s">
        <v>221</v>
      </c>
      <c r="M414" s="2" t="s">
        <v>379</v>
      </c>
      <c r="N414" s="2" t="s">
        <v>1059</v>
      </c>
      <c r="O414" s="2" t="s">
        <v>1060</v>
      </c>
      <c r="P414" s="2" t="s">
        <v>1061</v>
      </c>
      <c r="Q414" s="2" t="s">
        <v>1062</v>
      </c>
      <c r="R414" s="2" t="s">
        <v>1063</v>
      </c>
      <c r="S414" s="2" t="s">
        <v>1064</v>
      </c>
      <c r="T414" s="2" t="s">
        <v>1065</v>
      </c>
      <c r="U414" s="2" t="s">
        <v>380</v>
      </c>
      <c r="V414" s="2" t="s">
        <v>1128</v>
      </c>
    </row>
    <row r="415" spans="1:22" hidden="1" x14ac:dyDescent="0.2">
      <c r="A415" t="str">
        <f>B376</f>
        <v>heat, residential, by combustion of hydrogen using CHP, allocated by exergy, transported by truck, produced by Steam Methane Reforming using natural gas from Switzerland</v>
      </c>
      <c r="B415" s="45">
        <v>1</v>
      </c>
      <c r="C415" t="str">
        <f>B382</f>
        <v>megajoule</v>
      </c>
      <c r="E415" t="str">
        <f>B379</f>
        <v>CH</v>
      </c>
      <c r="F415" t="s">
        <v>62</v>
      </c>
      <c r="G415" t="str">
        <f>B381</f>
        <v>heat, from residential heating system</v>
      </c>
      <c r="K415" t="str">
        <f>B376</f>
        <v>heat, residential, by combustion of hydrogen using CHP, allocated by exergy, transported by truck, produced by Steam Methane Reforming using natural gas from Switzerland</v>
      </c>
    </row>
    <row r="416" spans="1:22" hidden="1" x14ac:dyDescent="0.2">
      <c r="A416" t="str">
        <f>VLOOKUP(J416,'dataset mapping'!$A$4:$E$69,2,0)</f>
        <v>heat and power co-generation unit construction, 160kW electrical, common components for heat+electricity</v>
      </c>
      <c r="B416" s="52">
        <f>(1/(B405*B409*B408*3.6))*B410</f>
        <v>1.270649883812899E-9</v>
      </c>
      <c r="C416" t="str">
        <f>VLOOKUP(J416,'dataset mapping'!$A$4:$E$69,5,0)</f>
        <v>unit</v>
      </c>
      <c r="E416" t="str">
        <f>VLOOKUP(J416,'dataset mapping'!$A$4:$E$69,4,0)</f>
        <v>RER</v>
      </c>
      <c r="F416" t="s">
        <v>86</v>
      </c>
      <c r="G416" t="str">
        <f>VLOOKUP(J416,'dataset mapping'!$A$4:$E$69,3,0)</f>
        <v>heat and power co-generation unit, 160kW electrical, common components for heat+electricity</v>
      </c>
      <c r="H416" t="s">
        <v>88</v>
      </c>
      <c r="J416" t="s">
        <v>145</v>
      </c>
      <c r="K416" t="str">
        <f>B376</f>
        <v>heat, residential, by combustion of hydrogen using CHP, allocated by exergy, transported by truck, produced by Steam Methane Reforming using natural gas from Switzerland</v>
      </c>
      <c r="L416">
        <f t="shared" ref="L416:L424" si="26">IF(OR(B416&lt;0,B416=0),1,2)</f>
        <v>2</v>
      </c>
      <c r="M416">
        <f t="shared" ref="M416:M424" si="27">IF(L416=2,LN(B416),"")</f>
        <v>-20.48373734782199</v>
      </c>
      <c r="N416">
        <v>1.05</v>
      </c>
      <c r="O416" s="15">
        <v>1.2</v>
      </c>
      <c r="P416">
        <v>1</v>
      </c>
      <c r="Q416">
        <v>1.01</v>
      </c>
      <c r="R416">
        <v>1.2</v>
      </c>
      <c r="S416">
        <v>1.2</v>
      </c>
      <c r="T416">
        <v>3</v>
      </c>
      <c r="U416">
        <f t="shared" ref="U416:U424" si="28">LN(SQRT(EXP(
SQRT(
+POWER(LN(N416),2)
+POWER(LN(O416),2)
+POWER(LN(P416),2)
+POWER(LN(Q416),2)
+POWER(LN(R416),2)
+POWER(LN(S416),2)
+POWER(LN(T416),2)
)
)))</f>
        <v>0.57209088006881903</v>
      </c>
    </row>
    <row r="417" spans="1:22" hidden="1" x14ac:dyDescent="0.2">
      <c r="A417" t="str">
        <f>VLOOKUP(J417,'dataset mapping'!$A$4:$E$69,2,0)</f>
        <v>heat and power co-generation unit construction, 160kW electrical, components for electricity only</v>
      </c>
      <c r="B417" s="52">
        <f>(1/(B405*B409*B408*3.6))*B410</f>
        <v>1.270649883812899E-9</v>
      </c>
      <c r="C417" t="str">
        <f>VLOOKUP(J417,'dataset mapping'!$A$4:$E$69,5,0)</f>
        <v>unit</v>
      </c>
      <c r="E417" t="str">
        <f>VLOOKUP(J417,'dataset mapping'!$A$4:$E$69,4,0)</f>
        <v>RER</v>
      </c>
      <c r="F417" t="s">
        <v>86</v>
      </c>
      <c r="G417" t="str">
        <f>VLOOKUP(J417,'dataset mapping'!$A$4:$E$69,3,0)</f>
        <v>heat and power co-generation unit, 160kW electrical, components for electricity only</v>
      </c>
      <c r="H417" t="s">
        <v>88</v>
      </c>
      <c r="J417" t="s">
        <v>146</v>
      </c>
      <c r="K417" t="str">
        <f>B376</f>
        <v>heat, residential, by combustion of hydrogen using CHP, allocated by exergy, transported by truck, produced by Steam Methane Reforming using natural gas from Switzerland</v>
      </c>
      <c r="L417">
        <f t="shared" si="26"/>
        <v>2</v>
      </c>
      <c r="M417">
        <f t="shared" si="27"/>
        <v>-20.48373734782199</v>
      </c>
      <c r="N417">
        <v>1.05</v>
      </c>
      <c r="O417" s="15">
        <v>1.2</v>
      </c>
      <c r="P417">
        <v>1</v>
      </c>
      <c r="Q417">
        <v>1.01</v>
      </c>
      <c r="R417">
        <v>1.2</v>
      </c>
      <c r="S417">
        <v>1.2</v>
      </c>
      <c r="T417">
        <v>3</v>
      </c>
      <c r="U417">
        <f t="shared" si="28"/>
        <v>0.57209088006881903</v>
      </c>
    </row>
    <row r="418" spans="1:22" hidden="1" x14ac:dyDescent="0.2">
      <c r="A418" t="str">
        <f>VLOOKUP(J418,'dataset mapping'!$A$4:$E$69,2,0)</f>
        <v>heat and power co-generation unit construction, 160kW electrical, components for heat only</v>
      </c>
      <c r="B418" s="52">
        <f>(1/(B405*B409*B408*3.6))*B410</f>
        <v>1.270649883812899E-9</v>
      </c>
      <c r="C418" t="str">
        <f>VLOOKUP(J418,'dataset mapping'!$A$4:$E$69,5,0)</f>
        <v>unit</v>
      </c>
      <c r="E418" t="str">
        <f>VLOOKUP(J418,'dataset mapping'!$A$4:$E$69,4,0)</f>
        <v>RER</v>
      </c>
      <c r="F418" t="s">
        <v>86</v>
      </c>
      <c r="G418" t="str">
        <f>VLOOKUP(J418,'dataset mapping'!$A$4:$E$69,3,0)</f>
        <v>heat and power co-generation unit, 160kW electrical, components for heat only</v>
      </c>
      <c r="H418" t="s">
        <v>88</v>
      </c>
      <c r="J418" t="s">
        <v>147</v>
      </c>
      <c r="K418" t="str">
        <f>B376</f>
        <v>heat, residential, by combustion of hydrogen using CHP, allocated by exergy, transported by truck, produced by Steam Methane Reforming using natural gas from Switzerland</v>
      </c>
      <c r="L418">
        <f t="shared" si="26"/>
        <v>2</v>
      </c>
      <c r="M418">
        <f t="shared" si="27"/>
        <v>-20.48373734782199</v>
      </c>
      <c r="N418">
        <v>1.05</v>
      </c>
      <c r="O418" s="15">
        <v>1.2</v>
      </c>
      <c r="P418">
        <v>1</v>
      </c>
      <c r="Q418">
        <v>1.01</v>
      </c>
      <c r="R418">
        <v>1.2</v>
      </c>
      <c r="S418">
        <v>1.2</v>
      </c>
      <c r="T418">
        <v>3</v>
      </c>
      <c r="U418">
        <f t="shared" si="28"/>
        <v>0.57209088006881903</v>
      </c>
    </row>
    <row r="419" spans="1:22" hidden="1" x14ac:dyDescent="0.2">
      <c r="A419" t="s">
        <v>156</v>
      </c>
      <c r="B419" s="52">
        <f>0.00000011366*B410</f>
        <v>1.461672399554354E-8</v>
      </c>
      <c r="C419" t="s">
        <v>56</v>
      </c>
      <c r="E419" t="s">
        <v>90</v>
      </c>
      <c r="F419" t="s">
        <v>86</v>
      </c>
      <c r="G419" t="s">
        <v>154</v>
      </c>
      <c r="H419" t="s">
        <v>155</v>
      </c>
      <c r="K419" t="str">
        <f>B376</f>
        <v>heat, residential, by combustion of hydrogen using CHP, allocated by exergy, transported by truck, produced by Steam Methane Reforming using natural gas from Switzerland</v>
      </c>
      <c r="L419">
        <f t="shared" si="26"/>
        <v>2</v>
      </c>
      <c r="M419">
        <f t="shared" si="27"/>
        <v>-18.041099484645969</v>
      </c>
      <c r="N419">
        <v>1.05</v>
      </c>
      <c r="O419" s="15">
        <v>1.2</v>
      </c>
      <c r="P419">
        <v>1</v>
      </c>
      <c r="Q419">
        <v>1.01</v>
      </c>
      <c r="R419">
        <v>1.2</v>
      </c>
      <c r="S419">
        <v>1.2</v>
      </c>
      <c r="T419">
        <v>1.05</v>
      </c>
      <c r="U419">
        <f t="shared" si="28"/>
        <v>0.16169679924070957</v>
      </c>
    </row>
    <row r="420" spans="1:22" hidden="1" x14ac:dyDescent="0.2">
      <c r="A420" t="s">
        <v>157</v>
      </c>
      <c r="B420" s="52">
        <f>0.00000011366*B410*-1</f>
        <v>-1.461672399554354E-8</v>
      </c>
      <c r="C420" t="s">
        <v>56</v>
      </c>
      <c r="E420" t="s">
        <v>64</v>
      </c>
      <c r="F420" t="s">
        <v>86</v>
      </c>
      <c r="G420" t="s">
        <v>158</v>
      </c>
      <c r="H420" t="s">
        <v>155</v>
      </c>
      <c r="K420" t="str">
        <f>B376</f>
        <v>heat, residential, by combustion of hydrogen using CHP, allocated by exergy, transported by truck, produced by Steam Methane Reforming using natural gas from Switzerland</v>
      </c>
      <c r="L420">
        <v>2</v>
      </c>
      <c r="M420">
        <f>IF(L420=2,LN(B420*-1),"")</f>
        <v>-18.041099484645969</v>
      </c>
      <c r="N420">
        <v>1.05</v>
      </c>
      <c r="O420" s="15">
        <v>1.2</v>
      </c>
      <c r="P420">
        <v>1</v>
      </c>
      <c r="Q420">
        <v>1.01</v>
      </c>
      <c r="R420">
        <v>1.2</v>
      </c>
      <c r="S420">
        <v>1.2</v>
      </c>
      <c r="T420">
        <v>3</v>
      </c>
      <c r="U420">
        <f>LN(SQRT(EXP(
SQRT(
+POWER(LN(N420),2)
+POWER(LN(O420),2)
+POWER(LN(P420),2)
+POWER(LN(Q420),2)
+POWER(LN(R420),2)
+POWER(LN(S420),2)
+POWER(LN(T420),2)
)
)))</f>
        <v>0.57209088006881903</v>
      </c>
      <c r="V420" t="b">
        <v>1</v>
      </c>
    </row>
    <row r="421" spans="1:22" hidden="1" x14ac:dyDescent="0.2">
      <c r="A421" s="45" t="str">
        <f>"hydrogen supply, transported by "&amp;B390&amp;", produced by "&amp;B394&amp;" using "&amp;B395&amp;" from "&amp;B396</f>
        <v>hydrogen supply, transported by truck, produced by Steam Methane Reforming using natural gas from Switzerland</v>
      </c>
      <c r="B421" s="53">
        <f>(B415/B399)/B398*B410</f>
        <v>2.56995248347223E-3</v>
      </c>
      <c r="C421" t="s">
        <v>56</v>
      </c>
      <c r="E421" t="s">
        <v>64</v>
      </c>
      <c r="F421" t="s">
        <v>86</v>
      </c>
      <c r="G421" t="s">
        <v>1137</v>
      </c>
      <c r="H421" t="s">
        <v>76</v>
      </c>
      <c r="I421" t="s">
        <v>1054</v>
      </c>
      <c r="J421" t="s">
        <v>305</v>
      </c>
      <c r="K421" t="str">
        <f>B376</f>
        <v>heat, residential, by combustion of hydrogen using CHP, allocated by exergy, transported by truck, produced by Steam Methane Reforming using natural gas from Switzerland</v>
      </c>
      <c r="L421">
        <f t="shared" si="26"/>
        <v>2</v>
      </c>
      <c r="M421">
        <f t="shared" si="27"/>
        <v>-5.9638678691672418</v>
      </c>
      <c r="N421">
        <v>1.05</v>
      </c>
      <c r="O421" s="15">
        <v>1.2</v>
      </c>
      <c r="P421">
        <v>1</v>
      </c>
      <c r="Q421">
        <v>1.01</v>
      </c>
      <c r="R421">
        <v>1.2</v>
      </c>
      <c r="S421">
        <v>1.2</v>
      </c>
      <c r="T421">
        <v>1.05</v>
      </c>
      <c r="U421">
        <f t="shared" si="28"/>
        <v>0.16169679924070957</v>
      </c>
    </row>
    <row r="422" spans="1:22" hidden="1" x14ac:dyDescent="0.2">
      <c r="A422" t="str">
        <f>VLOOKUP(J422,'dataset mapping'!$A$4:$E$69,2,0)</f>
        <v>high pressure hydrogen storage tank</v>
      </c>
      <c r="B422" s="52">
        <f>((B411/10)/(B409*B405*20*3.6))*IF(B410&lt;&gt;0,B410,1)</f>
        <v>2.7529546486023421E-7</v>
      </c>
      <c r="C422" t="str">
        <f>VLOOKUP(J422,'dataset mapping'!$A$4:$E$69,5,0)</f>
        <v>kilogram</v>
      </c>
      <c r="E422" t="str">
        <f>VLOOKUP(J422,'dataset mapping'!$A$4:$E$69,4,0)</f>
        <v>GLO</v>
      </c>
      <c r="F422" t="s">
        <v>86</v>
      </c>
      <c r="G422" t="str">
        <f>VLOOKUP(J422,'dataset mapping'!$A$4:$E$69,3,0)</f>
        <v>high pressure hydrogen storage tank</v>
      </c>
      <c r="H422" t="s">
        <v>88</v>
      </c>
      <c r="I422" t="s">
        <v>279</v>
      </c>
      <c r="J422" t="s">
        <v>229</v>
      </c>
      <c r="K422" t="str">
        <f>B376</f>
        <v>heat, residential, by combustion of hydrogen using CHP, allocated by exergy, transported by truck, produced by Steam Methane Reforming using natural gas from Switzerland</v>
      </c>
      <c r="L422">
        <f t="shared" si="26"/>
        <v>2</v>
      </c>
      <c r="M422">
        <f t="shared" si="27"/>
        <v>-15.105420898379837</v>
      </c>
      <c r="N422">
        <v>1.05</v>
      </c>
      <c r="O422" s="15">
        <v>1.2</v>
      </c>
      <c r="P422">
        <v>1</v>
      </c>
      <c r="Q422">
        <v>1.01</v>
      </c>
      <c r="R422">
        <v>1.2</v>
      </c>
      <c r="S422">
        <v>1.2</v>
      </c>
      <c r="T422">
        <v>3</v>
      </c>
      <c r="U422">
        <f t="shared" si="28"/>
        <v>0.57209088006881903</v>
      </c>
    </row>
    <row r="423" spans="1:22" hidden="1" x14ac:dyDescent="0.2">
      <c r="A423" t="s">
        <v>134</v>
      </c>
      <c r="B423" s="45">
        <f>B421*9</f>
        <v>2.3129572351250072E-2</v>
      </c>
      <c r="C423" t="s">
        <v>56</v>
      </c>
      <c r="D423" t="s">
        <v>100</v>
      </c>
      <c r="F423" t="s">
        <v>99</v>
      </c>
      <c r="H423" t="s">
        <v>131</v>
      </c>
      <c r="I423" t="s">
        <v>1058</v>
      </c>
      <c r="K423" t="str">
        <f>B376</f>
        <v>heat, residential, by combustion of hydrogen using CHP, allocated by exergy, transported by truck, produced by Steam Methane Reforming using natural gas from Switzerland</v>
      </c>
      <c r="L423">
        <f t="shared" si="26"/>
        <v>2</v>
      </c>
      <c r="M423">
        <f t="shared" si="27"/>
        <v>-3.7666432918310226</v>
      </c>
      <c r="N423">
        <v>1.05</v>
      </c>
      <c r="O423" s="15">
        <v>1.2</v>
      </c>
      <c r="P423">
        <v>1</v>
      </c>
      <c r="Q423">
        <v>1.01</v>
      </c>
      <c r="R423">
        <v>1.2</v>
      </c>
      <c r="S423">
        <v>1.2</v>
      </c>
      <c r="T423">
        <v>1.05</v>
      </c>
      <c r="U423">
        <f t="shared" si="28"/>
        <v>0.16169679924070957</v>
      </c>
    </row>
    <row r="424" spans="1:22" hidden="1" x14ac:dyDescent="0.2">
      <c r="A424" t="s">
        <v>135</v>
      </c>
      <c r="B424" s="45">
        <f>912.5/1000000*B421</f>
        <v>2.3450816411684101E-6</v>
      </c>
      <c r="C424" t="s">
        <v>56</v>
      </c>
      <c r="D424" t="s">
        <v>100</v>
      </c>
      <c r="F424" t="s">
        <v>99</v>
      </c>
      <c r="H424" t="s">
        <v>131</v>
      </c>
      <c r="I424" t="s">
        <v>1217</v>
      </c>
      <c r="K424" t="str">
        <f>B376</f>
        <v>heat, residential, by combustion of hydrogen using CHP, allocated by exergy, transported by truck, produced by Steam Methane Reforming using natural gas from Switzerland</v>
      </c>
      <c r="L424">
        <f t="shared" si="26"/>
        <v>2</v>
      </c>
      <c r="M424">
        <f t="shared" si="27"/>
        <v>-12.963190341674869</v>
      </c>
      <c r="N424">
        <v>1.05</v>
      </c>
      <c r="O424" s="15">
        <v>1.2</v>
      </c>
      <c r="P424">
        <v>1</v>
      </c>
      <c r="Q424">
        <v>1.01</v>
      </c>
      <c r="R424">
        <v>1.2</v>
      </c>
      <c r="S424">
        <v>1.2</v>
      </c>
      <c r="T424">
        <v>1.5</v>
      </c>
      <c r="U424">
        <f t="shared" si="28"/>
        <v>0.25816898211842121</v>
      </c>
    </row>
    <row r="425" spans="1:22" hidden="1" x14ac:dyDescent="0.2"/>
    <row r="426" spans="1:22" hidden="1" x14ac:dyDescent="0.2">
      <c r="A426" s="2" t="s">
        <v>50</v>
      </c>
      <c r="B426" s="44" t="str">
        <f>IF(B432="megajoule","heat","electricity")&amp;", residential, by "&amp;B437&amp;" of "&amp;B436&amp;" using "&amp;B438&amp;IF(B439&lt;&gt;0,", allocated by "&amp;B439,"")&amp;", transported by "&amp;B440&amp;", produced by "&amp;B444&amp;" using "&amp;B445&amp;" from "&amp;B446</f>
        <v>heat, residential, by conversion of hydrogen using fuel cell, PEM, allocated by exergy, transported by truck, produced by Steam Methane Reforming using natural gas from Switzerland</v>
      </c>
    </row>
    <row r="427" spans="1:22" hidden="1" x14ac:dyDescent="0.2">
      <c r="A427" t="s">
        <v>51</v>
      </c>
      <c r="B427" s="45" t="str">
        <f>"This dataset represents the supply of 1 "&amp;IF(B432="megajoule","megajoule of heat","kilowatt hour of electricity")&amp;" in a residence, by "&amp;B436&amp;" "&amp;B437&amp;" in a "&amp;B438&amp;". "&amp;" The hydrogen is transported by "&amp;B440&amp;" over "&amp;B441&amp;" km from regional storage. "&amp;" The "&amp;B436&amp;" is produced by  "&amp;B444&amp;", with "&amp;B445&amp;" from "&amp;B446&amp;" as feedstock. "&amp;A448&amp;": "&amp;(B448*100)&amp;"%. "&amp;A449&amp;": "&amp;B449&amp;". "&amp;A450&amp;": "&amp;B450&amp;". "&amp;A451&amp;": "&amp;(B451*100)&amp;"%. "&amp;A452&amp;": "&amp;(B452*100)&amp;"%. "&amp;A453&amp;": "&amp;(B453*100)&amp;"%. "&amp;A454&amp;": "&amp;B454&amp;". "&amp;A455&amp;": "&amp;B455&amp;". "&amp;A456&amp;": "&amp;(B456*100)&amp;"%. "&amp;A457&amp;": "&amp;B457&amp;". "&amp;A458&amp;": "&amp;B458&amp;". "&amp;A459&amp;": "&amp;B459&amp;". "&amp;A460&amp;": "&amp;B460&amp;".  For more information, refer to: "&amp;B428</f>
        <v>This dataset represents the supply of 1 megajoule of heat in a residence, by hydrogen conversion in a fuel cell, PEM.  The hydrogen is transported by truck over 200 km from regional storage.  The hydrogen is produced by  Steam Methane Reforming,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428" spans="1:22" hidden="1" x14ac:dyDescent="0.2">
      <c r="A428" t="s">
        <v>63</v>
      </c>
      <c r="B428" s="45" t="s">
        <v>660</v>
      </c>
    </row>
    <row r="429" spans="1:22" hidden="1" x14ac:dyDescent="0.2">
      <c r="A429" t="s">
        <v>52</v>
      </c>
      <c r="B429" s="45" t="s">
        <v>64</v>
      </c>
    </row>
    <row r="430" spans="1:22" hidden="1" x14ac:dyDescent="0.2">
      <c r="A430" t="s">
        <v>48</v>
      </c>
      <c r="B430" s="45">
        <v>127</v>
      </c>
    </row>
    <row r="431" spans="1:22" hidden="1" x14ac:dyDescent="0.2">
      <c r="A431" t="s">
        <v>54</v>
      </c>
      <c r="B431" s="45" t="str">
        <f>INDEX(overview!$B$4:$R$338,MATCH(B430,overview!$A$4:$A$338,0),MATCH(A431,overview!$B$3:$R$3,0))</f>
        <v>heat, from residential heating system</v>
      </c>
    </row>
    <row r="432" spans="1:22" hidden="1" x14ac:dyDescent="0.2">
      <c r="A432" t="s">
        <v>55</v>
      </c>
      <c r="B432" s="45" t="str">
        <f>INDEX(overview!$B$4:$R$338,MATCH(B430,overview!$A$4:$A$338,0),MATCH(A432,overview!$B$3:$R$3,0))</f>
        <v>megajoule</v>
      </c>
    </row>
    <row r="433" spans="1:2" hidden="1" x14ac:dyDescent="0.2">
      <c r="A433" t="s">
        <v>0</v>
      </c>
      <c r="B433" s="45" t="str">
        <f>INDEX(overview!$B$4:$R$338,MATCH(B430,overview!$A$4:$A$338,0),MATCH(A433,overview!$B$3:$R$3,0))</f>
        <v>Switzerland</v>
      </c>
    </row>
    <row r="434" spans="1:2" hidden="1" x14ac:dyDescent="0.2">
      <c r="A434" t="s">
        <v>1</v>
      </c>
      <c r="B434" s="45">
        <f>INDEX(overview!$B$4:$R$338,MATCH(B430,overview!$A$4:$A$338,0),MATCH(A434,overview!$B$3:$R$3,0))</f>
        <v>2020</v>
      </c>
    </row>
    <row r="435" spans="1:2" hidden="1" x14ac:dyDescent="0.2">
      <c r="A435" t="s">
        <v>2</v>
      </c>
      <c r="B435" s="45" t="str">
        <f>INDEX(overview!$B$4:$R$338,MATCH(B430,overview!$A$4:$A$338,0),MATCH(A435,overview!$B$3:$R$3,0))</f>
        <v>1 MJ heat</v>
      </c>
    </row>
    <row r="436" spans="1:2" hidden="1" x14ac:dyDescent="0.2">
      <c r="A436" t="s">
        <v>5</v>
      </c>
      <c r="B436" s="45" t="str">
        <f>INDEX(overview!$B$4:$R$338,MATCH(B430,overview!$A$4:$A$338,0),MATCH(A436,overview!$B$3:$R$3,0))</f>
        <v>hydrogen</v>
      </c>
    </row>
    <row r="437" spans="1:2" hidden="1" x14ac:dyDescent="0.2">
      <c r="A437" t="s">
        <v>3</v>
      </c>
      <c r="B437" s="45" t="str">
        <f>INDEX(overview!$B$4:$R$338,MATCH(B430,overview!$A$4:$A$338,0),MATCH(A437,overview!$B$3:$R$3,0))</f>
        <v>conversion</v>
      </c>
    </row>
    <row r="438" spans="1:2" hidden="1" x14ac:dyDescent="0.2">
      <c r="A438" t="s">
        <v>6</v>
      </c>
      <c r="B438" s="45" t="str">
        <f>INDEX(overview!$B$4:$R$338,MATCH(B430,overview!$A$4:$A$338,0),MATCH(A438,overview!$B$3:$R$3,0))</f>
        <v>fuel cell, PEM</v>
      </c>
    </row>
    <row r="439" spans="1:2" hidden="1" x14ac:dyDescent="0.2">
      <c r="A439" t="s">
        <v>39</v>
      </c>
      <c r="B439" s="45" t="str">
        <f>INDEX(overview!$B$4:$R$338,MATCH(B430,overview!$A$4:$A$338,0),MATCH(A439,overview!$B$3:$R$3,0))</f>
        <v>exergy</v>
      </c>
    </row>
    <row r="440" spans="1:2" hidden="1" x14ac:dyDescent="0.2">
      <c r="A440" t="s">
        <v>4</v>
      </c>
      <c r="B440" s="45" t="str">
        <f>INDEX(overview!$B$4:$R$338,MATCH(B430,overview!$A$4:$A$338,0),MATCH(A440,overview!$B$3:$R$3,0))</f>
        <v>truck</v>
      </c>
    </row>
    <row r="441" spans="1:2" hidden="1" x14ac:dyDescent="0.2">
      <c r="A441" t="s">
        <v>38</v>
      </c>
      <c r="B441" s="45">
        <f>INDEX(overview!$B$4:$R$338,MATCH(B430,overview!$A$4:$A$338,0),MATCH(A441,overview!$B$3:$R$3,0))</f>
        <v>200</v>
      </c>
    </row>
    <row r="442" spans="1:2" hidden="1" x14ac:dyDescent="0.2">
      <c r="A442" t="s">
        <v>12</v>
      </c>
      <c r="B442" s="45" t="str">
        <f>INDEX(overview!$B$4:$R$338,MATCH(B430,overview!$A$4:$A$338,0),MATCH(A442,overview!$B$3:$R$3,0))</f>
        <v>Pressure vessel for stationary storage</v>
      </c>
    </row>
    <row r="443" spans="1:2" hidden="1" x14ac:dyDescent="0.2">
      <c r="A443" t="s">
        <v>34</v>
      </c>
      <c r="B443" s="45">
        <f>INDEX(overview!$B$4:$R$338,MATCH(B430,overview!$A$4:$A$338,0),MATCH(A443,overview!$B$3:$R$3,0))</f>
        <v>0</v>
      </c>
    </row>
    <row r="444" spans="1:2" hidden="1" x14ac:dyDescent="0.2">
      <c r="A444" t="s">
        <v>15</v>
      </c>
      <c r="B444" s="45" t="str">
        <f>INDEX(overview!$B$4:$R$338,MATCH(B430,overview!$A$4:$A$338,0),MATCH(A444,overview!$B$3:$R$3,0))</f>
        <v>Steam Methane Reforming</v>
      </c>
    </row>
    <row r="445" spans="1:2" hidden="1" x14ac:dyDescent="0.2">
      <c r="A445" t="s">
        <v>14</v>
      </c>
      <c r="B445" s="45" t="str">
        <f>INDEX(overview!$B$4:$R$338,MATCH(B430,overview!$A$4:$A$338,0),MATCH(A445,overview!$B$3:$R$3,0))</f>
        <v>natural gas</v>
      </c>
    </row>
    <row r="446" spans="1:2" hidden="1" x14ac:dyDescent="0.2">
      <c r="A446" t="s">
        <v>26</v>
      </c>
      <c r="B446" s="45" t="str">
        <f>INDEX(overview!$B$4:$R$338,MATCH(B430,overview!$A$4:$A$338,0),MATCH(A446,overview!$B$3:$R$3,0))</f>
        <v>Switzerland</v>
      </c>
    </row>
    <row r="447" spans="1:2" hidden="1" x14ac:dyDescent="0.2">
      <c r="A447" t="s">
        <v>29</v>
      </c>
      <c r="B447" s="45">
        <f>INDEX(overview!$B$4:$R$338,MATCH(B430,overview!$A$4:$A$338,0),MATCH(A447,overview!$B$3:$R$3,0))</f>
        <v>0</v>
      </c>
    </row>
    <row r="448" spans="1:2" hidden="1" x14ac:dyDescent="0.2">
      <c r="A448" t="str">
        <f>IF(B432="megajoule","Heat","Electricity")&amp;" conversion efficiency [% LHV input]"</f>
        <v>Heat conversion efficiency [% LHV input]</v>
      </c>
      <c r="B448" s="46">
        <f>INDEX(parameters!$D$4:$N$20,MATCH(B436&amp;B438,parameters!$A$4:$A$20,0),MATCH(A448,parameters!$D$3:$N$3,0))</f>
        <v>0.5</v>
      </c>
    </row>
    <row r="449" spans="1:22" hidden="1" x14ac:dyDescent="0.2">
      <c r="A449" t="str">
        <f>IF(B432="megajoule","LHV [MJ/kg]","LHV [kWh/kg]")</f>
        <v>LHV [MJ/kg]</v>
      </c>
      <c r="B449" s="47">
        <f>INDEX(parameters!$D$4:$N$20,MATCH(B436&amp;B438,parameters!$A$4:$A$20,0),MATCH(A449,parameters!$D$3:$N$3,0))</f>
        <v>120</v>
      </c>
    </row>
    <row r="450" spans="1:22" hidden="1" x14ac:dyDescent="0.2">
      <c r="A450" t="s">
        <v>41</v>
      </c>
      <c r="B450" s="48">
        <f>INDEX(parameters!$D$4:$N$20,MATCH(B436&amp;B438,parameters!$A$4:$A$20,0),MATCH(A450,parameters!$D$3:$N$3,0))</f>
        <v>2.6666666666666665E-2</v>
      </c>
    </row>
    <row r="451" spans="1:22" hidden="1" x14ac:dyDescent="0.2">
      <c r="A451" t="s">
        <v>45</v>
      </c>
      <c r="B451" s="46">
        <f>INDEX(parameters!$D$4:$N$20,MATCH(B436&amp;B438,parameters!$A$4:$A$20,0),MATCH(A451,parameters!$D$3:$N$3,0))</f>
        <v>0</v>
      </c>
    </row>
    <row r="452" spans="1:22" hidden="1" x14ac:dyDescent="0.2">
      <c r="A452" t="s">
        <v>46</v>
      </c>
      <c r="B452" s="46">
        <f>INDEX(parameters!$D$4:$N$20,MATCH(B436&amp;B438,parameters!$A$4:$A$20,0),MATCH(A452,parameters!$D$3:$N$3,0))</f>
        <v>1.4999999999999999E-2</v>
      </c>
    </row>
    <row r="453" spans="1:22" hidden="1" x14ac:dyDescent="0.2">
      <c r="A453" t="s">
        <v>43</v>
      </c>
      <c r="B453" s="46">
        <f>INDEX(parameters!$D$4:$N$20,MATCH(B436&amp;B438,parameters!$A$4:$A$20,0),MATCH(A453,parameters!$D$3:$N$3,0))</f>
        <v>0</v>
      </c>
    </row>
    <row r="454" spans="1:22" hidden="1" x14ac:dyDescent="0.2">
      <c r="A454" t="s">
        <v>44</v>
      </c>
      <c r="B454" s="46">
        <f>INDEX(parameters!$D$4:$N$20,MATCH(B436&amp;B438,parameters!$A$4:$A$20,0),MATCH(A454,parameters!$D$3:$N$3,0))</f>
        <v>0</v>
      </c>
    </row>
    <row r="455" spans="1:22" hidden="1" x14ac:dyDescent="0.2">
      <c r="A455" t="s">
        <v>634</v>
      </c>
      <c r="B455" s="50">
        <f>INDEX(parameters!$D$4:$Y$20,MATCH(B436&amp;B438,parameters!$A$4:$A$20,0),MATCH(A455,parameters!$D$3:$Y$3,0))</f>
        <v>1.8947368421052633</v>
      </c>
    </row>
    <row r="456" spans="1:22" hidden="1" x14ac:dyDescent="0.2">
      <c r="A456" t="s">
        <v>82</v>
      </c>
      <c r="B456" s="46">
        <f>IF(B447&lt;&gt;0,VLOOKUP(B447,parameters!A357:B359,2,0),0)</f>
        <v>0</v>
      </c>
    </row>
    <row r="457" spans="1:22" hidden="1" x14ac:dyDescent="0.2">
      <c r="A457" t="s">
        <v>548</v>
      </c>
      <c r="B457" s="50">
        <f>INDEX(parameters!$D$4:$P$20,MATCH(B436&amp;B438,parameters!$A$4:$A$20,0),MATCH(A457,parameters!$D$3:$P$3,0))</f>
        <v>0.8</v>
      </c>
    </row>
    <row r="458" spans="1:22" hidden="1" x14ac:dyDescent="0.2">
      <c r="A458" t="s">
        <v>547</v>
      </c>
      <c r="B458" s="51">
        <f>INDEX(parameters!$D$4:$P$20,MATCH(B436&amp;B438,parameters!$A$4:$A$20,0),MATCH(A458,parameters!$D$3:$P$3,0))</f>
        <v>4.8780487804878048</v>
      </c>
    </row>
    <row r="459" spans="1:22" hidden="1" x14ac:dyDescent="0.2">
      <c r="A459" t="s">
        <v>630</v>
      </c>
      <c r="B459" s="51">
        <f>INDEX(parameters!$D$4:$T$20,MATCH(B436&amp;B438,parameters!$A$4:$A$20,0),MATCH(A459,parameters!$D$3:$T$3,0))</f>
        <v>4100</v>
      </c>
    </row>
    <row r="460" spans="1:22" hidden="1" x14ac:dyDescent="0.2">
      <c r="A460" t="s">
        <v>1005</v>
      </c>
      <c r="B460" s="50">
        <f>IF(B432="megajoule",SUMIFS(allocation!$I$4:$I$30,allocation!$B$4:$B$30,B438,allocation!$C$4:$C$30,B439),SUMIFS(allocation!$J$4:$J$30,allocation!$B$4:$B$30,B438,allocation!$C$4:$C$30,B439))</f>
        <v>0.13933980798974457</v>
      </c>
    </row>
    <row r="461" spans="1:22" hidden="1" x14ac:dyDescent="0.2">
      <c r="A461" t="s">
        <v>1050</v>
      </c>
      <c r="B461" s="51">
        <f>INDEX(parameters!$D$4:$AB$20,MATCH(B436&amp;B438,parameters!$A$4:$A$20,0),MATCH(A461,parameters!$D$3:$AB$3,0))</f>
        <v>10.221606648199446</v>
      </c>
    </row>
    <row r="462" spans="1:22" hidden="1" x14ac:dyDescent="0.2"/>
    <row r="463" spans="1:22" hidden="1" x14ac:dyDescent="0.2">
      <c r="A463" s="3" t="s">
        <v>57</v>
      </c>
    </row>
    <row r="464" spans="1:22" hidden="1" x14ac:dyDescent="0.2">
      <c r="A464" s="2" t="s">
        <v>58</v>
      </c>
      <c r="B464" s="44" t="s">
        <v>59</v>
      </c>
      <c r="C464" s="2" t="s">
        <v>55</v>
      </c>
      <c r="D464" s="2" t="s">
        <v>60</v>
      </c>
      <c r="E464" s="2" t="s">
        <v>52</v>
      </c>
      <c r="F464" s="2" t="s">
        <v>61</v>
      </c>
      <c r="G464" s="2" t="s">
        <v>54</v>
      </c>
      <c r="H464" s="2" t="s">
        <v>87</v>
      </c>
      <c r="I464" s="2" t="s">
        <v>51</v>
      </c>
      <c r="J464" s="2" t="s">
        <v>138</v>
      </c>
      <c r="K464" s="2" t="s">
        <v>136</v>
      </c>
      <c r="L464" s="2" t="s">
        <v>221</v>
      </c>
      <c r="M464" s="2" t="s">
        <v>379</v>
      </c>
      <c r="N464" s="2" t="s">
        <v>1059</v>
      </c>
      <c r="O464" s="2" t="s">
        <v>1060</v>
      </c>
      <c r="P464" s="2" t="s">
        <v>1061</v>
      </c>
      <c r="Q464" s="2" t="s">
        <v>1062</v>
      </c>
      <c r="R464" s="2" t="s">
        <v>1063</v>
      </c>
      <c r="S464" s="2" t="s">
        <v>1064</v>
      </c>
      <c r="T464" s="2" t="s">
        <v>1065</v>
      </c>
      <c r="U464" s="2" t="s">
        <v>380</v>
      </c>
      <c r="V464" s="2" t="s">
        <v>1128</v>
      </c>
    </row>
    <row r="465" spans="1:21" x14ac:dyDescent="0.2">
      <c r="A465" t="str">
        <f>B426</f>
        <v>heat, residential, by conversion of hydrogen using fuel cell, PEM, allocated by exergy, transported by truck, produced by Steam Methane Reforming using natural gas from Switzerland</v>
      </c>
      <c r="B465" s="45">
        <v>1</v>
      </c>
      <c r="C465" t="str">
        <f>B432</f>
        <v>megajoule</v>
      </c>
      <c r="E465" t="str">
        <f>B429</f>
        <v>CH</v>
      </c>
      <c r="F465" t="s">
        <v>62</v>
      </c>
      <c r="G465" t="str">
        <f>B431</f>
        <v>heat, from residential heating system</v>
      </c>
      <c r="K465" t="str">
        <f>B426</f>
        <v>heat, residential, by conversion of hydrogen using fuel cell, PEM, allocated by exergy, transported by truck, produced by Steam Methane Reforming using natural gas from Switzerland</v>
      </c>
    </row>
    <row r="466" spans="1:21" hidden="1" x14ac:dyDescent="0.2">
      <c r="A466" t="str">
        <f>VLOOKUP(J466,'dataset mapping'!$A$4:$E$69,2,0)</f>
        <v>fuel cell system assembly, 1 kWe, proton exchange membrane (PEM)</v>
      </c>
      <c r="B466" s="52">
        <f>(1/(B455*B459*B458*3.6))*B460</f>
        <v>1.0213951974556892E-6</v>
      </c>
      <c r="C466" t="str">
        <f>VLOOKUP(J466,'dataset mapping'!$A$4:$E$69,5,0)</f>
        <v>unit</v>
      </c>
      <c r="E466" t="str">
        <f>VLOOKUP(J466,'dataset mapping'!$A$4:$E$69,4,0)</f>
        <v>GLO</v>
      </c>
      <c r="F466" t="s">
        <v>86</v>
      </c>
      <c r="G466" t="str">
        <f>VLOOKUP(J466,'dataset mapping'!$A$4:$E$69,3,0)</f>
        <v>fuel cell system, 1 kWe, proton exchange membrane (PEM)</v>
      </c>
      <c r="H466" t="s">
        <v>88</v>
      </c>
      <c r="I466" t="s">
        <v>272</v>
      </c>
      <c r="J466" t="s">
        <v>273</v>
      </c>
      <c r="K466" t="str">
        <f>B426</f>
        <v>heat, residential, by conversion of hydrogen using fuel cell, PEM, allocated by exergy, transported by truck, produced by Steam Methane Reforming using natural gas from Switzerland</v>
      </c>
      <c r="L466">
        <f t="shared" ref="L466:L469" si="29">IF(OR(B466&lt;0,B466=0),1,2)</f>
        <v>2</v>
      </c>
      <c r="M466">
        <f t="shared" ref="M466:M469" si="30">IF(L466=2,LN(B466),"")</f>
        <v>-13.794341024667077</v>
      </c>
      <c r="N466">
        <v>1</v>
      </c>
      <c r="O466" s="15">
        <v>1.2</v>
      </c>
      <c r="P466">
        <v>1</v>
      </c>
      <c r="Q466">
        <v>1.01</v>
      </c>
      <c r="R466">
        <v>1.2</v>
      </c>
      <c r="S466">
        <v>1.2</v>
      </c>
      <c r="T466">
        <v>3</v>
      </c>
      <c r="U466">
        <f t="shared" ref="U466:U469" si="31">LN(SQRT(EXP(
SQRT(
+POWER(LN(N466),2)
+POWER(LN(O466),2)
+POWER(LN(P466),2)
+POWER(LN(Q466),2)
+POWER(LN(R466),2)
+POWER(LN(S466),2)
+POWER(LN(T466),2)
)
)))</f>
        <v>0.57157051623399524</v>
      </c>
    </row>
    <row r="467" spans="1:21" hidden="1" x14ac:dyDescent="0.2">
      <c r="A467" s="45" t="str">
        <f>"hydrogen supply, transported by "&amp;B440&amp;", produced by "&amp;B444&amp;" using "&amp;B445&amp;" from "&amp;B446</f>
        <v>hydrogen supply, transported by truck, produced by Steam Methane Reforming using natural gas from Switzerland</v>
      </c>
      <c r="B467" s="53">
        <f>(B465/B449)/B448*B460</f>
        <v>2.3223301331624095E-3</v>
      </c>
      <c r="C467" t="s">
        <v>56</v>
      </c>
      <c r="E467" t="s">
        <v>64</v>
      </c>
      <c r="F467" t="s">
        <v>86</v>
      </c>
      <c r="G467" t="s">
        <v>1137</v>
      </c>
      <c r="H467" t="s">
        <v>76</v>
      </c>
      <c r="I467" t="s">
        <v>1054</v>
      </c>
      <c r="J467" t="s">
        <v>305</v>
      </c>
      <c r="K467" t="str">
        <f>B426</f>
        <v>heat, residential, by conversion of hydrogen using fuel cell, PEM, allocated by exergy, transported by truck, produced by Steam Methane Reforming using natural gas from Switzerland</v>
      </c>
      <c r="L467">
        <f t="shared" si="29"/>
        <v>2</v>
      </c>
      <c r="M467">
        <f t="shared" si="30"/>
        <v>-6.0651842296013152</v>
      </c>
      <c r="N467">
        <v>1</v>
      </c>
      <c r="O467" s="15">
        <v>1.2</v>
      </c>
      <c r="P467">
        <v>1</v>
      </c>
      <c r="Q467">
        <v>1.01</v>
      </c>
      <c r="R467">
        <v>1.2</v>
      </c>
      <c r="S467">
        <v>1.2</v>
      </c>
      <c r="T467">
        <v>1.05</v>
      </c>
      <c r="U467">
        <f t="shared" si="31"/>
        <v>0.15984597228197622</v>
      </c>
    </row>
    <row r="468" spans="1:21" hidden="1" x14ac:dyDescent="0.2">
      <c r="A468" t="str">
        <f>VLOOKUP(J468,'dataset mapping'!$A$4:$E$69,2,0)</f>
        <v>high pressure hydrogen storage tank</v>
      </c>
      <c r="B468" s="52">
        <f>((B461/10)/(B459*B455*20*3.6))*IF(B460&lt;&gt;0,B460,1)</f>
        <v>2.5464146196956242E-7</v>
      </c>
      <c r="C468" t="str">
        <f>VLOOKUP(J468,'dataset mapping'!$A$4:$E$69,5,0)</f>
        <v>kilogram</v>
      </c>
      <c r="E468" t="str">
        <f>VLOOKUP(J468,'dataset mapping'!$A$4:$E$69,4,0)</f>
        <v>GLO</v>
      </c>
      <c r="F468" t="s">
        <v>86</v>
      </c>
      <c r="G468" t="str">
        <f>VLOOKUP(J468,'dataset mapping'!$A$4:$E$69,3,0)</f>
        <v>high pressure hydrogen storage tank</v>
      </c>
      <c r="H468" t="s">
        <v>88</v>
      </c>
      <c r="I468" t="s">
        <v>280</v>
      </c>
      <c r="J468" t="s">
        <v>229</v>
      </c>
      <c r="K468" t="str">
        <f>B426</f>
        <v>heat, residential, by conversion of hydrogen using fuel cell, PEM, allocated by exergy, transported by truck, produced by Steam Methane Reforming using natural gas from Switzerland</v>
      </c>
      <c r="L468">
        <f t="shared" si="29"/>
        <v>2</v>
      </c>
      <c r="M468">
        <f t="shared" si="30"/>
        <v>-15.183409312669692</v>
      </c>
      <c r="N468">
        <v>1</v>
      </c>
      <c r="O468" s="15">
        <v>1.2</v>
      </c>
      <c r="P468">
        <v>1</v>
      </c>
      <c r="Q468">
        <v>1.01</v>
      </c>
      <c r="R468">
        <v>1.2</v>
      </c>
      <c r="S468">
        <v>1.2</v>
      </c>
      <c r="T468">
        <v>3</v>
      </c>
      <c r="U468">
        <f t="shared" si="31"/>
        <v>0.57157051623399524</v>
      </c>
    </row>
    <row r="469" spans="1:21" hidden="1" x14ac:dyDescent="0.2">
      <c r="A469" t="s">
        <v>134</v>
      </c>
      <c r="B469" s="45">
        <f>B467*9</f>
        <v>2.0900971198461685E-2</v>
      </c>
      <c r="C469" t="s">
        <v>56</v>
      </c>
      <c r="D469" t="s">
        <v>100</v>
      </c>
      <c r="F469" t="s">
        <v>99</v>
      </c>
      <c r="H469" t="s">
        <v>131</v>
      </c>
      <c r="I469" t="s">
        <v>1057</v>
      </c>
      <c r="K469" t="str">
        <f>B426</f>
        <v>heat, residential, by conversion of hydrogen using fuel cell, PEM, allocated by exergy, transported by truck, produced by Steam Methane Reforming using natural gas from Switzerland</v>
      </c>
      <c r="L469">
        <f t="shared" si="29"/>
        <v>2</v>
      </c>
      <c r="M469">
        <f t="shared" si="30"/>
        <v>-3.8679596522650961</v>
      </c>
      <c r="N469">
        <v>1</v>
      </c>
      <c r="O469" s="15">
        <v>1.2</v>
      </c>
      <c r="P469">
        <v>1</v>
      </c>
      <c r="Q469">
        <v>1.01</v>
      </c>
      <c r="R469">
        <v>1.2</v>
      </c>
      <c r="S469">
        <v>1.2</v>
      </c>
      <c r="T469">
        <v>1.05</v>
      </c>
      <c r="U469">
        <f t="shared" si="31"/>
        <v>0.15984597228197622</v>
      </c>
    </row>
    <row r="470" spans="1:21" hidden="1" x14ac:dyDescent="0.2"/>
    <row r="471" spans="1:21" hidden="1" x14ac:dyDescent="0.2">
      <c r="A471" s="2" t="s">
        <v>50</v>
      </c>
      <c r="B471" s="44" t="str">
        <f>IF(B477="megajoule","heat","electricity")&amp;", residential, by "&amp;B482&amp;" of "&amp;B481&amp;" using "&amp;B483&amp;IF(B484&lt;&gt;0,", allocated by "&amp;B484,"")&amp;", transported by "&amp;B485&amp;", produced by "&amp;B489&amp;" using "&amp;B490&amp;" from "&amp;B491</f>
        <v>heat, residential, by conversion of hydrogen using fuel cell, SOFC, allocated by exergy, transported by truck, produced by Steam Methane Reforming using natural gas from Switzerland</v>
      </c>
    </row>
    <row r="472" spans="1:21" hidden="1" x14ac:dyDescent="0.2">
      <c r="A472" t="s">
        <v>51</v>
      </c>
      <c r="B472" s="45" t="str">
        <f>"This dataset represents the supply of 1 "&amp;IF(B477="megajoule","megajoule of heat","kilowatt hour of electricity")&amp;" in a residence, by "&amp;B481&amp;" "&amp;B482&amp;" in a "&amp;B483&amp;". "&amp;" The hydrogen is transported by "&amp;B485&amp;" over "&amp;B486&amp;" km from regional storage. "&amp;" The "&amp;B481&amp;" is produced by  "&amp;B489&amp;", with "&amp;B490&amp;" from "&amp;B491&amp;" as feedstock. "&amp;A493&amp;": "&amp;(B493*100)&amp;"%. "&amp;A494&amp;": "&amp;B494&amp;". "&amp;A495&amp;": "&amp;B495&amp;". "&amp;A496&amp;": "&amp;(B496*100)&amp;"%. "&amp;A497&amp;": "&amp;(B497*100)&amp;"%. "&amp;A498&amp;": "&amp;(B498*100)&amp;"%. "&amp;A499&amp;": "&amp;B499&amp;". "&amp;A500&amp;": "&amp;B500&amp;". "&amp;A501&amp;": "&amp;(B501*100)&amp;"%. "&amp;A502&amp;": "&amp;B502&amp;". "&amp;A503&amp;": "&amp;B503&amp;". "&amp;A504&amp;": "&amp;B504&amp;". "&amp;A505&amp;": "&amp;B505&amp;".  For more information, refer to: "&amp;B473</f>
        <v>This dataset represents the supply of 1 megajoule of heat in a residence, by hydrogen conversion in a fuel cell, SOFC.  The hydrogen is transported by truck over 200 km from regional storage.  The hydrogen is produced by  Steam Methane Reforming,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473" spans="1:21" hidden="1" x14ac:dyDescent="0.2">
      <c r="A473" t="s">
        <v>63</v>
      </c>
      <c r="B473" s="45" t="s">
        <v>660</v>
      </c>
    </row>
    <row r="474" spans="1:21" hidden="1" x14ac:dyDescent="0.2">
      <c r="A474" t="s">
        <v>52</v>
      </c>
      <c r="B474" s="45" t="s">
        <v>64</v>
      </c>
    </row>
    <row r="475" spans="1:21" hidden="1" x14ac:dyDescent="0.2">
      <c r="A475" t="s">
        <v>48</v>
      </c>
      <c r="B475" s="45">
        <v>128</v>
      </c>
    </row>
    <row r="476" spans="1:21" hidden="1" x14ac:dyDescent="0.2">
      <c r="A476" t="s">
        <v>54</v>
      </c>
      <c r="B476" s="45" t="str">
        <f>INDEX(overview!$B$4:$R$338,MATCH(B475,overview!$A$4:$A$338,0),MATCH(A476,overview!$B$3:$R$3,0))</f>
        <v>heat, from residential heating system</v>
      </c>
    </row>
    <row r="477" spans="1:21" hidden="1" x14ac:dyDescent="0.2">
      <c r="A477" t="s">
        <v>55</v>
      </c>
      <c r="B477" s="45" t="str">
        <f>INDEX(overview!$B$4:$R$338,MATCH(B475,overview!$A$4:$A$338,0),MATCH(A477,overview!$B$3:$R$3,0))</f>
        <v>megajoule</v>
      </c>
    </row>
    <row r="478" spans="1:21" hidden="1" x14ac:dyDescent="0.2">
      <c r="A478" t="s">
        <v>0</v>
      </c>
      <c r="B478" s="45" t="str">
        <f>INDEX(overview!$B$4:$R$338,MATCH(B475,overview!$A$4:$A$338,0),MATCH(A478,overview!$B$3:$R$3,0))</f>
        <v>Switzerland</v>
      </c>
    </row>
    <row r="479" spans="1:21" hidden="1" x14ac:dyDescent="0.2">
      <c r="A479" t="s">
        <v>1</v>
      </c>
      <c r="B479" s="45">
        <f>INDEX(overview!$B$4:$R$338,MATCH(B475,overview!$A$4:$A$338,0),MATCH(A479,overview!$B$3:$R$3,0))</f>
        <v>2020</v>
      </c>
    </row>
    <row r="480" spans="1:21" hidden="1" x14ac:dyDescent="0.2">
      <c r="A480" t="s">
        <v>2</v>
      </c>
      <c r="B480" s="45" t="str">
        <f>INDEX(overview!$B$4:$R$338,MATCH(B475,overview!$A$4:$A$338,0),MATCH(A480,overview!$B$3:$R$3,0))</f>
        <v>1 MJ heat</v>
      </c>
    </row>
    <row r="481" spans="1:2" hidden="1" x14ac:dyDescent="0.2">
      <c r="A481" t="s">
        <v>5</v>
      </c>
      <c r="B481" s="45" t="str">
        <f>INDEX(overview!$B$4:$R$338,MATCH(B475,overview!$A$4:$A$338,0),MATCH(A481,overview!$B$3:$R$3,0))</f>
        <v>hydrogen</v>
      </c>
    </row>
    <row r="482" spans="1:2" hidden="1" x14ac:dyDescent="0.2">
      <c r="A482" t="s">
        <v>3</v>
      </c>
      <c r="B482" s="45" t="str">
        <f>INDEX(overview!$B$4:$R$338,MATCH(B475,overview!$A$4:$A$338,0),MATCH(A482,overview!$B$3:$R$3,0))</f>
        <v>conversion</v>
      </c>
    </row>
    <row r="483" spans="1:2" hidden="1" x14ac:dyDescent="0.2">
      <c r="A483" t="s">
        <v>6</v>
      </c>
      <c r="B483" s="45" t="str">
        <f>INDEX(overview!$B$4:$R$338,MATCH(B475,overview!$A$4:$A$338,0),MATCH(A483,overview!$B$3:$R$3,0))</f>
        <v>fuel cell, SOFC</v>
      </c>
    </row>
    <row r="484" spans="1:2" hidden="1" x14ac:dyDescent="0.2">
      <c r="A484" t="s">
        <v>39</v>
      </c>
      <c r="B484" s="45" t="str">
        <f>INDEX(overview!$B$4:$R$338,MATCH(B475,overview!$A$4:$A$338,0),MATCH(A484,overview!$B$3:$R$3,0))</f>
        <v>exergy</v>
      </c>
    </row>
    <row r="485" spans="1:2" hidden="1" x14ac:dyDescent="0.2">
      <c r="A485" t="s">
        <v>4</v>
      </c>
      <c r="B485" s="45" t="str">
        <f>INDEX(overview!$B$4:$R$338,MATCH(B475,overview!$A$4:$A$338,0),MATCH(A485,overview!$B$3:$R$3,0))</f>
        <v>truck</v>
      </c>
    </row>
    <row r="486" spans="1:2" hidden="1" x14ac:dyDescent="0.2">
      <c r="A486" t="s">
        <v>38</v>
      </c>
      <c r="B486" s="45">
        <f>INDEX(overview!$B$4:$R$338,MATCH(B475,overview!$A$4:$A$338,0),MATCH(A486,overview!$B$3:$R$3,0))</f>
        <v>200</v>
      </c>
    </row>
    <row r="487" spans="1:2" hidden="1" x14ac:dyDescent="0.2">
      <c r="A487" t="s">
        <v>12</v>
      </c>
      <c r="B487" s="45" t="str">
        <f>INDEX(overview!$B$4:$R$338,MATCH(B475,overview!$A$4:$A$338,0),MATCH(A487,overview!$B$3:$R$3,0))</f>
        <v>Pressure vessel for stationary storage</v>
      </c>
    </row>
    <row r="488" spans="1:2" hidden="1" x14ac:dyDescent="0.2">
      <c r="A488" t="s">
        <v>34</v>
      </c>
      <c r="B488" s="45">
        <f>INDEX(overview!$B$4:$R$338,MATCH(B475,overview!$A$4:$A$338,0),MATCH(A488,overview!$B$3:$R$3,0))</f>
        <v>0</v>
      </c>
    </row>
    <row r="489" spans="1:2" hidden="1" x14ac:dyDescent="0.2">
      <c r="A489" t="s">
        <v>15</v>
      </c>
      <c r="B489" s="45" t="str">
        <f>INDEX(overview!$B$4:$R$338,MATCH(B475,overview!$A$4:$A$338,0),MATCH(A489,overview!$B$3:$R$3,0))</f>
        <v>Steam Methane Reforming</v>
      </c>
    </row>
    <row r="490" spans="1:2" hidden="1" x14ac:dyDescent="0.2">
      <c r="A490" t="s">
        <v>14</v>
      </c>
      <c r="B490" s="45" t="str">
        <f>INDEX(overview!$B$4:$R$338,MATCH(B475,overview!$A$4:$A$338,0),MATCH(A490,overview!$B$3:$R$3,0))</f>
        <v>natural gas</v>
      </c>
    </row>
    <row r="491" spans="1:2" hidden="1" x14ac:dyDescent="0.2">
      <c r="A491" t="s">
        <v>26</v>
      </c>
      <c r="B491" s="45" t="str">
        <f>INDEX(overview!$B$4:$R$338,MATCH(B475,overview!$A$4:$A$338,0),MATCH(A491,overview!$B$3:$R$3,0))</f>
        <v>Switzerland</v>
      </c>
    </row>
    <row r="492" spans="1:2" hidden="1" x14ac:dyDescent="0.2">
      <c r="A492" t="s">
        <v>29</v>
      </c>
      <c r="B492" s="45">
        <f>INDEX(overview!$B$4:$R$338,MATCH(B475,overview!$A$4:$A$338,0),MATCH(A492,overview!$B$3:$R$3,0))</f>
        <v>0</v>
      </c>
    </row>
    <row r="493" spans="1:2" hidden="1" x14ac:dyDescent="0.2">
      <c r="A493" t="str">
        <f>IF(B477="megajoule","Heat","Electricity")&amp;" conversion efficiency [% LHV input]"</f>
        <v>Heat conversion efficiency [% LHV input]</v>
      </c>
      <c r="B493" s="46">
        <f>INDEX(parameters!$D$4:$N$20,MATCH(B481&amp;B483,parameters!$A$4:$A$20,0),MATCH(A493,parameters!$D$3:$N$3,0))</f>
        <v>0.53</v>
      </c>
    </row>
    <row r="494" spans="1:2" hidden="1" x14ac:dyDescent="0.2">
      <c r="A494" t="str">
        <f>IF(B477="megajoule","LHV [MJ/kg]","LHV [kWh/kg]")</f>
        <v>LHV [MJ/kg]</v>
      </c>
      <c r="B494" s="47">
        <f>INDEX(parameters!$D$4:$N$20,MATCH(B481&amp;B483,parameters!$A$4:$A$20,0),MATCH(A494,parameters!$D$3:$N$3,0))</f>
        <v>120</v>
      </c>
    </row>
    <row r="495" spans="1:2" hidden="1" x14ac:dyDescent="0.2">
      <c r="A495" t="s">
        <v>41</v>
      </c>
      <c r="B495" s="48">
        <f>INDEX(parameters!$D$4:$N$20,MATCH(B481&amp;B483,parameters!$A$4:$A$20,0),MATCH(A495,parameters!$D$3:$N$3,0))</f>
        <v>2.6666666666666665E-2</v>
      </c>
    </row>
    <row r="496" spans="1:2" hidden="1" x14ac:dyDescent="0.2">
      <c r="A496" t="s">
        <v>45</v>
      </c>
      <c r="B496" s="46">
        <f>INDEX(parameters!$D$4:$N$20,MATCH(B481&amp;B483,parameters!$A$4:$A$20,0),MATCH(A496,parameters!$D$3:$N$3,0))</f>
        <v>0</v>
      </c>
    </row>
    <row r="497" spans="1:22" hidden="1" x14ac:dyDescent="0.2">
      <c r="A497" t="s">
        <v>46</v>
      </c>
      <c r="B497" s="46">
        <f>INDEX(parameters!$D$4:$N$20,MATCH(B481&amp;B483,parameters!$A$4:$A$20,0),MATCH(A497,parameters!$D$3:$N$3,0))</f>
        <v>1.4999999999999999E-2</v>
      </c>
    </row>
    <row r="498" spans="1:22" hidden="1" x14ac:dyDescent="0.2">
      <c r="A498" t="s">
        <v>43</v>
      </c>
      <c r="B498" s="46">
        <f>INDEX(parameters!$D$4:$N$20,MATCH(B481&amp;B483,parameters!$A$4:$A$20,0),MATCH(A498,parameters!$D$3:$N$3,0))</f>
        <v>0</v>
      </c>
    </row>
    <row r="499" spans="1:22" hidden="1" x14ac:dyDescent="0.2">
      <c r="A499" t="s">
        <v>44</v>
      </c>
      <c r="B499" s="46">
        <f>INDEX(parameters!$D$4:$N$20,MATCH(B481&amp;B483,parameters!$A$4:$A$20,0),MATCH(A499,parameters!$D$3:$N$3,0))</f>
        <v>0</v>
      </c>
    </row>
    <row r="500" spans="1:22" hidden="1" x14ac:dyDescent="0.2">
      <c r="A500" t="s">
        <v>634</v>
      </c>
      <c r="B500" s="50">
        <f>INDEX(parameters!$D$4:$Y$20,MATCH(B481&amp;B483,parameters!$A$4:$A$20,0),MATCH(A500,parameters!$D$3:$Y$3,0))</f>
        <v>225</v>
      </c>
      <c r="D500" s="8"/>
    </row>
    <row r="501" spans="1:22" hidden="1" x14ac:dyDescent="0.2">
      <c r="A501" t="s">
        <v>82</v>
      </c>
      <c r="B501" s="46">
        <f>IF(B492&lt;&gt;0,VLOOKUP(B492,parameters!A405:B407,2,0),0)</f>
        <v>0</v>
      </c>
    </row>
    <row r="502" spans="1:22" hidden="1" x14ac:dyDescent="0.2">
      <c r="A502" t="s">
        <v>548</v>
      </c>
      <c r="B502" s="50">
        <f>INDEX(parameters!$D$4:$P$20,MATCH(B481&amp;B483,parameters!$A$4:$A$20,0),MATCH(A502,parameters!$D$3:$P$3,0))</f>
        <v>100</v>
      </c>
    </row>
    <row r="503" spans="1:22" hidden="1" x14ac:dyDescent="0.2">
      <c r="A503" t="s">
        <v>547</v>
      </c>
      <c r="B503" s="51">
        <f>INDEX(parameters!$D$4:$P$20,MATCH(B481&amp;B483,parameters!$A$4:$A$20,0),MATCH(A503,parameters!$D$3:$P$3,0))</f>
        <v>6</v>
      </c>
    </row>
    <row r="504" spans="1:22" hidden="1" x14ac:dyDescent="0.2">
      <c r="A504" t="s">
        <v>630</v>
      </c>
      <c r="B504" s="51">
        <f>INDEX(parameters!$D$4:$T$20,MATCH(B481&amp;B483,parameters!$A$4:$A$20,0),MATCH(A504,parameters!$D$3:$T$3,0))</f>
        <v>4100</v>
      </c>
    </row>
    <row r="505" spans="1:22" hidden="1" x14ac:dyDescent="0.2">
      <c r="A505" t="s">
        <v>1005</v>
      </c>
      <c r="B505" s="50">
        <f>IF(B477="megajoule",SUMIFS(allocation!$I$4:$I$30,allocation!$B$4:$B$30,B483,allocation!$C$4:$C$30,B484),SUMIFS(allocation!$J$4:$J$30,allocation!$B$4:$B$30,B483,allocation!$C$4:$C$30,B484))</f>
        <v>0.13587506510399097</v>
      </c>
    </row>
    <row r="506" spans="1:22" hidden="1" x14ac:dyDescent="0.2">
      <c r="A506" t="s">
        <v>1050</v>
      </c>
      <c r="B506" s="51">
        <f>INDEX(parameters!$D$4:$AB$20,MATCH(B481&amp;B483,parameters!$A$4:$A$20,0),MATCH(A506,parameters!$D$3:$AB$3,0))</f>
        <v>1153.1249999999998</v>
      </c>
    </row>
    <row r="507" spans="1:22" hidden="1" x14ac:dyDescent="0.2"/>
    <row r="508" spans="1:22" hidden="1" x14ac:dyDescent="0.2">
      <c r="A508" s="3" t="s">
        <v>57</v>
      </c>
    </row>
    <row r="509" spans="1:22" hidden="1" x14ac:dyDescent="0.2">
      <c r="A509" s="2" t="s">
        <v>58</v>
      </c>
      <c r="B509" s="44" t="s">
        <v>59</v>
      </c>
      <c r="C509" s="2" t="s">
        <v>55</v>
      </c>
      <c r="D509" s="2" t="s">
        <v>60</v>
      </c>
      <c r="E509" s="2" t="s">
        <v>52</v>
      </c>
      <c r="F509" s="2" t="s">
        <v>61</v>
      </c>
      <c r="G509" s="2" t="s">
        <v>54</v>
      </c>
      <c r="H509" s="2" t="s">
        <v>87</v>
      </c>
      <c r="I509" s="2" t="s">
        <v>51</v>
      </c>
      <c r="J509" s="2" t="s">
        <v>138</v>
      </c>
      <c r="K509" s="2" t="s">
        <v>136</v>
      </c>
      <c r="L509" s="2" t="s">
        <v>221</v>
      </c>
      <c r="M509" s="2" t="s">
        <v>379</v>
      </c>
      <c r="N509" s="2" t="s">
        <v>1059</v>
      </c>
      <c r="O509" s="2" t="s">
        <v>1060</v>
      </c>
      <c r="P509" s="2" t="s">
        <v>1061</v>
      </c>
      <c r="Q509" s="2" t="s">
        <v>1062</v>
      </c>
      <c r="R509" s="2" t="s">
        <v>1063</v>
      </c>
      <c r="S509" s="2" t="s">
        <v>1064</v>
      </c>
      <c r="T509" s="2" t="s">
        <v>1065</v>
      </c>
      <c r="U509" s="2" t="s">
        <v>380</v>
      </c>
      <c r="V509" s="2" t="s">
        <v>1128</v>
      </c>
    </row>
    <row r="510" spans="1:22" x14ac:dyDescent="0.2">
      <c r="A510" t="str">
        <f>B471</f>
        <v>heat, residential, by conversion of hydrogen using fuel cell, SOFC, allocated by exergy, transported by truck, produced by Steam Methane Reforming using natural gas from Switzerland</v>
      </c>
      <c r="B510" s="45">
        <v>1</v>
      </c>
      <c r="C510" t="str">
        <f>B477</f>
        <v>megajoule</v>
      </c>
      <c r="E510" t="str">
        <f>B474</f>
        <v>CH</v>
      </c>
      <c r="F510" t="s">
        <v>62</v>
      </c>
      <c r="G510" t="str">
        <f>B476</f>
        <v>heat, from residential heating system</v>
      </c>
      <c r="K510" t="str">
        <f>B471</f>
        <v>heat, residential, by conversion of hydrogen using fuel cell, SOFC, allocated by exergy, transported by truck, produced by Steam Methane Reforming using natural gas from Switzerland</v>
      </c>
    </row>
    <row r="511" spans="1:22" hidden="1" x14ac:dyDescent="0.2">
      <c r="A511" t="str">
        <f>VLOOKUP(J511,'dataset mapping'!$A$4:$E$69,2,0)</f>
        <v>fuel cell production, stack solid oxide, 125kW electrical, future</v>
      </c>
      <c r="B511" s="52">
        <f>1/(62*1000000)/B493*SUMIFS(allocation!$I$4:$I$30,allocation!$B$4:$B$30,B483,allocation!$C$4:$C$30,B484)</f>
        <v>4.1349685059035601E-9</v>
      </c>
      <c r="C511" t="str">
        <f>VLOOKUP(J511,'dataset mapping'!$A$4:$E$69,5,0)</f>
        <v>unit</v>
      </c>
      <c r="E511" t="str">
        <f>VLOOKUP(J511,'dataset mapping'!$A$4:$E$69,4,0)</f>
        <v>CH</v>
      </c>
      <c r="F511" t="s">
        <v>86</v>
      </c>
      <c r="G511" t="str">
        <f>VLOOKUP(J511,'dataset mapping'!$A$4:$E$69,3,0)</f>
        <v>fuel cell, stack solid oxide, 125kW electrical, future</v>
      </c>
      <c r="H511" t="s">
        <v>88</v>
      </c>
      <c r="I511" t="s">
        <v>277</v>
      </c>
      <c r="J511" t="s">
        <v>274</v>
      </c>
      <c r="K511" t="str">
        <f>B471</f>
        <v>heat, residential, by conversion of hydrogen using fuel cell, SOFC, allocated by exergy, transported by truck, produced by Steam Methane Reforming using natural gas from Switzerland</v>
      </c>
      <c r="L511">
        <f t="shared" ref="L511:L517" si="32">IF(OR(B511&lt;0,B511=0),1,2)</f>
        <v>2</v>
      </c>
      <c r="M511">
        <f t="shared" ref="M511:M517" si="33">IF(L511=2,LN(B511),"")</f>
        <v>-19.303786124968067</v>
      </c>
      <c r="N511">
        <v>1</v>
      </c>
      <c r="O511" s="15">
        <v>1.2</v>
      </c>
      <c r="P511">
        <v>1</v>
      </c>
      <c r="Q511">
        <v>1.01</v>
      </c>
      <c r="R511">
        <v>1.2</v>
      </c>
      <c r="S511">
        <v>1.2</v>
      </c>
      <c r="T511">
        <v>3</v>
      </c>
      <c r="U511">
        <f t="shared" ref="U511:U517" si="34">LN(SQRT(EXP(
SQRT(
+POWER(LN(N511),2)
+POWER(LN(O511),2)
+POWER(LN(P511),2)
+POWER(LN(Q511),2)
+POWER(LN(R511),2)
+POWER(LN(S511),2)
+POWER(LN(T511),2)
)
)))</f>
        <v>0.57157051623399524</v>
      </c>
    </row>
    <row r="512" spans="1:22" hidden="1" x14ac:dyDescent="0.2">
      <c r="A512" t="s">
        <v>283</v>
      </c>
      <c r="B512" s="52">
        <f>0.000000145/B493*SUMIFS(allocation!$I$4:$I$30,allocation!$B$4:$B$30,B483,allocation!$C$4:$C$30,B484)</f>
        <v>3.7173366868072996E-8</v>
      </c>
      <c r="C512" t="s">
        <v>55</v>
      </c>
      <c r="E512" t="s">
        <v>64</v>
      </c>
      <c r="F512" t="s">
        <v>86</v>
      </c>
      <c r="G512" t="s">
        <v>284</v>
      </c>
      <c r="H512" t="s">
        <v>88</v>
      </c>
      <c r="I512" t="s">
        <v>277</v>
      </c>
      <c r="K512" t="str">
        <f>B471</f>
        <v>heat, residential, by conversion of hydrogen using fuel cell, SOFC, allocated by exergy, transported by truck, produced by Steam Methane Reforming using natural gas from Switzerland</v>
      </c>
      <c r="L512">
        <f t="shared" si="32"/>
        <v>2</v>
      </c>
      <c r="M512">
        <f t="shared" si="33"/>
        <v>-17.107673276484537</v>
      </c>
      <c r="N512">
        <v>1</v>
      </c>
      <c r="O512" s="15">
        <v>1.2</v>
      </c>
      <c r="P512">
        <v>1</v>
      </c>
      <c r="Q512">
        <v>1.01</v>
      </c>
      <c r="R512">
        <v>1.2</v>
      </c>
      <c r="S512">
        <v>1.2</v>
      </c>
      <c r="T512">
        <v>3</v>
      </c>
      <c r="U512">
        <f t="shared" si="34"/>
        <v>0.57157051623399524</v>
      </c>
    </row>
    <row r="513" spans="1:21" hidden="1" x14ac:dyDescent="0.2">
      <c r="A513" t="s">
        <v>285</v>
      </c>
      <c r="B513" s="52">
        <f>0.0000000115/B493*SUMIFS(allocation!$I$4:$I$30,allocation!$B$4:$B$30,B483,allocation!$C$4:$C$30,B484)</f>
        <v>2.9482325447092381E-9</v>
      </c>
      <c r="C513" t="s">
        <v>55</v>
      </c>
      <c r="E513" t="s">
        <v>90</v>
      </c>
      <c r="F513" t="s">
        <v>86</v>
      </c>
      <c r="G513" t="s">
        <v>286</v>
      </c>
      <c r="H513" t="s">
        <v>88</v>
      </c>
      <c r="K513" t="str">
        <f>B471</f>
        <v>heat, residential, by conversion of hydrogen using fuel cell, SOFC, allocated by exergy, transported by truck, produced by Steam Methane Reforming using natural gas from Switzerland</v>
      </c>
      <c r="L513">
        <f t="shared" si="32"/>
        <v>2</v>
      </c>
      <c r="M513">
        <f t="shared" si="33"/>
        <v>-19.642059983535908</v>
      </c>
      <c r="N513">
        <v>1</v>
      </c>
      <c r="O513" s="15">
        <v>1.2</v>
      </c>
      <c r="P513">
        <v>1</v>
      </c>
      <c r="Q513">
        <v>1.01</v>
      </c>
      <c r="R513">
        <v>1.2</v>
      </c>
      <c r="S513">
        <v>1.2</v>
      </c>
      <c r="T513">
        <v>3</v>
      </c>
      <c r="U513">
        <f t="shared" si="34"/>
        <v>0.57157051623399524</v>
      </c>
    </row>
    <row r="514" spans="1:21" hidden="1" x14ac:dyDescent="0.2">
      <c r="A514" t="s">
        <v>288</v>
      </c>
      <c r="B514" s="52">
        <f>0.000024/B493*SUMIFS(allocation!$I$4:$I$30,allocation!$B$4:$B$30,B483,allocation!$C$4:$C$30,B484)</f>
        <v>6.152833136784497E-6</v>
      </c>
      <c r="C514" t="s">
        <v>56</v>
      </c>
      <c r="E514" t="s">
        <v>64</v>
      </c>
      <c r="F514" t="s">
        <v>86</v>
      </c>
      <c r="G514" t="s">
        <v>287</v>
      </c>
      <c r="H514" t="s">
        <v>88</v>
      </c>
      <c r="K514" t="str">
        <f>B471</f>
        <v>heat, residential, by conversion of hydrogen using fuel cell, SOFC, allocated by exergy, transported by truck, produced by Steam Methane Reforming using natural gas from Switzerland</v>
      </c>
      <c r="L514">
        <f t="shared" si="32"/>
        <v>2</v>
      </c>
      <c r="M514">
        <f t="shared" si="33"/>
        <v>-11.998597909575029</v>
      </c>
      <c r="N514">
        <v>1</v>
      </c>
      <c r="O514" s="15">
        <v>1.2</v>
      </c>
      <c r="P514">
        <v>1</v>
      </c>
      <c r="Q514">
        <v>1.01</v>
      </c>
      <c r="R514">
        <v>1.2</v>
      </c>
      <c r="S514">
        <v>1.2</v>
      </c>
      <c r="T514">
        <v>1.05</v>
      </c>
      <c r="U514">
        <f t="shared" si="34"/>
        <v>0.15984597228197622</v>
      </c>
    </row>
    <row r="515" spans="1:21" hidden="1" x14ac:dyDescent="0.2">
      <c r="A515" s="45" t="str">
        <f>"hydrogen supply, transported by "&amp;B485&amp;", produced by "&amp;B489&amp;" using "&amp;B490&amp;" from "&amp;B491</f>
        <v>hydrogen supply, transported by truck, produced by Steam Methane Reforming using natural gas from Switzerland</v>
      </c>
      <c r="B515" s="53">
        <f>(B510/B494)/B493*B505</f>
        <v>2.1364003947168392E-3</v>
      </c>
      <c r="C515" t="s">
        <v>56</v>
      </c>
      <c r="E515" t="s">
        <v>64</v>
      </c>
      <c r="F515" t="s">
        <v>86</v>
      </c>
      <c r="G515" t="s">
        <v>1137</v>
      </c>
      <c r="H515" t="s">
        <v>76</v>
      </c>
      <c r="I515" t="s">
        <v>1054</v>
      </c>
      <c r="J515" t="s">
        <v>305</v>
      </c>
      <c r="K515" t="str">
        <f>B471</f>
        <v>heat, residential, by conversion of hydrogen using fuel cell, SOFC, allocated by exergy, transported by truck, produced by Steam Methane Reforming using natural gas from Switzerland</v>
      </c>
      <c r="L515">
        <f t="shared" si="32"/>
        <v>2</v>
      </c>
      <c r="M515">
        <f t="shared" si="33"/>
        <v>-6.1486329247407472</v>
      </c>
      <c r="N515">
        <v>1</v>
      </c>
      <c r="O515" s="15">
        <v>1.2</v>
      </c>
      <c r="P515">
        <v>1</v>
      </c>
      <c r="Q515">
        <v>1.01</v>
      </c>
      <c r="R515">
        <v>1.2</v>
      </c>
      <c r="S515">
        <v>1.2</v>
      </c>
      <c r="T515">
        <v>1.05</v>
      </c>
      <c r="U515">
        <f t="shared" si="34"/>
        <v>0.15984597228197622</v>
      </c>
    </row>
    <row r="516" spans="1:21" hidden="1" x14ac:dyDescent="0.2">
      <c r="A516" t="str">
        <f>VLOOKUP(J516,'dataset mapping'!$A$4:$E$69,2,0)</f>
        <v>high pressure hydrogen storage tank</v>
      </c>
      <c r="B516" s="52">
        <f>((B506/10)/(B504*B500*20*3.6))*IF(B505&lt;&gt;0,B505,1)</f>
        <v>2.3589421024998428E-7</v>
      </c>
      <c r="C516" t="str">
        <f>VLOOKUP(J516,'dataset mapping'!$A$4:$E$69,5,0)</f>
        <v>kilogram</v>
      </c>
      <c r="E516" t="str">
        <f>VLOOKUP(J516,'dataset mapping'!$A$4:$E$69,4,0)</f>
        <v>GLO</v>
      </c>
      <c r="F516" t="s">
        <v>86</v>
      </c>
      <c r="G516" t="str">
        <f>VLOOKUP(J516,'dataset mapping'!$A$4:$E$69,3,0)</f>
        <v>high pressure hydrogen storage tank</v>
      </c>
      <c r="H516" t="s">
        <v>88</v>
      </c>
      <c r="I516" t="s">
        <v>230</v>
      </c>
      <c r="J516" t="s">
        <v>229</v>
      </c>
      <c r="K516" t="str">
        <f>B471</f>
        <v>heat, residential, by conversion of hydrogen using fuel cell, SOFC, allocated by exergy, transported by truck, produced by Steam Methane Reforming using natural gas from Switzerland</v>
      </c>
      <c r="L516">
        <f t="shared" si="32"/>
        <v>2</v>
      </c>
      <c r="M516">
        <f t="shared" si="33"/>
        <v>-15.259882394072699</v>
      </c>
      <c r="N516">
        <v>1</v>
      </c>
      <c r="O516" s="15">
        <v>1.2</v>
      </c>
      <c r="P516">
        <v>1</v>
      </c>
      <c r="Q516">
        <v>1.01</v>
      </c>
      <c r="R516">
        <v>1.2</v>
      </c>
      <c r="S516">
        <v>1.2</v>
      </c>
      <c r="T516">
        <v>3</v>
      </c>
      <c r="U516">
        <f t="shared" si="34"/>
        <v>0.57157051623399524</v>
      </c>
    </row>
    <row r="517" spans="1:21" hidden="1" x14ac:dyDescent="0.2">
      <c r="A517" t="s">
        <v>134</v>
      </c>
      <c r="B517" s="45">
        <f>B515*9</f>
        <v>1.9227603552451553E-2</v>
      </c>
      <c r="C517" t="s">
        <v>56</v>
      </c>
      <c r="D517" t="s">
        <v>100</v>
      </c>
      <c r="F517" t="s">
        <v>99</v>
      </c>
      <c r="H517" t="s">
        <v>131</v>
      </c>
      <c r="I517" t="s">
        <v>1057</v>
      </c>
      <c r="K517" t="str">
        <f>B471</f>
        <v>heat, residential, by conversion of hydrogen using fuel cell, SOFC, allocated by exergy, transported by truck, produced by Steam Methane Reforming using natural gas from Switzerland</v>
      </c>
      <c r="L517">
        <f t="shared" si="32"/>
        <v>2</v>
      </c>
      <c r="M517">
        <f t="shared" si="33"/>
        <v>-3.9514083474045276</v>
      </c>
      <c r="N517">
        <v>1</v>
      </c>
      <c r="O517" s="15">
        <v>1.2</v>
      </c>
      <c r="P517">
        <v>1</v>
      </c>
      <c r="Q517">
        <v>1.01</v>
      </c>
      <c r="R517">
        <v>1.2</v>
      </c>
      <c r="S517">
        <v>1.2</v>
      </c>
      <c r="T517">
        <v>1.05</v>
      </c>
      <c r="U517">
        <f t="shared" si="34"/>
        <v>0.15984597228197622</v>
      </c>
    </row>
    <row r="518" spans="1:21" hidden="1" x14ac:dyDescent="0.2"/>
    <row r="519" spans="1:21" hidden="1" x14ac:dyDescent="0.2">
      <c r="A519" s="2" t="s">
        <v>50</v>
      </c>
      <c r="B519" s="44" t="str">
        <f>IF(B525="megajoule","heat","electricity")&amp;", residential, by "&amp;B530&amp;" of "&amp;B529&amp;" using "&amp;B531&amp;IF(B532&lt;&gt;0,", allocated by "&amp;B532,"")&amp;", transported by "&amp;B533&amp;", produced by "&amp;B537&amp;" using "&amp;B538&amp;" from "&amp;B539</f>
        <v>electricity, residential, by combustion of hydrogen using CHP, allocated by exergy, transported by truck, produced by Steam Methane Reforming using natural gas from Switzerland</v>
      </c>
    </row>
    <row r="520" spans="1:21" hidden="1" x14ac:dyDescent="0.2">
      <c r="A520" t="s">
        <v>51</v>
      </c>
      <c r="B520" s="45" t="str">
        <f>"This dataset represents the supply of 1 "&amp;IF(B525="megajoule","megajoule of heat","kilowatt hour of electricity")&amp;" in a residence, by "&amp;B529&amp;" "&amp;B530&amp;" in a "&amp;B531&amp;". "&amp;" The hydrogen is transported by "&amp;B533&amp;" over "&amp;B534&amp;" km from regional storage. "&amp;" The "&amp;B529&amp;" is produced by  "&amp;B537&amp;", with "&amp;B538&amp;" from "&amp;B539&amp;" as feedstock. "&amp;A541&amp;": "&amp;(B541*100)&amp;"%. "&amp;A542&amp;": "&amp;B542&amp;". "&amp;A543&amp;": "&amp;B543&amp;". "&amp;A544&amp;": "&amp;(B544*100)&amp;"%. "&amp;A545&amp;": "&amp;(B545*100)&amp;"%. "&amp;A546&amp;": "&amp;(B546*100)&amp;"%. "&amp;A547&amp;": "&amp;B547&amp;". "&amp;A548&amp;": "&amp;B548&amp;". "&amp;A549&amp;": "&amp;(B549*100)&amp;"%. "&amp;A550&amp;": "&amp;B550&amp;". "&amp;A551&amp;": "&amp;B551&amp;". "&amp;A552&amp;": "&amp;B552&amp;". "&amp;A553&amp;": "&amp;B553&amp;".  For more information, refer to: "&amp;B521</f>
        <v>This dataset represents the supply of 1 kilowatt hour of electricity in a residence, by hydrogen combustion in a CHP.  The hydrogen is transported by truck over 200 km from regional storage.  The hydrogen is produced by  Steam Methane Reforming,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521" spans="1:21" hidden="1" x14ac:dyDescent="0.2">
      <c r="A521" t="s">
        <v>63</v>
      </c>
      <c r="B521" s="45" t="s">
        <v>660</v>
      </c>
    </row>
    <row r="522" spans="1:21" hidden="1" x14ac:dyDescent="0.2">
      <c r="A522" t="s">
        <v>52</v>
      </c>
      <c r="B522" s="45" t="s">
        <v>64</v>
      </c>
    </row>
    <row r="523" spans="1:21" hidden="1" x14ac:dyDescent="0.2">
      <c r="A523" t="s">
        <v>48</v>
      </c>
      <c r="B523" s="45" t="s">
        <v>958</v>
      </c>
    </row>
    <row r="524" spans="1:21" hidden="1" x14ac:dyDescent="0.2">
      <c r="A524" t="s">
        <v>54</v>
      </c>
      <c r="B524" s="45" t="str">
        <f>INDEX(overview!$B$4:$R$338,MATCH(B523,overview!$A$4:$A$338,0),MATCH(A524,overview!$B$3:$R$3,0))</f>
        <v>electricity, from residential heating system</v>
      </c>
    </row>
    <row r="525" spans="1:21" hidden="1" x14ac:dyDescent="0.2">
      <c r="A525" t="s">
        <v>55</v>
      </c>
      <c r="B525" s="45" t="str">
        <f>INDEX(overview!$B$4:$R$338,MATCH(B523,overview!$A$4:$A$338,0),MATCH(A525,overview!$B$3:$R$3,0))</f>
        <v>kilowatt hour</v>
      </c>
    </row>
    <row r="526" spans="1:21" hidden="1" x14ac:dyDescent="0.2">
      <c r="A526" t="s">
        <v>0</v>
      </c>
      <c r="B526" s="45" t="str">
        <f>INDEX(overview!$B$4:$R$338,MATCH(B523,overview!$A$4:$A$338,0),MATCH(A526,overview!$B$3:$R$3,0))</f>
        <v>Switzerland</v>
      </c>
    </row>
    <row r="527" spans="1:21" hidden="1" x14ac:dyDescent="0.2">
      <c r="A527" t="s">
        <v>1</v>
      </c>
      <c r="B527" s="45">
        <f>INDEX(overview!$B$4:$R$338,MATCH(B523,overview!$A$4:$A$338,0),MATCH(A527,overview!$B$3:$R$3,0))</f>
        <v>2020</v>
      </c>
    </row>
    <row r="528" spans="1:21" hidden="1" x14ac:dyDescent="0.2">
      <c r="A528" t="s">
        <v>2</v>
      </c>
      <c r="B528" s="45" t="str">
        <f>INDEX(overview!$B$4:$R$338,MATCH(B523,overview!$A$4:$A$338,0),MATCH(A528,overview!$B$3:$R$3,0))</f>
        <v>1 kWh electricity</v>
      </c>
    </row>
    <row r="529" spans="1:2" hidden="1" x14ac:dyDescent="0.2">
      <c r="A529" t="s">
        <v>5</v>
      </c>
      <c r="B529" s="45" t="str">
        <f>INDEX(overview!$B$4:$R$338,MATCH(B523,overview!$A$4:$A$338,0),MATCH(A529,overview!$B$3:$R$3,0))</f>
        <v>hydrogen</v>
      </c>
    </row>
    <row r="530" spans="1:2" hidden="1" x14ac:dyDescent="0.2">
      <c r="A530" t="s">
        <v>3</v>
      </c>
      <c r="B530" s="45" t="str">
        <f>INDEX(overview!$B$4:$R$338,MATCH(B523,overview!$A$4:$A$338,0),MATCH(A530,overview!$B$3:$R$3,0))</f>
        <v>combustion</v>
      </c>
    </row>
    <row r="531" spans="1:2" hidden="1" x14ac:dyDescent="0.2">
      <c r="A531" t="s">
        <v>6</v>
      </c>
      <c r="B531" s="45" t="str">
        <f>INDEX(overview!$B$4:$R$338,MATCH(B523,overview!$A$4:$A$338,0),MATCH(A531,overview!$B$3:$R$3,0))</f>
        <v>CHP</v>
      </c>
    </row>
    <row r="532" spans="1:2" hidden="1" x14ac:dyDescent="0.2">
      <c r="A532" t="s">
        <v>39</v>
      </c>
      <c r="B532" s="45" t="str">
        <f>INDEX(overview!$B$4:$R$338,MATCH(B523,overview!$A$4:$A$338,0),MATCH(A532,overview!$B$3:$R$3,0))</f>
        <v>exergy</v>
      </c>
    </row>
    <row r="533" spans="1:2" hidden="1" x14ac:dyDescent="0.2">
      <c r="A533" t="s">
        <v>4</v>
      </c>
      <c r="B533" s="45" t="str">
        <f>INDEX(overview!$B$4:$R$338,MATCH(B523,overview!$A$4:$A$338,0),MATCH(A533,overview!$B$3:$R$3,0))</f>
        <v>truck</v>
      </c>
    </row>
    <row r="534" spans="1:2" hidden="1" x14ac:dyDescent="0.2">
      <c r="A534" t="s">
        <v>38</v>
      </c>
      <c r="B534" s="45">
        <f>INDEX(overview!$B$4:$R$338,MATCH(B523,overview!$A$4:$A$338,0),MATCH(A534,overview!$B$3:$R$3,0))</f>
        <v>200</v>
      </c>
    </row>
    <row r="535" spans="1:2" hidden="1" x14ac:dyDescent="0.2">
      <c r="A535" t="s">
        <v>12</v>
      </c>
      <c r="B535" s="45" t="str">
        <f>INDEX(overview!$B$4:$R$338,MATCH(B523,overview!$A$4:$A$338,0),MATCH(A535,overview!$B$3:$R$3,0))</f>
        <v>Pressure vessel for stationary storage</v>
      </c>
    </row>
    <row r="536" spans="1:2" hidden="1" x14ac:dyDescent="0.2">
      <c r="A536" t="s">
        <v>34</v>
      </c>
      <c r="B536" s="45">
        <f>INDEX(overview!$B$4:$R$338,MATCH(B523,overview!$A$4:$A$338,0),MATCH(A536,overview!$B$3:$R$3,0))</f>
        <v>0</v>
      </c>
    </row>
    <row r="537" spans="1:2" hidden="1" x14ac:dyDescent="0.2">
      <c r="A537" t="s">
        <v>15</v>
      </c>
      <c r="B537" s="45" t="str">
        <f>INDEX(overview!$B$4:$R$338,MATCH(B523,overview!$A$4:$A$338,0),MATCH(A537,overview!$B$3:$R$3,0))</f>
        <v>Steam Methane Reforming</v>
      </c>
    </row>
    <row r="538" spans="1:2" hidden="1" x14ac:dyDescent="0.2">
      <c r="A538" t="s">
        <v>14</v>
      </c>
      <c r="B538" s="45" t="str">
        <f>INDEX(overview!$B$4:$R$338,MATCH(B523,overview!$A$4:$A$338,0),MATCH(A538,overview!$B$3:$R$3,0))</f>
        <v>natural gas</v>
      </c>
    </row>
    <row r="539" spans="1:2" hidden="1" x14ac:dyDescent="0.2">
      <c r="A539" t="s">
        <v>26</v>
      </c>
      <c r="B539" s="45" t="str">
        <f>INDEX(overview!$B$4:$R$338,MATCH(B523,overview!$A$4:$A$338,0),MATCH(A539,overview!$B$3:$R$3,0))</f>
        <v>Switzerland</v>
      </c>
    </row>
    <row r="540" spans="1:2" hidden="1" x14ac:dyDescent="0.2">
      <c r="A540" t="s">
        <v>29</v>
      </c>
      <c r="B540" s="45">
        <f>INDEX(overview!$B$4:$R$338,MATCH(B523,overview!$A$4:$A$338,0),MATCH(A540,overview!$B$3:$R$3,0))</f>
        <v>0</v>
      </c>
    </row>
    <row r="541" spans="1:2" hidden="1" x14ac:dyDescent="0.2">
      <c r="A541" t="str">
        <f>IF(B525="megajoule","Heat","Electricity")&amp;" conversion efficiency [% LHV input]"</f>
        <v>Electricity conversion efficiency [% LHV input]</v>
      </c>
      <c r="B541" s="46">
        <f>INDEX(parameters!$D$4:$N$20,MATCH(B529&amp;B531,parameters!$A$4:$A$20,0),MATCH(A541,parameters!$D$3:$N$3,0))</f>
        <v>0.39400000000000002</v>
      </c>
    </row>
    <row r="542" spans="1:2" hidden="1" x14ac:dyDescent="0.2">
      <c r="A542" t="str">
        <f>IF(B525="megajoule","LHV [MJ/kg]","LHV [kWh/kg]")</f>
        <v>LHV [kWh/kg]</v>
      </c>
      <c r="B542" s="47">
        <f>INDEX(parameters!$D$4:$N$20,MATCH(B529&amp;B531,parameters!$A$4:$A$20,0),MATCH(A542,parameters!$D$3:$N$3,0))</f>
        <v>33.333333333333336</v>
      </c>
    </row>
    <row r="543" spans="1:2" hidden="1" x14ac:dyDescent="0.2">
      <c r="A543" t="s">
        <v>41</v>
      </c>
      <c r="B543" s="48">
        <f>INDEX(parameters!$D$4:$N$20,MATCH(B529&amp;B531,parameters!$A$4:$A$20,0),MATCH(A543,parameters!$D$3:$N$3,0))</f>
        <v>2.6666666666666665E-2</v>
      </c>
    </row>
    <row r="544" spans="1:2" hidden="1" x14ac:dyDescent="0.2">
      <c r="A544" t="s">
        <v>45</v>
      </c>
      <c r="B544" s="46">
        <f>INDEX(parameters!$D$4:$N$20,MATCH(B529&amp;B531,parameters!$A$4:$A$20,0),MATCH(A544,parameters!$D$3:$N$3,0))</f>
        <v>0</v>
      </c>
    </row>
    <row r="545" spans="1:22" hidden="1" x14ac:dyDescent="0.2">
      <c r="A545" t="s">
        <v>46</v>
      </c>
      <c r="B545" s="46">
        <f>INDEX(parameters!$D$4:$N$20,MATCH(B529&amp;B531,parameters!$A$4:$A$20,0),MATCH(A545,parameters!$D$3:$N$3,0))</f>
        <v>1.4999999999999999E-2</v>
      </c>
    </row>
    <row r="546" spans="1:22" hidden="1" x14ac:dyDescent="0.2">
      <c r="A546" t="s">
        <v>43</v>
      </c>
      <c r="B546" s="46">
        <f>INDEX(parameters!$D$4:$N$20,MATCH(B529&amp;B531,parameters!$A$4:$A$20,0),MATCH(A546,parameters!$D$3:$N$3,0))</f>
        <v>0</v>
      </c>
    </row>
    <row r="547" spans="1:22" hidden="1" x14ac:dyDescent="0.2">
      <c r="A547" t="s">
        <v>44</v>
      </c>
      <c r="B547" s="46">
        <f>INDEX(parameters!$D$4:$N$20,MATCH(B529&amp;B531,parameters!$A$4:$A$20,0),MATCH(A547,parameters!$D$3:$N$3,0))</f>
        <v>0</v>
      </c>
    </row>
    <row r="548" spans="1:22" hidden="1" x14ac:dyDescent="0.2">
      <c r="A548" t="s">
        <v>634</v>
      </c>
      <c r="B548" s="50">
        <f>INDEX(parameters!$D$4:$Y$20,MATCH(B529&amp;B531,parameters!$A$4:$A$20,0),MATCH(A548,parameters!$D$3:$Y$3,0))</f>
        <v>351.41800246609125</v>
      </c>
    </row>
    <row r="549" spans="1:22" hidden="1" x14ac:dyDescent="0.2">
      <c r="A549" t="s">
        <v>82</v>
      </c>
      <c r="B549" s="46">
        <f>IF(B540&lt;&gt;0,VLOOKUP(B540,parameters!A456:B458,2,0),0)</f>
        <v>0</v>
      </c>
    </row>
    <row r="550" spans="1:22" hidden="1" x14ac:dyDescent="0.2">
      <c r="A550" t="s">
        <v>548</v>
      </c>
      <c r="B550" s="50">
        <f>INDEX(parameters!$D$4:$P$20,MATCH(B529&amp;B531,parameters!$A$4:$A$20,0),MATCH(A550,parameters!$D$3:$P$3,0))</f>
        <v>125</v>
      </c>
    </row>
    <row r="551" spans="1:22" hidden="1" x14ac:dyDescent="0.2">
      <c r="A551" t="s">
        <v>547</v>
      </c>
      <c r="B551" s="51">
        <f>INDEX(parameters!$D$4:$P$20,MATCH(B529&amp;B531,parameters!$A$4:$A$20,0),MATCH(A551,parameters!$D$3:$P$3,0))</f>
        <v>19.512195121951219</v>
      </c>
    </row>
    <row r="552" spans="1:22" hidden="1" x14ac:dyDescent="0.2">
      <c r="A552" t="s">
        <v>630</v>
      </c>
      <c r="B552" s="51">
        <f>INDEX(parameters!$D$4:$T$20,MATCH(B529&amp;B531,parameters!$A$4:$A$20,0),MATCH(A552,parameters!$D$3:$T$3,0))</f>
        <v>4100</v>
      </c>
    </row>
    <row r="553" spans="1:22" hidden="1" x14ac:dyDescent="0.2">
      <c r="A553" t="s">
        <v>1005</v>
      </c>
      <c r="B553" s="50">
        <f>IF(B525="megajoule",SUMIFS(allocation!$I$4:$I$30,allocation!$B$4:$B$30,B531,allocation!$C$4:$C$30,B532),SUMIFS(allocation!$J$4:$J$30,allocation!$B$4:$B$30,B531,allocation!$C$4:$C$30,B532))</f>
        <v>0.87139957772704957</v>
      </c>
    </row>
    <row r="554" spans="1:22" hidden="1" x14ac:dyDescent="0.2">
      <c r="A554" t="s">
        <v>1050</v>
      </c>
      <c r="B554" s="51">
        <f>INDEX(parameters!$D$4:$AB$20,MATCH(B529&amp;B531,parameters!$A$4:$A$20,0),MATCH(A554,parameters!$D$3:$AB$3,0))</f>
        <v>2220.7364520822662</v>
      </c>
    </row>
    <row r="555" spans="1:22" hidden="1" x14ac:dyDescent="0.2"/>
    <row r="556" spans="1:22" hidden="1" x14ac:dyDescent="0.2">
      <c r="A556" s="3" t="s">
        <v>57</v>
      </c>
    </row>
    <row r="557" spans="1:22" hidden="1" x14ac:dyDescent="0.2">
      <c r="A557" s="2" t="s">
        <v>58</v>
      </c>
      <c r="B557" s="44" t="s">
        <v>59</v>
      </c>
      <c r="C557" s="2" t="s">
        <v>55</v>
      </c>
      <c r="D557" s="2" t="s">
        <v>60</v>
      </c>
      <c r="E557" s="2" t="s">
        <v>52</v>
      </c>
      <c r="F557" s="2" t="s">
        <v>61</v>
      </c>
      <c r="G557" s="2" t="s">
        <v>54</v>
      </c>
      <c r="H557" s="2" t="s">
        <v>87</v>
      </c>
      <c r="I557" s="2" t="s">
        <v>51</v>
      </c>
      <c r="J557" s="2" t="s">
        <v>138</v>
      </c>
      <c r="K557" s="2" t="s">
        <v>136</v>
      </c>
      <c r="L557" s="2" t="s">
        <v>221</v>
      </c>
      <c r="M557" s="2" t="s">
        <v>379</v>
      </c>
      <c r="N557" s="2" t="s">
        <v>1059</v>
      </c>
      <c r="O557" s="2" t="s">
        <v>1060</v>
      </c>
      <c r="P557" s="2" t="s">
        <v>1061</v>
      </c>
      <c r="Q557" s="2" t="s">
        <v>1062</v>
      </c>
      <c r="R557" s="2" t="s">
        <v>1063</v>
      </c>
      <c r="S557" s="2" t="s">
        <v>1064</v>
      </c>
      <c r="T557" s="2" t="s">
        <v>1065</v>
      </c>
      <c r="U557" s="2" t="s">
        <v>380</v>
      </c>
      <c r="V557" s="2" t="s">
        <v>1128</v>
      </c>
    </row>
    <row r="558" spans="1:22" hidden="1" x14ac:dyDescent="0.2">
      <c r="A558" t="str">
        <f>B519</f>
        <v>electricity, residential, by combustion of hydrogen using CHP, allocated by exergy, transported by truck, produced by Steam Methane Reforming using natural gas from Switzerland</v>
      </c>
      <c r="B558" s="45">
        <v>1</v>
      </c>
      <c r="C558" t="str">
        <f>B525</f>
        <v>kilowatt hour</v>
      </c>
      <c r="E558" t="str">
        <f>B522</f>
        <v>CH</v>
      </c>
      <c r="F558" t="s">
        <v>62</v>
      </c>
      <c r="G558" t="str">
        <f>B524</f>
        <v>electricity, from residential heating system</v>
      </c>
      <c r="K558" t="str">
        <f>B519</f>
        <v>electricity, residential, by combustion of hydrogen using CHP, allocated by exergy, transported by truck, produced by Steam Methane Reforming using natural gas from Switzerland</v>
      </c>
    </row>
    <row r="559" spans="1:22" hidden="1" x14ac:dyDescent="0.2">
      <c r="A559" t="str">
        <f>VLOOKUP(J559,'dataset mapping'!$A$4:$E$69,2,0)</f>
        <v>heat and power co-generation unit construction, 160kW electrical, common components for heat+electricity</v>
      </c>
      <c r="B559" s="52">
        <f>(1/(B548*B552*B551))*B553</f>
        <v>3.0995835856870056E-8</v>
      </c>
      <c r="C559" t="str">
        <f>VLOOKUP(J559,'dataset mapping'!$A$4:$E$69,5,0)</f>
        <v>unit</v>
      </c>
      <c r="E559" t="str">
        <f>VLOOKUP(J559,'dataset mapping'!$A$4:$E$69,4,0)</f>
        <v>RER</v>
      </c>
      <c r="F559" t="s">
        <v>86</v>
      </c>
      <c r="G559" t="str">
        <f>VLOOKUP(J559,'dataset mapping'!$A$4:$E$69,3,0)</f>
        <v>heat and power co-generation unit, 160kW electrical, common components for heat+electricity</v>
      </c>
      <c r="H559" t="s">
        <v>88</v>
      </c>
      <c r="J559" t="s">
        <v>145</v>
      </c>
      <c r="K559" t="str">
        <f>B519</f>
        <v>electricity, residential, by combustion of hydrogen using CHP, allocated by exergy, transported by truck, produced by Steam Methane Reforming using natural gas from Switzerland</v>
      </c>
      <c r="L559">
        <f t="shared" ref="L559:L567" si="35">IF(OR(B559&lt;0,B559=0),1,2)</f>
        <v>2</v>
      </c>
      <c r="M559">
        <f t="shared" ref="M559:M567" si="36">IF(L559=2,LN(B559),"")</f>
        <v>-17.28941296868171</v>
      </c>
      <c r="N559">
        <v>1.05</v>
      </c>
      <c r="O559" s="15">
        <v>1.2</v>
      </c>
      <c r="P559">
        <v>1</v>
      </c>
      <c r="Q559">
        <v>1.01</v>
      </c>
      <c r="R559">
        <v>1.2</v>
      </c>
      <c r="S559">
        <v>1.2</v>
      </c>
      <c r="T559">
        <v>3</v>
      </c>
      <c r="U559">
        <f t="shared" ref="U559:U567" si="37">LN(SQRT(EXP(
SQRT(
+POWER(LN(N559),2)
+POWER(LN(O559),2)
+POWER(LN(P559),2)
+POWER(LN(Q559),2)
+POWER(LN(R559),2)
+POWER(LN(S559),2)
+POWER(LN(T559),2)
)
)))</f>
        <v>0.57209088006881903</v>
      </c>
    </row>
    <row r="560" spans="1:22" hidden="1" x14ac:dyDescent="0.2">
      <c r="A560" t="str">
        <f>VLOOKUP(J560,'dataset mapping'!$A$4:$E$69,2,0)</f>
        <v>heat and power co-generation unit construction, 160kW electrical, components for electricity only</v>
      </c>
      <c r="B560" s="52">
        <f>(1/(B548*B552*B551))*B553</f>
        <v>3.0995835856870056E-8</v>
      </c>
      <c r="C560" t="str">
        <f>VLOOKUP(J560,'dataset mapping'!$A$4:$E$69,5,0)</f>
        <v>unit</v>
      </c>
      <c r="E560" t="str">
        <f>VLOOKUP(J560,'dataset mapping'!$A$4:$E$69,4,0)</f>
        <v>RER</v>
      </c>
      <c r="F560" t="s">
        <v>86</v>
      </c>
      <c r="G560" t="str">
        <f>VLOOKUP(J560,'dataset mapping'!$A$4:$E$69,3,0)</f>
        <v>heat and power co-generation unit, 160kW electrical, components for electricity only</v>
      </c>
      <c r="H560" t="s">
        <v>88</v>
      </c>
      <c r="J560" t="s">
        <v>146</v>
      </c>
      <c r="K560" t="str">
        <f>B519</f>
        <v>electricity, residential, by combustion of hydrogen using CHP, allocated by exergy, transported by truck, produced by Steam Methane Reforming using natural gas from Switzerland</v>
      </c>
      <c r="L560">
        <f t="shared" si="35"/>
        <v>2</v>
      </c>
      <c r="M560">
        <f t="shared" si="36"/>
        <v>-17.28941296868171</v>
      </c>
      <c r="N560">
        <v>1.05</v>
      </c>
      <c r="O560" s="15">
        <v>1.2</v>
      </c>
      <c r="P560">
        <v>1</v>
      </c>
      <c r="Q560">
        <v>1.01</v>
      </c>
      <c r="R560">
        <v>1.2</v>
      </c>
      <c r="S560">
        <v>1.2</v>
      </c>
      <c r="T560">
        <v>3</v>
      </c>
      <c r="U560">
        <f t="shared" si="37"/>
        <v>0.57209088006881903</v>
      </c>
    </row>
    <row r="561" spans="1:22" hidden="1" x14ac:dyDescent="0.2">
      <c r="A561" t="str">
        <f>VLOOKUP(J561,'dataset mapping'!$A$4:$E$69,2,0)</f>
        <v>heat and power co-generation unit construction, 160kW electrical, components for heat only</v>
      </c>
      <c r="B561" s="52">
        <f>(1/(B548*B552*B551))*B553</f>
        <v>3.0995835856870056E-8</v>
      </c>
      <c r="C561" t="str">
        <f>VLOOKUP(J561,'dataset mapping'!$A$4:$E$69,5,0)</f>
        <v>unit</v>
      </c>
      <c r="E561" t="str">
        <f>VLOOKUP(J561,'dataset mapping'!$A$4:$E$69,4,0)</f>
        <v>RER</v>
      </c>
      <c r="F561" t="s">
        <v>86</v>
      </c>
      <c r="G561" t="str">
        <f>VLOOKUP(J561,'dataset mapping'!$A$4:$E$69,3,0)</f>
        <v>heat and power co-generation unit, 160kW electrical, components for heat only</v>
      </c>
      <c r="H561" t="s">
        <v>88</v>
      </c>
      <c r="J561" t="s">
        <v>147</v>
      </c>
      <c r="K561" t="str">
        <f>B519</f>
        <v>electricity, residential, by combustion of hydrogen using CHP, allocated by exergy, transported by truck, produced by Steam Methane Reforming using natural gas from Switzerland</v>
      </c>
      <c r="L561">
        <f t="shared" si="35"/>
        <v>2</v>
      </c>
      <c r="M561">
        <f t="shared" si="36"/>
        <v>-17.28941296868171</v>
      </c>
      <c r="N561">
        <v>1.05</v>
      </c>
      <c r="O561" s="15">
        <v>1.2</v>
      </c>
      <c r="P561">
        <v>1</v>
      </c>
      <c r="Q561">
        <v>1.01</v>
      </c>
      <c r="R561">
        <v>1.2</v>
      </c>
      <c r="S561">
        <v>1.2</v>
      </c>
      <c r="T561">
        <v>3</v>
      </c>
      <c r="U561">
        <f t="shared" si="37"/>
        <v>0.57209088006881903</v>
      </c>
    </row>
    <row r="562" spans="1:22" hidden="1" x14ac:dyDescent="0.2">
      <c r="A562" t="s">
        <v>156</v>
      </c>
      <c r="B562" s="52">
        <f>0.00000011366*B553</f>
        <v>9.9043276004456456E-8</v>
      </c>
      <c r="C562" t="s">
        <v>56</v>
      </c>
      <c r="E562" t="s">
        <v>90</v>
      </c>
      <c r="F562" t="s">
        <v>86</v>
      </c>
      <c r="G562" t="s">
        <v>154</v>
      </c>
      <c r="H562" t="s">
        <v>155</v>
      </c>
      <c r="K562" t="str">
        <f>B519</f>
        <v>electricity, residential, by combustion of hydrogen using CHP, allocated by exergy, transported by truck, produced by Steam Methane Reforming using natural gas from Switzerland</v>
      </c>
      <c r="L562">
        <f t="shared" si="35"/>
        <v>2</v>
      </c>
      <c r="M562">
        <f t="shared" si="36"/>
        <v>-16.127708950967754</v>
      </c>
      <c r="N562">
        <v>1.05</v>
      </c>
      <c r="O562" s="15">
        <v>1.2</v>
      </c>
      <c r="P562">
        <v>1</v>
      </c>
      <c r="Q562">
        <v>1.01</v>
      </c>
      <c r="R562">
        <v>1.2</v>
      </c>
      <c r="S562">
        <v>1.2</v>
      </c>
      <c r="T562">
        <v>1.05</v>
      </c>
      <c r="U562">
        <f t="shared" si="37"/>
        <v>0.16169679924070957</v>
      </c>
    </row>
    <row r="563" spans="1:22" hidden="1" x14ac:dyDescent="0.2">
      <c r="A563" t="s">
        <v>157</v>
      </c>
      <c r="B563" s="52">
        <f>0.00000011366*B553*-1</f>
        <v>-9.9043276004456456E-8</v>
      </c>
      <c r="C563" t="s">
        <v>56</v>
      </c>
      <c r="E563" t="s">
        <v>64</v>
      </c>
      <c r="F563" t="s">
        <v>86</v>
      </c>
      <c r="G563" t="s">
        <v>158</v>
      </c>
      <c r="H563" t="s">
        <v>155</v>
      </c>
      <c r="K563" t="str">
        <f>B519</f>
        <v>electricity, residential, by combustion of hydrogen using CHP, allocated by exergy, transported by truck, produced by Steam Methane Reforming using natural gas from Switzerland</v>
      </c>
      <c r="L563">
        <v>2</v>
      </c>
      <c r="M563">
        <f>IF(L563=2,LN(B563*-1),"")</f>
        <v>-16.127708950967754</v>
      </c>
      <c r="N563">
        <v>1.05</v>
      </c>
      <c r="O563" s="15">
        <v>1.2</v>
      </c>
      <c r="P563">
        <v>1</v>
      </c>
      <c r="Q563">
        <v>1.01</v>
      </c>
      <c r="R563">
        <v>1.2</v>
      </c>
      <c r="S563">
        <v>1.2</v>
      </c>
      <c r="T563">
        <v>3</v>
      </c>
      <c r="U563">
        <f>LN(SQRT(EXP(
SQRT(
+POWER(LN(N563),2)
+POWER(LN(O563),2)
+POWER(LN(P563),2)
+POWER(LN(Q563),2)
+POWER(LN(R563),2)
+POWER(LN(S563),2)
+POWER(LN(T563),2)
)
)))</f>
        <v>0.57209088006881903</v>
      </c>
      <c r="V563" t="b">
        <v>1</v>
      </c>
    </row>
    <row r="564" spans="1:22" hidden="1" x14ac:dyDescent="0.2">
      <c r="A564" s="45" t="str">
        <f>"hydrogen supply, transported by "&amp;B533&amp;", produced by "&amp;B537&amp;" using "&amp;B538&amp;" from "&amp;B539</f>
        <v>hydrogen supply, transported by truck, produced by Steam Methane Reforming using natural gas from Switzerland</v>
      </c>
      <c r="B564" s="53">
        <f>(B558/B542)/B541*B553</f>
        <v>6.6350221654343872E-2</v>
      </c>
      <c r="C564" t="s">
        <v>56</v>
      </c>
      <c r="E564" t="s">
        <v>64</v>
      </c>
      <c r="F564" t="s">
        <v>86</v>
      </c>
      <c r="G564" t="s">
        <v>1137</v>
      </c>
      <c r="H564" t="s">
        <v>76</v>
      </c>
      <c r="I564" t="s">
        <v>1054</v>
      </c>
      <c r="J564" t="s">
        <v>305</v>
      </c>
      <c r="K564" t="str">
        <f>B519</f>
        <v>electricity, residential, by combustion of hydrogen using CHP, allocated by exergy, transported by truck, produced by Steam Methane Reforming using natural gas from Switzerland</v>
      </c>
      <c r="L564">
        <f t="shared" si="35"/>
        <v>2</v>
      </c>
      <c r="M564">
        <f t="shared" si="36"/>
        <v>-2.7128081775260964</v>
      </c>
      <c r="N564">
        <v>1.05</v>
      </c>
      <c r="O564" s="15">
        <v>1.2</v>
      </c>
      <c r="P564">
        <v>1</v>
      </c>
      <c r="Q564">
        <v>1.01</v>
      </c>
      <c r="R564">
        <v>1.2</v>
      </c>
      <c r="S564">
        <v>1.2</v>
      </c>
      <c r="T564">
        <v>1.05</v>
      </c>
      <c r="U564">
        <f t="shared" si="37"/>
        <v>0.16169679924070957</v>
      </c>
    </row>
    <row r="565" spans="1:22" hidden="1" x14ac:dyDescent="0.2">
      <c r="A565" t="str">
        <f>VLOOKUP(J565,'dataset mapping'!$A$4:$E$69,2,0)</f>
        <v>high pressure hydrogen storage tank</v>
      </c>
      <c r="B565" s="52">
        <f>((B554/10)/(B552*B548*20))*IF(B553&lt;&gt;0,B553,1)</f>
        <v>6.7154714683034044E-6</v>
      </c>
      <c r="C565" t="str">
        <f>VLOOKUP(J565,'dataset mapping'!$A$4:$E$69,5,0)</f>
        <v>kilogram</v>
      </c>
      <c r="E565" t="str">
        <f>VLOOKUP(J565,'dataset mapping'!$A$4:$E$69,4,0)</f>
        <v>GLO</v>
      </c>
      <c r="F565" t="s">
        <v>86</v>
      </c>
      <c r="G565" t="str">
        <f>VLOOKUP(J565,'dataset mapping'!$A$4:$E$69,3,0)</f>
        <v>high pressure hydrogen storage tank</v>
      </c>
      <c r="H565" t="s">
        <v>88</v>
      </c>
      <c r="I565" t="s">
        <v>279</v>
      </c>
      <c r="J565" t="s">
        <v>229</v>
      </c>
      <c r="K565" t="str">
        <f>B519</f>
        <v>electricity, residential, by combustion of hydrogen using CHP, allocated by exergy, transported by truck, produced by Steam Methane Reforming using natural gas from Switzerland</v>
      </c>
      <c r="L565">
        <f t="shared" si="35"/>
        <v>2</v>
      </c>
      <c r="M565">
        <f t="shared" si="36"/>
        <v>-11.911096519239557</v>
      </c>
      <c r="N565">
        <v>1.05</v>
      </c>
      <c r="O565" s="15">
        <v>1.2</v>
      </c>
      <c r="P565">
        <v>1</v>
      </c>
      <c r="Q565">
        <v>1.01</v>
      </c>
      <c r="R565">
        <v>1.2</v>
      </c>
      <c r="S565">
        <v>1.2</v>
      </c>
      <c r="T565">
        <v>3</v>
      </c>
      <c r="U565">
        <f t="shared" si="37"/>
        <v>0.57209088006881903</v>
      </c>
    </row>
    <row r="566" spans="1:22" hidden="1" x14ac:dyDescent="0.2">
      <c r="A566" t="s">
        <v>134</v>
      </c>
      <c r="B566" s="45">
        <f>B564*9</f>
        <v>0.59715199488909487</v>
      </c>
      <c r="C566" t="s">
        <v>56</v>
      </c>
      <c r="D566" t="s">
        <v>100</v>
      </c>
      <c r="F566" t="s">
        <v>99</v>
      </c>
      <c r="H566" t="s">
        <v>131</v>
      </c>
      <c r="I566" t="s">
        <v>1058</v>
      </c>
      <c r="K566" t="str">
        <f>B519</f>
        <v>electricity, residential, by combustion of hydrogen using CHP, allocated by exergy, transported by truck, produced by Steam Methane Reforming using natural gas from Switzerland</v>
      </c>
      <c r="L566">
        <f t="shared" si="35"/>
        <v>2</v>
      </c>
      <c r="M566">
        <f t="shared" si="36"/>
        <v>-0.51558360018987692</v>
      </c>
      <c r="N566">
        <v>1.05</v>
      </c>
      <c r="O566" s="15">
        <v>1.2</v>
      </c>
      <c r="P566">
        <v>1</v>
      </c>
      <c r="Q566">
        <v>1.01</v>
      </c>
      <c r="R566">
        <v>1.2</v>
      </c>
      <c r="S566">
        <v>1.2</v>
      </c>
      <c r="T566">
        <v>1.05</v>
      </c>
      <c r="U566">
        <f t="shared" si="37"/>
        <v>0.16169679924070957</v>
      </c>
    </row>
    <row r="567" spans="1:22" hidden="1" x14ac:dyDescent="0.2">
      <c r="A567" t="s">
        <v>135</v>
      </c>
      <c r="B567" s="45">
        <f>912.5/1000000*B564</f>
        <v>6.0544577259588785E-5</v>
      </c>
      <c r="C567" t="s">
        <v>56</v>
      </c>
      <c r="D567" t="s">
        <v>100</v>
      </c>
      <c r="F567" t="s">
        <v>99</v>
      </c>
      <c r="H567" t="s">
        <v>131</v>
      </c>
      <c r="I567" t="s">
        <v>1217</v>
      </c>
      <c r="K567" t="str">
        <f>B519</f>
        <v>electricity, residential, by combustion of hydrogen using CHP, allocated by exergy, transported by truck, produced by Steam Methane Reforming using natural gas from Switzerland</v>
      </c>
      <c r="L567">
        <f t="shared" si="35"/>
        <v>2</v>
      </c>
      <c r="M567">
        <f t="shared" si="36"/>
        <v>-9.712130650033723</v>
      </c>
      <c r="N567">
        <v>1.05</v>
      </c>
      <c r="O567" s="15">
        <v>1.2</v>
      </c>
      <c r="P567">
        <v>1</v>
      </c>
      <c r="Q567">
        <v>1.01</v>
      </c>
      <c r="R567">
        <v>1.2</v>
      </c>
      <c r="S567">
        <v>1.2</v>
      </c>
      <c r="T567">
        <v>1.5</v>
      </c>
      <c r="U567">
        <f t="shared" si="37"/>
        <v>0.25816898211842121</v>
      </c>
    </row>
    <row r="568" spans="1:22" hidden="1" x14ac:dyDescent="0.2"/>
    <row r="569" spans="1:22" hidden="1" x14ac:dyDescent="0.2">
      <c r="A569" s="2" t="s">
        <v>50</v>
      </c>
      <c r="B569" s="44" t="str">
        <f>IF(B575="megajoule","heat","electricity")&amp;", residential, by "&amp;B580&amp;" of "&amp;B579&amp;" using "&amp;B581&amp;IF(B582&lt;&gt;0,", allocated by "&amp;B582,"")&amp;", transported by "&amp;B583&amp;", produced by "&amp;B587&amp;" using "&amp;B588&amp;" from "&amp;B589</f>
        <v>electricity, residential, by conversion of hydrogen using fuel cell, PEM, allocated by exergy, transported by truck, produced by Steam Methane Reforming using natural gas from Switzerland</v>
      </c>
    </row>
    <row r="570" spans="1:22" hidden="1" x14ac:dyDescent="0.2">
      <c r="A570" t="s">
        <v>51</v>
      </c>
      <c r="B570" s="45" t="str">
        <f>"This dataset represents the supply of 1 "&amp;IF(B575="megajoule","megajoule of heat","kilowatt hour of electricity")&amp;" in a residence, by "&amp;B579&amp;" "&amp;B580&amp;" in a "&amp;B581&amp;". "&amp;" The hydrogen is transported by "&amp;B583&amp;" over "&amp;B584&amp;" km from regional storage. "&amp;" The "&amp;B579&amp;" is produced by  "&amp;B587&amp;", with "&amp;B588&amp;" from "&amp;B589&amp;" as feedstock. "&amp;A591&amp;": "&amp;(B591*100)&amp;"%. "&amp;A592&amp;": "&amp;B592&amp;". "&amp;A593&amp;": "&amp;B593&amp;". "&amp;A594&amp;": "&amp;(B594*100)&amp;"%. "&amp;A595&amp;": "&amp;(B595*100)&amp;"%. "&amp;A596&amp;": "&amp;(B596*100)&amp;"%. "&amp;A597&amp;": "&amp;B597&amp;". "&amp;A598&amp;": "&amp;B598&amp;". "&amp;A599&amp;": "&amp;(B599*100)&amp;"%. "&amp;A600&amp;": "&amp;B600&amp;". "&amp;A601&amp;": "&amp;B601&amp;". "&amp;A602&amp;": "&amp;B602&amp;". "&amp;A603&amp;": "&amp;B603&amp;".  For more information, refer to: "&amp;B571</f>
        <v>This dataset represents the supply of 1 kilowatt hour of electricity in a residence, by hydrogen conversion in a fuel cell, PEM.  The hydrogen is transported by truck over 200 km from regional storage.  The hydrogen is produced by  Steam Methane Reforming,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571" spans="1:22" hidden="1" x14ac:dyDescent="0.2">
      <c r="A571" t="s">
        <v>63</v>
      </c>
      <c r="B571" s="45" t="s">
        <v>660</v>
      </c>
    </row>
    <row r="572" spans="1:22" hidden="1" x14ac:dyDescent="0.2">
      <c r="A572" t="s">
        <v>52</v>
      </c>
      <c r="B572" s="45" t="s">
        <v>64</v>
      </c>
    </row>
    <row r="573" spans="1:22" hidden="1" x14ac:dyDescent="0.2">
      <c r="A573" t="s">
        <v>48</v>
      </c>
      <c r="B573" s="45" t="s">
        <v>959</v>
      </c>
    </row>
    <row r="574" spans="1:22" hidden="1" x14ac:dyDescent="0.2">
      <c r="A574" t="s">
        <v>54</v>
      </c>
      <c r="B574" s="45" t="str">
        <f>INDEX(overview!$B$4:$R$338,MATCH(B573,overview!$A$4:$A$338,0),MATCH(A574,overview!$B$3:$R$3,0))</f>
        <v>electricity, from residential heating system</v>
      </c>
    </row>
    <row r="575" spans="1:22" hidden="1" x14ac:dyDescent="0.2">
      <c r="A575" t="s">
        <v>55</v>
      </c>
      <c r="B575" s="45" t="str">
        <f>INDEX(overview!$B$4:$R$338,MATCH(B573,overview!$A$4:$A$338,0),MATCH(A575,overview!$B$3:$R$3,0))</f>
        <v>kilowatt hour</v>
      </c>
    </row>
    <row r="576" spans="1:22" hidden="1" x14ac:dyDescent="0.2">
      <c r="A576" t="s">
        <v>0</v>
      </c>
      <c r="B576" s="45" t="str">
        <f>INDEX(overview!$B$4:$R$338,MATCH(B573,overview!$A$4:$A$338,0),MATCH(A576,overview!$B$3:$R$3,0))</f>
        <v>Switzerland</v>
      </c>
    </row>
    <row r="577" spans="1:2" hidden="1" x14ac:dyDescent="0.2">
      <c r="A577" t="s">
        <v>1</v>
      </c>
      <c r="B577" s="45">
        <f>INDEX(overview!$B$4:$R$338,MATCH(B573,overview!$A$4:$A$338,0),MATCH(A577,overview!$B$3:$R$3,0))</f>
        <v>2020</v>
      </c>
    </row>
    <row r="578" spans="1:2" hidden="1" x14ac:dyDescent="0.2">
      <c r="A578" t="s">
        <v>2</v>
      </c>
      <c r="B578" s="45" t="str">
        <f>INDEX(overview!$B$4:$R$338,MATCH(B573,overview!$A$4:$A$338,0),MATCH(A578,overview!$B$3:$R$3,0))</f>
        <v>1 kWh electricity</v>
      </c>
    </row>
    <row r="579" spans="1:2" hidden="1" x14ac:dyDescent="0.2">
      <c r="A579" t="s">
        <v>5</v>
      </c>
      <c r="B579" s="45" t="str">
        <f>INDEX(overview!$B$4:$R$338,MATCH(B573,overview!$A$4:$A$338,0),MATCH(A579,overview!$B$3:$R$3,0))</f>
        <v>hydrogen</v>
      </c>
    </row>
    <row r="580" spans="1:2" hidden="1" x14ac:dyDescent="0.2">
      <c r="A580" t="s">
        <v>3</v>
      </c>
      <c r="B580" s="45" t="str">
        <f>INDEX(overview!$B$4:$R$338,MATCH(B573,overview!$A$4:$A$338,0),MATCH(A580,overview!$B$3:$R$3,0))</f>
        <v>conversion</v>
      </c>
    </row>
    <row r="581" spans="1:2" hidden="1" x14ac:dyDescent="0.2">
      <c r="A581" t="s">
        <v>6</v>
      </c>
      <c r="B581" s="45" t="str">
        <f>INDEX(overview!$B$4:$R$338,MATCH(B573,overview!$A$4:$A$338,0),MATCH(A581,overview!$B$3:$R$3,0))</f>
        <v>fuel cell, PEM</v>
      </c>
    </row>
    <row r="582" spans="1:2" hidden="1" x14ac:dyDescent="0.2">
      <c r="A582" t="s">
        <v>39</v>
      </c>
      <c r="B582" s="45" t="str">
        <f>INDEX(overview!$B$4:$R$338,MATCH(B573,overview!$A$4:$A$338,0),MATCH(A582,overview!$B$3:$R$3,0))</f>
        <v>exergy</v>
      </c>
    </row>
    <row r="583" spans="1:2" hidden="1" x14ac:dyDescent="0.2">
      <c r="A583" t="s">
        <v>4</v>
      </c>
      <c r="B583" s="45" t="str">
        <f>INDEX(overview!$B$4:$R$338,MATCH(B573,overview!$A$4:$A$338,0),MATCH(A583,overview!$B$3:$R$3,0))</f>
        <v>truck</v>
      </c>
    </row>
    <row r="584" spans="1:2" hidden="1" x14ac:dyDescent="0.2">
      <c r="A584" t="s">
        <v>38</v>
      </c>
      <c r="B584" s="45">
        <f>INDEX(overview!$B$4:$R$338,MATCH(B573,overview!$A$4:$A$338,0),MATCH(A584,overview!$B$3:$R$3,0))</f>
        <v>200</v>
      </c>
    </row>
    <row r="585" spans="1:2" hidden="1" x14ac:dyDescent="0.2">
      <c r="A585" t="s">
        <v>12</v>
      </c>
      <c r="B585" s="45" t="str">
        <f>INDEX(overview!$B$4:$R$338,MATCH(B573,overview!$A$4:$A$338,0),MATCH(A585,overview!$B$3:$R$3,0))</f>
        <v>Pressure vessel for stationary storage</v>
      </c>
    </row>
    <row r="586" spans="1:2" hidden="1" x14ac:dyDescent="0.2">
      <c r="A586" t="s">
        <v>34</v>
      </c>
      <c r="B586" s="45">
        <f>INDEX(overview!$B$4:$R$338,MATCH(B573,overview!$A$4:$A$338,0),MATCH(A586,overview!$B$3:$R$3,0))</f>
        <v>0</v>
      </c>
    </row>
    <row r="587" spans="1:2" hidden="1" x14ac:dyDescent="0.2">
      <c r="A587" t="s">
        <v>15</v>
      </c>
      <c r="B587" s="45" t="str">
        <f>INDEX(overview!$B$4:$R$338,MATCH(B573,overview!$A$4:$A$338,0),MATCH(A587,overview!$B$3:$R$3,0))</f>
        <v>Steam Methane Reforming</v>
      </c>
    </row>
    <row r="588" spans="1:2" hidden="1" x14ac:dyDescent="0.2">
      <c r="A588" t="s">
        <v>14</v>
      </c>
      <c r="B588" s="45" t="str">
        <f>INDEX(overview!$B$4:$R$338,MATCH(B573,overview!$A$4:$A$338,0),MATCH(A588,overview!$B$3:$R$3,0))</f>
        <v>natural gas</v>
      </c>
    </row>
    <row r="589" spans="1:2" hidden="1" x14ac:dyDescent="0.2">
      <c r="A589" t="s">
        <v>26</v>
      </c>
      <c r="B589" s="45" t="str">
        <f>INDEX(overview!$B$4:$R$338,MATCH(B573,overview!$A$4:$A$338,0),MATCH(A589,overview!$B$3:$R$3,0))</f>
        <v>Switzerland</v>
      </c>
    </row>
    <row r="590" spans="1:2" hidden="1" x14ac:dyDescent="0.2">
      <c r="A590" t="s">
        <v>29</v>
      </c>
      <c r="B590" s="45">
        <f>INDEX(overview!$B$4:$R$338,MATCH(B573,overview!$A$4:$A$338,0),MATCH(A590,overview!$B$3:$R$3,0))</f>
        <v>0</v>
      </c>
    </row>
    <row r="591" spans="1:2" hidden="1" x14ac:dyDescent="0.2">
      <c r="A591" t="str">
        <f>IF(B575="megajoule","Heat","Electricity")&amp;" conversion efficiency [% LHV input]"</f>
        <v>Electricity conversion efficiency [% LHV input]</v>
      </c>
      <c r="B591" s="46">
        <f>INDEX(parameters!$D$4:$N$20,MATCH(B579&amp;B581,parameters!$A$4:$A$20,0),MATCH(A591,parameters!$D$3:$N$3,0))</f>
        <v>0.45</v>
      </c>
    </row>
    <row r="592" spans="1:2" hidden="1" x14ac:dyDescent="0.2">
      <c r="A592" t="str">
        <f>IF(B575="megajoule","LHV [MJ/kg]","LHV [kWh/kg]")</f>
        <v>LHV [kWh/kg]</v>
      </c>
      <c r="B592" s="47">
        <f>INDEX(parameters!$D$4:$N$20,MATCH(B579&amp;B581,parameters!$A$4:$A$20,0),MATCH(A592,parameters!$D$3:$N$3,0))</f>
        <v>33.333333333333336</v>
      </c>
    </row>
    <row r="593" spans="1:22" hidden="1" x14ac:dyDescent="0.2">
      <c r="A593" t="s">
        <v>41</v>
      </c>
      <c r="B593" s="48">
        <f>INDEX(parameters!$D$4:$N$20,MATCH(B579&amp;B581,parameters!$A$4:$A$20,0),MATCH(A593,parameters!$D$3:$N$3,0))</f>
        <v>2.6666666666666665E-2</v>
      </c>
    </row>
    <row r="594" spans="1:22" hidden="1" x14ac:dyDescent="0.2">
      <c r="A594" t="s">
        <v>45</v>
      </c>
      <c r="B594" s="46">
        <f>INDEX(parameters!$D$4:$N$20,MATCH(B579&amp;B581,parameters!$A$4:$A$20,0),MATCH(A594,parameters!$D$3:$N$3,0))</f>
        <v>0</v>
      </c>
    </row>
    <row r="595" spans="1:22" hidden="1" x14ac:dyDescent="0.2">
      <c r="A595" t="s">
        <v>46</v>
      </c>
      <c r="B595" s="46">
        <f>INDEX(parameters!$D$4:$N$20,MATCH(B579&amp;B581,parameters!$A$4:$A$20,0),MATCH(A595,parameters!$D$3:$N$3,0))</f>
        <v>1.4999999999999999E-2</v>
      </c>
    </row>
    <row r="596" spans="1:22" hidden="1" x14ac:dyDescent="0.2">
      <c r="A596" t="s">
        <v>43</v>
      </c>
      <c r="B596" s="46">
        <f>INDEX(parameters!$D$4:$N$20,MATCH(B579&amp;B581,parameters!$A$4:$A$20,0),MATCH(A596,parameters!$D$3:$N$3,0))</f>
        <v>0</v>
      </c>
    </row>
    <row r="597" spans="1:22" hidden="1" x14ac:dyDescent="0.2">
      <c r="A597" t="s">
        <v>44</v>
      </c>
      <c r="B597" s="46">
        <f>INDEX(parameters!$D$4:$N$20,MATCH(B579&amp;B581,parameters!$A$4:$A$20,0),MATCH(A597,parameters!$D$3:$N$3,0))</f>
        <v>0</v>
      </c>
    </row>
    <row r="598" spans="1:22" hidden="1" x14ac:dyDescent="0.2">
      <c r="A598" t="s">
        <v>634</v>
      </c>
      <c r="B598" s="50">
        <f>INDEX(parameters!$D$4:$Y$20,MATCH(B579&amp;B581,parameters!$A$4:$A$20,0),MATCH(A598,parameters!$D$3:$Y$3,0))</f>
        <v>1.8947368421052633</v>
      </c>
    </row>
    <row r="599" spans="1:22" hidden="1" x14ac:dyDescent="0.2">
      <c r="A599" t="s">
        <v>82</v>
      </c>
      <c r="B599" s="46">
        <f>IF(B590&lt;&gt;0,VLOOKUP(B590,parameters!A509:B511,2,0),0)</f>
        <v>0</v>
      </c>
    </row>
    <row r="600" spans="1:22" hidden="1" x14ac:dyDescent="0.2">
      <c r="A600" t="s">
        <v>548</v>
      </c>
      <c r="B600" s="50">
        <f>INDEX(parameters!$D$4:$P$20,MATCH(B579&amp;B581,parameters!$A$4:$A$20,0),MATCH(A600,parameters!$D$3:$P$3,0))</f>
        <v>0.8</v>
      </c>
    </row>
    <row r="601" spans="1:22" hidden="1" x14ac:dyDescent="0.2">
      <c r="A601" t="s">
        <v>547</v>
      </c>
      <c r="B601" s="51">
        <f>INDEX(parameters!$D$4:$P$20,MATCH(B579&amp;B581,parameters!$A$4:$A$20,0),MATCH(A601,parameters!$D$3:$P$3,0))</f>
        <v>4.8780487804878048</v>
      </c>
    </row>
    <row r="602" spans="1:22" hidden="1" x14ac:dyDescent="0.2">
      <c r="A602" t="s">
        <v>630</v>
      </c>
      <c r="B602" s="51">
        <f>INDEX(parameters!$D$4:$T$20,MATCH(B579&amp;B581,parameters!$A$4:$A$20,0),MATCH(A602,parameters!$D$3:$T$3,0))</f>
        <v>4100</v>
      </c>
    </row>
    <row r="603" spans="1:22" hidden="1" x14ac:dyDescent="0.2">
      <c r="A603" t="s">
        <v>1005</v>
      </c>
      <c r="B603" s="50">
        <f>IF(B575="megajoule",SUMIFS(allocation!$I$4:$I$30,allocation!$B$4:$B$30,B581,allocation!$C$4:$C$30,B582),SUMIFS(allocation!$J$4:$J$30,allocation!$B$4:$B$30,B581,allocation!$C$4:$C$30,B582))</f>
        <v>0.86066019201025545</v>
      </c>
    </row>
    <row r="604" spans="1:22" hidden="1" x14ac:dyDescent="0.2">
      <c r="A604" t="s">
        <v>1050</v>
      </c>
      <c r="B604" s="51">
        <f>INDEX(parameters!$D$4:$AB$20,MATCH(B579&amp;B581,parameters!$A$4:$A$20,0),MATCH(A604,parameters!$D$3:$AB$3,0))</f>
        <v>10.221606648199446</v>
      </c>
    </row>
    <row r="605" spans="1:22" hidden="1" x14ac:dyDescent="0.2"/>
    <row r="606" spans="1:22" hidden="1" x14ac:dyDescent="0.2">
      <c r="A606" s="3" t="s">
        <v>57</v>
      </c>
    </row>
    <row r="607" spans="1:22" hidden="1" x14ac:dyDescent="0.2">
      <c r="A607" s="2" t="s">
        <v>58</v>
      </c>
      <c r="B607" s="44" t="s">
        <v>59</v>
      </c>
      <c r="C607" s="2" t="s">
        <v>55</v>
      </c>
      <c r="D607" s="2" t="s">
        <v>60</v>
      </c>
      <c r="E607" s="2" t="s">
        <v>52</v>
      </c>
      <c r="F607" s="2" t="s">
        <v>61</v>
      </c>
      <c r="G607" s="2" t="s">
        <v>54</v>
      </c>
      <c r="H607" s="2" t="s">
        <v>87</v>
      </c>
      <c r="I607" s="2" t="s">
        <v>51</v>
      </c>
      <c r="J607" s="2" t="s">
        <v>138</v>
      </c>
      <c r="K607" s="2" t="s">
        <v>136</v>
      </c>
      <c r="L607" s="2" t="s">
        <v>221</v>
      </c>
      <c r="M607" s="2" t="s">
        <v>379</v>
      </c>
      <c r="N607" s="2" t="s">
        <v>1059</v>
      </c>
      <c r="O607" s="2" t="s">
        <v>1060</v>
      </c>
      <c r="P607" s="2" t="s">
        <v>1061</v>
      </c>
      <c r="Q607" s="2" t="s">
        <v>1062</v>
      </c>
      <c r="R607" s="2" t="s">
        <v>1063</v>
      </c>
      <c r="S607" s="2" t="s">
        <v>1064</v>
      </c>
      <c r="T607" s="2" t="s">
        <v>1065</v>
      </c>
      <c r="U607" s="2" t="s">
        <v>380</v>
      </c>
      <c r="V607" s="2" t="s">
        <v>1128</v>
      </c>
    </row>
    <row r="608" spans="1:22" x14ac:dyDescent="0.2">
      <c r="A608" t="str">
        <f>B569</f>
        <v>electricity, residential, by conversion of hydrogen using fuel cell, PEM, allocated by exergy, transported by truck, produced by Steam Methane Reforming using natural gas from Switzerland</v>
      </c>
      <c r="B608" s="45">
        <v>1</v>
      </c>
      <c r="C608" t="str">
        <f>B575</f>
        <v>kilowatt hour</v>
      </c>
      <c r="E608" t="str">
        <f>B572</f>
        <v>CH</v>
      </c>
      <c r="F608" t="s">
        <v>62</v>
      </c>
      <c r="G608" t="str">
        <f>B574</f>
        <v>electricity, from residential heating system</v>
      </c>
      <c r="K608" t="str">
        <f>B569</f>
        <v>electricity, residential, by conversion of hydrogen using fuel cell, PEM, allocated by exergy, transported by truck, produced by Steam Methane Reforming using natural gas from Switzerland</v>
      </c>
    </row>
    <row r="609" spans="1:21" hidden="1" x14ac:dyDescent="0.2">
      <c r="A609" t="str">
        <f>VLOOKUP(J609,'dataset mapping'!$A$4:$E$69,2,0)</f>
        <v>fuel cell system assembly, 1 kWe, proton exchange membrane (PEM)</v>
      </c>
      <c r="B609" s="52">
        <f>(1/(B598*B602*B601))*B603</f>
        <v>2.2711866178048405E-5</v>
      </c>
      <c r="C609" t="str">
        <f>VLOOKUP(J609,'dataset mapping'!$A$4:$E$69,5,0)</f>
        <v>unit</v>
      </c>
      <c r="E609" t="str">
        <f>VLOOKUP(J609,'dataset mapping'!$A$4:$E$69,4,0)</f>
        <v>GLO</v>
      </c>
      <c r="F609" t="s">
        <v>86</v>
      </c>
      <c r="G609" t="str">
        <f>VLOOKUP(J609,'dataset mapping'!$A$4:$E$69,3,0)</f>
        <v>fuel cell system, 1 kWe, proton exchange membrane (PEM)</v>
      </c>
      <c r="H609" t="s">
        <v>88</v>
      </c>
      <c r="I609" t="s">
        <v>272</v>
      </c>
      <c r="J609" t="s">
        <v>273</v>
      </c>
      <c r="K609" t="str">
        <f>B569</f>
        <v>electricity, residential, by conversion of hydrogen using fuel cell, PEM, allocated by exergy, transported by truck, produced by Steam Methane Reforming using natural gas from Switzerland</v>
      </c>
      <c r="L609">
        <f t="shared" ref="L609:L612" si="38">IF(OR(B609&lt;0,B609=0),1,2)</f>
        <v>2</v>
      </c>
      <c r="M609">
        <f t="shared" ref="M609:M612" si="39">IF(L609=2,LN(B609),"")</f>
        <v>-10.692623030936341</v>
      </c>
      <c r="N609">
        <v>1</v>
      </c>
      <c r="O609" s="15">
        <v>1.2</v>
      </c>
      <c r="P609">
        <v>1</v>
      </c>
      <c r="Q609">
        <v>1.01</v>
      </c>
      <c r="R609">
        <v>1.2</v>
      </c>
      <c r="S609">
        <v>1.2</v>
      </c>
      <c r="T609">
        <v>3</v>
      </c>
      <c r="U609">
        <f t="shared" ref="U609:U612" si="40">LN(SQRT(EXP(
SQRT(
+POWER(LN(N609),2)
+POWER(LN(O609),2)
+POWER(LN(P609),2)
+POWER(LN(Q609),2)
+POWER(LN(R609),2)
+POWER(LN(S609),2)
+POWER(LN(T609),2)
)
)))</f>
        <v>0.57157051623399524</v>
      </c>
    </row>
    <row r="610" spans="1:21" hidden="1" x14ac:dyDescent="0.2">
      <c r="A610" s="45" t="str">
        <f>"hydrogen supply, transported by "&amp;B583&amp;", produced by "&amp;B587&amp;" using "&amp;B588&amp;" from "&amp;B589</f>
        <v>hydrogen supply, transported by truck, produced by Steam Methane Reforming using natural gas from Switzerland</v>
      </c>
      <c r="B610" s="53">
        <f>(B608/B592)/B591*B603</f>
        <v>5.7377346134017029E-2</v>
      </c>
      <c r="C610" t="s">
        <v>56</v>
      </c>
      <c r="E610" t="s">
        <v>64</v>
      </c>
      <c r="F610" t="s">
        <v>86</v>
      </c>
      <c r="G610" t="s">
        <v>1137</v>
      </c>
      <c r="H610" t="s">
        <v>76</v>
      </c>
      <c r="I610" t="s">
        <v>1054</v>
      </c>
      <c r="J610" t="s">
        <v>305</v>
      </c>
      <c r="K610" t="str">
        <f>B569</f>
        <v>electricity, residential, by conversion of hydrogen using fuel cell, PEM, allocated by exergy, transported by truck, produced by Steam Methane Reforming using natural gas from Switzerland</v>
      </c>
      <c r="L610">
        <f t="shared" si="38"/>
        <v>2</v>
      </c>
      <c r="M610">
        <f t="shared" si="39"/>
        <v>-2.8581057202127536</v>
      </c>
      <c r="N610">
        <v>1</v>
      </c>
      <c r="O610" s="15">
        <v>1.2</v>
      </c>
      <c r="P610">
        <v>1</v>
      </c>
      <c r="Q610">
        <v>1.01</v>
      </c>
      <c r="R610">
        <v>1.2</v>
      </c>
      <c r="S610">
        <v>1.2</v>
      </c>
      <c r="T610">
        <v>1.05</v>
      </c>
      <c r="U610">
        <f t="shared" si="40"/>
        <v>0.15984597228197622</v>
      </c>
    </row>
    <row r="611" spans="1:21" hidden="1" x14ac:dyDescent="0.2">
      <c r="A611" t="str">
        <f>VLOOKUP(J611,'dataset mapping'!$A$4:$E$69,2,0)</f>
        <v>high pressure hydrogen storage tank</v>
      </c>
      <c r="B611" s="52">
        <f>((B604/10)/(B602*B598*20))*IF(B603&lt;&gt;0,B603,1)</f>
        <v>5.6622381053306285E-6</v>
      </c>
      <c r="C611" t="str">
        <f>VLOOKUP(J611,'dataset mapping'!$A$4:$E$69,5,0)</f>
        <v>kilogram</v>
      </c>
      <c r="E611" t="str">
        <f>VLOOKUP(J611,'dataset mapping'!$A$4:$E$69,4,0)</f>
        <v>GLO</v>
      </c>
      <c r="F611" t="s">
        <v>86</v>
      </c>
      <c r="G611" t="str">
        <f>VLOOKUP(J611,'dataset mapping'!$A$4:$E$69,3,0)</f>
        <v>high pressure hydrogen storage tank</v>
      </c>
      <c r="H611" t="s">
        <v>88</v>
      </c>
      <c r="I611" t="s">
        <v>280</v>
      </c>
      <c r="J611" t="s">
        <v>229</v>
      </c>
      <c r="K611" t="str">
        <f>B569</f>
        <v>electricity, residential, by conversion of hydrogen using fuel cell, PEM, allocated by exergy, transported by truck, produced by Steam Methane Reforming using natural gas from Switzerland</v>
      </c>
      <c r="L611">
        <f t="shared" si="38"/>
        <v>2</v>
      </c>
      <c r="M611">
        <f t="shared" si="39"/>
        <v>-12.081691318938956</v>
      </c>
      <c r="N611">
        <v>1</v>
      </c>
      <c r="O611" s="15">
        <v>1.2</v>
      </c>
      <c r="P611">
        <v>1</v>
      </c>
      <c r="Q611">
        <v>1.01</v>
      </c>
      <c r="R611">
        <v>1.2</v>
      </c>
      <c r="S611">
        <v>1.2</v>
      </c>
      <c r="T611">
        <v>3</v>
      </c>
      <c r="U611">
        <f t="shared" si="40"/>
        <v>0.57157051623399524</v>
      </c>
    </row>
    <row r="612" spans="1:21" hidden="1" x14ac:dyDescent="0.2">
      <c r="A612" t="s">
        <v>134</v>
      </c>
      <c r="B612" s="45">
        <f>B610*9</f>
        <v>0.51639611520615325</v>
      </c>
      <c r="C612" t="s">
        <v>56</v>
      </c>
      <c r="D612" t="s">
        <v>100</v>
      </c>
      <c r="F612" t="s">
        <v>99</v>
      </c>
      <c r="H612" t="s">
        <v>131</v>
      </c>
      <c r="I612" t="s">
        <v>1057</v>
      </c>
      <c r="K612" t="str">
        <f>B569</f>
        <v>electricity, residential, by conversion of hydrogen using fuel cell, PEM, allocated by exergy, transported by truck, produced by Steam Methane Reforming using natural gas from Switzerland</v>
      </c>
      <c r="L612">
        <f t="shared" si="38"/>
        <v>2</v>
      </c>
      <c r="M612">
        <f t="shared" si="39"/>
        <v>-0.6608811428765341</v>
      </c>
      <c r="N612">
        <v>1</v>
      </c>
      <c r="O612" s="15">
        <v>1.2</v>
      </c>
      <c r="P612">
        <v>1</v>
      </c>
      <c r="Q612">
        <v>1.01</v>
      </c>
      <c r="R612">
        <v>1.2</v>
      </c>
      <c r="S612">
        <v>1.2</v>
      </c>
      <c r="T612">
        <v>1.05</v>
      </c>
      <c r="U612">
        <f t="shared" si="40"/>
        <v>0.15984597228197622</v>
      </c>
    </row>
    <row r="613" spans="1:21" hidden="1" x14ac:dyDescent="0.2"/>
    <row r="614" spans="1:21" hidden="1" x14ac:dyDescent="0.2">
      <c r="A614" s="2" t="s">
        <v>50</v>
      </c>
      <c r="B614" s="44" t="str">
        <f>IF(B620="megajoule","heat","electricity")&amp;", residential, by "&amp;B625&amp;" of "&amp;B624&amp;" using "&amp;B626&amp;IF(B627&lt;&gt;0,", allocated by "&amp;B627,"")&amp;", transported by "&amp;B628&amp;", produced by "&amp;B632&amp;" using "&amp;B633&amp;" from "&amp;B634</f>
        <v>electricity, residential, by conversion of hydrogen using fuel cell, SOFC, allocated by exergy, transported by truck, produced by Steam Methane Reforming using natural gas from Switzerland</v>
      </c>
    </row>
    <row r="615" spans="1:21" hidden="1" x14ac:dyDescent="0.2">
      <c r="A615" t="s">
        <v>51</v>
      </c>
      <c r="B615" s="45" t="str">
        <f>"This dataset represents the supply of 1 "&amp;IF(B620="megajoule","megajoule of heat","kilowatt hour of electricity")&amp;" in a residence, by "&amp;B624&amp;" "&amp;B625&amp;" in a "&amp;B626&amp;". "&amp;" The hydrogen is transported by "&amp;B628&amp;" over "&amp;B629&amp;" km from regional storage. "&amp;" The "&amp;B624&amp;" is produced by  "&amp;B632&amp;", with "&amp;B633&amp;" from "&amp;B634&amp;" as feedstock. "&amp;A636&amp;": "&amp;(B636*100)&amp;"%. "&amp;A637&amp;": "&amp;B637&amp;". "&amp;A638&amp;": "&amp;B638&amp;". "&amp;A639&amp;": "&amp;(B639*100)&amp;"%. "&amp;A640&amp;": "&amp;(B640*100)&amp;"%. "&amp;A641&amp;": "&amp;(B641*100)&amp;"%. "&amp;A642&amp;": "&amp;B642&amp;". "&amp;A643&amp;": "&amp;B643&amp;". "&amp;A644&amp;": "&amp;(B644*100)&amp;"%. "&amp;A645&amp;": "&amp;B645&amp;". "&amp;A646&amp;": "&amp;B646&amp;". "&amp;A647&amp;": "&amp;B647&amp;". "&amp;A648&amp;": "&amp;B648&amp;".  For more information, refer to: "&amp;B616</f>
        <v>This dataset represents the supply of 1 kilowatt hour of electricity in a residence, by hydrogen conversion in a fuel cell, SOFC.  The hydrogen is transported by truck over 200 km from regional storage.  The hydrogen is produced by  Steam Methane Reforming,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616" spans="1:21" hidden="1" x14ac:dyDescent="0.2">
      <c r="A616" t="s">
        <v>63</v>
      </c>
      <c r="B616" s="45" t="s">
        <v>660</v>
      </c>
    </row>
    <row r="617" spans="1:21" hidden="1" x14ac:dyDescent="0.2">
      <c r="A617" t="s">
        <v>52</v>
      </c>
      <c r="B617" s="45" t="s">
        <v>64</v>
      </c>
    </row>
    <row r="618" spans="1:21" hidden="1" x14ac:dyDescent="0.2">
      <c r="A618" t="s">
        <v>48</v>
      </c>
      <c r="B618" s="45" t="s">
        <v>960</v>
      </c>
    </row>
    <row r="619" spans="1:21" hidden="1" x14ac:dyDescent="0.2">
      <c r="A619" t="s">
        <v>54</v>
      </c>
      <c r="B619" s="45" t="str">
        <f>INDEX(overview!$B$4:$R$338,MATCH(B618,overview!$A$4:$A$338,0),MATCH(A619,overview!$B$3:$R$3,0))</f>
        <v>electricity, from residential heating system</v>
      </c>
    </row>
    <row r="620" spans="1:21" hidden="1" x14ac:dyDescent="0.2">
      <c r="A620" t="s">
        <v>55</v>
      </c>
      <c r="B620" s="45" t="str">
        <f>INDEX(overview!$B$4:$R$338,MATCH(B618,overview!$A$4:$A$338,0),MATCH(A620,overview!$B$3:$R$3,0))</f>
        <v>kilowatt hour</v>
      </c>
    </row>
    <row r="621" spans="1:21" hidden="1" x14ac:dyDescent="0.2">
      <c r="A621" t="s">
        <v>0</v>
      </c>
      <c r="B621" s="45" t="str">
        <f>INDEX(overview!$B$4:$R$338,MATCH(B618,overview!$A$4:$A$338,0),MATCH(A621,overview!$B$3:$R$3,0))</f>
        <v>Switzerland</v>
      </c>
    </row>
    <row r="622" spans="1:21" hidden="1" x14ac:dyDescent="0.2">
      <c r="A622" t="s">
        <v>1</v>
      </c>
      <c r="B622" s="45">
        <f>INDEX(overview!$B$4:$R$338,MATCH(B618,overview!$A$4:$A$338,0),MATCH(A622,overview!$B$3:$R$3,0))</f>
        <v>2020</v>
      </c>
    </row>
    <row r="623" spans="1:21" hidden="1" x14ac:dyDescent="0.2">
      <c r="A623" t="s">
        <v>2</v>
      </c>
      <c r="B623" s="45" t="str">
        <f>INDEX(overview!$B$4:$R$338,MATCH(B618,overview!$A$4:$A$338,0),MATCH(A623,overview!$B$3:$R$3,0))</f>
        <v>1 kWh electricity</v>
      </c>
    </row>
    <row r="624" spans="1:21" hidden="1" x14ac:dyDescent="0.2">
      <c r="A624" t="s">
        <v>5</v>
      </c>
      <c r="B624" s="45" t="str">
        <f>INDEX(overview!$B$4:$R$338,MATCH(B618,overview!$A$4:$A$338,0),MATCH(A624,overview!$B$3:$R$3,0))</f>
        <v>hydrogen</v>
      </c>
    </row>
    <row r="625" spans="1:2" hidden="1" x14ac:dyDescent="0.2">
      <c r="A625" t="s">
        <v>3</v>
      </c>
      <c r="B625" s="45" t="str">
        <f>INDEX(overview!$B$4:$R$338,MATCH(B618,overview!$A$4:$A$338,0),MATCH(A625,overview!$B$3:$R$3,0))</f>
        <v>conversion</v>
      </c>
    </row>
    <row r="626" spans="1:2" hidden="1" x14ac:dyDescent="0.2">
      <c r="A626" t="s">
        <v>6</v>
      </c>
      <c r="B626" s="45" t="str">
        <f>INDEX(overview!$B$4:$R$338,MATCH(B618,overview!$A$4:$A$338,0),MATCH(A626,overview!$B$3:$R$3,0))</f>
        <v>fuel cell, SOFC</v>
      </c>
    </row>
    <row r="627" spans="1:2" hidden="1" x14ac:dyDescent="0.2">
      <c r="A627" t="s">
        <v>39</v>
      </c>
      <c r="B627" s="45" t="str">
        <f>INDEX(overview!$B$4:$R$338,MATCH(B618,overview!$A$4:$A$338,0),MATCH(A627,overview!$B$3:$R$3,0))</f>
        <v>exergy</v>
      </c>
    </row>
    <row r="628" spans="1:2" hidden="1" x14ac:dyDescent="0.2">
      <c r="A628" t="s">
        <v>4</v>
      </c>
      <c r="B628" s="45" t="str">
        <f>INDEX(overview!$B$4:$R$338,MATCH(B618,overview!$A$4:$A$338,0),MATCH(A628,overview!$B$3:$R$3,0))</f>
        <v>truck</v>
      </c>
    </row>
    <row r="629" spans="1:2" hidden="1" x14ac:dyDescent="0.2">
      <c r="A629" t="s">
        <v>38</v>
      </c>
      <c r="B629" s="45">
        <f>INDEX(overview!$B$4:$R$338,MATCH(B618,overview!$A$4:$A$338,0),MATCH(A629,overview!$B$3:$R$3,0))</f>
        <v>200</v>
      </c>
    </row>
    <row r="630" spans="1:2" hidden="1" x14ac:dyDescent="0.2">
      <c r="A630" t="s">
        <v>12</v>
      </c>
      <c r="B630" s="45" t="str">
        <f>INDEX(overview!$B$4:$R$338,MATCH(B618,overview!$A$4:$A$338,0),MATCH(A630,overview!$B$3:$R$3,0))</f>
        <v>Pressure vessel for stationary storage</v>
      </c>
    </row>
    <row r="631" spans="1:2" hidden="1" x14ac:dyDescent="0.2">
      <c r="A631" t="s">
        <v>34</v>
      </c>
      <c r="B631" s="45">
        <f>INDEX(overview!$B$4:$R$338,MATCH(B618,overview!$A$4:$A$338,0),MATCH(A631,overview!$B$3:$R$3,0))</f>
        <v>0</v>
      </c>
    </row>
    <row r="632" spans="1:2" hidden="1" x14ac:dyDescent="0.2">
      <c r="A632" t="s">
        <v>15</v>
      </c>
      <c r="B632" s="45" t="str">
        <f>INDEX(overview!$B$4:$R$338,MATCH(B618,overview!$A$4:$A$338,0),MATCH(A632,overview!$B$3:$R$3,0))</f>
        <v>Steam Methane Reforming</v>
      </c>
    </row>
    <row r="633" spans="1:2" hidden="1" x14ac:dyDescent="0.2">
      <c r="A633" t="s">
        <v>14</v>
      </c>
      <c r="B633" s="45" t="str">
        <f>INDEX(overview!$B$4:$R$338,MATCH(B618,overview!$A$4:$A$338,0),MATCH(A633,overview!$B$3:$R$3,0))</f>
        <v>natural gas</v>
      </c>
    </row>
    <row r="634" spans="1:2" hidden="1" x14ac:dyDescent="0.2">
      <c r="A634" t="s">
        <v>26</v>
      </c>
      <c r="B634" s="45" t="str">
        <f>INDEX(overview!$B$4:$R$338,MATCH(B618,overview!$A$4:$A$338,0),MATCH(A634,overview!$B$3:$R$3,0))</f>
        <v>Switzerland</v>
      </c>
    </row>
    <row r="635" spans="1:2" hidden="1" x14ac:dyDescent="0.2">
      <c r="A635" t="s">
        <v>29</v>
      </c>
      <c r="B635" s="45">
        <f>INDEX(overview!$B$4:$R$338,MATCH(B618,overview!$A$4:$A$338,0),MATCH(A635,overview!$B$3:$R$3,0))</f>
        <v>0</v>
      </c>
    </row>
    <row r="636" spans="1:2" hidden="1" x14ac:dyDescent="0.2">
      <c r="A636" t="str">
        <f>IF(B620="megajoule","Heat","Electricity")&amp;" conversion efficiency [% LHV input]"</f>
        <v>Electricity conversion efficiency [% LHV input]</v>
      </c>
      <c r="B636" s="46">
        <f>INDEX(parameters!$D$4:$N$20,MATCH(B624&amp;B626,parameters!$A$4:$A$20,0),MATCH(A636,parameters!$D$3:$N$3,0))</f>
        <v>0.47</v>
      </c>
    </row>
    <row r="637" spans="1:2" hidden="1" x14ac:dyDescent="0.2">
      <c r="A637" t="str">
        <f>IF(B620="megajoule","LHV [MJ/kg]","LHV [kWh/kg]")</f>
        <v>LHV [kWh/kg]</v>
      </c>
      <c r="B637" s="47">
        <f>INDEX(parameters!$D$4:$N$20,MATCH(B624&amp;B626,parameters!$A$4:$A$20,0),MATCH(A637,parameters!$D$3:$N$3,0))</f>
        <v>33.333333333333336</v>
      </c>
    </row>
    <row r="638" spans="1:2" hidden="1" x14ac:dyDescent="0.2">
      <c r="A638" t="s">
        <v>41</v>
      </c>
      <c r="B638" s="48">
        <f>INDEX(parameters!$D$4:$N$20,MATCH(B624&amp;B626,parameters!$A$4:$A$20,0),MATCH(A638,parameters!$D$3:$N$3,0))</f>
        <v>2.6666666666666665E-2</v>
      </c>
    </row>
    <row r="639" spans="1:2" hidden="1" x14ac:dyDescent="0.2">
      <c r="A639" t="s">
        <v>45</v>
      </c>
      <c r="B639" s="46">
        <f>INDEX(parameters!$D$4:$N$20,MATCH(B624&amp;B626,parameters!$A$4:$A$20,0),MATCH(A639,parameters!$D$3:$N$3,0))</f>
        <v>0</v>
      </c>
    </row>
    <row r="640" spans="1:2" hidden="1" x14ac:dyDescent="0.2">
      <c r="A640" t="s">
        <v>46</v>
      </c>
      <c r="B640" s="46">
        <f>INDEX(parameters!$D$4:$N$20,MATCH(B624&amp;B626,parameters!$A$4:$A$20,0),MATCH(A640,parameters!$D$3:$N$3,0))</f>
        <v>1.4999999999999999E-2</v>
      </c>
    </row>
    <row r="641" spans="1:22" hidden="1" x14ac:dyDescent="0.2">
      <c r="A641" t="s">
        <v>43</v>
      </c>
      <c r="B641" s="46">
        <f>INDEX(parameters!$D$4:$N$20,MATCH(B624&amp;B626,parameters!$A$4:$A$20,0),MATCH(A641,parameters!$D$3:$N$3,0))</f>
        <v>0</v>
      </c>
    </row>
    <row r="642" spans="1:22" hidden="1" x14ac:dyDescent="0.2">
      <c r="A642" t="s">
        <v>44</v>
      </c>
      <c r="B642" s="46">
        <f>INDEX(parameters!$D$4:$N$20,MATCH(B624&amp;B626,parameters!$A$4:$A$20,0),MATCH(A642,parameters!$D$3:$N$3,0))</f>
        <v>0</v>
      </c>
    </row>
    <row r="643" spans="1:22" hidden="1" x14ac:dyDescent="0.2">
      <c r="A643" t="s">
        <v>634</v>
      </c>
      <c r="B643" s="50">
        <f>INDEX(parameters!$D$4:$Y$20,MATCH(B624&amp;B626,parameters!$A$4:$A$20,0),MATCH(A643,parameters!$D$3:$Y$3,0))</f>
        <v>225</v>
      </c>
      <c r="D643" s="8"/>
    </row>
    <row r="644" spans="1:22" hidden="1" x14ac:dyDescent="0.2">
      <c r="A644" t="s">
        <v>82</v>
      </c>
      <c r="B644" s="46">
        <f>IF(B635&lt;&gt;0,VLOOKUP(B635,parameters!A557:B559,2,0),0)</f>
        <v>0</v>
      </c>
    </row>
    <row r="645" spans="1:22" hidden="1" x14ac:dyDescent="0.2">
      <c r="A645" t="s">
        <v>548</v>
      </c>
      <c r="B645" s="50">
        <f>INDEX(parameters!$D$4:$P$20,MATCH(B624&amp;B626,parameters!$A$4:$A$20,0),MATCH(A645,parameters!$D$3:$P$3,0))</f>
        <v>100</v>
      </c>
    </row>
    <row r="646" spans="1:22" hidden="1" x14ac:dyDescent="0.2">
      <c r="A646" t="s">
        <v>547</v>
      </c>
      <c r="B646" s="51">
        <f>INDEX(parameters!$D$4:$P$20,MATCH(B624&amp;B626,parameters!$A$4:$A$20,0),MATCH(A646,parameters!$D$3:$P$3,0))</f>
        <v>6</v>
      </c>
    </row>
    <row r="647" spans="1:22" hidden="1" x14ac:dyDescent="0.2">
      <c r="A647" t="s">
        <v>630</v>
      </c>
      <c r="B647" s="51">
        <f>INDEX(parameters!$D$4:$T$20,MATCH(B624&amp;B626,parameters!$A$4:$A$20,0),MATCH(A647,parameters!$D$3:$T$3,0))</f>
        <v>4100</v>
      </c>
    </row>
    <row r="648" spans="1:22" hidden="1" x14ac:dyDescent="0.2">
      <c r="A648" t="s">
        <v>1005</v>
      </c>
      <c r="B648" s="50">
        <f>IF(B620="megajoule",SUMIFS(allocation!$I$4:$I$30,allocation!$B$4:$B$30,B626,allocation!$C$4:$C$30,B627),SUMIFS(allocation!$J$4:$J$30,allocation!$B$4:$B$30,B626,allocation!$C$4:$C$30,B627))</f>
        <v>0.86412493489600906</v>
      </c>
    </row>
    <row r="649" spans="1:22" hidden="1" x14ac:dyDescent="0.2">
      <c r="A649" t="s">
        <v>1050</v>
      </c>
      <c r="B649" s="51">
        <f>INDEX(parameters!$D$4:$AB$20,MATCH(B624&amp;B626,parameters!$A$4:$A$20,0),MATCH(A649,parameters!$D$3:$AB$3,0))</f>
        <v>1153.1249999999998</v>
      </c>
    </row>
    <row r="650" spans="1:22" hidden="1" x14ac:dyDescent="0.2"/>
    <row r="651" spans="1:22" hidden="1" x14ac:dyDescent="0.2">
      <c r="A651" s="3" t="s">
        <v>57</v>
      </c>
    </row>
    <row r="652" spans="1:22" hidden="1" x14ac:dyDescent="0.2">
      <c r="A652" s="2" t="s">
        <v>58</v>
      </c>
      <c r="B652" s="44" t="s">
        <v>59</v>
      </c>
      <c r="C652" s="2" t="s">
        <v>55</v>
      </c>
      <c r="D652" s="2" t="s">
        <v>60</v>
      </c>
      <c r="E652" s="2" t="s">
        <v>52</v>
      </c>
      <c r="F652" s="2" t="s">
        <v>61</v>
      </c>
      <c r="G652" s="2" t="s">
        <v>54</v>
      </c>
      <c r="H652" s="2" t="s">
        <v>87</v>
      </c>
      <c r="I652" s="2" t="s">
        <v>51</v>
      </c>
      <c r="J652" s="2" t="s">
        <v>138</v>
      </c>
      <c r="K652" s="2" t="s">
        <v>136</v>
      </c>
      <c r="L652" s="2" t="s">
        <v>221</v>
      </c>
      <c r="M652" s="2" t="s">
        <v>379</v>
      </c>
      <c r="N652" s="2" t="s">
        <v>1059</v>
      </c>
      <c r="O652" s="2" t="s">
        <v>1060</v>
      </c>
      <c r="P652" s="2" t="s">
        <v>1061</v>
      </c>
      <c r="Q652" s="2" t="s">
        <v>1062</v>
      </c>
      <c r="R652" s="2" t="s">
        <v>1063</v>
      </c>
      <c r="S652" s="2" t="s">
        <v>1064</v>
      </c>
      <c r="T652" s="2" t="s">
        <v>1065</v>
      </c>
      <c r="U652" s="2" t="s">
        <v>380</v>
      </c>
      <c r="V652" s="2" t="s">
        <v>1128</v>
      </c>
    </row>
    <row r="653" spans="1:22" x14ac:dyDescent="0.2">
      <c r="A653" t="str">
        <f>B614</f>
        <v>electricity, residential, by conversion of hydrogen using fuel cell, SOFC, allocated by exergy, transported by truck, produced by Steam Methane Reforming using natural gas from Switzerland</v>
      </c>
      <c r="B653" s="45">
        <v>1</v>
      </c>
      <c r="C653" t="str">
        <f>B620</f>
        <v>kilowatt hour</v>
      </c>
      <c r="E653" t="str">
        <f>B617</f>
        <v>CH</v>
      </c>
      <c r="F653" t="s">
        <v>62</v>
      </c>
      <c r="G653" t="str">
        <f>B619</f>
        <v>electricity, from residential heating system</v>
      </c>
      <c r="K653" t="str">
        <f>B614</f>
        <v>electricity, residential, by conversion of hydrogen using fuel cell, SOFC, allocated by exergy, transported by truck, produced by Steam Methane Reforming using natural gas from Switzerland</v>
      </c>
    </row>
    <row r="654" spans="1:22" hidden="1" x14ac:dyDescent="0.2">
      <c r="A654" t="str">
        <f>VLOOKUP(J654,'dataset mapping'!$A$4:$E$69,2,0)</f>
        <v>fuel cell production, stack solid oxide, 125kW electrical, future</v>
      </c>
      <c r="B654" s="52">
        <f>1/(62*1000000)/B636*SUMIFS(allocation!$I$4:$I$30,allocation!$B$4:$B$30,B626,allocation!$C$4:$C$30,B627)</f>
        <v>4.6628368258061427E-9</v>
      </c>
      <c r="C654" t="str">
        <f>VLOOKUP(J654,'dataset mapping'!$A$4:$E$69,5,0)</f>
        <v>unit</v>
      </c>
      <c r="E654" t="str">
        <f>VLOOKUP(J654,'dataset mapping'!$A$4:$E$69,4,0)</f>
        <v>CH</v>
      </c>
      <c r="F654" t="s">
        <v>86</v>
      </c>
      <c r="G654" t="str">
        <f>VLOOKUP(J654,'dataset mapping'!$A$4:$E$69,3,0)</f>
        <v>fuel cell, stack solid oxide, 125kW electrical, future</v>
      </c>
      <c r="H654" t="s">
        <v>88</v>
      </c>
      <c r="I654" t="s">
        <v>277</v>
      </c>
      <c r="J654" t="s">
        <v>274</v>
      </c>
      <c r="K654" t="str">
        <f>B614</f>
        <v>electricity, residential, by conversion of hydrogen using fuel cell, SOFC, allocated by exergy, transported by truck, produced by Steam Methane Reforming using natural gas from Switzerland</v>
      </c>
      <c r="L654">
        <f t="shared" ref="L654:L660" si="41">IF(OR(B654&lt;0,B654=0),1,2)</f>
        <v>2</v>
      </c>
      <c r="M654">
        <f t="shared" ref="M654:M660" si="42">IF(L654=2,LN(B654),"")</f>
        <v>-19.183641813126002</v>
      </c>
      <c r="N654">
        <v>1</v>
      </c>
      <c r="O654" s="15">
        <v>1.2</v>
      </c>
      <c r="P654">
        <v>1</v>
      </c>
      <c r="Q654">
        <v>1.01</v>
      </c>
      <c r="R654">
        <v>1.2</v>
      </c>
      <c r="S654">
        <v>1.2</v>
      </c>
      <c r="T654">
        <v>3</v>
      </c>
      <c r="U654">
        <f t="shared" ref="U654:U660" si="43">LN(SQRT(EXP(
SQRT(
+POWER(LN(N654),2)
+POWER(LN(O654),2)
+POWER(LN(P654),2)
+POWER(LN(Q654),2)
+POWER(LN(R654),2)
+POWER(LN(S654),2)
+POWER(LN(T654),2)
)
)))</f>
        <v>0.57157051623399524</v>
      </c>
    </row>
    <row r="655" spans="1:22" hidden="1" x14ac:dyDescent="0.2">
      <c r="A655" t="s">
        <v>283</v>
      </c>
      <c r="B655" s="52">
        <f>0.000000145/B636*SUMIFS(allocation!$I$4:$I$30,allocation!$B$4:$B$30,B626,allocation!$C$4:$C$30,B627)</f>
        <v>4.1918903063997216E-8</v>
      </c>
      <c r="C655" t="s">
        <v>55</v>
      </c>
      <c r="E655" t="s">
        <v>64</v>
      </c>
      <c r="F655" t="s">
        <v>86</v>
      </c>
      <c r="G655" t="s">
        <v>284</v>
      </c>
      <c r="H655" t="s">
        <v>88</v>
      </c>
      <c r="I655" t="s">
        <v>277</v>
      </c>
      <c r="K655" t="str">
        <f>B614</f>
        <v>electricity, residential, by conversion of hydrogen using fuel cell, SOFC, allocated by exergy, transported by truck, produced by Steam Methane Reforming using natural gas from Switzerland</v>
      </c>
      <c r="L655">
        <f t="shared" si="41"/>
        <v>2</v>
      </c>
      <c r="M655">
        <f t="shared" si="42"/>
        <v>-16.987528964642475</v>
      </c>
      <c r="N655">
        <v>1</v>
      </c>
      <c r="O655" s="15">
        <v>1.2</v>
      </c>
      <c r="P655">
        <v>1</v>
      </c>
      <c r="Q655">
        <v>1.01</v>
      </c>
      <c r="R655">
        <v>1.2</v>
      </c>
      <c r="S655">
        <v>1.2</v>
      </c>
      <c r="T655">
        <v>3</v>
      </c>
      <c r="U655">
        <f t="shared" si="43"/>
        <v>0.57157051623399524</v>
      </c>
    </row>
    <row r="656" spans="1:22" hidden="1" x14ac:dyDescent="0.2">
      <c r="A656" t="s">
        <v>285</v>
      </c>
      <c r="B656" s="52">
        <f>0.0000000115/B636*SUMIFS(allocation!$I$4:$I$30,allocation!$B$4:$B$30,B626,allocation!$C$4:$C$30,B627)</f>
        <v>3.3246026567997794E-9</v>
      </c>
      <c r="C656" t="s">
        <v>55</v>
      </c>
      <c r="E656" t="s">
        <v>90</v>
      </c>
      <c r="F656" t="s">
        <v>86</v>
      </c>
      <c r="G656" t="s">
        <v>286</v>
      </c>
      <c r="H656" t="s">
        <v>88</v>
      </c>
      <c r="K656" t="str">
        <f>B614</f>
        <v>electricity, residential, by conversion of hydrogen using fuel cell, SOFC, allocated by exergy, transported by truck, produced by Steam Methane Reforming using natural gas from Switzerland</v>
      </c>
      <c r="L656">
        <f t="shared" si="41"/>
        <v>2</v>
      </c>
      <c r="M656">
        <f t="shared" si="42"/>
        <v>-19.521915671693844</v>
      </c>
      <c r="N656">
        <v>1</v>
      </c>
      <c r="O656" s="15">
        <v>1.2</v>
      </c>
      <c r="P656">
        <v>1</v>
      </c>
      <c r="Q656">
        <v>1.01</v>
      </c>
      <c r="R656">
        <v>1.2</v>
      </c>
      <c r="S656">
        <v>1.2</v>
      </c>
      <c r="T656">
        <v>3</v>
      </c>
      <c r="U656">
        <f t="shared" si="43"/>
        <v>0.57157051623399524</v>
      </c>
    </row>
    <row r="657" spans="1:21" hidden="1" x14ac:dyDescent="0.2">
      <c r="A657" t="s">
        <v>288</v>
      </c>
      <c r="B657" s="52">
        <f>0.000024/B636*SUMIFS(allocation!$I$4:$I$30,allocation!$B$4:$B$30,B626,allocation!$C$4:$C$30,B627)</f>
        <v>6.9383011967995388E-6</v>
      </c>
      <c r="C657" t="s">
        <v>56</v>
      </c>
      <c r="E657" t="s">
        <v>64</v>
      </c>
      <c r="F657" t="s">
        <v>86</v>
      </c>
      <c r="G657" t="s">
        <v>287</v>
      </c>
      <c r="H657" t="s">
        <v>88</v>
      </c>
      <c r="K657" t="str">
        <f>B614</f>
        <v>electricity, residential, by conversion of hydrogen using fuel cell, SOFC, allocated by exergy, transported by truck, produced by Steam Methane Reforming using natural gas from Switzerland</v>
      </c>
      <c r="L657">
        <f t="shared" si="41"/>
        <v>2</v>
      </c>
      <c r="M657">
        <f t="shared" si="42"/>
        <v>-11.878453597732966</v>
      </c>
      <c r="N657">
        <v>1</v>
      </c>
      <c r="O657" s="15">
        <v>1.2</v>
      </c>
      <c r="P657">
        <v>1</v>
      </c>
      <c r="Q657">
        <v>1.01</v>
      </c>
      <c r="R657">
        <v>1.2</v>
      </c>
      <c r="S657">
        <v>1.2</v>
      </c>
      <c r="T657">
        <v>1.05</v>
      </c>
      <c r="U657">
        <f t="shared" si="43"/>
        <v>0.15984597228197622</v>
      </c>
    </row>
    <row r="658" spans="1:21" hidden="1" x14ac:dyDescent="0.2">
      <c r="A658" s="45" t="str">
        <f>"hydrogen supply, transported by "&amp;B628&amp;", produced by "&amp;B632&amp;" using "&amp;B633&amp;" from "&amp;B634</f>
        <v>hydrogen supply, transported by truck, produced by Steam Methane Reforming using natural gas from Switzerland</v>
      </c>
      <c r="B658" s="53">
        <f>(B653/B637)/B636*B648</f>
        <v>5.515691073804313E-2</v>
      </c>
      <c r="C658" t="s">
        <v>56</v>
      </c>
      <c r="E658" t="s">
        <v>64</v>
      </c>
      <c r="F658" t="s">
        <v>86</v>
      </c>
      <c r="G658" t="s">
        <v>1137</v>
      </c>
      <c r="H658" t="s">
        <v>76</v>
      </c>
      <c r="I658" t="s">
        <v>1054</v>
      </c>
      <c r="J658" t="s">
        <v>305</v>
      </c>
      <c r="K658" t="str">
        <f>B614</f>
        <v>electricity, residential, by conversion of hydrogen using fuel cell, SOFC, allocated by exergy, transported by truck, produced by Steam Methane Reforming using natural gas from Switzerland</v>
      </c>
      <c r="L658">
        <f t="shared" si="41"/>
        <v>2</v>
      </c>
      <c r="M658">
        <f t="shared" si="42"/>
        <v>-2.8975732330996009</v>
      </c>
      <c r="N658">
        <v>1</v>
      </c>
      <c r="O658" s="15">
        <v>1.2</v>
      </c>
      <c r="P658">
        <v>1</v>
      </c>
      <c r="Q658">
        <v>1.01</v>
      </c>
      <c r="R658">
        <v>1.2</v>
      </c>
      <c r="S658">
        <v>1.2</v>
      </c>
      <c r="T658">
        <v>1.05</v>
      </c>
      <c r="U658">
        <f t="shared" si="43"/>
        <v>0.15984597228197622</v>
      </c>
    </row>
    <row r="659" spans="1:21" hidden="1" x14ac:dyDescent="0.2">
      <c r="A659" t="str">
        <f>VLOOKUP(J659,'dataset mapping'!$A$4:$E$69,2,0)</f>
        <v>high pressure hydrogen storage tank</v>
      </c>
      <c r="B659" s="52">
        <f>((B649/10)/(B647*B643*20))*IF(B648&lt;&gt;0,B648,1)</f>
        <v>5.400780843100055E-6</v>
      </c>
      <c r="C659" t="str">
        <f>VLOOKUP(J659,'dataset mapping'!$A$4:$E$69,5,0)</f>
        <v>kilogram</v>
      </c>
      <c r="E659" t="str">
        <f>VLOOKUP(J659,'dataset mapping'!$A$4:$E$69,4,0)</f>
        <v>GLO</v>
      </c>
      <c r="F659" t="s">
        <v>86</v>
      </c>
      <c r="G659" t="str">
        <f>VLOOKUP(J659,'dataset mapping'!$A$4:$E$69,3,0)</f>
        <v>high pressure hydrogen storage tank</v>
      </c>
      <c r="H659" t="s">
        <v>88</v>
      </c>
      <c r="I659" t="s">
        <v>230</v>
      </c>
      <c r="J659" t="s">
        <v>229</v>
      </c>
      <c r="K659" t="str">
        <f>B614</f>
        <v>electricity, residential, by conversion of hydrogen using fuel cell, SOFC, allocated by exergy, transported by truck, produced by Steam Methane Reforming using natural gas from Switzerland</v>
      </c>
      <c r="L659">
        <f t="shared" si="41"/>
        <v>2</v>
      </c>
      <c r="M659">
        <f t="shared" si="42"/>
        <v>-12.128967014273616</v>
      </c>
      <c r="N659">
        <v>1</v>
      </c>
      <c r="O659" s="15">
        <v>1.2</v>
      </c>
      <c r="P659">
        <v>1</v>
      </c>
      <c r="Q659">
        <v>1.01</v>
      </c>
      <c r="R659">
        <v>1.2</v>
      </c>
      <c r="S659">
        <v>1.2</v>
      </c>
      <c r="T659">
        <v>3</v>
      </c>
      <c r="U659">
        <f t="shared" si="43"/>
        <v>0.57157051623399524</v>
      </c>
    </row>
    <row r="660" spans="1:21" hidden="1" x14ac:dyDescent="0.2">
      <c r="A660" t="s">
        <v>134</v>
      </c>
      <c r="B660" s="45">
        <f>B658*9</f>
        <v>0.49641219664238817</v>
      </c>
      <c r="C660" t="s">
        <v>56</v>
      </c>
      <c r="D660" t="s">
        <v>100</v>
      </c>
      <c r="F660" t="s">
        <v>99</v>
      </c>
      <c r="H660" t="s">
        <v>131</v>
      </c>
      <c r="I660" t="s">
        <v>1057</v>
      </c>
      <c r="K660" t="str">
        <f>B614</f>
        <v>electricity, residential, by conversion of hydrogen using fuel cell, SOFC, allocated by exergy, transported by truck, produced by Steam Methane Reforming using natural gas from Switzerland</v>
      </c>
      <c r="L660">
        <f t="shared" si="41"/>
        <v>2</v>
      </c>
      <c r="M660">
        <f t="shared" si="42"/>
        <v>-0.70034865576338168</v>
      </c>
      <c r="N660">
        <v>1</v>
      </c>
      <c r="O660" s="15">
        <v>1.2</v>
      </c>
      <c r="P660">
        <v>1</v>
      </c>
      <c r="Q660">
        <v>1.01</v>
      </c>
      <c r="R660">
        <v>1.2</v>
      </c>
      <c r="S660">
        <v>1.2</v>
      </c>
      <c r="T660">
        <v>1.05</v>
      </c>
      <c r="U660">
        <f t="shared" si="43"/>
        <v>0.15984597228197622</v>
      </c>
    </row>
    <row r="661" spans="1:21" hidden="1" x14ac:dyDescent="0.2"/>
    <row r="662" spans="1:21" hidden="1" x14ac:dyDescent="0.2">
      <c r="A662" s="2" t="s">
        <v>50</v>
      </c>
      <c r="B662" s="44" t="str">
        <f>IF(B668="megajoule","heat","electricity")&amp;", residential, by "&amp;B673&amp;" of "&amp;B672&amp;" using "&amp;B674&amp;IF(B675&lt;&gt;0,", allocated by "&amp;B675,"")&amp;", transported by "&amp;B676&amp;", produced by "&amp;B680&amp;" using "&amp;B681&amp;" from "&amp;B682</f>
        <v>heat, residential, by combustion of hydrogen using boiler, transported by pipeline, produced by Steam Methane Reforming, with CCS using natural gas from Switzerland</v>
      </c>
    </row>
    <row r="663" spans="1:21" hidden="1" x14ac:dyDescent="0.2">
      <c r="A663" t="s">
        <v>51</v>
      </c>
      <c r="B663" s="45" t="str">
        <f>"This dataset represents the supply of 1 "&amp;IF(B668="megajoule","megajoule of heat","kilowatt hour of electricity")&amp;" in a residence, by "&amp;B672&amp;" "&amp;B673&amp;" in a "&amp;B674&amp;". "&amp;" The hydrogen is transported by "&amp;B676&amp;" over "&amp;B677&amp;" km from regional storage. "&amp;" The "&amp;B672&amp;" is produced by  "&amp;B680&amp;", with "&amp;B681&amp;" from "&amp;B682&amp;" as feedstock. "&amp;A684&amp;": "&amp;(B684*100)&amp;"%. "&amp;A685&amp;": "&amp;B685&amp;". "&amp;A686&amp;": "&amp;B686&amp;". "&amp;A687&amp;": "&amp;(B687*100)&amp;"%. "&amp;A688&amp;": "&amp;(B688*100)&amp;"%. "&amp;A689&amp;": "&amp;(B689*100)&amp;"%. "&amp;A690&amp;": "&amp;B690&amp;". "&amp;A691&amp;": "&amp;B691&amp;". "&amp;A692&amp;": "&amp;(B692*100)&amp;"%. "&amp;A693&amp;": "&amp;B693&amp;". "&amp;A694&amp;": "&amp;B694&amp;". "&amp;A695&amp;": "&amp;B695&amp;". "&amp;A696&amp;": "&amp;B696&amp;".  For more information, refer to: "&amp;B664</f>
        <v>This dataset represents the supply of 1 megajoule of heat in a residence, by hydrogen combustion in a boiler.  The hydrogen is transported by pipeline over 500 km from regional storage.  The hydrogen is produced by  Steam Methane Reforming, with CCS,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664" spans="1:21" hidden="1" x14ac:dyDescent="0.2">
      <c r="A664" t="s">
        <v>63</v>
      </c>
      <c r="B664" s="45" t="s">
        <v>660</v>
      </c>
    </row>
    <row r="665" spans="1:21" hidden="1" x14ac:dyDescent="0.2">
      <c r="A665" t="s">
        <v>52</v>
      </c>
      <c r="B665" s="45" t="s">
        <v>64</v>
      </c>
    </row>
    <row r="666" spans="1:21" hidden="1" x14ac:dyDescent="0.2">
      <c r="A666" t="s">
        <v>48</v>
      </c>
      <c r="B666" s="45">
        <v>137</v>
      </c>
    </row>
    <row r="667" spans="1:21" hidden="1" x14ac:dyDescent="0.2">
      <c r="A667" t="s">
        <v>54</v>
      </c>
      <c r="B667" s="45" t="str">
        <f>INDEX(overview!$B$4:$R$338,MATCH(B666,overview!$A$4:$A$338,0),MATCH(A667,overview!$B$3:$R$3,0))</f>
        <v>heat, from residential heating system</v>
      </c>
    </row>
    <row r="668" spans="1:21" hidden="1" x14ac:dyDescent="0.2">
      <c r="A668" t="s">
        <v>55</v>
      </c>
      <c r="B668" s="45" t="str">
        <f>INDEX(overview!$B$4:$R$338,MATCH(B666,overview!$A$4:$A$338,0),MATCH(A668,overview!$B$3:$R$3,0))</f>
        <v>megajoule</v>
      </c>
    </row>
    <row r="669" spans="1:21" hidden="1" x14ac:dyDescent="0.2">
      <c r="A669" t="s">
        <v>0</v>
      </c>
      <c r="B669" s="45" t="str">
        <f>INDEX(overview!$B$4:$R$338,MATCH(B666,overview!$A$4:$A$338,0),MATCH(A669,overview!$B$3:$R$3,0))</f>
        <v>Switzerland</v>
      </c>
    </row>
    <row r="670" spans="1:21" hidden="1" x14ac:dyDescent="0.2">
      <c r="A670" t="s">
        <v>1</v>
      </c>
      <c r="B670" s="45">
        <f>INDEX(overview!$B$4:$R$338,MATCH(B666,overview!$A$4:$A$338,0),MATCH(A670,overview!$B$3:$R$3,0))</f>
        <v>2020</v>
      </c>
    </row>
    <row r="671" spans="1:21" hidden="1" x14ac:dyDescent="0.2">
      <c r="A671" t="s">
        <v>2</v>
      </c>
      <c r="B671" s="45" t="str">
        <f>INDEX(overview!$B$4:$R$338,MATCH(B666,overview!$A$4:$A$338,0),MATCH(A671,overview!$B$3:$R$3,0))</f>
        <v>1 MJ heat</v>
      </c>
    </row>
    <row r="672" spans="1:21" hidden="1" x14ac:dyDescent="0.2">
      <c r="A672" t="s">
        <v>5</v>
      </c>
      <c r="B672" s="45" t="str">
        <f>INDEX(overview!$B$4:$R$338,MATCH(B666,overview!$A$4:$A$338,0),MATCH(A672,overview!$B$3:$R$3,0))</f>
        <v>hydrogen</v>
      </c>
    </row>
    <row r="673" spans="1:2" hidden="1" x14ac:dyDescent="0.2">
      <c r="A673" t="s">
        <v>3</v>
      </c>
      <c r="B673" s="45" t="str">
        <f>INDEX(overview!$B$4:$R$338,MATCH(B666,overview!$A$4:$A$338,0),MATCH(A673,overview!$B$3:$R$3,0))</f>
        <v>combustion</v>
      </c>
    </row>
    <row r="674" spans="1:2" hidden="1" x14ac:dyDescent="0.2">
      <c r="A674" t="s">
        <v>6</v>
      </c>
      <c r="B674" s="45" t="str">
        <f>INDEX(overview!$B$4:$R$338,MATCH(B666,overview!$A$4:$A$338,0),MATCH(A674,overview!$B$3:$R$3,0))</f>
        <v>boiler</v>
      </c>
    </row>
    <row r="675" spans="1:2" hidden="1" x14ac:dyDescent="0.2">
      <c r="A675" t="s">
        <v>39</v>
      </c>
      <c r="B675" s="45">
        <f>INDEX(overview!$B$4:$R$338,MATCH(B666,overview!$A$4:$A$338,0),MATCH(A675,overview!$B$3:$R$3,0))</f>
        <v>0</v>
      </c>
    </row>
    <row r="676" spans="1:2" hidden="1" x14ac:dyDescent="0.2">
      <c r="A676" t="s">
        <v>4</v>
      </c>
      <c r="B676" s="45" t="str">
        <f>INDEX(overview!$B$4:$R$338,MATCH(B666,overview!$A$4:$A$338,0),MATCH(A676,overview!$B$3:$R$3,0))</f>
        <v>pipeline</v>
      </c>
    </row>
    <row r="677" spans="1:2" hidden="1" x14ac:dyDescent="0.2">
      <c r="A677" t="s">
        <v>38</v>
      </c>
      <c r="B677" s="45">
        <f>INDEX(overview!$B$4:$R$338,MATCH(B666,overview!$A$4:$A$338,0),MATCH(A677,overview!$B$3:$R$3,0))</f>
        <v>500</v>
      </c>
    </row>
    <row r="678" spans="1:2" hidden="1" x14ac:dyDescent="0.2">
      <c r="A678" t="s">
        <v>12</v>
      </c>
      <c r="B678" s="45" t="str">
        <f>INDEX(overview!$B$4:$R$338,MATCH(B666,overview!$A$4:$A$338,0),MATCH(A678,overview!$B$3:$R$3,0))</f>
        <v>Pressure vessel for stationary storage</v>
      </c>
    </row>
    <row r="679" spans="1:2" hidden="1" x14ac:dyDescent="0.2">
      <c r="A679" t="s">
        <v>34</v>
      </c>
      <c r="B679" s="45">
        <f>INDEX(overview!$B$4:$R$338,MATCH(B666,overview!$A$4:$A$338,0),MATCH(A679,overview!$B$3:$R$3,0))</f>
        <v>0</v>
      </c>
    </row>
    <row r="680" spans="1:2" hidden="1" x14ac:dyDescent="0.2">
      <c r="A680" t="s">
        <v>15</v>
      </c>
      <c r="B680" s="45" t="str">
        <f>INDEX(overview!$B$4:$R$338,MATCH(B666,overview!$A$4:$A$338,0),MATCH(A680,overview!$B$3:$R$3,0))</f>
        <v>Steam Methane Reforming, with CCS</v>
      </c>
    </row>
    <row r="681" spans="1:2" hidden="1" x14ac:dyDescent="0.2">
      <c r="A681" t="s">
        <v>14</v>
      </c>
      <c r="B681" s="45" t="str">
        <f>INDEX(overview!$B$4:$R$338,MATCH(B666,overview!$A$4:$A$338,0),MATCH(A681,overview!$B$3:$R$3,0))</f>
        <v>natural gas</v>
      </c>
    </row>
    <row r="682" spans="1:2" hidden="1" x14ac:dyDescent="0.2">
      <c r="A682" t="s">
        <v>26</v>
      </c>
      <c r="B682" s="45" t="str">
        <f>INDEX(overview!$B$4:$R$338,MATCH(B666,overview!$A$4:$A$338,0),MATCH(A682,overview!$B$3:$R$3,0))</f>
        <v>Switzerland</v>
      </c>
    </row>
    <row r="683" spans="1:2" hidden="1" x14ac:dyDescent="0.2">
      <c r="A683" t="s">
        <v>29</v>
      </c>
      <c r="B683" s="45">
        <f>INDEX(overview!$B$4:$R$338,MATCH(B666,overview!$A$4:$A$338,0),MATCH(A683,overview!$B$3:$R$3,0))</f>
        <v>0</v>
      </c>
    </row>
    <row r="684" spans="1:2" hidden="1" x14ac:dyDescent="0.2">
      <c r="A684" t="str">
        <f>IF(B668="megajoule","Heat","Electricity")&amp;" conversion efficiency [% LHV input]"</f>
        <v>Heat conversion efficiency [% LHV input]</v>
      </c>
      <c r="B684" s="46">
        <f>INDEX(parameters!$D$4:$N$20,MATCH(B672&amp;B674,parameters!$A$4:$A$20,0),MATCH(A684,parameters!$D$3:$N$3,0))</f>
        <v>0.94</v>
      </c>
    </row>
    <row r="685" spans="1:2" hidden="1" x14ac:dyDescent="0.2">
      <c r="A685" t="str">
        <f>IF(B668="megajoule","LHV [MJ/kg]","LHV [kWh/kg]")</f>
        <v>LHV [MJ/kg]</v>
      </c>
      <c r="B685" s="47">
        <f>INDEX(parameters!$D$4:$N$20,MATCH(B672&amp;B674,parameters!$A$4:$A$20,0),MATCH(A685,parameters!$D$3:$N$3,0))</f>
        <v>120</v>
      </c>
    </row>
    <row r="686" spans="1:2" hidden="1" x14ac:dyDescent="0.2">
      <c r="A686" t="s">
        <v>41</v>
      </c>
      <c r="B686" s="48">
        <f>INDEX(parameters!$D$4:$N$20,MATCH(B672&amp;B674,parameters!$A$4:$A$20,0),MATCH(A686,parameters!$D$3:$N$3,0))</f>
        <v>2.6666666666666665E-2</v>
      </c>
    </row>
    <row r="687" spans="1:2" hidden="1" x14ac:dyDescent="0.2">
      <c r="A687" t="s">
        <v>45</v>
      </c>
      <c r="B687" s="49">
        <f>INDEX(parameters!$D$4:$N$20,MATCH(B672&amp;B674,parameters!$A$4:$A$20,0),MATCH(A687,parameters!$D$3:$N$3,0))</f>
        <v>0</v>
      </c>
    </row>
    <row r="688" spans="1:2" hidden="1" x14ac:dyDescent="0.2">
      <c r="A688" t="s">
        <v>46</v>
      </c>
      <c r="B688" s="49">
        <f>INDEX(parameters!$D$4:$N$20,MATCH(B672&amp;B674,parameters!$A$4:$A$20,0),MATCH(A688,parameters!$D$3:$N$3,0))</f>
        <v>1.4999999999999999E-2</v>
      </c>
    </row>
    <row r="689" spans="1:22" hidden="1" x14ac:dyDescent="0.2">
      <c r="A689" t="s">
        <v>43</v>
      </c>
      <c r="B689" s="49">
        <f>INDEX(parameters!$D$4:$N$20,MATCH(B672&amp;B674,parameters!$A$4:$A$20,0),MATCH(A689,parameters!$D$3:$N$3,0))</f>
        <v>0</v>
      </c>
    </row>
    <row r="690" spans="1:22" hidden="1" x14ac:dyDescent="0.2">
      <c r="A690" t="s">
        <v>44</v>
      </c>
      <c r="B690" s="49">
        <f>INDEX(parameters!$D$4:$N$20,MATCH(B672&amp;B674,parameters!$A$4:$A$20,0),MATCH(A690,parameters!$D$3:$N$3,0))</f>
        <v>0</v>
      </c>
    </row>
    <row r="691" spans="1:22" hidden="1" x14ac:dyDescent="0.2">
      <c r="A691" t="s">
        <v>634</v>
      </c>
      <c r="B691" s="50">
        <f>INDEX(parameters!$D$4:$Y$20,MATCH(B672&amp;B674,parameters!$A$4:$A$20,0),MATCH(A691,parameters!$D$3:$Y$3,0))</f>
        <v>15.957446808510639</v>
      </c>
    </row>
    <row r="692" spans="1:22" hidden="1" x14ac:dyDescent="0.2">
      <c r="A692" t="s">
        <v>82</v>
      </c>
      <c r="B692" s="46">
        <f>IF(B683&lt;&gt;0,VLOOKUP(B683,parameters!A456:B458,2,0),0)</f>
        <v>0</v>
      </c>
    </row>
    <row r="693" spans="1:22" hidden="1" x14ac:dyDescent="0.2">
      <c r="A693" t="s">
        <v>548</v>
      </c>
      <c r="B693" s="50">
        <f>INDEX(parameters!$D$4:$P$20,MATCH(B672&amp;B674,parameters!$A$4:$A$20,0),MATCH(A693,parameters!$D$3:$P$3,0))</f>
        <v>15</v>
      </c>
    </row>
    <row r="694" spans="1:22" hidden="1" x14ac:dyDescent="0.2">
      <c r="A694" t="s">
        <v>547</v>
      </c>
      <c r="B694" s="51">
        <f>INDEX(parameters!$D$4:$P$20,MATCH(B672&amp;B674,parameters!$A$4:$A$20,0),MATCH(A694,parameters!$D$3:$P$3,0))</f>
        <v>20</v>
      </c>
    </row>
    <row r="695" spans="1:22" hidden="1" x14ac:dyDescent="0.2">
      <c r="A695" t="s">
        <v>630</v>
      </c>
      <c r="B695" s="51">
        <f>INDEX(parameters!$D$4:$T$20,MATCH(B672&amp;B674,parameters!$A$4:$A$20,0),MATCH(A695,parameters!$D$3:$T$3,0))</f>
        <v>2100</v>
      </c>
    </row>
    <row r="696" spans="1:22" hidden="1" x14ac:dyDescent="0.2">
      <c r="A696" t="s">
        <v>1005</v>
      </c>
      <c r="B696" s="50">
        <f>IF(B668="megajoule",SUMIFS(allocation!$I$4:$I$30,allocation!$B$4:$B$30,B674,allocation!$C$4:$C$30,B675),SUMIFS(allocation!$J$4:$J$30,allocation!$B$4:$B$30,B674,allocation!$C$4:$C$30,B675))</f>
        <v>0</v>
      </c>
    </row>
    <row r="697" spans="1:22" hidden="1" x14ac:dyDescent="0.2">
      <c r="A697" t="s">
        <v>1050</v>
      </c>
      <c r="B697" s="51">
        <f>INDEX(parameters!$D$4:$AB$20,MATCH(B672&amp;B674,parameters!$A$4:$A$20,0),MATCH(A697,parameters!$D$3:$AB$3,0))</f>
        <v>44.562019013128115</v>
      </c>
    </row>
    <row r="698" spans="1:22" hidden="1" x14ac:dyDescent="0.2"/>
    <row r="699" spans="1:22" hidden="1" x14ac:dyDescent="0.2">
      <c r="A699" s="3" t="s">
        <v>57</v>
      </c>
    </row>
    <row r="700" spans="1:22" hidden="1" x14ac:dyDescent="0.2">
      <c r="A700" s="2" t="s">
        <v>58</v>
      </c>
      <c r="B700" s="44" t="s">
        <v>59</v>
      </c>
      <c r="C700" s="2" t="s">
        <v>55</v>
      </c>
      <c r="D700" s="2" t="s">
        <v>60</v>
      </c>
      <c r="E700" s="2" t="s">
        <v>52</v>
      </c>
      <c r="F700" s="2" t="s">
        <v>61</v>
      </c>
      <c r="G700" s="2" t="s">
        <v>54</v>
      </c>
      <c r="H700" s="2" t="s">
        <v>87</v>
      </c>
      <c r="I700" s="2" t="s">
        <v>51</v>
      </c>
      <c r="J700" s="2" t="s">
        <v>138</v>
      </c>
      <c r="K700" s="2" t="s">
        <v>136</v>
      </c>
      <c r="L700" s="2" t="s">
        <v>221</v>
      </c>
      <c r="M700" s="2" t="s">
        <v>379</v>
      </c>
      <c r="N700" s="2" t="s">
        <v>1059</v>
      </c>
      <c r="O700" s="2" t="s">
        <v>1060</v>
      </c>
      <c r="P700" s="2" t="s">
        <v>1061</v>
      </c>
      <c r="Q700" s="2" t="s">
        <v>1062</v>
      </c>
      <c r="R700" s="2" t="s">
        <v>1063</v>
      </c>
      <c r="S700" s="2" t="s">
        <v>1064</v>
      </c>
      <c r="T700" s="2" t="s">
        <v>1065</v>
      </c>
      <c r="U700" s="2" t="s">
        <v>380</v>
      </c>
      <c r="V700" s="2" t="s">
        <v>1128</v>
      </c>
    </row>
    <row r="701" spans="1:22" hidden="1" x14ac:dyDescent="0.2">
      <c r="A701" t="str">
        <f>B662</f>
        <v>heat, residential, by combustion of hydrogen using boiler, transported by pipeline, produced by Steam Methane Reforming, with CCS using natural gas from Switzerland</v>
      </c>
      <c r="B701" s="45">
        <v>1</v>
      </c>
      <c r="C701" t="str">
        <f>B668</f>
        <v>megajoule</v>
      </c>
      <c r="E701" t="str">
        <f>B665</f>
        <v>CH</v>
      </c>
      <c r="F701" t="s">
        <v>62</v>
      </c>
      <c r="G701" t="str">
        <f>B667</f>
        <v>heat, from residential heating system</v>
      </c>
      <c r="K701" t="str">
        <f>B662</f>
        <v>heat, residential, by combustion of hydrogen using boiler, transported by pipeline, produced by Steam Methane Reforming, with CCS using natural gas from Switzerland</v>
      </c>
    </row>
    <row r="702" spans="1:22" hidden="1" x14ac:dyDescent="0.2">
      <c r="A702" t="s">
        <v>83</v>
      </c>
      <c r="B702" s="52">
        <f>1/(B693*B695*B694*3.6)</f>
        <v>4.4091710758377425E-7</v>
      </c>
      <c r="C702" t="s">
        <v>55</v>
      </c>
      <c r="E702" t="s">
        <v>85</v>
      </c>
      <c r="F702" t="s">
        <v>86</v>
      </c>
      <c r="G702" t="s">
        <v>84</v>
      </c>
      <c r="H702" t="s">
        <v>88</v>
      </c>
      <c r="K702" t="str">
        <f>B662</f>
        <v>heat, residential, by combustion of hydrogen using boiler, transported by pipeline, produced by Steam Methane Reforming, with CCS using natural gas from Switzerland</v>
      </c>
      <c r="L702">
        <f t="shared" ref="L702:L707" si="44">IF(OR(B702&lt;0,B702=0),1,2)</f>
        <v>2</v>
      </c>
      <c r="M702">
        <f t="shared" ref="M702:M707" si="45">IF(L702=2,LN(B702),"")</f>
        <v>-14.634408943829779</v>
      </c>
      <c r="N702">
        <v>1.05</v>
      </c>
      <c r="O702" s="15">
        <v>1.2</v>
      </c>
      <c r="P702">
        <v>1</v>
      </c>
      <c r="Q702">
        <v>1.01</v>
      </c>
      <c r="R702">
        <v>1.2</v>
      </c>
      <c r="S702">
        <v>1.2</v>
      </c>
      <c r="T702">
        <v>3</v>
      </c>
      <c r="U702">
        <f t="shared" ref="U702:U707" si="46">LN(SQRT(EXP(
SQRT(
+POWER(LN(N702),2)
+POWER(LN(O702),2)
+POWER(LN(P702),2)
+POWER(LN(Q702),2)
+POWER(LN(R702),2)
+POWER(LN(S702),2)
+POWER(LN(T702),2)
)
)))</f>
        <v>0.57209088006881903</v>
      </c>
    </row>
    <row r="703" spans="1:22" hidden="1" x14ac:dyDescent="0.2">
      <c r="A703" t="s">
        <v>500</v>
      </c>
      <c r="B703" s="52">
        <f>B702*2</f>
        <v>8.8183421516754851E-7</v>
      </c>
      <c r="C703" t="s">
        <v>267</v>
      </c>
      <c r="E703" t="s">
        <v>85</v>
      </c>
      <c r="F703" t="s">
        <v>86</v>
      </c>
      <c r="G703" t="s">
        <v>501</v>
      </c>
      <c r="H703" t="s">
        <v>88</v>
      </c>
      <c r="I703" t="s">
        <v>621</v>
      </c>
      <c r="K703" t="str">
        <f>B662</f>
        <v>heat, residential, by combustion of hydrogen using boiler, transported by pipeline, produced by Steam Methane Reforming, with CCS using natural gas from Switzerland</v>
      </c>
      <c r="L703">
        <f t="shared" si="44"/>
        <v>2</v>
      </c>
      <c r="M703">
        <f t="shared" si="45"/>
        <v>-13.941261763269834</v>
      </c>
      <c r="N703">
        <v>1.05</v>
      </c>
      <c r="O703" s="15">
        <v>1.2</v>
      </c>
      <c r="P703">
        <v>1</v>
      </c>
      <c r="Q703">
        <v>1.01</v>
      </c>
      <c r="R703">
        <v>1.2</v>
      </c>
      <c r="S703">
        <v>1.2</v>
      </c>
      <c r="T703">
        <v>3</v>
      </c>
      <c r="U703">
        <f t="shared" si="46"/>
        <v>0.57209088006881903</v>
      </c>
    </row>
    <row r="704" spans="1:22" hidden="1" x14ac:dyDescent="0.2">
      <c r="A704" t="s">
        <v>130</v>
      </c>
      <c r="B704" s="52">
        <v>2.64E-3</v>
      </c>
      <c r="C704" t="s">
        <v>92</v>
      </c>
      <c r="E704" t="s">
        <v>64</v>
      </c>
      <c r="F704" t="s">
        <v>86</v>
      </c>
      <c r="G704" t="s">
        <v>93</v>
      </c>
      <c r="H704" t="s">
        <v>78</v>
      </c>
      <c r="I704" t="s">
        <v>270</v>
      </c>
      <c r="J704" t="s">
        <v>67</v>
      </c>
      <c r="K704" t="str">
        <f>B662</f>
        <v>heat, residential, by combustion of hydrogen using boiler, transported by pipeline, produced by Steam Methane Reforming, with CCS using natural gas from Switzerland</v>
      </c>
      <c r="L704">
        <f t="shared" si="44"/>
        <v>2</v>
      </c>
      <c r="M704">
        <f t="shared" si="45"/>
        <v>-5.9369763618239126</v>
      </c>
      <c r="N704">
        <v>1.05</v>
      </c>
      <c r="O704" s="15">
        <v>1.2</v>
      </c>
      <c r="P704">
        <v>1</v>
      </c>
      <c r="Q704">
        <v>1.01</v>
      </c>
      <c r="R704">
        <v>1.2</v>
      </c>
      <c r="S704">
        <v>1.2</v>
      </c>
      <c r="T704">
        <v>1.05</v>
      </c>
      <c r="U704">
        <f t="shared" si="46"/>
        <v>0.16169679924070957</v>
      </c>
    </row>
    <row r="705" spans="1:21" hidden="1" x14ac:dyDescent="0.2">
      <c r="A705" s="45" t="str">
        <f>"hydrogen supply, transported by "&amp;B676&amp;", produced by "&amp;B680&amp;" using "&amp;B681&amp;" from "&amp;B682</f>
        <v>hydrogen supply, transported by pipeline, produced by Steam Methane Reforming, with CCS using natural gas from Switzerland</v>
      </c>
      <c r="B705" s="53">
        <f>(B701/B685)/B684</f>
        <v>8.8652482269503553E-3</v>
      </c>
      <c r="C705" t="s">
        <v>56</v>
      </c>
      <c r="E705" t="s">
        <v>64</v>
      </c>
      <c r="F705" t="s">
        <v>86</v>
      </c>
      <c r="G705" s="67" t="s">
        <v>1129</v>
      </c>
      <c r="H705" t="s">
        <v>76</v>
      </c>
      <c r="I705" t="s">
        <v>1054</v>
      </c>
      <c r="J705" t="s">
        <v>306</v>
      </c>
      <c r="K705" t="str">
        <f>B662</f>
        <v>heat, residential, by combustion of hydrogen using boiler, transported by pipeline, produced by Steam Methane Reforming, with CCS using natural gas from Switzerland</v>
      </c>
      <c r="L705">
        <f t="shared" si="44"/>
        <v>2</v>
      </c>
      <c r="M705">
        <f t="shared" si="45"/>
        <v>-4.7256163390639587</v>
      </c>
      <c r="N705">
        <v>1.05</v>
      </c>
      <c r="O705" s="15">
        <v>1.2</v>
      </c>
      <c r="P705">
        <v>1</v>
      </c>
      <c r="Q705">
        <v>1.01</v>
      </c>
      <c r="R705">
        <v>1.2</v>
      </c>
      <c r="S705">
        <v>1.2</v>
      </c>
      <c r="T705">
        <v>1.05</v>
      </c>
      <c r="U705">
        <f t="shared" si="46"/>
        <v>0.16169679924070957</v>
      </c>
    </row>
    <row r="706" spans="1:21" hidden="1" x14ac:dyDescent="0.2">
      <c r="A706" t="s">
        <v>134</v>
      </c>
      <c r="B706" s="45">
        <f>B705*9</f>
        <v>7.9787234042553196E-2</v>
      </c>
      <c r="C706" t="s">
        <v>56</v>
      </c>
      <c r="D706" t="s">
        <v>100</v>
      </c>
      <c r="F706" t="s">
        <v>99</v>
      </c>
      <c r="H706" t="s">
        <v>131</v>
      </c>
      <c r="I706" t="s">
        <v>1058</v>
      </c>
      <c r="K706" t="str">
        <f>B662</f>
        <v>heat, residential, by combustion of hydrogen using boiler, transported by pipeline, produced by Steam Methane Reforming, with CCS using natural gas from Switzerland</v>
      </c>
      <c r="L706">
        <f t="shared" si="44"/>
        <v>2</v>
      </c>
      <c r="M706">
        <f t="shared" si="45"/>
        <v>-2.5283917617277392</v>
      </c>
      <c r="N706">
        <v>1.05</v>
      </c>
      <c r="O706" s="15">
        <v>1.2</v>
      </c>
      <c r="P706">
        <v>1</v>
      </c>
      <c r="Q706">
        <v>1.01</v>
      </c>
      <c r="R706">
        <v>1.2</v>
      </c>
      <c r="S706">
        <v>1.2</v>
      </c>
      <c r="T706">
        <v>1.05</v>
      </c>
      <c r="U706">
        <f t="shared" si="46"/>
        <v>0.16169679924070957</v>
      </c>
    </row>
    <row r="707" spans="1:21" hidden="1" x14ac:dyDescent="0.2">
      <c r="A707" t="s">
        <v>135</v>
      </c>
      <c r="B707" s="45">
        <f>912.5/1000000*B705</f>
        <v>8.0895390070921995E-6</v>
      </c>
      <c r="C707" t="s">
        <v>56</v>
      </c>
      <c r="D707" t="s">
        <v>100</v>
      </c>
      <c r="F707" t="s">
        <v>99</v>
      </c>
      <c r="H707" t="s">
        <v>131</v>
      </c>
      <c r="I707" t="s">
        <v>1217</v>
      </c>
      <c r="K707" t="str">
        <f>B662</f>
        <v>heat, residential, by combustion of hydrogen using boiler, transported by pipeline, produced by Steam Methane Reforming, with CCS using natural gas from Switzerland</v>
      </c>
      <c r="L707">
        <f t="shared" si="44"/>
        <v>2</v>
      </c>
      <c r="M707">
        <f t="shared" si="45"/>
        <v>-11.724938811571587</v>
      </c>
      <c r="N707">
        <v>1.05</v>
      </c>
      <c r="O707" s="15">
        <v>1.2</v>
      </c>
      <c r="P707">
        <v>1</v>
      </c>
      <c r="Q707">
        <v>1.01</v>
      </c>
      <c r="R707">
        <v>1.2</v>
      </c>
      <c r="S707">
        <v>1.2</v>
      </c>
      <c r="T707">
        <v>1.5</v>
      </c>
      <c r="U707">
        <f t="shared" si="46"/>
        <v>0.25816898211842121</v>
      </c>
    </row>
    <row r="708" spans="1:21" hidden="1" x14ac:dyDescent="0.2"/>
    <row r="709" spans="1:21" hidden="1" x14ac:dyDescent="0.2">
      <c r="A709" s="2" t="s">
        <v>50</v>
      </c>
      <c r="B709" s="44" t="str">
        <f>IF(B715="megajoule","heat","electricity")&amp;", residential, by "&amp;B720&amp;" of "&amp;B719&amp;" using "&amp;B721&amp;IF(B722&lt;&gt;0,", allocated by "&amp;B722,"")&amp;", transported by "&amp;B723&amp;", produced by "&amp;B727&amp;" using "&amp;B728&amp;" from "&amp;B729</f>
        <v>heat, residential, by combustion of hydrogen using CHP, allocated by exergy, transported by pipeline, produced by Steam Methane Reforming, with CCS using natural gas from Switzerland</v>
      </c>
    </row>
    <row r="710" spans="1:21" hidden="1" x14ac:dyDescent="0.2">
      <c r="A710" t="s">
        <v>51</v>
      </c>
      <c r="B710" s="45" t="str">
        <f>"This dataset represents the supply of 1 "&amp;IF(B715="megajoule","megajoule of heat","kilowatt hour of electricity")&amp;" in a residence, by "&amp;B719&amp;" "&amp;B720&amp;" in a "&amp;B721&amp;". "&amp;" The hydrogen is transported by "&amp;B723&amp;" over "&amp;B724&amp;" km from regional storage. "&amp;" The "&amp;B719&amp;" is produced by  "&amp;B727&amp;", with "&amp;B728&amp;" from "&amp;B729&amp;" as feedstock. "&amp;A731&amp;": "&amp;(B731*100)&amp;"%. "&amp;A732&amp;": "&amp;B732&amp;". "&amp;A733&amp;": "&amp;B733&amp;". "&amp;A734&amp;": "&amp;(B734*100)&amp;"%. "&amp;A735&amp;": "&amp;(B735*100)&amp;"%. "&amp;A736&amp;": "&amp;(B736*100)&amp;"%. "&amp;A737&amp;": "&amp;B737&amp;". "&amp;A738&amp;": "&amp;B738&amp;". "&amp;A739&amp;": "&amp;(B739*100)&amp;"%. "&amp;A740&amp;": "&amp;B740&amp;". "&amp;A741&amp;": "&amp;B741&amp;". "&amp;A742&amp;": "&amp;B742&amp;". "&amp;A743&amp;": "&amp;B743&amp;".  For more information, refer to: "&amp;B711</f>
        <v>This dataset represents the supply of 1 megajoule of heat in a residence, by hydrogen combustion in a CHP.  The hydrogen is transported by pipeline over 500 km from regional storage.  The hydrogen is produced by  Steam Methane Reforming, with CCS,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711" spans="1:21" hidden="1" x14ac:dyDescent="0.2">
      <c r="A711" t="s">
        <v>63</v>
      </c>
      <c r="B711" s="45" t="s">
        <v>660</v>
      </c>
    </row>
    <row r="712" spans="1:21" hidden="1" x14ac:dyDescent="0.2">
      <c r="A712" t="s">
        <v>52</v>
      </c>
      <c r="B712" s="45" t="s">
        <v>64</v>
      </c>
    </row>
    <row r="713" spans="1:21" hidden="1" x14ac:dyDescent="0.2">
      <c r="A713" t="s">
        <v>48</v>
      </c>
      <c r="B713" s="45">
        <v>138</v>
      </c>
    </row>
    <row r="714" spans="1:21" hidden="1" x14ac:dyDescent="0.2">
      <c r="A714" t="s">
        <v>54</v>
      </c>
      <c r="B714" s="45" t="str">
        <f>INDEX(overview!$B$4:$R$338,MATCH(B713,overview!$A$4:$A$338,0),MATCH(A714,overview!$B$3:$R$3,0))</f>
        <v>heat, from residential heating system</v>
      </c>
    </row>
    <row r="715" spans="1:21" hidden="1" x14ac:dyDescent="0.2">
      <c r="A715" t="s">
        <v>55</v>
      </c>
      <c r="B715" s="45" t="str">
        <f>INDEX(overview!$B$4:$R$338,MATCH(B713,overview!$A$4:$A$338,0),MATCH(A715,overview!$B$3:$R$3,0))</f>
        <v>megajoule</v>
      </c>
    </row>
    <row r="716" spans="1:21" hidden="1" x14ac:dyDescent="0.2">
      <c r="A716" t="s">
        <v>0</v>
      </c>
      <c r="B716" s="45" t="str">
        <f>INDEX(overview!$B$4:$R$338,MATCH(B713,overview!$A$4:$A$338,0),MATCH(A716,overview!$B$3:$R$3,0))</f>
        <v>Switzerland</v>
      </c>
    </row>
    <row r="717" spans="1:21" hidden="1" x14ac:dyDescent="0.2">
      <c r="A717" t="s">
        <v>1</v>
      </c>
      <c r="B717" s="45">
        <f>INDEX(overview!$B$4:$R$338,MATCH(B713,overview!$A$4:$A$338,0),MATCH(A717,overview!$B$3:$R$3,0))</f>
        <v>2020</v>
      </c>
    </row>
    <row r="718" spans="1:21" hidden="1" x14ac:dyDescent="0.2">
      <c r="A718" t="s">
        <v>2</v>
      </c>
      <c r="B718" s="45" t="str">
        <f>INDEX(overview!$B$4:$R$338,MATCH(B713,overview!$A$4:$A$338,0),MATCH(A718,overview!$B$3:$R$3,0))</f>
        <v>1 MJ heat</v>
      </c>
    </row>
    <row r="719" spans="1:21" hidden="1" x14ac:dyDescent="0.2">
      <c r="A719" t="s">
        <v>5</v>
      </c>
      <c r="B719" s="45" t="str">
        <f>INDEX(overview!$B$4:$R$338,MATCH(B713,overview!$A$4:$A$338,0),MATCH(A719,overview!$B$3:$R$3,0))</f>
        <v>hydrogen</v>
      </c>
    </row>
    <row r="720" spans="1:21" hidden="1" x14ac:dyDescent="0.2">
      <c r="A720" t="s">
        <v>3</v>
      </c>
      <c r="B720" s="45" t="str">
        <f>INDEX(overview!$B$4:$R$338,MATCH(B713,overview!$A$4:$A$338,0),MATCH(A720,overview!$B$3:$R$3,0))</f>
        <v>combustion</v>
      </c>
    </row>
    <row r="721" spans="1:2" hidden="1" x14ac:dyDescent="0.2">
      <c r="A721" t="s">
        <v>6</v>
      </c>
      <c r="B721" s="45" t="str">
        <f>INDEX(overview!$B$4:$R$338,MATCH(B713,overview!$A$4:$A$338,0),MATCH(A721,overview!$B$3:$R$3,0))</f>
        <v>CHP</v>
      </c>
    </row>
    <row r="722" spans="1:2" hidden="1" x14ac:dyDescent="0.2">
      <c r="A722" t="s">
        <v>39</v>
      </c>
      <c r="B722" s="45" t="str">
        <f>INDEX(overview!$B$4:$R$338,MATCH(B713,overview!$A$4:$A$338,0),MATCH(A722,overview!$B$3:$R$3,0))</f>
        <v>exergy</v>
      </c>
    </row>
    <row r="723" spans="1:2" hidden="1" x14ac:dyDescent="0.2">
      <c r="A723" t="s">
        <v>4</v>
      </c>
      <c r="B723" s="45" t="str">
        <f>INDEX(overview!$B$4:$R$338,MATCH(B713,overview!$A$4:$A$338,0),MATCH(A723,overview!$B$3:$R$3,0))</f>
        <v>pipeline</v>
      </c>
    </row>
    <row r="724" spans="1:2" hidden="1" x14ac:dyDescent="0.2">
      <c r="A724" t="s">
        <v>38</v>
      </c>
      <c r="B724" s="45">
        <f>INDEX(overview!$B$4:$R$338,MATCH(B713,overview!$A$4:$A$338,0),MATCH(A724,overview!$B$3:$R$3,0))</f>
        <v>500</v>
      </c>
    </row>
    <row r="725" spans="1:2" hidden="1" x14ac:dyDescent="0.2">
      <c r="A725" t="s">
        <v>12</v>
      </c>
      <c r="B725" s="45" t="str">
        <f>INDEX(overview!$B$4:$R$338,MATCH(B713,overview!$A$4:$A$338,0),MATCH(A725,overview!$B$3:$R$3,0))</f>
        <v>Pressure vessel for stationary storage</v>
      </c>
    </row>
    <row r="726" spans="1:2" hidden="1" x14ac:dyDescent="0.2">
      <c r="A726" t="s">
        <v>34</v>
      </c>
      <c r="B726" s="45">
        <f>INDEX(overview!$B$4:$R$338,MATCH(B713,overview!$A$4:$A$338,0),MATCH(A726,overview!$B$3:$R$3,0))</f>
        <v>0</v>
      </c>
    </row>
    <row r="727" spans="1:2" hidden="1" x14ac:dyDescent="0.2">
      <c r="A727" t="s">
        <v>15</v>
      </c>
      <c r="B727" s="45" t="str">
        <f>INDEX(overview!$B$4:$R$338,MATCH(B713,overview!$A$4:$A$338,0),MATCH(A727,overview!$B$3:$R$3,0))</f>
        <v>Steam Methane Reforming, with CCS</v>
      </c>
    </row>
    <row r="728" spans="1:2" hidden="1" x14ac:dyDescent="0.2">
      <c r="A728" t="s">
        <v>14</v>
      </c>
      <c r="B728" s="45" t="str">
        <f>INDEX(overview!$B$4:$R$338,MATCH(B713,overview!$A$4:$A$338,0),MATCH(A728,overview!$B$3:$R$3,0))</f>
        <v>natural gas</v>
      </c>
    </row>
    <row r="729" spans="1:2" hidden="1" x14ac:dyDescent="0.2">
      <c r="A729" t="s">
        <v>26</v>
      </c>
      <c r="B729" s="45" t="str">
        <f>INDEX(overview!$B$4:$R$338,MATCH(B713,overview!$A$4:$A$338,0),MATCH(A729,overview!$B$3:$R$3,0))</f>
        <v>Switzerland</v>
      </c>
    </row>
    <row r="730" spans="1:2" hidden="1" x14ac:dyDescent="0.2">
      <c r="A730" t="s">
        <v>29</v>
      </c>
      <c r="B730" s="45">
        <f>INDEX(overview!$B$4:$R$338,MATCH(B713,overview!$A$4:$A$338,0),MATCH(A730,overview!$B$3:$R$3,0))</f>
        <v>0</v>
      </c>
    </row>
    <row r="731" spans="1:2" hidden="1" x14ac:dyDescent="0.2">
      <c r="A731" t="str">
        <f>IF(B715="megajoule","Heat","Electricity")&amp;" conversion efficiency [% LHV input]"</f>
        <v>Heat conversion efficiency [% LHV input]</v>
      </c>
      <c r="B731" s="46">
        <f>INDEX(parameters!$D$4:$N$20,MATCH(B719&amp;B721,parameters!$A$4:$A$20,0),MATCH(A731,parameters!$D$3:$N$3,0))</f>
        <v>0.41699999999999998</v>
      </c>
    </row>
    <row r="732" spans="1:2" hidden="1" x14ac:dyDescent="0.2">
      <c r="A732" t="str">
        <f>IF(B715="megajoule","LHV [MJ/kg]","LHV [kWh/kg]")</f>
        <v>LHV [MJ/kg]</v>
      </c>
      <c r="B732" s="47">
        <f>INDEX(parameters!$D$4:$N$20,MATCH(B719&amp;B721,parameters!$A$4:$A$20,0),MATCH(A732,parameters!$D$3:$N$3,0))</f>
        <v>120</v>
      </c>
    </row>
    <row r="733" spans="1:2" hidden="1" x14ac:dyDescent="0.2">
      <c r="A733" t="s">
        <v>41</v>
      </c>
      <c r="B733" s="48">
        <f>INDEX(parameters!$D$4:$N$20,MATCH(B719&amp;B721,parameters!$A$4:$A$20,0),MATCH(A733,parameters!$D$3:$N$3,0))</f>
        <v>2.6666666666666665E-2</v>
      </c>
    </row>
    <row r="734" spans="1:2" hidden="1" x14ac:dyDescent="0.2">
      <c r="A734" t="s">
        <v>45</v>
      </c>
      <c r="B734" s="46">
        <f>INDEX(parameters!$D$4:$N$20,MATCH(B719&amp;B721,parameters!$A$4:$A$20,0),MATCH(A734,parameters!$D$3:$N$3,0))</f>
        <v>0</v>
      </c>
    </row>
    <row r="735" spans="1:2" hidden="1" x14ac:dyDescent="0.2">
      <c r="A735" t="s">
        <v>46</v>
      </c>
      <c r="B735" s="46">
        <f>INDEX(parameters!$D$4:$N$20,MATCH(B719&amp;B721,parameters!$A$4:$A$20,0),MATCH(A735,parameters!$D$3:$N$3,0))</f>
        <v>1.4999999999999999E-2</v>
      </c>
    </row>
    <row r="736" spans="1:2" hidden="1" x14ac:dyDescent="0.2">
      <c r="A736" t="s">
        <v>43</v>
      </c>
      <c r="B736" s="46">
        <f>INDEX(parameters!$D$4:$N$20,MATCH(B719&amp;B721,parameters!$A$4:$A$20,0),MATCH(A736,parameters!$D$3:$N$3,0))</f>
        <v>0</v>
      </c>
    </row>
    <row r="737" spans="1:22" hidden="1" x14ac:dyDescent="0.2">
      <c r="A737" t="s">
        <v>44</v>
      </c>
      <c r="B737" s="46">
        <f>INDEX(parameters!$D$4:$N$20,MATCH(B719&amp;B721,parameters!$A$4:$A$20,0),MATCH(A737,parameters!$D$3:$N$3,0))</f>
        <v>0</v>
      </c>
    </row>
    <row r="738" spans="1:22" hidden="1" x14ac:dyDescent="0.2">
      <c r="A738" t="s">
        <v>634</v>
      </c>
      <c r="B738" s="50">
        <f>INDEX(parameters!$D$4:$Y$20,MATCH(B719&amp;B721,parameters!$A$4:$A$20,0),MATCH(A738,parameters!$D$3:$Y$3,0))</f>
        <v>351.41800246609125</v>
      </c>
    </row>
    <row r="739" spans="1:22" hidden="1" x14ac:dyDescent="0.2">
      <c r="A739" t="s">
        <v>82</v>
      </c>
      <c r="B739" s="46">
        <f>IF(B730&lt;&gt;0,VLOOKUP(B730,parameters!A508:B510,2,0),0)</f>
        <v>0</v>
      </c>
    </row>
    <row r="740" spans="1:22" hidden="1" x14ac:dyDescent="0.2">
      <c r="A740" t="s">
        <v>548</v>
      </c>
      <c r="B740" s="50">
        <f>INDEX(parameters!$D$4:$P$20,MATCH(B719&amp;B721,parameters!$A$4:$A$20,0),MATCH(A740,parameters!$D$3:$P$3,0))</f>
        <v>125</v>
      </c>
    </row>
    <row r="741" spans="1:22" hidden="1" x14ac:dyDescent="0.2">
      <c r="A741" t="s">
        <v>547</v>
      </c>
      <c r="B741" s="51">
        <f>INDEX(parameters!$D$4:$P$20,MATCH(B719&amp;B721,parameters!$A$4:$A$20,0),MATCH(A741,parameters!$D$3:$P$3,0))</f>
        <v>19.512195121951219</v>
      </c>
    </row>
    <row r="742" spans="1:22" hidden="1" x14ac:dyDescent="0.2">
      <c r="A742" t="s">
        <v>630</v>
      </c>
      <c r="B742" s="51">
        <f>INDEX(parameters!$D$4:$T$20,MATCH(B719&amp;B721,parameters!$A$4:$A$20,0),MATCH(A742,parameters!$D$3:$T$3,0))</f>
        <v>4100</v>
      </c>
    </row>
    <row r="743" spans="1:22" hidden="1" x14ac:dyDescent="0.2">
      <c r="A743" t="s">
        <v>1005</v>
      </c>
      <c r="B743" s="50">
        <f>IF(B715="megajoule",SUMIFS(allocation!$I$4:$I$30,allocation!$B$4:$B$30,B721,allocation!$C$4:$C$30,B722),SUMIFS(allocation!$J$4:$J$30,allocation!$B$4:$B$30,B721,allocation!$C$4:$C$30,B722))</f>
        <v>0.12860042227295038</v>
      </c>
    </row>
    <row r="744" spans="1:22" hidden="1" x14ac:dyDescent="0.2">
      <c r="A744" t="s">
        <v>1050</v>
      </c>
      <c r="B744" s="51">
        <f>INDEX(parameters!$D$4:$AB$20,MATCH(B719&amp;B721,parameters!$A$4:$A$20,0),MATCH(A744,parameters!$D$3:$AB$3,0))</f>
        <v>2220.7364520822662</v>
      </c>
    </row>
    <row r="745" spans="1:22" hidden="1" x14ac:dyDescent="0.2"/>
    <row r="746" spans="1:22" hidden="1" x14ac:dyDescent="0.2">
      <c r="A746" s="3" t="s">
        <v>57</v>
      </c>
    </row>
    <row r="747" spans="1:22" hidden="1" x14ac:dyDescent="0.2">
      <c r="A747" s="2" t="s">
        <v>58</v>
      </c>
      <c r="B747" s="44" t="s">
        <v>59</v>
      </c>
      <c r="C747" s="2" t="s">
        <v>55</v>
      </c>
      <c r="D747" s="2" t="s">
        <v>60</v>
      </c>
      <c r="E747" s="2" t="s">
        <v>52</v>
      </c>
      <c r="F747" s="2" t="s">
        <v>61</v>
      </c>
      <c r="G747" s="2" t="s">
        <v>54</v>
      </c>
      <c r="H747" s="2" t="s">
        <v>87</v>
      </c>
      <c r="I747" s="2" t="s">
        <v>51</v>
      </c>
      <c r="J747" s="2" t="s">
        <v>138</v>
      </c>
      <c r="K747" s="2" t="s">
        <v>136</v>
      </c>
      <c r="L747" s="2" t="s">
        <v>221</v>
      </c>
      <c r="M747" s="2" t="s">
        <v>379</v>
      </c>
      <c r="N747" s="2" t="s">
        <v>1059</v>
      </c>
      <c r="O747" s="2" t="s">
        <v>1060</v>
      </c>
      <c r="P747" s="2" t="s">
        <v>1061</v>
      </c>
      <c r="Q747" s="2" t="s">
        <v>1062</v>
      </c>
      <c r="R747" s="2" t="s">
        <v>1063</v>
      </c>
      <c r="S747" s="2" t="s">
        <v>1064</v>
      </c>
      <c r="T747" s="2" t="s">
        <v>1065</v>
      </c>
      <c r="U747" s="2" t="s">
        <v>380</v>
      </c>
      <c r="V747" s="2" t="s">
        <v>1128</v>
      </c>
    </row>
    <row r="748" spans="1:22" hidden="1" x14ac:dyDescent="0.2">
      <c r="A748" t="str">
        <f>B709</f>
        <v>heat, residential, by combustion of hydrogen using CHP, allocated by exergy, transported by pipeline, produced by Steam Methane Reforming, with CCS using natural gas from Switzerland</v>
      </c>
      <c r="B748" s="45">
        <v>1</v>
      </c>
      <c r="C748" t="str">
        <f>B715</f>
        <v>megajoule</v>
      </c>
      <c r="E748" t="str">
        <f>B712</f>
        <v>CH</v>
      </c>
      <c r="F748" t="s">
        <v>62</v>
      </c>
      <c r="G748" t="str">
        <f>B714</f>
        <v>heat, from residential heating system</v>
      </c>
      <c r="K748" t="str">
        <f>B709</f>
        <v>heat, residential, by combustion of hydrogen using CHP, allocated by exergy, transported by pipeline, produced by Steam Methane Reforming, with CCS using natural gas from Switzerland</v>
      </c>
    </row>
    <row r="749" spans="1:22" hidden="1" x14ac:dyDescent="0.2">
      <c r="A749" t="str">
        <f>VLOOKUP(J749,'dataset mapping'!$A$4:$E$69,2,0)</f>
        <v>heat and power co-generation unit construction, 160kW electrical, common components for heat+electricity</v>
      </c>
      <c r="B749" s="52">
        <f>(1/(B738*B742*B741*3.6))*B743</f>
        <v>1.270649883812899E-9</v>
      </c>
      <c r="C749" t="str">
        <f>VLOOKUP(J749,'dataset mapping'!$A$4:$E$69,5,0)</f>
        <v>unit</v>
      </c>
      <c r="E749" t="str">
        <f>VLOOKUP(J749,'dataset mapping'!$A$4:$E$69,4,0)</f>
        <v>RER</v>
      </c>
      <c r="F749" t="s">
        <v>86</v>
      </c>
      <c r="G749" t="str">
        <f>VLOOKUP(J749,'dataset mapping'!$A$4:$E$69,3,0)</f>
        <v>heat and power co-generation unit, 160kW electrical, common components for heat+electricity</v>
      </c>
      <c r="H749" t="s">
        <v>88</v>
      </c>
      <c r="J749" t="s">
        <v>145</v>
      </c>
      <c r="K749" t="str">
        <f>B709</f>
        <v>heat, residential, by combustion of hydrogen using CHP, allocated by exergy, transported by pipeline, produced by Steam Methane Reforming, with CCS using natural gas from Switzerland</v>
      </c>
      <c r="L749">
        <f t="shared" ref="L749:L756" si="47">IF(OR(B749&lt;0,B749=0),1,2)</f>
        <v>2</v>
      </c>
      <c r="M749">
        <f t="shared" ref="M749:M756" si="48">IF(L749=2,LN(B749),"")</f>
        <v>-20.48373734782199</v>
      </c>
      <c r="N749">
        <v>1.05</v>
      </c>
      <c r="O749" s="15">
        <v>1.2</v>
      </c>
      <c r="P749">
        <v>1</v>
      </c>
      <c r="Q749">
        <v>1.01</v>
      </c>
      <c r="R749">
        <v>1.2</v>
      </c>
      <c r="S749">
        <v>1.2</v>
      </c>
      <c r="T749">
        <v>3</v>
      </c>
      <c r="U749">
        <f t="shared" ref="U749:U756" si="49">LN(SQRT(EXP(
SQRT(
+POWER(LN(N749),2)
+POWER(LN(O749),2)
+POWER(LN(P749),2)
+POWER(LN(Q749),2)
+POWER(LN(R749),2)
+POWER(LN(S749),2)
+POWER(LN(T749),2)
)
)))</f>
        <v>0.57209088006881903</v>
      </c>
    </row>
    <row r="750" spans="1:22" hidden="1" x14ac:dyDescent="0.2">
      <c r="A750" t="str">
        <f>VLOOKUP(J750,'dataset mapping'!$A$4:$E$69,2,0)</f>
        <v>heat and power co-generation unit construction, 160kW electrical, components for electricity only</v>
      </c>
      <c r="B750" s="52">
        <f>(1/(B738*B742*B741*3.6))*B743</f>
        <v>1.270649883812899E-9</v>
      </c>
      <c r="C750" t="str">
        <f>VLOOKUP(J750,'dataset mapping'!$A$4:$E$69,5,0)</f>
        <v>unit</v>
      </c>
      <c r="E750" t="str">
        <f>VLOOKUP(J750,'dataset mapping'!$A$4:$E$69,4,0)</f>
        <v>RER</v>
      </c>
      <c r="F750" t="s">
        <v>86</v>
      </c>
      <c r="G750" t="str">
        <f>VLOOKUP(J750,'dataset mapping'!$A$4:$E$69,3,0)</f>
        <v>heat and power co-generation unit, 160kW electrical, components for electricity only</v>
      </c>
      <c r="H750" t="s">
        <v>88</v>
      </c>
      <c r="J750" t="s">
        <v>146</v>
      </c>
      <c r="K750" t="str">
        <f>B709</f>
        <v>heat, residential, by combustion of hydrogen using CHP, allocated by exergy, transported by pipeline, produced by Steam Methane Reforming, with CCS using natural gas from Switzerland</v>
      </c>
      <c r="L750">
        <f t="shared" si="47"/>
        <v>2</v>
      </c>
      <c r="M750">
        <f t="shared" si="48"/>
        <v>-20.48373734782199</v>
      </c>
      <c r="N750">
        <v>1.05</v>
      </c>
      <c r="O750" s="15">
        <v>1.2</v>
      </c>
      <c r="P750">
        <v>1</v>
      </c>
      <c r="Q750">
        <v>1.01</v>
      </c>
      <c r="R750">
        <v>1.2</v>
      </c>
      <c r="S750">
        <v>1.2</v>
      </c>
      <c r="T750">
        <v>3</v>
      </c>
      <c r="U750">
        <f t="shared" si="49"/>
        <v>0.57209088006881903</v>
      </c>
    </row>
    <row r="751" spans="1:22" hidden="1" x14ac:dyDescent="0.2">
      <c r="A751" t="str">
        <f>VLOOKUP(J751,'dataset mapping'!$A$4:$E$69,2,0)</f>
        <v>heat and power co-generation unit construction, 160kW electrical, components for heat only</v>
      </c>
      <c r="B751" s="52">
        <f>(1/(B738*B742*B741*3.6))*B743</f>
        <v>1.270649883812899E-9</v>
      </c>
      <c r="C751" t="str">
        <f>VLOOKUP(J751,'dataset mapping'!$A$4:$E$69,5,0)</f>
        <v>unit</v>
      </c>
      <c r="E751" t="str">
        <f>VLOOKUP(J751,'dataset mapping'!$A$4:$E$69,4,0)</f>
        <v>RER</v>
      </c>
      <c r="F751" t="s">
        <v>86</v>
      </c>
      <c r="G751" t="str">
        <f>VLOOKUP(J751,'dataset mapping'!$A$4:$E$69,3,0)</f>
        <v>heat and power co-generation unit, 160kW electrical, components for heat only</v>
      </c>
      <c r="H751" t="s">
        <v>88</v>
      </c>
      <c r="J751" t="s">
        <v>147</v>
      </c>
      <c r="K751" t="str">
        <f>B709</f>
        <v>heat, residential, by combustion of hydrogen using CHP, allocated by exergy, transported by pipeline, produced by Steam Methane Reforming, with CCS using natural gas from Switzerland</v>
      </c>
      <c r="L751">
        <f t="shared" si="47"/>
        <v>2</v>
      </c>
      <c r="M751">
        <f t="shared" si="48"/>
        <v>-20.48373734782199</v>
      </c>
      <c r="N751">
        <v>1.05</v>
      </c>
      <c r="O751" s="15">
        <v>1.2</v>
      </c>
      <c r="P751">
        <v>1</v>
      </c>
      <c r="Q751">
        <v>1.01</v>
      </c>
      <c r="R751">
        <v>1.2</v>
      </c>
      <c r="S751">
        <v>1.2</v>
      </c>
      <c r="T751">
        <v>3</v>
      </c>
      <c r="U751">
        <f t="shared" si="49"/>
        <v>0.57209088006881903</v>
      </c>
    </row>
    <row r="752" spans="1:22" hidden="1" x14ac:dyDescent="0.2">
      <c r="A752" t="s">
        <v>156</v>
      </c>
      <c r="B752" s="52">
        <f>0.00000011366*B743</f>
        <v>1.461672399554354E-8</v>
      </c>
      <c r="C752" t="s">
        <v>56</v>
      </c>
      <c r="E752" t="s">
        <v>90</v>
      </c>
      <c r="F752" t="s">
        <v>86</v>
      </c>
      <c r="G752" t="s">
        <v>154</v>
      </c>
      <c r="H752" t="s">
        <v>155</v>
      </c>
      <c r="K752" t="str">
        <f>B709</f>
        <v>heat, residential, by combustion of hydrogen using CHP, allocated by exergy, transported by pipeline, produced by Steam Methane Reforming, with CCS using natural gas from Switzerland</v>
      </c>
      <c r="L752">
        <f t="shared" si="47"/>
        <v>2</v>
      </c>
      <c r="M752">
        <f t="shared" si="48"/>
        <v>-18.041099484645969</v>
      </c>
      <c r="N752">
        <v>1.05</v>
      </c>
      <c r="O752" s="15">
        <v>1.2</v>
      </c>
      <c r="P752">
        <v>1</v>
      </c>
      <c r="Q752">
        <v>1.01</v>
      </c>
      <c r="R752">
        <v>1.2</v>
      </c>
      <c r="S752">
        <v>1.2</v>
      </c>
      <c r="T752">
        <v>1.05</v>
      </c>
      <c r="U752">
        <f t="shared" si="49"/>
        <v>0.16169679924070957</v>
      </c>
    </row>
    <row r="753" spans="1:22" hidden="1" x14ac:dyDescent="0.2">
      <c r="A753" t="s">
        <v>157</v>
      </c>
      <c r="B753" s="52">
        <f>0.00000011366*B743*-1</f>
        <v>-1.461672399554354E-8</v>
      </c>
      <c r="C753" t="s">
        <v>56</v>
      </c>
      <c r="E753" t="s">
        <v>64</v>
      </c>
      <c r="F753" t="s">
        <v>86</v>
      </c>
      <c r="G753" t="s">
        <v>158</v>
      </c>
      <c r="H753" t="s">
        <v>155</v>
      </c>
      <c r="K753" t="str">
        <f>B709</f>
        <v>heat, residential, by combustion of hydrogen using CHP, allocated by exergy, transported by pipeline, produced by Steam Methane Reforming, with CCS using natural gas from Switzerland</v>
      </c>
      <c r="L753">
        <v>2</v>
      </c>
      <c r="M753">
        <f>IF(L753=2,LN(B753*-1),"")</f>
        <v>-18.041099484645969</v>
      </c>
      <c r="N753">
        <v>1.05</v>
      </c>
      <c r="O753" s="15">
        <v>1.2</v>
      </c>
      <c r="P753">
        <v>1</v>
      </c>
      <c r="Q753">
        <v>1.01</v>
      </c>
      <c r="R753">
        <v>1.2</v>
      </c>
      <c r="S753">
        <v>1.2</v>
      </c>
      <c r="T753">
        <v>3</v>
      </c>
      <c r="U753">
        <f>LN(SQRT(EXP(
SQRT(
+POWER(LN(N753),2)
+POWER(LN(O753),2)
+POWER(LN(P753),2)
+POWER(LN(Q753),2)
+POWER(LN(R753),2)
+POWER(LN(S753),2)
+POWER(LN(T753),2)
)
)))</f>
        <v>0.57209088006881903</v>
      </c>
      <c r="V753" t="b">
        <v>1</v>
      </c>
    </row>
    <row r="754" spans="1:22" hidden="1" x14ac:dyDescent="0.2">
      <c r="A754" s="45" t="str">
        <f>"hydrogen supply, transported by "&amp;B723&amp;", produced by "&amp;B727&amp;" using "&amp;B728&amp;" from "&amp;B729</f>
        <v>hydrogen supply, transported by pipeline, produced by Steam Methane Reforming, with CCS using natural gas from Switzerland</v>
      </c>
      <c r="B754" s="53">
        <f>(B748/B732)/B731*B743</f>
        <v>2.56995248347223E-3</v>
      </c>
      <c r="C754" t="s">
        <v>56</v>
      </c>
      <c r="E754" t="s">
        <v>64</v>
      </c>
      <c r="F754" t="s">
        <v>86</v>
      </c>
      <c r="G754" s="67" t="s">
        <v>1129</v>
      </c>
      <c r="H754" t="s">
        <v>76</v>
      </c>
      <c r="I754" t="s">
        <v>1054</v>
      </c>
      <c r="J754" t="s">
        <v>306</v>
      </c>
      <c r="K754" t="str">
        <f>B709</f>
        <v>heat, residential, by combustion of hydrogen using CHP, allocated by exergy, transported by pipeline, produced by Steam Methane Reforming, with CCS using natural gas from Switzerland</v>
      </c>
      <c r="L754">
        <f t="shared" si="47"/>
        <v>2</v>
      </c>
      <c r="M754">
        <f t="shared" si="48"/>
        <v>-5.9638678691672418</v>
      </c>
      <c r="N754">
        <v>1.05</v>
      </c>
      <c r="O754" s="15">
        <v>1.2</v>
      </c>
      <c r="P754">
        <v>1</v>
      </c>
      <c r="Q754">
        <v>1.01</v>
      </c>
      <c r="R754">
        <v>1.2</v>
      </c>
      <c r="S754">
        <v>1.2</v>
      </c>
      <c r="T754">
        <v>1.05</v>
      </c>
      <c r="U754">
        <f t="shared" si="49"/>
        <v>0.16169679924070957</v>
      </c>
    </row>
    <row r="755" spans="1:22" hidden="1" x14ac:dyDescent="0.2">
      <c r="A755" t="s">
        <v>134</v>
      </c>
      <c r="B755" s="45">
        <f>B754*9</f>
        <v>2.3129572351250072E-2</v>
      </c>
      <c r="C755" t="s">
        <v>56</v>
      </c>
      <c r="D755" t="s">
        <v>100</v>
      </c>
      <c r="F755" t="s">
        <v>99</v>
      </c>
      <c r="H755" t="s">
        <v>131</v>
      </c>
      <c r="I755" t="s">
        <v>1058</v>
      </c>
      <c r="K755" t="str">
        <f>B709</f>
        <v>heat, residential, by combustion of hydrogen using CHP, allocated by exergy, transported by pipeline, produced by Steam Methane Reforming, with CCS using natural gas from Switzerland</v>
      </c>
      <c r="L755">
        <f t="shared" si="47"/>
        <v>2</v>
      </c>
      <c r="M755">
        <f t="shared" si="48"/>
        <v>-3.7666432918310226</v>
      </c>
      <c r="N755">
        <v>1.05</v>
      </c>
      <c r="O755" s="15">
        <v>1.2</v>
      </c>
      <c r="P755">
        <v>1</v>
      </c>
      <c r="Q755">
        <v>1.01</v>
      </c>
      <c r="R755">
        <v>1.2</v>
      </c>
      <c r="S755">
        <v>1.2</v>
      </c>
      <c r="T755">
        <v>1.05</v>
      </c>
      <c r="U755">
        <f t="shared" si="49"/>
        <v>0.16169679924070957</v>
      </c>
    </row>
    <row r="756" spans="1:22" hidden="1" x14ac:dyDescent="0.2">
      <c r="A756" t="s">
        <v>135</v>
      </c>
      <c r="B756" s="45">
        <f>912.5/1000000*B754</f>
        <v>2.3450816411684101E-6</v>
      </c>
      <c r="C756" t="s">
        <v>56</v>
      </c>
      <c r="D756" t="s">
        <v>100</v>
      </c>
      <c r="F756" t="s">
        <v>99</v>
      </c>
      <c r="H756" t="s">
        <v>131</v>
      </c>
      <c r="I756" t="s">
        <v>1217</v>
      </c>
      <c r="K756" t="str">
        <f>B709</f>
        <v>heat, residential, by combustion of hydrogen using CHP, allocated by exergy, transported by pipeline, produced by Steam Methane Reforming, with CCS using natural gas from Switzerland</v>
      </c>
      <c r="L756">
        <f t="shared" si="47"/>
        <v>2</v>
      </c>
      <c r="M756">
        <f t="shared" si="48"/>
        <v>-12.963190341674869</v>
      </c>
      <c r="N756">
        <v>1.05</v>
      </c>
      <c r="O756" s="15">
        <v>1.2</v>
      </c>
      <c r="P756">
        <v>1</v>
      </c>
      <c r="Q756">
        <v>1.01</v>
      </c>
      <c r="R756">
        <v>1.2</v>
      </c>
      <c r="S756">
        <v>1.2</v>
      </c>
      <c r="T756">
        <v>1.5</v>
      </c>
      <c r="U756">
        <f t="shared" si="49"/>
        <v>0.25816898211842121</v>
      </c>
    </row>
    <row r="757" spans="1:22" hidden="1" x14ac:dyDescent="0.2"/>
    <row r="758" spans="1:22" hidden="1" x14ac:dyDescent="0.2">
      <c r="A758" s="2" t="s">
        <v>50</v>
      </c>
      <c r="B758" s="44" t="str">
        <f>IF(B764="megajoule","heat","electricity")&amp;", residential, by "&amp;B769&amp;" of "&amp;B768&amp;" using "&amp;B770&amp;IF(B771&lt;&gt;0,", allocated by "&amp;B771,"")&amp;", transported by "&amp;B772&amp;", produced by "&amp;B776&amp;" using "&amp;B777&amp;" from "&amp;B778</f>
        <v>heat, residential, by conversion of hydrogen using fuel cell, PEM, allocated by exergy, transported by pipeline, produced by Steam Methane Reforming, with CCS using natural gas from Switzerland</v>
      </c>
    </row>
    <row r="759" spans="1:22" hidden="1" x14ac:dyDescent="0.2">
      <c r="A759" t="s">
        <v>51</v>
      </c>
      <c r="B759" s="45" t="str">
        <f>"This dataset represents the supply of 1 "&amp;IF(B764="megajoule","megajoule of heat","kilowatt hour of electricity")&amp;" in a residence, by "&amp;B768&amp;" "&amp;B769&amp;" in a "&amp;B770&amp;". "&amp;" The hydrogen is transported by "&amp;B772&amp;" over "&amp;B773&amp;" km from regional storage. "&amp;" The "&amp;B768&amp;" is produced by  "&amp;B776&amp;", with "&amp;B777&amp;" from "&amp;B778&amp;" as feedstock. "&amp;A780&amp;": "&amp;(B780*100)&amp;"%. "&amp;A781&amp;": "&amp;B781&amp;". "&amp;A782&amp;": "&amp;B782&amp;". "&amp;A783&amp;": "&amp;(B783*100)&amp;"%. "&amp;A784&amp;": "&amp;(B784*100)&amp;"%. "&amp;A785&amp;": "&amp;(B785*100)&amp;"%. "&amp;A786&amp;": "&amp;B786&amp;". "&amp;A787&amp;": "&amp;B787&amp;". "&amp;A788&amp;": "&amp;(B788*100)&amp;"%. "&amp;A789&amp;": "&amp;B789&amp;". "&amp;A790&amp;": "&amp;B790&amp;". "&amp;A791&amp;": "&amp;B791&amp;". "&amp;A792&amp;": "&amp;B792&amp;".  For more information, refer to: "&amp;B760</f>
        <v>This dataset represents the supply of 1 megajoule of heat in a residence, by hydrogen conversion in a fuel cell, PEM.  The hydrogen is transported by pipeline over 500 km from regional storage.  The hydrogen is produced by  Steam Methane Reforming, with CCS,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760" spans="1:22" hidden="1" x14ac:dyDescent="0.2">
      <c r="A760" t="s">
        <v>63</v>
      </c>
      <c r="B760" s="45" t="s">
        <v>660</v>
      </c>
    </row>
    <row r="761" spans="1:22" hidden="1" x14ac:dyDescent="0.2">
      <c r="A761" t="s">
        <v>52</v>
      </c>
      <c r="B761" s="45" t="s">
        <v>64</v>
      </c>
    </row>
    <row r="762" spans="1:22" hidden="1" x14ac:dyDescent="0.2">
      <c r="A762" t="s">
        <v>48</v>
      </c>
      <c r="B762" s="45">
        <v>139</v>
      </c>
    </row>
    <row r="763" spans="1:22" hidden="1" x14ac:dyDescent="0.2">
      <c r="A763" t="s">
        <v>54</v>
      </c>
      <c r="B763" s="45" t="str">
        <f>INDEX(overview!$B$4:$R$338,MATCH(B762,overview!$A$4:$A$338,0),MATCH(A763,overview!$B$3:$R$3,0))</f>
        <v>heat, from residential heating system</v>
      </c>
    </row>
    <row r="764" spans="1:22" hidden="1" x14ac:dyDescent="0.2">
      <c r="A764" t="s">
        <v>55</v>
      </c>
      <c r="B764" s="45" t="str">
        <f>INDEX(overview!$B$4:$R$338,MATCH(B762,overview!$A$4:$A$338,0),MATCH(A764,overview!$B$3:$R$3,0))</f>
        <v>megajoule</v>
      </c>
    </row>
    <row r="765" spans="1:22" hidden="1" x14ac:dyDescent="0.2">
      <c r="A765" t="s">
        <v>0</v>
      </c>
      <c r="B765" s="45" t="str">
        <f>INDEX(overview!$B$4:$R$338,MATCH(B762,overview!$A$4:$A$338,0),MATCH(A765,overview!$B$3:$R$3,0))</f>
        <v>Switzerland</v>
      </c>
    </row>
    <row r="766" spans="1:22" hidden="1" x14ac:dyDescent="0.2">
      <c r="A766" t="s">
        <v>1</v>
      </c>
      <c r="B766" s="45">
        <f>INDEX(overview!$B$4:$R$338,MATCH(B762,overview!$A$4:$A$338,0),MATCH(A766,overview!$B$3:$R$3,0))</f>
        <v>2020</v>
      </c>
    </row>
    <row r="767" spans="1:22" hidden="1" x14ac:dyDescent="0.2">
      <c r="A767" t="s">
        <v>2</v>
      </c>
      <c r="B767" s="45" t="str">
        <f>INDEX(overview!$B$4:$R$338,MATCH(B762,overview!$A$4:$A$338,0),MATCH(A767,overview!$B$3:$R$3,0))</f>
        <v>1 MJ heat</v>
      </c>
    </row>
    <row r="768" spans="1:22" hidden="1" x14ac:dyDescent="0.2">
      <c r="A768" t="s">
        <v>5</v>
      </c>
      <c r="B768" s="45" t="str">
        <f>INDEX(overview!$B$4:$R$338,MATCH(B762,overview!$A$4:$A$338,0),MATCH(A768,overview!$B$3:$R$3,0))</f>
        <v>hydrogen</v>
      </c>
    </row>
    <row r="769" spans="1:2" hidden="1" x14ac:dyDescent="0.2">
      <c r="A769" t="s">
        <v>3</v>
      </c>
      <c r="B769" s="45" t="str">
        <f>INDEX(overview!$B$4:$R$338,MATCH(B762,overview!$A$4:$A$338,0),MATCH(A769,overview!$B$3:$R$3,0))</f>
        <v>conversion</v>
      </c>
    </row>
    <row r="770" spans="1:2" hidden="1" x14ac:dyDescent="0.2">
      <c r="A770" t="s">
        <v>6</v>
      </c>
      <c r="B770" s="45" t="str">
        <f>INDEX(overview!$B$4:$R$338,MATCH(B762,overview!$A$4:$A$338,0),MATCH(A770,overview!$B$3:$R$3,0))</f>
        <v>fuel cell, PEM</v>
      </c>
    </row>
    <row r="771" spans="1:2" hidden="1" x14ac:dyDescent="0.2">
      <c r="A771" t="s">
        <v>39</v>
      </c>
      <c r="B771" s="45" t="str">
        <f>INDEX(overview!$B$4:$R$338,MATCH(B762,overview!$A$4:$A$338,0),MATCH(A771,overview!$B$3:$R$3,0))</f>
        <v>exergy</v>
      </c>
    </row>
    <row r="772" spans="1:2" hidden="1" x14ac:dyDescent="0.2">
      <c r="A772" t="s">
        <v>4</v>
      </c>
      <c r="B772" s="45" t="str">
        <f>INDEX(overview!$B$4:$R$338,MATCH(B762,overview!$A$4:$A$338,0),MATCH(A772,overview!$B$3:$R$3,0))</f>
        <v>pipeline</v>
      </c>
    </row>
    <row r="773" spans="1:2" hidden="1" x14ac:dyDescent="0.2">
      <c r="A773" t="s">
        <v>38</v>
      </c>
      <c r="B773" s="45">
        <f>INDEX(overview!$B$4:$R$338,MATCH(B762,overview!$A$4:$A$338,0),MATCH(A773,overview!$B$3:$R$3,0))</f>
        <v>500</v>
      </c>
    </row>
    <row r="774" spans="1:2" hidden="1" x14ac:dyDescent="0.2">
      <c r="A774" t="s">
        <v>12</v>
      </c>
      <c r="B774" s="45" t="str">
        <f>INDEX(overview!$B$4:$R$338,MATCH(B762,overview!$A$4:$A$338,0),MATCH(A774,overview!$B$3:$R$3,0))</f>
        <v>Pressure vessel for stationary storage</v>
      </c>
    </row>
    <row r="775" spans="1:2" hidden="1" x14ac:dyDescent="0.2">
      <c r="A775" t="s">
        <v>34</v>
      </c>
      <c r="B775" s="45">
        <f>INDEX(overview!$B$4:$R$338,MATCH(B762,overview!$A$4:$A$338,0),MATCH(A775,overview!$B$3:$R$3,0))</f>
        <v>0</v>
      </c>
    </row>
    <row r="776" spans="1:2" hidden="1" x14ac:dyDescent="0.2">
      <c r="A776" t="s">
        <v>15</v>
      </c>
      <c r="B776" s="45" t="str">
        <f>INDEX(overview!$B$4:$R$338,MATCH(B762,overview!$A$4:$A$338,0),MATCH(A776,overview!$B$3:$R$3,0))</f>
        <v>Steam Methane Reforming, with CCS</v>
      </c>
    </row>
    <row r="777" spans="1:2" hidden="1" x14ac:dyDescent="0.2">
      <c r="A777" t="s">
        <v>14</v>
      </c>
      <c r="B777" s="45" t="str">
        <f>INDEX(overview!$B$4:$R$338,MATCH(B762,overview!$A$4:$A$338,0),MATCH(A777,overview!$B$3:$R$3,0))</f>
        <v>natural gas</v>
      </c>
    </row>
    <row r="778" spans="1:2" hidden="1" x14ac:dyDescent="0.2">
      <c r="A778" t="s">
        <v>26</v>
      </c>
      <c r="B778" s="45" t="str">
        <f>INDEX(overview!$B$4:$R$338,MATCH(B762,overview!$A$4:$A$338,0),MATCH(A778,overview!$B$3:$R$3,0))</f>
        <v>Switzerland</v>
      </c>
    </row>
    <row r="779" spans="1:2" hidden="1" x14ac:dyDescent="0.2">
      <c r="A779" t="s">
        <v>29</v>
      </c>
      <c r="B779" s="45">
        <f>INDEX(overview!$B$4:$R$338,MATCH(B762,overview!$A$4:$A$338,0),MATCH(A779,overview!$B$3:$R$3,0))</f>
        <v>0</v>
      </c>
    </row>
    <row r="780" spans="1:2" hidden="1" x14ac:dyDescent="0.2">
      <c r="A780" t="str">
        <f>IF(B764="megajoule","Heat","Electricity")&amp;" conversion efficiency [% LHV input]"</f>
        <v>Heat conversion efficiency [% LHV input]</v>
      </c>
      <c r="B780" s="46">
        <f>INDEX(parameters!$D$4:$N$20,MATCH(B768&amp;B770,parameters!$A$4:$A$20,0),MATCH(A780,parameters!$D$3:$N$3,0))</f>
        <v>0.5</v>
      </c>
    </row>
    <row r="781" spans="1:2" hidden="1" x14ac:dyDescent="0.2">
      <c r="A781" t="str">
        <f>IF(B764="megajoule","LHV [MJ/kg]","LHV [kWh/kg]")</f>
        <v>LHV [MJ/kg]</v>
      </c>
      <c r="B781" s="47">
        <f>INDEX(parameters!$D$4:$N$20,MATCH(B768&amp;B770,parameters!$A$4:$A$20,0),MATCH(A781,parameters!$D$3:$N$3,0))</f>
        <v>120</v>
      </c>
    </row>
    <row r="782" spans="1:2" hidden="1" x14ac:dyDescent="0.2">
      <c r="A782" t="s">
        <v>41</v>
      </c>
      <c r="B782" s="48">
        <f>INDEX(parameters!$D$4:$N$20,MATCH(B768&amp;B770,parameters!$A$4:$A$20,0),MATCH(A782,parameters!$D$3:$N$3,0))</f>
        <v>2.6666666666666665E-2</v>
      </c>
    </row>
    <row r="783" spans="1:2" hidden="1" x14ac:dyDescent="0.2">
      <c r="A783" t="s">
        <v>45</v>
      </c>
      <c r="B783" s="46">
        <f>INDEX(parameters!$D$4:$N$20,MATCH(B768&amp;B770,parameters!$A$4:$A$20,0),MATCH(A783,parameters!$D$3:$N$3,0))</f>
        <v>0</v>
      </c>
    </row>
    <row r="784" spans="1:2" hidden="1" x14ac:dyDescent="0.2">
      <c r="A784" t="s">
        <v>46</v>
      </c>
      <c r="B784" s="46">
        <f>INDEX(parameters!$D$4:$N$20,MATCH(B768&amp;B770,parameters!$A$4:$A$20,0),MATCH(A784,parameters!$D$3:$N$3,0))</f>
        <v>1.4999999999999999E-2</v>
      </c>
    </row>
    <row r="785" spans="1:22" hidden="1" x14ac:dyDescent="0.2">
      <c r="A785" t="s">
        <v>43</v>
      </c>
      <c r="B785" s="46">
        <f>INDEX(parameters!$D$4:$N$20,MATCH(B768&amp;B770,parameters!$A$4:$A$20,0),MATCH(A785,parameters!$D$3:$N$3,0))</f>
        <v>0</v>
      </c>
    </row>
    <row r="786" spans="1:22" hidden="1" x14ac:dyDescent="0.2">
      <c r="A786" t="s">
        <v>44</v>
      </c>
      <c r="B786" s="46">
        <f>INDEX(parameters!$D$4:$N$20,MATCH(B768&amp;B770,parameters!$A$4:$A$20,0),MATCH(A786,parameters!$D$3:$N$3,0))</f>
        <v>0</v>
      </c>
    </row>
    <row r="787" spans="1:22" hidden="1" x14ac:dyDescent="0.2">
      <c r="A787" t="s">
        <v>634</v>
      </c>
      <c r="B787" s="50">
        <f>INDEX(parameters!$D$4:$Y$20,MATCH(B768&amp;B770,parameters!$A$4:$A$20,0),MATCH(A787,parameters!$D$3:$Y$3,0))</f>
        <v>1.8947368421052633</v>
      </c>
    </row>
    <row r="788" spans="1:22" hidden="1" x14ac:dyDescent="0.2">
      <c r="A788" t="s">
        <v>82</v>
      </c>
      <c r="B788" s="46">
        <f>IF(B779&lt;&gt;0,VLOOKUP(B779,parameters!A562:B564,2,0),0)</f>
        <v>0</v>
      </c>
    </row>
    <row r="789" spans="1:22" hidden="1" x14ac:dyDescent="0.2">
      <c r="A789" t="s">
        <v>548</v>
      </c>
      <c r="B789" s="50">
        <f>INDEX(parameters!$D$4:$P$20,MATCH(B768&amp;B770,parameters!$A$4:$A$20,0),MATCH(A789,parameters!$D$3:$P$3,0))</f>
        <v>0.8</v>
      </c>
    </row>
    <row r="790" spans="1:22" hidden="1" x14ac:dyDescent="0.2">
      <c r="A790" t="s">
        <v>547</v>
      </c>
      <c r="B790" s="51">
        <f>INDEX(parameters!$D$4:$P$20,MATCH(B768&amp;B770,parameters!$A$4:$A$20,0),MATCH(A790,parameters!$D$3:$P$3,0))</f>
        <v>4.8780487804878048</v>
      </c>
    </row>
    <row r="791" spans="1:22" hidden="1" x14ac:dyDescent="0.2">
      <c r="A791" t="s">
        <v>630</v>
      </c>
      <c r="B791" s="51">
        <f>INDEX(parameters!$D$4:$T$20,MATCH(B768&amp;B770,parameters!$A$4:$A$20,0),MATCH(A791,parameters!$D$3:$T$3,0))</f>
        <v>4100</v>
      </c>
    </row>
    <row r="792" spans="1:22" hidden="1" x14ac:dyDescent="0.2">
      <c r="A792" t="s">
        <v>1005</v>
      </c>
      <c r="B792" s="50">
        <f>IF(B764="megajoule",SUMIFS(allocation!$I$4:$I$30,allocation!$B$4:$B$30,B770,allocation!$C$4:$C$30,B771),SUMIFS(allocation!$J$4:$J$30,allocation!$B$4:$B$30,B770,allocation!$C$4:$C$30,B771))</f>
        <v>0.13933980798974457</v>
      </c>
    </row>
    <row r="793" spans="1:22" hidden="1" x14ac:dyDescent="0.2">
      <c r="A793" t="s">
        <v>1050</v>
      </c>
      <c r="B793" s="51">
        <f>INDEX(parameters!$D$4:$AB$20,MATCH(B768&amp;B770,parameters!$A$4:$A$20,0),MATCH(A793,parameters!$D$3:$AB$3,0))</f>
        <v>10.221606648199446</v>
      </c>
    </row>
    <row r="794" spans="1:22" hidden="1" x14ac:dyDescent="0.2"/>
    <row r="795" spans="1:22" hidden="1" x14ac:dyDescent="0.2">
      <c r="A795" s="3" t="s">
        <v>57</v>
      </c>
    </row>
    <row r="796" spans="1:22" hidden="1" x14ac:dyDescent="0.2">
      <c r="A796" s="2" t="s">
        <v>58</v>
      </c>
      <c r="B796" s="44" t="s">
        <v>59</v>
      </c>
      <c r="C796" s="2" t="s">
        <v>55</v>
      </c>
      <c r="D796" s="2" t="s">
        <v>60</v>
      </c>
      <c r="E796" s="2" t="s">
        <v>52</v>
      </c>
      <c r="F796" s="2" t="s">
        <v>61</v>
      </c>
      <c r="G796" s="2" t="s">
        <v>54</v>
      </c>
      <c r="H796" s="2" t="s">
        <v>87</v>
      </c>
      <c r="I796" s="2" t="s">
        <v>51</v>
      </c>
      <c r="J796" s="2" t="s">
        <v>138</v>
      </c>
      <c r="K796" s="2" t="s">
        <v>136</v>
      </c>
      <c r="L796" s="2" t="s">
        <v>221</v>
      </c>
      <c r="M796" s="2" t="s">
        <v>379</v>
      </c>
      <c r="N796" s="2" t="s">
        <v>1059</v>
      </c>
      <c r="O796" s="2" t="s">
        <v>1060</v>
      </c>
      <c r="P796" s="2" t="s">
        <v>1061</v>
      </c>
      <c r="Q796" s="2" t="s">
        <v>1062</v>
      </c>
      <c r="R796" s="2" t="s">
        <v>1063</v>
      </c>
      <c r="S796" s="2" t="s">
        <v>1064</v>
      </c>
      <c r="T796" s="2" t="s">
        <v>1065</v>
      </c>
      <c r="U796" s="2" t="s">
        <v>380</v>
      </c>
      <c r="V796" s="2" t="s">
        <v>1128</v>
      </c>
    </row>
    <row r="797" spans="1:22" x14ac:dyDescent="0.2">
      <c r="A797" t="str">
        <f>B758</f>
        <v>heat, residential, by conversion of hydrogen using fuel cell, PEM, allocated by exergy, transported by pipeline, produced by Steam Methane Reforming, with CCS using natural gas from Switzerland</v>
      </c>
      <c r="B797" s="45">
        <v>1</v>
      </c>
      <c r="C797" t="str">
        <f>B764</f>
        <v>megajoule</v>
      </c>
      <c r="E797" t="str">
        <f>B761</f>
        <v>CH</v>
      </c>
      <c r="F797" t="s">
        <v>62</v>
      </c>
      <c r="G797" t="str">
        <f>B763</f>
        <v>heat, from residential heating system</v>
      </c>
      <c r="K797" t="str">
        <f>B758</f>
        <v>heat, residential, by conversion of hydrogen using fuel cell, PEM, allocated by exergy, transported by pipeline, produced by Steam Methane Reforming, with CCS using natural gas from Switzerland</v>
      </c>
    </row>
    <row r="798" spans="1:22" hidden="1" x14ac:dyDescent="0.2">
      <c r="A798" t="str">
        <f>VLOOKUP(J798,'dataset mapping'!$A$4:$E$69,2,0)</f>
        <v>fuel cell system assembly, 1 kWe, proton exchange membrane (PEM)</v>
      </c>
      <c r="B798" s="52">
        <f>(1/(B787*B791*B790*3.6))*B792</f>
        <v>1.0213951974556892E-6</v>
      </c>
      <c r="C798" t="str">
        <f>VLOOKUP(J798,'dataset mapping'!$A$4:$E$69,5,0)</f>
        <v>unit</v>
      </c>
      <c r="E798" t="str">
        <f>VLOOKUP(J798,'dataset mapping'!$A$4:$E$69,4,0)</f>
        <v>GLO</v>
      </c>
      <c r="F798" t="s">
        <v>86</v>
      </c>
      <c r="G798" t="str">
        <f>VLOOKUP(J798,'dataset mapping'!$A$4:$E$69,3,0)</f>
        <v>fuel cell system, 1 kWe, proton exchange membrane (PEM)</v>
      </c>
      <c r="H798" t="s">
        <v>88</v>
      </c>
      <c r="I798" t="s">
        <v>272</v>
      </c>
      <c r="J798" t="s">
        <v>273</v>
      </c>
      <c r="K798" t="str">
        <f>B758</f>
        <v>heat, residential, by conversion of hydrogen using fuel cell, PEM, allocated by exergy, transported by pipeline, produced by Steam Methane Reforming, with CCS using natural gas from Switzerland</v>
      </c>
      <c r="L798">
        <f t="shared" ref="L798:L800" si="50">IF(OR(B798&lt;0,B798=0),1,2)</f>
        <v>2</v>
      </c>
      <c r="M798">
        <f t="shared" ref="M798:M800" si="51">IF(L798=2,LN(B798),"")</f>
        <v>-13.794341024667077</v>
      </c>
      <c r="N798">
        <v>1</v>
      </c>
      <c r="O798" s="15">
        <v>1.2</v>
      </c>
      <c r="P798">
        <v>1</v>
      </c>
      <c r="Q798">
        <v>1.01</v>
      </c>
      <c r="R798">
        <v>1.2</v>
      </c>
      <c r="S798">
        <v>1.2</v>
      </c>
      <c r="T798">
        <v>3</v>
      </c>
      <c r="U798">
        <f t="shared" ref="U798:U800" si="52">LN(SQRT(EXP(
SQRT(
+POWER(LN(N798),2)
+POWER(LN(O798),2)
+POWER(LN(P798),2)
+POWER(LN(Q798),2)
+POWER(LN(R798),2)
+POWER(LN(S798),2)
+POWER(LN(T798),2)
)
)))</f>
        <v>0.57157051623399524</v>
      </c>
    </row>
    <row r="799" spans="1:22" hidden="1" x14ac:dyDescent="0.2">
      <c r="A799" s="45" t="str">
        <f>"hydrogen supply, transported by "&amp;B772&amp;", produced by "&amp;B776&amp;" using "&amp;B777&amp;" from "&amp;B778</f>
        <v>hydrogen supply, transported by pipeline, produced by Steam Methane Reforming, with CCS using natural gas from Switzerland</v>
      </c>
      <c r="B799" s="53">
        <f>(B797/B781)/B780*B792</f>
        <v>2.3223301331624095E-3</v>
      </c>
      <c r="C799" t="s">
        <v>56</v>
      </c>
      <c r="E799" t="s">
        <v>64</v>
      </c>
      <c r="F799" t="s">
        <v>86</v>
      </c>
      <c r="G799" s="67" t="s">
        <v>1129</v>
      </c>
      <c r="H799" t="s">
        <v>76</v>
      </c>
      <c r="I799" t="s">
        <v>1054</v>
      </c>
      <c r="J799" t="s">
        <v>306</v>
      </c>
      <c r="K799" t="str">
        <f>B758</f>
        <v>heat, residential, by conversion of hydrogen using fuel cell, PEM, allocated by exergy, transported by pipeline, produced by Steam Methane Reforming, with CCS using natural gas from Switzerland</v>
      </c>
      <c r="L799">
        <f t="shared" si="50"/>
        <v>2</v>
      </c>
      <c r="M799">
        <f t="shared" si="51"/>
        <v>-6.0651842296013152</v>
      </c>
      <c r="N799">
        <v>1</v>
      </c>
      <c r="O799" s="15">
        <v>1.2</v>
      </c>
      <c r="P799">
        <v>1</v>
      </c>
      <c r="Q799">
        <v>1.01</v>
      </c>
      <c r="R799">
        <v>1.2</v>
      </c>
      <c r="S799">
        <v>1.2</v>
      </c>
      <c r="T799">
        <v>1.05</v>
      </c>
      <c r="U799">
        <f t="shared" si="52"/>
        <v>0.15984597228197622</v>
      </c>
    </row>
    <row r="800" spans="1:22" hidden="1" x14ac:dyDescent="0.2">
      <c r="A800" t="s">
        <v>134</v>
      </c>
      <c r="B800" s="53">
        <f>B799*9</f>
        <v>2.0900971198461685E-2</v>
      </c>
      <c r="C800" t="s">
        <v>56</v>
      </c>
      <c r="D800" t="s">
        <v>100</v>
      </c>
      <c r="F800" t="s">
        <v>99</v>
      </c>
      <c r="H800" t="s">
        <v>131</v>
      </c>
      <c r="I800" t="s">
        <v>1057</v>
      </c>
      <c r="K800" t="str">
        <f>B758</f>
        <v>heat, residential, by conversion of hydrogen using fuel cell, PEM, allocated by exergy, transported by pipeline, produced by Steam Methane Reforming, with CCS using natural gas from Switzerland</v>
      </c>
      <c r="L800">
        <f t="shared" si="50"/>
        <v>2</v>
      </c>
      <c r="M800">
        <f t="shared" si="51"/>
        <v>-3.8679596522650961</v>
      </c>
      <c r="N800">
        <v>1</v>
      </c>
      <c r="O800" s="15">
        <v>1.2</v>
      </c>
      <c r="P800">
        <v>1</v>
      </c>
      <c r="Q800">
        <v>1.01</v>
      </c>
      <c r="R800">
        <v>1.2</v>
      </c>
      <c r="S800">
        <v>1.2</v>
      </c>
      <c r="T800">
        <v>1.05</v>
      </c>
      <c r="U800">
        <f t="shared" si="52"/>
        <v>0.15984597228197622</v>
      </c>
    </row>
    <row r="801" spans="1:2" hidden="1" x14ac:dyDescent="0.2"/>
    <row r="802" spans="1:2" hidden="1" x14ac:dyDescent="0.2">
      <c r="A802" s="2" t="s">
        <v>50</v>
      </c>
      <c r="B802" s="44" t="str">
        <f>IF(B808="megajoule","heat","electricity")&amp;", residential, by "&amp;B813&amp;" of "&amp;B812&amp;" using "&amp;B814&amp;IF(B815&lt;&gt;0,", allocated by "&amp;B815,"")&amp;", transported by "&amp;B816&amp;", produced by "&amp;B820&amp;" using "&amp;B821&amp;" from "&amp;B822</f>
        <v>heat, residential, by conversion of hydrogen using fuel cell, SOFC, allocated by exergy, transported by pipeline, produced by Steam Methane Reforming, with CCS using natural gas from Switzerland</v>
      </c>
    </row>
    <row r="803" spans="1:2" hidden="1" x14ac:dyDescent="0.2">
      <c r="A803" t="s">
        <v>51</v>
      </c>
      <c r="B803" s="45" t="str">
        <f>"This dataset represents the supply of 1 "&amp;IF(B808="megajoule","megajoule of heat","kilowatt hour of electricity")&amp;" in a residence, by "&amp;B812&amp;" "&amp;B813&amp;" in a "&amp;B814&amp;". "&amp;" The hydrogen is transported by "&amp;B816&amp;" over "&amp;B817&amp;" km from regional storage. "&amp;" The "&amp;B812&amp;" is produced by  "&amp;B820&amp;", with "&amp;B821&amp;" from "&amp;B822&amp;" as feedstock. "&amp;A824&amp;": "&amp;(B824*100)&amp;"%. "&amp;A825&amp;": "&amp;B825&amp;". "&amp;A826&amp;": "&amp;B826&amp;". "&amp;A827&amp;": "&amp;(B827*100)&amp;"%. "&amp;A828&amp;": "&amp;(B828*100)&amp;"%. "&amp;A829&amp;": "&amp;(B829*100)&amp;"%. "&amp;A830&amp;": "&amp;B830&amp;". "&amp;A831&amp;": "&amp;B831&amp;". "&amp;A832&amp;": "&amp;(B832*100)&amp;"%. "&amp;A833&amp;": "&amp;B833&amp;". "&amp;A834&amp;": "&amp;B834&amp;". "&amp;A835&amp;": "&amp;B835&amp;". "&amp;A836&amp;": "&amp;B836&amp;".  For more information, refer to: "&amp;B804</f>
        <v>This dataset represents the supply of 1 megajoule of heat in a residence, by hydrogen conversion in a fuel cell, SOFC.  The hydrogen is transported by pipeline over 500 km from regional storage.  The hydrogen is produced by  Steam Methane Reforming, with CCS,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804" spans="1:2" hidden="1" x14ac:dyDescent="0.2">
      <c r="A804" t="s">
        <v>63</v>
      </c>
      <c r="B804" s="45" t="s">
        <v>660</v>
      </c>
    </row>
    <row r="805" spans="1:2" hidden="1" x14ac:dyDescent="0.2">
      <c r="A805" t="s">
        <v>52</v>
      </c>
      <c r="B805" s="45" t="s">
        <v>64</v>
      </c>
    </row>
    <row r="806" spans="1:2" hidden="1" x14ac:dyDescent="0.2">
      <c r="A806" t="s">
        <v>48</v>
      </c>
      <c r="B806" s="45">
        <v>140</v>
      </c>
    </row>
    <row r="807" spans="1:2" hidden="1" x14ac:dyDescent="0.2">
      <c r="A807" t="s">
        <v>54</v>
      </c>
      <c r="B807" s="45" t="str">
        <f>INDEX(overview!$B$4:$R$338,MATCH(B806,overview!$A$4:$A$338,0),MATCH(A807,overview!$B$3:$R$3,0))</f>
        <v>heat, from residential heating system</v>
      </c>
    </row>
    <row r="808" spans="1:2" hidden="1" x14ac:dyDescent="0.2">
      <c r="A808" t="s">
        <v>55</v>
      </c>
      <c r="B808" s="45" t="str">
        <f>INDEX(overview!$B$4:$R$338,MATCH(B806,overview!$A$4:$A$338,0),MATCH(A808,overview!$B$3:$R$3,0))</f>
        <v>megajoule</v>
      </c>
    </row>
    <row r="809" spans="1:2" hidden="1" x14ac:dyDescent="0.2">
      <c r="A809" t="s">
        <v>0</v>
      </c>
      <c r="B809" s="45" t="str">
        <f>INDEX(overview!$B$4:$R$338,MATCH(B806,overview!$A$4:$A$338,0),MATCH(A809,overview!$B$3:$R$3,0))</f>
        <v>Switzerland</v>
      </c>
    </row>
    <row r="810" spans="1:2" hidden="1" x14ac:dyDescent="0.2">
      <c r="A810" t="s">
        <v>1</v>
      </c>
      <c r="B810" s="45">
        <f>INDEX(overview!$B$4:$R$338,MATCH(B806,overview!$A$4:$A$338,0),MATCH(A810,overview!$B$3:$R$3,0))</f>
        <v>2020</v>
      </c>
    </row>
    <row r="811" spans="1:2" hidden="1" x14ac:dyDescent="0.2">
      <c r="A811" t="s">
        <v>2</v>
      </c>
      <c r="B811" s="45" t="str">
        <f>INDEX(overview!$B$4:$R$338,MATCH(B806,overview!$A$4:$A$338,0),MATCH(A811,overview!$B$3:$R$3,0))</f>
        <v>1 MJ heat</v>
      </c>
    </row>
    <row r="812" spans="1:2" hidden="1" x14ac:dyDescent="0.2">
      <c r="A812" t="s">
        <v>5</v>
      </c>
      <c r="B812" s="45" t="str">
        <f>INDEX(overview!$B$4:$R$338,MATCH(B806,overview!$A$4:$A$338,0),MATCH(A812,overview!$B$3:$R$3,0))</f>
        <v>hydrogen</v>
      </c>
    </row>
    <row r="813" spans="1:2" hidden="1" x14ac:dyDescent="0.2">
      <c r="A813" t="s">
        <v>3</v>
      </c>
      <c r="B813" s="45" t="str">
        <f>INDEX(overview!$B$4:$R$338,MATCH(B806,overview!$A$4:$A$338,0),MATCH(A813,overview!$B$3:$R$3,0))</f>
        <v>conversion</v>
      </c>
    </row>
    <row r="814" spans="1:2" hidden="1" x14ac:dyDescent="0.2">
      <c r="A814" t="s">
        <v>6</v>
      </c>
      <c r="B814" s="45" t="str">
        <f>INDEX(overview!$B$4:$R$338,MATCH(B806,overview!$A$4:$A$338,0),MATCH(A814,overview!$B$3:$R$3,0))</f>
        <v>fuel cell, SOFC</v>
      </c>
    </row>
    <row r="815" spans="1:2" hidden="1" x14ac:dyDescent="0.2">
      <c r="A815" t="s">
        <v>39</v>
      </c>
      <c r="B815" s="45" t="str">
        <f>INDEX(overview!$B$4:$R$338,MATCH(B806,overview!$A$4:$A$338,0),MATCH(A815,overview!$B$3:$R$3,0))</f>
        <v>exergy</v>
      </c>
    </row>
    <row r="816" spans="1:2" hidden="1" x14ac:dyDescent="0.2">
      <c r="A816" t="s">
        <v>4</v>
      </c>
      <c r="B816" s="45" t="str">
        <f>INDEX(overview!$B$4:$R$338,MATCH(B806,overview!$A$4:$A$338,0),MATCH(A816,overview!$B$3:$R$3,0))</f>
        <v>pipeline</v>
      </c>
    </row>
    <row r="817" spans="1:4" hidden="1" x14ac:dyDescent="0.2">
      <c r="A817" t="s">
        <v>38</v>
      </c>
      <c r="B817" s="45">
        <f>INDEX(overview!$B$4:$R$338,MATCH(B806,overview!$A$4:$A$338,0),MATCH(A817,overview!$B$3:$R$3,0))</f>
        <v>500</v>
      </c>
    </row>
    <row r="818" spans="1:4" hidden="1" x14ac:dyDescent="0.2">
      <c r="A818" t="s">
        <v>12</v>
      </c>
      <c r="B818" s="45" t="str">
        <f>INDEX(overview!$B$4:$R$338,MATCH(B806,overview!$A$4:$A$338,0),MATCH(A818,overview!$B$3:$R$3,0))</f>
        <v>Pressure vessel for stationary storage</v>
      </c>
    </row>
    <row r="819" spans="1:4" hidden="1" x14ac:dyDescent="0.2">
      <c r="A819" t="s">
        <v>34</v>
      </c>
      <c r="B819" s="45">
        <f>INDEX(overview!$B$4:$R$338,MATCH(B806,overview!$A$4:$A$338,0),MATCH(A819,overview!$B$3:$R$3,0))</f>
        <v>0</v>
      </c>
    </row>
    <row r="820" spans="1:4" hidden="1" x14ac:dyDescent="0.2">
      <c r="A820" t="s">
        <v>15</v>
      </c>
      <c r="B820" s="45" t="str">
        <f>INDEX(overview!$B$4:$R$338,MATCH(B806,overview!$A$4:$A$338,0),MATCH(A820,overview!$B$3:$R$3,0))</f>
        <v>Steam Methane Reforming, with CCS</v>
      </c>
    </row>
    <row r="821" spans="1:4" hidden="1" x14ac:dyDescent="0.2">
      <c r="A821" t="s">
        <v>14</v>
      </c>
      <c r="B821" s="45" t="str">
        <f>INDEX(overview!$B$4:$R$338,MATCH(B806,overview!$A$4:$A$338,0),MATCH(A821,overview!$B$3:$R$3,0))</f>
        <v>natural gas</v>
      </c>
    </row>
    <row r="822" spans="1:4" hidden="1" x14ac:dyDescent="0.2">
      <c r="A822" t="s">
        <v>26</v>
      </c>
      <c r="B822" s="45" t="str">
        <f>INDEX(overview!$B$4:$R$338,MATCH(B806,overview!$A$4:$A$338,0),MATCH(A822,overview!$B$3:$R$3,0))</f>
        <v>Switzerland</v>
      </c>
    </row>
    <row r="823" spans="1:4" hidden="1" x14ac:dyDescent="0.2">
      <c r="A823" t="s">
        <v>29</v>
      </c>
      <c r="B823" s="45">
        <f>INDEX(overview!$B$4:$R$338,MATCH(B806,overview!$A$4:$A$338,0),MATCH(A823,overview!$B$3:$R$3,0))</f>
        <v>0</v>
      </c>
    </row>
    <row r="824" spans="1:4" hidden="1" x14ac:dyDescent="0.2">
      <c r="A824" t="str">
        <f>IF(B808="megajoule","Heat","Electricity")&amp;" conversion efficiency [% LHV input]"</f>
        <v>Heat conversion efficiency [% LHV input]</v>
      </c>
      <c r="B824" s="46">
        <f>INDEX(parameters!$D$4:$N$20,MATCH(B812&amp;B814,parameters!$A$4:$A$20,0),MATCH(A824,parameters!$D$3:$N$3,0))</f>
        <v>0.53</v>
      </c>
    </row>
    <row r="825" spans="1:4" hidden="1" x14ac:dyDescent="0.2">
      <c r="A825" t="str">
        <f>IF(B808="megajoule","LHV [MJ/kg]","LHV [kWh/kg]")</f>
        <v>LHV [MJ/kg]</v>
      </c>
      <c r="B825" s="47">
        <f>INDEX(parameters!$D$4:$N$20,MATCH(B812&amp;B814,parameters!$A$4:$A$20,0),MATCH(A825,parameters!$D$3:$N$3,0))</f>
        <v>120</v>
      </c>
    </row>
    <row r="826" spans="1:4" hidden="1" x14ac:dyDescent="0.2">
      <c r="A826" t="s">
        <v>41</v>
      </c>
      <c r="B826" s="48">
        <f>INDEX(parameters!$D$4:$N$20,MATCH(B812&amp;B814,parameters!$A$4:$A$20,0),MATCH(A826,parameters!$D$3:$N$3,0))</f>
        <v>2.6666666666666665E-2</v>
      </c>
    </row>
    <row r="827" spans="1:4" hidden="1" x14ac:dyDescent="0.2">
      <c r="A827" t="s">
        <v>45</v>
      </c>
      <c r="B827" s="46">
        <f>INDEX(parameters!$D$4:$N$20,MATCH(B812&amp;B814,parameters!$A$4:$A$20,0),MATCH(A827,parameters!$D$3:$N$3,0))</f>
        <v>0</v>
      </c>
    </row>
    <row r="828" spans="1:4" hidden="1" x14ac:dyDescent="0.2">
      <c r="A828" t="s">
        <v>46</v>
      </c>
      <c r="B828" s="46">
        <f>INDEX(parameters!$D$4:$N$20,MATCH(B812&amp;B814,parameters!$A$4:$A$20,0),MATCH(A828,parameters!$D$3:$N$3,0))</f>
        <v>1.4999999999999999E-2</v>
      </c>
    </row>
    <row r="829" spans="1:4" hidden="1" x14ac:dyDescent="0.2">
      <c r="A829" t="s">
        <v>43</v>
      </c>
      <c r="B829" s="46">
        <f>INDEX(parameters!$D$4:$N$20,MATCH(B812&amp;B814,parameters!$A$4:$A$20,0),MATCH(A829,parameters!$D$3:$N$3,0))</f>
        <v>0</v>
      </c>
    </row>
    <row r="830" spans="1:4" hidden="1" x14ac:dyDescent="0.2">
      <c r="A830" t="s">
        <v>44</v>
      </c>
      <c r="B830" s="46">
        <f>INDEX(parameters!$D$4:$N$20,MATCH(B812&amp;B814,parameters!$A$4:$A$20,0),MATCH(A830,parameters!$D$3:$N$3,0))</f>
        <v>0</v>
      </c>
    </row>
    <row r="831" spans="1:4" hidden="1" x14ac:dyDescent="0.2">
      <c r="A831" t="s">
        <v>634</v>
      </c>
      <c r="B831" s="50">
        <f>INDEX(parameters!$D$4:$Y$20,MATCH(B812&amp;B814,parameters!$A$4:$A$20,0),MATCH(A831,parameters!$D$3:$Y$3,0))</f>
        <v>225</v>
      </c>
      <c r="D831" s="8"/>
    </row>
    <row r="832" spans="1:4" hidden="1" x14ac:dyDescent="0.2">
      <c r="A832" t="s">
        <v>82</v>
      </c>
      <c r="B832" s="46">
        <f>IF(B823&lt;&gt;0,VLOOKUP(B823,parameters!A611:B613,2,0),0)</f>
        <v>0</v>
      </c>
    </row>
    <row r="833" spans="1:22" hidden="1" x14ac:dyDescent="0.2">
      <c r="A833" t="s">
        <v>548</v>
      </c>
      <c r="B833" s="50">
        <f>INDEX(parameters!$D$4:$P$20,MATCH(B812&amp;B814,parameters!$A$4:$A$20,0),MATCH(A833,parameters!$D$3:$P$3,0))</f>
        <v>100</v>
      </c>
    </row>
    <row r="834" spans="1:22" hidden="1" x14ac:dyDescent="0.2">
      <c r="A834" t="s">
        <v>547</v>
      </c>
      <c r="B834" s="51">
        <f>INDEX(parameters!$D$4:$P$20,MATCH(B812&amp;B814,parameters!$A$4:$A$20,0),MATCH(A834,parameters!$D$3:$P$3,0))</f>
        <v>6</v>
      </c>
    </row>
    <row r="835" spans="1:22" hidden="1" x14ac:dyDescent="0.2">
      <c r="A835" t="s">
        <v>630</v>
      </c>
      <c r="B835" s="51">
        <f>INDEX(parameters!$D$4:$T$20,MATCH(B812&amp;B814,parameters!$A$4:$A$20,0),MATCH(A835,parameters!$D$3:$T$3,0))</f>
        <v>4100</v>
      </c>
    </row>
    <row r="836" spans="1:22" hidden="1" x14ac:dyDescent="0.2">
      <c r="A836" t="s">
        <v>1005</v>
      </c>
      <c r="B836" s="50">
        <f>IF(B808="megajoule",SUMIFS(allocation!$I$4:$I$30,allocation!$B$4:$B$30,B814,allocation!$C$4:$C$30,B815),SUMIFS(allocation!$J$4:$J$30,allocation!$B$4:$B$30,B814,allocation!$C$4:$C$30,B815))</f>
        <v>0.13587506510399097</v>
      </c>
    </row>
    <row r="837" spans="1:22" hidden="1" x14ac:dyDescent="0.2">
      <c r="A837" t="s">
        <v>1050</v>
      </c>
      <c r="B837" s="51">
        <f>INDEX(parameters!$D$4:$AB$20,MATCH(B812&amp;B814,parameters!$A$4:$A$20,0),MATCH(A837,parameters!$D$3:$AB$3,0))</f>
        <v>1153.1249999999998</v>
      </c>
    </row>
    <row r="838" spans="1:22" hidden="1" x14ac:dyDescent="0.2"/>
    <row r="839" spans="1:22" hidden="1" x14ac:dyDescent="0.2">
      <c r="A839" s="3" t="s">
        <v>57</v>
      </c>
    </row>
    <row r="840" spans="1:22" hidden="1" x14ac:dyDescent="0.2">
      <c r="A840" s="2" t="s">
        <v>58</v>
      </c>
      <c r="B840" s="44" t="s">
        <v>59</v>
      </c>
      <c r="C840" s="2" t="s">
        <v>55</v>
      </c>
      <c r="D840" s="2" t="s">
        <v>60</v>
      </c>
      <c r="E840" s="2" t="s">
        <v>52</v>
      </c>
      <c r="F840" s="2" t="s">
        <v>61</v>
      </c>
      <c r="G840" s="2" t="s">
        <v>54</v>
      </c>
      <c r="H840" s="2" t="s">
        <v>87</v>
      </c>
      <c r="I840" s="2" t="s">
        <v>51</v>
      </c>
      <c r="J840" s="2" t="s">
        <v>138</v>
      </c>
      <c r="K840" s="2" t="s">
        <v>136</v>
      </c>
      <c r="L840" s="2" t="s">
        <v>221</v>
      </c>
      <c r="M840" s="2" t="s">
        <v>379</v>
      </c>
      <c r="N840" s="2" t="s">
        <v>1059</v>
      </c>
      <c r="O840" s="2" t="s">
        <v>1060</v>
      </c>
      <c r="P840" s="2" t="s">
        <v>1061</v>
      </c>
      <c r="Q840" s="2" t="s">
        <v>1062</v>
      </c>
      <c r="R840" s="2" t="s">
        <v>1063</v>
      </c>
      <c r="S840" s="2" t="s">
        <v>1064</v>
      </c>
      <c r="T840" s="2" t="s">
        <v>1065</v>
      </c>
      <c r="U840" s="2" t="s">
        <v>380</v>
      </c>
      <c r="V840" s="2" t="s">
        <v>1128</v>
      </c>
    </row>
    <row r="841" spans="1:22" x14ac:dyDescent="0.2">
      <c r="A841" t="str">
        <f>B802</f>
        <v>heat, residential, by conversion of hydrogen using fuel cell, SOFC, allocated by exergy, transported by pipeline, produced by Steam Methane Reforming, with CCS using natural gas from Switzerland</v>
      </c>
      <c r="B841" s="45">
        <v>1</v>
      </c>
      <c r="C841" t="str">
        <f>B808</f>
        <v>megajoule</v>
      </c>
      <c r="E841" t="str">
        <f>B805</f>
        <v>CH</v>
      </c>
      <c r="F841" t="s">
        <v>62</v>
      </c>
      <c r="G841" t="str">
        <f>B807</f>
        <v>heat, from residential heating system</v>
      </c>
      <c r="K841" t="str">
        <f>B802</f>
        <v>heat, residential, by conversion of hydrogen using fuel cell, SOFC, allocated by exergy, transported by pipeline, produced by Steam Methane Reforming, with CCS using natural gas from Switzerland</v>
      </c>
    </row>
    <row r="842" spans="1:22" hidden="1" x14ac:dyDescent="0.2">
      <c r="A842" t="str">
        <f>VLOOKUP(J842,'dataset mapping'!$A$4:$E$69,2,0)</f>
        <v>fuel cell production, stack solid oxide, 125kW electrical, future</v>
      </c>
      <c r="B842" s="52">
        <f>1/(62*1000000)/B824*SUMIFS(allocation!$I$4:$I$30,allocation!$B$4:$B$30,B814,allocation!$C$4:$C$30,B815)</f>
        <v>4.1349685059035601E-9</v>
      </c>
      <c r="C842" t="str">
        <f>VLOOKUP(J842,'dataset mapping'!$A$4:$E$69,5,0)</f>
        <v>unit</v>
      </c>
      <c r="E842" t="str">
        <f>VLOOKUP(J842,'dataset mapping'!$A$4:$E$69,4,0)</f>
        <v>CH</v>
      </c>
      <c r="F842" t="s">
        <v>86</v>
      </c>
      <c r="G842" t="str">
        <f>VLOOKUP(J842,'dataset mapping'!$A$4:$E$69,3,0)</f>
        <v>fuel cell, stack solid oxide, 125kW electrical, future</v>
      </c>
      <c r="H842" t="s">
        <v>88</v>
      </c>
      <c r="I842" t="s">
        <v>277</v>
      </c>
      <c r="J842" t="s">
        <v>274</v>
      </c>
      <c r="K842" t="str">
        <f>B802</f>
        <v>heat, residential, by conversion of hydrogen using fuel cell, SOFC, allocated by exergy, transported by pipeline, produced by Steam Methane Reforming, with CCS using natural gas from Switzerland</v>
      </c>
      <c r="L842">
        <f t="shared" ref="L842:L847" si="53">IF(OR(B842&lt;0,B842=0),1,2)</f>
        <v>2</v>
      </c>
      <c r="M842">
        <f t="shared" ref="M842:M847" si="54">IF(L842=2,LN(B842),"")</f>
        <v>-19.303786124968067</v>
      </c>
      <c r="N842">
        <v>1</v>
      </c>
      <c r="O842" s="15">
        <v>1.2</v>
      </c>
      <c r="P842">
        <v>1</v>
      </c>
      <c r="Q842">
        <v>1.01</v>
      </c>
      <c r="R842">
        <v>1.2</v>
      </c>
      <c r="S842">
        <v>1.2</v>
      </c>
      <c r="T842">
        <v>3</v>
      </c>
      <c r="U842">
        <f t="shared" ref="U842:U847" si="55">LN(SQRT(EXP(
SQRT(
+POWER(LN(N842),2)
+POWER(LN(O842),2)
+POWER(LN(P842),2)
+POWER(LN(Q842),2)
+POWER(LN(R842),2)
+POWER(LN(S842),2)
+POWER(LN(T842),2)
)
)))</f>
        <v>0.57157051623399524</v>
      </c>
    </row>
    <row r="843" spans="1:22" hidden="1" x14ac:dyDescent="0.2">
      <c r="A843" t="s">
        <v>283</v>
      </c>
      <c r="B843" s="52">
        <f>0.000000145/B824*SUMIFS(allocation!$I$4:$I$30,allocation!$B$4:$B$30,B814,allocation!$C$4:$C$30,B815)</f>
        <v>3.7173366868072996E-8</v>
      </c>
      <c r="C843" t="s">
        <v>55</v>
      </c>
      <c r="E843" t="s">
        <v>64</v>
      </c>
      <c r="F843" t="s">
        <v>86</v>
      </c>
      <c r="G843" t="s">
        <v>284</v>
      </c>
      <c r="H843" t="s">
        <v>88</v>
      </c>
      <c r="I843" t="s">
        <v>277</v>
      </c>
      <c r="K843" t="str">
        <f>B802</f>
        <v>heat, residential, by conversion of hydrogen using fuel cell, SOFC, allocated by exergy, transported by pipeline, produced by Steam Methane Reforming, with CCS using natural gas from Switzerland</v>
      </c>
      <c r="L843">
        <f t="shared" si="53"/>
        <v>2</v>
      </c>
      <c r="M843">
        <f t="shared" si="54"/>
        <v>-17.107673276484537</v>
      </c>
      <c r="N843">
        <v>1</v>
      </c>
      <c r="O843" s="15">
        <v>1.2</v>
      </c>
      <c r="P843">
        <v>1</v>
      </c>
      <c r="Q843">
        <v>1.01</v>
      </c>
      <c r="R843">
        <v>1.2</v>
      </c>
      <c r="S843">
        <v>1.2</v>
      </c>
      <c r="T843">
        <v>3</v>
      </c>
      <c r="U843">
        <f t="shared" si="55"/>
        <v>0.57157051623399524</v>
      </c>
    </row>
    <row r="844" spans="1:22" hidden="1" x14ac:dyDescent="0.2">
      <c r="A844" t="s">
        <v>285</v>
      </c>
      <c r="B844" s="52">
        <f>0.0000000115/B824*SUMIFS(allocation!$I$4:$I$30,allocation!$B$4:$B$30,B814,allocation!$C$4:$C$30,B815)</f>
        <v>2.9482325447092381E-9</v>
      </c>
      <c r="C844" t="s">
        <v>55</v>
      </c>
      <c r="E844" t="s">
        <v>90</v>
      </c>
      <c r="F844" t="s">
        <v>86</v>
      </c>
      <c r="G844" t="s">
        <v>286</v>
      </c>
      <c r="H844" t="s">
        <v>88</v>
      </c>
      <c r="K844" t="str">
        <f>B802</f>
        <v>heat, residential, by conversion of hydrogen using fuel cell, SOFC, allocated by exergy, transported by pipeline, produced by Steam Methane Reforming, with CCS using natural gas from Switzerland</v>
      </c>
      <c r="L844">
        <f t="shared" si="53"/>
        <v>2</v>
      </c>
      <c r="M844">
        <f t="shared" si="54"/>
        <v>-19.642059983535908</v>
      </c>
      <c r="N844">
        <v>1</v>
      </c>
      <c r="O844" s="15">
        <v>1.2</v>
      </c>
      <c r="P844">
        <v>1</v>
      </c>
      <c r="Q844">
        <v>1.01</v>
      </c>
      <c r="R844">
        <v>1.2</v>
      </c>
      <c r="S844">
        <v>1.2</v>
      </c>
      <c r="T844">
        <v>3</v>
      </c>
      <c r="U844">
        <f t="shared" si="55"/>
        <v>0.57157051623399524</v>
      </c>
    </row>
    <row r="845" spans="1:22" hidden="1" x14ac:dyDescent="0.2">
      <c r="A845" t="s">
        <v>288</v>
      </c>
      <c r="B845" s="52">
        <f>0.000024/B824*SUMIFS(allocation!$I$4:$I$30,allocation!$B$4:$B$30,B814,allocation!$C$4:$C$30,B815)</f>
        <v>6.152833136784497E-6</v>
      </c>
      <c r="C845" t="s">
        <v>56</v>
      </c>
      <c r="E845" t="s">
        <v>64</v>
      </c>
      <c r="F845" t="s">
        <v>86</v>
      </c>
      <c r="G845" t="s">
        <v>287</v>
      </c>
      <c r="H845" t="s">
        <v>88</v>
      </c>
      <c r="K845" t="str">
        <f>B802</f>
        <v>heat, residential, by conversion of hydrogen using fuel cell, SOFC, allocated by exergy, transported by pipeline, produced by Steam Methane Reforming, with CCS using natural gas from Switzerland</v>
      </c>
      <c r="L845">
        <f t="shared" si="53"/>
        <v>2</v>
      </c>
      <c r="M845">
        <f t="shared" si="54"/>
        <v>-11.998597909575029</v>
      </c>
      <c r="N845">
        <v>1</v>
      </c>
      <c r="O845" s="15">
        <v>1.2</v>
      </c>
      <c r="P845">
        <v>1</v>
      </c>
      <c r="Q845">
        <v>1.01</v>
      </c>
      <c r="R845">
        <v>1.2</v>
      </c>
      <c r="S845">
        <v>1.2</v>
      </c>
      <c r="T845">
        <v>1.05</v>
      </c>
      <c r="U845">
        <f t="shared" si="55"/>
        <v>0.15984597228197622</v>
      </c>
    </row>
    <row r="846" spans="1:22" hidden="1" x14ac:dyDescent="0.2">
      <c r="A846" s="45" t="str">
        <f>"hydrogen supply, transported by "&amp;B816&amp;", produced by "&amp;B820&amp;" using "&amp;B821&amp;" from "&amp;B822</f>
        <v>hydrogen supply, transported by pipeline, produced by Steam Methane Reforming, with CCS using natural gas from Switzerland</v>
      </c>
      <c r="B846" s="53">
        <f>(B841/B825)/B824*B836</f>
        <v>2.1364003947168392E-3</v>
      </c>
      <c r="C846" t="s">
        <v>56</v>
      </c>
      <c r="E846" t="s">
        <v>64</v>
      </c>
      <c r="F846" t="s">
        <v>86</v>
      </c>
      <c r="G846" s="67" t="s">
        <v>1129</v>
      </c>
      <c r="H846" t="s">
        <v>76</v>
      </c>
      <c r="I846" t="s">
        <v>1054</v>
      </c>
      <c r="J846" t="s">
        <v>306</v>
      </c>
      <c r="K846" t="str">
        <f>B802</f>
        <v>heat, residential, by conversion of hydrogen using fuel cell, SOFC, allocated by exergy, transported by pipeline, produced by Steam Methane Reforming, with CCS using natural gas from Switzerland</v>
      </c>
      <c r="L846">
        <f t="shared" si="53"/>
        <v>2</v>
      </c>
      <c r="M846">
        <f t="shared" si="54"/>
        <v>-6.1486329247407472</v>
      </c>
      <c r="N846">
        <v>1</v>
      </c>
      <c r="O846" s="15">
        <v>1.2</v>
      </c>
      <c r="P846">
        <v>1</v>
      </c>
      <c r="Q846">
        <v>1.01</v>
      </c>
      <c r="R846">
        <v>1.2</v>
      </c>
      <c r="S846">
        <v>1.2</v>
      </c>
      <c r="T846">
        <v>1.05</v>
      </c>
      <c r="U846">
        <f t="shared" si="55"/>
        <v>0.15984597228197622</v>
      </c>
    </row>
    <row r="847" spans="1:22" hidden="1" x14ac:dyDescent="0.2">
      <c r="A847" t="s">
        <v>134</v>
      </c>
      <c r="B847" s="45">
        <f>B846*9</f>
        <v>1.9227603552451553E-2</v>
      </c>
      <c r="C847" t="s">
        <v>56</v>
      </c>
      <c r="D847" t="s">
        <v>100</v>
      </c>
      <c r="F847" t="s">
        <v>99</v>
      </c>
      <c r="H847" t="s">
        <v>131</v>
      </c>
      <c r="I847" t="s">
        <v>1057</v>
      </c>
      <c r="K847" t="str">
        <f>B802</f>
        <v>heat, residential, by conversion of hydrogen using fuel cell, SOFC, allocated by exergy, transported by pipeline, produced by Steam Methane Reforming, with CCS using natural gas from Switzerland</v>
      </c>
      <c r="L847">
        <f t="shared" si="53"/>
        <v>2</v>
      </c>
      <c r="M847">
        <f t="shared" si="54"/>
        <v>-3.9514083474045276</v>
      </c>
      <c r="N847">
        <v>1</v>
      </c>
      <c r="O847" s="15">
        <v>1.2</v>
      </c>
      <c r="P847">
        <v>1</v>
      </c>
      <c r="Q847">
        <v>1.01</v>
      </c>
      <c r="R847">
        <v>1.2</v>
      </c>
      <c r="S847">
        <v>1.2</v>
      </c>
      <c r="T847">
        <v>1.05</v>
      </c>
      <c r="U847">
        <f t="shared" si="55"/>
        <v>0.15984597228197622</v>
      </c>
    </row>
    <row r="848" spans="1:22" hidden="1" x14ac:dyDescent="0.2"/>
    <row r="849" spans="1:2" hidden="1" x14ac:dyDescent="0.2">
      <c r="A849" s="2" t="s">
        <v>50</v>
      </c>
      <c r="B849" s="44" t="str">
        <f>IF(B855="megajoule","heat","electricity")&amp;", residential, by "&amp;B860&amp;" of "&amp;B859&amp;" using "&amp;B861&amp;IF(B862&lt;&gt;0,", allocated by "&amp;B862,"")&amp;", transported by "&amp;B863&amp;", produced by "&amp;B867&amp;" using "&amp;B868&amp;" from "&amp;B869</f>
        <v>electricity, residential, by combustion of hydrogen using CHP, allocated by exergy, transported by pipeline, produced by Steam Methane Reforming, with CCS using natural gas from Switzerland</v>
      </c>
    </row>
    <row r="850" spans="1:2" hidden="1" x14ac:dyDescent="0.2">
      <c r="A850" t="s">
        <v>51</v>
      </c>
      <c r="B850" s="45" t="str">
        <f>"This dataset represents the supply of 1 "&amp;IF(B855="megajoule","megajoule of heat","kilowatt hour of electricity")&amp;" in a residence, by "&amp;B859&amp;" "&amp;B860&amp;" in a "&amp;B861&amp;". "&amp;" The hydrogen is transported by "&amp;B863&amp;" over "&amp;B864&amp;" km from regional storage. "&amp;" The "&amp;B859&amp;" is produced by  "&amp;B867&amp;", with "&amp;B868&amp;" from "&amp;B869&amp;" as feedstock. "&amp;A871&amp;": "&amp;(B871*100)&amp;"%. "&amp;A872&amp;": "&amp;B872&amp;". "&amp;A873&amp;": "&amp;B873&amp;". "&amp;A874&amp;": "&amp;(B874*100)&amp;"%. "&amp;A875&amp;": "&amp;(B875*100)&amp;"%. "&amp;A876&amp;": "&amp;(B876*100)&amp;"%. "&amp;A877&amp;": "&amp;B877&amp;". "&amp;A878&amp;": "&amp;B878&amp;". "&amp;A879&amp;": "&amp;(B879*100)&amp;"%. "&amp;A880&amp;": "&amp;B880&amp;". "&amp;A881&amp;": "&amp;B881&amp;". "&amp;A882&amp;": "&amp;B882&amp;". "&amp;A883&amp;": "&amp;B883&amp;".  For more information, refer to: "&amp;B851</f>
        <v>This dataset represents the supply of 1 kilowatt hour of electricity in a residence, by hydrogen combustion in a CHP.  The hydrogen is transported by pipeline over 500 km from regional storage.  The hydrogen is produced by  Steam Methane Reforming, with CCS,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851" spans="1:2" hidden="1" x14ac:dyDescent="0.2">
      <c r="A851" t="s">
        <v>63</v>
      </c>
      <c r="B851" s="45" t="s">
        <v>660</v>
      </c>
    </row>
    <row r="852" spans="1:2" hidden="1" x14ac:dyDescent="0.2">
      <c r="A852" t="s">
        <v>52</v>
      </c>
      <c r="B852" s="45" t="s">
        <v>64</v>
      </c>
    </row>
    <row r="853" spans="1:2" hidden="1" x14ac:dyDescent="0.2">
      <c r="A853" t="s">
        <v>48</v>
      </c>
      <c r="B853" s="45" t="s">
        <v>967</v>
      </c>
    </row>
    <row r="854" spans="1:2" hidden="1" x14ac:dyDescent="0.2">
      <c r="A854" t="s">
        <v>54</v>
      </c>
      <c r="B854" s="45" t="str">
        <f>INDEX(overview!$B$4:$R$338,MATCH(B853,overview!$A$4:$A$338,0),MATCH(A854,overview!$B$3:$R$3,0))</f>
        <v>electricity, from residential heating system</v>
      </c>
    </row>
    <row r="855" spans="1:2" hidden="1" x14ac:dyDescent="0.2">
      <c r="A855" t="s">
        <v>55</v>
      </c>
      <c r="B855" s="45" t="str">
        <f>INDEX(overview!$B$4:$R$338,MATCH(B853,overview!$A$4:$A$338,0),MATCH(A855,overview!$B$3:$R$3,0))</f>
        <v>kilowatt hour</v>
      </c>
    </row>
    <row r="856" spans="1:2" hidden="1" x14ac:dyDescent="0.2">
      <c r="A856" t="s">
        <v>0</v>
      </c>
      <c r="B856" s="45" t="str">
        <f>INDEX(overview!$B$4:$R$338,MATCH(B853,overview!$A$4:$A$338,0),MATCH(A856,overview!$B$3:$R$3,0))</f>
        <v>Switzerland</v>
      </c>
    </row>
    <row r="857" spans="1:2" hidden="1" x14ac:dyDescent="0.2">
      <c r="A857" t="s">
        <v>1</v>
      </c>
      <c r="B857" s="45">
        <f>INDEX(overview!$B$4:$R$338,MATCH(B853,overview!$A$4:$A$338,0),MATCH(A857,overview!$B$3:$R$3,0))</f>
        <v>2020</v>
      </c>
    </row>
    <row r="858" spans="1:2" hidden="1" x14ac:dyDescent="0.2">
      <c r="A858" t="s">
        <v>2</v>
      </c>
      <c r="B858" s="45" t="str">
        <f>INDEX(overview!$B$4:$R$338,MATCH(B853,overview!$A$4:$A$338,0),MATCH(A858,overview!$B$3:$R$3,0))</f>
        <v>1 kWh electricity</v>
      </c>
    </row>
    <row r="859" spans="1:2" hidden="1" x14ac:dyDescent="0.2">
      <c r="A859" t="s">
        <v>5</v>
      </c>
      <c r="B859" s="45" t="str">
        <f>INDEX(overview!$B$4:$R$338,MATCH(B853,overview!$A$4:$A$338,0),MATCH(A859,overview!$B$3:$R$3,0))</f>
        <v>hydrogen</v>
      </c>
    </row>
    <row r="860" spans="1:2" hidden="1" x14ac:dyDescent="0.2">
      <c r="A860" t="s">
        <v>3</v>
      </c>
      <c r="B860" s="45" t="str">
        <f>INDEX(overview!$B$4:$R$338,MATCH(B853,overview!$A$4:$A$338,0),MATCH(A860,overview!$B$3:$R$3,0))</f>
        <v>combustion</v>
      </c>
    </row>
    <row r="861" spans="1:2" hidden="1" x14ac:dyDescent="0.2">
      <c r="A861" t="s">
        <v>6</v>
      </c>
      <c r="B861" s="45" t="str">
        <f>INDEX(overview!$B$4:$R$338,MATCH(B853,overview!$A$4:$A$338,0),MATCH(A861,overview!$B$3:$R$3,0))</f>
        <v>CHP</v>
      </c>
    </row>
    <row r="862" spans="1:2" hidden="1" x14ac:dyDescent="0.2">
      <c r="A862" t="s">
        <v>39</v>
      </c>
      <c r="B862" s="45" t="str">
        <f>INDEX(overview!$B$4:$R$338,MATCH(B853,overview!$A$4:$A$338,0),MATCH(A862,overview!$B$3:$R$3,0))</f>
        <v>exergy</v>
      </c>
    </row>
    <row r="863" spans="1:2" hidden="1" x14ac:dyDescent="0.2">
      <c r="A863" t="s">
        <v>4</v>
      </c>
      <c r="B863" s="45" t="str">
        <f>INDEX(overview!$B$4:$R$338,MATCH(B853,overview!$A$4:$A$338,0),MATCH(A863,overview!$B$3:$R$3,0))</f>
        <v>pipeline</v>
      </c>
    </row>
    <row r="864" spans="1:2" hidden="1" x14ac:dyDescent="0.2">
      <c r="A864" t="s">
        <v>38</v>
      </c>
      <c r="B864" s="45">
        <f>INDEX(overview!$B$4:$R$338,MATCH(B853,overview!$A$4:$A$338,0),MATCH(A864,overview!$B$3:$R$3,0))</f>
        <v>500</v>
      </c>
    </row>
    <row r="865" spans="1:2" hidden="1" x14ac:dyDescent="0.2">
      <c r="A865" t="s">
        <v>12</v>
      </c>
      <c r="B865" s="45" t="str">
        <f>INDEX(overview!$B$4:$R$338,MATCH(B853,overview!$A$4:$A$338,0),MATCH(A865,overview!$B$3:$R$3,0))</f>
        <v>Pressure vessel for stationary storage</v>
      </c>
    </row>
    <row r="866" spans="1:2" hidden="1" x14ac:dyDescent="0.2">
      <c r="A866" t="s">
        <v>34</v>
      </c>
      <c r="B866" s="45">
        <f>INDEX(overview!$B$4:$R$338,MATCH(B853,overview!$A$4:$A$338,0),MATCH(A866,overview!$B$3:$R$3,0))</f>
        <v>0</v>
      </c>
    </row>
    <row r="867" spans="1:2" hidden="1" x14ac:dyDescent="0.2">
      <c r="A867" t="s">
        <v>15</v>
      </c>
      <c r="B867" s="45" t="str">
        <f>INDEX(overview!$B$4:$R$338,MATCH(B853,overview!$A$4:$A$338,0),MATCH(A867,overview!$B$3:$R$3,0))</f>
        <v>Steam Methane Reforming, with CCS</v>
      </c>
    </row>
    <row r="868" spans="1:2" hidden="1" x14ac:dyDescent="0.2">
      <c r="A868" t="s">
        <v>14</v>
      </c>
      <c r="B868" s="45" t="str">
        <f>INDEX(overview!$B$4:$R$338,MATCH(B853,overview!$A$4:$A$338,0),MATCH(A868,overview!$B$3:$R$3,0))</f>
        <v>natural gas</v>
      </c>
    </row>
    <row r="869" spans="1:2" hidden="1" x14ac:dyDescent="0.2">
      <c r="A869" t="s">
        <v>26</v>
      </c>
      <c r="B869" s="45" t="str">
        <f>INDEX(overview!$B$4:$R$338,MATCH(B853,overview!$A$4:$A$338,0),MATCH(A869,overview!$B$3:$R$3,0))</f>
        <v>Switzerland</v>
      </c>
    </row>
    <row r="870" spans="1:2" hidden="1" x14ac:dyDescent="0.2">
      <c r="A870" t="s">
        <v>29</v>
      </c>
      <c r="B870" s="45">
        <f>INDEX(overview!$B$4:$R$338,MATCH(B853,overview!$A$4:$A$338,0),MATCH(A870,overview!$B$3:$R$3,0))</f>
        <v>0</v>
      </c>
    </row>
    <row r="871" spans="1:2" hidden="1" x14ac:dyDescent="0.2">
      <c r="A871" t="str">
        <f>IF(B855="megajoule","Heat","Electricity")&amp;" conversion efficiency [% LHV input]"</f>
        <v>Electricity conversion efficiency [% LHV input]</v>
      </c>
      <c r="B871" s="46">
        <f>INDEX(parameters!$D$4:$N$20,MATCH(B859&amp;B861,parameters!$A$4:$A$20,0),MATCH(A871,parameters!$D$3:$N$3,0))</f>
        <v>0.39400000000000002</v>
      </c>
    </row>
    <row r="872" spans="1:2" hidden="1" x14ac:dyDescent="0.2">
      <c r="A872" t="str">
        <f>IF(B855="megajoule","LHV [MJ/kg]","LHV [kWh/kg]")</f>
        <v>LHV [kWh/kg]</v>
      </c>
      <c r="B872" s="47">
        <f>INDEX(parameters!$D$4:$N$20,MATCH(B859&amp;B861,parameters!$A$4:$A$20,0),MATCH(A872,parameters!$D$3:$N$3,0))</f>
        <v>33.333333333333336</v>
      </c>
    </row>
    <row r="873" spans="1:2" hidden="1" x14ac:dyDescent="0.2">
      <c r="A873" t="s">
        <v>41</v>
      </c>
      <c r="B873" s="48">
        <f>INDEX(parameters!$D$4:$N$20,MATCH(B859&amp;B861,parameters!$A$4:$A$20,0),MATCH(A873,parameters!$D$3:$N$3,0))</f>
        <v>2.6666666666666665E-2</v>
      </c>
    </row>
    <row r="874" spans="1:2" hidden="1" x14ac:dyDescent="0.2">
      <c r="A874" t="s">
        <v>45</v>
      </c>
      <c r="B874" s="46">
        <f>INDEX(parameters!$D$4:$N$20,MATCH(B859&amp;B861,parameters!$A$4:$A$20,0),MATCH(A874,parameters!$D$3:$N$3,0))</f>
        <v>0</v>
      </c>
    </row>
    <row r="875" spans="1:2" hidden="1" x14ac:dyDescent="0.2">
      <c r="A875" t="s">
        <v>46</v>
      </c>
      <c r="B875" s="46">
        <f>INDEX(parameters!$D$4:$N$20,MATCH(B859&amp;B861,parameters!$A$4:$A$20,0),MATCH(A875,parameters!$D$3:$N$3,0))</f>
        <v>1.4999999999999999E-2</v>
      </c>
    </row>
    <row r="876" spans="1:2" hidden="1" x14ac:dyDescent="0.2">
      <c r="A876" t="s">
        <v>43</v>
      </c>
      <c r="B876" s="46">
        <f>INDEX(parameters!$D$4:$N$20,MATCH(B859&amp;B861,parameters!$A$4:$A$20,0),MATCH(A876,parameters!$D$3:$N$3,0))</f>
        <v>0</v>
      </c>
    </row>
    <row r="877" spans="1:2" hidden="1" x14ac:dyDescent="0.2">
      <c r="A877" t="s">
        <v>44</v>
      </c>
      <c r="B877" s="46">
        <f>INDEX(parameters!$D$4:$N$20,MATCH(B859&amp;B861,parameters!$A$4:$A$20,0),MATCH(A877,parameters!$D$3:$N$3,0))</f>
        <v>0</v>
      </c>
    </row>
    <row r="878" spans="1:2" hidden="1" x14ac:dyDescent="0.2">
      <c r="A878" t="s">
        <v>634</v>
      </c>
      <c r="B878" s="50">
        <f>INDEX(parameters!$D$4:$Y$20,MATCH(B859&amp;B861,parameters!$A$4:$A$20,0),MATCH(A878,parameters!$D$3:$Y$3,0))</f>
        <v>351.41800246609125</v>
      </c>
    </row>
    <row r="879" spans="1:2" hidden="1" x14ac:dyDescent="0.2">
      <c r="A879" t="s">
        <v>82</v>
      </c>
      <c r="B879" s="46">
        <f>IF(B870&lt;&gt;0,VLOOKUP(B870,parameters!A663:B665,2,0),0)</f>
        <v>0</v>
      </c>
    </row>
    <row r="880" spans="1:2" hidden="1" x14ac:dyDescent="0.2">
      <c r="A880" t="s">
        <v>548</v>
      </c>
      <c r="B880" s="50">
        <f>INDEX(parameters!$D$4:$P$20,MATCH(B859&amp;B861,parameters!$A$4:$A$20,0),MATCH(A880,parameters!$D$3:$P$3,0))</f>
        <v>125</v>
      </c>
    </row>
    <row r="881" spans="1:22" hidden="1" x14ac:dyDescent="0.2">
      <c r="A881" t="s">
        <v>547</v>
      </c>
      <c r="B881" s="51">
        <f>INDEX(parameters!$D$4:$P$20,MATCH(B859&amp;B861,parameters!$A$4:$A$20,0),MATCH(A881,parameters!$D$3:$P$3,0))</f>
        <v>19.512195121951219</v>
      </c>
    </row>
    <row r="882" spans="1:22" hidden="1" x14ac:dyDescent="0.2">
      <c r="A882" t="s">
        <v>630</v>
      </c>
      <c r="B882" s="51">
        <f>INDEX(parameters!$D$4:$T$20,MATCH(B859&amp;B861,parameters!$A$4:$A$20,0),MATCH(A882,parameters!$D$3:$T$3,0))</f>
        <v>4100</v>
      </c>
    </row>
    <row r="883" spans="1:22" hidden="1" x14ac:dyDescent="0.2">
      <c r="A883" t="s">
        <v>1005</v>
      </c>
      <c r="B883" s="50">
        <f>IF(B855="megajoule",SUMIFS(allocation!$I$4:$I$30,allocation!$B$4:$B$30,B861,allocation!$C$4:$C$30,B862),SUMIFS(allocation!$J$4:$J$30,allocation!$B$4:$B$30,B861,allocation!$C$4:$C$30,B862))</f>
        <v>0.87139957772704957</v>
      </c>
    </row>
    <row r="884" spans="1:22" hidden="1" x14ac:dyDescent="0.2">
      <c r="A884" t="s">
        <v>1050</v>
      </c>
      <c r="B884" s="51">
        <f>INDEX(parameters!$D$4:$AB$20,MATCH(B859&amp;B861,parameters!$A$4:$A$20,0),MATCH(A884,parameters!$D$3:$AB$3,0))</f>
        <v>2220.7364520822662</v>
      </c>
    </row>
    <row r="885" spans="1:22" hidden="1" x14ac:dyDescent="0.2"/>
    <row r="886" spans="1:22" hidden="1" x14ac:dyDescent="0.2">
      <c r="A886" s="3" t="s">
        <v>57</v>
      </c>
    </row>
    <row r="887" spans="1:22" hidden="1" x14ac:dyDescent="0.2">
      <c r="A887" s="2" t="s">
        <v>58</v>
      </c>
      <c r="B887" s="44" t="s">
        <v>59</v>
      </c>
      <c r="C887" s="2" t="s">
        <v>55</v>
      </c>
      <c r="D887" s="2" t="s">
        <v>60</v>
      </c>
      <c r="E887" s="2" t="s">
        <v>52</v>
      </c>
      <c r="F887" s="2" t="s">
        <v>61</v>
      </c>
      <c r="G887" s="2" t="s">
        <v>54</v>
      </c>
      <c r="H887" s="2" t="s">
        <v>87</v>
      </c>
      <c r="I887" s="2" t="s">
        <v>51</v>
      </c>
      <c r="J887" s="2" t="s">
        <v>138</v>
      </c>
      <c r="K887" s="2" t="s">
        <v>136</v>
      </c>
      <c r="L887" s="2" t="s">
        <v>221</v>
      </c>
      <c r="M887" s="2" t="s">
        <v>379</v>
      </c>
      <c r="N887" s="2" t="s">
        <v>1059</v>
      </c>
      <c r="O887" s="2" t="s">
        <v>1060</v>
      </c>
      <c r="P887" s="2" t="s">
        <v>1061</v>
      </c>
      <c r="Q887" s="2" t="s">
        <v>1062</v>
      </c>
      <c r="R887" s="2" t="s">
        <v>1063</v>
      </c>
      <c r="S887" s="2" t="s">
        <v>1064</v>
      </c>
      <c r="T887" s="2" t="s">
        <v>1065</v>
      </c>
      <c r="U887" s="2" t="s">
        <v>380</v>
      </c>
      <c r="V887" s="2" t="s">
        <v>1128</v>
      </c>
    </row>
    <row r="888" spans="1:22" hidden="1" x14ac:dyDescent="0.2">
      <c r="A888" t="str">
        <f>B849</f>
        <v>electricity, residential, by combustion of hydrogen using CHP, allocated by exergy, transported by pipeline, produced by Steam Methane Reforming, with CCS using natural gas from Switzerland</v>
      </c>
      <c r="B888" s="45">
        <v>1</v>
      </c>
      <c r="C888" t="str">
        <f>B855</f>
        <v>kilowatt hour</v>
      </c>
      <c r="E888" t="str">
        <f>B852</f>
        <v>CH</v>
      </c>
      <c r="F888" t="s">
        <v>62</v>
      </c>
      <c r="G888" t="str">
        <f>B854</f>
        <v>electricity, from residential heating system</v>
      </c>
      <c r="K888" t="str">
        <f>B849</f>
        <v>electricity, residential, by combustion of hydrogen using CHP, allocated by exergy, transported by pipeline, produced by Steam Methane Reforming, with CCS using natural gas from Switzerland</v>
      </c>
    </row>
    <row r="889" spans="1:22" hidden="1" x14ac:dyDescent="0.2">
      <c r="A889" t="str">
        <f>VLOOKUP(J889,'dataset mapping'!$A$4:$E$69,2,0)</f>
        <v>heat and power co-generation unit construction, 160kW electrical, common components for heat+electricity</v>
      </c>
      <c r="B889" s="52">
        <f>(1/(B878*B882*B881))*B883</f>
        <v>3.0995835856870056E-8</v>
      </c>
      <c r="C889" t="str">
        <f>VLOOKUP(J889,'dataset mapping'!$A$4:$E$69,5,0)</f>
        <v>unit</v>
      </c>
      <c r="E889" t="str">
        <f>VLOOKUP(J889,'dataset mapping'!$A$4:$E$69,4,0)</f>
        <v>RER</v>
      </c>
      <c r="F889" t="s">
        <v>86</v>
      </c>
      <c r="G889" t="str">
        <f>VLOOKUP(J889,'dataset mapping'!$A$4:$E$69,3,0)</f>
        <v>heat and power co-generation unit, 160kW electrical, common components for heat+electricity</v>
      </c>
      <c r="H889" t="s">
        <v>88</v>
      </c>
      <c r="J889" t="s">
        <v>145</v>
      </c>
      <c r="K889" t="str">
        <f>B849</f>
        <v>electricity, residential, by combustion of hydrogen using CHP, allocated by exergy, transported by pipeline, produced by Steam Methane Reforming, with CCS using natural gas from Switzerland</v>
      </c>
      <c r="L889">
        <f t="shared" ref="L889:L896" si="56">IF(OR(B889&lt;0,B889=0),1,2)</f>
        <v>2</v>
      </c>
      <c r="M889">
        <f t="shared" ref="M889:M896" si="57">IF(L889=2,LN(B889),"")</f>
        <v>-17.28941296868171</v>
      </c>
      <c r="N889">
        <v>1.05</v>
      </c>
      <c r="O889" s="15">
        <v>1.2</v>
      </c>
      <c r="P889">
        <v>1</v>
      </c>
      <c r="Q889">
        <v>1.01</v>
      </c>
      <c r="R889">
        <v>1.2</v>
      </c>
      <c r="S889">
        <v>1.2</v>
      </c>
      <c r="T889">
        <v>3</v>
      </c>
      <c r="U889">
        <f t="shared" ref="U889:U896" si="58">LN(SQRT(EXP(
SQRT(
+POWER(LN(N889),2)
+POWER(LN(O889),2)
+POWER(LN(P889),2)
+POWER(LN(Q889),2)
+POWER(LN(R889),2)
+POWER(LN(S889),2)
+POWER(LN(T889),2)
)
)))</f>
        <v>0.57209088006881903</v>
      </c>
    </row>
    <row r="890" spans="1:22" hidden="1" x14ac:dyDescent="0.2">
      <c r="A890" t="str">
        <f>VLOOKUP(J890,'dataset mapping'!$A$4:$E$69,2,0)</f>
        <v>heat and power co-generation unit construction, 160kW electrical, components for electricity only</v>
      </c>
      <c r="B890" s="52">
        <f>(1/(B878*B882*B881))*B883</f>
        <v>3.0995835856870056E-8</v>
      </c>
      <c r="C890" t="str">
        <f>VLOOKUP(J890,'dataset mapping'!$A$4:$E$69,5,0)</f>
        <v>unit</v>
      </c>
      <c r="E890" t="str">
        <f>VLOOKUP(J890,'dataset mapping'!$A$4:$E$69,4,0)</f>
        <v>RER</v>
      </c>
      <c r="F890" t="s">
        <v>86</v>
      </c>
      <c r="G890" t="str">
        <f>VLOOKUP(J890,'dataset mapping'!$A$4:$E$69,3,0)</f>
        <v>heat and power co-generation unit, 160kW electrical, components for electricity only</v>
      </c>
      <c r="H890" t="s">
        <v>88</v>
      </c>
      <c r="J890" t="s">
        <v>146</v>
      </c>
      <c r="K890" t="str">
        <f>B849</f>
        <v>electricity, residential, by combustion of hydrogen using CHP, allocated by exergy, transported by pipeline, produced by Steam Methane Reforming, with CCS using natural gas from Switzerland</v>
      </c>
      <c r="L890">
        <f t="shared" si="56"/>
        <v>2</v>
      </c>
      <c r="M890">
        <f t="shared" si="57"/>
        <v>-17.28941296868171</v>
      </c>
      <c r="N890">
        <v>1.05</v>
      </c>
      <c r="O890" s="15">
        <v>1.2</v>
      </c>
      <c r="P890">
        <v>1</v>
      </c>
      <c r="Q890">
        <v>1.01</v>
      </c>
      <c r="R890">
        <v>1.2</v>
      </c>
      <c r="S890">
        <v>1.2</v>
      </c>
      <c r="T890">
        <v>3</v>
      </c>
      <c r="U890">
        <f t="shared" si="58"/>
        <v>0.57209088006881903</v>
      </c>
    </row>
    <row r="891" spans="1:22" hidden="1" x14ac:dyDescent="0.2">
      <c r="A891" t="str">
        <f>VLOOKUP(J891,'dataset mapping'!$A$4:$E$69,2,0)</f>
        <v>heat and power co-generation unit construction, 160kW electrical, components for heat only</v>
      </c>
      <c r="B891" s="52">
        <f>(1/(B878*B882*B881))*B883</f>
        <v>3.0995835856870056E-8</v>
      </c>
      <c r="C891" t="str">
        <f>VLOOKUP(J891,'dataset mapping'!$A$4:$E$69,5,0)</f>
        <v>unit</v>
      </c>
      <c r="E891" t="str">
        <f>VLOOKUP(J891,'dataset mapping'!$A$4:$E$69,4,0)</f>
        <v>RER</v>
      </c>
      <c r="F891" t="s">
        <v>86</v>
      </c>
      <c r="G891" t="str">
        <f>VLOOKUP(J891,'dataset mapping'!$A$4:$E$69,3,0)</f>
        <v>heat and power co-generation unit, 160kW electrical, components for heat only</v>
      </c>
      <c r="H891" t="s">
        <v>88</v>
      </c>
      <c r="J891" t="s">
        <v>147</v>
      </c>
      <c r="K891" t="str">
        <f>B849</f>
        <v>electricity, residential, by combustion of hydrogen using CHP, allocated by exergy, transported by pipeline, produced by Steam Methane Reforming, with CCS using natural gas from Switzerland</v>
      </c>
      <c r="L891">
        <f t="shared" si="56"/>
        <v>2</v>
      </c>
      <c r="M891">
        <f t="shared" si="57"/>
        <v>-17.28941296868171</v>
      </c>
      <c r="N891">
        <v>1.05</v>
      </c>
      <c r="O891" s="15">
        <v>1.2</v>
      </c>
      <c r="P891">
        <v>1</v>
      </c>
      <c r="Q891">
        <v>1.01</v>
      </c>
      <c r="R891">
        <v>1.2</v>
      </c>
      <c r="S891">
        <v>1.2</v>
      </c>
      <c r="T891">
        <v>3</v>
      </c>
      <c r="U891">
        <f t="shared" si="58"/>
        <v>0.57209088006881903</v>
      </c>
    </row>
    <row r="892" spans="1:22" hidden="1" x14ac:dyDescent="0.2">
      <c r="A892" t="s">
        <v>156</v>
      </c>
      <c r="B892" s="52">
        <f>0.00000011366*B883</f>
        <v>9.9043276004456456E-8</v>
      </c>
      <c r="C892" t="s">
        <v>56</v>
      </c>
      <c r="E892" t="s">
        <v>90</v>
      </c>
      <c r="F892" t="s">
        <v>86</v>
      </c>
      <c r="G892" t="s">
        <v>154</v>
      </c>
      <c r="H892" t="s">
        <v>155</v>
      </c>
      <c r="K892" t="str">
        <f>B849</f>
        <v>electricity, residential, by combustion of hydrogen using CHP, allocated by exergy, transported by pipeline, produced by Steam Methane Reforming, with CCS using natural gas from Switzerland</v>
      </c>
      <c r="L892">
        <f t="shared" si="56"/>
        <v>2</v>
      </c>
      <c r="M892">
        <f t="shared" si="57"/>
        <v>-16.127708950967754</v>
      </c>
      <c r="N892">
        <v>1.05</v>
      </c>
      <c r="O892" s="15">
        <v>1.2</v>
      </c>
      <c r="P892">
        <v>1</v>
      </c>
      <c r="Q892">
        <v>1.01</v>
      </c>
      <c r="R892">
        <v>1.2</v>
      </c>
      <c r="S892">
        <v>1.2</v>
      </c>
      <c r="T892">
        <v>1.05</v>
      </c>
      <c r="U892">
        <f t="shared" si="58"/>
        <v>0.16169679924070957</v>
      </c>
    </row>
    <row r="893" spans="1:22" hidden="1" x14ac:dyDescent="0.2">
      <c r="A893" t="s">
        <v>157</v>
      </c>
      <c r="B893" s="52">
        <f>0.00000011366*B883*-1</f>
        <v>-9.9043276004456456E-8</v>
      </c>
      <c r="C893" t="s">
        <v>56</v>
      </c>
      <c r="E893" t="s">
        <v>64</v>
      </c>
      <c r="F893" t="s">
        <v>86</v>
      </c>
      <c r="G893" t="s">
        <v>158</v>
      </c>
      <c r="H893" t="s">
        <v>155</v>
      </c>
      <c r="K893" t="str">
        <f>B849</f>
        <v>electricity, residential, by combustion of hydrogen using CHP, allocated by exergy, transported by pipeline, produced by Steam Methane Reforming, with CCS using natural gas from Switzerland</v>
      </c>
      <c r="L893">
        <v>2</v>
      </c>
      <c r="M893">
        <f>IF(L893=2,LN(B893*-1),"")</f>
        <v>-16.127708950967754</v>
      </c>
      <c r="N893">
        <v>1.05</v>
      </c>
      <c r="O893" s="15">
        <v>1.2</v>
      </c>
      <c r="P893">
        <v>1</v>
      </c>
      <c r="Q893">
        <v>1.01</v>
      </c>
      <c r="R893">
        <v>1.2</v>
      </c>
      <c r="S893">
        <v>1.2</v>
      </c>
      <c r="T893">
        <v>3</v>
      </c>
      <c r="U893">
        <f>LN(SQRT(EXP(
SQRT(
+POWER(LN(N893),2)
+POWER(LN(O893),2)
+POWER(LN(P893),2)
+POWER(LN(Q893),2)
+POWER(LN(R893),2)
+POWER(LN(S893),2)
+POWER(LN(T893),2)
)
)))</f>
        <v>0.57209088006881903</v>
      </c>
      <c r="V893" t="b">
        <v>1</v>
      </c>
    </row>
    <row r="894" spans="1:22" hidden="1" x14ac:dyDescent="0.2">
      <c r="A894" s="45" t="str">
        <f>"hydrogen supply, transported by "&amp;B863&amp;", produced by "&amp;B867&amp;" using "&amp;B868&amp;" from "&amp;B869</f>
        <v>hydrogen supply, transported by pipeline, produced by Steam Methane Reforming, with CCS using natural gas from Switzerland</v>
      </c>
      <c r="B894" s="53">
        <f>(B888/B872)/B871*B883</f>
        <v>6.6350221654343872E-2</v>
      </c>
      <c r="C894" t="s">
        <v>56</v>
      </c>
      <c r="E894" t="s">
        <v>64</v>
      </c>
      <c r="F894" t="s">
        <v>86</v>
      </c>
      <c r="G894" s="67" t="s">
        <v>1129</v>
      </c>
      <c r="H894" t="s">
        <v>76</v>
      </c>
      <c r="I894" t="s">
        <v>1054</v>
      </c>
      <c r="J894" t="s">
        <v>306</v>
      </c>
      <c r="K894" t="str">
        <f>B849</f>
        <v>electricity, residential, by combustion of hydrogen using CHP, allocated by exergy, transported by pipeline, produced by Steam Methane Reforming, with CCS using natural gas from Switzerland</v>
      </c>
      <c r="L894">
        <f t="shared" si="56"/>
        <v>2</v>
      </c>
      <c r="M894">
        <f t="shared" si="57"/>
        <v>-2.7128081775260964</v>
      </c>
      <c r="N894">
        <v>1.05</v>
      </c>
      <c r="O894" s="15">
        <v>1.2</v>
      </c>
      <c r="P894">
        <v>1</v>
      </c>
      <c r="Q894">
        <v>1.01</v>
      </c>
      <c r="R894">
        <v>1.2</v>
      </c>
      <c r="S894">
        <v>1.2</v>
      </c>
      <c r="T894">
        <v>1.05</v>
      </c>
      <c r="U894">
        <f t="shared" si="58"/>
        <v>0.16169679924070957</v>
      </c>
    </row>
    <row r="895" spans="1:22" hidden="1" x14ac:dyDescent="0.2">
      <c r="A895" t="s">
        <v>134</v>
      </c>
      <c r="B895" s="45">
        <f>B894*9</f>
        <v>0.59715199488909487</v>
      </c>
      <c r="C895" t="s">
        <v>56</v>
      </c>
      <c r="D895" t="s">
        <v>100</v>
      </c>
      <c r="F895" t="s">
        <v>99</v>
      </c>
      <c r="H895" t="s">
        <v>131</v>
      </c>
      <c r="I895" t="s">
        <v>1058</v>
      </c>
      <c r="K895" t="str">
        <f>B849</f>
        <v>electricity, residential, by combustion of hydrogen using CHP, allocated by exergy, transported by pipeline, produced by Steam Methane Reforming, with CCS using natural gas from Switzerland</v>
      </c>
      <c r="L895">
        <f t="shared" si="56"/>
        <v>2</v>
      </c>
      <c r="M895">
        <f t="shared" si="57"/>
        <v>-0.51558360018987692</v>
      </c>
      <c r="N895">
        <v>1.05</v>
      </c>
      <c r="O895" s="15">
        <v>1.2</v>
      </c>
      <c r="P895">
        <v>1</v>
      </c>
      <c r="Q895">
        <v>1.01</v>
      </c>
      <c r="R895">
        <v>1.2</v>
      </c>
      <c r="S895">
        <v>1.2</v>
      </c>
      <c r="T895">
        <v>1.05</v>
      </c>
      <c r="U895">
        <f t="shared" si="58"/>
        <v>0.16169679924070957</v>
      </c>
    </row>
    <row r="896" spans="1:22" hidden="1" x14ac:dyDescent="0.2">
      <c r="A896" t="s">
        <v>135</v>
      </c>
      <c r="B896" s="45">
        <f>912.5/1000000*B894</f>
        <v>6.0544577259588785E-5</v>
      </c>
      <c r="C896" t="s">
        <v>56</v>
      </c>
      <c r="D896" t="s">
        <v>100</v>
      </c>
      <c r="F896" t="s">
        <v>99</v>
      </c>
      <c r="H896" t="s">
        <v>131</v>
      </c>
      <c r="I896" t="s">
        <v>1217</v>
      </c>
      <c r="K896" t="str">
        <f>B849</f>
        <v>electricity, residential, by combustion of hydrogen using CHP, allocated by exergy, transported by pipeline, produced by Steam Methane Reforming, with CCS using natural gas from Switzerland</v>
      </c>
      <c r="L896">
        <f t="shared" si="56"/>
        <v>2</v>
      </c>
      <c r="M896">
        <f t="shared" si="57"/>
        <v>-9.712130650033723</v>
      </c>
      <c r="N896">
        <v>1.05</v>
      </c>
      <c r="O896" s="15">
        <v>1.2</v>
      </c>
      <c r="P896">
        <v>1</v>
      </c>
      <c r="Q896">
        <v>1.01</v>
      </c>
      <c r="R896">
        <v>1.2</v>
      </c>
      <c r="S896">
        <v>1.2</v>
      </c>
      <c r="T896">
        <v>1.5</v>
      </c>
      <c r="U896">
        <f t="shared" si="58"/>
        <v>0.25816898211842121</v>
      </c>
    </row>
    <row r="897" spans="1:2" hidden="1" x14ac:dyDescent="0.2"/>
    <row r="898" spans="1:2" hidden="1" x14ac:dyDescent="0.2">
      <c r="A898" s="2" t="s">
        <v>50</v>
      </c>
      <c r="B898" s="44" t="str">
        <f>IF(B904="megajoule","heat","electricity")&amp;", residential, by "&amp;B909&amp;" of "&amp;B908&amp;" using "&amp;B910&amp;IF(B911&lt;&gt;0,", allocated by "&amp;B911,"")&amp;", transported by "&amp;B912&amp;", produced by "&amp;B916&amp;" using "&amp;B917&amp;" from "&amp;B918</f>
        <v>electricity, residential, by conversion of hydrogen using fuel cell, PEM, allocated by exergy, transported by pipeline, produced by Steam Methane Reforming, with CCS using natural gas from Switzerland</v>
      </c>
    </row>
    <row r="899" spans="1:2" hidden="1" x14ac:dyDescent="0.2">
      <c r="A899" t="s">
        <v>51</v>
      </c>
      <c r="B899" s="45" t="str">
        <f>"This dataset represents the supply of 1 "&amp;IF(B904="megajoule","megajoule of heat","kilowatt hour of electricity")&amp;" in a residence, by "&amp;B908&amp;" "&amp;B909&amp;" in a "&amp;B910&amp;". "&amp;" The hydrogen is transported by "&amp;B912&amp;" over "&amp;B913&amp;" km from regional storage. "&amp;" The "&amp;B908&amp;" is produced by  "&amp;B916&amp;", with "&amp;B917&amp;" from "&amp;B918&amp;" as feedstock. "&amp;A920&amp;": "&amp;(B920*100)&amp;"%. "&amp;A921&amp;": "&amp;B921&amp;". "&amp;A922&amp;": "&amp;B922&amp;". "&amp;A923&amp;": "&amp;(B923*100)&amp;"%. "&amp;A924&amp;": "&amp;(B924*100)&amp;"%. "&amp;A925&amp;": "&amp;(B925*100)&amp;"%. "&amp;A926&amp;": "&amp;B926&amp;". "&amp;A927&amp;": "&amp;B927&amp;". "&amp;A928&amp;": "&amp;(B928*100)&amp;"%. "&amp;A929&amp;": "&amp;B929&amp;". "&amp;A930&amp;": "&amp;B930&amp;". "&amp;A931&amp;": "&amp;B931&amp;". "&amp;A932&amp;": "&amp;B932&amp;".  For more information, refer to: "&amp;B900</f>
        <v>This dataset represents the supply of 1 kilowatt hour of electricity in a residence, by hydrogen conversion in a fuel cell, PEM.  The hydrogen is transported by pipeline over 500 km from regional storage.  The hydrogen is produced by  Steam Methane Reforming, with CCS,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900" spans="1:2" hidden="1" x14ac:dyDescent="0.2">
      <c r="A900" t="s">
        <v>63</v>
      </c>
      <c r="B900" s="45" t="s">
        <v>660</v>
      </c>
    </row>
    <row r="901" spans="1:2" hidden="1" x14ac:dyDescent="0.2">
      <c r="A901" t="s">
        <v>52</v>
      </c>
      <c r="B901" s="45" t="s">
        <v>64</v>
      </c>
    </row>
    <row r="902" spans="1:2" hidden="1" x14ac:dyDescent="0.2">
      <c r="A902" t="s">
        <v>48</v>
      </c>
      <c r="B902" s="45" t="s">
        <v>968</v>
      </c>
    </row>
    <row r="903" spans="1:2" hidden="1" x14ac:dyDescent="0.2">
      <c r="A903" t="s">
        <v>54</v>
      </c>
      <c r="B903" s="45" t="str">
        <f>INDEX(overview!$B$4:$R$338,MATCH(B902,overview!$A$4:$A$338,0),MATCH(A903,overview!$B$3:$R$3,0))</f>
        <v>electricity, from residential heating system</v>
      </c>
    </row>
    <row r="904" spans="1:2" hidden="1" x14ac:dyDescent="0.2">
      <c r="A904" t="s">
        <v>55</v>
      </c>
      <c r="B904" s="45" t="str">
        <f>INDEX(overview!$B$4:$R$338,MATCH(B902,overview!$A$4:$A$338,0),MATCH(A904,overview!$B$3:$R$3,0))</f>
        <v>kilowatt hour</v>
      </c>
    </row>
    <row r="905" spans="1:2" hidden="1" x14ac:dyDescent="0.2">
      <c r="A905" t="s">
        <v>0</v>
      </c>
      <c r="B905" s="45" t="str">
        <f>INDEX(overview!$B$4:$R$338,MATCH(B902,overview!$A$4:$A$338,0),MATCH(A905,overview!$B$3:$R$3,0))</f>
        <v>Switzerland</v>
      </c>
    </row>
    <row r="906" spans="1:2" hidden="1" x14ac:dyDescent="0.2">
      <c r="A906" t="s">
        <v>1</v>
      </c>
      <c r="B906" s="45">
        <f>INDEX(overview!$B$4:$R$338,MATCH(B902,overview!$A$4:$A$338,0),MATCH(A906,overview!$B$3:$R$3,0))</f>
        <v>2020</v>
      </c>
    </row>
    <row r="907" spans="1:2" hidden="1" x14ac:dyDescent="0.2">
      <c r="A907" t="s">
        <v>2</v>
      </c>
      <c r="B907" s="45" t="str">
        <f>INDEX(overview!$B$4:$R$338,MATCH(B902,overview!$A$4:$A$338,0),MATCH(A907,overview!$B$3:$R$3,0))</f>
        <v>1 kWh electricity</v>
      </c>
    </row>
    <row r="908" spans="1:2" hidden="1" x14ac:dyDescent="0.2">
      <c r="A908" t="s">
        <v>5</v>
      </c>
      <c r="B908" s="45" t="str">
        <f>INDEX(overview!$B$4:$R$338,MATCH(B902,overview!$A$4:$A$338,0),MATCH(A908,overview!$B$3:$R$3,0))</f>
        <v>hydrogen</v>
      </c>
    </row>
    <row r="909" spans="1:2" hidden="1" x14ac:dyDescent="0.2">
      <c r="A909" t="s">
        <v>3</v>
      </c>
      <c r="B909" s="45" t="str">
        <f>INDEX(overview!$B$4:$R$338,MATCH(B902,overview!$A$4:$A$338,0),MATCH(A909,overview!$B$3:$R$3,0))</f>
        <v>conversion</v>
      </c>
    </row>
    <row r="910" spans="1:2" hidden="1" x14ac:dyDescent="0.2">
      <c r="A910" t="s">
        <v>6</v>
      </c>
      <c r="B910" s="45" t="str">
        <f>INDEX(overview!$B$4:$R$338,MATCH(B902,overview!$A$4:$A$338,0),MATCH(A910,overview!$B$3:$R$3,0))</f>
        <v>fuel cell, PEM</v>
      </c>
    </row>
    <row r="911" spans="1:2" hidden="1" x14ac:dyDescent="0.2">
      <c r="A911" t="s">
        <v>39</v>
      </c>
      <c r="B911" s="45" t="str">
        <f>INDEX(overview!$B$4:$R$338,MATCH(B902,overview!$A$4:$A$338,0),MATCH(A911,overview!$B$3:$R$3,0))</f>
        <v>exergy</v>
      </c>
    </row>
    <row r="912" spans="1:2" hidden="1" x14ac:dyDescent="0.2">
      <c r="A912" t="s">
        <v>4</v>
      </c>
      <c r="B912" s="45" t="str">
        <f>INDEX(overview!$B$4:$R$338,MATCH(B902,overview!$A$4:$A$338,0),MATCH(A912,overview!$B$3:$R$3,0))</f>
        <v>pipeline</v>
      </c>
    </row>
    <row r="913" spans="1:2" hidden="1" x14ac:dyDescent="0.2">
      <c r="A913" t="s">
        <v>38</v>
      </c>
      <c r="B913" s="45">
        <f>INDEX(overview!$B$4:$R$338,MATCH(B902,overview!$A$4:$A$338,0),MATCH(A913,overview!$B$3:$R$3,0))</f>
        <v>500</v>
      </c>
    </row>
    <row r="914" spans="1:2" hidden="1" x14ac:dyDescent="0.2">
      <c r="A914" t="s">
        <v>12</v>
      </c>
      <c r="B914" s="45" t="str">
        <f>INDEX(overview!$B$4:$R$338,MATCH(B902,overview!$A$4:$A$338,0),MATCH(A914,overview!$B$3:$R$3,0))</f>
        <v>Pressure vessel for stationary storage</v>
      </c>
    </row>
    <row r="915" spans="1:2" hidden="1" x14ac:dyDescent="0.2">
      <c r="A915" t="s">
        <v>34</v>
      </c>
      <c r="B915" s="45">
        <f>INDEX(overview!$B$4:$R$338,MATCH(B902,overview!$A$4:$A$338,0),MATCH(A915,overview!$B$3:$R$3,0))</f>
        <v>0</v>
      </c>
    </row>
    <row r="916" spans="1:2" hidden="1" x14ac:dyDescent="0.2">
      <c r="A916" t="s">
        <v>15</v>
      </c>
      <c r="B916" s="45" t="str">
        <f>INDEX(overview!$B$4:$R$338,MATCH(B902,overview!$A$4:$A$338,0),MATCH(A916,overview!$B$3:$R$3,0))</f>
        <v>Steam Methane Reforming, with CCS</v>
      </c>
    </row>
    <row r="917" spans="1:2" hidden="1" x14ac:dyDescent="0.2">
      <c r="A917" t="s">
        <v>14</v>
      </c>
      <c r="B917" s="45" t="str">
        <f>INDEX(overview!$B$4:$R$338,MATCH(B902,overview!$A$4:$A$338,0),MATCH(A917,overview!$B$3:$R$3,0))</f>
        <v>natural gas</v>
      </c>
    </row>
    <row r="918" spans="1:2" hidden="1" x14ac:dyDescent="0.2">
      <c r="A918" t="s">
        <v>26</v>
      </c>
      <c r="B918" s="45" t="str">
        <f>INDEX(overview!$B$4:$R$338,MATCH(B902,overview!$A$4:$A$338,0),MATCH(A918,overview!$B$3:$R$3,0))</f>
        <v>Switzerland</v>
      </c>
    </row>
    <row r="919" spans="1:2" hidden="1" x14ac:dyDescent="0.2">
      <c r="A919" t="s">
        <v>29</v>
      </c>
      <c r="B919" s="45">
        <f>INDEX(overview!$B$4:$R$338,MATCH(B902,overview!$A$4:$A$338,0),MATCH(A919,overview!$B$3:$R$3,0))</f>
        <v>0</v>
      </c>
    </row>
    <row r="920" spans="1:2" hidden="1" x14ac:dyDescent="0.2">
      <c r="A920" t="str">
        <f>IF(B904="megajoule","Heat","Electricity")&amp;" conversion efficiency [% LHV input]"</f>
        <v>Electricity conversion efficiency [% LHV input]</v>
      </c>
      <c r="B920" s="46">
        <f>INDEX(parameters!$D$4:$N$20,MATCH(B908&amp;B910,parameters!$A$4:$A$20,0),MATCH(A920,parameters!$D$3:$N$3,0))</f>
        <v>0.45</v>
      </c>
    </row>
    <row r="921" spans="1:2" hidden="1" x14ac:dyDescent="0.2">
      <c r="A921" t="str">
        <f>IF(B904="megajoule","LHV [MJ/kg]","LHV [kWh/kg]")</f>
        <v>LHV [kWh/kg]</v>
      </c>
      <c r="B921" s="47">
        <f>INDEX(parameters!$D$4:$N$20,MATCH(B908&amp;B910,parameters!$A$4:$A$20,0),MATCH(A921,parameters!$D$3:$N$3,0))</f>
        <v>33.333333333333336</v>
      </c>
    </row>
    <row r="922" spans="1:2" hidden="1" x14ac:dyDescent="0.2">
      <c r="A922" t="s">
        <v>41</v>
      </c>
      <c r="B922" s="48">
        <f>INDEX(parameters!$D$4:$N$20,MATCH(B908&amp;B910,parameters!$A$4:$A$20,0),MATCH(A922,parameters!$D$3:$N$3,0))</f>
        <v>2.6666666666666665E-2</v>
      </c>
    </row>
    <row r="923" spans="1:2" hidden="1" x14ac:dyDescent="0.2">
      <c r="A923" t="s">
        <v>45</v>
      </c>
      <c r="B923" s="46">
        <f>INDEX(parameters!$D$4:$N$20,MATCH(B908&amp;B910,parameters!$A$4:$A$20,0),MATCH(A923,parameters!$D$3:$N$3,0))</f>
        <v>0</v>
      </c>
    </row>
    <row r="924" spans="1:2" hidden="1" x14ac:dyDescent="0.2">
      <c r="A924" t="s">
        <v>46</v>
      </c>
      <c r="B924" s="46">
        <f>INDEX(parameters!$D$4:$N$20,MATCH(B908&amp;B910,parameters!$A$4:$A$20,0),MATCH(A924,parameters!$D$3:$N$3,0))</f>
        <v>1.4999999999999999E-2</v>
      </c>
    </row>
    <row r="925" spans="1:2" hidden="1" x14ac:dyDescent="0.2">
      <c r="A925" t="s">
        <v>43</v>
      </c>
      <c r="B925" s="46">
        <f>INDEX(parameters!$D$4:$N$20,MATCH(B908&amp;B910,parameters!$A$4:$A$20,0),MATCH(A925,parameters!$D$3:$N$3,0))</f>
        <v>0</v>
      </c>
    </row>
    <row r="926" spans="1:2" hidden="1" x14ac:dyDescent="0.2">
      <c r="A926" t="s">
        <v>44</v>
      </c>
      <c r="B926" s="46">
        <f>INDEX(parameters!$D$4:$N$20,MATCH(B908&amp;B910,parameters!$A$4:$A$20,0),MATCH(A926,parameters!$D$3:$N$3,0))</f>
        <v>0</v>
      </c>
    </row>
    <row r="927" spans="1:2" hidden="1" x14ac:dyDescent="0.2">
      <c r="A927" t="s">
        <v>634</v>
      </c>
      <c r="B927" s="50">
        <f>INDEX(parameters!$D$4:$Y$20,MATCH(B908&amp;B910,parameters!$A$4:$A$20,0),MATCH(A927,parameters!$D$3:$Y$3,0))</f>
        <v>1.8947368421052633</v>
      </c>
    </row>
    <row r="928" spans="1:2" hidden="1" x14ac:dyDescent="0.2">
      <c r="A928" t="s">
        <v>82</v>
      </c>
      <c r="B928" s="46">
        <f>IF(B919&lt;&gt;0,VLOOKUP(B919,parameters!A717:B719,2,0),0)</f>
        <v>0</v>
      </c>
    </row>
    <row r="929" spans="1:22" hidden="1" x14ac:dyDescent="0.2">
      <c r="A929" t="s">
        <v>548</v>
      </c>
      <c r="B929" s="50">
        <f>INDEX(parameters!$D$4:$P$20,MATCH(B908&amp;B910,parameters!$A$4:$A$20,0),MATCH(A929,parameters!$D$3:$P$3,0))</f>
        <v>0.8</v>
      </c>
    </row>
    <row r="930" spans="1:22" hidden="1" x14ac:dyDescent="0.2">
      <c r="A930" t="s">
        <v>547</v>
      </c>
      <c r="B930" s="51">
        <f>INDEX(parameters!$D$4:$P$20,MATCH(B908&amp;B910,parameters!$A$4:$A$20,0),MATCH(A930,parameters!$D$3:$P$3,0))</f>
        <v>4.8780487804878048</v>
      </c>
    </row>
    <row r="931" spans="1:22" hidden="1" x14ac:dyDescent="0.2">
      <c r="A931" t="s">
        <v>630</v>
      </c>
      <c r="B931" s="51">
        <f>INDEX(parameters!$D$4:$T$20,MATCH(B908&amp;B910,parameters!$A$4:$A$20,0),MATCH(A931,parameters!$D$3:$T$3,0))</f>
        <v>4100</v>
      </c>
    </row>
    <row r="932" spans="1:22" hidden="1" x14ac:dyDescent="0.2">
      <c r="A932" t="s">
        <v>1005</v>
      </c>
      <c r="B932" s="50">
        <f>IF(B904="megajoule",SUMIFS(allocation!$I$4:$I$30,allocation!$B$4:$B$30,B910,allocation!$C$4:$C$30,B911),SUMIFS(allocation!$J$4:$J$30,allocation!$B$4:$B$30,B910,allocation!$C$4:$C$30,B911))</f>
        <v>0.86066019201025545</v>
      </c>
    </row>
    <row r="933" spans="1:22" hidden="1" x14ac:dyDescent="0.2">
      <c r="A933" t="s">
        <v>1050</v>
      </c>
      <c r="B933" s="51">
        <f>INDEX(parameters!$D$4:$AB$20,MATCH(B908&amp;B910,parameters!$A$4:$A$20,0),MATCH(A933,parameters!$D$3:$AB$3,0))</f>
        <v>10.221606648199446</v>
      </c>
    </row>
    <row r="934" spans="1:22" hidden="1" x14ac:dyDescent="0.2"/>
    <row r="935" spans="1:22" hidden="1" x14ac:dyDescent="0.2">
      <c r="A935" s="3" t="s">
        <v>57</v>
      </c>
    </row>
    <row r="936" spans="1:22" hidden="1" x14ac:dyDescent="0.2">
      <c r="A936" s="2" t="s">
        <v>58</v>
      </c>
      <c r="B936" s="44" t="s">
        <v>59</v>
      </c>
      <c r="C936" s="2" t="s">
        <v>55</v>
      </c>
      <c r="D936" s="2" t="s">
        <v>60</v>
      </c>
      <c r="E936" s="2" t="s">
        <v>52</v>
      </c>
      <c r="F936" s="2" t="s">
        <v>61</v>
      </c>
      <c r="G936" s="2" t="s">
        <v>54</v>
      </c>
      <c r="H936" s="2" t="s">
        <v>87</v>
      </c>
      <c r="I936" s="2" t="s">
        <v>51</v>
      </c>
      <c r="J936" s="2" t="s">
        <v>138</v>
      </c>
      <c r="K936" s="2" t="s">
        <v>136</v>
      </c>
      <c r="L936" s="2" t="s">
        <v>221</v>
      </c>
      <c r="M936" s="2" t="s">
        <v>379</v>
      </c>
      <c r="N936" s="2" t="s">
        <v>1059</v>
      </c>
      <c r="O936" s="2" t="s">
        <v>1060</v>
      </c>
      <c r="P936" s="2" t="s">
        <v>1061</v>
      </c>
      <c r="Q936" s="2" t="s">
        <v>1062</v>
      </c>
      <c r="R936" s="2" t="s">
        <v>1063</v>
      </c>
      <c r="S936" s="2" t="s">
        <v>1064</v>
      </c>
      <c r="T936" s="2" t="s">
        <v>1065</v>
      </c>
      <c r="U936" s="2" t="s">
        <v>380</v>
      </c>
      <c r="V936" s="2" t="s">
        <v>1128</v>
      </c>
    </row>
    <row r="937" spans="1:22" x14ac:dyDescent="0.2">
      <c r="A937" t="str">
        <f>B898</f>
        <v>electricity, residential, by conversion of hydrogen using fuel cell, PEM, allocated by exergy, transported by pipeline, produced by Steam Methane Reforming, with CCS using natural gas from Switzerland</v>
      </c>
      <c r="B937" s="45">
        <v>1</v>
      </c>
      <c r="C937" t="str">
        <f>B904</f>
        <v>kilowatt hour</v>
      </c>
      <c r="E937" t="str">
        <f>B901</f>
        <v>CH</v>
      </c>
      <c r="F937" t="s">
        <v>62</v>
      </c>
      <c r="G937" t="str">
        <f>B903</f>
        <v>electricity, from residential heating system</v>
      </c>
      <c r="K937" t="str">
        <f>B898</f>
        <v>electricity, residential, by conversion of hydrogen using fuel cell, PEM, allocated by exergy, transported by pipeline, produced by Steam Methane Reforming, with CCS using natural gas from Switzerland</v>
      </c>
    </row>
    <row r="938" spans="1:22" hidden="1" x14ac:dyDescent="0.2">
      <c r="A938" t="str">
        <f>VLOOKUP(J938,'dataset mapping'!$A$4:$E$69,2,0)</f>
        <v>fuel cell system assembly, 1 kWe, proton exchange membrane (PEM)</v>
      </c>
      <c r="B938" s="52">
        <f>(1/(B927*B931*B930))*B932</f>
        <v>2.2711866178048405E-5</v>
      </c>
      <c r="C938" t="str">
        <f>VLOOKUP(J938,'dataset mapping'!$A$4:$E$69,5,0)</f>
        <v>unit</v>
      </c>
      <c r="E938" t="str">
        <f>VLOOKUP(J938,'dataset mapping'!$A$4:$E$69,4,0)</f>
        <v>GLO</v>
      </c>
      <c r="F938" t="s">
        <v>86</v>
      </c>
      <c r="G938" t="str">
        <f>VLOOKUP(J938,'dataset mapping'!$A$4:$E$69,3,0)</f>
        <v>fuel cell system, 1 kWe, proton exchange membrane (PEM)</v>
      </c>
      <c r="H938" t="s">
        <v>88</v>
      </c>
      <c r="I938" t="s">
        <v>272</v>
      </c>
      <c r="J938" t="s">
        <v>273</v>
      </c>
      <c r="K938" t="str">
        <f>B898</f>
        <v>electricity, residential, by conversion of hydrogen using fuel cell, PEM, allocated by exergy, transported by pipeline, produced by Steam Methane Reforming, with CCS using natural gas from Switzerland</v>
      </c>
      <c r="L938">
        <f t="shared" ref="L938:L940" si="59">IF(OR(B938&lt;0,B938=0),1,2)</f>
        <v>2</v>
      </c>
      <c r="M938">
        <f t="shared" ref="M938:M940" si="60">IF(L938=2,LN(B938),"")</f>
        <v>-10.692623030936341</v>
      </c>
      <c r="N938">
        <v>1</v>
      </c>
      <c r="O938" s="15">
        <v>1.2</v>
      </c>
      <c r="P938">
        <v>1</v>
      </c>
      <c r="Q938">
        <v>1.01</v>
      </c>
      <c r="R938">
        <v>1.2</v>
      </c>
      <c r="S938">
        <v>1.2</v>
      </c>
      <c r="T938">
        <v>3</v>
      </c>
      <c r="U938">
        <f t="shared" ref="U938:U940" si="61">LN(SQRT(EXP(
SQRT(
+POWER(LN(N938),2)
+POWER(LN(O938),2)
+POWER(LN(P938),2)
+POWER(LN(Q938),2)
+POWER(LN(R938),2)
+POWER(LN(S938),2)
+POWER(LN(T938),2)
)
)))</f>
        <v>0.57157051623399524</v>
      </c>
    </row>
    <row r="939" spans="1:22" hidden="1" x14ac:dyDescent="0.2">
      <c r="A939" s="45" t="str">
        <f>"hydrogen supply, transported by "&amp;B912&amp;", produced by "&amp;B916&amp;" using "&amp;B917&amp;" from "&amp;B918</f>
        <v>hydrogen supply, transported by pipeline, produced by Steam Methane Reforming, with CCS using natural gas from Switzerland</v>
      </c>
      <c r="B939" s="53">
        <f>(B937/B921)/B920*B932</f>
        <v>5.7377346134017029E-2</v>
      </c>
      <c r="C939" t="s">
        <v>56</v>
      </c>
      <c r="E939" t="s">
        <v>64</v>
      </c>
      <c r="F939" t="s">
        <v>86</v>
      </c>
      <c r="G939" s="67" t="s">
        <v>1129</v>
      </c>
      <c r="H939" t="s">
        <v>76</v>
      </c>
      <c r="I939" t="s">
        <v>1054</v>
      </c>
      <c r="J939" t="s">
        <v>306</v>
      </c>
      <c r="K939" t="str">
        <f>B898</f>
        <v>electricity, residential, by conversion of hydrogen using fuel cell, PEM, allocated by exergy, transported by pipeline, produced by Steam Methane Reforming, with CCS using natural gas from Switzerland</v>
      </c>
      <c r="L939">
        <f t="shared" si="59"/>
        <v>2</v>
      </c>
      <c r="M939">
        <f t="shared" si="60"/>
        <v>-2.8581057202127536</v>
      </c>
      <c r="N939">
        <v>1</v>
      </c>
      <c r="O939" s="15">
        <v>1.2</v>
      </c>
      <c r="P939">
        <v>1</v>
      </c>
      <c r="Q939">
        <v>1.01</v>
      </c>
      <c r="R939">
        <v>1.2</v>
      </c>
      <c r="S939">
        <v>1.2</v>
      </c>
      <c r="T939">
        <v>1.05</v>
      </c>
      <c r="U939">
        <f t="shared" si="61"/>
        <v>0.15984597228197622</v>
      </c>
    </row>
    <row r="940" spans="1:22" hidden="1" x14ac:dyDescent="0.2">
      <c r="A940" t="s">
        <v>134</v>
      </c>
      <c r="B940" s="53">
        <f>B939*9</f>
        <v>0.51639611520615325</v>
      </c>
      <c r="C940" t="s">
        <v>56</v>
      </c>
      <c r="D940" t="s">
        <v>100</v>
      </c>
      <c r="F940" t="s">
        <v>99</v>
      </c>
      <c r="H940" t="s">
        <v>131</v>
      </c>
      <c r="I940" t="s">
        <v>1057</v>
      </c>
      <c r="K940" t="str">
        <f>B898</f>
        <v>electricity, residential, by conversion of hydrogen using fuel cell, PEM, allocated by exergy, transported by pipeline, produced by Steam Methane Reforming, with CCS using natural gas from Switzerland</v>
      </c>
      <c r="L940">
        <f t="shared" si="59"/>
        <v>2</v>
      </c>
      <c r="M940">
        <f t="shared" si="60"/>
        <v>-0.6608811428765341</v>
      </c>
      <c r="N940">
        <v>1</v>
      </c>
      <c r="O940" s="15">
        <v>1.2</v>
      </c>
      <c r="P940">
        <v>1</v>
      </c>
      <c r="Q940">
        <v>1.01</v>
      </c>
      <c r="R940">
        <v>1.2</v>
      </c>
      <c r="S940">
        <v>1.2</v>
      </c>
      <c r="T940">
        <v>1.05</v>
      </c>
      <c r="U940">
        <f t="shared" si="61"/>
        <v>0.15984597228197622</v>
      </c>
    </row>
    <row r="941" spans="1:22" hidden="1" x14ac:dyDescent="0.2"/>
    <row r="942" spans="1:22" hidden="1" x14ac:dyDescent="0.2">
      <c r="A942" s="2" t="s">
        <v>50</v>
      </c>
      <c r="B942" s="44" t="str">
        <f>IF(B948="megajoule","heat","electricity")&amp;", residential, by "&amp;B953&amp;" of "&amp;B952&amp;" using "&amp;B954&amp;IF(B955&lt;&gt;0,", allocated by "&amp;B955,"")&amp;", transported by "&amp;B956&amp;", produced by "&amp;B960&amp;" using "&amp;B961&amp;" from "&amp;B962</f>
        <v>electricity, residential, by conversion of hydrogen using fuel cell, SOFC, allocated by exergy, transported by pipeline, produced by Steam Methane Reforming, with CCS using natural gas from Switzerland</v>
      </c>
    </row>
    <row r="943" spans="1:22" hidden="1" x14ac:dyDescent="0.2">
      <c r="A943" t="s">
        <v>51</v>
      </c>
      <c r="B943" s="45" t="str">
        <f>"This dataset represents the supply of 1 "&amp;IF(B948="megajoule","megajoule of heat","kilowatt hour of electricity")&amp;" in a residence, by "&amp;B952&amp;" "&amp;B953&amp;" in a "&amp;B954&amp;". "&amp;" The hydrogen is transported by "&amp;B956&amp;" over "&amp;B957&amp;" km from regional storage. "&amp;" The "&amp;B952&amp;" is produced by  "&amp;B960&amp;", with "&amp;B961&amp;" from "&amp;B962&amp;" as feedstock. "&amp;A964&amp;": "&amp;(B964*100)&amp;"%. "&amp;A965&amp;": "&amp;B965&amp;". "&amp;A966&amp;": "&amp;B966&amp;". "&amp;A967&amp;": "&amp;(B967*100)&amp;"%. "&amp;A968&amp;": "&amp;(B968*100)&amp;"%. "&amp;A969&amp;": "&amp;(B969*100)&amp;"%. "&amp;A970&amp;": "&amp;B970&amp;". "&amp;A971&amp;": "&amp;B971&amp;". "&amp;A972&amp;": "&amp;(B972*100)&amp;"%. "&amp;A973&amp;": "&amp;B973&amp;". "&amp;A974&amp;": "&amp;B974&amp;". "&amp;A975&amp;": "&amp;B975&amp;". "&amp;A976&amp;": "&amp;B976&amp;".  For more information, refer to: "&amp;B944</f>
        <v>This dataset represents the supply of 1 kilowatt hour of electricity in a residence, by hydrogen conversion in a fuel cell, SOFC.  The hydrogen is transported by pipeline over 500 km from regional storage.  The hydrogen is produced by  Steam Methane Reforming, with CCS,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944" spans="1:22" hidden="1" x14ac:dyDescent="0.2">
      <c r="A944" t="s">
        <v>63</v>
      </c>
      <c r="B944" s="45" t="s">
        <v>660</v>
      </c>
    </row>
    <row r="945" spans="1:2" hidden="1" x14ac:dyDescent="0.2">
      <c r="A945" t="s">
        <v>52</v>
      </c>
      <c r="B945" s="45" t="s">
        <v>64</v>
      </c>
    </row>
    <row r="946" spans="1:2" hidden="1" x14ac:dyDescent="0.2">
      <c r="A946" t="s">
        <v>48</v>
      </c>
      <c r="B946" s="45" t="s">
        <v>969</v>
      </c>
    </row>
    <row r="947" spans="1:2" hidden="1" x14ac:dyDescent="0.2">
      <c r="A947" t="s">
        <v>54</v>
      </c>
      <c r="B947" s="45" t="str">
        <f>INDEX(overview!$B$4:$R$338,MATCH(B946,overview!$A$4:$A$338,0),MATCH(A947,overview!$B$3:$R$3,0))</f>
        <v>electricity, from residential heating system</v>
      </c>
    </row>
    <row r="948" spans="1:2" hidden="1" x14ac:dyDescent="0.2">
      <c r="A948" t="s">
        <v>55</v>
      </c>
      <c r="B948" s="45" t="str">
        <f>INDEX(overview!$B$4:$R$338,MATCH(B946,overview!$A$4:$A$338,0),MATCH(A948,overview!$B$3:$R$3,0))</f>
        <v>kilowatt hour</v>
      </c>
    </row>
    <row r="949" spans="1:2" hidden="1" x14ac:dyDescent="0.2">
      <c r="A949" t="s">
        <v>0</v>
      </c>
      <c r="B949" s="45" t="str">
        <f>INDEX(overview!$B$4:$R$338,MATCH(B946,overview!$A$4:$A$338,0),MATCH(A949,overview!$B$3:$R$3,0))</f>
        <v>Switzerland</v>
      </c>
    </row>
    <row r="950" spans="1:2" hidden="1" x14ac:dyDescent="0.2">
      <c r="A950" t="s">
        <v>1</v>
      </c>
      <c r="B950" s="45">
        <f>INDEX(overview!$B$4:$R$338,MATCH(B946,overview!$A$4:$A$338,0),MATCH(A950,overview!$B$3:$R$3,0))</f>
        <v>2020</v>
      </c>
    </row>
    <row r="951" spans="1:2" hidden="1" x14ac:dyDescent="0.2">
      <c r="A951" t="s">
        <v>2</v>
      </c>
      <c r="B951" s="45" t="str">
        <f>INDEX(overview!$B$4:$R$338,MATCH(B946,overview!$A$4:$A$338,0),MATCH(A951,overview!$B$3:$R$3,0))</f>
        <v>1 kWh electricity</v>
      </c>
    </row>
    <row r="952" spans="1:2" hidden="1" x14ac:dyDescent="0.2">
      <c r="A952" t="s">
        <v>5</v>
      </c>
      <c r="B952" s="45" t="str">
        <f>INDEX(overview!$B$4:$R$338,MATCH(B946,overview!$A$4:$A$338,0),MATCH(A952,overview!$B$3:$R$3,0))</f>
        <v>hydrogen</v>
      </c>
    </row>
    <row r="953" spans="1:2" hidden="1" x14ac:dyDescent="0.2">
      <c r="A953" t="s">
        <v>3</v>
      </c>
      <c r="B953" s="45" t="str">
        <f>INDEX(overview!$B$4:$R$338,MATCH(B946,overview!$A$4:$A$338,0),MATCH(A953,overview!$B$3:$R$3,0))</f>
        <v>conversion</v>
      </c>
    </row>
    <row r="954" spans="1:2" hidden="1" x14ac:dyDescent="0.2">
      <c r="A954" t="s">
        <v>6</v>
      </c>
      <c r="B954" s="45" t="str">
        <f>INDEX(overview!$B$4:$R$338,MATCH(B946,overview!$A$4:$A$338,0),MATCH(A954,overview!$B$3:$R$3,0))</f>
        <v>fuel cell, SOFC</v>
      </c>
    </row>
    <row r="955" spans="1:2" hidden="1" x14ac:dyDescent="0.2">
      <c r="A955" t="s">
        <v>39</v>
      </c>
      <c r="B955" s="45" t="str">
        <f>INDEX(overview!$B$4:$R$338,MATCH(B946,overview!$A$4:$A$338,0),MATCH(A955,overview!$B$3:$R$3,0))</f>
        <v>exergy</v>
      </c>
    </row>
    <row r="956" spans="1:2" hidden="1" x14ac:dyDescent="0.2">
      <c r="A956" t="s">
        <v>4</v>
      </c>
      <c r="B956" s="45" t="str">
        <f>INDEX(overview!$B$4:$R$338,MATCH(B946,overview!$A$4:$A$338,0),MATCH(A956,overview!$B$3:$R$3,0))</f>
        <v>pipeline</v>
      </c>
    </row>
    <row r="957" spans="1:2" hidden="1" x14ac:dyDescent="0.2">
      <c r="A957" t="s">
        <v>38</v>
      </c>
      <c r="B957" s="45">
        <f>INDEX(overview!$B$4:$R$338,MATCH(B946,overview!$A$4:$A$338,0),MATCH(A957,overview!$B$3:$R$3,0))</f>
        <v>500</v>
      </c>
    </row>
    <row r="958" spans="1:2" hidden="1" x14ac:dyDescent="0.2">
      <c r="A958" t="s">
        <v>12</v>
      </c>
      <c r="B958" s="45" t="str">
        <f>INDEX(overview!$B$4:$R$338,MATCH(B946,overview!$A$4:$A$338,0),MATCH(A958,overview!$B$3:$R$3,0))</f>
        <v>Pressure vessel for stationary storage</v>
      </c>
    </row>
    <row r="959" spans="1:2" hidden="1" x14ac:dyDescent="0.2">
      <c r="A959" t="s">
        <v>34</v>
      </c>
      <c r="B959" s="45">
        <f>INDEX(overview!$B$4:$R$338,MATCH(B946,overview!$A$4:$A$338,0),MATCH(A959,overview!$B$3:$R$3,0))</f>
        <v>0</v>
      </c>
    </row>
    <row r="960" spans="1:2" hidden="1" x14ac:dyDescent="0.2">
      <c r="A960" t="s">
        <v>15</v>
      </c>
      <c r="B960" s="45" t="str">
        <f>INDEX(overview!$B$4:$R$338,MATCH(B946,overview!$A$4:$A$338,0),MATCH(A960,overview!$B$3:$R$3,0))</f>
        <v>Steam Methane Reforming, with CCS</v>
      </c>
    </row>
    <row r="961" spans="1:4" hidden="1" x14ac:dyDescent="0.2">
      <c r="A961" t="s">
        <v>14</v>
      </c>
      <c r="B961" s="45" t="str">
        <f>INDEX(overview!$B$4:$R$338,MATCH(B946,overview!$A$4:$A$338,0),MATCH(A961,overview!$B$3:$R$3,0))</f>
        <v>natural gas</v>
      </c>
    </row>
    <row r="962" spans="1:4" hidden="1" x14ac:dyDescent="0.2">
      <c r="A962" t="s">
        <v>26</v>
      </c>
      <c r="B962" s="45" t="str">
        <f>INDEX(overview!$B$4:$R$338,MATCH(B946,overview!$A$4:$A$338,0),MATCH(A962,overview!$B$3:$R$3,0))</f>
        <v>Switzerland</v>
      </c>
    </row>
    <row r="963" spans="1:4" hidden="1" x14ac:dyDescent="0.2">
      <c r="A963" t="s">
        <v>29</v>
      </c>
      <c r="B963" s="45">
        <f>INDEX(overview!$B$4:$R$338,MATCH(B946,overview!$A$4:$A$338,0),MATCH(A963,overview!$B$3:$R$3,0))</f>
        <v>0</v>
      </c>
    </row>
    <row r="964" spans="1:4" hidden="1" x14ac:dyDescent="0.2">
      <c r="A964" t="str">
        <f>IF(B948="megajoule","Heat","Electricity")&amp;" conversion efficiency [% LHV input]"</f>
        <v>Electricity conversion efficiency [% LHV input]</v>
      </c>
      <c r="B964" s="46">
        <f>INDEX(parameters!$D$4:$N$20,MATCH(B952&amp;B954,parameters!$A$4:$A$20,0),MATCH(A964,parameters!$D$3:$N$3,0))</f>
        <v>0.47</v>
      </c>
    </row>
    <row r="965" spans="1:4" hidden="1" x14ac:dyDescent="0.2">
      <c r="A965" t="str">
        <f>IF(B948="megajoule","LHV [MJ/kg]","LHV [kWh/kg]")</f>
        <v>LHV [kWh/kg]</v>
      </c>
      <c r="B965" s="47">
        <f>INDEX(parameters!$D$4:$N$20,MATCH(B952&amp;B954,parameters!$A$4:$A$20,0),MATCH(A965,parameters!$D$3:$N$3,0))</f>
        <v>33.333333333333336</v>
      </c>
    </row>
    <row r="966" spans="1:4" hidden="1" x14ac:dyDescent="0.2">
      <c r="A966" t="s">
        <v>41</v>
      </c>
      <c r="B966" s="48">
        <f>INDEX(parameters!$D$4:$N$20,MATCH(B952&amp;B954,parameters!$A$4:$A$20,0),MATCH(A966,parameters!$D$3:$N$3,0))</f>
        <v>2.6666666666666665E-2</v>
      </c>
    </row>
    <row r="967" spans="1:4" hidden="1" x14ac:dyDescent="0.2">
      <c r="A967" t="s">
        <v>45</v>
      </c>
      <c r="B967" s="46">
        <f>INDEX(parameters!$D$4:$N$20,MATCH(B952&amp;B954,parameters!$A$4:$A$20,0),MATCH(A967,parameters!$D$3:$N$3,0))</f>
        <v>0</v>
      </c>
    </row>
    <row r="968" spans="1:4" hidden="1" x14ac:dyDescent="0.2">
      <c r="A968" t="s">
        <v>46</v>
      </c>
      <c r="B968" s="46">
        <f>INDEX(parameters!$D$4:$N$20,MATCH(B952&amp;B954,parameters!$A$4:$A$20,0),MATCH(A968,parameters!$D$3:$N$3,0))</f>
        <v>1.4999999999999999E-2</v>
      </c>
    </row>
    <row r="969" spans="1:4" hidden="1" x14ac:dyDescent="0.2">
      <c r="A969" t="s">
        <v>43</v>
      </c>
      <c r="B969" s="46">
        <f>INDEX(parameters!$D$4:$N$20,MATCH(B952&amp;B954,parameters!$A$4:$A$20,0),MATCH(A969,parameters!$D$3:$N$3,0))</f>
        <v>0</v>
      </c>
    </row>
    <row r="970" spans="1:4" hidden="1" x14ac:dyDescent="0.2">
      <c r="A970" t="s">
        <v>44</v>
      </c>
      <c r="B970" s="46">
        <f>INDEX(parameters!$D$4:$N$20,MATCH(B952&amp;B954,parameters!$A$4:$A$20,0),MATCH(A970,parameters!$D$3:$N$3,0))</f>
        <v>0</v>
      </c>
    </row>
    <row r="971" spans="1:4" hidden="1" x14ac:dyDescent="0.2">
      <c r="A971" t="s">
        <v>634</v>
      </c>
      <c r="B971" s="50">
        <f>INDEX(parameters!$D$4:$Y$20,MATCH(B952&amp;B954,parameters!$A$4:$A$20,0),MATCH(A971,parameters!$D$3:$Y$3,0))</f>
        <v>225</v>
      </c>
      <c r="D971" s="8"/>
    </row>
    <row r="972" spans="1:4" hidden="1" x14ac:dyDescent="0.2">
      <c r="A972" t="s">
        <v>82</v>
      </c>
      <c r="B972" s="46">
        <f>IF(B963&lt;&gt;0,VLOOKUP(B963,parameters!A766:B768,2,0),0)</f>
        <v>0</v>
      </c>
    </row>
    <row r="973" spans="1:4" hidden="1" x14ac:dyDescent="0.2">
      <c r="A973" t="s">
        <v>548</v>
      </c>
      <c r="B973" s="50">
        <f>INDEX(parameters!$D$4:$P$20,MATCH(B952&amp;B954,parameters!$A$4:$A$20,0),MATCH(A973,parameters!$D$3:$P$3,0))</f>
        <v>100</v>
      </c>
    </row>
    <row r="974" spans="1:4" hidden="1" x14ac:dyDescent="0.2">
      <c r="A974" t="s">
        <v>547</v>
      </c>
      <c r="B974" s="51">
        <f>INDEX(parameters!$D$4:$P$20,MATCH(B952&amp;B954,parameters!$A$4:$A$20,0),MATCH(A974,parameters!$D$3:$P$3,0))</f>
        <v>6</v>
      </c>
    </row>
    <row r="975" spans="1:4" hidden="1" x14ac:dyDescent="0.2">
      <c r="A975" t="s">
        <v>630</v>
      </c>
      <c r="B975" s="51">
        <f>INDEX(parameters!$D$4:$T$20,MATCH(B952&amp;B954,parameters!$A$4:$A$20,0),MATCH(A975,parameters!$D$3:$T$3,0))</f>
        <v>4100</v>
      </c>
    </row>
    <row r="976" spans="1:4" hidden="1" x14ac:dyDescent="0.2">
      <c r="A976" t="s">
        <v>1005</v>
      </c>
      <c r="B976" s="50">
        <f>IF(B948="megajoule",SUMIFS(allocation!$I$4:$I$30,allocation!$B$4:$B$30,B954,allocation!$C$4:$C$30,B955),SUMIFS(allocation!$J$4:$J$30,allocation!$B$4:$B$30,B954,allocation!$C$4:$C$30,B955))</f>
        <v>0.86412493489600906</v>
      </c>
    </row>
    <row r="977" spans="1:22" hidden="1" x14ac:dyDescent="0.2">
      <c r="A977" t="s">
        <v>1050</v>
      </c>
      <c r="B977" s="51">
        <f>INDEX(parameters!$D$4:$AB$20,MATCH(B952&amp;B954,parameters!$A$4:$A$20,0),MATCH(A977,parameters!$D$3:$AB$3,0))</f>
        <v>1153.1249999999998</v>
      </c>
    </row>
    <row r="978" spans="1:22" hidden="1" x14ac:dyDescent="0.2"/>
    <row r="979" spans="1:22" hidden="1" x14ac:dyDescent="0.2">
      <c r="A979" s="3" t="s">
        <v>57</v>
      </c>
    </row>
    <row r="980" spans="1:22" hidden="1" x14ac:dyDescent="0.2">
      <c r="A980" s="2" t="s">
        <v>58</v>
      </c>
      <c r="B980" s="44" t="s">
        <v>59</v>
      </c>
      <c r="C980" s="2" t="s">
        <v>55</v>
      </c>
      <c r="D980" s="2" t="s">
        <v>60</v>
      </c>
      <c r="E980" s="2" t="s">
        <v>52</v>
      </c>
      <c r="F980" s="2" t="s">
        <v>61</v>
      </c>
      <c r="G980" s="2" t="s">
        <v>54</v>
      </c>
      <c r="H980" s="2" t="s">
        <v>87</v>
      </c>
      <c r="I980" s="2" t="s">
        <v>51</v>
      </c>
      <c r="J980" s="2" t="s">
        <v>138</v>
      </c>
      <c r="K980" s="2" t="s">
        <v>136</v>
      </c>
      <c r="L980" s="2" t="s">
        <v>221</v>
      </c>
      <c r="M980" s="2" t="s">
        <v>379</v>
      </c>
      <c r="N980" s="2" t="s">
        <v>1059</v>
      </c>
      <c r="O980" s="2" t="s">
        <v>1060</v>
      </c>
      <c r="P980" s="2" t="s">
        <v>1061</v>
      </c>
      <c r="Q980" s="2" t="s">
        <v>1062</v>
      </c>
      <c r="R980" s="2" t="s">
        <v>1063</v>
      </c>
      <c r="S980" s="2" t="s">
        <v>1064</v>
      </c>
      <c r="T980" s="2" t="s">
        <v>1065</v>
      </c>
      <c r="U980" s="2" t="s">
        <v>380</v>
      </c>
      <c r="V980" s="2" t="s">
        <v>1128</v>
      </c>
    </row>
    <row r="981" spans="1:22" x14ac:dyDescent="0.2">
      <c r="A981" t="str">
        <f>B942</f>
        <v>electricity, residential, by conversion of hydrogen using fuel cell, SOFC, allocated by exergy, transported by pipeline, produced by Steam Methane Reforming, with CCS using natural gas from Switzerland</v>
      </c>
      <c r="B981" s="45">
        <v>1</v>
      </c>
      <c r="C981" t="str">
        <f>B948</f>
        <v>kilowatt hour</v>
      </c>
      <c r="E981" t="str">
        <f>B945</f>
        <v>CH</v>
      </c>
      <c r="F981" t="s">
        <v>62</v>
      </c>
      <c r="G981" t="str">
        <f>B947</f>
        <v>electricity, from residential heating system</v>
      </c>
      <c r="K981" t="str">
        <f>B942</f>
        <v>electricity, residential, by conversion of hydrogen using fuel cell, SOFC, allocated by exergy, transported by pipeline, produced by Steam Methane Reforming, with CCS using natural gas from Switzerland</v>
      </c>
    </row>
    <row r="982" spans="1:22" hidden="1" x14ac:dyDescent="0.2">
      <c r="A982" t="str">
        <f>VLOOKUP(J982,'dataset mapping'!$A$4:$E$69,2,0)</f>
        <v>fuel cell production, stack solid oxide, 125kW electrical, future</v>
      </c>
      <c r="B982" s="52">
        <f>1/(62*1000000)/B964*SUMIFS(allocation!$I$4:$I$30,allocation!$B$4:$B$30,B954,allocation!$C$4:$C$30,B955)</f>
        <v>4.6628368258061427E-9</v>
      </c>
      <c r="C982" t="str">
        <f>VLOOKUP(J982,'dataset mapping'!$A$4:$E$69,5,0)</f>
        <v>unit</v>
      </c>
      <c r="E982" t="str">
        <f>VLOOKUP(J982,'dataset mapping'!$A$4:$E$69,4,0)</f>
        <v>CH</v>
      </c>
      <c r="F982" t="s">
        <v>86</v>
      </c>
      <c r="G982" t="str">
        <f>VLOOKUP(J982,'dataset mapping'!$A$4:$E$69,3,0)</f>
        <v>fuel cell, stack solid oxide, 125kW electrical, future</v>
      </c>
      <c r="H982" t="s">
        <v>88</v>
      </c>
      <c r="I982" t="s">
        <v>277</v>
      </c>
      <c r="J982" t="s">
        <v>274</v>
      </c>
      <c r="K982" t="str">
        <f>B942</f>
        <v>electricity, residential, by conversion of hydrogen using fuel cell, SOFC, allocated by exergy, transported by pipeline, produced by Steam Methane Reforming, with CCS using natural gas from Switzerland</v>
      </c>
      <c r="L982">
        <f t="shared" ref="L982:L987" si="62">IF(OR(B982&lt;0,B982=0),1,2)</f>
        <v>2</v>
      </c>
      <c r="M982">
        <f t="shared" ref="M982:M987" si="63">IF(L982=2,LN(B982),"")</f>
        <v>-19.183641813126002</v>
      </c>
      <c r="N982">
        <v>1</v>
      </c>
      <c r="O982" s="15">
        <v>1.2</v>
      </c>
      <c r="P982">
        <v>1</v>
      </c>
      <c r="Q982">
        <v>1.01</v>
      </c>
      <c r="R982">
        <v>1.2</v>
      </c>
      <c r="S982">
        <v>1.2</v>
      </c>
      <c r="T982">
        <v>3</v>
      </c>
      <c r="U982">
        <f t="shared" ref="U982:U987" si="64">LN(SQRT(EXP(
SQRT(
+POWER(LN(N982),2)
+POWER(LN(O982),2)
+POWER(LN(P982),2)
+POWER(LN(Q982),2)
+POWER(LN(R982),2)
+POWER(LN(S982),2)
+POWER(LN(T982),2)
)
)))</f>
        <v>0.57157051623399524</v>
      </c>
    </row>
    <row r="983" spans="1:22" hidden="1" x14ac:dyDescent="0.2">
      <c r="A983" t="s">
        <v>283</v>
      </c>
      <c r="B983" s="52">
        <f>0.000000145/B964*SUMIFS(allocation!$I$4:$I$30,allocation!$B$4:$B$30,B954,allocation!$C$4:$C$30,B955)</f>
        <v>4.1918903063997216E-8</v>
      </c>
      <c r="C983" t="s">
        <v>55</v>
      </c>
      <c r="E983" t="s">
        <v>64</v>
      </c>
      <c r="F983" t="s">
        <v>86</v>
      </c>
      <c r="G983" t="s">
        <v>284</v>
      </c>
      <c r="H983" t="s">
        <v>88</v>
      </c>
      <c r="I983" t="s">
        <v>277</v>
      </c>
      <c r="K983" t="str">
        <f>B942</f>
        <v>electricity, residential, by conversion of hydrogen using fuel cell, SOFC, allocated by exergy, transported by pipeline, produced by Steam Methane Reforming, with CCS using natural gas from Switzerland</v>
      </c>
      <c r="L983">
        <f t="shared" si="62"/>
        <v>2</v>
      </c>
      <c r="M983">
        <f t="shared" si="63"/>
        <v>-16.987528964642475</v>
      </c>
      <c r="N983">
        <v>1</v>
      </c>
      <c r="O983" s="15">
        <v>1.2</v>
      </c>
      <c r="P983">
        <v>1</v>
      </c>
      <c r="Q983">
        <v>1.01</v>
      </c>
      <c r="R983">
        <v>1.2</v>
      </c>
      <c r="S983">
        <v>1.2</v>
      </c>
      <c r="T983">
        <v>3</v>
      </c>
      <c r="U983">
        <f t="shared" si="64"/>
        <v>0.57157051623399524</v>
      </c>
    </row>
    <row r="984" spans="1:22" hidden="1" x14ac:dyDescent="0.2">
      <c r="A984" t="s">
        <v>285</v>
      </c>
      <c r="B984" s="52">
        <f>0.0000000115/B964*SUMIFS(allocation!$I$4:$I$30,allocation!$B$4:$B$30,B954,allocation!$C$4:$C$30,B955)</f>
        <v>3.3246026567997794E-9</v>
      </c>
      <c r="C984" t="s">
        <v>55</v>
      </c>
      <c r="E984" t="s">
        <v>90</v>
      </c>
      <c r="F984" t="s">
        <v>86</v>
      </c>
      <c r="G984" t="s">
        <v>286</v>
      </c>
      <c r="H984" t="s">
        <v>88</v>
      </c>
      <c r="K984" t="str">
        <f>B942</f>
        <v>electricity, residential, by conversion of hydrogen using fuel cell, SOFC, allocated by exergy, transported by pipeline, produced by Steam Methane Reforming, with CCS using natural gas from Switzerland</v>
      </c>
      <c r="L984">
        <f t="shared" si="62"/>
        <v>2</v>
      </c>
      <c r="M984">
        <f t="shared" si="63"/>
        <v>-19.521915671693844</v>
      </c>
      <c r="N984">
        <v>1</v>
      </c>
      <c r="O984" s="15">
        <v>1.2</v>
      </c>
      <c r="P984">
        <v>1</v>
      </c>
      <c r="Q984">
        <v>1.01</v>
      </c>
      <c r="R984">
        <v>1.2</v>
      </c>
      <c r="S984">
        <v>1.2</v>
      </c>
      <c r="T984">
        <v>3</v>
      </c>
      <c r="U984">
        <f t="shared" si="64"/>
        <v>0.57157051623399524</v>
      </c>
    </row>
    <row r="985" spans="1:22" hidden="1" x14ac:dyDescent="0.2">
      <c r="A985" t="s">
        <v>288</v>
      </c>
      <c r="B985" s="52">
        <f>0.000024/B964*SUMIFS(allocation!$I$4:$I$30,allocation!$B$4:$B$30,B954,allocation!$C$4:$C$30,B955)</f>
        <v>6.9383011967995388E-6</v>
      </c>
      <c r="C985" t="s">
        <v>56</v>
      </c>
      <c r="E985" t="s">
        <v>64</v>
      </c>
      <c r="F985" t="s">
        <v>86</v>
      </c>
      <c r="G985" t="s">
        <v>287</v>
      </c>
      <c r="H985" t="s">
        <v>88</v>
      </c>
      <c r="K985" t="str">
        <f>B942</f>
        <v>electricity, residential, by conversion of hydrogen using fuel cell, SOFC, allocated by exergy, transported by pipeline, produced by Steam Methane Reforming, with CCS using natural gas from Switzerland</v>
      </c>
      <c r="L985">
        <f t="shared" si="62"/>
        <v>2</v>
      </c>
      <c r="M985">
        <f t="shared" si="63"/>
        <v>-11.878453597732966</v>
      </c>
      <c r="N985">
        <v>1</v>
      </c>
      <c r="O985" s="15">
        <v>1.2</v>
      </c>
      <c r="P985">
        <v>1</v>
      </c>
      <c r="Q985">
        <v>1.01</v>
      </c>
      <c r="R985">
        <v>1.2</v>
      </c>
      <c r="S985">
        <v>1.2</v>
      </c>
      <c r="T985">
        <v>1.05</v>
      </c>
      <c r="U985">
        <f t="shared" si="64"/>
        <v>0.15984597228197622</v>
      </c>
    </row>
    <row r="986" spans="1:22" hidden="1" x14ac:dyDescent="0.2">
      <c r="A986" s="45" t="str">
        <f>"hydrogen supply, transported by "&amp;B956&amp;", produced by "&amp;B960&amp;" using "&amp;B961&amp;" from "&amp;B962</f>
        <v>hydrogen supply, transported by pipeline, produced by Steam Methane Reforming, with CCS using natural gas from Switzerland</v>
      </c>
      <c r="B986" s="53">
        <f>(B981/B965)/B964*B976</f>
        <v>5.515691073804313E-2</v>
      </c>
      <c r="C986" t="s">
        <v>56</v>
      </c>
      <c r="E986" t="s">
        <v>64</v>
      </c>
      <c r="F986" t="s">
        <v>86</v>
      </c>
      <c r="G986" s="67" t="s">
        <v>1129</v>
      </c>
      <c r="H986" t="s">
        <v>76</v>
      </c>
      <c r="I986" t="s">
        <v>1054</v>
      </c>
      <c r="J986" t="s">
        <v>306</v>
      </c>
      <c r="K986" t="str">
        <f>B942</f>
        <v>electricity, residential, by conversion of hydrogen using fuel cell, SOFC, allocated by exergy, transported by pipeline, produced by Steam Methane Reforming, with CCS using natural gas from Switzerland</v>
      </c>
      <c r="L986">
        <f t="shared" si="62"/>
        <v>2</v>
      </c>
      <c r="M986">
        <f t="shared" si="63"/>
        <v>-2.8975732330996009</v>
      </c>
      <c r="N986">
        <v>1</v>
      </c>
      <c r="O986" s="15">
        <v>1.2</v>
      </c>
      <c r="P986">
        <v>1</v>
      </c>
      <c r="Q986">
        <v>1.01</v>
      </c>
      <c r="R986">
        <v>1.2</v>
      </c>
      <c r="S986">
        <v>1.2</v>
      </c>
      <c r="T986">
        <v>1.05</v>
      </c>
      <c r="U986">
        <f t="shared" si="64"/>
        <v>0.15984597228197622</v>
      </c>
    </row>
    <row r="987" spans="1:22" hidden="1" x14ac:dyDescent="0.2">
      <c r="A987" t="s">
        <v>134</v>
      </c>
      <c r="B987" s="45">
        <f>B986*9</f>
        <v>0.49641219664238817</v>
      </c>
      <c r="C987" t="s">
        <v>56</v>
      </c>
      <c r="D987" t="s">
        <v>100</v>
      </c>
      <c r="F987" t="s">
        <v>99</v>
      </c>
      <c r="H987" t="s">
        <v>131</v>
      </c>
      <c r="I987" t="s">
        <v>1057</v>
      </c>
      <c r="K987" t="str">
        <f>B942</f>
        <v>electricity, residential, by conversion of hydrogen using fuel cell, SOFC, allocated by exergy, transported by pipeline, produced by Steam Methane Reforming, with CCS using natural gas from Switzerland</v>
      </c>
      <c r="L987">
        <f t="shared" si="62"/>
        <v>2</v>
      </c>
      <c r="M987">
        <f t="shared" si="63"/>
        <v>-0.70034865576338168</v>
      </c>
      <c r="N987">
        <v>1</v>
      </c>
      <c r="O987" s="15">
        <v>1.2</v>
      </c>
      <c r="P987">
        <v>1</v>
      </c>
      <c r="Q987">
        <v>1.01</v>
      </c>
      <c r="R987">
        <v>1.2</v>
      </c>
      <c r="S987">
        <v>1.2</v>
      </c>
      <c r="T987">
        <v>1.05</v>
      </c>
      <c r="U987">
        <f t="shared" si="64"/>
        <v>0.15984597228197622</v>
      </c>
    </row>
    <row r="988" spans="1:22" hidden="1" x14ac:dyDescent="0.2"/>
    <row r="989" spans="1:22" hidden="1" x14ac:dyDescent="0.2">
      <c r="A989" s="2" t="s">
        <v>50</v>
      </c>
      <c r="B989" s="44" t="str">
        <f>IF(B995="megajoule","heat","electricity")&amp;", residential, by "&amp;B1000&amp;" of "&amp;B999&amp;" using "&amp;B1001&amp;IF(B1002&lt;&gt;0,", allocated by "&amp;B1002,"")&amp;", transported by "&amp;B1003&amp;", produced by "&amp;B1007&amp;" using "&amp;B1008&amp;" from "&amp;B1009</f>
        <v>heat, residential, by combustion of hydrogen using boiler, transported by truck, produced by Steam Methane Reforming, with CCS using natural gas from Switzerland</v>
      </c>
    </row>
    <row r="990" spans="1:22" hidden="1" x14ac:dyDescent="0.2">
      <c r="A990" t="s">
        <v>51</v>
      </c>
      <c r="B990" s="45" t="e">
        <f>"This dataset represents the supply of 1 "&amp;IF(B995="megajoule","megajoule of heat","kilowatt hour of electricity")&amp;" in a residence, by "&amp;B999&amp;" "&amp;B1000/3*40&amp;": "&amp;B1021&amp;". "&amp;A1022&amp;": "&amp;B1022&amp;". "&amp;A1023&amp;": "&amp;B1023&amp;".  For more information, refer to: "&amp;B991</f>
        <v>#VALUE!</v>
      </c>
    </row>
    <row r="991" spans="1:22" hidden="1" x14ac:dyDescent="0.2">
      <c r="A991" t="s">
        <v>63</v>
      </c>
      <c r="B991" s="45" t="s">
        <v>660</v>
      </c>
    </row>
    <row r="992" spans="1:22" hidden="1" x14ac:dyDescent="0.2">
      <c r="A992" t="s">
        <v>52</v>
      </c>
      <c r="B992" s="45" t="s">
        <v>64</v>
      </c>
    </row>
    <row r="993" spans="1:2" hidden="1" x14ac:dyDescent="0.2">
      <c r="A993" t="s">
        <v>48</v>
      </c>
      <c r="B993" s="45">
        <v>141</v>
      </c>
    </row>
    <row r="994" spans="1:2" hidden="1" x14ac:dyDescent="0.2">
      <c r="A994" t="s">
        <v>54</v>
      </c>
      <c r="B994" s="45" t="str">
        <f>INDEX(overview!$B$4:$R$338,MATCH(B993,overview!$A$4:$A$338,0),MATCH(A994,overview!$B$3:$R$3,0))</f>
        <v>heat, from residential heating system</v>
      </c>
    </row>
    <row r="995" spans="1:2" hidden="1" x14ac:dyDescent="0.2">
      <c r="A995" t="s">
        <v>55</v>
      </c>
      <c r="B995" s="45" t="str">
        <f>INDEX(overview!$B$4:$R$338,MATCH(B993,overview!$A$4:$A$338,0),MATCH(A995,overview!$B$3:$R$3,0))</f>
        <v>megajoule</v>
      </c>
    </row>
    <row r="996" spans="1:2" hidden="1" x14ac:dyDescent="0.2">
      <c r="A996" t="s">
        <v>0</v>
      </c>
      <c r="B996" s="45" t="str">
        <f>INDEX(overview!$B$4:$R$338,MATCH(B993,overview!$A$4:$A$338,0),MATCH(A996,overview!$B$3:$R$3,0))</f>
        <v>Switzerland</v>
      </c>
    </row>
    <row r="997" spans="1:2" hidden="1" x14ac:dyDescent="0.2">
      <c r="A997" t="s">
        <v>1</v>
      </c>
      <c r="B997" s="45">
        <f>INDEX(overview!$B$4:$R$338,MATCH(B993,overview!$A$4:$A$338,0),MATCH(A997,overview!$B$3:$R$3,0))</f>
        <v>2020</v>
      </c>
    </row>
    <row r="998" spans="1:2" hidden="1" x14ac:dyDescent="0.2">
      <c r="A998" t="s">
        <v>2</v>
      </c>
      <c r="B998" s="45" t="str">
        <f>INDEX(overview!$B$4:$R$338,MATCH(B993,overview!$A$4:$A$338,0),MATCH(A998,overview!$B$3:$R$3,0))</f>
        <v>1 MJ heat</v>
      </c>
    </row>
    <row r="999" spans="1:2" hidden="1" x14ac:dyDescent="0.2">
      <c r="A999" t="s">
        <v>5</v>
      </c>
      <c r="B999" s="45" t="str">
        <f>INDEX(overview!$B$4:$R$338,MATCH(B993,overview!$A$4:$A$338,0),MATCH(A999,overview!$B$3:$R$3,0))</f>
        <v>hydrogen</v>
      </c>
    </row>
    <row r="1000" spans="1:2" hidden="1" x14ac:dyDescent="0.2">
      <c r="A1000" t="s">
        <v>3</v>
      </c>
      <c r="B1000" s="45" t="str">
        <f>INDEX(overview!$B$4:$R$338,MATCH(B993,overview!$A$4:$A$338,0),MATCH(A1000,overview!$B$3:$R$3,0))</f>
        <v>combustion</v>
      </c>
    </row>
    <row r="1001" spans="1:2" hidden="1" x14ac:dyDescent="0.2">
      <c r="A1001" t="s">
        <v>6</v>
      </c>
      <c r="B1001" s="45" t="str">
        <f>INDEX(overview!$B$4:$R$338,MATCH(B993,overview!$A$4:$A$338,0),MATCH(A1001,overview!$B$3:$R$3,0))</f>
        <v>boiler</v>
      </c>
    </row>
    <row r="1002" spans="1:2" hidden="1" x14ac:dyDescent="0.2">
      <c r="A1002" t="s">
        <v>39</v>
      </c>
      <c r="B1002" s="45">
        <f>INDEX(overview!$B$4:$R$338,MATCH(B993,overview!$A$4:$A$338,0),MATCH(A1002,overview!$B$3:$R$3,0))</f>
        <v>0</v>
      </c>
    </row>
    <row r="1003" spans="1:2" hidden="1" x14ac:dyDescent="0.2">
      <c r="A1003" t="s">
        <v>4</v>
      </c>
      <c r="B1003" s="45" t="str">
        <f>INDEX(overview!$B$4:$R$338,MATCH(B993,overview!$A$4:$A$338,0),MATCH(A1003,overview!$B$3:$R$3,0))</f>
        <v>truck</v>
      </c>
    </row>
    <row r="1004" spans="1:2" hidden="1" x14ac:dyDescent="0.2">
      <c r="A1004" t="s">
        <v>38</v>
      </c>
      <c r="B1004" s="45">
        <f>INDEX(overview!$B$4:$R$338,MATCH(B993,overview!$A$4:$A$338,0),MATCH(A1004,overview!$B$3:$R$3,0))</f>
        <v>200</v>
      </c>
    </row>
    <row r="1005" spans="1:2" hidden="1" x14ac:dyDescent="0.2">
      <c r="A1005" t="s">
        <v>12</v>
      </c>
      <c r="B1005" s="45" t="str">
        <f>INDEX(overview!$B$4:$R$338,MATCH(B993,overview!$A$4:$A$338,0),MATCH(A1005,overview!$B$3:$R$3,0))</f>
        <v>Pressure vessel for stationary storage</v>
      </c>
    </row>
    <row r="1006" spans="1:2" hidden="1" x14ac:dyDescent="0.2">
      <c r="A1006" t="s">
        <v>34</v>
      </c>
      <c r="B1006" s="45">
        <f>INDEX(overview!$B$4:$R$338,MATCH(B993,overview!$A$4:$A$338,0),MATCH(A1006,overview!$B$3:$R$3,0))</f>
        <v>0</v>
      </c>
    </row>
    <row r="1007" spans="1:2" hidden="1" x14ac:dyDescent="0.2">
      <c r="A1007" t="s">
        <v>15</v>
      </c>
      <c r="B1007" s="45" t="str">
        <f>INDEX(overview!$B$4:$R$338,MATCH(B993,overview!$A$4:$A$338,0),MATCH(A1007,overview!$B$3:$R$3,0))</f>
        <v>Steam Methane Reforming, with CCS</v>
      </c>
    </row>
    <row r="1008" spans="1:2" hidden="1" x14ac:dyDescent="0.2">
      <c r="A1008" t="s">
        <v>14</v>
      </c>
      <c r="B1008" s="45" t="str">
        <f>INDEX(overview!$B$4:$R$338,MATCH(B993,overview!$A$4:$A$338,0),MATCH(A1008,overview!$B$3:$R$3,0))</f>
        <v>natural gas</v>
      </c>
    </row>
    <row r="1009" spans="1:2" hidden="1" x14ac:dyDescent="0.2">
      <c r="A1009" t="s">
        <v>26</v>
      </c>
      <c r="B1009" s="45" t="str">
        <f>INDEX(overview!$B$4:$R$338,MATCH(B993,overview!$A$4:$A$338,0),MATCH(A1009,overview!$B$3:$R$3,0))</f>
        <v>Switzerland</v>
      </c>
    </row>
    <row r="1010" spans="1:2" hidden="1" x14ac:dyDescent="0.2">
      <c r="A1010" t="s">
        <v>29</v>
      </c>
      <c r="B1010" s="45">
        <f>INDEX(overview!$B$4:$R$338,MATCH(B993,overview!$A$4:$A$338,0),MATCH(A1010,overview!$B$3:$R$3,0))</f>
        <v>0</v>
      </c>
    </row>
    <row r="1011" spans="1:2" hidden="1" x14ac:dyDescent="0.2">
      <c r="A1011" t="str">
        <f>IF(B995="megajoule","Heat","Electricity")&amp;" conversion efficiency [% LHV input]"</f>
        <v>Heat conversion efficiency [% LHV input]</v>
      </c>
      <c r="B1011" s="46">
        <f>INDEX(parameters!$D$4:$N$20,MATCH(B999&amp;B1001,parameters!$A$4:$A$20,0),MATCH(A1011,parameters!$D$3:$N$3,0))</f>
        <v>0.94</v>
      </c>
    </row>
    <row r="1012" spans="1:2" hidden="1" x14ac:dyDescent="0.2">
      <c r="A1012" t="str">
        <f>IF(B995="megajoule","LHV [MJ/kg]","LHV [kWh/kg]")</f>
        <v>LHV [MJ/kg]</v>
      </c>
      <c r="B1012" s="47">
        <f>INDEX(parameters!$D$4:$N$20,MATCH(B999&amp;B1001,parameters!$A$4:$A$20,0),MATCH(A1012,parameters!$D$3:$N$3,0))</f>
        <v>120</v>
      </c>
    </row>
    <row r="1013" spans="1:2" hidden="1" x14ac:dyDescent="0.2">
      <c r="A1013" t="s">
        <v>41</v>
      </c>
      <c r="B1013" s="48">
        <f>INDEX(parameters!$D$4:$N$20,MATCH(B999&amp;B1001,parameters!$A$4:$A$20,0),MATCH(A1013,parameters!$D$3:$N$3,0))</f>
        <v>2.6666666666666665E-2</v>
      </c>
    </row>
    <row r="1014" spans="1:2" hidden="1" x14ac:dyDescent="0.2">
      <c r="A1014" t="s">
        <v>45</v>
      </c>
      <c r="B1014" s="49">
        <f>INDEX(parameters!$D$4:$N$20,MATCH(B999&amp;B1001,parameters!$A$4:$A$20,0),MATCH(A1014,parameters!$D$3:$N$3,0))</f>
        <v>0</v>
      </c>
    </row>
    <row r="1015" spans="1:2" hidden="1" x14ac:dyDescent="0.2">
      <c r="A1015" t="s">
        <v>46</v>
      </c>
      <c r="B1015" s="49">
        <f>INDEX(parameters!$D$4:$N$20,MATCH(B999&amp;B1001,parameters!$A$4:$A$20,0),MATCH(A1015,parameters!$D$3:$N$3,0))</f>
        <v>1.4999999999999999E-2</v>
      </c>
    </row>
    <row r="1016" spans="1:2" hidden="1" x14ac:dyDescent="0.2">
      <c r="A1016" t="s">
        <v>43</v>
      </c>
      <c r="B1016" s="49">
        <f>INDEX(parameters!$D$4:$N$20,MATCH(B999&amp;B1001,parameters!$A$4:$A$20,0),MATCH(A1016,parameters!$D$3:$N$3,0))</f>
        <v>0</v>
      </c>
    </row>
    <row r="1017" spans="1:2" hidden="1" x14ac:dyDescent="0.2">
      <c r="A1017" t="s">
        <v>44</v>
      </c>
      <c r="B1017" s="49">
        <f>INDEX(parameters!$D$4:$N$20,MATCH(B999&amp;B1001,parameters!$A$4:$A$20,0),MATCH(A1017,parameters!$D$3:$N$3,0))</f>
        <v>0</v>
      </c>
    </row>
    <row r="1018" spans="1:2" hidden="1" x14ac:dyDescent="0.2">
      <c r="A1018" t="s">
        <v>634</v>
      </c>
      <c r="B1018" s="50">
        <f>INDEX(parameters!$D$4:$Y$20,MATCH(B999&amp;B1001,parameters!$A$4:$A$20,0),MATCH(A1018,parameters!$D$3:$Y$3,0))</f>
        <v>15.957446808510639</v>
      </c>
    </row>
    <row r="1019" spans="1:2" hidden="1" x14ac:dyDescent="0.2">
      <c r="A1019" t="s">
        <v>82</v>
      </c>
      <c r="B1019" s="46">
        <f>IF(B1010&lt;&gt;0,VLOOKUP(B1010,parameters!A663:B665,2,0),0)</f>
        <v>0</v>
      </c>
    </row>
    <row r="1020" spans="1:2" hidden="1" x14ac:dyDescent="0.2">
      <c r="A1020" t="s">
        <v>548</v>
      </c>
      <c r="B1020" s="50">
        <f>INDEX(parameters!$D$4:$P$20,MATCH(B999&amp;B1001,parameters!$A$4:$A$20,0),MATCH(A1020,parameters!$D$3:$P$3,0))</f>
        <v>15</v>
      </c>
    </row>
    <row r="1021" spans="1:2" hidden="1" x14ac:dyDescent="0.2">
      <c r="A1021" t="s">
        <v>547</v>
      </c>
      <c r="B1021" s="51">
        <f>INDEX(parameters!$D$4:$P$20,MATCH(B999&amp;B1001,parameters!$A$4:$A$20,0),MATCH(A1021,parameters!$D$3:$P$3,0))</f>
        <v>20</v>
      </c>
    </row>
    <row r="1022" spans="1:2" hidden="1" x14ac:dyDescent="0.2">
      <c r="A1022" t="s">
        <v>630</v>
      </c>
      <c r="B1022" s="51">
        <f>INDEX(parameters!$D$4:$T$20,MATCH(B999&amp;B1001,parameters!$A$4:$A$20,0),MATCH(A1022,parameters!$D$3:$T$3,0))</f>
        <v>2100</v>
      </c>
    </row>
    <row r="1023" spans="1:2" hidden="1" x14ac:dyDescent="0.2">
      <c r="A1023" t="s">
        <v>1005</v>
      </c>
      <c r="B1023" s="50">
        <f>IF(B995="megajoule",SUMIFS(allocation!$I$4:$I$30,allocation!$B$4:$B$30,B1001,allocation!$C$4:$C$30,B1002),SUMIFS(allocation!$J$4:$J$30,allocation!$B$4:$B$30,B1001,allocation!$C$4:$C$30,B1002))</f>
        <v>0</v>
      </c>
    </row>
    <row r="1024" spans="1:2" hidden="1" x14ac:dyDescent="0.2">
      <c r="A1024" t="s">
        <v>1050</v>
      </c>
      <c r="B1024" s="51">
        <f>INDEX(parameters!$D$4:$AB$20,MATCH(B999&amp;B1001,parameters!$A$4:$A$20,0),MATCH(A1024,parameters!$D$3:$AB$3,0))</f>
        <v>44.562019013128115</v>
      </c>
    </row>
    <row r="1025" spans="1:22" hidden="1" x14ac:dyDescent="0.2"/>
    <row r="1026" spans="1:22" hidden="1" x14ac:dyDescent="0.2">
      <c r="A1026" s="3" t="s">
        <v>57</v>
      </c>
    </row>
    <row r="1027" spans="1:22" hidden="1" x14ac:dyDescent="0.2">
      <c r="A1027" s="2" t="s">
        <v>58</v>
      </c>
      <c r="B1027" s="44" t="s">
        <v>59</v>
      </c>
      <c r="C1027" s="2" t="s">
        <v>55</v>
      </c>
      <c r="D1027" s="2" t="s">
        <v>60</v>
      </c>
      <c r="E1027" s="2" t="s">
        <v>52</v>
      </c>
      <c r="F1027" s="2" t="s">
        <v>61</v>
      </c>
      <c r="G1027" s="2" t="s">
        <v>54</v>
      </c>
      <c r="H1027" s="2" t="s">
        <v>87</v>
      </c>
      <c r="I1027" s="2" t="s">
        <v>51</v>
      </c>
      <c r="J1027" s="2" t="s">
        <v>138</v>
      </c>
      <c r="K1027" s="2" t="s">
        <v>136</v>
      </c>
      <c r="L1027" s="2" t="s">
        <v>221</v>
      </c>
      <c r="M1027" s="2" t="s">
        <v>379</v>
      </c>
      <c r="N1027" s="2" t="s">
        <v>1059</v>
      </c>
      <c r="O1027" s="2" t="s">
        <v>1060</v>
      </c>
      <c r="P1027" s="2" t="s">
        <v>1061</v>
      </c>
      <c r="Q1027" s="2" t="s">
        <v>1062</v>
      </c>
      <c r="R1027" s="2" t="s">
        <v>1063</v>
      </c>
      <c r="S1027" s="2" t="s">
        <v>1064</v>
      </c>
      <c r="T1027" s="2" t="s">
        <v>1065</v>
      </c>
      <c r="U1027" s="2" t="s">
        <v>380</v>
      </c>
      <c r="V1027" s="2" t="s">
        <v>1128</v>
      </c>
    </row>
    <row r="1028" spans="1:22" hidden="1" x14ac:dyDescent="0.2">
      <c r="A1028" t="str">
        <f>B989</f>
        <v>heat, residential, by combustion of hydrogen using boiler, transported by truck, produced by Steam Methane Reforming, with CCS using natural gas from Switzerland</v>
      </c>
      <c r="B1028" s="45">
        <v>1</v>
      </c>
      <c r="C1028" t="str">
        <f>B995</f>
        <v>megajoule</v>
      </c>
      <c r="E1028" t="str">
        <f>B992</f>
        <v>CH</v>
      </c>
      <c r="F1028" t="s">
        <v>62</v>
      </c>
      <c r="G1028" t="str">
        <f>B994</f>
        <v>heat, from residential heating system</v>
      </c>
      <c r="K1028" t="str">
        <f>B989</f>
        <v>heat, residential, by combustion of hydrogen using boiler, transported by truck, produced by Steam Methane Reforming, with CCS using natural gas from Switzerland</v>
      </c>
    </row>
    <row r="1029" spans="1:22" hidden="1" x14ac:dyDescent="0.2">
      <c r="A1029" t="s">
        <v>83</v>
      </c>
      <c r="B1029" s="52">
        <f>1/(B1020*B1022*B1021*3.6)</f>
        <v>4.4091710758377425E-7</v>
      </c>
      <c r="C1029" t="s">
        <v>55</v>
      </c>
      <c r="E1029" t="s">
        <v>85</v>
      </c>
      <c r="F1029" t="s">
        <v>86</v>
      </c>
      <c r="G1029" t="s">
        <v>84</v>
      </c>
      <c r="H1029" t="s">
        <v>88</v>
      </c>
      <c r="K1029" t="str">
        <f>B989</f>
        <v>heat, residential, by combustion of hydrogen using boiler, transported by truck, produced by Steam Methane Reforming, with CCS using natural gas from Switzerland</v>
      </c>
      <c r="L1029">
        <f t="shared" ref="L1029:L1035" si="65">IF(OR(B1029&lt;0,B1029=0),1,2)</f>
        <v>2</v>
      </c>
      <c r="M1029">
        <f t="shared" ref="M1029:M1035" si="66">IF(L1029=2,LN(B1029),"")</f>
        <v>-14.634408943829779</v>
      </c>
      <c r="N1029">
        <v>1.05</v>
      </c>
      <c r="O1029" s="15">
        <v>1.2</v>
      </c>
      <c r="P1029">
        <v>1</v>
      </c>
      <c r="Q1029">
        <v>1.01</v>
      </c>
      <c r="R1029">
        <v>1.2</v>
      </c>
      <c r="S1029">
        <v>1.2</v>
      </c>
      <c r="T1029">
        <v>3</v>
      </c>
      <c r="U1029">
        <f t="shared" ref="U1029:U1035" si="67">LN(SQRT(EXP(
SQRT(
+POWER(LN(N1029),2)
+POWER(LN(O1029),2)
+POWER(LN(P1029),2)
+POWER(LN(Q1029),2)
+POWER(LN(R1029),2)
+POWER(LN(S1029),2)
+POWER(LN(T1029),2)
)
)))</f>
        <v>0.57209088006881903</v>
      </c>
    </row>
    <row r="1030" spans="1:22" hidden="1" x14ac:dyDescent="0.2">
      <c r="A1030" t="s">
        <v>500</v>
      </c>
      <c r="B1030" s="52">
        <f>B1029*2</f>
        <v>8.8183421516754851E-7</v>
      </c>
      <c r="C1030" t="s">
        <v>267</v>
      </c>
      <c r="E1030" t="s">
        <v>85</v>
      </c>
      <c r="F1030" t="s">
        <v>86</v>
      </c>
      <c r="G1030" t="s">
        <v>501</v>
      </c>
      <c r="H1030" t="s">
        <v>88</v>
      </c>
      <c r="I1030" t="s">
        <v>621</v>
      </c>
      <c r="K1030" t="str">
        <f>B989</f>
        <v>heat, residential, by combustion of hydrogen using boiler, transported by truck, produced by Steam Methane Reforming, with CCS using natural gas from Switzerland</v>
      </c>
      <c r="L1030">
        <f t="shared" si="65"/>
        <v>2</v>
      </c>
      <c r="M1030">
        <f t="shared" si="66"/>
        <v>-13.941261763269834</v>
      </c>
      <c r="N1030">
        <v>1.05</v>
      </c>
      <c r="O1030" s="15">
        <v>1.2</v>
      </c>
      <c r="P1030">
        <v>1</v>
      </c>
      <c r="Q1030">
        <v>1.01</v>
      </c>
      <c r="R1030">
        <v>1.2</v>
      </c>
      <c r="S1030">
        <v>1.2</v>
      </c>
      <c r="T1030">
        <v>3</v>
      </c>
      <c r="U1030">
        <f t="shared" si="67"/>
        <v>0.57209088006881903</v>
      </c>
    </row>
    <row r="1031" spans="1:22" hidden="1" x14ac:dyDescent="0.2">
      <c r="A1031" t="s">
        <v>130</v>
      </c>
      <c r="B1031" s="52">
        <v>2.64E-3</v>
      </c>
      <c r="C1031" t="s">
        <v>92</v>
      </c>
      <c r="E1031" t="s">
        <v>64</v>
      </c>
      <c r="F1031" t="s">
        <v>86</v>
      </c>
      <c r="G1031" t="s">
        <v>93</v>
      </c>
      <c r="H1031" t="s">
        <v>78</v>
      </c>
      <c r="I1031" t="s">
        <v>270</v>
      </c>
      <c r="J1031" t="s">
        <v>67</v>
      </c>
      <c r="K1031" t="str">
        <f>B989</f>
        <v>heat, residential, by combustion of hydrogen using boiler, transported by truck, produced by Steam Methane Reforming, with CCS using natural gas from Switzerland</v>
      </c>
      <c r="L1031">
        <f t="shared" si="65"/>
        <v>2</v>
      </c>
      <c r="M1031">
        <f t="shared" si="66"/>
        <v>-5.9369763618239126</v>
      </c>
      <c r="N1031">
        <v>1.05</v>
      </c>
      <c r="O1031" s="15">
        <v>1.2</v>
      </c>
      <c r="P1031">
        <v>1</v>
      </c>
      <c r="Q1031">
        <v>1.01</v>
      </c>
      <c r="R1031">
        <v>1.2</v>
      </c>
      <c r="S1031">
        <v>1.2</v>
      </c>
      <c r="T1031">
        <v>1.05</v>
      </c>
      <c r="U1031">
        <f t="shared" si="67"/>
        <v>0.16169679924070957</v>
      </c>
    </row>
    <row r="1032" spans="1:22" hidden="1" x14ac:dyDescent="0.2">
      <c r="A1032" s="45" t="str">
        <f>"hydrogen supply, transported by "&amp;B1003&amp;", produced by "&amp;B1007&amp;" using "&amp;B1008&amp;" from "&amp;B1009</f>
        <v>hydrogen supply, transported by truck, produced by Steam Methane Reforming, with CCS using natural gas from Switzerland</v>
      </c>
      <c r="B1032" s="53">
        <f>(B1028/B1012)/B1011</f>
        <v>8.8652482269503553E-3</v>
      </c>
      <c r="C1032" t="s">
        <v>56</v>
      </c>
      <c r="E1032" t="s">
        <v>64</v>
      </c>
      <c r="F1032" t="s">
        <v>86</v>
      </c>
      <c r="G1032" t="s">
        <v>1137</v>
      </c>
      <c r="H1032" t="s">
        <v>76</v>
      </c>
      <c r="I1032" t="s">
        <v>1054</v>
      </c>
      <c r="J1032" t="s">
        <v>306</v>
      </c>
      <c r="K1032" t="str">
        <f>B989</f>
        <v>heat, residential, by combustion of hydrogen using boiler, transported by truck, produced by Steam Methane Reforming, with CCS using natural gas from Switzerland</v>
      </c>
      <c r="L1032">
        <f t="shared" si="65"/>
        <v>2</v>
      </c>
      <c r="M1032">
        <f t="shared" si="66"/>
        <v>-4.7256163390639587</v>
      </c>
      <c r="N1032">
        <v>1.05</v>
      </c>
      <c r="O1032" s="15">
        <v>1.2</v>
      </c>
      <c r="P1032">
        <v>1</v>
      </c>
      <c r="Q1032">
        <v>1.01</v>
      </c>
      <c r="R1032">
        <v>1.2</v>
      </c>
      <c r="S1032">
        <v>1.2</v>
      </c>
      <c r="T1032">
        <v>1.05</v>
      </c>
      <c r="U1032">
        <f t="shared" si="67"/>
        <v>0.16169679924070957</v>
      </c>
    </row>
    <row r="1033" spans="1:22" hidden="1" x14ac:dyDescent="0.2">
      <c r="A1033" t="str">
        <f>VLOOKUP(J1033,'dataset mapping'!$A$4:$E$69,2,0)</f>
        <v>high pressure hydrogen storage tank</v>
      </c>
      <c r="B1033" s="52">
        <f>((B1024/10)/(B1022*B1018*20*3.6))*IF(B1023&lt;&gt;0,B1023,1)</f>
        <v>1.8469267139479905E-6</v>
      </c>
      <c r="C1033" t="str">
        <f>VLOOKUP(J1033,'dataset mapping'!$A$4:$E$69,5,0)</f>
        <v>kilogram</v>
      </c>
      <c r="E1033" t="str">
        <f>VLOOKUP(J1033,'dataset mapping'!$A$4:$E$69,4,0)</f>
        <v>GLO</v>
      </c>
      <c r="F1033" t="s">
        <v>86</v>
      </c>
      <c r="G1033" t="str">
        <f>VLOOKUP(J1033,'dataset mapping'!$A$4:$E$69,3,0)</f>
        <v>high pressure hydrogen storage tank</v>
      </c>
      <c r="H1033" t="s">
        <v>88</v>
      </c>
      <c r="I1033" t="s">
        <v>230</v>
      </c>
      <c r="J1033" t="s">
        <v>229</v>
      </c>
      <c r="K1033" t="str">
        <f>B989</f>
        <v>heat, residential, by combustion of hydrogen using boiler, transported by truck, produced by Steam Methane Reforming, with CCS using natural gas from Switzerland</v>
      </c>
      <c r="L1033">
        <f t="shared" si="65"/>
        <v>2</v>
      </c>
      <c r="M1033">
        <f t="shared" si="66"/>
        <v>-13.20198753595994</v>
      </c>
      <c r="N1033">
        <v>1.05</v>
      </c>
      <c r="O1033" s="15">
        <v>1.2</v>
      </c>
      <c r="P1033">
        <v>1</v>
      </c>
      <c r="Q1033">
        <v>1.01</v>
      </c>
      <c r="R1033">
        <v>1.2</v>
      </c>
      <c r="S1033">
        <v>1.2</v>
      </c>
      <c r="T1033">
        <v>3</v>
      </c>
      <c r="U1033">
        <f t="shared" si="67"/>
        <v>0.57209088006881903</v>
      </c>
    </row>
    <row r="1034" spans="1:22" hidden="1" x14ac:dyDescent="0.2">
      <c r="A1034" t="s">
        <v>134</v>
      </c>
      <c r="B1034" s="45">
        <f>B1032*9</f>
        <v>7.9787234042553196E-2</v>
      </c>
      <c r="C1034" t="s">
        <v>56</v>
      </c>
      <c r="D1034" t="s">
        <v>100</v>
      </c>
      <c r="F1034" t="s">
        <v>99</v>
      </c>
      <c r="H1034" t="s">
        <v>131</v>
      </c>
      <c r="I1034" t="s">
        <v>1058</v>
      </c>
      <c r="K1034" t="str">
        <f>B989</f>
        <v>heat, residential, by combustion of hydrogen using boiler, transported by truck, produced by Steam Methane Reforming, with CCS using natural gas from Switzerland</v>
      </c>
      <c r="L1034">
        <f t="shared" si="65"/>
        <v>2</v>
      </c>
      <c r="M1034">
        <f t="shared" si="66"/>
        <v>-2.5283917617277392</v>
      </c>
      <c r="N1034">
        <v>1.05</v>
      </c>
      <c r="O1034" s="15">
        <v>1.2</v>
      </c>
      <c r="P1034">
        <v>1</v>
      </c>
      <c r="Q1034">
        <v>1.01</v>
      </c>
      <c r="R1034">
        <v>1.2</v>
      </c>
      <c r="S1034">
        <v>1.2</v>
      </c>
      <c r="T1034">
        <v>1.05</v>
      </c>
      <c r="U1034">
        <f t="shared" si="67"/>
        <v>0.16169679924070957</v>
      </c>
    </row>
    <row r="1035" spans="1:22" hidden="1" x14ac:dyDescent="0.2">
      <c r="A1035" t="s">
        <v>135</v>
      </c>
      <c r="B1035" s="45">
        <f>912.5/1000000*B1032</f>
        <v>8.0895390070921995E-6</v>
      </c>
      <c r="C1035" t="s">
        <v>56</v>
      </c>
      <c r="D1035" t="s">
        <v>100</v>
      </c>
      <c r="F1035" t="s">
        <v>99</v>
      </c>
      <c r="H1035" t="s">
        <v>131</v>
      </c>
      <c r="I1035" t="s">
        <v>1217</v>
      </c>
      <c r="K1035" t="str">
        <f>B989</f>
        <v>heat, residential, by combustion of hydrogen using boiler, transported by truck, produced by Steam Methane Reforming, with CCS using natural gas from Switzerland</v>
      </c>
      <c r="L1035">
        <f t="shared" si="65"/>
        <v>2</v>
      </c>
      <c r="M1035">
        <f t="shared" si="66"/>
        <v>-11.724938811571587</v>
      </c>
      <c r="N1035">
        <v>1.05</v>
      </c>
      <c r="O1035" s="15">
        <v>1.2</v>
      </c>
      <c r="P1035">
        <v>1</v>
      </c>
      <c r="Q1035">
        <v>1.01</v>
      </c>
      <c r="R1035">
        <v>1.2</v>
      </c>
      <c r="S1035">
        <v>1.2</v>
      </c>
      <c r="T1035">
        <v>1.5</v>
      </c>
      <c r="U1035">
        <f t="shared" si="67"/>
        <v>0.25816898211842121</v>
      </c>
    </row>
    <row r="1036" spans="1:22" hidden="1" x14ac:dyDescent="0.2"/>
    <row r="1037" spans="1:22" hidden="1" x14ac:dyDescent="0.2">
      <c r="A1037" s="2" t="s">
        <v>50</v>
      </c>
      <c r="B1037" s="44" t="str">
        <f>IF(B1043="megajoule","heat","electricity")&amp;", residential, by "&amp;B1048&amp;" of "&amp;B1047&amp;" using "&amp;B1049&amp;IF(B1050&lt;&gt;0,", allocated by "&amp;B1050,"")&amp;", transported by "&amp;B1051&amp;", produced by "&amp;B1055&amp;" using "&amp;B1056&amp;" from "&amp;B1057</f>
        <v>heat, residential, by combustion of hydrogen using CHP, allocated by exergy, transported by truck, produced by Steam Methane Reforming, with CCS using natural gas from Switzerland</v>
      </c>
    </row>
    <row r="1038" spans="1:22" hidden="1" x14ac:dyDescent="0.2">
      <c r="A1038" t="s">
        <v>51</v>
      </c>
      <c r="B1038" s="45" t="str">
        <f>"This dataset represents the supply of 1 "&amp;IF(B1043="megajoule","megajoule of heat","kilowatt hour of electricity")&amp;" in a residence, by "&amp;B1047&amp;" "&amp;B1048&amp;" in a "&amp;B1049&amp;". "&amp;" The hydrogen is transported by "&amp;B1051&amp;" over "&amp;B1052&amp;" km from regional storage. "&amp;" The "&amp;B1047&amp;" is produced by  "&amp;B1055&amp;", with "&amp;B1056&amp;" from "&amp;B1057&amp;" as feedstock. "&amp;A1059&amp;": "&amp;(B1059*100)&amp;"%. "&amp;A1060&amp;": "&amp;B1060&amp;". "&amp;A1061&amp;": "&amp;B1061&amp;". "&amp;A1062&amp;": "&amp;(B1062*100)&amp;"%. "&amp;A1063&amp;": "&amp;(B1063*100)&amp;"%. "&amp;A1064&amp;": "&amp;(B1064*100)&amp;"%. "&amp;A1065&amp;": "&amp;B1065&amp;". "&amp;A1066&amp;": "&amp;B1066&amp;". "&amp;A1067&amp;": "&amp;(B1067*100)&amp;"%. "&amp;A1068&amp;": "&amp;B1068&amp;". "&amp;A1069&amp;": "&amp;B1069&amp;". "&amp;A1070&amp;": "&amp;B1070&amp;". "&amp;A1071&amp;": "&amp;B1071&amp;".  For more information, refer to: "&amp;B1039</f>
        <v>This dataset represents the supply of 1 megajoule of heat in a residence, by hydrogen combustion in a CHP.  The hydrogen is transported by truck over 200 km from regional storage.  The hydrogen is produced by  Steam Methane Reforming, with CCS,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1039" spans="1:22" hidden="1" x14ac:dyDescent="0.2">
      <c r="A1039" t="s">
        <v>63</v>
      </c>
      <c r="B1039" s="45" t="s">
        <v>660</v>
      </c>
    </row>
    <row r="1040" spans="1:22" hidden="1" x14ac:dyDescent="0.2">
      <c r="A1040" t="s">
        <v>52</v>
      </c>
      <c r="B1040" s="45" t="s">
        <v>64</v>
      </c>
    </row>
    <row r="1041" spans="1:2" hidden="1" x14ac:dyDescent="0.2">
      <c r="A1041" t="s">
        <v>48</v>
      </c>
      <c r="B1041" s="45">
        <v>142</v>
      </c>
    </row>
    <row r="1042" spans="1:2" hidden="1" x14ac:dyDescent="0.2">
      <c r="A1042" t="s">
        <v>54</v>
      </c>
      <c r="B1042" s="45" t="str">
        <f>INDEX(overview!$B$4:$R$338,MATCH(B1041,overview!$A$4:$A$338,0),MATCH(A1042,overview!$B$3:$R$3,0))</f>
        <v>heat, from residential heating system</v>
      </c>
    </row>
    <row r="1043" spans="1:2" hidden="1" x14ac:dyDescent="0.2">
      <c r="A1043" t="s">
        <v>55</v>
      </c>
      <c r="B1043" s="45" t="str">
        <f>INDEX(overview!$B$4:$R$338,MATCH(B1041,overview!$A$4:$A$338,0),MATCH(A1043,overview!$B$3:$R$3,0))</f>
        <v>megajoule</v>
      </c>
    </row>
    <row r="1044" spans="1:2" hidden="1" x14ac:dyDescent="0.2">
      <c r="A1044" t="s">
        <v>0</v>
      </c>
      <c r="B1044" s="45" t="str">
        <f>INDEX(overview!$B$4:$R$338,MATCH(B1041,overview!$A$4:$A$338,0),MATCH(A1044,overview!$B$3:$R$3,0))</f>
        <v>Switzerland</v>
      </c>
    </row>
    <row r="1045" spans="1:2" hidden="1" x14ac:dyDescent="0.2">
      <c r="A1045" t="s">
        <v>1</v>
      </c>
      <c r="B1045" s="45">
        <f>INDEX(overview!$B$4:$R$338,MATCH(B1041,overview!$A$4:$A$338,0),MATCH(A1045,overview!$B$3:$R$3,0))</f>
        <v>2020</v>
      </c>
    </row>
    <row r="1046" spans="1:2" hidden="1" x14ac:dyDescent="0.2">
      <c r="A1046" t="s">
        <v>2</v>
      </c>
      <c r="B1046" s="45" t="str">
        <f>INDEX(overview!$B$4:$R$338,MATCH(B1041,overview!$A$4:$A$338,0),MATCH(A1046,overview!$B$3:$R$3,0))</f>
        <v>1 MJ heat</v>
      </c>
    </row>
    <row r="1047" spans="1:2" hidden="1" x14ac:dyDescent="0.2">
      <c r="A1047" t="s">
        <v>5</v>
      </c>
      <c r="B1047" s="45" t="str">
        <f>INDEX(overview!$B$4:$R$338,MATCH(B1041,overview!$A$4:$A$338,0),MATCH(A1047,overview!$B$3:$R$3,0))</f>
        <v>hydrogen</v>
      </c>
    </row>
    <row r="1048" spans="1:2" hidden="1" x14ac:dyDescent="0.2">
      <c r="A1048" t="s">
        <v>3</v>
      </c>
      <c r="B1048" s="45" t="str">
        <f>INDEX(overview!$B$4:$R$338,MATCH(B1041,overview!$A$4:$A$338,0),MATCH(A1048,overview!$B$3:$R$3,0))</f>
        <v>combustion</v>
      </c>
    </row>
    <row r="1049" spans="1:2" hidden="1" x14ac:dyDescent="0.2">
      <c r="A1049" t="s">
        <v>6</v>
      </c>
      <c r="B1049" s="45" t="str">
        <f>INDEX(overview!$B$4:$R$338,MATCH(B1041,overview!$A$4:$A$338,0),MATCH(A1049,overview!$B$3:$R$3,0))</f>
        <v>CHP</v>
      </c>
    </row>
    <row r="1050" spans="1:2" hidden="1" x14ac:dyDescent="0.2">
      <c r="A1050" t="s">
        <v>39</v>
      </c>
      <c r="B1050" s="45" t="str">
        <f>INDEX(overview!$B$4:$R$338,MATCH(B1041,overview!$A$4:$A$338,0),MATCH(A1050,overview!$B$3:$R$3,0))</f>
        <v>exergy</v>
      </c>
    </row>
    <row r="1051" spans="1:2" hidden="1" x14ac:dyDescent="0.2">
      <c r="A1051" t="s">
        <v>4</v>
      </c>
      <c r="B1051" s="45" t="str">
        <f>INDEX(overview!$B$4:$R$338,MATCH(B1041,overview!$A$4:$A$338,0),MATCH(A1051,overview!$B$3:$R$3,0))</f>
        <v>truck</v>
      </c>
    </row>
    <row r="1052" spans="1:2" hidden="1" x14ac:dyDescent="0.2">
      <c r="A1052" t="s">
        <v>38</v>
      </c>
      <c r="B1052" s="45">
        <f>INDEX(overview!$B$4:$R$338,MATCH(B1041,overview!$A$4:$A$338,0),MATCH(A1052,overview!$B$3:$R$3,0))</f>
        <v>200</v>
      </c>
    </row>
    <row r="1053" spans="1:2" hidden="1" x14ac:dyDescent="0.2">
      <c r="A1053" t="s">
        <v>12</v>
      </c>
      <c r="B1053" s="45" t="str">
        <f>INDEX(overview!$B$4:$R$338,MATCH(B1041,overview!$A$4:$A$338,0),MATCH(A1053,overview!$B$3:$R$3,0))</f>
        <v>Pressure vessel for stationary storage</v>
      </c>
    </row>
    <row r="1054" spans="1:2" hidden="1" x14ac:dyDescent="0.2">
      <c r="A1054" t="s">
        <v>34</v>
      </c>
      <c r="B1054" s="45">
        <f>INDEX(overview!$B$4:$R$338,MATCH(B1041,overview!$A$4:$A$338,0),MATCH(A1054,overview!$B$3:$R$3,0))</f>
        <v>0</v>
      </c>
    </row>
    <row r="1055" spans="1:2" hidden="1" x14ac:dyDescent="0.2">
      <c r="A1055" t="s">
        <v>15</v>
      </c>
      <c r="B1055" s="45" t="str">
        <f>INDEX(overview!$B$4:$R$338,MATCH(B1041,overview!$A$4:$A$338,0),MATCH(A1055,overview!$B$3:$R$3,0))</f>
        <v>Steam Methane Reforming, with CCS</v>
      </c>
    </row>
    <row r="1056" spans="1:2" hidden="1" x14ac:dyDescent="0.2">
      <c r="A1056" t="s">
        <v>14</v>
      </c>
      <c r="B1056" s="45" t="str">
        <f>INDEX(overview!$B$4:$R$338,MATCH(B1041,overview!$A$4:$A$338,0),MATCH(A1056,overview!$B$3:$R$3,0))</f>
        <v>natural gas</v>
      </c>
    </row>
    <row r="1057" spans="1:2" hidden="1" x14ac:dyDescent="0.2">
      <c r="A1057" t="s">
        <v>26</v>
      </c>
      <c r="B1057" s="45" t="str">
        <f>INDEX(overview!$B$4:$R$338,MATCH(B1041,overview!$A$4:$A$338,0),MATCH(A1057,overview!$B$3:$R$3,0))</f>
        <v>Switzerland</v>
      </c>
    </row>
    <row r="1058" spans="1:2" hidden="1" x14ac:dyDescent="0.2">
      <c r="A1058" t="s">
        <v>29</v>
      </c>
      <c r="B1058" s="45">
        <f>INDEX(overview!$B$4:$R$338,MATCH(B1041,overview!$A$4:$A$338,0),MATCH(A1058,overview!$B$3:$R$3,0))</f>
        <v>0</v>
      </c>
    </row>
    <row r="1059" spans="1:2" hidden="1" x14ac:dyDescent="0.2">
      <c r="A1059" t="str">
        <f>IF(B1043="megajoule","Heat","Electricity")&amp;" conversion efficiency [% LHV input]"</f>
        <v>Heat conversion efficiency [% LHV input]</v>
      </c>
      <c r="B1059" s="46">
        <f>INDEX(parameters!$D$4:$N$20,MATCH(B1047&amp;B1049,parameters!$A$4:$A$20,0),MATCH(A1059,parameters!$D$3:$N$3,0))</f>
        <v>0.41699999999999998</v>
      </c>
    </row>
    <row r="1060" spans="1:2" hidden="1" x14ac:dyDescent="0.2">
      <c r="A1060" t="str">
        <f>IF(B1043="megajoule","LHV [MJ/kg]","LHV [kWh/kg]")</f>
        <v>LHV [MJ/kg]</v>
      </c>
      <c r="B1060" s="47">
        <f>INDEX(parameters!$D$4:$N$20,MATCH(B1047&amp;B1049,parameters!$A$4:$A$20,0),MATCH(A1060,parameters!$D$3:$N$3,0))</f>
        <v>120</v>
      </c>
    </row>
    <row r="1061" spans="1:2" hidden="1" x14ac:dyDescent="0.2">
      <c r="A1061" t="s">
        <v>41</v>
      </c>
      <c r="B1061" s="48">
        <f>INDEX(parameters!$D$4:$N$20,MATCH(B1047&amp;B1049,parameters!$A$4:$A$20,0),MATCH(A1061,parameters!$D$3:$N$3,0))</f>
        <v>2.6666666666666665E-2</v>
      </c>
    </row>
    <row r="1062" spans="1:2" hidden="1" x14ac:dyDescent="0.2">
      <c r="A1062" t="s">
        <v>45</v>
      </c>
      <c r="B1062" s="46">
        <f>INDEX(parameters!$D$4:$N$20,MATCH(B1047&amp;B1049,parameters!$A$4:$A$20,0),MATCH(A1062,parameters!$D$3:$N$3,0))</f>
        <v>0</v>
      </c>
    </row>
    <row r="1063" spans="1:2" hidden="1" x14ac:dyDescent="0.2">
      <c r="A1063" t="s">
        <v>46</v>
      </c>
      <c r="B1063" s="46">
        <f>INDEX(parameters!$D$4:$N$20,MATCH(B1047&amp;B1049,parameters!$A$4:$A$20,0),MATCH(A1063,parameters!$D$3:$N$3,0))</f>
        <v>1.4999999999999999E-2</v>
      </c>
    </row>
    <row r="1064" spans="1:2" hidden="1" x14ac:dyDescent="0.2">
      <c r="A1064" t="s">
        <v>43</v>
      </c>
      <c r="B1064" s="46">
        <f>INDEX(parameters!$D$4:$N$20,MATCH(B1047&amp;B1049,parameters!$A$4:$A$20,0),MATCH(A1064,parameters!$D$3:$N$3,0))</f>
        <v>0</v>
      </c>
    </row>
    <row r="1065" spans="1:2" hidden="1" x14ac:dyDescent="0.2">
      <c r="A1065" t="s">
        <v>44</v>
      </c>
      <c r="B1065" s="46">
        <f>INDEX(parameters!$D$4:$N$20,MATCH(B1047&amp;B1049,parameters!$A$4:$A$20,0),MATCH(A1065,parameters!$D$3:$N$3,0))</f>
        <v>0</v>
      </c>
    </row>
    <row r="1066" spans="1:2" hidden="1" x14ac:dyDescent="0.2">
      <c r="A1066" t="s">
        <v>634</v>
      </c>
      <c r="B1066" s="50">
        <f>INDEX(parameters!$D$4:$Y$20,MATCH(B1047&amp;B1049,parameters!$A$4:$A$20,0),MATCH(A1066,parameters!$D$3:$Y$3,0))</f>
        <v>351.41800246609125</v>
      </c>
    </row>
    <row r="1067" spans="1:2" hidden="1" x14ac:dyDescent="0.2">
      <c r="A1067" t="s">
        <v>82</v>
      </c>
      <c r="B1067" s="46">
        <f>IF(B1058&lt;&gt;0,VLOOKUP(B1058,parameters!A714:B716,2,0),0)</f>
        <v>0</v>
      </c>
    </row>
    <row r="1068" spans="1:2" hidden="1" x14ac:dyDescent="0.2">
      <c r="A1068" t="s">
        <v>548</v>
      </c>
      <c r="B1068" s="50">
        <f>INDEX(parameters!$D$4:$P$20,MATCH(B1047&amp;B1049,parameters!$A$4:$A$20,0),MATCH(A1068,parameters!$D$3:$P$3,0))</f>
        <v>125</v>
      </c>
    </row>
    <row r="1069" spans="1:2" hidden="1" x14ac:dyDescent="0.2">
      <c r="A1069" t="s">
        <v>547</v>
      </c>
      <c r="B1069" s="51">
        <f>INDEX(parameters!$D$4:$P$20,MATCH(B1047&amp;B1049,parameters!$A$4:$A$20,0),MATCH(A1069,parameters!$D$3:$P$3,0))</f>
        <v>19.512195121951219</v>
      </c>
    </row>
    <row r="1070" spans="1:2" hidden="1" x14ac:dyDescent="0.2">
      <c r="A1070" t="s">
        <v>630</v>
      </c>
      <c r="B1070" s="51">
        <f>INDEX(parameters!$D$4:$T$20,MATCH(B1047&amp;B1049,parameters!$A$4:$A$20,0),MATCH(A1070,parameters!$D$3:$T$3,0))</f>
        <v>4100</v>
      </c>
    </row>
    <row r="1071" spans="1:2" hidden="1" x14ac:dyDescent="0.2">
      <c r="A1071" t="s">
        <v>1005</v>
      </c>
      <c r="B1071" s="50">
        <f>IF(B1043="megajoule",SUMIFS(allocation!$I$4:$I$30,allocation!$B$4:$B$30,B1049,allocation!$C$4:$C$30,B1050),SUMIFS(allocation!$J$4:$J$30,allocation!$B$4:$B$30,B1049,allocation!$C$4:$C$30,B1050))</f>
        <v>0.12860042227295038</v>
      </c>
    </row>
    <row r="1072" spans="1:2" hidden="1" x14ac:dyDescent="0.2">
      <c r="A1072" t="s">
        <v>1050</v>
      </c>
      <c r="B1072" s="51">
        <f>INDEX(parameters!$D$4:$AB$20,MATCH(B1047&amp;B1049,parameters!$A$4:$A$20,0),MATCH(A1072,parameters!$D$3:$AB$3,0))</f>
        <v>2220.7364520822662</v>
      </c>
    </row>
    <row r="1073" spans="1:22" hidden="1" x14ac:dyDescent="0.2"/>
    <row r="1074" spans="1:22" hidden="1" x14ac:dyDescent="0.2">
      <c r="A1074" s="3" t="s">
        <v>57</v>
      </c>
    </row>
    <row r="1075" spans="1:22" hidden="1" x14ac:dyDescent="0.2">
      <c r="A1075" s="2" t="s">
        <v>58</v>
      </c>
      <c r="B1075" s="44" t="s">
        <v>59</v>
      </c>
      <c r="C1075" s="2" t="s">
        <v>55</v>
      </c>
      <c r="D1075" s="2" t="s">
        <v>60</v>
      </c>
      <c r="E1075" s="2" t="s">
        <v>52</v>
      </c>
      <c r="F1075" s="2" t="s">
        <v>61</v>
      </c>
      <c r="G1075" s="2" t="s">
        <v>54</v>
      </c>
      <c r="H1075" s="2" t="s">
        <v>87</v>
      </c>
      <c r="I1075" s="2" t="s">
        <v>51</v>
      </c>
      <c r="J1075" s="2" t="s">
        <v>138</v>
      </c>
      <c r="K1075" s="2" t="s">
        <v>136</v>
      </c>
      <c r="L1075" s="2" t="s">
        <v>221</v>
      </c>
      <c r="M1075" s="2" t="s">
        <v>379</v>
      </c>
      <c r="N1075" s="2" t="s">
        <v>1059</v>
      </c>
      <c r="O1075" s="2" t="s">
        <v>1060</v>
      </c>
      <c r="P1075" s="2" t="s">
        <v>1061</v>
      </c>
      <c r="Q1075" s="2" t="s">
        <v>1062</v>
      </c>
      <c r="R1075" s="2" t="s">
        <v>1063</v>
      </c>
      <c r="S1075" s="2" t="s">
        <v>1064</v>
      </c>
      <c r="T1075" s="2" t="s">
        <v>1065</v>
      </c>
      <c r="U1075" s="2" t="s">
        <v>380</v>
      </c>
      <c r="V1075" s="2" t="s">
        <v>1128</v>
      </c>
    </row>
    <row r="1076" spans="1:22" hidden="1" x14ac:dyDescent="0.2">
      <c r="A1076" t="str">
        <f>B1037</f>
        <v>heat, residential, by combustion of hydrogen using CHP, allocated by exergy, transported by truck, produced by Steam Methane Reforming, with CCS using natural gas from Switzerland</v>
      </c>
      <c r="B1076" s="45">
        <v>1</v>
      </c>
      <c r="C1076" t="str">
        <f>B1043</f>
        <v>megajoule</v>
      </c>
      <c r="E1076" t="str">
        <f>B1040</f>
        <v>CH</v>
      </c>
      <c r="F1076" t="s">
        <v>62</v>
      </c>
      <c r="G1076" t="str">
        <f>B1042</f>
        <v>heat, from residential heating system</v>
      </c>
      <c r="K1076" t="str">
        <f>B1037</f>
        <v>heat, residential, by combustion of hydrogen using CHP, allocated by exergy, transported by truck, produced by Steam Methane Reforming, with CCS using natural gas from Switzerland</v>
      </c>
    </row>
    <row r="1077" spans="1:22" hidden="1" x14ac:dyDescent="0.2">
      <c r="A1077" t="str">
        <f>VLOOKUP(J1077,'dataset mapping'!$A$4:$E$69,2,0)</f>
        <v>heat and power co-generation unit construction, 160kW electrical, common components for heat+electricity</v>
      </c>
      <c r="B1077" s="52">
        <f>(1/(B1066*B1070*B1069*3.6))*B1071</f>
        <v>1.270649883812899E-9</v>
      </c>
      <c r="C1077" t="str">
        <f>VLOOKUP(J1077,'dataset mapping'!$A$4:$E$69,5,0)</f>
        <v>unit</v>
      </c>
      <c r="E1077" t="str">
        <f>VLOOKUP(J1077,'dataset mapping'!$A$4:$E$69,4,0)</f>
        <v>RER</v>
      </c>
      <c r="F1077" t="s">
        <v>86</v>
      </c>
      <c r="G1077" t="str">
        <f>VLOOKUP(J1077,'dataset mapping'!$A$4:$E$69,3,0)</f>
        <v>heat and power co-generation unit, 160kW electrical, common components for heat+electricity</v>
      </c>
      <c r="H1077" t="s">
        <v>88</v>
      </c>
      <c r="J1077" t="s">
        <v>145</v>
      </c>
      <c r="K1077" t="str">
        <f>B1037</f>
        <v>heat, residential, by combustion of hydrogen using CHP, allocated by exergy, transported by truck, produced by Steam Methane Reforming, with CCS using natural gas from Switzerland</v>
      </c>
      <c r="L1077">
        <f t="shared" ref="L1077:L1085" si="68">IF(OR(B1077&lt;0,B1077=0),1,2)</f>
        <v>2</v>
      </c>
      <c r="M1077">
        <f t="shared" ref="M1077:M1085" si="69">IF(L1077=2,LN(B1077),"")</f>
        <v>-20.48373734782199</v>
      </c>
      <c r="N1077">
        <v>1.05</v>
      </c>
      <c r="O1077" s="15">
        <v>1.2</v>
      </c>
      <c r="P1077">
        <v>1</v>
      </c>
      <c r="Q1077">
        <v>1.01</v>
      </c>
      <c r="R1077">
        <v>1.2</v>
      </c>
      <c r="S1077">
        <v>1.2</v>
      </c>
      <c r="T1077">
        <v>3</v>
      </c>
      <c r="U1077">
        <f t="shared" ref="U1077:U1085" si="70">LN(SQRT(EXP(
SQRT(
+POWER(LN(N1077),2)
+POWER(LN(O1077),2)
+POWER(LN(P1077),2)
+POWER(LN(Q1077),2)
+POWER(LN(R1077),2)
+POWER(LN(S1077),2)
+POWER(LN(T1077),2)
)
)))</f>
        <v>0.57209088006881903</v>
      </c>
    </row>
    <row r="1078" spans="1:22" hidden="1" x14ac:dyDescent="0.2">
      <c r="A1078" t="str">
        <f>VLOOKUP(J1078,'dataset mapping'!$A$4:$E$69,2,0)</f>
        <v>heat and power co-generation unit construction, 160kW electrical, components for electricity only</v>
      </c>
      <c r="B1078" s="52">
        <f>(1/(B1066*B1070*B1069*3.6))*B1071</f>
        <v>1.270649883812899E-9</v>
      </c>
      <c r="C1078" t="str">
        <f>VLOOKUP(J1078,'dataset mapping'!$A$4:$E$69,5,0)</f>
        <v>unit</v>
      </c>
      <c r="E1078" t="str">
        <f>VLOOKUP(J1078,'dataset mapping'!$A$4:$E$69,4,0)</f>
        <v>RER</v>
      </c>
      <c r="F1078" t="s">
        <v>86</v>
      </c>
      <c r="G1078" t="str">
        <f>VLOOKUP(J1078,'dataset mapping'!$A$4:$E$69,3,0)</f>
        <v>heat and power co-generation unit, 160kW electrical, components for electricity only</v>
      </c>
      <c r="H1078" t="s">
        <v>88</v>
      </c>
      <c r="J1078" t="s">
        <v>146</v>
      </c>
      <c r="K1078" t="str">
        <f>B1037</f>
        <v>heat, residential, by combustion of hydrogen using CHP, allocated by exergy, transported by truck, produced by Steam Methane Reforming, with CCS using natural gas from Switzerland</v>
      </c>
      <c r="L1078">
        <f t="shared" si="68"/>
        <v>2</v>
      </c>
      <c r="M1078">
        <f t="shared" si="69"/>
        <v>-20.48373734782199</v>
      </c>
      <c r="N1078">
        <v>1.05</v>
      </c>
      <c r="O1078" s="15">
        <v>1.2</v>
      </c>
      <c r="P1078">
        <v>1</v>
      </c>
      <c r="Q1078">
        <v>1.01</v>
      </c>
      <c r="R1078">
        <v>1.2</v>
      </c>
      <c r="S1078">
        <v>1.2</v>
      </c>
      <c r="T1078">
        <v>3</v>
      </c>
      <c r="U1078">
        <f t="shared" si="70"/>
        <v>0.57209088006881903</v>
      </c>
    </row>
    <row r="1079" spans="1:22" hidden="1" x14ac:dyDescent="0.2">
      <c r="A1079" t="str">
        <f>VLOOKUP(J1079,'dataset mapping'!$A$4:$E$69,2,0)</f>
        <v>heat and power co-generation unit construction, 160kW electrical, components for heat only</v>
      </c>
      <c r="B1079" s="52">
        <f>(1/(B1066*B1070*B1069*3.6))*B1071</f>
        <v>1.270649883812899E-9</v>
      </c>
      <c r="C1079" t="str">
        <f>VLOOKUP(J1079,'dataset mapping'!$A$4:$E$69,5,0)</f>
        <v>unit</v>
      </c>
      <c r="E1079" t="str">
        <f>VLOOKUP(J1079,'dataset mapping'!$A$4:$E$69,4,0)</f>
        <v>RER</v>
      </c>
      <c r="F1079" t="s">
        <v>86</v>
      </c>
      <c r="G1079" t="str">
        <f>VLOOKUP(J1079,'dataset mapping'!$A$4:$E$69,3,0)</f>
        <v>heat and power co-generation unit, 160kW electrical, components for heat only</v>
      </c>
      <c r="H1079" t="s">
        <v>88</v>
      </c>
      <c r="J1079" t="s">
        <v>147</v>
      </c>
      <c r="K1079" t="str">
        <f>B1037</f>
        <v>heat, residential, by combustion of hydrogen using CHP, allocated by exergy, transported by truck, produced by Steam Methane Reforming, with CCS using natural gas from Switzerland</v>
      </c>
      <c r="L1079">
        <f t="shared" si="68"/>
        <v>2</v>
      </c>
      <c r="M1079">
        <f t="shared" si="69"/>
        <v>-20.48373734782199</v>
      </c>
      <c r="N1079">
        <v>1.05</v>
      </c>
      <c r="O1079" s="15">
        <v>1.2</v>
      </c>
      <c r="P1079">
        <v>1</v>
      </c>
      <c r="Q1079">
        <v>1.01</v>
      </c>
      <c r="R1079">
        <v>1.2</v>
      </c>
      <c r="S1079">
        <v>1.2</v>
      </c>
      <c r="T1079">
        <v>3</v>
      </c>
      <c r="U1079">
        <f t="shared" si="70"/>
        <v>0.57209088006881903</v>
      </c>
    </row>
    <row r="1080" spans="1:22" hidden="1" x14ac:dyDescent="0.2">
      <c r="A1080" t="s">
        <v>156</v>
      </c>
      <c r="B1080" s="52">
        <f>0.00000011366*B1071</f>
        <v>1.461672399554354E-8</v>
      </c>
      <c r="C1080" t="s">
        <v>56</v>
      </c>
      <c r="E1080" t="s">
        <v>90</v>
      </c>
      <c r="F1080" t="s">
        <v>86</v>
      </c>
      <c r="G1080" t="s">
        <v>154</v>
      </c>
      <c r="H1080" t="s">
        <v>155</v>
      </c>
      <c r="K1080" t="str">
        <f>B1037</f>
        <v>heat, residential, by combustion of hydrogen using CHP, allocated by exergy, transported by truck, produced by Steam Methane Reforming, with CCS using natural gas from Switzerland</v>
      </c>
      <c r="L1080">
        <f t="shared" si="68"/>
        <v>2</v>
      </c>
      <c r="M1080">
        <f t="shared" si="69"/>
        <v>-18.041099484645969</v>
      </c>
      <c r="N1080">
        <v>1.05</v>
      </c>
      <c r="O1080" s="15">
        <v>1.2</v>
      </c>
      <c r="P1080">
        <v>1</v>
      </c>
      <c r="Q1080">
        <v>1.01</v>
      </c>
      <c r="R1080">
        <v>1.2</v>
      </c>
      <c r="S1080">
        <v>1.2</v>
      </c>
      <c r="T1080">
        <v>1.05</v>
      </c>
      <c r="U1080">
        <f t="shared" si="70"/>
        <v>0.16169679924070957</v>
      </c>
    </row>
    <row r="1081" spans="1:22" hidden="1" x14ac:dyDescent="0.2">
      <c r="A1081" t="s">
        <v>157</v>
      </c>
      <c r="B1081" s="52">
        <f>0.00000011366*B1071*-1</f>
        <v>-1.461672399554354E-8</v>
      </c>
      <c r="C1081" t="s">
        <v>56</v>
      </c>
      <c r="E1081" t="s">
        <v>64</v>
      </c>
      <c r="F1081" t="s">
        <v>86</v>
      </c>
      <c r="G1081" t="s">
        <v>158</v>
      </c>
      <c r="H1081" t="s">
        <v>155</v>
      </c>
      <c r="K1081" t="str">
        <f>B1037</f>
        <v>heat, residential, by combustion of hydrogen using CHP, allocated by exergy, transported by truck, produced by Steam Methane Reforming, with CCS using natural gas from Switzerland</v>
      </c>
      <c r="L1081">
        <v>2</v>
      </c>
      <c r="M1081">
        <f>IF(L1081=2,LN(B1081*-1),"")</f>
        <v>-18.041099484645969</v>
      </c>
      <c r="N1081">
        <v>1.05</v>
      </c>
      <c r="O1081" s="15">
        <v>1.2</v>
      </c>
      <c r="P1081">
        <v>1</v>
      </c>
      <c r="Q1081">
        <v>1.01</v>
      </c>
      <c r="R1081">
        <v>1.2</v>
      </c>
      <c r="S1081">
        <v>1.2</v>
      </c>
      <c r="T1081">
        <v>3</v>
      </c>
      <c r="U1081">
        <f>LN(SQRT(EXP(
SQRT(
+POWER(LN(N1081),2)
+POWER(LN(O1081),2)
+POWER(LN(P1081),2)
+POWER(LN(Q1081),2)
+POWER(LN(R1081),2)
+POWER(LN(S1081),2)
+POWER(LN(T1081),2)
)
)))</f>
        <v>0.57209088006881903</v>
      </c>
      <c r="V1081" t="b">
        <v>1</v>
      </c>
    </row>
    <row r="1082" spans="1:22" hidden="1" x14ac:dyDescent="0.2">
      <c r="A1082" s="45" t="str">
        <f>"hydrogen supply, transported by "&amp;B1051&amp;", produced by "&amp;B1055&amp;" using "&amp;B1056&amp;" from "&amp;B1057</f>
        <v>hydrogen supply, transported by truck, produced by Steam Methane Reforming, with CCS using natural gas from Switzerland</v>
      </c>
      <c r="B1082" s="53">
        <f>(B1076/B1060)/B1059*B1071</f>
        <v>2.56995248347223E-3</v>
      </c>
      <c r="C1082" t="s">
        <v>56</v>
      </c>
      <c r="E1082" t="s">
        <v>64</v>
      </c>
      <c r="F1082" t="s">
        <v>86</v>
      </c>
      <c r="G1082" t="s">
        <v>1137</v>
      </c>
      <c r="H1082" t="s">
        <v>76</v>
      </c>
      <c r="I1082" t="s">
        <v>1054</v>
      </c>
      <c r="J1082" t="s">
        <v>306</v>
      </c>
      <c r="K1082" t="str">
        <f>B1037</f>
        <v>heat, residential, by combustion of hydrogen using CHP, allocated by exergy, transported by truck, produced by Steam Methane Reforming, with CCS using natural gas from Switzerland</v>
      </c>
      <c r="L1082">
        <f t="shared" si="68"/>
        <v>2</v>
      </c>
      <c r="M1082">
        <f t="shared" si="69"/>
        <v>-5.9638678691672418</v>
      </c>
      <c r="N1082">
        <v>1.05</v>
      </c>
      <c r="O1082" s="15">
        <v>1.2</v>
      </c>
      <c r="P1082">
        <v>1</v>
      </c>
      <c r="Q1082">
        <v>1.01</v>
      </c>
      <c r="R1082">
        <v>1.2</v>
      </c>
      <c r="S1082">
        <v>1.2</v>
      </c>
      <c r="T1082">
        <v>1.05</v>
      </c>
      <c r="U1082">
        <f t="shared" si="70"/>
        <v>0.16169679924070957</v>
      </c>
    </row>
    <row r="1083" spans="1:22" hidden="1" x14ac:dyDescent="0.2">
      <c r="A1083" t="str">
        <f>VLOOKUP(J1083,'dataset mapping'!$A$4:$E$69,2,0)</f>
        <v>high pressure hydrogen storage tank</v>
      </c>
      <c r="B1083" s="52">
        <f>((B1072/10)/(B1070*B1066*20*3.6))*IF(B1071&lt;&gt;0,B1071,1)</f>
        <v>2.7529546486023421E-7</v>
      </c>
      <c r="C1083" t="str">
        <f>VLOOKUP(J1083,'dataset mapping'!$A$4:$E$69,5,0)</f>
        <v>kilogram</v>
      </c>
      <c r="E1083" t="str">
        <f>VLOOKUP(J1083,'dataset mapping'!$A$4:$E$69,4,0)</f>
        <v>GLO</v>
      </c>
      <c r="F1083" t="s">
        <v>86</v>
      </c>
      <c r="G1083" t="str">
        <f>VLOOKUP(J1083,'dataset mapping'!$A$4:$E$69,3,0)</f>
        <v>high pressure hydrogen storage tank</v>
      </c>
      <c r="H1083" t="s">
        <v>88</v>
      </c>
      <c r="I1083" t="s">
        <v>279</v>
      </c>
      <c r="J1083" t="s">
        <v>229</v>
      </c>
      <c r="K1083" t="str">
        <f>B1037</f>
        <v>heat, residential, by combustion of hydrogen using CHP, allocated by exergy, transported by truck, produced by Steam Methane Reforming, with CCS using natural gas from Switzerland</v>
      </c>
      <c r="L1083">
        <f t="shared" si="68"/>
        <v>2</v>
      </c>
      <c r="M1083">
        <f t="shared" si="69"/>
        <v>-15.105420898379837</v>
      </c>
      <c r="N1083">
        <v>1.05</v>
      </c>
      <c r="O1083" s="15">
        <v>1.2</v>
      </c>
      <c r="P1083">
        <v>1</v>
      </c>
      <c r="Q1083">
        <v>1.01</v>
      </c>
      <c r="R1083">
        <v>1.2</v>
      </c>
      <c r="S1083">
        <v>1.2</v>
      </c>
      <c r="T1083">
        <v>3</v>
      </c>
      <c r="U1083">
        <f t="shared" si="70"/>
        <v>0.57209088006881903</v>
      </c>
    </row>
    <row r="1084" spans="1:22" hidden="1" x14ac:dyDescent="0.2">
      <c r="A1084" t="s">
        <v>134</v>
      </c>
      <c r="B1084" s="45">
        <f>B1082*9</f>
        <v>2.3129572351250072E-2</v>
      </c>
      <c r="C1084" t="s">
        <v>56</v>
      </c>
      <c r="D1084" t="s">
        <v>100</v>
      </c>
      <c r="F1084" t="s">
        <v>99</v>
      </c>
      <c r="H1084" t="s">
        <v>131</v>
      </c>
      <c r="I1084" t="s">
        <v>1058</v>
      </c>
      <c r="K1084" t="str">
        <f>B1037</f>
        <v>heat, residential, by combustion of hydrogen using CHP, allocated by exergy, transported by truck, produced by Steam Methane Reforming, with CCS using natural gas from Switzerland</v>
      </c>
      <c r="L1084">
        <f t="shared" si="68"/>
        <v>2</v>
      </c>
      <c r="M1084">
        <f t="shared" si="69"/>
        <v>-3.7666432918310226</v>
      </c>
      <c r="N1084">
        <v>1.05</v>
      </c>
      <c r="O1084" s="15">
        <v>1.2</v>
      </c>
      <c r="P1084">
        <v>1</v>
      </c>
      <c r="Q1084">
        <v>1.01</v>
      </c>
      <c r="R1084">
        <v>1.2</v>
      </c>
      <c r="S1084">
        <v>1.2</v>
      </c>
      <c r="T1084">
        <v>1.05</v>
      </c>
      <c r="U1084">
        <f t="shared" si="70"/>
        <v>0.16169679924070957</v>
      </c>
    </row>
    <row r="1085" spans="1:22" hidden="1" x14ac:dyDescent="0.2">
      <c r="A1085" t="s">
        <v>135</v>
      </c>
      <c r="B1085" s="45">
        <f>912.5/1000000*B1082</f>
        <v>2.3450816411684101E-6</v>
      </c>
      <c r="C1085" t="s">
        <v>56</v>
      </c>
      <c r="D1085" t="s">
        <v>100</v>
      </c>
      <c r="F1085" t="s">
        <v>99</v>
      </c>
      <c r="H1085" t="s">
        <v>131</v>
      </c>
      <c r="I1085" t="s">
        <v>1217</v>
      </c>
      <c r="K1085" t="str">
        <f>B1037</f>
        <v>heat, residential, by combustion of hydrogen using CHP, allocated by exergy, transported by truck, produced by Steam Methane Reforming, with CCS using natural gas from Switzerland</v>
      </c>
      <c r="L1085">
        <f t="shared" si="68"/>
        <v>2</v>
      </c>
      <c r="M1085">
        <f t="shared" si="69"/>
        <v>-12.963190341674869</v>
      </c>
      <c r="N1085">
        <v>1.05</v>
      </c>
      <c r="O1085" s="15">
        <v>1.2</v>
      </c>
      <c r="P1085">
        <v>1</v>
      </c>
      <c r="Q1085">
        <v>1.01</v>
      </c>
      <c r="R1085">
        <v>1.2</v>
      </c>
      <c r="S1085">
        <v>1.2</v>
      </c>
      <c r="T1085">
        <v>1.5</v>
      </c>
      <c r="U1085">
        <f t="shared" si="70"/>
        <v>0.25816898211842121</v>
      </c>
    </row>
    <row r="1086" spans="1:22" hidden="1" x14ac:dyDescent="0.2"/>
    <row r="1087" spans="1:22" hidden="1" x14ac:dyDescent="0.2">
      <c r="A1087" s="2" t="s">
        <v>50</v>
      </c>
      <c r="B1087" s="44" t="str">
        <f>IF(B1093="megajoule","heat","electricity")&amp;", residential, by "&amp;B1098&amp;" of "&amp;B1097&amp;" using "&amp;B1099&amp;IF(B1100&lt;&gt;0,", allocated by "&amp;B1100,"")&amp;", transported by "&amp;B1101&amp;", produced by "&amp;B1105&amp;" using "&amp;B1106&amp;" from "&amp;B1107</f>
        <v>heat, residential, by conversion of hydrogen using fuel cell, PEM, allocated by exergy, transported by truck, produced by Steam Methane Reforming, with CCS using natural gas from Switzerland</v>
      </c>
    </row>
    <row r="1088" spans="1:22" hidden="1" x14ac:dyDescent="0.2">
      <c r="A1088" t="s">
        <v>51</v>
      </c>
      <c r="B1088" s="45" t="str">
        <f>"This dataset represents the supply of 1 "&amp;IF(B1093="megajoule","megajoule of heat","kilowatt hour of electricity")&amp;" in a residence, by "&amp;B1097&amp;" "&amp;B1098&amp;" in a "&amp;B1099&amp;". "&amp;" The hydrogen is transported by "&amp;B1101&amp;" over "&amp;B1102&amp;" km from regional storage. "&amp;" The "&amp;B1097&amp;" is produced by  "&amp;B1105&amp;", with "&amp;B1106&amp;" from "&amp;B1107&amp;" as feedstock. "&amp;A1109&amp;": "&amp;(B1109*100)&amp;"%. "&amp;A1110&amp;": "&amp;B1110&amp;". "&amp;A1111&amp;": "&amp;B1111&amp;". "&amp;A1112&amp;": "&amp;(B1112*100)&amp;"%. "&amp;A1113&amp;": "&amp;(B1113*100)&amp;"%. "&amp;A1114&amp;": "&amp;(B1114*100)&amp;"%. "&amp;A1115&amp;": "&amp;B1115&amp;". "&amp;A1116&amp;": "&amp;B1116&amp;". "&amp;A1117&amp;": "&amp;(B1117*100)&amp;"%. "&amp;A1118&amp;": "&amp;B1118&amp;". "&amp;A1119&amp;": "&amp;B1119&amp;". "&amp;A1120&amp;": "&amp;B1120&amp;". "&amp;A1121&amp;": "&amp;B1121&amp;".  For more information, refer to: "&amp;B1089</f>
        <v>This dataset represents the supply of 1 megajoule of heat in a residence, by hydrogen conversion in a fuel cell, PEM.  The hydrogen is transported by truck over 200 km from regional storage.  The hydrogen is produced by  Steam Methane Reforming, with CCS,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1089" spans="1:2" hidden="1" x14ac:dyDescent="0.2">
      <c r="A1089" t="s">
        <v>63</v>
      </c>
      <c r="B1089" s="45" t="s">
        <v>660</v>
      </c>
    </row>
    <row r="1090" spans="1:2" hidden="1" x14ac:dyDescent="0.2">
      <c r="A1090" t="s">
        <v>52</v>
      </c>
      <c r="B1090" s="45" t="s">
        <v>64</v>
      </c>
    </row>
    <row r="1091" spans="1:2" hidden="1" x14ac:dyDescent="0.2">
      <c r="A1091" t="s">
        <v>48</v>
      </c>
      <c r="B1091" s="45">
        <v>143</v>
      </c>
    </row>
    <row r="1092" spans="1:2" hidden="1" x14ac:dyDescent="0.2">
      <c r="A1092" t="s">
        <v>54</v>
      </c>
      <c r="B1092" s="45" t="str">
        <f>INDEX(overview!$B$4:$R$338,MATCH(B1091,overview!$A$4:$A$338,0),MATCH(A1092,overview!$B$3:$R$3,0))</f>
        <v>heat, from residential heating system</v>
      </c>
    </row>
    <row r="1093" spans="1:2" hidden="1" x14ac:dyDescent="0.2">
      <c r="A1093" t="s">
        <v>55</v>
      </c>
      <c r="B1093" s="45" t="str">
        <f>INDEX(overview!$B$4:$R$338,MATCH(B1091,overview!$A$4:$A$338,0),MATCH(A1093,overview!$B$3:$R$3,0))</f>
        <v>megajoule</v>
      </c>
    </row>
    <row r="1094" spans="1:2" hidden="1" x14ac:dyDescent="0.2">
      <c r="A1094" t="s">
        <v>0</v>
      </c>
      <c r="B1094" s="45" t="str">
        <f>INDEX(overview!$B$4:$R$338,MATCH(B1091,overview!$A$4:$A$338,0),MATCH(A1094,overview!$B$3:$R$3,0))</f>
        <v>Switzerland</v>
      </c>
    </row>
    <row r="1095" spans="1:2" hidden="1" x14ac:dyDescent="0.2">
      <c r="A1095" t="s">
        <v>1</v>
      </c>
      <c r="B1095" s="45">
        <f>INDEX(overview!$B$4:$R$338,MATCH(B1091,overview!$A$4:$A$338,0),MATCH(A1095,overview!$B$3:$R$3,0))</f>
        <v>2020</v>
      </c>
    </row>
    <row r="1096" spans="1:2" hidden="1" x14ac:dyDescent="0.2">
      <c r="A1096" t="s">
        <v>2</v>
      </c>
      <c r="B1096" s="45" t="str">
        <f>INDEX(overview!$B$4:$R$338,MATCH(B1091,overview!$A$4:$A$338,0),MATCH(A1096,overview!$B$3:$R$3,0))</f>
        <v>1 MJ heat</v>
      </c>
    </row>
    <row r="1097" spans="1:2" hidden="1" x14ac:dyDescent="0.2">
      <c r="A1097" t="s">
        <v>5</v>
      </c>
      <c r="B1097" s="45" t="str">
        <f>INDEX(overview!$B$4:$R$338,MATCH(B1091,overview!$A$4:$A$338,0),MATCH(A1097,overview!$B$3:$R$3,0))</f>
        <v>hydrogen</v>
      </c>
    </row>
    <row r="1098" spans="1:2" hidden="1" x14ac:dyDescent="0.2">
      <c r="A1098" t="s">
        <v>3</v>
      </c>
      <c r="B1098" s="45" t="str">
        <f>INDEX(overview!$B$4:$R$338,MATCH(B1091,overview!$A$4:$A$338,0),MATCH(A1098,overview!$B$3:$R$3,0))</f>
        <v>conversion</v>
      </c>
    </row>
    <row r="1099" spans="1:2" hidden="1" x14ac:dyDescent="0.2">
      <c r="A1099" t="s">
        <v>6</v>
      </c>
      <c r="B1099" s="45" t="str">
        <f>INDEX(overview!$B$4:$R$338,MATCH(B1091,overview!$A$4:$A$338,0),MATCH(A1099,overview!$B$3:$R$3,0))</f>
        <v>fuel cell, PEM</v>
      </c>
    </row>
    <row r="1100" spans="1:2" hidden="1" x14ac:dyDescent="0.2">
      <c r="A1100" t="s">
        <v>39</v>
      </c>
      <c r="B1100" s="45" t="str">
        <f>INDEX(overview!$B$4:$R$338,MATCH(B1091,overview!$A$4:$A$338,0),MATCH(A1100,overview!$B$3:$R$3,0))</f>
        <v>exergy</v>
      </c>
    </row>
    <row r="1101" spans="1:2" hidden="1" x14ac:dyDescent="0.2">
      <c r="A1101" t="s">
        <v>4</v>
      </c>
      <c r="B1101" s="45" t="str">
        <f>INDEX(overview!$B$4:$R$338,MATCH(B1091,overview!$A$4:$A$338,0),MATCH(A1101,overview!$B$3:$R$3,0))</f>
        <v>truck</v>
      </c>
    </row>
    <row r="1102" spans="1:2" hidden="1" x14ac:dyDescent="0.2">
      <c r="A1102" t="s">
        <v>38</v>
      </c>
      <c r="B1102" s="45">
        <f>INDEX(overview!$B$4:$R$338,MATCH(B1091,overview!$A$4:$A$338,0),MATCH(A1102,overview!$B$3:$R$3,0))</f>
        <v>200</v>
      </c>
    </row>
    <row r="1103" spans="1:2" hidden="1" x14ac:dyDescent="0.2">
      <c r="A1103" t="s">
        <v>12</v>
      </c>
      <c r="B1103" s="45" t="str">
        <f>INDEX(overview!$B$4:$R$338,MATCH(B1091,overview!$A$4:$A$338,0),MATCH(A1103,overview!$B$3:$R$3,0))</f>
        <v>Pressure vessel for stationary storage</v>
      </c>
    </row>
    <row r="1104" spans="1:2" hidden="1" x14ac:dyDescent="0.2">
      <c r="A1104" t="s">
        <v>34</v>
      </c>
      <c r="B1104" s="45">
        <f>INDEX(overview!$B$4:$R$338,MATCH(B1091,overview!$A$4:$A$338,0),MATCH(A1104,overview!$B$3:$R$3,0))</f>
        <v>0</v>
      </c>
    </row>
    <row r="1105" spans="1:2" hidden="1" x14ac:dyDescent="0.2">
      <c r="A1105" t="s">
        <v>15</v>
      </c>
      <c r="B1105" s="45" t="str">
        <f>INDEX(overview!$B$4:$R$338,MATCH(B1091,overview!$A$4:$A$338,0),MATCH(A1105,overview!$B$3:$R$3,0))</f>
        <v>Steam Methane Reforming, with CCS</v>
      </c>
    </row>
    <row r="1106" spans="1:2" hidden="1" x14ac:dyDescent="0.2">
      <c r="A1106" t="s">
        <v>14</v>
      </c>
      <c r="B1106" s="45" t="str">
        <f>INDEX(overview!$B$4:$R$338,MATCH(B1091,overview!$A$4:$A$338,0),MATCH(A1106,overview!$B$3:$R$3,0))</f>
        <v>natural gas</v>
      </c>
    </row>
    <row r="1107" spans="1:2" hidden="1" x14ac:dyDescent="0.2">
      <c r="A1107" t="s">
        <v>26</v>
      </c>
      <c r="B1107" s="45" t="str">
        <f>INDEX(overview!$B$4:$R$338,MATCH(B1091,overview!$A$4:$A$338,0),MATCH(A1107,overview!$B$3:$R$3,0))</f>
        <v>Switzerland</v>
      </c>
    </row>
    <row r="1108" spans="1:2" hidden="1" x14ac:dyDescent="0.2">
      <c r="A1108" t="s">
        <v>29</v>
      </c>
      <c r="B1108" s="45">
        <f>INDEX(overview!$B$4:$R$338,MATCH(B1091,overview!$A$4:$A$338,0),MATCH(A1108,overview!$B$3:$R$3,0))</f>
        <v>0</v>
      </c>
    </row>
    <row r="1109" spans="1:2" hidden="1" x14ac:dyDescent="0.2">
      <c r="A1109" t="str">
        <f>IF(B1093="megajoule","Heat","Electricity")&amp;" conversion efficiency [% LHV input]"</f>
        <v>Heat conversion efficiency [% LHV input]</v>
      </c>
      <c r="B1109" s="46">
        <f>INDEX(parameters!$D$4:$N$20,MATCH(B1097&amp;B1099,parameters!$A$4:$A$20,0),MATCH(A1109,parameters!$D$3:$N$3,0))</f>
        <v>0.5</v>
      </c>
    </row>
    <row r="1110" spans="1:2" hidden="1" x14ac:dyDescent="0.2">
      <c r="A1110" t="str">
        <f>IF(B1093="megajoule","LHV [MJ/kg]","LHV [kWh/kg]")</f>
        <v>LHV [MJ/kg]</v>
      </c>
      <c r="B1110" s="47">
        <f>INDEX(parameters!$D$4:$N$20,MATCH(B1097&amp;B1099,parameters!$A$4:$A$20,0),MATCH(A1110,parameters!$D$3:$N$3,0))</f>
        <v>120</v>
      </c>
    </row>
    <row r="1111" spans="1:2" hidden="1" x14ac:dyDescent="0.2">
      <c r="A1111" t="s">
        <v>41</v>
      </c>
      <c r="B1111" s="48">
        <f>INDEX(parameters!$D$4:$N$20,MATCH(B1097&amp;B1099,parameters!$A$4:$A$20,0),MATCH(A1111,parameters!$D$3:$N$3,0))</f>
        <v>2.6666666666666665E-2</v>
      </c>
    </row>
    <row r="1112" spans="1:2" hidden="1" x14ac:dyDescent="0.2">
      <c r="A1112" t="s">
        <v>45</v>
      </c>
      <c r="B1112" s="46">
        <f>INDEX(parameters!$D$4:$N$20,MATCH(B1097&amp;B1099,parameters!$A$4:$A$20,0),MATCH(A1112,parameters!$D$3:$N$3,0))</f>
        <v>0</v>
      </c>
    </row>
    <row r="1113" spans="1:2" hidden="1" x14ac:dyDescent="0.2">
      <c r="A1113" t="s">
        <v>46</v>
      </c>
      <c r="B1113" s="46">
        <f>INDEX(parameters!$D$4:$N$20,MATCH(B1097&amp;B1099,parameters!$A$4:$A$20,0),MATCH(A1113,parameters!$D$3:$N$3,0))</f>
        <v>1.4999999999999999E-2</v>
      </c>
    </row>
    <row r="1114" spans="1:2" hidden="1" x14ac:dyDescent="0.2">
      <c r="A1114" t="s">
        <v>43</v>
      </c>
      <c r="B1114" s="46">
        <f>INDEX(parameters!$D$4:$N$20,MATCH(B1097&amp;B1099,parameters!$A$4:$A$20,0),MATCH(A1114,parameters!$D$3:$N$3,0))</f>
        <v>0</v>
      </c>
    </row>
    <row r="1115" spans="1:2" hidden="1" x14ac:dyDescent="0.2">
      <c r="A1115" t="s">
        <v>44</v>
      </c>
      <c r="B1115" s="46">
        <f>INDEX(parameters!$D$4:$N$20,MATCH(B1097&amp;B1099,parameters!$A$4:$A$20,0),MATCH(A1115,parameters!$D$3:$N$3,0))</f>
        <v>0</v>
      </c>
    </row>
    <row r="1116" spans="1:2" hidden="1" x14ac:dyDescent="0.2">
      <c r="A1116" t="s">
        <v>634</v>
      </c>
      <c r="B1116" s="50">
        <f>INDEX(parameters!$D$4:$Y$20,MATCH(B1097&amp;B1099,parameters!$A$4:$A$20,0),MATCH(A1116,parameters!$D$3:$Y$3,0))</f>
        <v>1.8947368421052633</v>
      </c>
    </row>
    <row r="1117" spans="1:2" hidden="1" x14ac:dyDescent="0.2">
      <c r="A1117" t="s">
        <v>82</v>
      </c>
      <c r="B1117" s="46">
        <f>IF(B1108&lt;&gt;0,VLOOKUP(B1108,parameters!A767:B769,2,0),0)</f>
        <v>0</v>
      </c>
    </row>
    <row r="1118" spans="1:2" hidden="1" x14ac:dyDescent="0.2">
      <c r="A1118" t="s">
        <v>548</v>
      </c>
      <c r="B1118" s="50">
        <f>INDEX(parameters!$D$4:$P$20,MATCH(B1097&amp;B1099,parameters!$A$4:$A$20,0),MATCH(A1118,parameters!$D$3:$P$3,0))</f>
        <v>0.8</v>
      </c>
    </row>
    <row r="1119" spans="1:2" hidden="1" x14ac:dyDescent="0.2">
      <c r="A1119" t="s">
        <v>547</v>
      </c>
      <c r="B1119" s="51">
        <f>INDEX(parameters!$D$4:$P$20,MATCH(B1097&amp;B1099,parameters!$A$4:$A$20,0),MATCH(A1119,parameters!$D$3:$P$3,0))</f>
        <v>4.8780487804878048</v>
      </c>
    </row>
    <row r="1120" spans="1:2" hidden="1" x14ac:dyDescent="0.2">
      <c r="A1120" t="s">
        <v>630</v>
      </c>
      <c r="B1120" s="51">
        <f>INDEX(parameters!$D$4:$T$20,MATCH(B1097&amp;B1099,parameters!$A$4:$A$20,0),MATCH(A1120,parameters!$D$3:$T$3,0))</f>
        <v>4100</v>
      </c>
    </row>
    <row r="1121" spans="1:22" hidden="1" x14ac:dyDescent="0.2">
      <c r="A1121" t="s">
        <v>1005</v>
      </c>
      <c r="B1121" s="50">
        <f>IF(B1093="megajoule",SUMIFS(allocation!$I$4:$I$30,allocation!$B$4:$B$30,B1099,allocation!$C$4:$C$30,B1100),SUMIFS(allocation!$J$4:$J$30,allocation!$B$4:$B$30,B1099,allocation!$C$4:$C$30,B1100))</f>
        <v>0.13933980798974457</v>
      </c>
    </row>
    <row r="1122" spans="1:22" hidden="1" x14ac:dyDescent="0.2">
      <c r="A1122" t="s">
        <v>1050</v>
      </c>
      <c r="B1122" s="51">
        <f>INDEX(parameters!$D$4:$AB$20,MATCH(B1097&amp;B1099,parameters!$A$4:$A$20,0),MATCH(A1122,parameters!$D$3:$AB$3,0))</f>
        <v>10.221606648199446</v>
      </c>
    </row>
    <row r="1123" spans="1:22" hidden="1" x14ac:dyDescent="0.2"/>
    <row r="1124" spans="1:22" hidden="1" x14ac:dyDescent="0.2">
      <c r="A1124" s="3" t="s">
        <v>57</v>
      </c>
    </row>
    <row r="1125" spans="1:22" hidden="1" x14ac:dyDescent="0.2">
      <c r="A1125" s="2" t="s">
        <v>58</v>
      </c>
      <c r="B1125" s="44" t="s">
        <v>59</v>
      </c>
      <c r="C1125" s="2" t="s">
        <v>55</v>
      </c>
      <c r="D1125" s="2" t="s">
        <v>60</v>
      </c>
      <c r="E1125" s="2" t="s">
        <v>52</v>
      </c>
      <c r="F1125" s="2" t="s">
        <v>61</v>
      </c>
      <c r="G1125" s="2" t="s">
        <v>54</v>
      </c>
      <c r="H1125" s="2" t="s">
        <v>87</v>
      </c>
      <c r="I1125" s="2" t="s">
        <v>51</v>
      </c>
      <c r="J1125" s="2" t="s">
        <v>138</v>
      </c>
      <c r="K1125" s="2" t="s">
        <v>136</v>
      </c>
      <c r="L1125" s="2" t="s">
        <v>221</v>
      </c>
      <c r="M1125" s="2" t="s">
        <v>379</v>
      </c>
      <c r="N1125" s="2" t="s">
        <v>1059</v>
      </c>
      <c r="O1125" s="2" t="s">
        <v>1060</v>
      </c>
      <c r="P1125" s="2" t="s">
        <v>1061</v>
      </c>
      <c r="Q1125" s="2" t="s">
        <v>1062</v>
      </c>
      <c r="R1125" s="2" t="s">
        <v>1063</v>
      </c>
      <c r="S1125" s="2" t="s">
        <v>1064</v>
      </c>
      <c r="T1125" s="2" t="s">
        <v>1065</v>
      </c>
      <c r="U1125" s="2" t="s">
        <v>380</v>
      </c>
      <c r="V1125" s="2" t="s">
        <v>1128</v>
      </c>
    </row>
    <row r="1126" spans="1:22" x14ac:dyDescent="0.2">
      <c r="A1126" t="str">
        <f>B1087</f>
        <v>heat, residential, by conversion of hydrogen using fuel cell, PEM, allocated by exergy, transported by truck, produced by Steam Methane Reforming, with CCS using natural gas from Switzerland</v>
      </c>
      <c r="B1126" s="45">
        <v>1</v>
      </c>
      <c r="C1126" t="str">
        <f>B1093</f>
        <v>megajoule</v>
      </c>
      <c r="E1126" t="str">
        <f>B1090</f>
        <v>CH</v>
      </c>
      <c r="F1126" t="s">
        <v>62</v>
      </c>
      <c r="G1126" t="str">
        <f>B1092</f>
        <v>heat, from residential heating system</v>
      </c>
      <c r="K1126" t="str">
        <f>B1087</f>
        <v>heat, residential, by conversion of hydrogen using fuel cell, PEM, allocated by exergy, transported by truck, produced by Steam Methane Reforming, with CCS using natural gas from Switzerland</v>
      </c>
    </row>
    <row r="1127" spans="1:22" hidden="1" x14ac:dyDescent="0.2">
      <c r="A1127" t="str">
        <f>VLOOKUP(J1127,'dataset mapping'!$A$4:$E$69,2,0)</f>
        <v>fuel cell system assembly, 1 kWe, proton exchange membrane (PEM)</v>
      </c>
      <c r="B1127" s="52">
        <f>(1/(B1116*B1120*B1119*3.6))*B1121</f>
        <v>1.0213951974556892E-6</v>
      </c>
      <c r="C1127" t="str">
        <f>VLOOKUP(J1127,'dataset mapping'!$A$4:$E$69,5,0)</f>
        <v>unit</v>
      </c>
      <c r="E1127" t="str">
        <f>VLOOKUP(J1127,'dataset mapping'!$A$4:$E$69,4,0)</f>
        <v>GLO</v>
      </c>
      <c r="F1127" t="s">
        <v>86</v>
      </c>
      <c r="G1127" t="str">
        <f>VLOOKUP(J1127,'dataset mapping'!$A$4:$E$69,3,0)</f>
        <v>fuel cell system, 1 kWe, proton exchange membrane (PEM)</v>
      </c>
      <c r="H1127" t="s">
        <v>88</v>
      </c>
      <c r="I1127" t="s">
        <v>272</v>
      </c>
      <c r="J1127" t="s">
        <v>273</v>
      </c>
      <c r="K1127" t="str">
        <f>B1087</f>
        <v>heat, residential, by conversion of hydrogen using fuel cell, PEM, allocated by exergy, transported by truck, produced by Steam Methane Reforming, with CCS using natural gas from Switzerland</v>
      </c>
      <c r="L1127">
        <f t="shared" ref="L1127:L1130" si="71">IF(OR(B1127&lt;0,B1127=0),1,2)</f>
        <v>2</v>
      </c>
      <c r="M1127">
        <f t="shared" ref="M1127:M1130" si="72">IF(L1127=2,LN(B1127),"")</f>
        <v>-13.794341024667077</v>
      </c>
      <c r="N1127">
        <v>1</v>
      </c>
      <c r="O1127" s="15">
        <v>1.2</v>
      </c>
      <c r="P1127">
        <v>1</v>
      </c>
      <c r="Q1127">
        <v>1.01</v>
      </c>
      <c r="R1127">
        <v>1.2</v>
      </c>
      <c r="S1127">
        <v>1.2</v>
      </c>
      <c r="T1127">
        <v>3</v>
      </c>
      <c r="U1127">
        <f t="shared" ref="U1127:U1130" si="73">LN(SQRT(EXP(
SQRT(
+POWER(LN(N1127),2)
+POWER(LN(O1127),2)
+POWER(LN(P1127),2)
+POWER(LN(Q1127),2)
+POWER(LN(R1127),2)
+POWER(LN(S1127),2)
+POWER(LN(T1127),2)
)
)))</f>
        <v>0.57157051623399524</v>
      </c>
    </row>
    <row r="1128" spans="1:22" hidden="1" x14ac:dyDescent="0.2">
      <c r="A1128" s="45" t="str">
        <f>"hydrogen supply, transported by "&amp;B1101&amp;", produced by "&amp;B1105&amp;" using "&amp;B1106&amp;" from "&amp;B1107</f>
        <v>hydrogen supply, transported by truck, produced by Steam Methane Reforming, with CCS using natural gas from Switzerland</v>
      </c>
      <c r="B1128" s="53">
        <f>(B1126/B1110)/B1109*B1121</f>
        <v>2.3223301331624095E-3</v>
      </c>
      <c r="C1128" t="s">
        <v>56</v>
      </c>
      <c r="E1128" t="s">
        <v>64</v>
      </c>
      <c r="F1128" t="s">
        <v>86</v>
      </c>
      <c r="G1128" t="s">
        <v>1137</v>
      </c>
      <c r="H1128" t="s">
        <v>76</v>
      </c>
      <c r="I1128" t="s">
        <v>1054</v>
      </c>
      <c r="J1128" t="s">
        <v>306</v>
      </c>
      <c r="K1128" t="str">
        <f>B1087</f>
        <v>heat, residential, by conversion of hydrogen using fuel cell, PEM, allocated by exergy, transported by truck, produced by Steam Methane Reforming, with CCS using natural gas from Switzerland</v>
      </c>
      <c r="L1128">
        <f t="shared" si="71"/>
        <v>2</v>
      </c>
      <c r="M1128">
        <f t="shared" si="72"/>
        <v>-6.0651842296013152</v>
      </c>
      <c r="N1128">
        <v>1</v>
      </c>
      <c r="O1128" s="15">
        <v>1.2</v>
      </c>
      <c r="P1128">
        <v>1</v>
      </c>
      <c r="Q1128">
        <v>1.01</v>
      </c>
      <c r="R1128">
        <v>1.2</v>
      </c>
      <c r="S1128">
        <v>1.2</v>
      </c>
      <c r="T1128">
        <v>1.05</v>
      </c>
      <c r="U1128">
        <f t="shared" si="73"/>
        <v>0.15984597228197622</v>
      </c>
    </row>
    <row r="1129" spans="1:22" hidden="1" x14ac:dyDescent="0.2">
      <c r="A1129" t="str">
        <f>VLOOKUP(J1129,'dataset mapping'!$A$4:$E$69,2,0)</f>
        <v>high pressure hydrogen storage tank</v>
      </c>
      <c r="B1129" s="52">
        <f>((B1122/10)/(B1120*B1116*20*3.6))*IF(B1121&lt;&gt;0,B1121,1)</f>
        <v>2.5464146196956242E-7</v>
      </c>
      <c r="C1129" t="str">
        <f>VLOOKUP(J1129,'dataset mapping'!$A$4:$E$69,5,0)</f>
        <v>kilogram</v>
      </c>
      <c r="E1129" t="str">
        <f>VLOOKUP(J1129,'dataset mapping'!$A$4:$E$69,4,0)</f>
        <v>GLO</v>
      </c>
      <c r="F1129" t="s">
        <v>86</v>
      </c>
      <c r="G1129" t="str">
        <f>VLOOKUP(J1129,'dataset mapping'!$A$4:$E$69,3,0)</f>
        <v>high pressure hydrogen storage tank</v>
      </c>
      <c r="H1129" t="s">
        <v>88</v>
      </c>
      <c r="I1129" t="s">
        <v>280</v>
      </c>
      <c r="J1129" t="s">
        <v>229</v>
      </c>
      <c r="K1129" t="str">
        <f>B1087</f>
        <v>heat, residential, by conversion of hydrogen using fuel cell, PEM, allocated by exergy, transported by truck, produced by Steam Methane Reforming, with CCS using natural gas from Switzerland</v>
      </c>
      <c r="L1129">
        <f t="shared" si="71"/>
        <v>2</v>
      </c>
      <c r="M1129">
        <f t="shared" si="72"/>
        <v>-15.183409312669692</v>
      </c>
      <c r="N1129">
        <v>1</v>
      </c>
      <c r="O1129" s="15">
        <v>1.2</v>
      </c>
      <c r="P1129">
        <v>1</v>
      </c>
      <c r="Q1129">
        <v>1.01</v>
      </c>
      <c r="R1129">
        <v>1.2</v>
      </c>
      <c r="S1129">
        <v>1.2</v>
      </c>
      <c r="T1129">
        <v>3</v>
      </c>
      <c r="U1129">
        <f t="shared" si="73"/>
        <v>0.57157051623399524</v>
      </c>
    </row>
    <row r="1130" spans="1:22" hidden="1" x14ac:dyDescent="0.2">
      <c r="A1130" t="s">
        <v>134</v>
      </c>
      <c r="B1130" s="45">
        <f>B1128*9</f>
        <v>2.0900971198461685E-2</v>
      </c>
      <c r="C1130" t="s">
        <v>56</v>
      </c>
      <c r="D1130" t="s">
        <v>100</v>
      </c>
      <c r="F1130" t="s">
        <v>99</v>
      </c>
      <c r="H1130" t="s">
        <v>131</v>
      </c>
      <c r="I1130" t="s">
        <v>1057</v>
      </c>
      <c r="K1130" t="str">
        <f>B1087</f>
        <v>heat, residential, by conversion of hydrogen using fuel cell, PEM, allocated by exergy, transported by truck, produced by Steam Methane Reforming, with CCS using natural gas from Switzerland</v>
      </c>
      <c r="L1130">
        <f t="shared" si="71"/>
        <v>2</v>
      </c>
      <c r="M1130">
        <f t="shared" si="72"/>
        <v>-3.8679596522650961</v>
      </c>
      <c r="N1130">
        <v>1</v>
      </c>
      <c r="O1130" s="15">
        <v>1.2</v>
      </c>
      <c r="P1130">
        <v>1</v>
      </c>
      <c r="Q1130">
        <v>1.01</v>
      </c>
      <c r="R1130">
        <v>1.2</v>
      </c>
      <c r="S1130">
        <v>1.2</v>
      </c>
      <c r="T1130">
        <v>1.05</v>
      </c>
      <c r="U1130">
        <f t="shared" si="73"/>
        <v>0.15984597228197622</v>
      </c>
    </row>
    <row r="1131" spans="1:22" hidden="1" x14ac:dyDescent="0.2"/>
    <row r="1132" spans="1:22" hidden="1" x14ac:dyDescent="0.2">
      <c r="A1132" s="2" t="s">
        <v>50</v>
      </c>
      <c r="B1132" s="44" t="str">
        <f>IF(B1138="megajoule","heat","electricity")&amp;", residential, by "&amp;B1143&amp;" of "&amp;B1142&amp;" using "&amp;B1144&amp;IF(B1145&lt;&gt;0,", allocated by "&amp;B1145,"")&amp;", transported by "&amp;B1146&amp;", produced by "&amp;B1150&amp;" using "&amp;B1151&amp;" from "&amp;B1152</f>
        <v>heat, residential, by conversion of hydrogen using fuel cell, SOFC, allocated by exergy, transported by truck, produced by Steam Methane Reforming, with CCS using natural gas from Switzerland</v>
      </c>
    </row>
    <row r="1133" spans="1:22" hidden="1" x14ac:dyDescent="0.2">
      <c r="A1133" t="s">
        <v>51</v>
      </c>
      <c r="B1133" s="45" t="str">
        <f>"This dataset represents the supply of 1 "&amp;IF(B1138="megajoule","megajoule of heat","kilowatt hour of electricity")&amp;" in a residence, by "&amp;B1142&amp;" "&amp;B1143&amp;" in a "&amp;B1144&amp;". "&amp;" The hydrogen is transported by "&amp;B1146&amp;" over "&amp;B1147&amp;" km from regional storage. "&amp;" The "&amp;B1142&amp;" is produced by  "&amp;B1150&amp;", with "&amp;B1151&amp;" from "&amp;B1152&amp;" as feedstock. "&amp;A1154&amp;": "&amp;(B1154*100)&amp;"%. "&amp;A1155&amp;": "&amp;B1155&amp;". "&amp;A1156&amp;": "&amp;B1156&amp;". "&amp;A1157&amp;": "&amp;(B1157*100)&amp;"%. "&amp;A1158&amp;": "&amp;(B1158*100)&amp;"%. "&amp;A1159&amp;": "&amp;(B1159*100)&amp;"%. "&amp;A1160&amp;": "&amp;B1160&amp;". "&amp;A1161&amp;": "&amp;B1161&amp;". "&amp;A1162&amp;": "&amp;(B1162*100)&amp;"%. "&amp;A1163&amp;": "&amp;B1163&amp;". "&amp;A1164&amp;": "&amp;B1164&amp;". "&amp;A1165&amp;": "&amp;B1165&amp;". "&amp;A1166&amp;": "&amp;B1166&amp;".  For more information, refer to: "&amp;B1134</f>
        <v>This dataset represents the supply of 1 megajoule of heat in a residence, by hydrogen conversion in a fuel cell, SOFC.  The hydrogen is transported by truck over 200 km from regional storage.  The hydrogen is produced by  Steam Methane Reforming, with CCS,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134" spans="1:22" hidden="1" x14ac:dyDescent="0.2">
      <c r="A1134" t="s">
        <v>63</v>
      </c>
      <c r="B1134" s="45" t="s">
        <v>660</v>
      </c>
    </row>
    <row r="1135" spans="1:22" hidden="1" x14ac:dyDescent="0.2">
      <c r="A1135" t="s">
        <v>52</v>
      </c>
      <c r="B1135" s="45" t="s">
        <v>64</v>
      </c>
    </row>
    <row r="1136" spans="1:22" hidden="1" x14ac:dyDescent="0.2">
      <c r="A1136" t="s">
        <v>48</v>
      </c>
      <c r="B1136" s="45">
        <v>144</v>
      </c>
    </row>
    <row r="1137" spans="1:2" hidden="1" x14ac:dyDescent="0.2">
      <c r="A1137" t="s">
        <v>54</v>
      </c>
      <c r="B1137" s="45" t="str">
        <f>INDEX(overview!$B$4:$R$338,MATCH(B1136,overview!$A$4:$A$338,0),MATCH(A1137,overview!$B$3:$R$3,0))</f>
        <v>heat, from residential heating system</v>
      </c>
    </row>
    <row r="1138" spans="1:2" hidden="1" x14ac:dyDescent="0.2">
      <c r="A1138" t="s">
        <v>55</v>
      </c>
      <c r="B1138" s="45" t="str">
        <f>INDEX(overview!$B$4:$R$338,MATCH(B1136,overview!$A$4:$A$338,0),MATCH(A1138,overview!$B$3:$R$3,0))</f>
        <v>megajoule</v>
      </c>
    </row>
    <row r="1139" spans="1:2" hidden="1" x14ac:dyDescent="0.2">
      <c r="A1139" t="s">
        <v>0</v>
      </c>
      <c r="B1139" s="45" t="str">
        <f>INDEX(overview!$B$4:$R$338,MATCH(B1136,overview!$A$4:$A$338,0),MATCH(A1139,overview!$B$3:$R$3,0))</f>
        <v>Switzerland</v>
      </c>
    </row>
    <row r="1140" spans="1:2" hidden="1" x14ac:dyDescent="0.2">
      <c r="A1140" t="s">
        <v>1</v>
      </c>
      <c r="B1140" s="45">
        <f>INDEX(overview!$B$4:$R$338,MATCH(B1136,overview!$A$4:$A$338,0),MATCH(A1140,overview!$B$3:$R$3,0))</f>
        <v>2020</v>
      </c>
    </row>
    <row r="1141" spans="1:2" hidden="1" x14ac:dyDescent="0.2">
      <c r="A1141" t="s">
        <v>2</v>
      </c>
      <c r="B1141" s="45" t="str">
        <f>INDEX(overview!$B$4:$R$338,MATCH(B1136,overview!$A$4:$A$338,0),MATCH(A1141,overview!$B$3:$R$3,0))</f>
        <v>1 MJ heat</v>
      </c>
    </row>
    <row r="1142" spans="1:2" hidden="1" x14ac:dyDescent="0.2">
      <c r="A1142" t="s">
        <v>5</v>
      </c>
      <c r="B1142" s="45" t="str">
        <f>INDEX(overview!$B$4:$R$338,MATCH(B1136,overview!$A$4:$A$338,0),MATCH(A1142,overview!$B$3:$R$3,0))</f>
        <v>hydrogen</v>
      </c>
    </row>
    <row r="1143" spans="1:2" hidden="1" x14ac:dyDescent="0.2">
      <c r="A1143" t="s">
        <v>3</v>
      </c>
      <c r="B1143" s="45" t="str">
        <f>INDEX(overview!$B$4:$R$338,MATCH(B1136,overview!$A$4:$A$338,0),MATCH(A1143,overview!$B$3:$R$3,0))</f>
        <v>conversion</v>
      </c>
    </row>
    <row r="1144" spans="1:2" hidden="1" x14ac:dyDescent="0.2">
      <c r="A1144" t="s">
        <v>6</v>
      </c>
      <c r="B1144" s="45" t="str">
        <f>INDEX(overview!$B$4:$R$338,MATCH(B1136,overview!$A$4:$A$338,0),MATCH(A1144,overview!$B$3:$R$3,0))</f>
        <v>fuel cell, SOFC</v>
      </c>
    </row>
    <row r="1145" spans="1:2" hidden="1" x14ac:dyDescent="0.2">
      <c r="A1145" t="s">
        <v>39</v>
      </c>
      <c r="B1145" s="45" t="str">
        <f>INDEX(overview!$B$4:$R$338,MATCH(B1136,overview!$A$4:$A$338,0),MATCH(A1145,overview!$B$3:$R$3,0))</f>
        <v>exergy</v>
      </c>
    </row>
    <row r="1146" spans="1:2" hidden="1" x14ac:dyDescent="0.2">
      <c r="A1146" t="s">
        <v>4</v>
      </c>
      <c r="B1146" s="45" t="str">
        <f>INDEX(overview!$B$4:$R$338,MATCH(B1136,overview!$A$4:$A$338,0),MATCH(A1146,overview!$B$3:$R$3,0))</f>
        <v>truck</v>
      </c>
    </row>
    <row r="1147" spans="1:2" hidden="1" x14ac:dyDescent="0.2">
      <c r="A1147" t="s">
        <v>38</v>
      </c>
      <c r="B1147" s="45">
        <f>INDEX(overview!$B$4:$R$338,MATCH(B1136,overview!$A$4:$A$338,0),MATCH(A1147,overview!$B$3:$R$3,0))</f>
        <v>200</v>
      </c>
    </row>
    <row r="1148" spans="1:2" hidden="1" x14ac:dyDescent="0.2">
      <c r="A1148" t="s">
        <v>12</v>
      </c>
      <c r="B1148" s="45" t="str">
        <f>INDEX(overview!$B$4:$R$338,MATCH(B1136,overview!$A$4:$A$338,0),MATCH(A1148,overview!$B$3:$R$3,0))</f>
        <v>Pressure vessel for stationary storage</v>
      </c>
    </row>
    <row r="1149" spans="1:2" hidden="1" x14ac:dyDescent="0.2">
      <c r="A1149" t="s">
        <v>34</v>
      </c>
      <c r="B1149" s="45">
        <f>INDEX(overview!$B$4:$R$338,MATCH(B1136,overview!$A$4:$A$338,0),MATCH(A1149,overview!$B$3:$R$3,0))</f>
        <v>0</v>
      </c>
    </row>
    <row r="1150" spans="1:2" hidden="1" x14ac:dyDescent="0.2">
      <c r="A1150" t="s">
        <v>15</v>
      </c>
      <c r="B1150" s="45" t="str">
        <f>INDEX(overview!$B$4:$R$338,MATCH(B1136,overview!$A$4:$A$338,0),MATCH(A1150,overview!$B$3:$R$3,0))</f>
        <v>Steam Methane Reforming, with CCS</v>
      </c>
    </row>
    <row r="1151" spans="1:2" hidden="1" x14ac:dyDescent="0.2">
      <c r="A1151" t="s">
        <v>14</v>
      </c>
      <c r="B1151" s="45" t="str">
        <f>INDEX(overview!$B$4:$R$338,MATCH(B1136,overview!$A$4:$A$338,0),MATCH(A1151,overview!$B$3:$R$3,0))</f>
        <v>natural gas</v>
      </c>
    </row>
    <row r="1152" spans="1:2" hidden="1" x14ac:dyDescent="0.2">
      <c r="A1152" t="s">
        <v>26</v>
      </c>
      <c r="B1152" s="45" t="str">
        <f>INDEX(overview!$B$4:$R$338,MATCH(B1136,overview!$A$4:$A$338,0),MATCH(A1152,overview!$B$3:$R$3,0))</f>
        <v>Switzerland</v>
      </c>
    </row>
    <row r="1153" spans="1:4" hidden="1" x14ac:dyDescent="0.2">
      <c r="A1153" t="s">
        <v>29</v>
      </c>
      <c r="B1153" s="45">
        <f>INDEX(overview!$B$4:$R$338,MATCH(B1136,overview!$A$4:$A$338,0),MATCH(A1153,overview!$B$3:$R$3,0))</f>
        <v>0</v>
      </c>
    </row>
    <row r="1154" spans="1:4" hidden="1" x14ac:dyDescent="0.2">
      <c r="A1154" t="str">
        <f>IF(B1138="megajoule","Heat","Electricity")&amp;" conversion efficiency [% LHV input]"</f>
        <v>Heat conversion efficiency [% LHV input]</v>
      </c>
      <c r="B1154" s="46">
        <f>INDEX(parameters!$D$4:$N$20,MATCH(B1142&amp;B1144,parameters!$A$4:$A$20,0),MATCH(A1154,parameters!$D$3:$N$3,0))</f>
        <v>0.53</v>
      </c>
    </row>
    <row r="1155" spans="1:4" hidden="1" x14ac:dyDescent="0.2">
      <c r="A1155" t="str">
        <f>IF(B1138="megajoule","LHV [MJ/kg]","LHV [kWh/kg]")</f>
        <v>LHV [MJ/kg]</v>
      </c>
      <c r="B1155" s="47">
        <f>INDEX(parameters!$D$4:$N$20,MATCH(B1142&amp;B1144,parameters!$A$4:$A$20,0),MATCH(A1155,parameters!$D$3:$N$3,0))</f>
        <v>120</v>
      </c>
    </row>
    <row r="1156" spans="1:4" hidden="1" x14ac:dyDescent="0.2">
      <c r="A1156" t="s">
        <v>41</v>
      </c>
      <c r="B1156" s="48">
        <f>INDEX(parameters!$D$4:$N$20,MATCH(B1142&amp;B1144,parameters!$A$4:$A$20,0),MATCH(A1156,parameters!$D$3:$N$3,0))</f>
        <v>2.6666666666666665E-2</v>
      </c>
    </row>
    <row r="1157" spans="1:4" hidden="1" x14ac:dyDescent="0.2">
      <c r="A1157" t="s">
        <v>45</v>
      </c>
      <c r="B1157" s="46">
        <f>INDEX(parameters!$D$4:$N$20,MATCH(B1142&amp;B1144,parameters!$A$4:$A$20,0),MATCH(A1157,parameters!$D$3:$N$3,0))</f>
        <v>0</v>
      </c>
    </row>
    <row r="1158" spans="1:4" hidden="1" x14ac:dyDescent="0.2">
      <c r="A1158" t="s">
        <v>46</v>
      </c>
      <c r="B1158" s="46">
        <f>INDEX(parameters!$D$4:$N$20,MATCH(B1142&amp;B1144,parameters!$A$4:$A$20,0),MATCH(A1158,parameters!$D$3:$N$3,0))</f>
        <v>1.4999999999999999E-2</v>
      </c>
    </row>
    <row r="1159" spans="1:4" hidden="1" x14ac:dyDescent="0.2">
      <c r="A1159" t="s">
        <v>43</v>
      </c>
      <c r="B1159" s="46">
        <f>INDEX(parameters!$D$4:$N$20,MATCH(B1142&amp;B1144,parameters!$A$4:$A$20,0),MATCH(A1159,parameters!$D$3:$N$3,0))</f>
        <v>0</v>
      </c>
    </row>
    <row r="1160" spans="1:4" hidden="1" x14ac:dyDescent="0.2">
      <c r="A1160" t="s">
        <v>44</v>
      </c>
      <c r="B1160" s="46">
        <f>INDEX(parameters!$D$4:$N$20,MATCH(B1142&amp;B1144,parameters!$A$4:$A$20,0),MATCH(A1160,parameters!$D$3:$N$3,0))</f>
        <v>0</v>
      </c>
    </row>
    <row r="1161" spans="1:4" hidden="1" x14ac:dyDescent="0.2">
      <c r="A1161" t="s">
        <v>634</v>
      </c>
      <c r="B1161" s="50">
        <f>INDEX(parameters!$D$4:$Y$20,MATCH(B1142&amp;B1144,parameters!$A$4:$A$20,0),MATCH(A1161,parameters!$D$3:$Y$3,0))</f>
        <v>225</v>
      </c>
      <c r="D1161" s="8"/>
    </row>
    <row r="1162" spans="1:4" hidden="1" x14ac:dyDescent="0.2">
      <c r="A1162" t="s">
        <v>82</v>
      </c>
      <c r="B1162" s="46">
        <f>IF(B1153&lt;&gt;0,VLOOKUP(B1153,parameters!A815:B817,2,0),0)</f>
        <v>0</v>
      </c>
    </row>
    <row r="1163" spans="1:4" hidden="1" x14ac:dyDescent="0.2">
      <c r="A1163" t="s">
        <v>548</v>
      </c>
      <c r="B1163" s="50">
        <f>INDEX(parameters!$D$4:$P$20,MATCH(B1142&amp;B1144,parameters!$A$4:$A$20,0),MATCH(A1163,parameters!$D$3:$P$3,0))</f>
        <v>100</v>
      </c>
    </row>
    <row r="1164" spans="1:4" hidden="1" x14ac:dyDescent="0.2">
      <c r="A1164" t="s">
        <v>547</v>
      </c>
      <c r="B1164" s="51">
        <f>INDEX(parameters!$D$4:$P$20,MATCH(B1142&amp;B1144,parameters!$A$4:$A$20,0),MATCH(A1164,parameters!$D$3:$P$3,0))</f>
        <v>6</v>
      </c>
    </row>
    <row r="1165" spans="1:4" hidden="1" x14ac:dyDescent="0.2">
      <c r="A1165" t="s">
        <v>630</v>
      </c>
      <c r="B1165" s="51">
        <f>INDEX(parameters!$D$4:$T$20,MATCH(B1142&amp;B1144,parameters!$A$4:$A$20,0),MATCH(A1165,parameters!$D$3:$T$3,0))</f>
        <v>4100</v>
      </c>
    </row>
    <row r="1166" spans="1:4" hidden="1" x14ac:dyDescent="0.2">
      <c r="A1166" t="s">
        <v>1005</v>
      </c>
      <c r="B1166" s="50">
        <f>IF(B1138="megajoule",SUMIFS(allocation!$I$4:$I$30,allocation!$B$4:$B$30,B1144,allocation!$C$4:$C$30,B1145),SUMIFS(allocation!$J$4:$J$30,allocation!$B$4:$B$30,B1144,allocation!$C$4:$C$30,B1145))</f>
        <v>0.13587506510399097</v>
      </c>
    </row>
    <row r="1167" spans="1:4" hidden="1" x14ac:dyDescent="0.2">
      <c r="A1167" t="s">
        <v>1050</v>
      </c>
      <c r="B1167" s="51">
        <f>INDEX(parameters!$D$4:$AB$20,MATCH(B1142&amp;B1144,parameters!$A$4:$A$20,0),MATCH(A1167,parameters!$D$3:$AB$3,0))</f>
        <v>1153.1249999999998</v>
      </c>
    </row>
    <row r="1168" spans="1:4" hidden="1" x14ac:dyDescent="0.2"/>
    <row r="1169" spans="1:22" hidden="1" x14ac:dyDescent="0.2">
      <c r="A1169" s="3" t="s">
        <v>57</v>
      </c>
    </row>
    <row r="1170" spans="1:22" hidden="1" x14ac:dyDescent="0.2">
      <c r="A1170" s="2" t="s">
        <v>58</v>
      </c>
      <c r="B1170" s="44" t="s">
        <v>59</v>
      </c>
      <c r="C1170" s="2" t="s">
        <v>55</v>
      </c>
      <c r="D1170" s="2" t="s">
        <v>60</v>
      </c>
      <c r="E1170" s="2" t="s">
        <v>52</v>
      </c>
      <c r="F1170" s="2" t="s">
        <v>61</v>
      </c>
      <c r="G1170" s="2" t="s">
        <v>54</v>
      </c>
      <c r="H1170" s="2" t="s">
        <v>87</v>
      </c>
      <c r="I1170" s="2" t="s">
        <v>51</v>
      </c>
      <c r="J1170" s="2" t="s">
        <v>138</v>
      </c>
      <c r="K1170" s="2" t="s">
        <v>136</v>
      </c>
      <c r="L1170" s="2" t="s">
        <v>221</v>
      </c>
      <c r="M1170" s="2" t="s">
        <v>379</v>
      </c>
      <c r="N1170" s="2" t="s">
        <v>1059</v>
      </c>
      <c r="O1170" s="2" t="s">
        <v>1060</v>
      </c>
      <c r="P1170" s="2" t="s">
        <v>1061</v>
      </c>
      <c r="Q1170" s="2" t="s">
        <v>1062</v>
      </c>
      <c r="R1170" s="2" t="s">
        <v>1063</v>
      </c>
      <c r="S1170" s="2" t="s">
        <v>1064</v>
      </c>
      <c r="T1170" s="2" t="s">
        <v>1065</v>
      </c>
      <c r="U1170" s="2" t="s">
        <v>380</v>
      </c>
      <c r="V1170" s="2" t="s">
        <v>1128</v>
      </c>
    </row>
    <row r="1171" spans="1:22" x14ac:dyDescent="0.2">
      <c r="A1171" t="str">
        <f>B1132</f>
        <v>heat, residential, by conversion of hydrogen using fuel cell, SOFC, allocated by exergy, transported by truck, produced by Steam Methane Reforming, with CCS using natural gas from Switzerland</v>
      </c>
      <c r="B1171" s="45">
        <v>1</v>
      </c>
      <c r="C1171" t="str">
        <f>B1138</f>
        <v>megajoule</v>
      </c>
      <c r="E1171" t="str">
        <f>B1135</f>
        <v>CH</v>
      </c>
      <c r="F1171" t="s">
        <v>62</v>
      </c>
      <c r="G1171" t="str">
        <f>B1137</f>
        <v>heat, from residential heating system</v>
      </c>
      <c r="K1171" t="str">
        <f>B1132</f>
        <v>heat, residential, by conversion of hydrogen using fuel cell, SOFC, allocated by exergy, transported by truck, produced by Steam Methane Reforming, with CCS using natural gas from Switzerland</v>
      </c>
    </row>
    <row r="1172" spans="1:22" hidden="1" x14ac:dyDescent="0.2">
      <c r="A1172" t="str">
        <f>VLOOKUP(J1172,'dataset mapping'!$A$4:$E$69,2,0)</f>
        <v>fuel cell production, stack solid oxide, 125kW electrical, future</v>
      </c>
      <c r="B1172" s="52">
        <f>1/(62*1000000)/B1154*SUMIFS(allocation!$I$4:$I$30,allocation!$B$4:$B$30,B1144,allocation!$C$4:$C$30,B1145)</f>
        <v>4.1349685059035601E-9</v>
      </c>
      <c r="C1172" t="str">
        <f>VLOOKUP(J1172,'dataset mapping'!$A$4:$E$69,5,0)</f>
        <v>unit</v>
      </c>
      <c r="E1172" t="str">
        <f>VLOOKUP(J1172,'dataset mapping'!$A$4:$E$69,4,0)</f>
        <v>CH</v>
      </c>
      <c r="F1172" t="s">
        <v>86</v>
      </c>
      <c r="G1172" t="str">
        <f>VLOOKUP(J1172,'dataset mapping'!$A$4:$E$69,3,0)</f>
        <v>fuel cell, stack solid oxide, 125kW electrical, future</v>
      </c>
      <c r="H1172" t="s">
        <v>88</v>
      </c>
      <c r="I1172" t="s">
        <v>277</v>
      </c>
      <c r="J1172" t="s">
        <v>274</v>
      </c>
      <c r="K1172" t="str">
        <f>B1132</f>
        <v>heat, residential, by conversion of hydrogen using fuel cell, SOFC, allocated by exergy, transported by truck, produced by Steam Methane Reforming, with CCS using natural gas from Switzerland</v>
      </c>
      <c r="L1172">
        <f t="shared" ref="L1172:L1178" si="74">IF(OR(B1172&lt;0,B1172=0),1,2)</f>
        <v>2</v>
      </c>
      <c r="M1172">
        <f t="shared" ref="M1172:M1178" si="75">IF(L1172=2,LN(B1172),"")</f>
        <v>-19.303786124968067</v>
      </c>
      <c r="N1172">
        <v>1</v>
      </c>
      <c r="O1172" s="15">
        <v>1.2</v>
      </c>
      <c r="P1172">
        <v>1</v>
      </c>
      <c r="Q1172">
        <v>1.01</v>
      </c>
      <c r="R1172">
        <v>1.2</v>
      </c>
      <c r="S1172">
        <v>1.2</v>
      </c>
      <c r="T1172">
        <v>3</v>
      </c>
      <c r="U1172">
        <f t="shared" ref="U1172:U1178" si="76">LN(SQRT(EXP(
SQRT(
+POWER(LN(N1172),2)
+POWER(LN(O1172),2)
+POWER(LN(P1172),2)
+POWER(LN(Q1172),2)
+POWER(LN(R1172),2)
+POWER(LN(S1172),2)
+POWER(LN(T1172),2)
)
)))</f>
        <v>0.57157051623399524</v>
      </c>
    </row>
    <row r="1173" spans="1:22" hidden="1" x14ac:dyDescent="0.2">
      <c r="A1173" t="s">
        <v>283</v>
      </c>
      <c r="B1173" s="52">
        <f>0.000000145/B1154*SUMIFS(allocation!$I$4:$I$30,allocation!$B$4:$B$30,B1144,allocation!$C$4:$C$30,B1145)</f>
        <v>3.7173366868072996E-8</v>
      </c>
      <c r="C1173" t="s">
        <v>55</v>
      </c>
      <c r="E1173" t="s">
        <v>64</v>
      </c>
      <c r="F1173" t="s">
        <v>86</v>
      </c>
      <c r="G1173" t="s">
        <v>284</v>
      </c>
      <c r="H1173" t="s">
        <v>88</v>
      </c>
      <c r="I1173" t="s">
        <v>277</v>
      </c>
      <c r="K1173" t="str">
        <f>B1132</f>
        <v>heat, residential, by conversion of hydrogen using fuel cell, SOFC, allocated by exergy, transported by truck, produced by Steam Methane Reforming, with CCS using natural gas from Switzerland</v>
      </c>
      <c r="L1173">
        <f t="shared" si="74"/>
        <v>2</v>
      </c>
      <c r="M1173">
        <f t="shared" si="75"/>
        <v>-17.107673276484537</v>
      </c>
      <c r="N1173">
        <v>1</v>
      </c>
      <c r="O1173" s="15">
        <v>1.2</v>
      </c>
      <c r="P1173">
        <v>1</v>
      </c>
      <c r="Q1173">
        <v>1.01</v>
      </c>
      <c r="R1173">
        <v>1.2</v>
      </c>
      <c r="S1173">
        <v>1.2</v>
      </c>
      <c r="T1173">
        <v>3</v>
      </c>
      <c r="U1173">
        <f t="shared" si="76"/>
        <v>0.57157051623399524</v>
      </c>
    </row>
    <row r="1174" spans="1:22" hidden="1" x14ac:dyDescent="0.2">
      <c r="A1174" t="s">
        <v>285</v>
      </c>
      <c r="B1174" s="52">
        <f>0.0000000115/B1154*SUMIFS(allocation!$I$4:$I$30,allocation!$B$4:$B$30,B1144,allocation!$C$4:$C$30,B1145)</f>
        <v>2.9482325447092381E-9</v>
      </c>
      <c r="C1174" t="s">
        <v>55</v>
      </c>
      <c r="E1174" t="s">
        <v>90</v>
      </c>
      <c r="F1174" t="s">
        <v>86</v>
      </c>
      <c r="G1174" t="s">
        <v>286</v>
      </c>
      <c r="H1174" t="s">
        <v>88</v>
      </c>
      <c r="K1174" t="str">
        <f>B1132</f>
        <v>heat, residential, by conversion of hydrogen using fuel cell, SOFC, allocated by exergy, transported by truck, produced by Steam Methane Reforming, with CCS using natural gas from Switzerland</v>
      </c>
      <c r="L1174">
        <f t="shared" si="74"/>
        <v>2</v>
      </c>
      <c r="M1174">
        <f t="shared" si="75"/>
        <v>-19.642059983535908</v>
      </c>
      <c r="N1174">
        <v>1</v>
      </c>
      <c r="O1174" s="15">
        <v>1.2</v>
      </c>
      <c r="P1174">
        <v>1</v>
      </c>
      <c r="Q1174">
        <v>1.01</v>
      </c>
      <c r="R1174">
        <v>1.2</v>
      </c>
      <c r="S1174">
        <v>1.2</v>
      </c>
      <c r="T1174">
        <v>3</v>
      </c>
      <c r="U1174">
        <f t="shared" si="76"/>
        <v>0.57157051623399524</v>
      </c>
    </row>
    <row r="1175" spans="1:22" hidden="1" x14ac:dyDescent="0.2">
      <c r="A1175" t="s">
        <v>288</v>
      </c>
      <c r="B1175" s="52">
        <f>0.000024/B1154*SUMIFS(allocation!$I$4:$I$30,allocation!$B$4:$B$30,B1144,allocation!$C$4:$C$30,B1145)</f>
        <v>6.152833136784497E-6</v>
      </c>
      <c r="C1175" t="s">
        <v>56</v>
      </c>
      <c r="E1175" t="s">
        <v>64</v>
      </c>
      <c r="F1175" t="s">
        <v>86</v>
      </c>
      <c r="G1175" t="s">
        <v>287</v>
      </c>
      <c r="H1175" t="s">
        <v>88</v>
      </c>
      <c r="K1175" t="str">
        <f>B1132</f>
        <v>heat, residential, by conversion of hydrogen using fuel cell, SOFC, allocated by exergy, transported by truck, produced by Steam Methane Reforming, with CCS using natural gas from Switzerland</v>
      </c>
      <c r="L1175">
        <f t="shared" si="74"/>
        <v>2</v>
      </c>
      <c r="M1175">
        <f t="shared" si="75"/>
        <v>-11.998597909575029</v>
      </c>
      <c r="N1175">
        <v>1</v>
      </c>
      <c r="O1175" s="15">
        <v>1.2</v>
      </c>
      <c r="P1175">
        <v>1</v>
      </c>
      <c r="Q1175">
        <v>1.01</v>
      </c>
      <c r="R1175">
        <v>1.2</v>
      </c>
      <c r="S1175">
        <v>1.2</v>
      </c>
      <c r="T1175">
        <v>1.05</v>
      </c>
      <c r="U1175">
        <f t="shared" si="76"/>
        <v>0.15984597228197622</v>
      </c>
    </row>
    <row r="1176" spans="1:22" hidden="1" x14ac:dyDescent="0.2">
      <c r="A1176" s="45" t="str">
        <f>"hydrogen supply, transported by "&amp;B1146&amp;", produced by "&amp;B1150&amp;" using "&amp;B1151&amp;" from "&amp;B1152</f>
        <v>hydrogen supply, transported by truck, produced by Steam Methane Reforming, with CCS using natural gas from Switzerland</v>
      </c>
      <c r="B1176" s="53">
        <f>(B1171/B1155)/B1154*B1166</f>
        <v>2.1364003947168392E-3</v>
      </c>
      <c r="C1176" t="s">
        <v>56</v>
      </c>
      <c r="E1176" t="s">
        <v>64</v>
      </c>
      <c r="F1176" t="s">
        <v>86</v>
      </c>
      <c r="G1176" t="s">
        <v>1137</v>
      </c>
      <c r="H1176" t="s">
        <v>76</v>
      </c>
      <c r="I1176" t="s">
        <v>1054</v>
      </c>
      <c r="J1176" t="s">
        <v>306</v>
      </c>
      <c r="K1176" t="str">
        <f>B1132</f>
        <v>heat, residential, by conversion of hydrogen using fuel cell, SOFC, allocated by exergy, transported by truck, produced by Steam Methane Reforming, with CCS using natural gas from Switzerland</v>
      </c>
      <c r="L1176">
        <f t="shared" si="74"/>
        <v>2</v>
      </c>
      <c r="M1176">
        <f t="shared" si="75"/>
        <v>-6.1486329247407472</v>
      </c>
      <c r="N1176">
        <v>1</v>
      </c>
      <c r="O1176" s="15">
        <v>1.2</v>
      </c>
      <c r="P1176">
        <v>1</v>
      </c>
      <c r="Q1176">
        <v>1.01</v>
      </c>
      <c r="R1176">
        <v>1.2</v>
      </c>
      <c r="S1176">
        <v>1.2</v>
      </c>
      <c r="T1176">
        <v>1.05</v>
      </c>
      <c r="U1176">
        <f t="shared" si="76"/>
        <v>0.15984597228197622</v>
      </c>
    </row>
    <row r="1177" spans="1:22" hidden="1" x14ac:dyDescent="0.2">
      <c r="A1177" t="str">
        <f>VLOOKUP(J1177,'dataset mapping'!$A$4:$E$69,2,0)</f>
        <v>high pressure hydrogen storage tank</v>
      </c>
      <c r="B1177" s="52">
        <f>((B1167/10)/(B1165*B1161*20*3.6))*IF(B1166&lt;&gt;0,B1166,1)</f>
        <v>2.3589421024998428E-7</v>
      </c>
      <c r="C1177" t="str">
        <f>VLOOKUP(J1177,'dataset mapping'!$A$4:$E$69,5,0)</f>
        <v>kilogram</v>
      </c>
      <c r="E1177" t="str">
        <f>VLOOKUP(J1177,'dataset mapping'!$A$4:$E$69,4,0)</f>
        <v>GLO</v>
      </c>
      <c r="F1177" t="s">
        <v>86</v>
      </c>
      <c r="G1177" t="str">
        <f>VLOOKUP(J1177,'dataset mapping'!$A$4:$E$69,3,0)</f>
        <v>high pressure hydrogen storage tank</v>
      </c>
      <c r="H1177" t="s">
        <v>88</v>
      </c>
      <c r="I1177" t="s">
        <v>230</v>
      </c>
      <c r="J1177" t="s">
        <v>229</v>
      </c>
      <c r="K1177" t="str">
        <f>B1132</f>
        <v>heat, residential, by conversion of hydrogen using fuel cell, SOFC, allocated by exergy, transported by truck, produced by Steam Methane Reforming, with CCS using natural gas from Switzerland</v>
      </c>
      <c r="L1177">
        <f t="shared" si="74"/>
        <v>2</v>
      </c>
      <c r="M1177">
        <f t="shared" si="75"/>
        <v>-15.259882394072699</v>
      </c>
      <c r="N1177">
        <v>1</v>
      </c>
      <c r="O1177" s="15">
        <v>1.2</v>
      </c>
      <c r="P1177">
        <v>1</v>
      </c>
      <c r="Q1177">
        <v>1.01</v>
      </c>
      <c r="R1177">
        <v>1.2</v>
      </c>
      <c r="S1177">
        <v>1.2</v>
      </c>
      <c r="T1177">
        <v>3</v>
      </c>
      <c r="U1177">
        <f t="shared" si="76"/>
        <v>0.57157051623399524</v>
      </c>
    </row>
    <row r="1178" spans="1:22" hidden="1" x14ac:dyDescent="0.2">
      <c r="A1178" t="s">
        <v>134</v>
      </c>
      <c r="B1178" s="45">
        <f>B1176*9</f>
        <v>1.9227603552451553E-2</v>
      </c>
      <c r="C1178" t="s">
        <v>56</v>
      </c>
      <c r="D1178" t="s">
        <v>100</v>
      </c>
      <c r="F1178" t="s">
        <v>99</v>
      </c>
      <c r="H1178" t="s">
        <v>131</v>
      </c>
      <c r="I1178" t="s">
        <v>1057</v>
      </c>
      <c r="K1178" t="str">
        <f>B1132</f>
        <v>heat, residential, by conversion of hydrogen using fuel cell, SOFC, allocated by exergy, transported by truck, produced by Steam Methane Reforming, with CCS using natural gas from Switzerland</v>
      </c>
      <c r="L1178">
        <f t="shared" si="74"/>
        <v>2</v>
      </c>
      <c r="M1178">
        <f t="shared" si="75"/>
        <v>-3.9514083474045276</v>
      </c>
      <c r="N1178">
        <v>1</v>
      </c>
      <c r="O1178" s="15">
        <v>1.2</v>
      </c>
      <c r="P1178">
        <v>1</v>
      </c>
      <c r="Q1178">
        <v>1.01</v>
      </c>
      <c r="R1178">
        <v>1.2</v>
      </c>
      <c r="S1178">
        <v>1.2</v>
      </c>
      <c r="T1178">
        <v>1.05</v>
      </c>
      <c r="U1178">
        <f t="shared" si="76"/>
        <v>0.15984597228197622</v>
      </c>
    </row>
    <row r="1179" spans="1:22" hidden="1" x14ac:dyDescent="0.2"/>
    <row r="1180" spans="1:22" hidden="1" x14ac:dyDescent="0.2">
      <c r="A1180" s="2" t="s">
        <v>50</v>
      </c>
      <c r="B1180" s="44" t="str">
        <f>IF(B1186="megajoule","heat","electricity")&amp;", residential, by "&amp;B1191&amp;" of "&amp;B1190&amp;" using "&amp;B1192&amp;IF(B1193&lt;&gt;0,", allocated by "&amp;B1193,"")&amp;", transported by "&amp;B1194&amp;", produced by "&amp;B1198&amp;" using "&amp;B1199&amp;" from "&amp;B1200</f>
        <v>electricity, residential, by combustion of hydrogen using CHP, allocated by exergy, transported by truck, produced by Steam Methane Reforming, with CCS using natural gas from Switzerland</v>
      </c>
    </row>
    <row r="1181" spans="1:22" hidden="1" x14ac:dyDescent="0.2">
      <c r="A1181" t="s">
        <v>51</v>
      </c>
      <c r="B1181" s="45" t="str">
        <f>"This dataset represents the supply of 1 "&amp;IF(B1186="megajoule","megajoule of heat","kilowatt hour of electricity")&amp;" in a residence, by "&amp;B1190&amp;" "&amp;B1191&amp;" in a "&amp;B1192&amp;". "&amp;" The hydrogen is transported by "&amp;B1194&amp;" over "&amp;B1195&amp;" km from regional storage. "&amp;" The "&amp;B1190&amp;" is produced by  "&amp;B1198&amp;", with "&amp;B1199&amp;" from "&amp;B1200&amp;" as feedstock. "&amp;A1202&amp;": "&amp;(B1202*100)&amp;"%. "&amp;A1203&amp;": "&amp;B1203&amp;". "&amp;A1204&amp;": "&amp;B1204&amp;". "&amp;A1205&amp;": "&amp;(B1205*100)&amp;"%. "&amp;A1206&amp;": "&amp;(B1206*100)&amp;"%. "&amp;A1207&amp;": "&amp;(B1207*100)&amp;"%. "&amp;A1208&amp;": "&amp;B1208&amp;". "&amp;A1209&amp;": "&amp;B1209&amp;". "&amp;A1210&amp;": "&amp;(B1210*100)&amp;"%. "&amp;A1211&amp;": "&amp;B1211&amp;". "&amp;A1212&amp;": "&amp;B1212&amp;". "&amp;A1213&amp;": "&amp;B1213&amp;". "&amp;A1214&amp;": "&amp;B1214&amp;".  For more information, refer to: "&amp;B1182</f>
        <v>This dataset represents the supply of 1 kilowatt hour of electricity in a residence, by hydrogen combustion in a CHP.  The hydrogen is transported by truck over 200 km from regional storage.  The hydrogen is produced by  Steam Methane Reforming, with CCS,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182" spans="1:22" hidden="1" x14ac:dyDescent="0.2">
      <c r="A1182" t="s">
        <v>63</v>
      </c>
      <c r="B1182" s="45" t="s">
        <v>660</v>
      </c>
    </row>
    <row r="1183" spans="1:22" hidden="1" x14ac:dyDescent="0.2">
      <c r="A1183" t="s">
        <v>52</v>
      </c>
      <c r="B1183" s="45" t="s">
        <v>64</v>
      </c>
    </row>
    <row r="1184" spans="1:22" hidden="1" x14ac:dyDescent="0.2">
      <c r="A1184" t="s">
        <v>48</v>
      </c>
      <c r="B1184" s="45" t="s">
        <v>970</v>
      </c>
    </row>
    <row r="1185" spans="1:2" hidden="1" x14ac:dyDescent="0.2">
      <c r="A1185" t="s">
        <v>54</v>
      </c>
      <c r="B1185" s="45" t="str">
        <f>INDEX(overview!$B$4:$R$338,MATCH(B1184,overview!$A$4:$A$338,0),MATCH(A1185,overview!$B$3:$R$3,0))</f>
        <v>electricity, from residential heating system</v>
      </c>
    </row>
    <row r="1186" spans="1:2" hidden="1" x14ac:dyDescent="0.2">
      <c r="A1186" t="s">
        <v>55</v>
      </c>
      <c r="B1186" s="45" t="str">
        <f>INDEX(overview!$B$4:$R$338,MATCH(B1184,overview!$A$4:$A$338,0),MATCH(A1186,overview!$B$3:$R$3,0))</f>
        <v>kilowatt hour</v>
      </c>
    </row>
    <row r="1187" spans="1:2" hidden="1" x14ac:dyDescent="0.2">
      <c r="A1187" t="s">
        <v>0</v>
      </c>
      <c r="B1187" s="45" t="str">
        <f>INDEX(overview!$B$4:$R$338,MATCH(B1184,overview!$A$4:$A$338,0),MATCH(A1187,overview!$B$3:$R$3,0))</f>
        <v>Switzerland</v>
      </c>
    </row>
    <row r="1188" spans="1:2" hidden="1" x14ac:dyDescent="0.2">
      <c r="A1188" t="s">
        <v>1</v>
      </c>
      <c r="B1188" s="45">
        <f>INDEX(overview!$B$4:$R$338,MATCH(B1184,overview!$A$4:$A$338,0),MATCH(A1188,overview!$B$3:$R$3,0))</f>
        <v>2020</v>
      </c>
    </row>
    <row r="1189" spans="1:2" hidden="1" x14ac:dyDescent="0.2">
      <c r="A1189" t="s">
        <v>2</v>
      </c>
      <c r="B1189" s="45" t="str">
        <f>INDEX(overview!$B$4:$R$338,MATCH(B1184,overview!$A$4:$A$338,0),MATCH(A1189,overview!$B$3:$R$3,0))</f>
        <v>1 kWh electricity</v>
      </c>
    </row>
    <row r="1190" spans="1:2" hidden="1" x14ac:dyDescent="0.2">
      <c r="A1190" t="s">
        <v>5</v>
      </c>
      <c r="B1190" s="45" t="str">
        <f>INDEX(overview!$B$4:$R$338,MATCH(B1184,overview!$A$4:$A$338,0),MATCH(A1190,overview!$B$3:$R$3,0))</f>
        <v>hydrogen</v>
      </c>
    </row>
    <row r="1191" spans="1:2" hidden="1" x14ac:dyDescent="0.2">
      <c r="A1191" t="s">
        <v>3</v>
      </c>
      <c r="B1191" s="45" t="str">
        <f>INDEX(overview!$B$4:$R$338,MATCH(B1184,overview!$A$4:$A$338,0),MATCH(A1191,overview!$B$3:$R$3,0))</f>
        <v>combustion</v>
      </c>
    </row>
    <row r="1192" spans="1:2" hidden="1" x14ac:dyDescent="0.2">
      <c r="A1192" t="s">
        <v>6</v>
      </c>
      <c r="B1192" s="45" t="str">
        <f>INDEX(overview!$B$4:$R$338,MATCH(B1184,overview!$A$4:$A$338,0),MATCH(A1192,overview!$B$3:$R$3,0))</f>
        <v>CHP</v>
      </c>
    </row>
    <row r="1193" spans="1:2" hidden="1" x14ac:dyDescent="0.2">
      <c r="A1193" t="s">
        <v>39</v>
      </c>
      <c r="B1193" s="45" t="str">
        <f>INDEX(overview!$B$4:$R$338,MATCH(B1184,overview!$A$4:$A$338,0),MATCH(A1193,overview!$B$3:$R$3,0))</f>
        <v>exergy</v>
      </c>
    </row>
    <row r="1194" spans="1:2" hidden="1" x14ac:dyDescent="0.2">
      <c r="A1194" t="s">
        <v>4</v>
      </c>
      <c r="B1194" s="45" t="str">
        <f>INDEX(overview!$B$4:$R$338,MATCH(B1184,overview!$A$4:$A$338,0),MATCH(A1194,overview!$B$3:$R$3,0))</f>
        <v>truck</v>
      </c>
    </row>
    <row r="1195" spans="1:2" hidden="1" x14ac:dyDescent="0.2">
      <c r="A1195" t="s">
        <v>38</v>
      </c>
      <c r="B1195" s="45">
        <f>INDEX(overview!$B$4:$R$338,MATCH(B1184,overview!$A$4:$A$338,0),MATCH(A1195,overview!$B$3:$R$3,0))</f>
        <v>200</v>
      </c>
    </row>
    <row r="1196" spans="1:2" hidden="1" x14ac:dyDescent="0.2">
      <c r="A1196" t="s">
        <v>12</v>
      </c>
      <c r="B1196" s="45" t="str">
        <f>INDEX(overview!$B$4:$R$338,MATCH(B1184,overview!$A$4:$A$338,0),MATCH(A1196,overview!$B$3:$R$3,0))</f>
        <v>Pressure vessel for stationary storage</v>
      </c>
    </row>
    <row r="1197" spans="1:2" hidden="1" x14ac:dyDescent="0.2">
      <c r="A1197" t="s">
        <v>34</v>
      </c>
      <c r="B1197" s="45">
        <f>INDEX(overview!$B$4:$R$338,MATCH(B1184,overview!$A$4:$A$338,0),MATCH(A1197,overview!$B$3:$R$3,0))</f>
        <v>0</v>
      </c>
    </row>
    <row r="1198" spans="1:2" hidden="1" x14ac:dyDescent="0.2">
      <c r="A1198" t="s">
        <v>15</v>
      </c>
      <c r="B1198" s="45" t="str">
        <f>INDEX(overview!$B$4:$R$338,MATCH(B1184,overview!$A$4:$A$338,0),MATCH(A1198,overview!$B$3:$R$3,0))</f>
        <v>Steam Methane Reforming, with CCS</v>
      </c>
    </row>
    <row r="1199" spans="1:2" hidden="1" x14ac:dyDescent="0.2">
      <c r="A1199" t="s">
        <v>14</v>
      </c>
      <c r="B1199" s="45" t="str">
        <f>INDEX(overview!$B$4:$R$338,MATCH(B1184,overview!$A$4:$A$338,0),MATCH(A1199,overview!$B$3:$R$3,0))</f>
        <v>natural gas</v>
      </c>
    </row>
    <row r="1200" spans="1:2" hidden="1" x14ac:dyDescent="0.2">
      <c r="A1200" t="s">
        <v>26</v>
      </c>
      <c r="B1200" s="45" t="str">
        <f>INDEX(overview!$B$4:$R$338,MATCH(B1184,overview!$A$4:$A$338,0),MATCH(A1200,overview!$B$3:$R$3,0))</f>
        <v>Switzerland</v>
      </c>
    </row>
    <row r="1201" spans="1:2" hidden="1" x14ac:dyDescent="0.2">
      <c r="A1201" t="s">
        <v>29</v>
      </c>
      <c r="B1201" s="45">
        <f>INDEX(overview!$B$4:$R$338,MATCH(B1184,overview!$A$4:$A$338,0),MATCH(A1201,overview!$B$3:$R$3,0))</f>
        <v>0</v>
      </c>
    </row>
    <row r="1202" spans="1:2" hidden="1" x14ac:dyDescent="0.2">
      <c r="A1202" t="str">
        <f>IF(B1186="megajoule","Heat","Electricity")&amp;" conversion efficiency [% LHV input]"</f>
        <v>Electricity conversion efficiency [% LHV input]</v>
      </c>
      <c r="B1202" s="46">
        <f>INDEX(parameters!$D$4:$N$20,MATCH(B1190&amp;B1192,parameters!$A$4:$A$20,0),MATCH(A1202,parameters!$D$3:$N$3,0))</f>
        <v>0.39400000000000002</v>
      </c>
    </row>
    <row r="1203" spans="1:2" hidden="1" x14ac:dyDescent="0.2">
      <c r="A1203" t="str">
        <f>IF(B1186="megajoule","LHV [MJ/kg]","LHV [kWh/kg]")</f>
        <v>LHV [kWh/kg]</v>
      </c>
      <c r="B1203" s="47">
        <f>INDEX(parameters!$D$4:$N$20,MATCH(B1190&amp;B1192,parameters!$A$4:$A$20,0),MATCH(A1203,parameters!$D$3:$N$3,0))</f>
        <v>33.333333333333336</v>
      </c>
    </row>
    <row r="1204" spans="1:2" hidden="1" x14ac:dyDescent="0.2">
      <c r="A1204" t="s">
        <v>41</v>
      </c>
      <c r="B1204" s="48">
        <f>INDEX(parameters!$D$4:$N$20,MATCH(B1190&amp;B1192,parameters!$A$4:$A$20,0),MATCH(A1204,parameters!$D$3:$N$3,0))</f>
        <v>2.6666666666666665E-2</v>
      </c>
    </row>
    <row r="1205" spans="1:2" hidden="1" x14ac:dyDescent="0.2">
      <c r="A1205" t="s">
        <v>45</v>
      </c>
      <c r="B1205" s="46">
        <f>INDEX(parameters!$D$4:$N$20,MATCH(B1190&amp;B1192,parameters!$A$4:$A$20,0),MATCH(A1205,parameters!$D$3:$N$3,0))</f>
        <v>0</v>
      </c>
    </row>
    <row r="1206" spans="1:2" hidden="1" x14ac:dyDescent="0.2">
      <c r="A1206" t="s">
        <v>46</v>
      </c>
      <c r="B1206" s="46">
        <f>INDEX(parameters!$D$4:$N$20,MATCH(B1190&amp;B1192,parameters!$A$4:$A$20,0),MATCH(A1206,parameters!$D$3:$N$3,0))</f>
        <v>1.4999999999999999E-2</v>
      </c>
    </row>
    <row r="1207" spans="1:2" hidden="1" x14ac:dyDescent="0.2">
      <c r="A1207" t="s">
        <v>43</v>
      </c>
      <c r="B1207" s="46">
        <f>INDEX(parameters!$D$4:$N$20,MATCH(B1190&amp;B1192,parameters!$A$4:$A$20,0),MATCH(A1207,parameters!$D$3:$N$3,0))</f>
        <v>0</v>
      </c>
    </row>
    <row r="1208" spans="1:2" hidden="1" x14ac:dyDescent="0.2">
      <c r="A1208" t="s">
        <v>44</v>
      </c>
      <c r="B1208" s="46">
        <f>INDEX(parameters!$D$4:$N$20,MATCH(B1190&amp;B1192,parameters!$A$4:$A$20,0),MATCH(A1208,parameters!$D$3:$N$3,0))</f>
        <v>0</v>
      </c>
    </row>
    <row r="1209" spans="1:2" hidden="1" x14ac:dyDescent="0.2">
      <c r="A1209" t="s">
        <v>634</v>
      </c>
      <c r="B1209" s="50">
        <f>INDEX(parameters!$D$4:$Y$20,MATCH(B1190&amp;B1192,parameters!$A$4:$A$20,0),MATCH(A1209,parameters!$D$3:$Y$3,0))</f>
        <v>351.41800246609125</v>
      </c>
    </row>
    <row r="1210" spans="1:2" hidden="1" x14ac:dyDescent="0.2">
      <c r="A1210" t="s">
        <v>82</v>
      </c>
      <c r="B1210" s="46">
        <f>IF(B1201&lt;&gt;0,VLOOKUP(B1201,parameters!A866:B868,2,0),0)</f>
        <v>0</v>
      </c>
    </row>
    <row r="1211" spans="1:2" hidden="1" x14ac:dyDescent="0.2">
      <c r="A1211" t="s">
        <v>548</v>
      </c>
      <c r="B1211" s="50">
        <f>INDEX(parameters!$D$4:$P$20,MATCH(B1190&amp;B1192,parameters!$A$4:$A$20,0),MATCH(A1211,parameters!$D$3:$P$3,0))</f>
        <v>125</v>
      </c>
    </row>
    <row r="1212" spans="1:2" hidden="1" x14ac:dyDescent="0.2">
      <c r="A1212" t="s">
        <v>547</v>
      </c>
      <c r="B1212" s="51">
        <f>INDEX(parameters!$D$4:$P$20,MATCH(B1190&amp;B1192,parameters!$A$4:$A$20,0),MATCH(A1212,parameters!$D$3:$P$3,0))</f>
        <v>19.512195121951219</v>
      </c>
    </row>
    <row r="1213" spans="1:2" hidden="1" x14ac:dyDescent="0.2">
      <c r="A1213" t="s">
        <v>630</v>
      </c>
      <c r="B1213" s="51">
        <f>INDEX(parameters!$D$4:$T$20,MATCH(B1190&amp;B1192,parameters!$A$4:$A$20,0),MATCH(A1213,parameters!$D$3:$T$3,0))</f>
        <v>4100</v>
      </c>
    </row>
    <row r="1214" spans="1:2" hidden="1" x14ac:dyDescent="0.2">
      <c r="A1214" t="s">
        <v>1005</v>
      </c>
      <c r="B1214" s="50">
        <f>IF(B1186="megajoule",SUMIFS(allocation!$I$4:$I$30,allocation!$B$4:$B$30,B1192,allocation!$C$4:$C$30,B1193),SUMIFS(allocation!$J$4:$J$30,allocation!$B$4:$B$30,B1192,allocation!$C$4:$C$30,B1193))</f>
        <v>0.87139957772704957</v>
      </c>
    </row>
    <row r="1215" spans="1:2" hidden="1" x14ac:dyDescent="0.2">
      <c r="A1215" t="s">
        <v>1050</v>
      </c>
      <c r="B1215" s="51">
        <f>INDEX(parameters!$D$4:$AB$20,MATCH(B1190&amp;B1192,parameters!$A$4:$A$20,0),MATCH(A1215,parameters!$D$3:$AB$3,0))</f>
        <v>2220.7364520822662</v>
      </c>
    </row>
    <row r="1216" spans="1:2" hidden="1" x14ac:dyDescent="0.2"/>
    <row r="1217" spans="1:22" hidden="1" x14ac:dyDescent="0.2">
      <c r="A1217" s="3" t="s">
        <v>57</v>
      </c>
    </row>
    <row r="1218" spans="1:22" hidden="1" x14ac:dyDescent="0.2">
      <c r="A1218" s="2" t="s">
        <v>58</v>
      </c>
      <c r="B1218" s="44" t="s">
        <v>59</v>
      </c>
      <c r="C1218" s="2" t="s">
        <v>55</v>
      </c>
      <c r="D1218" s="2" t="s">
        <v>60</v>
      </c>
      <c r="E1218" s="2" t="s">
        <v>52</v>
      </c>
      <c r="F1218" s="2" t="s">
        <v>61</v>
      </c>
      <c r="G1218" s="2" t="s">
        <v>54</v>
      </c>
      <c r="H1218" s="2" t="s">
        <v>87</v>
      </c>
      <c r="I1218" s="2" t="s">
        <v>51</v>
      </c>
      <c r="J1218" s="2" t="s">
        <v>138</v>
      </c>
      <c r="K1218" s="2" t="s">
        <v>136</v>
      </c>
      <c r="L1218" s="2" t="s">
        <v>221</v>
      </c>
      <c r="M1218" s="2" t="s">
        <v>379</v>
      </c>
      <c r="N1218" s="2" t="s">
        <v>1059</v>
      </c>
      <c r="O1218" s="2" t="s">
        <v>1060</v>
      </c>
      <c r="P1218" s="2" t="s">
        <v>1061</v>
      </c>
      <c r="Q1218" s="2" t="s">
        <v>1062</v>
      </c>
      <c r="R1218" s="2" t="s">
        <v>1063</v>
      </c>
      <c r="S1218" s="2" t="s">
        <v>1064</v>
      </c>
      <c r="T1218" s="2" t="s">
        <v>1065</v>
      </c>
      <c r="U1218" s="2" t="s">
        <v>380</v>
      </c>
      <c r="V1218" s="2" t="s">
        <v>1128</v>
      </c>
    </row>
    <row r="1219" spans="1:22" hidden="1" x14ac:dyDescent="0.2">
      <c r="A1219" t="str">
        <f>B1180</f>
        <v>electricity, residential, by combustion of hydrogen using CHP, allocated by exergy, transported by truck, produced by Steam Methane Reforming, with CCS using natural gas from Switzerland</v>
      </c>
      <c r="B1219" s="45">
        <v>1</v>
      </c>
      <c r="C1219" t="str">
        <f>B1186</f>
        <v>kilowatt hour</v>
      </c>
      <c r="E1219" t="str">
        <f>B1183</f>
        <v>CH</v>
      </c>
      <c r="F1219" t="s">
        <v>62</v>
      </c>
      <c r="G1219" t="str">
        <f>B1185</f>
        <v>electricity, from residential heating system</v>
      </c>
      <c r="K1219" t="str">
        <f>B1180</f>
        <v>electricity, residential, by combustion of hydrogen using CHP, allocated by exergy, transported by truck, produced by Steam Methane Reforming, with CCS using natural gas from Switzerland</v>
      </c>
    </row>
    <row r="1220" spans="1:22" hidden="1" x14ac:dyDescent="0.2">
      <c r="A1220" t="str">
        <f>VLOOKUP(J1220,'dataset mapping'!$A$4:$E$69,2,0)</f>
        <v>heat and power co-generation unit construction, 160kW electrical, common components for heat+electricity</v>
      </c>
      <c r="B1220" s="52">
        <f>(1/(B1209*B1213*B1212))*B1214</f>
        <v>3.0995835856870056E-8</v>
      </c>
      <c r="C1220" t="str">
        <f>VLOOKUP(J1220,'dataset mapping'!$A$4:$E$69,5,0)</f>
        <v>unit</v>
      </c>
      <c r="E1220" t="str">
        <f>VLOOKUP(J1220,'dataset mapping'!$A$4:$E$69,4,0)</f>
        <v>RER</v>
      </c>
      <c r="F1220" t="s">
        <v>86</v>
      </c>
      <c r="G1220" t="str">
        <f>VLOOKUP(J1220,'dataset mapping'!$A$4:$E$69,3,0)</f>
        <v>heat and power co-generation unit, 160kW electrical, common components for heat+electricity</v>
      </c>
      <c r="H1220" t="s">
        <v>88</v>
      </c>
      <c r="J1220" t="s">
        <v>145</v>
      </c>
      <c r="K1220" t="str">
        <f>B1180</f>
        <v>electricity, residential, by combustion of hydrogen using CHP, allocated by exergy, transported by truck, produced by Steam Methane Reforming, with CCS using natural gas from Switzerland</v>
      </c>
      <c r="L1220">
        <f t="shared" ref="L1220:L1228" si="77">IF(OR(B1220&lt;0,B1220=0),1,2)</f>
        <v>2</v>
      </c>
      <c r="M1220">
        <f t="shared" ref="M1220:M1228" si="78">IF(L1220=2,LN(B1220),"")</f>
        <v>-17.28941296868171</v>
      </c>
      <c r="N1220">
        <v>1.05</v>
      </c>
      <c r="O1220" s="15">
        <v>1.2</v>
      </c>
      <c r="P1220">
        <v>1</v>
      </c>
      <c r="Q1220">
        <v>1.01</v>
      </c>
      <c r="R1220">
        <v>1.2</v>
      </c>
      <c r="S1220">
        <v>1.2</v>
      </c>
      <c r="T1220">
        <v>3</v>
      </c>
      <c r="U1220">
        <f t="shared" ref="U1220:U1228" si="79">LN(SQRT(EXP(
SQRT(
+POWER(LN(N1220),2)
+POWER(LN(O1220),2)
+POWER(LN(P1220),2)
+POWER(LN(Q1220),2)
+POWER(LN(R1220),2)
+POWER(LN(S1220),2)
+POWER(LN(T1220),2)
)
)))</f>
        <v>0.57209088006881903</v>
      </c>
    </row>
    <row r="1221" spans="1:22" hidden="1" x14ac:dyDescent="0.2">
      <c r="A1221" t="str">
        <f>VLOOKUP(J1221,'dataset mapping'!$A$4:$E$69,2,0)</f>
        <v>heat and power co-generation unit construction, 160kW electrical, components for electricity only</v>
      </c>
      <c r="B1221" s="52">
        <f>(1/(B1209*B1213*B1212))*B1214</f>
        <v>3.0995835856870056E-8</v>
      </c>
      <c r="C1221" t="str">
        <f>VLOOKUP(J1221,'dataset mapping'!$A$4:$E$69,5,0)</f>
        <v>unit</v>
      </c>
      <c r="E1221" t="str">
        <f>VLOOKUP(J1221,'dataset mapping'!$A$4:$E$69,4,0)</f>
        <v>RER</v>
      </c>
      <c r="F1221" t="s">
        <v>86</v>
      </c>
      <c r="G1221" t="str">
        <f>VLOOKUP(J1221,'dataset mapping'!$A$4:$E$69,3,0)</f>
        <v>heat and power co-generation unit, 160kW electrical, components for electricity only</v>
      </c>
      <c r="H1221" t="s">
        <v>88</v>
      </c>
      <c r="J1221" t="s">
        <v>146</v>
      </c>
      <c r="K1221" t="str">
        <f>B1180</f>
        <v>electricity, residential, by combustion of hydrogen using CHP, allocated by exergy, transported by truck, produced by Steam Methane Reforming, with CCS using natural gas from Switzerland</v>
      </c>
      <c r="L1221">
        <f t="shared" si="77"/>
        <v>2</v>
      </c>
      <c r="M1221">
        <f t="shared" si="78"/>
        <v>-17.28941296868171</v>
      </c>
      <c r="N1221">
        <v>1.05</v>
      </c>
      <c r="O1221" s="15">
        <v>1.2</v>
      </c>
      <c r="P1221">
        <v>1</v>
      </c>
      <c r="Q1221">
        <v>1.01</v>
      </c>
      <c r="R1221">
        <v>1.2</v>
      </c>
      <c r="S1221">
        <v>1.2</v>
      </c>
      <c r="T1221">
        <v>3</v>
      </c>
      <c r="U1221">
        <f t="shared" si="79"/>
        <v>0.57209088006881903</v>
      </c>
    </row>
    <row r="1222" spans="1:22" hidden="1" x14ac:dyDescent="0.2">
      <c r="A1222" t="str">
        <f>VLOOKUP(J1222,'dataset mapping'!$A$4:$E$69,2,0)</f>
        <v>heat and power co-generation unit construction, 160kW electrical, components for heat only</v>
      </c>
      <c r="B1222" s="52">
        <f>(1/(B1209*B1213*B1212))*B1214</f>
        <v>3.0995835856870056E-8</v>
      </c>
      <c r="C1222" t="str">
        <f>VLOOKUP(J1222,'dataset mapping'!$A$4:$E$69,5,0)</f>
        <v>unit</v>
      </c>
      <c r="E1222" t="str">
        <f>VLOOKUP(J1222,'dataset mapping'!$A$4:$E$69,4,0)</f>
        <v>RER</v>
      </c>
      <c r="F1222" t="s">
        <v>86</v>
      </c>
      <c r="G1222" t="str">
        <f>VLOOKUP(J1222,'dataset mapping'!$A$4:$E$69,3,0)</f>
        <v>heat and power co-generation unit, 160kW electrical, components for heat only</v>
      </c>
      <c r="H1222" t="s">
        <v>88</v>
      </c>
      <c r="J1222" t="s">
        <v>147</v>
      </c>
      <c r="K1222" t="str">
        <f>B1180</f>
        <v>electricity, residential, by combustion of hydrogen using CHP, allocated by exergy, transported by truck, produced by Steam Methane Reforming, with CCS using natural gas from Switzerland</v>
      </c>
      <c r="L1222">
        <f t="shared" si="77"/>
        <v>2</v>
      </c>
      <c r="M1222">
        <f t="shared" si="78"/>
        <v>-17.28941296868171</v>
      </c>
      <c r="N1222">
        <v>1.05</v>
      </c>
      <c r="O1222" s="15">
        <v>1.2</v>
      </c>
      <c r="P1222">
        <v>1</v>
      </c>
      <c r="Q1222">
        <v>1.01</v>
      </c>
      <c r="R1222">
        <v>1.2</v>
      </c>
      <c r="S1222">
        <v>1.2</v>
      </c>
      <c r="T1222">
        <v>3</v>
      </c>
      <c r="U1222">
        <f t="shared" si="79"/>
        <v>0.57209088006881903</v>
      </c>
    </row>
    <row r="1223" spans="1:22" hidden="1" x14ac:dyDescent="0.2">
      <c r="A1223" t="s">
        <v>156</v>
      </c>
      <c r="B1223" s="52">
        <f>0.00000011366*B1214</f>
        <v>9.9043276004456456E-8</v>
      </c>
      <c r="C1223" t="s">
        <v>56</v>
      </c>
      <c r="E1223" t="s">
        <v>90</v>
      </c>
      <c r="F1223" t="s">
        <v>86</v>
      </c>
      <c r="G1223" t="s">
        <v>154</v>
      </c>
      <c r="H1223" t="s">
        <v>155</v>
      </c>
      <c r="K1223" t="str">
        <f>B1180</f>
        <v>electricity, residential, by combustion of hydrogen using CHP, allocated by exergy, transported by truck, produced by Steam Methane Reforming, with CCS using natural gas from Switzerland</v>
      </c>
      <c r="L1223">
        <f t="shared" si="77"/>
        <v>2</v>
      </c>
      <c r="M1223">
        <f t="shared" si="78"/>
        <v>-16.127708950967754</v>
      </c>
      <c r="N1223">
        <v>1.05</v>
      </c>
      <c r="O1223" s="15">
        <v>1.2</v>
      </c>
      <c r="P1223">
        <v>1</v>
      </c>
      <c r="Q1223">
        <v>1.01</v>
      </c>
      <c r="R1223">
        <v>1.2</v>
      </c>
      <c r="S1223">
        <v>1.2</v>
      </c>
      <c r="T1223">
        <v>1.05</v>
      </c>
      <c r="U1223">
        <f t="shared" si="79"/>
        <v>0.16169679924070957</v>
      </c>
    </row>
    <row r="1224" spans="1:22" hidden="1" x14ac:dyDescent="0.2">
      <c r="A1224" t="s">
        <v>157</v>
      </c>
      <c r="B1224" s="52">
        <f>0.00000011366*B1214*-1</f>
        <v>-9.9043276004456456E-8</v>
      </c>
      <c r="C1224" t="s">
        <v>56</v>
      </c>
      <c r="E1224" t="s">
        <v>64</v>
      </c>
      <c r="F1224" t="s">
        <v>86</v>
      </c>
      <c r="G1224" t="s">
        <v>158</v>
      </c>
      <c r="H1224" t="s">
        <v>155</v>
      </c>
      <c r="K1224" t="str">
        <f>B1180</f>
        <v>electricity, residential, by combustion of hydrogen using CHP, allocated by exergy, transported by truck, produced by Steam Methane Reforming, with CCS using natural gas from Switzerland</v>
      </c>
      <c r="L1224">
        <v>2</v>
      </c>
      <c r="M1224">
        <f>IF(L1224=2,LN(B1224*-1),"")</f>
        <v>-16.127708950967754</v>
      </c>
      <c r="N1224">
        <v>1.05</v>
      </c>
      <c r="O1224" s="15">
        <v>1.2</v>
      </c>
      <c r="P1224">
        <v>1</v>
      </c>
      <c r="Q1224">
        <v>1.01</v>
      </c>
      <c r="R1224">
        <v>1.2</v>
      </c>
      <c r="S1224">
        <v>1.2</v>
      </c>
      <c r="T1224">
        <v>3</v>
      </c>
      <c r="U1224">
        <f>LN(SQRT(EXP(
SQRT(
+POWER(LN(N1224),2)
+POWER(LN(O1224),2)
+POWER(LN(P1224),2)
+POWER(LN(Q1224),2)
+POWER(LN(R1224),2)
+POWER(LN(S1224),2)
+POWER(LN(T1224),2)
)
)))</f>
        <v>0.57209088006881903</v>
      </c>
      <c r="V1224" t="b">
        <v>1</v>
      </c>
    </row>
    <row r="1225" spans="1:22" hidden="1" x14ac:dyDescent="0.2">
      <c r="A1225" s="45" t="str">
        <f>"hydrogen supply, transported by "&amp;B1194&amp;", produced by "&amp;B1198&amp;" using "&amp;B1199&amp;" from "&amp;B1200</f>
        <v>hydrogen supply, transported by truck, produced by Steam Methane Reforming, with CCS using natural gas from Switzerland</v>
      </c>
      <c r="B1225" s="53">
        <f>(B1219/B1203)/B1202*B1214</f>
        <v>6.6350221654343872E-2</v>
      </c>
      <c r="C1225" t="s">
        <v>56</v>
      </c>
      <c r="E1225" t="s">
        <v>64</v>
      </c>
      <c r="F1225" t="s">
        <v>86</v>
      </c>
      <c r="G1225" t="s">
        <v>1137</v>
      </c>
      <c r="H1225" t="s">
        <v>76</v>
      </c>
      <c r="I1225" t="s">
        <v>1054</v>
      </c>
      <c r="J1225" t="s">
        <v>306</v>
      </c>
      <c r="K1225" t="str">
        <f>B1180</f>
        <v>electricity, residential, by combustion of hydrogen using CHP, allocated by exergy, transported by truck, produced by Steam Methane Reforming, with CCS using natural gas from Switzerland</v>
      </c>
      <c r="L1225">
        <f t="shared" si="77"/>
        <v>2</v>
      </c>
      <c r="M1225">
        <f t="shared" si="78"/>
        <v>-2.7128081775260964</v>
      </c>
      <c r="N1225">
        <v>1.05</v>
      </c>
      <c r="O1225" s="15">
        <v>1.2</v>
      </c>
      <c r="P1225">
        <v>1</v>
      </c>
      <c r="Q1225">
        <v>1.01</v>
      </c>
      <c r="R1225">
        <v>1.2</v>
      </c>
      <c r="S1225">
        <v>1.2</v>
      </c>
      <c r="T1225">
        <v>1.05</v>
      </c>
      <c r="U1225">
        <f t="shared" si="79"/>
        <v>0.16169679924070957</v>
      </c>
    </row>
    <row r="1226" spans="1:22" hidden="1" x14ac:dyDescent="0.2">
      <c r="A1226" t="str">
        <f>VLOOKUP(J1226,'dataset mapping'!$A$4:$E$69,2,0)</f>
        <v>high pressure hydrogen storage tank</v>
      </c>
      <c r="B1226" s="52">
        <f>((B1215/10)/(B1213*B1209*20))*IF(B1214&lt;&gt;0,B1214,1)</f>
        <v>6.7154714683034044E-6</v>
      </c>
      <c r="C1226" t="str">
        <f>VLOOKUP(J1226,'dataset mapping'!$A$4:$E$69,5,0)</f>
        <v>kilogram</v>
      </c>
      <c r="E1226" t="str">
        <f>VLOOKUP(J1226,'dataset mapping'!$A$4:$E$69,4,0)</f>
        <v>GLO</v>
      </c>
      <c r="F1226" t="s">
        <v>86</v>
      </c>
      <c r="G1226" t="str">
        <f>VLOOKUP(J1226,'dataset mapping'!$A$4:$E$69,3,0)</f>
        <v>high pressure hydrogen storage tank</v>
      </c>
      <c r="H1226" t="s">
        <v>88</v>
      </c>
      <c r="I1226" t="s">
        <v>279</v>
      </c>
      <c r="J1226" t="s">
        <v>229</v>
      </c>
      <c r="K1226" t="str">
        <f>B1180</f>
        <v>electricity, residential, by combustion of hydrogen using CHP, allocated by exergy, transported by truck, produced by Steam Methane Reforming, with CCS using natural gas from Switzerland</v>
      </c>
      <c r="L1226">
        <f t="shared" si="77"/>
        <v>2</v>
      </c>
      <c r="M1226">
        <f t="shared" si="78"/>
        <v>-11.911096519239557</v>
      </c>
      <c r="N1226">
        <v>1.05</v>
      </c>
      <c r="O1226" s="15">
        <v>1.2</v>
      </c>
      <c r="P1226">
        <v>1</v>
      </c>
      <c r="Q1226">
        <v>1.01</v>
      </c>
      <c r="R1226">
        <v>1.2</v>
      </c>
      <c r="S1226">
        <v>1.2</v>
      </c>
      <c r="T1226">
        <v>3</v>
      </c>
      <c r="U1226">
        <f t="shared" si="79"/>
        <v>0.57209088006881903</v>
      </c>
    </row>
    <row r="1227" spans="1:22" hidden="1" x14ac:dyDescent="0.2">
      <c r="A1227" t="s">
        <v>134</v>
      </c>
      <c r="B1227" s="45">
        <f>B1225*9</f>
        <v>0.59715199488909487</v>
      </c>
      <c r="C1227" t="s">
        <v>56</v>
      </c>
      <c r="D1227" t="s">
        <v>100</v>
      </c>
      <c r="F1227" t="s">
        <v>99</v>
      </c>
      <c r="H1227" t="s">
        <v>131</v>
      </c>
      <c r="I1227" t="s">
        <v>1058</v>
      </c>
      <c r="K1227" t="str">
        <f>B1180</f>
        <v>electricity, residential, by combustion of hydrogen using CHP, allocated by exergy, transported by truck, produced by Steam Methane Reforming, with CCS using natural gas from Switzerland</v>
      </c>
      <c r="L1227">
        <f t="shared" si="77"/>
        <v>2</v>
      </c>
      <c r="M1227">
        <f t="shared" si="78"/>
        <v>-0.51558360018987692</v>
      </c>
      <c r="N1227">
        <v>1.05</v>
      </c>
      <c r="O1227" s="15">
        <v>1.2</v>
      </c>
      <c r="P1227">
        <v>1</v>
      </c>
      <c r="Q1227">
        <v>1.01</v>
      </c>
      <c r="R1227">
        <v>1.2</v>
      </c>
      <c r="S1227">
        <v>1.2</v>
      </c>
      <c r="T1227">
        <v>1.05</v>
      </c>
      <c r="U1227">
        <f t="shared" si="79"/>
        <v>0.16169679924070957</v>
      </c>
    </row>
    <row r="1228" spans="1:22" hidden="1" x14ac:dyDescent="0.2">
      <c r="A1228" t="s">
        <v>135</v>
      </c>
      <c r="B1228" s="45">
        <f>912.5/1000000*B1225</f>
        <v>6.0544577259588785E-5</v>
      </c>
      <c r="C1228" t="s">
        <v>56</v>
      </c>
      <c r="D1228" t="s">
        <v>100</v>
      </c>
      <c r="F1228" t="s">
        <v>99</v>
      </c>
      <c r="H1228" t="s">
        <v>131</v>
      </c>
      <c r="I1228" t="s">
        <v>1217</v>
      </c>
      <c r="K1228" t="str">
        <f>B1180</f>
        <v>electricity, residential, by combustion of hydrogen using CHP, allocated by exergy, transported by truck, produced by Steam Methane Reforming, with CCS using natural gas from Switzerland</v>
      </c>
      <c r="L1228">
        <f t="shared" si="77"/>
        <v>2</v>
      </c>
      <c r="M1228">
        <f t="shared" si="78"/>
        <v>-9.712130650033723</v>
      </c>
      <c r="N1228">
        <v>1.05</v>
      </c>
      <c r="O1228" s="15">
        <v>1.2</v>
      </c>
      <c r="P1228">
        <v>1</v>
      </c>
      <c r="Q1228">
        <v>1.01</v>
      </c>
      <c r="R1228">
        <v>1.2</v>
      </c>
      <c r="S1228">
        <v>1.2</v>
      </c>
      <c r="T1228">
        <v>1.5</v>
      </c>
      <c r="U1228">
        <f t="shared" si="79"/>
        <v>0.25816898211842121</v>
      </c>
    </row>
    <row r="1229" spans="1:22" hidden="1" x14ac:dyDescent="0.2"/>
    <row r="1230" spans="1:22" hidden="1" x14ac:dyDescent="0.2">
      <c r="A1230" s="2" t="s">
        <v>50</v>
      </c>
      <c r="B1230" s="44" t="str">
        <f>IF(B1236="megajoule","heat","electricity")&amp;", residential, by "&amp;B1241&amp;" of "&amp;B1240&amp;" using "&amp;B1242&amp;IF(B1243&lt;&gt;0,", allocated by "&amp;B1243,"")&amp;", transported by "&amp;B1244&amp;", produced by "&amp;B1248&amp;" using "&amp;B1249&amp;" from "&amp;B1250</f>
        <v>electricity, residential, by conversion of hydrogen using fuel cell, PEM, allocated by exergy, transported by truck, produced by Steam Methane Reforming, with CCS using natural gas from Switzerland</v>
      </c>
    </row>
    <row r="1231" spans="1:22" hidden="1" x14ac:dyDescent="0.2">
      <c r="A1231" t="s">
        <v>51</v>
      </c>
      <c r="B1231" s="45" t="str">
        <f>"This dataset represents the supply of 1 "&amp;IF(B1236="megajoule","megajoule of heat","kilowatt hour of electricity")&amp;" in a residence, by "&amp;B1240&amp;" "&amp;B1241&amp;" in a "&amp;B1242&amp;". "&amp;" The hydrogen is transported by "&amp;B1244&amp;" over "&amp;B1245&amp;" km from regional storage. "&amp;" The "&amp;B1240&amp;" is produced by  "&amp;B1248&amp;", with "&amp;B1249&amp;" from "&amp;B1250&amp;" as feedstock. "&amp;A1252&amp;": "&amp;(B1252*100)&amp;"%. "&amp;A1253&amp;": "&amp;B1253&amp;". "&amp;A1254&amp;": "&amp;B1254&amp;". "&amp;A1255&amp;": "&amp;(B1255*100)&amp;"%. "&amp;A1256&amp;": "&amp;(B1256*100)&amp;"%. "&amp;A1257&amp;": "&amp;(B1257*100)&amp;"%. "&amp;A1258&amp;": "&amp;B1258&amp;". "&amp;A1259&amp;": "&amp;B1259&amp;". "&amp;A1260&amp;": "&amp;(B1260*100)&amp;"%. "&amp;A1261&amp;": "&amp;B1261&amp;". "&amp;A1262&amp;": "&amp;B1262&amp;". "&amp;A1263&amp;": "&amp;B1263&amp;". "&amp;A1264&amp;": "&amp;B1264&amp;".  For more information, refer to: "&amp;B1232</f>
        <v>This dataset represents the supply of 1 kilowatt hour of electricity in a residence, by hydrogen conversion in a fuel cell, PEM.  The hydrogen is transported by truck over 200 km from regional storage.  The hydrogen is produced by  Steam Methane Reforming, with CCS,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1232" spans="1:22" hidden="1" x14ac:dyDescent="0.2">
      <c r="A1232" t="s">
        <v>63</v>
      </c>
      <c r="B1232" s="45" t="s">
        <v>660</v>
      </c>
    </row>
    <row r="1233" spans="1:2" hidden="1" x14ac:dyDescent="0.2">
      <c r="A1233" t="s">
        <v>52</v>
      </c>
      <c r="B1233" s="45" t="s">
        <v>64</v>
      </c>
    </row>
    <row r="1234" spans="1:2" hidden="1" x14ac:dyDescent="0.2">
      <c r="A1234" t="s">
        <v>48</v>
      </c>
      <c r="B1234" s="45" t="s">
        <v>971</v>
      </c>
    </row>
    <row r="1235" spans="1:2" hidden="1" x14ac:dyDescent="0.2">
      <c r="A1235" t="s">
        <v>54</v>
      </c>
      <c r="B1235" s="45" t="str">
        <f>INDEX(overview!$B$4:$R$338,MATCH(B1234,overview!$A$4:$A$338,0),MATCH(A1235,overview!$B$3:$R$3,0))</f>
        <v>electricity, from residential heating system</v>
      </c>
    </row>
    <row r="1236" spans="1:2" hidden="1" x14ac:dyDescent="0.2">
      <c r="A1236" t="s">
        <v>55</v>
      </c>
      <c r="B1236" s="45" t="str">
        <f>INDEX(overview!$B$4:$R$338,MATCH(B1234,overview!$A$4:$A$338,0),MATCH(A1236,overview!$B$3:$R$3,0))</f>
        <v>kilowatt hour</v>
      </c>
    </row>
    <row r="1237" spans="1:2" hidden="1" x14ac:dyDescent="0.2">
      <c r="A1237" t="s">
        <v>0</v>
      </c>
      <c r="B1237" s="45" t="str">
        <f>INDEX(overview!$B$4:$R$338,MATCH(B1234,overview!$A$4:$A$338,0),MATCH(A1237,overview!$B$3:$R$3,0))</f>
        <v>Switzerland</v>
      </c>
    </row>
    <row r="1238" spans="1:2" hidden="1" x14ac:dyDescent="0.2">
      <c r="A1238" t="s">
        <v>1</v>
      </c>
      <c r="B1238" s="45">
        <f>INDEX(overview!$B$4:$R$338,MATCH(B1234,overview!$A$4:$A$338,0),MATCH(A1238,overview!$B$3:$R$3,0))</f>
        <v>2020</v>
      </c>
    </row>
    <row r="1239" spans="1:2" hidden="1" x14ac:dyDescent="0.2">
      <c r="A1239" t="s">
        <v>2</v>
      </c>
      <c r="B1239" s="45" t="str">
        <f>INDEX(overview!$B$4:$R$338,MATCH(B1234,overview!$A$4:$A$338,0),MATCH(A1239,overview!$B$3:$R$3,0))</f>
        <v>1 kWh electricity</v>
      </c>
    </row>
    <row r="1240" spans="1:2" hidden="1" x14ac:dyDescent="0.2">
      <c r="A1240" t="s">
        <v>5</v>
      </c>
      <c r="B1240" s="45" t="str">
        <f>INDEX(overview!$B$4:$R$338,MATCH(B1234,overview!$A$4:$A$338,0),MATCH(A1240,overview!$B$3:$R$3,0))</f>
        <v>hydrogen</v>
      </c>
    </row>
    <row r="1241" spans="1:2" hidden="1" x14ac:dyDescent="0.2">
      <c r="A1241" t="s">
        <v>3</v>
      </c>
      <c r="B1241" s="45" t="str">
        <f>INDEX(overview!$B$4:$R$338,MATCH(B1234,overview!$A$4:$A$338,0),MATCH(A1241,overview!$B$3:$R$3,0))</f>
        <v>conversion</v>
      </c>
    </row>
    <row r="1242" spans="1:2" hidden="1" x14ac:dyDescent="0.2">
      <c r="A1242" t="s">
        <v>6</v>
      </c>
      <c r="B1242" s="45" t="str">
        <f>INDEX(overview!$B$4:$R$338,MATCH(B1234,overview!$A$4:$A$338,0),MATCH(A1242,overview!$B$3:$R$3,0))</f>
        <v>fuel cell, PEM</v>
      </c>
    </row>
    <row r="1243" spans="1:2" hidden="1" x14ac:dyDescent="0.2">
      <c r="A1243" t="s">
        <v>39</v>
      </c>
      <c r="B1243" s="45" t="str">
        <f>INDEX(overview!$B$4:$R$338,MATCH(B1234,overview!$A$4:$A$338,0),MATCH(A1243,overview!$B$3:$R$3,0))</f>
        <v>exergy</v>
      </c>
    </row>
    <row r="1244" spans="1:2" hidden="1" x14ac:dyDescent="0.2">
      <c r="A1244" t="s">
        <v>4</v>
      </c>
      <c r="B1244" s="45" t="str">
        <f>INDEX(overview!$B$4:$R$338,MATCH(B1234,overview!$A$4:$A$338,0),MATCH(A1244,overview!$B$3:$R$3,0))</f>
        <v>truck</v>
      </c>
    </row>
    <row r="1245" spans="1:2" hidden="1" x14ac:dyDescent="0.2">
      <c r="A1245" t="s">
        <v>38</v>
      </c>
      <c r="B1245" s="45">
        <f>INDEX(overview!$B$4:$R$338,MATCH(B1234,overview!$A$4:$A$338,0),MATCH(A1245,overview!$B$3:$R$3,0))</f>
        <v>200</v>
      </c>
    </row>
    <row r="1246" spans="1:2" hidden="1" x14ac:dyDescent="0.2">
      <c r="A1246" t="s">
        <v>12</v>
      </c>
      <c r="B1246" s="45" t="str">
        <f>INDEX(overview!$B$4:$R$338,MATCH(B1234,overview!$A$4:$A$338,0),MATCH(A1246,overview!$B$3:$R$3,0))</f>
        <v>Pressure vessel for stationary storage</v>
      </c>
    </row>
    <row r="1247" spans="1:2" hidden="1" x14ac:dyDescent="0.2">
      <c r="A1247" t="s">
        <v>34</v>
      </c>
      <c r="B1247" s="45">
        <f>INDEX(overview!$B$4:$R$338,MATCH(B1234,overview!$A$4:$A$338,0),MATCH(A1247,overview!$B$3:$R$3,0))</f>
        <v>0</v>
      </c>
    </row>
    <row r="1248" spans="1:2" hidden="1" x14ac:dyDescent="0.2">
      <c r="A1248" t="s">
        <v>15</v>
      </c>
      <c r="B1248" s="45" t="str">
        <f>INDEX(overview!$B$4:$R$338,MATCH(B1234,overview!$A$4:$A$338,0),MATCH(A1248,overview!$B$3:$R$3,0))</f>
        <v>Steam Methane Reforming, with CCS</v>
      </c>
    </row>
    <row r="1249" spans="1:2" hidden="1" x14ac:dyDescent="0.2">
      <c r="A1249" t="s">
        <v>14</v>
      </c>
      <c r="B1249" s="45" t="str">
        <f>INDEX(overview!$B$4:$R$338,MATCH(B1234,overview!$A$4:$A$338,0),MATCH(A1249,overview!$B$3:$R$3,0))</f>
        <v>natural gas</v>
      </c>
    </row>
    <row r="1250" spans="1:2" hidden="1" x14ac:dyDescent="0.2">
      <c r="A1250" t="s">
        <v>26</v>
      </c>
      <c r="B1250" s="45" t="str">
        <f>INDEX(overview!$B$4:$R$338,MATCH(B1234,overview!$A$4:$A$338,0),MATCH(A1250,overview!$B$3:$R$3,0))</f>
        <v>Switzerland</v>
      </c>
    </row>
    <row r="1251" spans="1:2" hidden="1" x14ac:dyDescent="0.2">
      <c r="A1251" t="s">
        <v>29</v>
      </c>
      <c r="B1251" s="45">
        <f>INDEX(overview!$B$4:$R$338,MATCH(B1234,overview!$A$4:$A$338,0),MATCH(A1251,overview!$B$3:$R$3,0))</f>
        <v>0</v>
      </c>
    </row>
    <row r="1252" spans="1:2" hidden="1" x14ac:dyDescent="0.2">
      <c r="A1252" t="str">
        <f>IF(B1236="megajoule","Heat","Electricity")&amp;" conversion efficiency [% LHV input]"</f>
        <v>Electricity conversion efficiency [% LHV input]</v>
      </c>
      <c r="B1252" s="46">
        <f>INDEX(parameters!$D$4:$N$20,MATCH(B1240&amp;B1242,parameters!$A$4:$A$20,0),MATCH(A1252,parameters!$D$3:$N$3,0))</f>
        <v>0.45</v>
      </c>
    </row>
    <row r="1253" spans="1:2" hidden="1" x14ac:dyDescent="0.2">
      <c r="A1253" t="str">
        <f>IF(B1236="megajoule","LHV [MJ/kg]","LHV [kWh/kg]")</f>
        <v>LHV [kWh/kg]</v>
      </c>
      <c r="B1253" s="47">
        <f>INDEX(parameters!$D$4:$N$20,MATCH(B1240&amp;B1242,parameters!$A$4:$A$20,0),MATCH(A1253,parameters!$D$3:$N$3,0))</f>
        <v>33.333333333333336</v>
      </c>
    </row>
    <row r="1254" spans="1:2" hidden="1" x14ac:dyDescent="0.2">
      <c r="A1254" t="s">
        <v>41</v>
      </c>
      <c r="B1254" s="48">
        <f>INDEX(parameters!$D$4:$N$20,MATCH(B1240&amp;B1242,parameters!$A$4:$A$20,0),MATCH(A1254,parameters!$D$3:$N$3,0))</f>
        <v>2.6666666666666665E-2</v>
      </c>
    </row>
    <row r="1255" spans="1:2" hidden="1" x14ac:dyDescent="0.2">
      <c r="A1255" t="s">
        <v>45</v>
      </c>
      <c r="B1255" s="46">
        <f>INDEX(parameters!$D$4:$N$20,MATCH(B1240&amp;B1242,parameters!$A$4:$A$20,0),MATCH(A1255,parameters!$D$3:$N$3,0))</f>
        <v>0</v>
      </c>
    </row>
    <row r="1256" spans="1:2" hidden="1" x14ac:dyDescent="0.2">
      <c r="A1256" t="s">
        <v>46</v>
      </c>
      <c r="B1256" s="46">
        <f>INDEX(parameters!$D$4:$N$20,MATCH(B1240&amp;B1242,parameters!$A$4:$A$20,0),MATCH(A1256,parameters!$D$3:$N$3,0))</f>
        <v>1.4999999999999999E-2</v>
      </c>
    </row>
    <row r="1257" spans="1:2" hidden="1" x14ac:dyDescent="0.2">
      <c r="A1257" t="s">
        <v>43</v>
      </c>
      <c r="B1257" s="46">
        <f>INDEX(parameters!$D$4:$N$20,MATCH(B1240&amp;B1242,parameters!$A$4:$A$20,0),MATCH(A1257,parameters!$D$3:$N$3,0))</f>
        <v>0</v>
      </c>
    </row>
    <row r="1258" spans="1:2" hidden="1" x14ac:dyDescent="0.2">
      <c r="A1258" t="s">
        <v>44</v>
      </c>
      <c r="B1258" s="46">
        <f>INDEX(parameters!$D$4:$N$20,MATCH(B1240&amp;B1242,parameters!$A$4:$A$20,0),MATCH(A1258,parameters!$D$3:$N$3,0))</f>
        <v>0</v>
      </c>
    </row>
    <row r="1259" spans="1:2" hidden="1" x14ac:dyDescent="0.2">
      <c r="A1259" t="s">
        <v>634</v>
      </c>
      <c r="B1259" s="50">
        <f>INDEX(parameters!$D$4:$Y$20,MATCH(B1240&amp;B1242,parameters!$A$4:$A$20,0),MATCH(A1259,parameters!$D$3:$Y$3,0))</f>
        <v>1.8947368421052633</v>
      </c>
    </row>
    <row r="1260" spans="1:2" hidden="1" x14ac:dyDescent="0.2">
      <c r="A1260" t="s">
        <v>82</v>
      </c>
      <c r="B1260" s="46">
        <f>IF(B1251&lt;&gt;0,VLOOKUP(B1251,parameters!A919:B921,2,0),0)</f>
        <v>0</v>
      </c>
    </row>
    <row r="1261" spans="1:2" hidden="1" x14ac:dyDescent="0.2">
      <c r="A1261" t="s">
        <v>548</v>
      </c>
      <c r="B1261" s="50">
        <f>INDEX(parameters!$D$4:$P$20,MATCH(B1240&amp;B1242,parameters!$A$4:$A$20,0),MATCH(A1261,parameters!$D$3:$P$3,0))</f>
        <v>0.8</v>
      </c>
    </row>
    <row r="1262" spans="1:2" hidden="1" x14ac:dyDescent="0.2">
      <c r="A1262" t="s">
        <v>547</v>
      </c>
      <c r="B1262" s="51">
        <f>INDEX(parameters!$D$4:$P$20,MATCH(B1240&amp;B1242,parameters!$A$4:$A$20,0),MATCH(A1262,parameters!$D$3:$P$3,0))</f>
        <v>4.8780487804878048</v>
      </c>
    </row>
    <row r="1263" spans="1:2" hidden="1" x14ac:dyDescent="0.2">
      <c r="A1263" t="s">
        <v>630</v>
      </c>
      <c r="B1263" s="51">
        <f>INDEX(parameters!$D$4:$T$20,MATCH(B1240&amp;B1242,parameters!$A$4:$A$20,0),MATCH(A1263,parameters!$D$3:$T$3,0))</f>
        <v>4100</v>
      </c>
    </row>
    <row r="1264" spans="1:2" hidden="1" x14ac:dyDescent="0.2">
      <c r="A1264" t="s">
        <v>1005</v>
      </c>
      <c r="B1264" s="50">
        <f>IF(B1236="megajoule",SUMIFS(allocation!$I$4:$I$30,allocation!$B$4:$B$30,B1242,allocation!$C$4:$C$30,B1243),SUMIFS(allocation!$J$4:$J$30,allocation!$B$4:$B$30,B1242,allocation!$C$4:$C$30,B1243))</f>
        <v>0.86066019201025545</v>
      </c>
    </row>
    <row r="1265" spans="1:22" hidden="1" x14ac:dyDescent="0.2">
      <c r="A1265" t="s">
        <v>1050</v>
      </c>
      <c r="B1265" s="51">
        <f>INDEX(parameters!$D$4:$AB$20,MATCH(B1240&amp;B1242,parameters!$A$4:$A$20,0),MATCH(A1265,parameters!$D$3:$AB$3,0))</f>
        <v>10.221606648199446</v>
      </c>
    </row>
    <row r="1266" spans="1:22" hidden="1" x14ac:dyDescent="0.2"/>
    <row r="1267" spans="1:22" hidden="1" x14ac:dyDescent="0.2">
      <c r="A1267" s="3" t="s">
        <v>57</v>
      </c>
    </row>
    <row r="1268" spans="1:22" hidden="1" x14ac:dyDescent="0.2">
      <c r="A1268" s="2" t="s">
        <v>58</v>
      </c>
      <c r="B1268" s="44" t="s">
        <v>59</v>
      </c>
      <c r="C1268" s="2" t="s">
        <v>55</v>
      </c>
      <c r="D1268" s="2" t="s">
        <v>60</v>
      </c>
      <c r="E1268" s="2" t="s">
        <v>52</v>
      </c>
      <c r="F1268" s="2" t="s">
        <v>61</v>
      </c>
      <c r="G1268" s="2" t="s">
        <v>54</v>
      </c>
      <c r="H1268" s="2" t="s">
        <v>87</v>
      </c>
      <c r="I1268" s="2" t="s">
        <v>51</v>
      </c>
      <c r="J1268" s="2" t="s">
        <v>138</v>
      </c>
      <c r="K1268" s="2" t="s">
        <v>136</v>
      </c>
      <c r="L1268" s="2" t="s">
        <v>221</v>
      </c>
      <c r="M1268" s="2" t="s">
        <v>379</v>
      </c>
      <c r="N1268" s="2" t="s">
        <v>1059</v>
      </c>
      <c r="O1268" s="2" t="s">
        <v>1060</v>
      </c>
      <c r="P1268" s="2" t="s">
        <v>1061</v>
      </c>
      <c r="Q1268" s="2" t="s">
        <v>1062</v>
      </c>
      <c r="R1268" s="2" t="s">
        <v>1063</v>
      </c>
      <c r="S1268" s="2" t="s">
        <v>1064</v>
      </c>
      <c r="T1268" s="2" t="s">
        <v>1065</v>
      </c>
      <c r="U1268" s="2" t="s">
        <v>380</v>
      </c>
      <c r="V1268" s="2" t="s">
        <v>1128</v>
      </c>
    </row>
    <row r="1269" spans="1:22" x14ac:dyDescent="0.2">
      <c r="A1269" t="str">
        <f>B1230</f>
        <v>electricity, residential, by conversion of hydrogen using fuel cell, PEM, allocated by exergy, transported by truck, produced by Steam Methane Reforming, with CCS using natural gas from Switzerland</v>
      </c>
      <c r="B1269" s="45">
        <v>1</v>
      </c>
      <c r="C1269" t="str">
        <f>B1236</f>
        <v>kilowatt hour</v>
      </c>
      <c r="E1269" t="str">
        <f>B1233</f>
        <v>CH</v>
      </c>
      <c r="F1269" t="s">
        <v>62</v>
      </c>
      <c r="G1269" t="str">
        <f>B1235</f>
        <v>electricity, from residential heating system</v>
      </c>
      <c r="K1269" t="str">
        <f>B1230</f>
        <v>electricity, residential, by conversion of hydrogen using fuel cell, PEM, allocated by exergy, transported by truck, produced by Steam Methane Reforming, with CCS using natural gas from Switzerland</v>
      </c>
    </row>
    <row r="1270" spans="1:22" hidden="1" x14ac:dyDescent="0.2">
      <c r="A1270" t="str">
        <f>VLOOKUP(J1270,'dataset mapping'!$A$4:$E$69,2,0)</f>
        <v>fuel cell system assembly, 1 kWe, proton exchange membrane (PEM)</v>
      </c>
      <c r="B1270" s="52">
        <f>(1/(B1259*B1263*B1262))*B1264</f>
        <v>2.2711866178048405E-5</v>
      </c>
      <c r="C1270" t="str">
        <f>VLOOKUP(J1270,'dataset mapping'!$A$4:$E$69,5,0)</f>
        <v>unit</v>
      </c>
      <c r="E1270" t="str">
        <f>VLOOKUP(J1270,'dataset mapping'!$A$4:$E$69,4,0)</f>
        <v>GLO</v>
      </c>
      <c r="F1270" t="s">
        <v>86</v>
      </c>
      <c r="G1270" t="str">
        <f>VLOOKUP(J1270,'dataset mapping'!$A$4:$E$69,3,0)</f>
        <v>fuel cell system, 1 kWe, proton exchange membrane (PEM)</v>
      </c>
      <c r="H1270" t="s">
        <v>88</v>
      </c>
      <c r="I1270" t="s">
        <v>272</v>
      </c>
      <c r="J1270" t="s">
        <v>273</v>
      </c>
      <c r="K1270" t="str">
        <f>B1230</f>
        <v>electricity, residential, by conversion of hydrogen using fuel cell, PEM, allocated by exergy, transported by truck, produced by Steam Methane Reforming, with CCS using natural gas from Switzerland</v>
      </c>
      <c r="L1270">
        <f t="shared" ref="L1270:L1273" si="80">IF(OR(B1270&lt;0,B1270=0),1,2)</f>
        <v>2</v>
      </c>
      <c r="M1270">
        <f t="shared" ref="M1270:M1273" si="81">IF(L1270=2,LN(B1270),"")</f>
        <v>-10.692623030936341</v>
      </c>
      <c r="N1270">
        <v>1</v>
      </c>
      <c r="O1270" s="15">
        <v>1.2</v>
      </c>
      <c r="P1270">
        <v>1</v>
      </c>
      <c r="Q1270">
        <v>1.01</v>
      </c>
      <c r="R1270">
        <v>1.2</v>
      </c>
      <c r="S1270">
        <v>1.2</v>
      </c>
      <c r="T1270">
        <v>3</v>
      </c>
      <c r="U1270">
        <f t="shared" ref="U1270:U1273" si="82">LN(SQRT(EXP(
SQRT(
+POWER(LN(N1270),2)
+POWER(LN(O1270),2)
+POWER(LN(P1270),2)
+POWER(LN(Q1270),2)
+POWER(LN(R1270),2)
+POWER(LN(S1270),2)
+POWER(LN(T1270),2)
)
)))</f>
        <v>0.57157051623399524</v>
      </c>
    </row>
    <row r="1271" spans="1:22" hidden="1" x14ac:dyDescent="0.2">
      <c r="A1271" s="45" t="str">
        <f>"hydrogen supply, transported by "&amp;B1244&amp;", produced by "&amp;B1248&amp;" using "&amp;B1249&amp;" from "&amp;B1250</f>
        <v>hydrogen supply, transported by truck, produced by Steam Methane Reforming, with CCS using natural gas from Switzerland</v>
      </c>
      <c r="B1271" s="53">
        <f>(B1269/B1253)/B1252*B1264</f>
        <v>5.7377346134017029E-2</v>
      </c>
      <c r="C1271" t="s">
        <v>56</v>
      </c>
      <c r="E1271" t="s">
        <v>64</v>
      </c>
      <c r="F1271" t="s">
        <v>86</v>
      </c>
      <c r="G1271" t="s">
        <v>1137</v>
      </c>
      <c r="H1271" t="s">
        <v>76</v>
      </c>
      <c r="I1271" t="s">
        <v>1054</v>
      </c>
      <c r="J1271" t="s">
        <v>306</v>
      </c>
      <c r="K1271" t="str">
        <f>B1230</f>
        <v>electricity, residential, by conversion of hydrogen using fuel cell, PEM, allocated by exergy, transported by truck, produced by Steam Methane Reforming, with CCS using natural gas from Switzerland</v>
      </c>
      <c r="L1271">
        <f t="shared" si="80"/>
        <v>2</v>
      </c>
      <c r="M1271">
        <f t="shared" si="81"/>
        <v>-2.8581057202127536</v>
      </c>
      <c r="N1271">
        <v>1</v>
      </c>
      <c r="O1271" s="15">
        <v>1.2</v>
      </c>
      <c r="P1271">
        <v>1</v>
      </c>
      <c r="Q1271">
        <v>1.01</v>
      </c>
      <c r="R1271">
        <v>1.2</v>
      </c>
      <c r="S1271">
        <v>1.2</v>
      </c>
      <c r="T1271">
        <v>1.05</v>
      </c>
      <c r="U1271">
        <f t="shared" si="82"/>
        <v>0.15984597228197622</v>
      </c>
    </row>
    <row r="1272" spans="1:22" hidden="1" x14ac:dyDescent="0.2">
      <c r="A1272" t="str">
        <f>VLOOKUP(J1272,'dataset mapping'!$A$4:$E$69,2,0)</f>
        <v>high pressure hydrogen storage tank</v>
      </c>
      <c r="B1272" s="52">
        <f>((B1265/10)/(B1263*B1259*20))*IF(B1264&lt;&gt;0,B1264,1)</f>
        <v>5.6622381053306285E-6</v>
      </c>
      <c r="C1272" t="str">
        <f>VLOOKUP(J1272,'dataset mapping'!$A$4:$E$69,5,0)</f>
        <v>kilogram</v>
      </c>
      <c r="E1272" t="str">
        <f>VLOOKUP(J1272,'dataset mapping'!$A$4:$E$69,4,0)</f>
        <v>GLO</v>
      </c>
      <c r="F1272" t="s">
        <v>86</v>
      </c>
      <c r="G1272" t="str">
        <f>VLOOKUP(J1272,'dataset mapping'!$A$4:$E$69,3,0)</f>
        <v>high pressure hydrogen storage tank</v>
      </c>
      <c r="H1272" t="s">
        <v>88</v>
      </c>
      <c r="I1272" t="s">
        <v>280</v>
      </c>
      <c r="J1272" t="s">
        <v>229</v>
      </c>
      <c r="K1272" t="str">
        <f>B1230</f>
        <v>electricity, residential, by conversion of hydrogen using fuel cell, PEM, allocated by exergy, transported by truck, produced by Steam Methane Reforming, with CCS using natural gas from Switzerland</v>
      </c>
      <c r="L1272">
        <f t="shared" si="80"/>
        <v>2</v>
      </c>
      <c r="M1272">
        <f t="shared" si="81"/>
        <v>-12.081691318938956</v>
      </c>
      <c r="N1272">
        <v>1</v>
      </c>
      <c r="O1272" s="15">
        <v>1.2</v>
      </c>
      <c r="P1272">
        <v>1</v>
      </c>
      <c r="Q1272">
        <v>1.01</v>
      </c>
      <c r="R1272">
        <v>1.2</v>
      </c>
      <c r="S1272">
        <v>1.2</v>
      </c>
      <c r="T1272">
        <v>3</v>
      </c>
      <c r="U1272">
        <f t="shared" si="82"/>
        <v>0.57157051623399524</v>
      </c>
    </row>
    <row r="1273" spans="1:22" hidden="1" x14ac:dyDescent="0.2">
      <c r="A1273" t="s">
        <v>134</v>
      </c>
      <c r="B1273" s="45">
        <f>B1271*9</f>
        <v>0.51639611520615325</v>
      </c>
      <c r="C1273" t="s">
        <v>56</v>
      </c>
      <c r="D1273" t="s">
        <v>100</v>
      </c>
      <c r="F1273" t="s">
        <v>99</v>
      </c>
      <c r="H1273" t="s">
        <v>131</v>
      </c>
      <c r="I1273" t="s">
        <v>1057</v>
      </c>
      <c r="K1273" t="str">
        <f>B1230</f>
        <v>electricity, residential, by conversion of hydrogen using fuel cell, PEM, allocated by exergy, transported by truck, produced by Steam Methane Reforming, with CCS using natural gas from Switzerland</v>
      </c>
      <c r="L1273">
        <f t="shared" si="80"/>
        <v>2</v>
      </c>
      <c r="M1273">
        <f t="shared" si="81"/>
        <v>-0.6608811428765341</v>
      </c>
      <c r="N1273">
        <v>1</v>
      </c>
      <c r="O1273" s="15">
        <v>1.2</v>
      </c>
      <c r="P1273">
        <v>1</v>
      </c>
      <c r="Q1273">
        <v>1.01</v>
      </c>
      <c r="R1273">
        <v>1.2</v>
      </c>
      <c r="S1273">
        <v>1.2</v>
      </c>
      <c r="T1273">
        <v>1.05</v>
      </c>
      <c r="U1273">
        <f t="shared" si="82"/>
        <v>0.15984597228197622</v>
      </c>
    </row>
    <row r="1274" spans="1:22" hidden="1" x14ac:dyDescent="0.2"/>
    <row r="1275" spans="1:22" hidden="1" x14ac:dyDescent="0.2">
      <c r="A1275" s="2" t="s">
        <v>50</v>
      </c>
      <c r="B1275" s="44" t="str">
        <f>IF(B1281="megajoule","heat","electricity")&amp;", residential, by "&amp;B1286&amp;" of "&amp;B1285&amp;" using "&amp;B1287&amp;IF(B1288&lt;&gt;0,", allocated by "&amp;B1288,"")&amp;", transported by "&amp;B1289&amp;", produced by "&amp;B1293&amp;" using "&amp;B1294&amp;" from "&amp;B1295</f>
        <v>electricity, residential, by conversion of hydrogen using fuel cell, SOFC, allocated by exergy, transported by truck, produced by Steam Methane Reforming, with CCS using natural gas from Switzerland</v>
      </c>
    </row>
    <row r="1276" spans="1:22" hidden="1" x14ac:dyDescent="0.2">
      <c r="A1276" t="s">
        <v>51</v>
      </c>
      <c r="B1276" s="45" t="str">
        <f>"This dataset represents the supply of 1 "&amp;IF(B1281="megajoule","megajoule of heat","kilowatt hour of electricity")&amp;" in a residence, by "&amp;B1285&amp;" "&amp;B1286&amp;" in a "&amp;B1287&amp;". "&amp;" The hydrogen is transported by "&amp;B1289&amp;" over "&amp;B1290&amp;" km from regional storage. "&amp;" The "&amp;B1285&amp;" is produced by  "&amp;B1293&amp;", with "&amp;B1294&amp;" from "&amp;B1295&amp;" as feedstock. "&amp;A1297&amp;": "&amp;(B1297*100)&amp;"%. "&amp;A1298&amp;": "&amp;B1298&amp;". "&amp;A1299&amp;": "&amp;B1299&amp;". "&amp;A1300&amp;": "&amp;(B1300*100)&amp;"%. "&amp;A1301&amp;": "&amp;(B1301*100)&amp;"%. "&amp;A1302&amp;": "&amp;(B1302*100)&amp;"%. "&amp;A1303&amp;": "&amp;B1303&amp;". "&amp;A1304&amp;": "&amp;B1304&amp;". "&amp;A1305&amp;": "&amp;(B1305*100)&amp;"%. "&amp;A1306&amp;": "&amp;B1306&amp;". "&amp;A1307&amp;": "&amp;B1307&amp;". "&amp;A1308&amp;": "&amp;B1308&amp;". "&amp;A1309&amp;": "&amp;B1309&amp;".  For more information, refer to: "&amp;B1277</f>
        <v>This dataset represents the supply of 1 kilowatt hour of electricity in a residence, by hydrogen conversion in a fuel cell, SOFC.  The hydrogen is transported by truck over 200 km from regional storage.  The hydrogen is produced by  Steam Methane Reforming, with CCS,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1277" spans="1:22" hidden="1" x14ac:dyDescent="0.2">
      <c r="A1277" t="s">
        <v>63</v>
      </c>
      <c r="B1277" s="45" t="s">
        <v>660</v>
      </c>
    </row>
    <row r="1278" spans="1:22" hidden="1" x14ac:dyDescent="0.2">
      <c r="A1278" t="s">
        <v>52</v>
      </c>
      <c r="B1278" s="45" t="s">
        <v>64</v>
      </c>
    </row>
    <row r="1279" spans="1:22" hidden="1" x14ac:dyDescent="0.2">
      <c r="A1279" t="s">
        <v>48</v>
      </c>
      <c r="B1279" s="45" t="s">
        <v>972</v>
      </c>
    </row>
    <row r="1280" spans="1:22" hidden="1" x14ac:dyDescent="0.2">
      <c r="A1280" t="s">
        <v>54</v>
      </c>
      <c r="B1280" s="45" t="str">
        <f>INDEX(overview!$B$4:$R$338,MATCH(B1279,overview!$A$4:$A$338,0),MATCH(A1280,overview!$B$3:$R$3,0))</f>
        <v>electricity, from residential heating system</v>
      </c>
    </row>
    <row r="1281" spans="1:2" hidden="1" x14ac:dyDescent="0.2">
      <c r="A1281" t="s">
        <v>55</v>
      </c>
      <c r="B1281" s="45" t="str">
        <f>INDEX(overview!$B$4:$R$338,MATCH(B1279,overview!$A$4:$A$338,0),MATCH(A1281,overview!$B$3:$R$3,0))</f>
        <v>kilowatt hour</v>
      </c>
    </row>
    <row r="1282" spans="1:2" hidden="1" x14ac:dyDescent="0.2">
      <c r="A1282" t="s">
        <v>0</v>
      </c>
      <c r="B1282" s="45" t="str">
        <f>INDEX(overview!$B$4:$R$338,MATCH(B1279,overview!$A$4:$A$338,0),MATCH(A1282,overview!$B$3:$R$3,0))</f>
        <v>Switzerland</v>
      </c>
    </row>
    <row r="1283" spans="1:2" hidden="1" x14ac:dyDescent="0.2">
      <c r="A1283" t="s">
        <v>1</v>
      </c>
      <c r="B1283" s="45">
        <f>INDEX(overview!$B$4:$R$338,MATCH(B1279,overview!$A$4:$A$338,0),MATCH(A1283,overview!$B$3:$R$3,0))</f>
        <v>2020</v>
      </c>
    </row>
    <row r="1284" spans="1:2" hidden="1" x14ac:dyDescent="0.2">
      <c r="A1284" t="s">
        <v>2</v>
      </c>
      <c r="B1284" s="45" t="str">
        <f>INDEX(overview!$B$4:$R$338,MATCH(B1279,overview!$A$4:$A$338,0),MATCH(A1284,overview!$B$3:$R$3,0))</f>
        <v>1 kWh electricity</v>
      </c>
    </row>
    <row r="1285" spans="1:2" hidden="1" x14ac:dyDescent="0.2">
      <c r="A1285" t="s">
        <v>5</v>
      </c>
      <c r="B1285" s="45" t="str">
        <f>INDEX(overview!$B$4:$R$338,MATCH(B1279,overview!$A$4:$A$338,0),MATCH(A1285,overview!$B$3:$R$3,0))</f>
        <v>hydrogen</v>
      </c>
    </row>
    <row r="1286" spans="1:2" hidden="1" x14ac:dyDescent="0.2">
      <c r="A1286" t="s">
        <v>3</v>
      </c>
      <c r="B1286" s="45" t="str">
        <f>INDEX(overview!$B$4:$R$338,MATCH(B1279,overview!$A$4:$A$338,0),MATCH(A1286,overview!$B$3:$R$3,0))</f>
        <v>conversion</v>
      </c>
    </row>
    <row r="1287" spans="1:2" hidden="1" x14ac:dyDescent="0.2">
      <c r="A1287" t="s">
        <v>6</v>
      </c>
      <c r="B1287" s="45" t="str">
        <f>INDEX(overview!$B$4:$R$338,MATCH(B1279,overview!$A$4:$A$338,0),MATCH(A1287,overview!$B$3:$R$3,0))</f>
        <v>fuel cell, SOFC</v>
      </c>
    </row>
    <row r="1288" spans="1:2" hidden="1" x14ac:dyDescent="0.2">
      <c r="A1288" t="s">
        <v>39</v>
      </c>
      <c r="B1288" s="45" t="str">
        <f>INDEX(overview!$B$4:$R$338,MATCH(B1279,overview!$A$4:$A$338,0),MATCH(A1288,overview!$B$3:$R$3,0))</f>
        <v>exergy</v>
      </c>
    </row>
    <row r="1289" spans="1:2" hidden="1" x14ac:dyDescent="0.2">
      <c r="A1289" t="s">
        <v>4</v>
      </c>
      <c r="B1289" s="45" t="str">
        <f>INDEX(overview!$B$4:$R$338,MATCH(B1279,overview!$A$4:$A$338,0),MATCH(A1289,overview!$B$3:$R$3,0))</f>
        <v>truck</v>
      </c>
    </row>
    <row r="1290" spans="1:2" hidden="1" x14ac:dyDescent="0.2">
      <c r="A1290" t="s">
        <v>38</v>
      </c>
      <c r="B1290" s="45">
        <f>INDEX(overview!$B$4:$R$338,MATCH(B1279,overview!$A$4:$A$338,0),MATCH(A1290,overview!$B$3:$R$3,0))</f>
        <v>200</v>
      </c>
    </row>
    <row r="1291" spans="1:2" hidden="1" x14ac:dyDescent="0.2">
      <c r="A1291" t="s">
        <v>12</v>
      </c>
      <c r="B1291" s="45" t="str">
        <f>INDEX(overview!$B$4:$R$338,MATCH(B1279,overview!$A$4:$A$338,0),MATCH(A1291,overview!$B$3:$R$3,0))</f>
        <v>Pressure vessel for stationary storage</v>
      </c>
    </row>
    <row r="1292" spans="1:2" hidden="1" x14ac:dyDescent="0.2">
      <c r="A1292" t="s">
        <v>34</v>
      </c>
      <c r="B1292" s="45">
        <f>INDEX(overview!$B$4:$R$338,MATCH(B1279,overview!$A$4:$A$338,0),MATCH(A1292,overview!$B$3:$R$3,0))</f>
        <v>0</v>
      </c>
    </row>
    <row r="1293" spans="1:2" hidden="1" x14ac:dyDescent="0.2">
      <c r="A1293" t="s">
        <v>15</v>
      </c>
      <c r="B1293" s="45" t="str">
        <f>INDEX(overview!$B$4:$R$338,MATCH(B1279,overview!$A$4:$A$338,0),MATCH(A1293,overview!$B$3:$R$3,0))</f>
        <v>Steam Methane Reforming, with CCS</v>
      </c>
    </row>
    <row r="1294" spans="1:2" hidden="1" x14ac:dyDescent="0.2">
      <c r="A1294" t="s">
        <v>14</v>
      </c>
      <c r="B1294" s="45" t="str">
        <f>INDEX(overview!$B$4:$R$338,MATCH(B1279,overview!$A$4:$A$338,0),MATCH(A1294,overview!$B$3:$R$3,0))</f>
        <v>natural gas</v>
      </c>
    </row>
    <row r="1295" spans="1:2" hidden="1" x14ac:dyDescent="0.2">
      <c r="A1295" t="s">
        <v>26</v>
      </c>
      <c r="B1295" s="45" t="str">
        <f>INDEX(overview!$B$4:$R$338,MATCH(B1279,overview!$A$4:$A$338,0),MATCH(A1295,overview!$B$3:$R$3,0))</f>
        <v>Switzerland</v>
      </c>
    </row>
    <row r="1296" spans="1:2" hidden="1" x14ac:dyDescent="0.2">
      <c r="A1296" t="s">
        <v>29</v>
      </c>
      <c r="B1296" s="45">
        <f>INDEX(overview!$B$4:$R$338,MATCH(B1279,overview!$A$4:$A$338,0),MATCH(A1296,overview!$B$3:$R$3,0))</f>
        <v>0</v>
      </c>
    </row>
    <row r="1297" spans="1:4" hidden="1" x14ac:dyDescent="0.2">
      <c r="A1297" t="str">
        <f>IF(B1281="megajoule","Heat","Electricity")&amp;" conversion efficiency [% LHV input]"</f>
        <v>Electricity conversion efficiency [% LHV input]</v>
      </c>
      <c r="B1297" s="46">
        <f>INDEX(parameters!$D$4:$N$20,MATCH(B1285&amp;B1287,parameters!$A$4:$A$20,0),MATCH(A1297,parameters!$D$3:$N$3,0))</f>
        <v>0.47</v>
      </c>
    </row>
    <row r="1298" spans="1:4" hidden="1" x14ac:dyDescent="0.2">
      <c r="A1298" t="str">
        <f>IF(B1281="megajoule","LHV [MJ/kg]","LHV [kWh/kg]")</f>
        <v>LHV [kWh/kg]</v>
      </c>
      <c r="B1298" s="47">
        <f>INDEX(parameters!$D$4:$N$20,MATCH(B1285&amp;B1287,parameters!$A$4:$A$20,0),MATCH(A1298,parameters!$D$3:$N$3,0))</f>
        <v>33.333333333333336</v>
      </c>
    </row>
    <row r="1299" spans="1:4" hidden="1" x14ac:dyDescent="0.2">
      <c r="A1299" t="s">
        <v>41</v>
      </c>
      <c r="B1299" s="48">
        <f>INDEX(parameters!$D$4:$N$20,MATCH(B1285&amp;B1287,parameters!$A$4:$A$20,0),MATCH(A1299,parameters!$D$3:$N$3,0))</f>
        <v>2.6666666666666665E-2</v>
      </c>
    </row>
    <row r="1300" spans="1:4" hidden="1" x14ac:dyDescent="0.2">
      <c r="A1300" t="s">
        <v>45</v>
      </c>
      <c r="B1300" s="46">
        <f>INDEX(parameters!$D$4:$N$20,MATCH(B1285&amp;B1287,parameters!$A$4:$A$20,0),MATCH(A1300,parameters!$D$3:$N$3,0))</f>
        <v>0</v>
      </c>
    </row>
    <row r="1301" spans="1:4" hidden="1" x14ac:dyDescent="0.2">
      <c r="A1301" t="s">
        <v>46</v>
      </c>
      <c r="B1301" s="46">
        <f>INDEX(parameters!$D$4:$N$20,MATCH(B1285&amp;B1287,parameters!$A$4:$A$20,0),MATCH(A1301,parameters!$D$3:$N$3,0))</f>
        <v>1.4999999999999999E-2</v>
      </c>
    </row>
    <row r="1302" spans="1:4" hidden="1" x14ac:dyDescent="0.2">
      <c r="A1302" t="s">
        <v>43</v>
      </c>
      <c r="B1302" s="46">
        <f>INDEX(parameters!$D$4:$N$20,MATCH(B1285&amp;B1287,parameters!$A$4:$A$20,0),MATCH(A1302,parameters!$D$3:$N$3,0))</f>
        <v>0</v>
      </c>
    </row>
    <row r="1303" spans="1:4" hidden="1" x14ac:dyDescent="0.2">
      <c r="A1303" t="s">
        <v>44</v>
      </c>
      <c r="B1303" s="46">
        <f>INDEX(parameters!$D$4:$N$20,MATCH(B1285&amp;B1287,parameters!$A$4:$A$20,0),MATCH(A1303,parameters!$D$3:$N$3,0))</f>
        <v>0</v>
      </c>
    </row>
    <row r="1304" spans="1:4" hidden="1" x14ac:dyDescent="0.2">
      <c r="A1304" t="s">
        <v>634</v>
      </c>
      <c r="B1304" s="50">
        <f>INDEX(parameters!$D$4:$Y$20,MATCH(B1285&amp;B1287,parameters!$A$4:$A$20,0),MATCH(A1304,parameters!$D$3:$Y$3,0))</f>
        <v>225</v>
      </c>
      <c r="D1304" s="8"/>
    </row>
    <row r="1305" spans="1:4" hidden="1" x14ac:dyDescent="0.2">
      <c r="A1305" t="s">
        <v>82</v>
      </c>
      <c r="B1305" s="46">
        <f>IF(B1296&lt;&gt;0,VLOOKUP(B1296,parameters!A967:B969,2,0),0)</f>
        <v>0</v>
      </c>
    </row>
    <row r="1306" spans="1:4" hidden="1" x14ac:dyDescent="0.2">
      <c r="A1306" t="s">
        <v>548</v>
      </c>
      <c r="B1306" s="50">
        <f>INDEX(parameters!$D$4:$P$20,MATCH(B1285&amp;B1287,parameters!$A$4:$A$20,0),MATCH(A1306,parameters!$D$3:$P$3,0))</f>
        <v>100</v>
      </c>
    </row>
    <row r="1307" spans="1:4" hidden="1" x14ac:dyDescent="0.2">
      <c r="A1307" t="s">
        <v>547</v>
      </c>
      <c r="B1307" s="51">
        <f>INDEX(parameters!$D$4:$P$20,MATCH(B1285&amp;B1287,parameters!$A$4:$A$20,0),MATCH(A1307,parameters!$D$3:$P$3,0))</f>
        <v>6</v>
      </c>
    </row>
    <row r="1308" spans="1:4" hidden="1" x14ac:dyDescent="0.2">
      <c r="A1308" t="s">
        <v>630</v>
      </c>
      <c r="B1308" s="51">
        <f>INDEX(parameters!$D$4:$T$20,MATCH(B1285&amp;B1287,parameters!$A$4:$A$20,0),MATCH(A1308,parameters!$D$3:$T$3,0))</f>
        <v>4100</v>
      </c>
    </row>
    <row r="1309" spans="1:4" hidden="1" x14ac:dyDescent="0.2">
      <c r="A1309" t="s">
        <v>1005</v>
      </c>
      <c r="B1309" s="50">
        <f>IF(B1281="megajoule",SUMIFS(allocation!$I$4:$I$30,allocation!$B$4:$B$30,B1287,allocation!$C$4:$C$30,B1288),SUMIFS(allocation!$J$4:$J$30,allocation!$B$4:$B$30,B1287,allocation!$C$4:$C$30,B1288))</f>
        <v>0.86412493489600906</v>
      </c>
    </row>
    <row r="1310" spans="1:4" hidden="1" x14ac:dyDescent="0.2">
      <c r="A1310" t="s">
        <v>1050</v>
      </c>
      <c r="B1310" s="51">
        <f>INDEX(parameters!$D$4:$AB$20,MATCH(B1285&amp;B1287,parameters!$A$4:$A$20,0),MATCH(A1310,parameters!$D$3:$AB$3,0))</f>
        <v>1153.1249999999998</v>
      </c>
    </row>
    <row r="1311" spans="1:4" hidden="1" x14ac:dyDescent="0.2"/>
    <row r="1312" spans="1:4" hidden="1" x14ac:dyDescent="0.2">
      <c r="A1312" s="3" t="s">
        <v>57</v>
      </c>
    </row>
    <row r="1313" spans="1:22" hidden="1" x14ac:dyDescent="0.2">
      <c r="A1313" s="2" t="s">
        <v>58</v>
      </c>
      <c r="B1313" s="44" t="s">
        <v>59</v>
      </c>
      <c r="C1313" s="2" t="s">
        <v>55</v>
      </c>
      <c r="D1313" s="2" t="s">
        <v>60</v>
      </c>
      <c r="E1313" s="2" t="s">
        <v>52</v>
      </c>
      <c r="F1313" s="2" t="s">
        <v>61</v>
      </c>
      <c r="G1313" s="2" t="s">
        <v>54</v>
      </c>
      <c r="H1313" s="2" t="s">
        <v>87</v>
      </c>
      <c r="I1313" s="2" t="s">
        <v>51</v>
      </c>
      <c r="J1313" s="2" t="s">
        <v>138</v>
      </c>
      <c r="K1313" s="2" t="s">
        <v>136</v>
      </c>
      <c r="L1313" s="2" t="s">
        <v>221</v>
      </c>
      <c r="M1313" s="2" t="s">
        <v>379</v>
      </c>
      <c r="N1313" s="2" t="s">
        <v>1059</v>
      </c>
      <c r="O1313" s="2" t="s">
        <v>1060</v>
      </c>
      <c r="P1313" s="2" t="s">
        <v>1061</v>
      </c>
      <c r="Q1313" s="2" t="s">
        <v>1062</v>
      </c>
      <c r="R1313" s="2" t="s">
        <v>1063</v>
      </c>
      <c r="S1313" s="2" t="s">
        <v>1064</v>
      </c>
      <c r="T1313" s="2" t="s">
        <v>1065</v>
      </c>
      <c r="U1313" s="2" t="s">
        <v>380</v>
      </c>
      <c r="V1313" s="2" t="s">
        <v>1128</v>
      </c>
    </row>
    <row r="1314" spans="1:22" x14ac:dyDescent="0.2">
      <c r="A1314" t="str">
        <f>B1275</f>
        <v>electricity, residential, by conversion of hydrogen using fuel cell, SOFC, allocated by exergy, transported by truck, produced by Steam Methane Reforming, with CCS using natural gas from Switzerland</v>
      </c>
      <c r="B1314" s="45">
        <v>1</v>
      </c>
      <c r="C1314" t="str">
        <f>B1281</f>
        <v>kilowatt hour</v>
      </c>
      <c r="E1314" t="str">
        <f>B1278</f>
        <v>CH</v>
      </c>
      <c r="F1314" t="s">
        <v>62</v>
      </c>
      <c r="G1314" t="str">
        <f>B1280</f>
        <v>electricity, from residential heating system</v>
      </c>
      <c r="K1314" t="str">
        <f>B1275</f>
        <v>electricity, residential, by conversion of hydrogen using fuel cell, SOFC, allocated by exergy, transported by truck, produced by Steam Methane Reforming, with CCS using natural gas from Switzerland</v>
      </c>
    </row>
    <row r="1315" spans="1:22" hidden="1" x14ac:dyDescent="0.2">
      <c r="A1315" t="str">
        <f>VLOOKUP(J1315,'dataset mapping'!$A$4:$E$69,2,0)</f>
        <v>fuel cell production, stack solid oxide, 125kW electrical, future</v>
      </c>
      <c r="B1315" s="52">
        <f>1/(62*1000000)/B1297*SUMIFS(allocation!$I$4:$I$30,allocation!$B$4:$B$30,B1287,allocation!$C$4:$C$30,B1288)</f>
        <v>4.6628368258061427E-9</v>
      </c>
      <c r="C1315" t="str">
        <f>VLOOKUP(J1315,'dataset mapping'!$A$4:$E$69,5,0)</f>
        <v>unit</v>
      </c>
      <c r="E1315" t="str">
        <f>VLOOKUP(J1315,'dataset mapping'!$A$4:$E$69,4,0)</f>
        <v>CH</v>
      </c>
      <c r="F1315" t="s">
        <v>86</v>
      </c>
      <c r="G1315" t="str">
        <f>VLOOKUP(J1315,'dataset mapping'!$A$4:$E$69,3,0)</f>
        <v>fuel cell, stack solid oxide, 125kW electrical, future</v>
      </c>
      <c r="H1315" t="s">
        <v>88</v>
      </c>
      <c r="I1315" t="s">
        <v>277</v>
      </c>
      <c r="J1315" t="s">
        <v>274</v>
      </c>
      <c r="K1315" t="str">
        <f>B1275</f>
        <v>electricity, residential, by conversion of hydrogen using fuel cell, SOFC, allocated by exergy, transported by truck, produced by Steam Methane Reforming, with CCS using natural gas from Switzerland</v>
      </c>
      <c r="L1315">
        <f t="shared" ref="L1315:L1321" si="83">IF(OR(B1315&lt;0,B1315=0),1,2)</f>
        <v>2</v>
      </c>
      <c r="M1315">
        <f t="shared" ref="M1315:M1321" si="84">IF(L1315=2,LN(B1315),"")</f>
        <v>-19.183641813126002</v>
      </c>
      <c r="N1315">
        <v>1</v>
      </c>
      <c r="O1315" s="15">
        <v>1.2</v>
      </c>
      <c r="P1315">
        <v>1</v>
      </c>
      <c r="Q1315">
        <v>1.01</v>
      </c>
      <c r="R1315">
        <v>1.2</v>
      </c>
      <c r="S1315">
        <v>1.2</v>
      </c>
      <c r="T1315">
        <v>3</v>
      </c>
      <c r="U1315">
        <f t="shared" ref="U1315:U1321" si="85">LN(SQRT(EXP(
SQRT(
+POWER(LN(N1315),2)
+POWER(LN(O1315),2)
+POWER(LN(P1315),2)
+POWER(LN(Q1315),2)
+POWER(LN(R1315),2)
+POWER(LN(S1315),2)
+POWER(LN(T1315),2)
)
)))</f>
        <v>0.57157051623399524</v>
      </c>
    </row>
    <row r="1316" spans="1:22" hidden="1" x14ac:dyDescent="0.2">
      <c r="A1316" t="s">
        <v>283</v>
      </c>
      <c r="B1316" s="52">
        <f>0.000000145/B1297*SUMIFS(allocation!$I$4:$I$30,allocation!$B$4:$B$30,B1287,allocation!$C$4:$C$30,B1288)</f>
        <v>4.1918903063997216E-8</v>
      </c>
      <c r="C1316" t="s">
        <v>55</v>
      </c>
      <c r="E1316" t="s">
        <v>64</v>
      </c>
      <c r="F1316" t="s">
        <v>86</v>
      </c>
      <c r="G1316" t="s">
        <v>284</v>
      </c>
      <c r="H1316" t="s">
        <v>88</v>
      </c>
      <c r="I1316" t="s">
        <v>277</v>
      </c>
      <c r="K1316" t="str">
        <f>B1275</f>
        <v>electricity, residential, by conversion of hydrogen using fuel cell, SOFC, allocated by exergy, transported by truck, produced by Steam Methane Reforming, with CCS using natural gas from Switzerland</v>
      </c>
      <c r="L1316">
        <f t="shared" si="83"/>
        <v>2</v>
      </c>
      <c r="M1316">
        <f t="shared" si="84"/>
        <v>-16.987528964642475</v>
      </c>
      <c r="N1316">
        <v>1</v>
      </c>
      <c r="O1316" s="15">
        <v>1.2</v>
      </c>
      <c r="P1316">
        <v>1</v>
      </c>
      <c r="Q1316">
        <v>1.01</v>
      </c>
      <c r="R1316">
        <v>1.2</v>
      </c>
      <c r="S1316">
        <v>1.2</v>
      </c>
      <c r="T1316">
        <v>3</v>
      </c>
      <c r="U1316">
        <f t="shared" si="85"/>
        <v>0.57157051623399524</v>
      </c>
    </row>
    <row r="1317" spans="1:22" hidden="1" x14ac:dyDescent="0.2">
      <c r="A1317" t="s">
        <v>285</v>
      </c>
      <c r="B1317" s="52">
        <f>0.0000000115/B1297*SUMIFS(allocation!$I$4:$I$30,allocation!$B$4:$B$30,B1287,allocation!$C$4:$C$30,B1288)</f>
        <v>3.3246026567997794E-9</v>
      </c>
      <c r="C1317" t="s">
        <v>55</v>
      </c>
      <c r="E1317" t="s">
        <v>90</v>
      </c>
      <c r="F1317" t="s">
        <v>86</v>
      </c>
      <c r="G1317" t="s">
        <v>286</v>
      </c>
      <c r="H1317" t="s">
        <v>88</v>
      </c>
      <c r="K1317" t="str">
        <f>B1275</f>
        <v>electricity, residential, by conversion of hydrogen using fuel cell, SOFC, allocated by exergy, transported by truck, produced by Steam Methane Reforming, with CCS using natural gas from Switzerland</v>
      </c>
      <c r="L1317">
        <f t="shared" si="83"/>
        <v>2</v>
      </c>
      <c r="M1317">
        <f t="shared" si="84"/>
        <v>-19.521915671693844</v>
      </c>
      <c r="N1317">
        <v>1</v>
      </c>
      <c r="O1317" s="15">
        <v>1.2</v>
      </c>
      <c r="P1317">
        <v>1</v>
      </c>
      <c r="Q1317">
        <v>1.01</v>
      </c>
      <c r="R1317">
        <v>1.2</v>
      </c>
      <c r="S1317">
        <v>1.2</v>
      </c>
      <c r="T1317">
        <v>3</v>
      </c>
      <c r="U1317">
        <f t="shared" si="85"/>
        <v>0.57157051623399524</v>
      </c>
    </row>
    <row r="1318" spans="1:22" hidden="1" x14ac:dyDescent="0.2">
      <c r="A1318" t="s">
        <v>288</v>
      </c>
      <c r="B1318" s="52">
        <f>0.000024/B1297*SUMIFS(allocation!$I$4:$I$30,allocation!$B$4:$B$30,B1287,allocation!$C$4:$C$30,B1288)</f>
        <v>6.9383011967995388E-6</v>
      </c>
      <c r="C1318" t="s">
        <v>56</v>
      </c>
      <c r="E1318" t="s">
        <v>64</v>
      </c>
      <c r="F1318" t="s">
        <v>86</v>
      </c>
      <c r="G1318" t="s">
        <v>287</v>
      </c>
      <c r="H1318" t="s">
        <v>88</v>
      </c>
      <c r="K1318" t="str">
        <f>B1275</f>
        <v>electricity, residential, by conversion of hydrogen using fuel cell, SOFC, allocated by exergy, transported by truck, produced by Steam Methane Reforming, with CCS using natural gas from Switzerland</v>
      </c>
      <c r="L1318">
        <f t="shared" si="83"/>
        <v>2</v>
      </c>
      <c r="M1318">
        <f t="shared" si="84"/>
        <v>-11.878453597732966</v>
      </c>
      <c r="N1318">
        <v>1</v>
      </c>
      <c r="O1318" s="15">
        <v>1.2</v>
      </c>
      <c r="P1318">
        <v>1</v>
      </c>
      <c r="Q1318">
        <v>1.01</v>
      </c>
      <c r="R1318">
        <v>1.2</v>
      </c>
      <c r="S1318">
        <v>1.2</v>
      </c>
      <c r="T1318">
        <v>1.05</v>
      </c>
      <c r="U1318">
        <f t="shared" si="85"/>
        <v>0.15984597228197622</v>
      </c>
    </row>
    <row r="1319" spans="1:22" hidden="1" x14ac:dyDescent="0.2">
      <c r="A1319" s="45" t="str">
        <f>"hydrogen supply, transported by "&amp;B1289&amp;", produced by "&amp;B1293&amp;" using "&amp;B1294&amp;" from "&amp;B1295</f>
        <v>hydrogen supply, transported by truck, produced by Steam Methane Reforming, with CCS using natural gas from Switzerland</v>
      </c>
      <c r="B1319" s="53">
        <f>(B1314/B1298)/B1297*B1309</f>
        <v>5.515691073804313E-2</v>
      </c>
      <c r="C1319" t="s">
        <v>56</v>
      </c>
      <c r="E1319" t="s">
        <v>64</v>
      </c>
      <c r="F1319" t="s">
        <v>86</v>
      </c>
      <c r="G1319" t="s">
        <v>1137</v>
      </c>
      <c r="H1319" t="s">
        <v>76</v>
      </c>
      <c r="I1319" t="s">
        <v>1054</v>
      </c>
      <c r="J1319" t="s">
        <v>306</v>
      </c>
      <c r="K1319" t="str">
        <f>B1275</f>
        <v>electricity, residential, by conversion of hydrogen using fuel cell, SOFC, allocated by exergy, transported by truck, produced by Steam Methane Reforming, with CCS using natural gas from Switzerland</v>
      </c>
      <c r="L1319">
        <f t="shared" si="83"/>
        <v>2</v>
      </c>
      <c r="M1319">
        <f t="shared" si="84"/>
        <v>-2.8975732330996009</v>
      </c>
      <c r="N1319">
        <v>1</v>
      </c>
      <c r="O1319" s="15">
        <v>1.2</v>
      </c>
      <c r="P1319">
        <v>1</v>
      </c>
      <c r="Q1319">
        <v>1.01</v>
      </c>
      <c r="R1319">
        <v>1.2</v>
      </c>
      <c r="S1319">
        <v>1.2</v>
      </c>
      <c r="T1319">
        <v>1.05</v>
      </c>
      <c r="U1319">
        <f t="shared" si="85"/>
        <v>0.15984597228197622</v>
      </c>
    </row>
    <row r="1320" spans="1:22" hidden="1" x14ac:dyDescent="0.2">
      <c r="A1320" t="str">
        <f>VLOOKUP(J1320,'dataset mapping'!$A$4:$E$69,2,0)</f>
        <v>high pressure hydrogen storage tank</v>
      </c>
      <c r="B1320" s="52">
        <f>((B1310/10)/(B1308*B1304*20))*IF(B1309&lt;&gt;0,B1309,1)</f>
        <v>5.400780843100055E-6</v>
      </c>
      <c r="C1320" t="str">
        <f>VLOOKUP(J1320,'dataset mapping'!$A$4:$E$69,5,0)</f>
        <v>kilogram</v>
      </c>
      <c r="E1320" t="str">
        <f>VLOOKUP(J1320,'dataset mapping'!$A$4:$E$69,4,0)</f>
        <v>GLO</v>
      </c>
      <c r="F1320" t="s">
        <v>86</v>
      </c>
      <c r="G1320" t="str">
        <f>VLOOKUP(J1320,'dataset mapping'!$A$4:$E$69,3,0)</f>
        <v>high pressure hydrogen storage tank</v>
      </c>
      <c r="H1320" t="s">
        <v>88</v>
      </c>
      <c r="I1320" t="s">
        <v>230</v>
      </c>
      <c r="J1320" t="s">
        <v>229</v>
      </c>
      <c r="K1320" t="str">
        <f>B1275</f>
        <v>electricity, residential, by conversion of hydrogen using fuel cell, SOFC, allocated by exergy, transported by truck, produced by Steam Methane Reforming, with CCS using natural gas from Switzerland</v>
      </c>
      <c r="L1320">
        <f t="shared" si="83"/>
        <v>2</v>
      </c>
      <c r="M1320">
        <f t="shared" si="84"/>
        <v>-12.128967014273616</v>
      </c>
      <c r="N1320">
        <v>1</v>
      </c>
      <c r="O1320" s="15">
        <v>1.2</v>
      </c>
      <c r="P1320">
        <v>1</v>
      </c>
      <c r="Q1320">
        <v>1.01</v>
      </c>
      <c r="R1320">
        <v>1.2</v>
      </c>
      <c r="S1320">
        <v>1.2</v>
      </c>
      <c r="T1320">
        <v>3</v>
      </c>
      <c r="U1320">
        <f t="shared" si="85"/>
        <v>0.57157051623399524</v>
      </c>
    </row>
    <row r="1321" spans="1:22" hidden="1" x14ac:dyDescent="0.2">
      <c r="A1321" t="s">
        <v>134</v>
      </c>
      <c r="B1321" s="45">
        <f>B1319*9</f>
        <v>0.49641219664238817</v>
      </c>
      <c r="C1321" t="s">
        <v>56</v>
      </c>
      <c r="D1321" t="s">
        <v>100</v>
      </c>
      <c r="F1321" t="s">
        <v>99</v>
      </c>
      <c r="H1321" t="s">
        <v>131</v>
      </c>
      <c r="I1321" t="s">
        <v>1057</v>
      </c>
      <c r="K1321" t="str">
        <f>B1275</f>
        <v>electricity, residential, by conversion of hydrogen using fuel cell, SOFC, allocated by exergy, transported by truck, produced by Steam Methane Reforming, with CCS using natural gas from Switzerland</v>
      </c>
      <c r="L1321">
        <f t="shared" si="83"/>
        <v>2</v>
      </c>
      <c r="M1321">
        <f t="shared" si="84"/>
        <v>-0.70034865576338168</v>
      </c>
      <c r="N1321">
        <v>1</v>
      </c>
      <c r="O1321" s="15">
        <v>1.2</v>
      </c>
      <c r="P1321">
        <v>1</v>
      </c>
      <c r="Q1321">
        <v>1.01</v>
      </c>
      <c r="R1321">
        <v>1.2</v>
      </c>
      <c r="S1321">
        <v>1.2</v>
      </c>
      <c r="T1321">
        <v>1.05</v>
      </c>
      <c r="U1321">
        <f t="shared" si="85"/>
        <v>0.15984597228197622</v>
      </c>
    </row>
    <row r="1322" spans="1:22" hidden="1" x14ac:dyDescent="0.2"/>
    <row r="1323" spans="1:22" hidden="1" x14ac:dyDescent="0.2">
      <c r="A1323" s="2" t="s">
        <v>50</v>
      </c>
      <c r="B1323" s="44" t="str">
        <f>IF(B1329="megajoule","heat","electricity")&amp;", residential, by "&amp;B1334&amp;" of "&amp;B1333&amp;" using "&amp;B1335&amp;IF(B1336&lt;&gt;0,", allocated by "&amp;B1336,"")&amp;", transported by "&amp;B1337&amp;", produced by "&amp;B1341&amp;" using "&amp;B1342&amp;" from "&amp;B1343</f>
        <v>heat, residential, by combustion of hydrogen using boiler, transported by pipeline, produced by Steam Methane Reforming using natural gas from Russia</v>
      </c>
    </row>
    <row r="1324" spans="1:22" hidden="1" x14ac:dyDescent="0.2">
      <c r="A1324" t="s">
        <v>51</v>
      </c>
      <c r="B1324" s="45" t="str">
        <f>"This dataset represents the supply of 1 "&amp;IF(B1329="megajoule","megajoule of heat","kilowatt hour of electricity")&amp;" in a residence, by "&amp;B1333&amp;" "&amp;B1334&amp;" in a "&amp;B1335&amp;". "&amp;" The hydrogen is transported by "&amp;B1337&amp;" over "&amp;B1338&amp;" km from regional storage. "&amp;" The "&amp;B1333&amp;" is produced by  "&amp;B1341&amp;", with "&amp;B1342&amp;" from "&amp;B1343&amp;" as feedstock. "&amp;A1345&amp;": "&amp;(B1345*100)&amp;"%. "&amp;A1346&amp;": "&amp;B1346&amp;". "&amp;A1347&amp;": "&amp;B1347&amp;". "&amp;A1348&amp;": "&amp;(B1348*100)&amp;"%. "&amp;A1349&amp;": "&amp;(B1349*100)&amp;"%. "&amp;A1350&amp;": "&amp;(B1350*100)&amp;"%. "&amp;A1351&amp;": "&amp;B1351&amp;". "&amp;A1352&amp;": "&amp;B1352&amp;". "&amp;A1353&amp;": "&amp;(B1353*100)&amp;"%. "&amp;A1354&amp;": "&amp;B1354&amp;". "&amp;A1355&amp;": "&amp;B1355&amp;". "&amp;A1356&amp;": "&amp;B1356&amp;". "&amp;A1357&amp;": "&amp;B1357&amp;".  For more information, refer to: "&amp;B1325</f>
        <v>This dataset represents the supply of 1 megajoule of heat in a residence, by hydrogen combustion in a boiler.  The hydrogen is transported by pipeline over 500 km from regional storage.  The hydrogen is produced by  Steam Methane Reforming, with natural gas from Russia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1325" spans="1:22" hidden="1" x14ac:dyDescent="0.2">
      <c r="A1325" t="s">
        <v>63</v>
      </c>
      <c r="B1325" s="45" t="s">
        <v>660</v>
      </c>
    </row>
    <row r="1326" spans="1:22" hidden="1" x14ac:dyDescent="0.2">
      <c r="A1326" t="s">
        <v>52</v>
      </c>
      <c r="B1326" s="45" t="s">
        <v>64</v>
      </c>
    </row>
    <row r="1327" spans="1:22" hidden="1" x14ac:dyDescent="0.2">
      <c r="A1327" t="s">
        <v>48</v>
      </c>
      <c r="B1327" s="45">
        <v>161</v>
      </c>
    </row>
    <row r="1328" spans="1:22" hidden="1" x14ac:dyDescent="0.2">
      <c r="A1328" t="s">
        <v>54</v>
      </c>
      <c r="B1328" s="45" t="str">
        <f>INDEX(overview!$B$4:$R$338,MATCH(B1327,overview!$A$4:$A$338,0),MATCH(A1328,overview!$B$3:$R$3,0))</f>
        <v>heat, from residential heating system</v>
      </c>
    </row>
    <row r="1329" spans="1:2" hidden="1" x14ac:dyDescent="0.2">
      <c r="A1329" t="s">
        <v>55</v>
      </c>
      <c r="B1329" s="45" t="str">
        <f>INDEX(overview!$B$4:$R$338,MATCH(B1327,overview!$A$4:$A$338,0),MATCH(A1329,overview!$B$3:$R$3,0))</f>
        <v>megajoule</v>
      </c>
    </row>
    <row r="1330" spans="1:2" hidden="1" x14ac:dyDescent="0.2">
      <c r="A1330" t="s">
        <v>0</v>
      </c>
      <c r="B1330" s="45" t="str">
        <f>INDEX(overview!$B$4:$R$338,MATCH(B1327,overview!$A$4:$A$338,0),MATCH(A1330,overview!$B$3:$R$3,0))</f>
        <v>Switzerland</v>
      </c>
    </row>
    <row r="1331" spans="1:2" hidden="1" x14ac:dyDescent="0.2">
      <c r="A1331" t="s">
        <v>1</v>
      </c>
      <c r="B1331" s="45">
        <f>INDEX(overview!$B$4:$R$338,MATCH(B1327,overview!$A$4:$A$338,0),MATCH(A1331,overview!$B$3:$R$3,0))</f>
        <v>2020</v>
      </c>
    </row>
    <row r="1332" spans="1:2" hidden="1" x14ac:dyDescent="0.2">
      <c r="A1332" t="s">
        <v>2</v>
      </c>
      <c r="B1332" s="45" t="str">
        <f>INDEX(overview!$B$4:$R$338,MATCH(B1327,overview!$A$4:$A$338,0),MATCH(A1332,overview!$B$3:$R$3,0))</f>
        <v>1 MJ heat</v>
      </c>
    </row>
    <row r="1333" spans="1:2" hidden="1" x14ac:dyDescent="0.2">
      <c r="A1333" t="s">
        <v>5</v>
      </c>
      <c r="B1333" s="45" t="str">
        <f>INDEX(overview!$B$4:$R$338,MATCH(B1327,overview!$A$4:$A$338,0),MATCH(A1333,overview!$B$3:$R$3,0))</f>
        <v>hydrogen</v>
      </c>
    </row>
    <row r="1334" spans="1:2" hidden="1" x14ac:dyDescent="0.2">
      <c r="A1334" t="s">
        <v>3</v>
      </c>
      <c r="B1334" s="45" t="str">
        <f>INDEX(overview!$B$4:$R$338,MATCH(B1327,overview!$A$4:$A$338,0),MATCH(A1334,overview!$B$3:$R$3,0))</f>
        <v>combustion</v>
      </c>
    </row>
    <row r="1335" spans="1:2" hidden="1" x14ac:dyDescent="0.2">
      <c r="A1335" t="s">
        <v>6</v>
      </c>
      <c r="B1335" s="45" t="str">
        <f>INDEX(overview!$B$4:$R$338,MATCH(B1327,overview!$A$4:$A$338,0),MATCH(A1335,overview!$B$3:$R$3,0))</f>
        <v>boiler</v>
      </c>
    </row>
    <row r="1336" spans="1:2" hidden="1" x14ac:dyDescent="0.2">
      <c r="A1336" t="s">
        <v>39</v>
      </c>
      <c r="B1336" s="45">
        <f>INDEX(overview!$B$4:$R$338,MATCH(B1327,overview!$A$4:$A$338,0),MATCH(A1336,overview!$B$3:$R$3,0))</f>
        <v>0</v>
      </c>
    </row>
    <row r="1337" spans="1:2" hidden="1" x14ac:dyDescent="0.2">
      <c r="A1337" t="s">
        <v>4</v>
      </c>
      <c r="B1337" s="45" t="str">
        <f>INDEX(overview!$B$4:$R$338,MATCH(B1327,overview!$A$4:$A$338,0),MATCH(A1337,overview!$B$3:$R$3,0))</f>
        <v>pipeline</v>
      </c>
    </row>
    <row r="1338" spans="1:2" hidden="1" x14ac:dyDescent="0.2">
      <c r="A1338" t="s">
        <v>38</v>
      </c>
      <c r="B1338" s="45">
        <f>INDEX(overview!$B$4:$R$338,MATCH(B1327,overview!$A$4:$A$338,0),MATCH(A1338,overview!$B$3:$R$3,0))</f>
        <v>500</v>
      </c>
    </row>
    <row r="1339" spans="1:2" hidden="1" x14ac:dyDescent="0.2">
      <c r="A1339" t="s">
        <v>12</v>
      </c>
      <c r="B1339" s="45" t="str">
        <f>INDEX(overview!$B$4:$R$338,MATCH(B1327,overview!$A$4:$A$338,0),MATCH(A1339,overview!$B$3:$R$3,0))</f>
        <v>Pressure vessel for stationary storage</v>
      </c>
    </row>
    <row r="1340" spans="1:2" hidden="1" x14ac:dyDescent="0.2">
      <c r="A1340" t="s">
        <v>34</v>
      </c>
      <c r="B1340" s="45">
        <f>INDEX(overview!$B$4:$R$338,MATCH(B1327,overview!$A$4:$A$338,0),MATCH(A1340,overview!$B$3:$R$3,0))</f>
        <v>0</v>
      </c>
    </row>
    <row r="1341" spans="1:2" hidden="1" x14ac:dyDescent="0.2">
      <c r="A1341" t="s">
        <v>15</v>
      </c>
      <c r="B1341" s="45" t="str">
        <f>INDEX(overview!$B$4:$R$338,MATCH(B1327,overview!$A$4:$A$338,0),MATCH(A1341,overview!$B$3:$R$3,0))</f>
        <v>Steam Methane Reforming</v>
      </c>
    </row>
    <row r="1342" spans="1:2" hidden="1" x14ac:dyDescent="0.2">
      <c r="A1342" t="s">
        <v>14</v>
      </c>
      <c r="B1342" s="45" t="str">
        <f>INDEX(overview!$B$4:$R$338,MATCH(B1327,overview!$A$4:$A$338,0),MATCH(A1342,overview!$B$3:$R$3,0))</f>
        <v>natural gas</v>
      </c>
    </row>
    <row r="1343" spans="1:2" hidden="1" x14ac:dyDescent="0.2">
      <c r="A1343" t="s">
        <v>26</v>
      </c>
      <c r="B1343" s="45" t="str">
        <f>INDEX(overview!$B$4:$R$338,MATCH(B1327,overview!$A$4:$A$338,0),MATCH(A1343,overview!$B$3:$R$3,0))</f>
        <v>Russia</v>
      </c>
    </row>
    <row r="1344" spans="1:2" hidden="1" x14ac:dyDescent="0.2">
      <c r="A1344" t="s">
        <v>29</v>
      </c>
      <c r="B1344" s="45">
        <f>INDEX(overview!$B$4:$R$338,MATCH(B1327,overview!$A$4:$A$338,0),MATCH(A1344,overview!$B$3:$R$3,0))</f>
        <v>0</v>
      </c>
    </row>
    <row r="1345" spans="1:2" hidden="1" x14ac:dyDescent="0.2">
      <c r="A1345" t="str">
        <f>IF(B1329="megajoule","Heat","Electricity")&amp;" conversion efficiency [% LHV input]"</f>
        <v>Heat conversion efficiency [% LHV input]</v>
      </c>
      <c r="B1345" s="46">
        <f>INDEX(parameters!$D$4:$N$20,MATCH(B1333&amp;B1335,parameters!$A$4:$A$20,0),MATCH(A1345,parameters!$D$3:$N$3,0))</f>
        <v>0.94</v>
      </c>
    </row>
    <row r="1346" spans="1:2" hidden="1" x14ac:dyDescent="0.2">
      <c r="A1346" t="str">
        <f>IF(B1329="megajoule","LHV [MJ/kg]","LHV [kWh/kg]")</f>
        <v>LHV [MJ/kg]</v>
      </c>
      <c r="B1346" s="47">
        <f>INDEX(parameters!$D$4:$N$20,MATCH(B1333&amp;B1335,parameters!$A$4:$A$20,0),MATCH(A1346,parameters!$D$3:$N$3,0))</f>
        <v>120</v>
      </c>
    </row>
    <row r="1347" spans="1:2" hidden="1" x14ac:dyDescent="0.2">
      <c r="A1347" t="s">
        <v>41</v>
      </c>
      <c r="B1347" s="48">
        <f>INDEX(parameters!$D$4:$N$20,MATCH(B1333&amp;B1335,parameters!$A$4:$A$20,0),MATCH(A1347,parameters!$D$3:$N$3,0))</f>
        <v>2.6666666666666665E-2</v>
      </c>
    </row>
    <row r="1348" spans="1:2" hidden="1" x14ac:dyDescent="0.2">
      <c r="A1348" t="s">
        <v>45</v>
      </c>
      <c r="B1348" s="49">
        <f>INDEX(parameters!$D$4:$N$20,MATCH(B1333&amp;B1335,parameters!$A$4:$A$20,0),MATCH(A1348,parameters!$D$3:$N$3,0))</f>
        <v>0</v>
      </c>
    </row>
    <row r="1349" spans="1:2" hidden="1" x14ac:dyDescent="0.2">
      <c r="A1349" t="s">
        <v>46</v>
      </c>
      <c r="B1349" s="49">
        <f>INDEX(parameters!$D$4:$N$20,MATCH(B1333&amp;B1335,parameters!$A$4:$A$20,0),MATCH(A1349,parameters!$D$3:$N$3,0))</f>
        <v>1.4999999999999999E-2</v>
      </c>
    </row>
    <row r="1350" spans="1:2" hidden="1" x14ac:dyDescent="0.2">
      <c r="A1350" t="s">
        <v>43</v>
      </c>
      <c r="B1350" s="49">
        <f>INDEX(parameters!$D$4:$N$20,MATCH(B1333&amp;B1335,parameters!$A$4:$A$20,0),MATCH(A1350,parameters!$D$3:$N$3,0))</f>
        <v>0</v>
      </c>
    </row>
    <row r="1351" spans="1:2" hidden="1" x14ac:dyDescent="0.2">
      <c r="A1351" t="s">
        <v>44</v>
      </c>
      <c r="B1351" s="49">
        <f>INDEX(parameters!$D$4:$N$20,MATCH(B1333&amp;B1335,parameters!$A$4:$A$20,0),MATCH(A1351,parameters!$D$3:$N$3,0))</f>
        <v>0</v>
      </c>
    </row>
    <row r="1352" spans="1:2" hidden="1" x14ac:dyDescent="0.2">
      <c r="A1352" t="s">
        <v>634</v>
      </c>
      <c r="B1352" s="50">
        <f>INDEX(parameters!$D$4:$Y$20,MATCH(B1333&amp;B1335,parameters!$A$4:$A$20,0),MATCH(A1352,parameters!$D$3:$Y$3,0))</f>
        <v>15.957446808510639</v>
      </c>
    </row>
    <row r="1353" spans="1:2" hidden="1" x14ac:dyDescent="0.2">
      <c r="A1353" t="s">
        <v>82</v>
      </c>
      <c r="B1353" s="46">
        <f>IF(B1344&lt;&gt;0,VLOOKUP(B1344,parameters!A866:B868,2,0),0)</f>
        <v>0</v>
      </c>
    </row>
    <row r="1354" spans="1:2" hidden="1" x14ac:dyDescent="0.2">
      <c r="A1354" t="s">
        <v>548</v>
      </c>
      <c r="B1354" s="50">
        <f>INDEX(parameters!$D$4:$P$20,MATCH(B1333&amp;B1335,parameters!$A$4:$A$20,0),MATCH(A1354,parameters!$D$3:$P$3,0))</f>
        <v>15</v>
      </c>
    </row>
    <row r="1355" spans="1:2" hidden="1" x14ac:dyDescent="0.2">
      <c r="A1355" t="s">
        <v>547</v>
      </c>
      <c r="B1355" s="51">
        <f>INDEX(parameters!$D$4:$P$20,MATCH(B1333&amp;B1335,parameters!$A$4:$A$20,0),MATCH(A1355,parameters!$D$3:$P$3,0))</f>
        <v>20</v>
      </c>
    </row>
    <row r="1356" spans="1:2" hidden="1" x14ac:dyDescent="0.2">
      <c r="A1356" t="s">
        <v>630</v>
      </c>
      <c r="B1356" s="51">
        <f>INDEX(parameters!$D$4:$T$20,MATCH(B1333&amp;B1335,parameters!$A$4:$A$20,0),MATCH(A1356,parameters!$D$3:$T$3,0))</f>
        <v>2100</v>
      </c>
    </row>
    <row r="1357" spans="1:2" hidden="1" x14ac:dyDescent="0.2">
      <c r="A1357" t="s">
        <v>1005</v>
      </c>
      <c r="B1357" s="50">
        <f>IF(B1329="megajoule",SUMIFS(allocation!$I$4:$I$30,allocation!$B$4:$B$30,B1335,allocation!$C$4:$C$30,B1336),SUMIFS(allocation!$J$4:$J$30,allocation!$B$4:$B$30,B1335,allocation!$C$4:$C$30,B1336))</f>
        <v>0</v>
      </c>
    </row>
    <row r="1358" spans="1:2" hidden="1" x14ac:dyDescent="0.2">
      <c r="A1358" t="s">
        <v>1050</v>
      </c>
      <c r="B1358" s="51">
        <f>INDEX(parameters!$D$4:$AB$20,MATCH(B1333&amp;B1335,parameters!$A$4:$A$20,0),MATCH(A1358,parameters!$D$3:$AB$3,0))</f>
        <v>44.562019013128115</v>
      </c>
    </row>
    <row r="1359" spans="1:2" hidden="1" x14ac:dyDescent="0.2"/>
    <row r="1360" spans="1:2" hidden="1" x14ac:dyDescent="0.2">
      <c r="A1360" s="3" t="s">
        <v>57</v>
      </c>
    </row>
    <row r="1361" spans="1:22" hidden="1" x14ac:dyDescent="0.2">
      <c r="A1361" s="2" t="s">
        <v>58</v>
      </c>
      <c r="B1361" s="44" t="s">
        <v>59</v>
      </c>
      <c r="C1361" s="2" t="s">
        <v>55</v>
      </c>
      <c r="D1361" s="2" t="s">
        <v>60</v>
      </c>
      <c r="E1361" s="2" t="s">
        <v>52</v>
      </c>
      <c r="F1361" s="2" t="s">
        <v>61</v>
      </c>
      <c r="G1361" s="2" t="s">
        <v>54</v>
      </c>
      <c r="H1361" s="2" t="s">
        <v>87</v>
      </c>
      <c r="I1361" s="2" t="s">
        <v>51</v>
      </c>
      <c r="J1361" s="2" t="s">
        <v>138</v>
      </c>
      <c r="K1361" s="2" t="s">
        <v>136</v>
      </c>
      <c r="L1361" s="2" t="s">
        <v>221</v>
      </c>
      <c r="M1361" s="2" t="s">
        <v>379</v>
      </c>
      <c r="N1361" s="2" t="s">
        <v>1059</v>
      </c>
      <c r="O1361" s="2" t="s">
        <v>1060</v>
      </c>
      <c r="P1361" s="2" t="s">
        <v>1061</v>
      </c>
      <c r="Q1361" s="2" t="s">
        <v>1062</v>
      </c>
      <c r="R1361" s="2" t="s">
        <v>1063</v>
      </c>
      <c r="S1361" s="2" t="s">
        <v>1064</v>
      </c>
      <c r="T1361" s="2" t="s">
        <v>1065</v>
      </c>
      <c r="U1361" s="2" t="s">
        <v>380</v>
      </c>
      <c r="V1361" s="2" t="s">
        <v>1128</v>
      </c>
    </row>
    <row r="1362" spans="1:22" hidden="1" x14ac:dyDescent="0.2">
      <c r="A1362" t="str">
        <f>B1323</f>
        <v>heat, residential, by combustion of hydrogen using boiler, transported by pipeline, produced by Steam Methane Reforming using natural gas from Russia</v>
      </c>
      <c r="B1362" s="45">
        <v>1</v>
      </c>
      <c r="C1362" t="str">
        <f>B1329</f>
        <v>megajoule</v>
      </c>
      <c r="E1362" t="str">
        <f>B1326</f>
        <v>CH</v>
      </c>
      <c r="F1362" t="s">
        <v>62</v>
      </c>
      <c r="G1362" t="str">
        <f>B1328</f>
        <v>heat, from residential heating system</v>
      </c>
      <c r="K1362" t="str">
        <f>B1323</f>
        <v>heat, residential, by combustion of hydrogen using boiler, transported by pipeline, produced by Steam Methane Reforming using natural gas from Russia</v>
      </c>
    </row>
    <row r="1363" spans="1:22" hidden="1" x14ac:dyDescent="0.2">
      <c r="A1363" t="s">
        <v>83</v>
      </c>
      <c r="B1363" s="52">
        <f>1/(B1354*B1356*B1355*3.6)</f>
        <v>4.4091710758377425E-7</v>
      </c>
      <c r="C1363" t="s">
        <v>55</v>
      </c>
      <c r="E1363" t="s">
        <v>85</v>
      </c>
      <c r="F1363" t="s">
        <v>86</v>
      </c>
      <c r="G1363" t="s">
        <v>84</v>
      </c>
      <c r="H1363" t="s">
        <v>88</v>
      </c>
      <c r="K1363" t="str">
        <f>B1323</f>
        <v>heat, residential, by combustion of hydrogen using boiler, transported by pipeline, produced by Steam Methane Reforming using natural gas from Russia</v>
      </c>
      <c r="L1363">
        <f t="shared" ref="L1363:L1368" si="86">IF(OR(B1363&lt;0,B1363=0),1,2)</f>
        <v>2</v>
      </c>
      <c r="M1363">
        <f t="shared" ref="M1363:M1368" si="87">IF(L1363=2,LN(B1363),"")</f>
        <v>-14.634408943829779</v>
      </c>
      <c r="N1363">
        <v>1.05</v>
      </c>
      <c r="O1363" s="15">
        <v>1.2</v>
      </c>
      <c r="P1363">
        <v>1</v>
      </c>
      <c r="Q1363">
        <v>1.01</v>
      </c>
      <c r="R1363">
        <v>1.2</v>
      </c>
      <c r="S1363">
        <v>1.2</v>
      </c>
      <c r="T1363">
        <v>3</v>
      </c>
      <c r="U1363">
        <f t="shared" ref="U1363:U1368" si="88">LN(SQRT(EXP(
SQRT(
+POWER(LN(N1363),2)
+POWER(LN(O1363),2)
+POWER(LN(P1363),2)
+POWER(LN(Q1363),2)
+POWER(LN(R1363),2)
+POWER(LN(S1363),2)
+POWER(LN(T1363),2)
)
)))</f>
        <v>0.57209088006881903</v>
      </c>
    </row>
    <row r="1364" spans="1:22" hidden="1" x14ac:dyDescent="0.2">
      <c r="A1364" t="s">
        <v>500</v>
      </c>
      <c r="B1364" s="52">
        <f>B1363*2</f>
        <v>8.8183421516754851E-7</v>
      </c>
      <c r="C1364" t="s">
        <v>267</v>
      </c>
      <c r="E1364" t="s">
        <v>85</v>
      </c>
      <c r="F1364" t="s">
        <v>86</v>
      </c>
      <c r="G1364" t="s">
        <v>501</v>
      </c>
      <c r="H1364" t="s">
        <v>88</v>
      </c>
      <c r="I1364" t="s">
        <v>621</v>
      </c>
      <c r="K1364" t="str">
        <f>B1323</f>
        <v>heat, residential, by combustion of hydrogen using boiler, transported by pipeline, produced by Steam Methane Reforming using natural gas from Russia</v>
      </c>
      <c r="L1364">
        <f t="shared" si="86"/>
        <v>2</v>
      </c>
      <c r="M1364">
        <f t="shared" si="87"/>
        <v>-13.941261763269834</v>
      </c>
      <c r="N1364">
        <v>1.05</v>
      </c>
      <c r="O1364" s="15">
        <v>1.2</v>
      </c>
      <c r="P1364">
        <v>1</v>
      </c>
      <c r="Q1364">
        <v>1.01</v>
      </c>
      <c r="R1364">
        <v>1.2</v>
      </c>
      <c r="S1364">
        <v>1.2</v>
      </c>
      <c r="T1364">
        <v>3</v>
      </c>
      <c r="U1364">
        <f t="shared" si="88"/>
        <v>0.57209088006881903</v>
      </c>
    </row>
    <row r="1365" spans="1:22" hidden="1" x14ac:dyDescent="0.2">
      <c r="A1365" t="s">
        <v>130</v>
      </c>
      <c r="B1365" s="52">
        <v>2.64E-3</v>
      </c>
      <c r="C1365" t="s">
        <v>92</v>
      </c>
      <c r="E1365" t="s">
        <v>64</v>
      </c>
      <c r="F1365" t="s">
        <v>86</v>
      </c>
      <c r="G1365" t="s">
        <v>93</v>
      </c>
      <c r="H1365" t="s">
        <v>78</v>
      </c>
      <c r="I1365" t="s">
        <v>270</v>
      </c>
      <c r="J1365" t="s">
        <v>67</v>
      </c>
      <c r="K1365" t="str">
        <f>B1323</f>
        <v>heat, residential, by combustion of hydrogen using boiler, transported by pipeline, produced by Steam Methane Reforming using natural gas from Russia</v>
      </c>
      <c r="L1365">
        <f t="shared" si="86"/>
        <v>2</v>
      </c>
      <c r="M1365">
        <f t="shared" si="87"/>
        <v>-5.9369763618239126</v>
      </c>
      <c r="N1365">
        <v>1.05</v>
      </c>
      <c r="O1365" s="15">
        <v>1.2</v>
      </c>
      <c r="P1365">
        <v>1</v>
      </c>
      <c r="Q1365">
        <v>1.01</v>
      </c>
      <c r="R1365">
        <v>1.2</v>
      </c>
      <c r="S1365">
        <v>1.2</v>
      </c>
      <c r="T1365">
        <v>1.05</v>
      </c>
      <c r="U1365">
        <f t="shared" si="88"/>
        <v>0.16169679924070957</v>
      </c>
    </row>
    <row r="1366" spans="1:22" hidden="1" x14ac:dyDescent="0.2">
      <c r="A1366" s="45" t="str">
        <f>"hydrogen supply, transported by "&amp;B1337&amp;", produced by "&amp;B1341&amp;" using "&amp;B1342&amp;" from "&amp;B1343</f>
        <v>hydrogen supply, transported by pipeline, produced by Steam Methane Reforming using natural gas from Russia</v>
      </c>
      <c r="B1366" s="53">
        <f>(B1362/B1346)/B1345</f>
        <v>8.8652482269503553E-3</v>
      </c>
      <c r="C1366" t="s">
        <v>56</v>
      </c>
      <c r="E1366" t="s">
        <v>64</v>
      </c>
      <c r="F1366" t="s">
        <v>86</v>
      </c>
      <c r="G1366" s="67" t="s">
        <v>1129</v>
      </c>
      <c r="H1366" t="s">
        <v>76</v>
      </c>
      <c r="I1366" t="s">
        <v>1054</v>
      </c>
      <c r="J1366" t="s">
        <v>364</v>
      </c>
      <c r="K1366" t="str">
        <f>B1323</f>
        <v>heat, residential, by combustion of hydrogen using boiler, transported by pipeline, produced by Steam Methane Reforming using natural gas from Russia</v>
      </c>
      <c r="L1366">
        <f t="shared" si="86"/>
        <v>2</v>
      </c>
      <c r="M1366">
        <f t="shared" si="87"/>
        <v>-4.7256163390639587</v>
      </c>
      <c r="N1366">
        <v>1.05</v>
      </c>
      <c r="O1366" s="15">
        <v>1.2</v>
      </c>
      <c r="P1366">
        <v>1</v>
      </c>
      <c r="Q1366">
        <v>1.01</v>
      </c>
      <c r="R1366">
        <v>1.2</v>
      </c>
      <c r="S1366">
        <v>1.2</v>
      </c>
      <c r="T1366">
        <v>1.05</v>
      </c>
      <c r="U1366">
        <f t="shared" si="88"/>
        <v>0.16169679924070957</v>
      </c>
    </row>
    <row r="1367" spans="1:22" hidden="1" x14ac:dyDescent="0.2">
      <c r="A1367" t="s">
        <v>134</v>
      </c>
      <c r="B1367" s="45">
        <f>B1366*9</f>
        <v>7.9787234042553196E-2</v>
      </c>
      <c r="C1367" t="s">
        <v>56</v>
      </c>
      <c r="D1367" t="s">
        <v>100</v>
      </c>
      <c r="F1367" t="s">
        <v>99</v>
      </c>
      <c r="H1367" t="s">
        <v>131</v>
      </c>
      <c r="I1367" t="s">
        <v>1058</v>
      </c>
      <c r="K1367" t="str">
        <f>B1323</f>
        <v>heat, residential, by combustion of hydrogen using boiler, transported by pipeline, produced by Steam Methane Reforming using natural gas from Russia</v>
      </c>
      <c r="L1367">
        <f t="shared" si="86"/>
        <v>2</v>
      </c>
      <c r="M1367">
        <f t="shared" si="87"/>
        <v>-2.5283917617277392</v>
      </c>
      <c r="N1367">
        <v>1.05</v>
      </c>
      <c r="O1367" s="15">
        <v>1.2</v>
      </c>
      <c r="P1367">
        <v>1</v>
      </c>
      <c r="Q1367">
        <v>1.01</v>
      </c>
      <c r="R1367">
        <v>1.2</v>
      </c>
      <c r="S1367">
        <v>1.2</v>
      </c>
      <c r="T1367">
        <v>1.05</v>
      </c>
      <c r="U1367">
        <f t="shared" si="88"/>
        <v>0.16169679924070957</v>
      </c>
    </row>
    <row r="1368" spans="1:22" hidden="1" x14ac:dyDescent="0.2">
      <c r="A1368" t="s">
        <v>135</v>
      </c>
      <c r="B1368" s="45">
        <f>912.5/1000000*B1366</f>
        <v>8.0895390070921995E-6</v>
      </c>
      <c r="C1368" t="s">
        <v>56</v>
      </c>
      <c r="D1368" t="s">
        <v>100</v>
      </c>
      <c r="F1368" t="s">
        <v>99</v>
      </c>
      <c r="H1368" t="s">
        <v>131</v>
      </c>
      <c r="I1368" t="s">
        <v>1217</v>
      </c>
      <c r="K1368" t="str">
        <f>B1323</f>
        <v>heat, residential, by combustion of hydrogen using boiler, transported by pipeline, produced by Steam Methane Reforming using natural gas from Russia</v>
      </c>
      <c r="L1368">
        <f t="shared" si="86"/>
        <v>2</v>
      </c>
      <c r="M1368">
        <f t="shared" si="87"/>
        <v>-11.724938811571587</v>
      </c>
      <c r="N1368">
        <v>1.05</v>
      </c>
      <c r="O1368" s="15">
        <v>1.2</v>
      </c>
      <c r="P1368">
        <v>1</v>
      </c>
      <c r="Q1368">
        <v>1.01</v>
      </c>
      <c r="R1368">
        <v>1.2</v>
      </c>
      <c r="S1368">
        <v>1.2</v>
      </c>
      <c r="T1368">
        <v>1.5</v>
      </c>
      <c r="U1368">
        <f t="shared" si="88"/>
        <v>0.25816898211842121</v>
      </c>
    </row>
    <row r="1369" spans="1:22" hidden="1" x14ac:dyDescent="0.2"/>
    <row r="1370" spans="1:22" hidden="1" x14ac:dyDescent="0.2">
      <c r="A1370" s="2" t="s">
        <v>50</v>
      </c>
      <c r="B1370" s="44" t="str">
        <f>IF(B1376="megajoule","heat","electricity")&amp;", residential, by "&amp;B1381&amp;" of "&amp;B1380&amp;" using "&amp;B1382&amp;IF(B1383&lt;&gt;0,", allocated by "&amp;B1383,"")&amp;", transported by "&amp;B1384&amp;", produced by "&amp;B1388&amp;" using "&amp;B1389&amp;" from "&amp;B1390</f>
        <v>heat, residential, by combustion of hydrogen using CHP, allocated by exergy, transported by pipeline, produced by Steam Methane Reforming using natural gas from Russia</v>
      </c>
    </row>
    <row r="1371" spans="1:22" hidden="1" x14ac:dyDescent="0.2">
      <c r="A1371" t="s">
        <v>51</v>
      </c>
      <c r="B1371" s="45" t="str">
        <f>"This dataset represents the supply of 1 "&amp;IF(B1376="megajoule","megajoule of heat","kilowatt hour of electricity")&amp;" in a residence, by "&amp;B1380&amp;" "&amp;B1381&amp;" in a "&amp;B1382&amp;". "&amp;" The hydrogen is transported by "&amp;B1384&amp;" over "&amp;B1385&amp;" km from regional storage. "&amp;" The "&amp;B1380&amp;" is produced by  "&amp;B1388&amp;", with "&amp;B1389&amp;" from "&amp;B1390&amp;" as feedstock. "&amp;A1392&amp;": "&amp;(B1392*100)&amp;"%. "&amp;A1393&amp;": "&amp;B1393&amp;". "&amp;A1394&amp;": "&amp;B1394&amp;". "&amp;A1395&amp;": "&amp;(B1395*100)&amp;"%. "&amp;A1396&amp;": "&amp;(B1396*100)&amp;"%. "&amp;A1397&amp;": "&amp;(B1397*100)&amp;"%. "&amp;A1398&amp;": "&amp;B1398&amp;". "&amp;A1399&amp;": "&amp;B1399&amp;". "&amp;A1400&amp;": "&amp;(B1400*100)&amp;"%. "&amp;A1401&amp;": "&amp;B1401&amp;". "&amp;A1402&amp;": "&amp;B1402&amp;". "&amp;A1403&amp;": "&amp;B1403&amp;". "&amp;A1404&amp;": "&amp;B1404&amp;".  For more information, refer to: "&amp;B1372</f>
        <v>This dataset represents the supply of 1 megajoule of heat in a residence, by hydrogen combustion in a CHP.  The hydrogen is transported by pipeline over 500 km from regional storage.  The hydrogen is produced by  Steam Methane Reforming, with natural gas from Russia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1372" spans="1:22" hidden="1" x14ac:dyDescent="0.2">
      <c r="A1372" t="s">
        <v>63</v>
      </c>
      <c r="B1372" s="45" t="s">
        <v>660</v>
      </c>
    </row>
    <row r="1373" spans="1:22" hidden="1" x14ac:dyDescent="0.2">
      <c r="A1373" t="s">
        <v>52</v>
      </c>
      <c r="B1373" s="45" t="s">
        <v>64</v>
      </c>
    </row>
    <row r="1374" spans="1:22" hidden="1" x14ac:dyDescent="0.2">
      <c r="A1374" t="s">
        <v>48</v>
      </c>
      <c r="B1374" s="45">
        <v>162</v>
      </c>
    </row>
    <row r="1375" spans="1:22" hidden="1" x14ac:dyDescent="0.2">
      <c r="A1375" t="s">
        <v>54</v>
      </c>
      <c r="B1375" s="45" t="str">
        <f>INDEX(overview!$B$4:$R$338,MATCH(B1374,overview!$A$4:$A$338,0),MATCH(A1375,overview!$B$3:$R$3,0))</f>
        <v>heat, from residential heating system</v>
      </c>
    </row>
    <row r="1376" spans="1:22" hidden="1" x14ac:dyDescent="0.2">
      <c r="A1376" t="s">
        <v>55</v>
      </c>
      <c r="B1376" s="45" t="str">
        <f>INDEX(overview!$B$4:$R$338,MATCH(B1374,overview!$A$4:$A$338,0),MATCH(A1376,overview!$B$3:$R$3,0))</f>
        <v>megajoule</v>
      </c>
    </row>
    <row r="1377" spans="1:2" hidden="1" x14ac:dyDescent="0.2">
      <c r="A1377" t="s">
        <v>0</v>
      </c>
      <c r="B1377" s="45" t="str">
        <f>INDEX(overview!$B$4:$R$338,MATCH(B1374,overview!$A$4:$A$338,0),MATCH(A1377,overview!$B$3:$R$3,0))</f>
        <v>Switzerland</v>
      </c>
    </row>
    <row r="1378" spans="1:2" hidden="1" x14ac:dyDescent="0.2">
      <c r="A1378" t="s">
        <v>1</v>
      </c>
      <c r="B1378" s="45">
        <f>INDEX(overview!$B$4:$R$338,MATCH(B1374,overview!$A$4:$A$338,0),MATCH(A1378,overview!$B$3:$R$3,0))</f>
        <v>2020</v>
      </c>
    </row>
    <row r="1379" spans="1:2" hidden="1" x14ac:dyDescent="0.2">
      <c r="A1379" t="s">
        <v>2</v>
      </c>
      <c r="B1379" s="45" t="str">
        <f>INDEX(overview!$B$4:$R$338,MATCH(B1374,overview!$A$4:$A$338,0),MATCH(A1379,overview!$B$3:$R$3,0))</f>
        <v>1 MJ heat</v>
      </c>
    </row>
    <row r="1380" spans="1:2" hidden="1" x14ac:dyDescent="0.2">
      <c r="A1380" t="s">
        <v>5</v>
      </c>
      <c r="B1380" s="45" t="str">
        <f>INDEX(overview!$B$4:$R$338,MATCH(B1374,overview!$A$4:$A$338,0),MATCH(A1380,overview!$B$3:$R$3,0))</f>
        <v>hydrogen</v>
      </c>
    </row>
    <row r="1381" spans="1:2" hidden="1" x14ac:dyDescent="0.2">
      <c r="A1381" t="s">
        <v>3</v>
      </c>
      <c r="B1381" s="45" t="str">
        <f>INDEX(overview!$B$4:$R$338,MATCH(B1374,overview!$A$4:$A$338,0),MATCH(A1381,overview!$B$3:$R$3,0))</f>
        <v>combustion</v>
      </c>
    </row>
    <row r="1382" spans="1:2" hidden="1" x14ac:dyDescent="0.2">
      <c r="A1382" t="s">
        <v>6</v>
      </c>
      <c r="B1382" s="45" t="str">
        <f>INDEX(overview!$B$4:$R$338,MATCH(B1374,overview!$A$4:$A$338,0),MATCH(A1382,overview!$B$3:$R$3,0))</f>
        <v>CHP</v>
      </c>
    </row>
    <row r="1383" spans="1:2" hidden="1" x14ac:dyDescent="0.2">
      <c r="A1383" t="s">
        <v>39</v>
      </c>
      <c r="B1383" s="45" t="str">
        <f>INDEX(overview!$B$4:$R$338,MATCH(B1374,overview!$A$4:$A$338,0),MATCH(A1383,overview!$B$3:$R$3,0))</f>
        <v>exergy</v>
      </c>
    </row>
    <row r="1384" spans="1:2" hidden="1" x14ac:dyDescent="0.2">
      <c r="A1384" t="s">
        <v>4</v>
      </c>
      <c r="B1384" s="45" t="str">
        <f>INDEX(overview!$B$4:$R$338,MATCH(B1374,overview!$A$4:$A$338,0),MATCH(A1384,overview!$B$3:$R$3,0))</f>
        <v>pipeline</v>
      </c>
    </row>
    <row r="1385" spans="1:2" hidden="1" x14ac:dyDescent="0.2">
      <c r="A1385" t="s">
        <v>38</v>
      </c>
      <c r="B1385" s="45">
        <f>INDEX(overview!$B$4:$R$338,MATCH(B1374,overview!$A$4:$A$338,0),MATCH(A1385,overview!$B$3:$R$3,0))</f>
        <v>500</v>
      </c>
    </row>
    <row r="1386" spans="1:2" hidden="1" x14ac:dyDescent="0.2">
      <c r="A1386" t="s">
        <v>12</v>
      </c>
      <c r="B1386" s="45" t="str">
        <f>INDEX(overview!$B$4:$R$338,MATCH(B1374,overview!$A$4:$A$338,0),MATCH(A1386,overview!$B$3:$R$3,0))</f>
        <v>Pressure vessel for stationary storage</v>
      </c>
    </row>
    <row r="1387" spans="1:2" hidden="1" x14ac:dyDescent="0.2">
      <c r="A1387" t="s">
        <v>34</v>
      </c>
      <c r="B1387" s="45">
        <f>INDEX(overview!$B$4:$R$338,MATCH(B1374,overview!$A$4:$A$338,0),MATCH(A1387,overview!$B$3:$R$3,0))</f>
        <v>0</v>
      </c>
    </row>
    <row r="1388" spans="1:2" hidden="1" x14ac:dyDescent="0.2">
      <c r="A1388" t="s">
        <v>15</v>
      </c>
      <c r="B1388" s="45" t="str">
        <f>INDEX(overview!$B$4:$R$338,MATCH(B1374,overview!$A$4:$A$338,0),MATCH(A1388,overview!$B$3:$R$3,0))</f>
        <v>Steam Methane Reforming</v>
      </c>
    </row>
    <row r="1389" spans="1:2" hidden="1" x14ac:dyDescent="0.2">
      <c r="A1389" t="s">
        <v>14</v>
      </c>
      <c r="B1389" s="45" t="str">
        <f>INDEX(overview!$B$4:$R$338,MATCH(B1374,overview!$A$4:$A$338,0),MATCH(A1389,overview!$B$3:$R$3,0))</f>
        <v>natural gas</v>
      </c>
    </row>
    <row r="1390" spans="1:2" hidden="1" x14ac:dyDescent="0.2">
      <c r="A1390" t="s">
        <v>26</v>
      </c>
      <c r="B1390" s="45" t="str">
        <f>INDEX(overview!$B$4:$R$338,MATCH(B1374,overview!$A$4:$A$338,0),MATCH(A1390,overview!$B$3:$R$3,0))</f>
        <v>Russia</v>
      </c>
    </row>
    <row r="1391" spans="1:2" hidden="1" x14ac:dyDescent="0.2">
      <c r="A1391" t="s">
        <v>29</v>
      </c>
      <c r="B1391" s="45">
        <f>INDEX(overview!$B$4:$R$338,MATCH(B1374,overview!$A$4:$A$338,0),MATCH(A1391,overview!$B$3:$R$3,0))</f>
        <v>0</v>
      </c>
    </row>
    <row r="1392" spans="1:2" hidden="1" x14ac:dyDescent="0.2">
      <c r="A1392" t="str">
        <f>IF(B1376="megajoule","Heat","Electricity")&amp;" conversion efficiency [% LHV input]"</f>
        <v>Heat conversion efficiency [% LHV input]</v>
      </c>
      <c r="B1392" s="46">
        <f>INDEX(parameters!$D$4:$N$20,MATCH(B1380&amp;B1382,parameters!$A$4:$A$20,0),MATCH(A1392,parameters!$D$3:$N$3,0))</f>
        <v>0.41699999999999998</v>
      </c>
    </row>
    <row r="1393" spans="1:22" hidden="1" x14ac:dyDescent="0.2">
      <c r="A1393" t="str">
        <f>IF(B1376="megajoule","LHV [MJ/kg]","LHV [kWh/kg]")</f>
        <v>LHV [MJ/kg]</v>
      </c>
      <c r="B1393" s="47">
        <f>INDEX(parameters!$D$4:$N$20,MATCH(B1380&amp;B1382,parameters!$A$4:$A$20,0),MATCH(A1393,parameters!$D$3:$N$3,0))</f>
        <v>120</v>
      </c>
    </row>
    <row r="1394" spans="1:22" hidden="1" x14ac:dyDescent="0.2">
      <c r="A1394" t="s">
        <v>41</v>
      </c>
      <c r="B1394" s="48">
        <f>INDEX(parameters!$D$4:$N$20,MATCH(B1380&amp;B1382,parameters!$A$4:$A$20,0),MATCH(A1394,parameters!$D$3:$N$3,0))</f>
        <v>2.6666666666666665E-2</v>
      </c>
    </row>
    <row r="1395" spans="1:22" hidden="1" x14ac:dyDescent="0.2">
      <c r="A1395" t="s">
        <v>45</v>
      </c>
      <c r="B1395" s="46">
        <f>INDEX(parameters!$D$4:$N$20,MATCH(B1380&amp;B1382,parameters!$A$4:$A$20,0),MATCH(A1395,parameters!$D$3:$N$3,0))</f>
        <v>0</v>
      </c>
    </row>
    <row r="1396" spans="1:22" hidden="1" x14ac:dyDescent="0.2">
      <c r="A1396" t="s">
        <v>46</v>
      </c>
      <c r="B1396" s="46">
        <f>INDEX(parameters!$D$4:$N$20,MATCH(B1380&amp;B1382,parameters!$A$4:$A$20,0),MATCH(A1396,parameters!$D$3:$N$3,0))</f>
        <v>1.4999999999999999E-2</v>
      </c>
    </row>
    <row r="1397" spans="1:22" hidden="1" x14ac:dyDescent="0.2">
      <c r="A1397" t="s">
        <v>43</v>
      </c>
      <c r="B1397" s="46">
        <f>INDEX(parameters!$D$4:$N$20,MATCH(B1380&amp;B1382,parameters!$A$4:$A$20,0),MATCH(A1397,parameters!$D$3:$N$3,0))</f>
        <v>0</v>
      </c>
    </row>
    <row r="1398" spans="1:22" hidden="1" x14ac:dyDescent="0.2">
      <c r="A1398" t="s">
        <v>44</v>
      </c>
      <c r="B1398" s="46">
        <f>INDEX(parameters!$D$4:$N$20,MATCH(B1380&amp;B1382,parameters!$A$4:$A$20,0),MATCH(A1398,parameters!$D$3:$N$3,0))</f>
        <v>0</v>
      </c>
    </row>
    <row r="1399" spans="1:22" hidden="1" x14ac:dyDescent="0.2">
      <c r="A1399" t="s">
        <v>634</v>
      </c>
      <c r="B1399" s="50">
        <f>INDEX(parameters!$D$4:$Y$20,MATCH(B1380&amp;B1382,parameters!$A$4:$A$20,0),MATCH(A1399,parameters!$D$3:$Y$3,0))</f>
        <v>351.41800246609125</v>
      </c>
    </row>
    <row r="1400" spans="1:22" hidden="1" x14ac:dyDescent="0.2">
      <c r="A1400" t="s">
        <v>82</v>
      </c>
      <c r="B1400" s="46">
        <f>IF(B1391&lt;&gt;0,VLOOKUP(B1391,parameters!A918:B920,2,0),0)</f>
        <v>0</v>
      </c>
    </row>
    <row r="1401" spans="1:22" hidden="1" x14ac:dyDescent="0.2">
      <c r="A1401" t="s">
        <v>548</v>
      </c>
      <c r="B1401" s="50">
        <f>INDEX(parameters!$D$4:$P$20,MATCH(B1380&amp;B1382,parameters!$A$4:$A$20,0),MATCH(A1401,parameters!$D$3:$P$3,0))</f>
        <v>125</v>
      </c>
    </row>
    <row r="1402" spans="1:22" hidden="1" x14ac:dyDescent="0.2">
      <c r="A1402" t="s">
        <v>547</v>
      </c>
      <c r="B1402" s="51">
        <f>INDEX(parameters!$D$4:$P$20,MATCH(B1380&amp;B1382,parameters!$A$4:$A$20,0),MATCH(A1402,parameters!$D$3:$P$3,0))</f>
        <v>19.512195121951219</v>
      </c>
    </row>
    <row r="1403" spans="1:22" hidden="1" x14ac:dyDescent="0.2">
      <c r="A1403" t="s">
        <v>630</v>
      </c>
      <c r="B1403" s="51">
        <f>INDEX(parameters!$D$4:$T$20,MATCH(B1380&amp;B1382,parameters!$A$4:$A$20,0),MATCH(A1403,parameters!$D$3:$T$3,0))</f>
        <v>4100</v>
      </c>
    </row>
    <row r="1404" spans="1:22" hidden="1" x14ac:dyDescent="0.2">
      <c r="A1404" t="s">
        <v>1005</v>
      </c>
      <c r="B1404" s="50">
        <f>IF(B1376="megajoule",SUMIFS(allocation!$I$4:$I$30,allocation!$B$4:$B$30,B1382,allocation!$C$4:$C$30,B1383),SUMIFS(allocation!$J$4:$J$30,allocation!$B$4:$B$30,B1382,allocation!$C$4:$C$30,B1383))</f>
        <v>0.12860042227295038</v>
      </c>
    </row>
    <row r="1405" spans="1:22" hidden="1" x14ac:dyDescent="0.2">
      <c r="A1405" t="s">
        <v>1050</v>
      </c>
      <c r="B1405" s="51">
        <f>INDEX(parameters!$D$4:$AB$20,MATCH(B1380&amp;B1382,parameters!$A$4:$A$20,0),MATCH(A1405,parameters!$D$3:$AB$3,0))</f>
        <v>2220.7364520822662</v>
      </c>
    </row>
    <row r="1406" spans="1:22" hidden="1" x14ac:dyDescent="0.2"/>
    <row r="1407" spans="1:22" hidden="1" x14ac:dyDescent="0.2">
      <c r="A1407" s="3" t="s">
        <v>57</v>
      </c>
    </row>
    <row r="1408" spans="1:22" hidden="1" x14ac:dyDescent="0.2">
      <c r="A1408" s="2" t="s">
        <v>58</v>
      </c>
      <c r="B1408" s="44" t="s">
        <v>59</v>
      </c>
      <c r="C1408" s="2" t="s">
        <v>55</v>
      </c>
      <c r="D1408" s="2" t="s">
        <v>60</v>
      </c>
      <c r="E1408" s="2" t="s">
        <v>52</v>
      </c>
      <c r="F1408" s="2" t="s">
        <v>61</v>
      </c>
      <c r="G1408" s="2" t="s">
        <v>54</v>
      </c>
      <c r="H1408" s="2" t="s">
        <v>87</v>
      </c>
      <c r="I1408" s="2" t="s">
        <v>51</v>
      </c>
      <c r="J1408" s="2" t="s">
        <v>138</v>
      </c>
      <c r="K1408" s="2" t="s">
        <v>136</v>
      </c>
      <c r="L1408" s="2" t="s">
        <v>221</v>
      </c>
      <c r="M1408" s="2" t="s">
        <v>379</v>
      </c>
      <c r="N1408" s="2" t="s">
        <v>1059</v>
      </c>
      <c r="O1408" s="2" t="s">
        <v>1060</v>
      </c>
      <c r="P1408" s="2" t="s">
        <v>1061</v>
      </c>
      <c r="Q1408" s="2" t="s">
        <v>1062</v>
      </c>
      <c r="R1408" s="2" t="s">
        <v>1063</v>
      </c>
      <c r="S1408" s="2" t="s">
        <v>1064</v>
      </c>
      <c r="T1408" s="2" t="s">
        <v>1065</v>
      </c>
      <c r="U1408" s="2" t="s">
        <v>380</v>
      </c>
      <c r="V1408" s="2" t="s">
        <v>1128</v>
      </c>
    </row>
    <row r="1409" spans="1:22" hidden="1" x14ac:dyDescent="0.2">
      <c r="A1409" t="str">
        <f>B1370</f>
        <v>heat, residential, by combustion of hydrogen using CHP, allocated by exergy, transported by pipeline, produced by Steam Methane Reforming using natural gas from Russia</v>
      </c>
      <c r="B1409" s="45">
        <v>1</v>
      </c>
      <c r="C1409" t="str">
        <f>B1376</f>
        <v>megajoule</v>
      </c>
      <c r="E1409" t="str">
        <f>B1373</f>
        <v>CH</v>
      </c>
      <c r="F1409" t="s">
        <v>62</v>
      </c>
      <c r="G1409" t="str">
        <f>B1375</f>
        <v>heat, from residential heating system</v>
      </c>
      <c r="K1409" t="str">
        <f>B1370</f>
        <v>heat, residential, by combustion of hydrogen using CHP, allocated by exergy, transported by pipeline, produced by Steam Methane Reforming using natural gas from Russia</v>
      </c>
    </row>
    <row r="1410" spans="1:22" hidden="1" x14ac:dyDescent="0.2">
      <c r="A1410" t="str">
        <f>VLOOKUP(J1410,'dataset mapping'!$A$4:$E$69,2,0)</f>
        <v>heat and power co-generation unit construction, 160kW electrical, common components for heat+electricity</v>
      </c>
      <c r="B1410" s="52">
        <f>(1/(B1399*B1403*B1402*3.6))*B1404</f>
        <v>1.270649883812899E-9</v>
      </c>
      <c r="C1410" t="str">
        <f>VLOOKUP(J1410,'dataset mapping'!$A$4:$E$69,5,0)</f>
        <v>unit</v>
      </c>
      <c r="E1410" t="str">
        <f>VLOOKUP(J1410,'dataset mapping'!$A$4:$E$69,4,0)</f>
        <v>RER</v>
      </c>
      <c r="F1410" t="s">
        <v>86</v>
      </c>
      <c r="G1410" t="str">
        <f>VLOOKUP(J1410,'dataset mapping'!$A$4:$E$69,3,0)</f>
        <v>heat and power co-generation unit, 160kW electrical, common components for heat+electricity</v>
      </c>
      <c r="H1410" t="s">
        <v>88</v>
      </c>
      <c r="J1410" t="s">
        <v>145</v>
      </c>
      <c r="K1410" t="str">
        <f>B1370</f>
        <v>heat, residential, by combustion of hydrogen using CHP, allocated by exergy, transported by pipeline, produced by Steam Methane Reforming using natural gas from Russia</v>
      </c>
      <c r="L1410">
        <f t="shared" ref="L1410:L1417" si="89">IF(OR(B1410&lt;0,B1410=0),1,2)</f>
        <v>2</v>
      </c>
      <c r="M1410">
        <f t="shared" ref="M1410:M1417" si="90">IF(L1410=2,LN(B1410),"")</f>
        <v>-20.48373734782199</v>
      </c>
      <c r="N1410">
        <v>1.05</v>
      </c>
      <c r="O1410" s="15">
        <v>1.2</v>
      </c>
      <c r="P1410">
        <v>1</v>
      </c>
      <c r="Q1410">
        <v>1.01</v>
      </c>
      <c r="R1410">
        <v>1.2</v>
      </c>
      <c r="S1410">
        <v>1.2</v>
      </c>
      <c r="T1410">
        <v>3</v>
      </c>
      <c r="U1410">
        <f t="shared" ref="U1410:U1417" si="91">LN(SQRT(EXP(
SQRT(
+POWER(LN(N1410),2)
+POWER(LN(O1410),2)
+POWER(LN(P1410),2)
+POWER(LN(Q1410),2)
+POWER(LN(R1410),2)
+POWER(LN(S1410),2)
+POWER(LN(T1410),2)
)
)))</f>
        <v>0.57209088006881903</v>
      </c>
    </row>
    <row r="1411" spans="1:22" hidden="1" x14ac:dyDescent="0.2">
      <c r="A1411" t="str">
        <f>VLOOKUP(J1411,'dataset mapping'!$A$4:$E$69,2,0)</f>
        <v>heat and power co-generation unit construction, 160kW electrical, components for electricity only</v>
      </c>
      <c r="B1411" s="52">
        <f>(1/(B1399*B1403*B1402*3.6))*B1404</f>
        <v>1.270649883812899E-9</v>
      </c>
      <c r="C1411" t="str">
        <f>VLOOKUP(J1411,'dataset mapping'!$A$4:$E$69,5,0)</f>
        <v>unit</v>
      </c>
      <c r="E1411" t="str">
        <f>VLOOKUP(J1411,'dataset mapping'!$A$4:$E$69,4,0)</f>
        <v>RER</v>
      </c>
      <c r="F1411" t="s">
        <v>86</v>
      </c>
      <c r="G1411" t="str">
        <f>VLOOKUP(J1411,'dataset mapping'!$A$4:$E$69,3,0)</f>
        <v>heat and power co-generation unit, 160kW electrical, components for electricity only</v>
      </c>
      <c r="H1411" t="s">
        <v>88</v>
      </c>
      <c r="J1411" t="s">
        <v>146</v>
      </c>
      <c r="K1411" t="str">
        <f>B1370</f>
        <v>heat, residential, by combustion of hydrogen using CHP, allocated by exergy, transported by pipeline, produced by Steam Methane Reforming using natural gas from Russia</v>
      </c>
      <c r="L1411">
        <f t="shared" si="89"/>
        <v>2</v>
      </c>
      <c r="M1411">
        <f t="shared" si="90"/>
        <v>-20.48373734782199</v>
      </c>
      <c r="N1411">
        <v>1.05</v>
      </c>
      <c r="O1411" s="15">
        <v>1.2</v>
      </c>
      <c r="P1411">
        <v>1</v>
      </c>
      <c r="Q1411">
        <v>1.01</v>
      </c>
      <c r="R1411">
        <v>1.2</v>
      </c>
      <c r="S1411">
        <v>1.2</v>
      </c>
      <c r="T1411">
        <v>3</v>
      </c>
      <c r="U1411">
        <f t="shared" si="91"/>
        <v>0.57209088006881903</v>
      </c>
    </row>
    <row r="1412" spans="1:22" hidden="1" x14ac:dyDescent="0.2">
      <c r="A1412" t="str">
        <f>VLOOKUP(J1412,'dataset mapping'!$A$4:$E$69,2,0)</f>
        <v>heat and power co-generation unit construction, 160kW electrical, components for heat only</v>
      </c>
      <c r="B1412" s="52">
        <f>(1/(B1399*B1403*B1402*3.6))*B1404</f>
        <v>1.270649883812899E-9</v>
      </c>
      <c r="C1412" t="str">
        <f>VLOOKUP(J1412,'dataset mapping'!$A$4:$E$69,5,0)</f>
        <v>unit</v>
      </c>
      <c r="E1412" t="str">
        <f>VLOOKUP(J1412,'dataset mapping'!$A$4:$E$69,4,0)</f>
        <v>RER</v>
      </c>
      <c r="F1412" t="s">
        <v>86</v>
      </c>
      <c r="G1412" t="str">
        <f>VLOOKUP(J1412,'dataset mapping'!$A$4:$E$69,3,0)</f>
        <v>heat and power co-generation unit, 160kW electrical, components for heat only</v>
      </c>
      <c r="H1412" t="s">
        <v>88</v>
      </c>
      <c r="J1412" t="s">
        <v>147</v>
      </c>
      <c r="K1412" t="str">
        <f>B1370</f>
        <v>heat, residential, by combustion of hydrogen using CHP, allocated by exergy, transported by pipeline, produced by Steam Methane Reforming using natural gas from Russia</v>
      </c>
      <c r="L1412">
        <f t="shared" si="89"/>
        <v>2</v>
      </c>
      <c r="M1412">
        <f t="shared" si="90"/>
        <v>-20.48373734782199</v>
      </c>
      <c r="N1412">
        <v>1.05</v>
      </c>
      <c r="O1412" s="15">
        <v>1.2</v>
      </c>
      <c r="P1412">
        <v>1</v>
      </c>
      <c r="Q1412">
        <v>1.01</v>
      </c>
      <c r="R1412">
        <v>1.2</v>
      </c>
      <c r="S1412">
        <v>1.2</v>
      </c>
      <c r="T1412">
        <v>3</v>
      </c>
      <c r="U1412">
        <f t="shared" si="91"/>
        <v>0.57209088006881903</v>
      </c>
    </row>
    <row r="1413" spans="1:22" hidden="1" x14ac:dyDescent="0.2">
      <c r="A1413" t="s">
        <v>156</v>
      </c>
      <c r="B1413" s="52">
        <f>0.00000011366*B1404</f>
        <v>1.461672399554354E-8</v>
      </c>
      <c r="C1413" t="s">
        <v>56</v>
      </c>
      <c r="E1413" t="s">
        <v>90</v>
      </c>
      <c r="F1413" t="s">
        <v>86</v>
      </c>
      <c r="G1413" t="s">
        <v>154</v>
      </c>
      <c r="H1413" t="s">
        <v>155</v>
      </c>
      <c r="K1413" t="str">
        <f>B1370</f>
        <v>heat, residential, by combustion of hydrogen using CHP, allocated by exergy, transported by pipeline, produced by Steam Methane Reforming using natural gas from Russia</v>
      </c>
      <c r="L1413">
        <f t="shared" si="89"/>
        <v>2</v>
      </c>
      <c r="M1413">
        <f t="shared" si="90"/>
        <v>-18.041099484645969</v>
      </c>
      <c r="N1413">
        <v>1.05</v>
      </c>
      <c r="O1413" s="15">
        <v>1.2</v>
      </c>
      <c r="P1413">
        <v>1</v>
      </c>
      <c r="Q1413">
        <v>1.01</v>
      </c>
      <c r="R1413">
        <v>1.2</v>
      </c>
      <c r="S1413">
        <v>1.2</v>
      </c>
      <c r="T1413">
        <v>1.05</v>
      </c>
      <c r="U1413">
        <f t="shared" si="91"/>
        <v>0.16169679924070957</v>
      </c>
    </row>
    <row r="1414" spans="1:22" hidden="1" x14ac:dyDescent="0.2">
      <c r="A1414" t="s">
        <v>157</v>
      </c>
      <c r="B1414" s="52">
        <f>0.00000011366*B1404*-1</f>
        <v>-1.461672399554354E-8</v>
      </c>
      <c r="C1414" t="s">
        <v>56</v>
      </c>
      <c r="E1414" t="s">
        <v>64</v>
      </c>
      <c r="F1414" t="s">
        <v>86</v>
      </c>
      <c r="G1414" t="s">
        <v>158</v>
      </c>
      <c r="H1414" t="s">
        <v>155</v>
      </c>
      <c r="K1414" t="str">
        <f>B1370</f>
        <v>heat, residential, by combustion of hydrogen using CHP, allocated by exergy, transported by pipeline, produced by Steam Methane Reforming using natural gas from Russia</v>
      </c>
      <c r="L1414">
        <v>2</v>
      </c>
      <c r="M1414">
        <f>IF(L1414=2,LN(B1414*-1),"")</f>
        <v>-18.041099484645969</v>
      </c>
      <c r="N1414">
        <v>1.05</v>
      </c>
      <c r="O1414" s="15">
        <v>1.2</v>
      </c>
      <c r="P1414">
        <v>1</v>
      </c>
      <c r="Q1414">
        <v>1.01</v>
      </c>
      <c r="R1414">
        <v>1.2</v>
      </c>
      <c r="S1414">
        <v>1.2</v>
      </c>
      <c r="T1414">
        <v>3</v>
      </c>
      <c r="U1414">
        <f>LN(SQRT(EXP(
SQRT(
+POWER(LN(N1414),2)
+POWER(LN(O1414),2)
+POWER(LN(P1414),2)
+POWER(LN(Q1414),2)
+POWER(LN(R1414),2)
+POWER(LN(S1414),2)
+POWER(LN(T1414),2)
)
)))</f>
        <v>0.57209088006881903</v>
      </c>
      <c r="V1414" t="b">
        <v>1</v>
      </c>
    </row>
    <row r="1415" spans="1:22" hidden="1" x14ac:dyDescent="0.2">
      <c r="A1415" s="45" t="str">
        <f>"hydrogen supply, transported by "&amp;B1384&amp;", produced by "&amp;B1388&amp;" using "&amp;B1389&amp;" from "&amp;B1390</f>
        <v>hydrogen supply, transported by pipeline, produced by Steam Methane Reforming using natural gas from Russia</v>
      </c>
      <c r="B1415" s="53">
        <f>(B1409/B1393)/B1392*B1404</f>
        <v>2.56995248347223E-3</v>
      </c>
      <c r="C1415" t="s">
        <v>56</v>
      </c>
      <c r="E1415" t="s">
        <v>64</v>
      </c>
      <c r="F1415" t="s">
        <v>86</v>
      </c>
      <c r="G1415" s="67" t="s">
        <v>1129</v>
      </c>
      <c r="H1415" t="s">
        <v>76</v>
      </c>
      <c r="I1415" t="s">
        <v>1054</v>
      </c>
      <c r="J1415" t="s">
        <v>364</v>
      </c>
      <c r="K1415" t="str">
        <f>B1370</f>
        <v>heat, residential, by combustion of hydrogen using CHP, allocated by exergy, transported by pipeline, produced by Steam Methane Reforming using natural gas from Russia</v>
      </c>
      <c r="L1415">
        <f t="shared" si="89"/>
        <v>2</v>
      </c>
      <c r="M1415">
        <f t="shared" si="90"/>
        <v>-5.9638678691672418</v>
      </c>
      <c r="N1415">
        <v>1.05</v>
      </c>
      <c r="O1415" s="15">
        <v>1.2</v>
      </c>
      <c r="P1415">
        <v>1</v>
      </c>
      <c r="Q1415">
        <v>1.01</v>
      </c>
      <c r="R1415">
        <v>1.2</v>
      </c>
      <c r="S1415">
        <v>1.2</v>
      </c>
      <c r="T1415">
        <v>1.05</v>
      </c>
      <c r="U1415">
        <f t="shared" si="91"/>
        <v>0.16169679924070957</v>
      </c>
    </row>
    <row r="1416" spans="1:22" hidden="1" x14ac:dyDescent="0.2">
      <c r="A1416" t="s">
        <v>134</v>
      </c>
      <c r="B1416" s="45">
        <f>B1415*9</f>
        <v>2.3129572351250072E-2</v>
      </c>
      <c r="C1416" t="s">
        <v>56</v>
      </c>
      <c r="D1416" t="s">
        <v>100</v>
      </c>
      <c r="F1416" t="s">
        <v>99</v>
      </c>
      <c r="H1416" t="s">
        <v>131</v>
      </c>
      <c r="I1416" t="s">
        <v>1058</v>
      </c>
      <c r="K1416" t="str">
        <f>B1370</f>
        <v>heat, residential, by combustion of hydrogen using CHP, allocated by exergy, transported by pipeline, produced by Steam Methane Reforming using natural gas from Russia</v>
      </c>
      <c r="L1416">
        <f t="shared" si="89"/>
        <v>2</v>
      </c>
      <c r="M1416">
        <f t="shared" si="90"/>
        <v>-3.7666432918310226</v>
      </c>
      <c r="N1416">
        <v>1.05</v>
      </c>
      <c r="O1416" s="15">
        <v>1.2</v>
      </c>
      <c r="P1416">
        <v>1</v>
      </c>
      <c r="Q1416">
        <v>1.01</v>
      </c>
      <c r="R1416">
        <v>1.2</v>
      </c>
      <c r="S1416">
        <v>1.2</v>
      </c>
      <c r="T1416">
        <v>1.05</v>
      </c>
      <c r="U1416">
        <f t="shared" si="91"/>
        <v>0.16169679924070957</v>
      </c>
    </row>
    <row r="1417" spans="1:22" hidden="1" x14ac:dyDescent="0.2">
      <c r="A1417" t="s">
        <v>135</v>
      </c>
      <c r="B1417" s="45">
        <f>912.5/1000000*B1415</f>
        <v>2.3450816411684101E-6</v>
      </c>
      <c r="C1417" t="s">
        <v>56</v>
      </c>
      <c r="D1417" t="s">
        <v>100</v>
      </c>
      <c r="F1417" t="s">
        <v>99</v>
      </c>
      <c r="H1417" t="s">
        <v>131</v>
      </c>
      <c r="I1417" t="s">
        <v>1217</v>
      </c>
      <c r="K1417" t="str">
        <f>B1370</f>
        <v>heat, residential, by combustion of hydrogen using CHP, allocated by exergy, transported by pipeline, produced by Steam Methane Reforming using natural gas from Russia</v>
      </c>
      <c r="L1417">
        <f t="shared" si="89"/>
        <v>2</v>
      </c>
      <c r="M1417">
        <f t="shared" si="90"/>
        <v>-12.963190341674869</v>
      </c>
      <c r="N1417">
        <v>1.05</v>
      </c>
      <c r="O1417" s="15">
        <v>1.2</v>
      </c>
      <c r="P1417">
        <v>1</v>
      </c>
      <c r="Q1417">
        <v>1.01</v>
      </c>
      <c r="R1417">
        <v>1.2</v>
      </c>
      <c r="S1417">
        <v>1.2</v>
      </c>
      <c r="T1417">
        <v>1.5</v>
      </c>
      <c r="U1417">
        <f t="shared" si="91"/>
        <v>0.25816898211842121</v>
      </c>
    </row>
    <row r="1418" spans="1:22" hidden="1" x14ac:dyDescent="0.2"/>
    <row r="1419" spans="1:22" hidden="1" x14ac:dyDescent="0.2">
      <c r="A1419" s="2" t="s">
        <v>50</v>
      </c>
      <c r="B1419" s="44" t="str">
        <f>IF(B1425="megajoule","heat","electricity")&amp;", residential, by "&amp;B1430&amp;" of "&amp;B1429&amp;" using "&amp;B1431&amp;IF(B1432&lt;&gt;0,", allocated by "&amp;B1432,"")&amp;", transported by "&amp;B1433&amp;", produced by "&amp;B1437&amp;" using "&amp;B1438&amp;" from "&amp;B1439</f>
        <v>heat, residential, by conversion of hydrogen using fuel cell, PEM, allocated by exergy, transported by pipeline, produced by Steam Methane Reforming using natural gas from Russia</v>
      </c>
    </row>
    <row r="1420" spans="1:22" hidden="1" x14ac:dyDescent="0.2">
      <c r="A1420" t="s">
        <v>51</v>
      </c>
      <c r="B1420" s="45" t="str">
        <f>"This dataset represents the supply of 1 "&amp;IF(B1425="megajoule","megajoule of heat","kilowatt hour of electricity")&amp;" in a residence, by "&amp;B1429&amp;" "&amp;B1430&amp;" in a "&amp;B1431&amp;". "&amp;" The hydrogen is transported by "&amp;B1433&amp;" over "&amp;B1434&amp;" km from regional storage. "&amp;" The "&amp;B1429&amp;" is produced by  "&amp;B1437&amp;", with "&amp;B1438&amp;" from "&amp;B1439&amp;" as feedstock. "&amp;A1441&amp;": "&amp;(B1441*100)&amp;"%. "&amp;A1442&amp;": "&amp;B1442&amp;". "&amp;A1443&amp;": "&amp;B1443&amp;". "&amp;A1444&amp;": "&amp;(B1444*100)&amp;"%. "&amp;A1445&amp;": "&amp;(B1445*100)&amp;"%. "&amp;A1446&amp;": "&amp;(B1446*100)&amp;"%. "&amp;A1447&amp;": "&amp;B1447&amp;". "&amp;A1448&amp;": "&amp;B1448&amp;". "&amp;A1449&amp;": "&amp;(B1449*100)&amp;"%. "&amp;A1450&amp;": "&amp;B1450&amp;". "&amp;A1451&amp;": "&amp;B1451&amp;". "&amp;A1452&amp;": "&amp;B1452&amp;". "&amp;A1453&amp;": "&amp;B1453&amp;".  For more information, refer to: "&amp;B1421</f>
        <v>This dataset represents the supply of 1 megajoule of heat in a residence, by hydrogen conversion in a fuel cell, PEM.  The hydrogen is transported by pipeline over 500 km from regional storage.  The hydrogen is produced by  Steam Methane Reforming, with natural gas from Russia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1421" spans="1:22" hidden="1" x14ac:dyDescent="0.2">
      <c r="A1421" t="s">
        <v>63</v>
      </c>
      <c r="B1421" s="45" t="s">
        <v>660</v>
      </c>
    </row>
    <row r="1422" spans="1:22" hidden="1" x14ac:dyDescent="0.2">
      <c r="A1422" t="s">
        <v>52</v>
      </c>
      <c r="B1422" s="45" t="s">
        <v>64</v>
      </c>
    </row>
    <row r="1423" spans="1:22" hidden="1" x14ac:dyDescent="0.2">
      <c r="A1423" t="s">
        <v>48</v>
      </c>
      <c r="B1423" s="45">
        <v>163</v>
      </c>
    </row>
    <row r="1424" spans="1:22" hidden="1" x14ac:dyDescent="0.2">
      <c r="A1424" t="s">
        <v>54</v>
      </c>
      <c r="B1424" s="45" t="str">
        <f>INDEX(overview!$B$4:$R$338,MATCH(B1423,overview!$A$4:$A$338,0),MATCH(A1424,overview!$B$3:$R$3,0))</f>
        <v>heat, from residential heating system</v>
      </c>
    </row>
    <row r="1425" spans="1:2" hidden="1" x14ac:dyDescent="0.2">
      <c r="A1425" t="s">
        <v>55</v>
      </c>
      <c r="B1425" s="45" t="str">
        <f>INDEX(overview!$B$4:$R$338,MATCH(B1423,overview!$A$4:$A$338,0),MATCH(A1425,overview!$B$3:$R$3,0))</f>
        <v>megajoule</v>
      </c>
    </row>
    <row r="1426" spans="1:2" hidden="1" x14ac:dyDescent="0.2">
      <c r="A1426" t="s">
        <v>0</v>
      </c>
      <c r="B1426" s="45" t="str">
        <f>INDEX(overview!$B$4:$R$338,MATCH(B1423,overview!$A$4:$A$338,0),MATCH(A1426,overview!$B$3:$R$3,0))</f>
        <v>Switzerland</v>
      </c>
    </row>
    <row r="1427" spans="1:2" hidden="1" x14ac:dyDescent="0.2">
      <c r="A1427" t="s">
        <v>1</v>
      </c>
      <c r="B1427" s="45">
        <f>INDEX(overview!$B$4:$R$338,MATCH(B1423,overview!$A$4:$A$338,0),MATCH(A1427,overview!$B$3:$R$3,0))</f>
        <v>2020</v>
      </c>
    </row>
    <row r="1428" spans="1:2" hidden="1" x14ac:dyDescent="0.2">
      <c r="A1428" t="s">
        <v>2</v>
      </c>
      <c r="B1428" s="45" t="str">
        <f>INDEX(overview!$B$4:$R$338,MATCH(B1423,overview!$A$4:$A$338,0),MATCH(A1428,overview!$B$3:$R$3,0))</f>
        <v>1 MJ heat</v>
      </c>
    </row>
    <row r="1429" spans="1:2" hidden="1" x14ac:dyDescent="0.2">
      <c r="A1429" t="s">
        <v>5</v>
      </c>
      <c r="B1429" s="45" t="str">
        <f>INDEX(overview!$B$4:$R$338,MATCH(B1423,overview!$A$4:$A$338,0),MATCH(A1429,overview!$B$3:$R$3,0))</f>
        <v>hydrogen</v>
      </c>
    </row>
    <row r="1430" spans="1:2" hidden="1" x14ac:dyDescent="0.2">
      <c r="A1430" t="s">
        <v>3</v>
      </c>
      <c r="B1430" s="45" t="str">
        <f>INDEX(overview!$B$4:$R$338,MATCH(B1423,overview!$A$4:$A$338,0),MATCH(A1430,overview!$B$3:$R$3,0))</f>
        <v>conversion</v>
      </c>
    </row>
    <row r="1431" spans="1:2" hidden="1" x14ac:dyDescent="0.2">
      <c r="A1431" t="s">
        <v>6</v>
      </c>
      <c r="B1431" s="45" t="str">
        <f>INDEX(overview!$B$4:$R$338,MATCH(B1423,overview!$A$4:$A$338,0),MATCH(A1431,overview!$B$3:$R$3,0))</f>
        <v>fuel cell, PEM</v>
      </c>
    </row>
    <row r="1432" spans="1:2" hidden="1" x14ac:dyDescent="0.2">
      <c r="A1432" t="s">
        <v>39</v>
      </c>
      <c r="B1432" s="45" t="str">
        <f>INDEX(overview!$B$4:$R$338,MATCH(B1423,overview!$A$4:$A$338,0),MATCH(A1432,overview!$B$3:$R$3,0))</f>
        <v>exergy</v>
      </c>
    </row>
    <row r="1433" spans="1:2" hidden="1" x14ac:dyDescent="0.2">
      <c r="A1433" t="s">
        <v>4</v>
      </c>
      <c r="B1433" s="45" t="str">
        <f>INDEX(overview!$B$4:$R$338,MATCH(B1423,overview!$A$4:$A$338,0),MATCH(A1433,overview!$B$3:$R$3,0))</f>
        <v>pipeline</v>
      </c>
    </row>
    <row r="1434" spans="1:2" hidden="1" x14ac:dyDescent="0.2">
      <c r="A1434" t="s">
        <v>38</v>
      </c>
      <c r="B1434" s="45">
        <f>INDEX(overview!$B$4:$R$338,MATCH(B1423,overview!$A$4:$A$338,0),MATCH(A1434,overview!$B$3:$R$3,0))</f>
        <v>500</v>
      </c>
    </row>
    <row r="1435" spans="1:2" hidden="1" x14ac:dyDescent="0.2">
      <c r="A1435" t="s">
        <v>12</v>
      </c>
      <c r="B1435" s="45" t="str">
        <f>INDEX(overview!$B$4:$R$338,MATCH(B1423,overview!$A$4:$A$338,0),MATCH(A1435,overview!$B$3:$R$3,0))</f>
        <v>Pressure vessel for stationary storage</v>
      </c>
    </row>
    <row r="1436" spans="1:2" hidden="1" x14ac:dyDescent="0.2">
      <c r="A1436" t="s">
        <v>34</v>
      </c>
      <c r="B1436" s="45">
        <f>INDEX(overview!$B$4:$R$338,MATCH(B1423,overview!$A$4:$A$338,0),MATCH(A1436,overview!$B$3:$R$3,0))</f>
        <v>0</v>
      </c>
    </row>
    <row r="1437" spans="1:2" hidden="1" x14ac:dyDescent="0.2">
      <c r="A1437" t="s">
        <v>15</v>
      </c>
      <c r="B1437" s="45" t="str">
        <f>INDEX(overview!$B$4:$R$338,MATCH(B1423,overview!$A$4:$A$338,0),MATCH(A1437,overview!$B$3:$R$3,0))</f>
        <v>Steam Methane Reforming</v>
      </c>
    </row>
    <row r="1438" spans="1:2" hidden="1" x14ac:dyDescent="0.2">
      <c r="A1438" t="s">
        <v>14</v>
      </c>
      <c r="B1438" s="45" t="str">
        <f>INDEX(overview!$B$4:$R$338,MATCH(B1423,overview!$A$4:$A$338,0),MATCH(A1438,overview!$B$3:$R$3,0))</f>
        <v>natural gas</v>
      </c>
    </row>
    <row r="1439" spans="1:2" hidden="1" x14ac:dyDescent="0.2">
      <c r="A1439" t="s">
        <v>26</v>
      </c>
      <c r="B1439" s="45" t="str">
        <f>INDEX(overview!$B$4:$R$338,MATCH(B1423,overview!$A$4:$A$338,0),MATCH(A1439,overview!$B$3:$R$3,0))</f>
        <v>Russia</v>
      </c>
    </row>
    <row r="1440" spans="1:2" hidden="1" x14ac:dyDescent="0.2">
      <c r="A1440" t="s">
        <v>29</v>
      </c>
      <c r="B1440" s="45">
        <f>INDEX(overview!$B$4:$R$338,MATCH(B1423,overview!$A$4:$A$338,0),MATCH(A1440,overview!$B$3:$R$3,0))</f>
        <v>0</v>
      </c>
    </row>
    <row r="1441" spans="1:2" hidden="1" x14ac:dyDescent="0.2">
      <c r="A1441" t="str">
        <f>IF(B1425="megajoule","Heat","Electricity")&amp;" conversion efficiency [% LHV input]"</f>
        <v>Heat conversion efficiency [% LHV input]</v>
      </c>
      <c r="B1441" s="46">
        <f>INDEX(parameters!$D$4:$N$20,MATCH(B1429&amp;B1431,parameters!$A$4:$A$20,0),MATCH(A1441,parameters!$D$3:$N$3,0))</f>
        <v>0.5</v>
      </c>
    </row>
    <row r="1442" spans="1:2" hidden="1" x14ac:dyDescent="0.2">
      <c r="A1442" t="str">
        <f>IF(B1425="megajoule","LHV [MJ/kg]","LHV [kWh/kg]")</f>
        <v>LHV [MJ/kg]</v>
      </c>
      <c r="B1442" s="47">
        <f>INDEX(parameters!$D$4:$N$20,MATCH(B1429&amp;B1431,parameters!$A$4:$A$20,0),MATCH(A1442,parameters!$D$3:$N$3,0))</f>
        <v>120</v>
      </c>
    </row>
    <row r="1443" spans="1:2" hidden="1" x14ac:dyDescent="0.2">
      <c r="A1443" t="s">
        <v>41</v>
      </c>
      <c r="B1443" s="48">
        <f>INDEX(parameters!$D$4:$N$20,MATCH(B1429&amp;B1431,parameters!$A$4:$A$20,0),MATCH(A1443,parameters!$D$3:$N$3,0))</f>
        <v>2.6666666666666665E-2</v>
      </c>
    </row>
    <row r="1444" spans="1:2" hidden="1" x14ac:dyDescent="0.2">
      <c r="A1444" t="s">
        <v>45</v>
      </c>
      <c r="B1444" s="46">
        <f>INDEX(parameters!$D$4:$N$20,MATCH(B1429&amp;B1431,parameters!$A$4:$A$20,0),MATCH(A1444,parameters!$D$3:$N$3,0))</f>
        <v>0</v>
      </c>
    </row>
    <row r="1445" spans="1:2" hidden="1" x14ac:dyDescent="0.2">
      <c r="A1445" t="s">
        <v>46</v>
      </c>
      <c r="B1445" s="46">
        <f>INDEX(parameters!$D$4:$N$20,MATCH(B1429&amp;B1431,parameters!$A$4:$A$20,0),MATCH(A1445,parameters!$D$3:$N$3,0))</f>
        <v>1.4999999999999999E-2</v>
      </c>
    </row>
    <row r="1446" spans="1:2" hidden="1" x14ac:dyDescent="0.2">
      <c r="A1446" t="s">
        <v>43</v>
      </c>
      <c r="B1446" s="46">
        <f>INDEX(parameters!$D$4:$N$20,MATCH(B1429&amp;B1431,parameters!$A$4:$A$20,0),MATCH(A1446,parameters!$D$3:$N$3,0))</f>
        <v>0</v>
      </c>
    </row>
    <row r="1447" spans="1:2" hidden="1" x14ac:dyDescent="0.2">
      <c r="A1447" t="s">
        <v>44</v>
      </c>
      <c r="B1447" s="46">
        <f>INDEX(parameters!$D$4:$N$20,MATCH(B1429&amp;B1431,parameters!$A$4:$A$20,0),MATCH(A1447,parameters!$D$3:$N$3,0))</f>
        <v>0</v>
      </c>
    </row>
    <row r="1448" spans="1:2" hidden="1" x14ac:dyDescent="0.2">
      <c r="A1448" t="s">
        <v>634</v>
      </c>
      <c r="B1448" s="50">
        <f>INDEX(parameters!$D$4:$Y$20,MATCH(B1429&amp;B1431,parameters!$A$4:$A$20,0),MATCH(A1448,parameters!$D$3:$Y$3,0))</f>
        <v>1.8947368421052633</v>
      </c>
    </row>
    <row r="1449" spans="1:2" hidden="1" x14ac:dyDescent="0.2">
      <c r="A1449" t="s">
        <v>82</v>
      </c>
      <c r="B1449" s="46">
        <f>IF(B1440&lt;&gt;0,VLOOKUP(B1440,parameters!A972:B974,2,0),0)</f>
        <v>0</v>
      </c>
    </row>
    <row r="1450" spans="1:2" hidden="1" x14ac:dyDescent="0.2">
      <c r="A1450" t="s">
        <v>548</v>
      </c>
      <c r="B1450" s="50">
        <f>INDEX(parameters!$D$4:$P$20,MATCH(B1429&amp;B1431,parameters!$A$4:$A$20,0),MATCH(A1450,parameters!$D$3:$P$3,0))</f>
        <v>0.8</v>
      </c>
    </row>
    <row r="1451" spans="1:2" hidden="1" x14ac:dyDescent="0.2">
      <c r="A1451" t="s">
        <v>547</v>
      </c>
      <c r="B1451" s="51">
        <f>INDEX(parameters!$D$4:$P$20,MATCH(B1429&amp;B1431,parameters!$A$4:$A$20,0),MATCH(A1451,parameters!$D$3:$P$3,0))</f>
        <v>4.8780487804878048</v>
      </c>
    </row>
    <row r="1452" spans="1:2" hidden="1" x14ac:dyDescent="0.2">
      <c r="A1452" t="s">
        <v>630</v>
      </c>
      <c r="B1452" s="51">
        <f>INDEX(parameters!$D$4:$T$20,MATCH(B1429&amp;B1431,parameters!$A$4:$A$20,0),MATCH(A1452,parameters!$D$3:$T$3,0))</f>
        <v>4100</v>
      </c>
    </row>
    <row r="1453" spans="1:2" hidden="1" x14ac:dyDescent="0.2">
      <c r="A1453" t="s">
        <v>1005</v>
      </c>
      <c r="B1453" s="50">
        <f>IF(B1425="megajoule",SUMIFS(allocation!$I$4:$I$30,allocation!$B$4:$B$30,B1431,allocation!$C$4:$C$30,B1432),SUMIFS(allocation!$J$4:$J$30,allocation!$B$4:$B$30,B1431,allocation!$C$4:$C$30,B1432))</f>
        <v>0.13933980798974457</v>
      </c>
    </row>
    <row r="1454" spans="1:2" hidden="1" x14ac:dyDescent="0.2">
      <c r="A1454" t="s">
        <v>1050</v>
      </c>
      <c r="B1454" s="51">
        <f>INDEX(parameters!$D$4:$AB$20,MATCH(B1429&amp;B1431,parameters!$A$4:$A$20,0),MATCH(A1454,parameters!$D$3:$AB$3,0))</f>
        <v>10.221606648199446</v>
      </c>
    </row>
    <row r="1455" spans="1:2" hidden="1" x14ac:dyDescent="0.2"/>
    <row r="1456" spans="1:2" hidden="1" x14ac:dyDescent="0.2">
      <c r="A1456" s="3" t="s">
        <v>57</v>
      </c>
    </row>
    <row r="1457" spans="1:22" hidden="1" x14ac:dyDescent="0.2">
      <c r="A1457" s="2" t="s">
        <v>58</v>
      </c>
      <c r="B1457" s="44" t="s">
        <v>59</v>
      </c>
      <c r="C1457" s="2" t="s">
        <v>55</v>
      </c>
      <c r="D1457" s="2" t="s">
        <v>60</v>
      </c>
      <c r="E1457" s="2" t="s">
        <v>52</v>
      </c>
      <c r="F1457" s="2" t="s">
        <v>61</v>
      </c>
      <c r="G1457" s="2" t="s">
        <v>54</v>
      </c>
      <c r="H1457" s="2" t="s">
        <v>87</v>
      </c>
      <c r="I1457" s="2" t="s">
        <v>51</v>
      </c>
      <c r="J1457" s="2" t="s">
        <v>138</v>
      </c>
      <c r="K1457" s="2" t="s">
        <v>136</v>
      </c>
      <c r="L1457" s="2" t="s">
        <v>221</v>
      </c>
      <c r="M1457" s="2" t="s">
        <v>379</v>
      </c>
      <c r="N1457" s="2" t="s">
        <v>1059</v>
      </c>
      <c r="O1457" s="2" t="s">
        <v>1060</v>
      </c>
      <c r="P1457" s="2" t="s">
        <v>1061</v>
      </c>
      <c r="Q1457" s="2" t="s">
        <v>1062</v>
      </c>
      <c r="R1457" s="2" t="s">
        <v>1063</v>
      </c>
      <c r="S1457" s="2" t="s">
        <v>1064</v>
      </c>
      <c r="T1457" s="2" t="s">
        <v>1065</v>
      </c>
      <c r="U1457" s="2" t="s">
        <v>380</v>
      </c>
      <c r="V1457" s="2" t="s">
        <v>1128</v>
      </c>
    </row>
    <row r="1458" spans="1:22" x14ac:dyDescent="0.2">
      <c r="A1458" t="str">
        <f>B1419</f>
        <v>heat, residential, by conversion of hydrogen using fuel cell, PEM, allocated by exergy, transported by pipeline, produced by Steam Methane Reforming using natural gas from Russia</v>
      </c>
      <c r="B1458" s="45">
        <v>1</v>
      </c>
      <c r="C1458" t="str">
        <f>B1425</f>
        <v>megajoule</v>
      </c>
      <c r="E1458" t="str">
        <f>B1422</f>
        <v>CH</v>
      </c>
      <c r="F1458" t="s">
        <v>62</v>
      </c>
      <c r="G1458" t="str">
        <f>B1424</f>
        <v>heat, from residential heating system</v>
      </c>
      <c r="K1458" t="str">
        <f>B1419</f>
        <v>heat, residential, by conversion of hydrogen using fuel cell, PEM, allocated by exergy, transported by pipeline, produced by Steam Methane Reforming using natural gas from Russia</v>
      </c>
    </row>
    <row r="1459" spans="1:22" hidden="1" x14ac:dyDescent="0.2">
      <c r="A1459" t="str">
        <f>VLOOKUP(J1459,'dataset mapping'!$A$4:$E$69,2,0)</f>
        <v>fuel cell system assembly, 1 kWe, proton exchange membrane (PEM)</v>
      </c>
      <c r="B1459" s="52">
        <f>(1/(B1448*B1452*B1451*3.6))*B1453</f>
        <v>1.0213951974556892E-6</v>
      </c>
      <c r="C1459" t="str">
        <f>VLOOKUP(J1459,'dataset mapping'!$A$4:$E$69,5,0)</f>
        <v>unit</v>
      </c>
      <c r="E1459" t="str">
        <f>VLOOKUP(J1459,'dataset mapping'!$A$4:$E$69,4,0)</f>
        <v>GLO</v>
      </c>
      <c r="F1459" t="s">
        <v>86</v>
      </c>
      <c r="G1459" t="str">
        <f>VLOOKUP(J1459,'dataset mapping'!$A$4:$E$69,3,0)</f>
        <v>fuel cell system, 1 kWe, proton exchange membrane (PEM)</v>
      </c>
      <c r="H1459" t="s">
        <v>88</v>
      </c>
      <c r="I1459" t="s">
        <v>272</v>
      </c>
      <c r="J1459" t="s">
        <v>273</v>
      </c>
      <c r="K1459" t="str">
        <f>B1419</f>
        <v>heat, residential, by conversion of hydrogen using fuel cell, PEM, allocated by exergy, transported by pipeline, produced by Steam Methane Reforming using natural gas from Russia</v>
      </c>
      <c r="L1459">
        <f t="shared" ref="L1459:L1461" si="92">IF(OR(B1459&lt;0,B1459=0),1,2)</f>
        <v>2</v>
      </c>
      <c r="M1459">
        <f t="shared" ref="M1459:M1461" si="93">IF(L1459=2,LN(B1459),"")</f>
        <v>-13.794341024667077</v>
      </c>
      <c r="N1459">
        <v>1</v>
      </c>
      <c r="O1459" s="15">
        <v>1.2</v>
      </c>
      <c r="P1459">
        <v>1</v>
      </c>
      <c r="Q1459">
        <v>1.01</v>
      </c>
      <c r="R1459">
        <v>1.2</v>
      </c>
      <c r="S1459">
        <v>1.2</v>
      </c>
      <c r="T1459">
        <v>3</v>
      </c>
      <c r="U1459">
        <f t="shared" ref="U1459:U1461" si="94">LN(SQRT(EXP(
SQRT(
+POWER(LN(N1459),2)
+POWER(LN(O1459),2)
+POWER(LN(P1459),2)
+POWER(LN(Q1459),2)
+POWER(LN(R1459),2)
+POWER(LN(S1459),2)
+POWER(LN(T1459),2)
)
)))</f>
        <v>0.57157051623399524</v>
      </c>
    </row>
    <row r="1460" spans="1:22" hidden="1" x14ac:dyDescent="0.2">
      <c r="A1460" s="45" t="str">
        <f>"hydrogen supply, transported by "&amp;B1433&amp;", produced by "&amp;B1437&amp;" using "&amp;B1438&amp;" from "&amp;B1439</f>
        <v>hydrogen supply, transported by pipeline, produced by Steam Methane Reforming using natural gas from Russia</v>
      </c>
      <c r="B1460" s="53">
        <f>(B1458/B1442)/B1441*B1453</f>
        <v>2.3223301331624095E-3</v>
      </c>
      <c r="C1460" t="s">
        <v>56</v>
      </c>
      <c r="E1460" t="s">
        <v>64</v>
      </c>
      <c r="F1460" t="s">
        <v>86</v>
      </c>
      <c r="G1460" s="67" t="s">
        <v>1129</v>
      </c>
      <c r="H1460" t="s">
        <v>76</v>
      </c>
      <c r="I1460" t="s">
        <v>1054</v>
      </c>
      <c r="J1460" t="s">
        <v>364</v>
      </c>
      <c r="K1460" t="str">
        <f>B1419</f>
        <v>heat, residential, by conversion of hydrogen using fuel cell, PEM, allocated by exergy, transported by pipeline, produced by Steam Methane Reforming using natural gas from Russia</v>
      </c>
      <c r="L1460">
        <f t="shared" si="92"/>
        <v>2</v>
      </c>
      <c r="M1460">
        <f t="shared" si="93"/>
        <v>-6.0651842296013152</v>
      </c>
      <c r="N1460">
        <v>1</v>
      </c>
      <c r="O1460" s="15">
        <v>1.2</v>
      </c>
      <c r="P1460">
        <v>1</v>
      </c>
      <c r="Q1460">
        <v>1.01</v>
      </c>
      <c r="R1460">
        <v>1.2</v>
      </c>
      <c r="S1460">
        <v>1.2</v>
      </c>
      <c r="T1460">
        <v>1.05</v>
      </c>
      <c r="U1460">
        <f t="shared" si="94"/>
        <v>0.15984597228197622</v>
      </c>
    </row>
    <row r="1461" spans="1:22" hidden="1" x14ac:dyDescent="0.2">
      <c r="A1461" t="s">
        <v>134</v>
      </c>
      <c r="B1461" s="53">
        <f>B1460*9</f>
        <v>2.0900971198461685E-2</v>
      </c>
      <c r="C1461" t="s">
        <v>56</v>
      </c>
      <c r="D1461" t="s">
        <v>100</v>
      </c>
      <c r="F1461" t="s">
        <v>99</v>
      </c>
      <c r="H1461" t="s">
        <v>131</v>
      </c>
      <c r="I1461" t="s">
        <v>1057</v>
      </c>
      <c r="K1461" t="str">
        <f>B1419</f>
        <v>heat, residential, by conversion of hydrogen using fuel cell, PEM, allocated by exergy, transported by pipeline, produced by Steam Methane Reforming using natural gas from Russia</v>
      </c>
      <c r="L1461">
        <f t="shared" si="92"/>
        <v>2</v>
      </c>
      <c r="M1461">
        <f t="shared" si="93"/>
        <v>-3.8679596522650961</v>
      </c>
      <c r="N1461">
        <v>1</v>
      </c>
      <c r="O1461" s="15">
        <v>1.2</v>
      </c>
      <c r="P1461">
        <v>1</v>
      </c>
      <c r="Q1461">
        <v>1.01</v>
      </c>
      <c r="R1461">
        <v>1.2</v>
      </c>
      <c r="S1461">
        <v>1.2</v>
      </c>
      <c r="T1461">
        <v>1.05</v>
      </c>
      <c r="U1461">
        <f t="shared" si="94"/>
        <v>0.15984597228197622</v>
      </c>
    </row>
    <row r="1462" spans="1:22" hidden="1" x14ac:dyDescent="0.2"/>
    <row r="1463" spans="1:22" hidden="1" x14ac:dyDescent="0.2">
      <c r="A1463" s="2" t="s">
        <v>50</v>
      </c>
      <c r="B1463" s="44" t="str">
        <f>IF(B1469="megajoule","heat","electricity")&amp;", residential, by "&amp;B1474&amp;" of "&amp;B1473&amp;" using "&amp;B1475&amp;IF(B1476&lt;&gt;0,", allocated by "&amp;B1476,"")&amp;", transported by "&amp;B1477&amp;", produced by "&amp;B1481&amp;" using "&amp;B1482&amp;" from "&amp;B1483</f>
        <v>heat, residential, by conversion of hydrogen using fuel cell, SOFC, allocated by exergy, transported by pipeline, produced by Steam Methane Reforming using natural gas from Russia</v>
      </c>
    </row>
    <row r="1464" spans="1:22" hidden="1" x14ac:dyDescent="0.2">
      <c r="A1464" t="s">
        <v>51</v>
      </c>
      <c r="B1464" s="45" t="str">
        <f>"This dataset represents the supply of 1 "&amp;IF(B1469="megajoule","megajoule of heat","kilowatt hour of electricity")&amp;" in a residence, by "&amp;B1473&amp;" "&amp;B1474&amp;" in a "&amp;B1475&amp;". "&amp;" The hydrogen is transported by "&amp;B1477&amp;" over "&amp;B1478&amp;" km from regional storage. "&amp;" The "&amp;B1473&amp;" is produced by  "&amp;B1481&amp;", with "&amp;B1482&amp;" from "&amp;B1483&amp;" as feedstock. "&amp;A1485&amp;": "&amp;(B1485*100)&amp;"%. "&amp;A1486&amp;": "&amp;B1486&amp;". "&amp;A1487&amp;": "&amp;B1487&amp;". "&amp;A1488&amp;": "&amp;(B1488*100)&amp;"%. "&amp;A1489&amp;": "&amp;(B1489*100)&amp;"%. "&amp;A1490&amp;": "&amp;(B1490*100)&amp;"%. "&amp;A1491&amp;": "&amp;B1491&amp;". "&amp;A1492&amp;": "&amp;B1492&amp;". "&amp;A1493&amp;": "&amp;(B1493*100)&amp;"%. "&amp;A1494&amp;": "&amp;B1494&amp;". "&amp;A1495&amp;": "&amp;B1495&amp;". "&amp;A1496&amp;": "&amp;B1496&amp;". "&amp;A1497&amp;": "&amp;B1497&amp;".  For more information, refer to: "&amp;B1465</f>
        <v>This dataset represents the supply of 1 megajoule of heat in a residence, by hydrogen conversion in a fuel cell, SOFC.  The hydrogen is transported by pipeline over 500 km from regional storage.  The hydrogen is produced by  Steam Methane Reforming, with natural gas from Russia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465" spans="1:22" hidden="1" x14ac:dyDescent="0.2">
      <c r="A1465" t="s">
        <v>63</v>
      </c>
      <c r="B1465" s="45" t="s">
        <v>660</v>
      </c>
    </row>
    <row r="1466" spans="1:22" hidden="1" x14ac:dyDescent="0.2">
      <c r="A1466" t="s">
        <v>52</v>
      </c>
      <c r="B1466" s="45" t="s">
        <v>64</v>
      </c>
    </row>
    <row r="1467" spans="1:22" hidden="1" x14ac:dyDescent="0.2">
      <c r="A1467" t="s">
        <v>48</v>
      </c>
      <c r="B1467" s="45">
        <v>164</v>
      </c>
    </row>
    <row r="1468" spans="1:22" hidden="1" x14ac:dyDescent="0.2">
      <c r="A1468" t="s">
        <v>54</v>
      </c>
      <c r="B1468" s="45" t="str">
        <f>INDEX(overview!$B$4:$R$338,MATCH(B1467,overview!$A$4:$A$338,0),MATCH(A1468,overview!$B$3:$R$3,0))</f>
        <v>heat, from residential heating system</v>
      </c>
    </row>
    <row r="1469" spans="1:22" hidden="1" x14ac:dyDescent="0.2">
      <c r="A1469" t="s">
        <v>55</v>
      </c>
      <c r="B1469" s="45" t="str">
        <f>INDEX(overview!$B$4:$R$338,MATCH(B1467,overview!$A$4:$A$338,0),MATCH(A1469,overview!$B$3:$R$3,0))</f>
        <v>megajoule</v>
      </c>
    </row>
    <row r="1470" spans="1:22" hidden="1" x14ac:dyDescent="0.2">
      <c r="A1470" t="s">
        <v>0</v>
      </c>
      <c r="B1470" s="45" t="str">
        <f>INDEX(overview!$B$4:$R$338,MATCH(B1467,overview!$A$4:$A$338,0),MATCH(A1470,overview!$B$3:$R$3,0))</f>
        <v>Switzerland</v>
      </c>
    </row>
    <row r="1471" spans="1:22" hidden="1" x14ac:dyDescent="0.2">
      <c r="A1471" t="s">
        <v>1</v>
      </c>
      <c r="B1471" s="45">
        <f>INDEX(overview!$B$4:$R$338,MATCH(B1467,overview!$A$4:$A$338,0),MATCH(A1471,overview!$B$3:$R$3,0))</f>
        <v>2020</v>
      </c>
    </row>
    <row r="1472" spans="1:22" hidden="1" x14ac:dyDescent="0.2">
      <c r="A1472" t="s">
        <v>2</v>
      </c>
      <c r="B1472" s="45" t="str">
        <f>INDEX(overview!$B$4:$R$338,MATCH(B1467,overview!$A$4:$A$338,0),MATCH(A1472,overview!$B$3:$R$3,0))</f>
        <v>1 MJ heat</v>
      </c>
    </row>
    <row r="1473" spans="1:2" hidden="1" x14ac:dyDescent="0.2">
      <c r="A1473" t="s">
        <v>5</v>
      </c>
      <c r="B1473" s="45" t="str">
        <f>INDEX(overview!$B$4:$R$338,MATCH(B1467,overview!$A$4:$A$338,0),MATCH(A1473,overview!$B$3:$R$3,0))</f>
        <v>hydrogen</v>
      </c>
    </row>
    <row r="1474" spans="1:2" hidden="1" x14ac:dyDescent="0.2">
      <c r="A1474" t="s">
        <v>3</v>
      </c>
      <c r="B1474" s="45" t="str">
        <f>INDEX(overview!$B$4:$R$338,MATCH(B1467,overview!$A$4:$A$338,0),MATCH(A1474,overview!$B$3:$R$3,0))</f>
        <v>conversion</v>
      </c>
    </row>
    <row r="1475" spans="1:2" hidden="1" x14ac:dyDescent="0.2">
      <c r="A1475" t="s">
        <v>6</v>
      </c>
      <c r="B1475" s="45" t="str">
        <f>INDEX(overview!$B$4:$R$338,MATCH(B1467,overview!$A$4:$A$338,0),MATCH(A1475,overview!$B$3:$R$3,0))</f>
        <v>fuel cell, SOFC</v>
      </c>
    </row>
    <row r="1476" spans="1:2" hidden="1" x14ac:dyDescent="0.2">
      <c r="A1476" t="s">
        <v>39</v>
      </c>
      <c r="B1476" s="45" t="str">
        <f>INDEX(overview!$B$4:$R$338,MATCH(B1467,overview!$A$4:$A$338,0),MATCH(A1476,overview!$B$3:$R$3,0))</f>
        <v>exergy</v>
      </c>
    </row>
    <row r="1477" spans="1:2" hidden="1" x14ac:dyDescent="0.2">
      <c r="A1477" t="s">
        <v>4</v>
      </c>
      <c r="B1477" s="45" t="str">
        <f>INDEX(overview!$B$4:$R$338,MATCH(B1467,overview!$A$4:$A$338,0),MATCH(A1477,overview!$B$3:$R$3,0))</f>
        <v>pipeline</v>
      </c>
    </row>
    <row r="1478" spans="1:2" hidden="1" x14ac:dyDescent="0.2">
      <c r="A1478" t="s">
        <v>38</v>
      </c>
      <c r="B1478" s="45">
        <f>INDEX(overview!$B$4:$R$338,MATCH(B1467,overview!$A$4:$A$338,0),MATCH(A1478,overview!$B$3:$R$3,0))</f>
        <v>500</v>
      </c>
    </row>
    <row r="1479" spans="1:2" hidden="1" x14ac:dyDescent="0.2">
      <c r="A1479" t="s">
        <v>12</v>
      </c>
      <c r="B1479" s="45" t="str">
        <f>INDEX(overview!$B$4:$R$338,MATCH(B1467,overview!$A$4:$A$338,0),MATCH(A1479,overview!$B$3:$R$3,0))</f>
        <v>Pressure vessel for stationary storage</v>
      </c>
    </row>
    <row r="1480" spans="1:2" hidden="1" x14ac:dyDescent="0.2">
      <c r="A1480" t="s">
        <v>34</v>
      </c>
      <c r="B1480" s="45">
        <f>INDEX(overview!$B$4:$R$338,MATCH(B1467,overview!$A$4:$A$338,0),MATCH(A1480,overview!$B$3:$R$3,0))</f>
        <v>0</v>
      </c>
    </row>
    <row r="1481" spans="1:2" hidden="1" x14ac:dyDescent="0.2">
      <c r="A1481" t="s">
        <v>15</v>
      </c>
      <c r="B1481" s="45" t="str">
        <f>INDEX(overview!$B$4:$R$338,MATCH(B1467,overview!$A$4:$A$338,0),MATCH(A1481,overview!$B$3:$R$3,0))</f>
        <v>Steam Methane Reforming</v>
      </c>
    </row>
    <row r="1482" spans="1:2" hidden="1" x14ac:dyDescent="0.2">
      <c r="A1482" t="s">
        <v>14</v>
      </c>
      <c r="B1482" s="45" t="str">
        <f>INDEX(overview!$B$4:$R$338,MATCH(B1467,overview!$A$4:$A$338,0),MATCH(A1482,overview!$B$3:$R$3,0))</f>
        <v>natural gas</v>
      </c>
    </row>
    <row r="1483" spans="1:2" hidden="1" x14ac:dyDescent="0.2">
      <c r="A1483" t="s">
        <v>26</v>
      </c>
      <c r="B1483" s="45" t="str">
        <f>INDEX(overview!$B$4:$R$338,MATCH(B1467,overview!$A$4:$A$338,0),MATCH(A1483,overview!$B$3:$R$3,0))</f>
        <v>Russia</v>
      </c>
    </row>
    <row r="1484" spans="1:2" hidden="1" x14ac:dyDescent="0.2">
      <c r="A1484" t="s">
        <v>29</v>
      </c>
      <c r="B1484" s="45">
        <f>INDEX(overview!$B$4:$R$338,MATCH(B1467,overview!$A$4:$A$338,0),MATCH(A1484,overview!$B$3:$R$3,0))</f>
        <v>0</v>
      </c>
    </row>
    <row r="1485" spans="1:2" hidden="1" x14ac:dyDescent="0.2">
      <c r="A1485" t="str">
        <f>IF(B1469="megajoule","Heat","Electricity")&amp;" conversion efficiency [% LHV input]"</f>
        <v>Heat conversion efficiency [% LHV input]</v>
      </c>
      <c r="B1485" s="46">
        <f>INDEX(parameters!$D$4:$N$20,MATCH(B1473&amp;B1475,parameters!$A$4:$A$20,0),MATCH(A1485,parameters!$D$3:$N$3,0))</f>
        <v>0.53</v>
      </c>
    </row>
    <row r="1486" spans="1:2" hidden="1" x14ac:dyDescent="0.2">
      <c r="A1486" t="str">
        <f>IF(B1469="megajoule","LHV [MJ/kg]","LHV [kWh/kg]")</f>
        <v>LHV [MJ/kg]</v>
      </c>
      <c r="B1486" s="47">
        <f>INDEX(parameters!$D$4:$N$20,MATCH(B1473&amp;B1475,parameters!$A$4:$A$20,0),MATCH(A1486,parameters!$D$3:$N$3,0))</f>
        <v>120</v>
      </c>
    </row>
    <row r="1487" spans="1:2" hidden="1" x14ac:dyDescent="0.2">
      <c r="A1487" t="s">
        <v>41</v>
      </c>
      <c r="B1487" s="48">
        <f>INDEX(parameters!$D$4:$N$20,MATCH(B1473&amp;B1475,parameters!$A$4:$A$20,0),MATCH(A1487,parameters!$D$3:$N$3,0))</f>
        <v>2.6666666666666665E-2</v>
      </c>
    </row>
    <row r="1488" spans="1:2" hidden="1" x14ac:dyDescent="0.2">
      <c r="A1488" t="s">
        <v>45</v>
      </c>
      <c r="B1488" s="46">
        <f>INDEX(parameters!$D$4:$N$20,MATCH(B1473&amp;B1475,parameters!$A$4:$A$20,0),MATCH(A1488,parameters!$D$3:$N$3,0))</f>
        <v>0</v>
      </c>
    </row>
    <row r="1489" spans="1:22" hidden="1" x14ac:dyDescent="0.2">
      <c r="A1489" t="s">
        <v>46</v>
      </c>
      <c r="B1489" s="46">
        <f>INDEX(parameters!$D$4:$N$20,MATCH(B1473&amp;B1475,parameters!$A$4:$A$20,0),MATCH(A1489,parameters!$D$3:$N$3,0))</f>
        <v>1.4999999999999999E-2</v>
      </c>
    </row>
    <row r="1490" spans="1:22" hidden="1" x14ac:dyDescent="0.2">
      <c r="A1490" t="s">
        <v>43</v>
      </c>
      <c r="B1490" s="46">
        <f>INDEX(parameters!$D$4:$N$20,MATCH(B1473&amp;B1475,parameters!$A$4:$A$20,0),MATCH(A1490,parameters!$D$3:$N$3,0))</f>
        <v>0</v>
      </c>
    </row>
    <row r="1491" spans="1:22" hidden="1" x14ac:dyDescent="0.2">
      <c r="A1491" t="s">
        <v>44</v>
      </c>
      <c r="B1491" s="46">
        <f>INDEX(parameters!$D$4:$N$20,MATCH(B1473&amp;B1475,parameters!$A$4:$A$20,0),MATCH(A1491,parameters!$D$3:$N$3,0))</f>
        <v>0</v>
      </c>
    </row>
    <row r="1492" spans="1:22" hidden="1" x14ac:dyDescent="0.2">
      <c r="A1492" t="s">
        <v>634</v>
      </c>
      <c r="B1492" s="50">
        <f>INDEX(parameters!$D$4:$Y$20,MATCH(B1473&amp;B1475,parameters!$A$4:$A$20,0),MATCH(A1492,parameters!$D$3:$Y$3,0))</f>
        <v>225</v>
      </c>
      <c r="D1492" s="8"/>
    </row>
    <row r="1493" spans="1:22" hidden="1" x14ac:dyDescent="0.2">
      <c r="A1493" t="s">
        <v>82</v>
      </c>
      <c r="B1493" s="46">
        <f>IF(B1484&lt;&gt;0,VLOOKUP(B1484,parameters!A1021:B1023,2,0),0)</f>
        <v>0</v>
      </c>
    </row>
    <row r="1494" spans="1:22" hidden="1" x14ac:dyDescent="0.2">
      <c r="A1494" t="s">
        <v>548</v>
      </c>
      <c r="B1494" s="50">
        <f>INDEX(parameters!$D$4:$P$20,MATCH(B1473&amp;B1475,parameters!$A$4:$A$20,0),MATCH(A1494,parameters!$D$3:$P$3,0))</f>
        <v>100</v>
      </c>
    </row>
    <row r="1495" spans="1:22" hidden="1" x14ac:dyDescent="0.2">
      <c r="A1495" t="s">
        <v>547</v>
      </c>
      <c r="B1495" s="51">
        <f>INDEX(parameters!$D$4:$P$20,MATCH(B1473&amp;B1475,parameters!$A$4:$A$20,0),MATCH(A1495,parameters!$D$3:$P$3,0))</f>
        <v>6</v>
      </c>
    </row>
    <row r="1496" spans="1:22" hidden="1" x14ac:dyDescent="0.2">
      <c r="A1496" t="s">
        <v>630</v>
      </c>
      <c r="B1496" s="51">
        <f>INDEX(parameters!$D$4:$T$20,MATCH(B1473&amp;B1475,parameters!$A$4:$A$20,0),MATCH(A1496,parameters!$D$3:$T$3,0))</f>
        <v>4100</v>
      </c>
    </row>
    <row r="1497" spans="1:22" hidden="1" x14ac:dyDescent="0.2">
      <c r="A1497" t="s">
        <v>1005</v>
      </c>
      <c r="B1497" s="50">
        <f>IF(B1469="megajoule",SUMIFS(allocation!$I$4:$I$30,allocation!$B$4:$B$30,B1475,allocation!$C$4:$C$30,B1476),SUMIFS(allocation!$J$4:$J$30,allocation!$B$4:$B$30,B1475,allocation!$C$4:$C$30,B1476))</f>
        <v>0.13587506510399097</v>
      </c>
    </row>
    <row r="1498" spans="1:22" hidden="1" x14ac:dyDescent="0.2">
      <c r="A1498" t="s">
        <v>1050</v>
      </c>
      <c r="B1498" s="51">
        <f>INDEX(parameters!$D$4:$AB$20,MATCH(B1473&amp;B1475,parameters!$A$4:$A$20,0),MATCH(A1498,parameters!$D$3:$AB$3,0))</f>
        <v>1153.1249999999998</v>
      </c>
    </row>
    <row r="1499" spans="1:22" hidden="1" x14ac:dyDescent="0.2"/>
    <row r="1500" spans="1:22" hidden="1" x14ac:dyDescent="0.2">
      <c r="A1500" s="3" t="s">
        <v>57</v>
      </c>
    </row>
    <row r="1501" spans="1:22" hidden="1" x14ac:dyDescent="0.2">
      <c r="A1501" s="2" t="s">
        <v>58</v>
      </c>
      <c r="B1501" s="44" t="s">
        <v>59</v>
      </c>
      <c r="C1501" s="2" t="s">
        <v>55</v>
      </c>
      <c r="D1501" s="2" t="s">
        <v>60</v>
      </c>
      <c r="E1501" s="2" t="s">
        <v>52</v>
      </c>
      <c r="F1501" s="2" t="s">
        <v>61</v>
      </c>
      <c r="G1501" s="2" t="s">
        <v>54</v>
      </c>
      <c r="H1501" s="2" t="s">
        <v>87</v>
      </c>
      <c r="I1501" s="2" t="s">
        <v>51</v>
      </c>
      <c r="J1501" s="2" t="s">
        <v>138</v>
      </c>
      <c r="K1501" s="2" t="s">
        <v>136</v>
      </c>
      <c r="L1501" s="2" t="s">
        <v>221</v>
      </c>
      <c r="M1501" s="2" t="s">
        <v>379</v>
      </c>
      <c r="N1501" s="2" t="s">
        <v>1059</v>
      </c>
      <c r="O1501" s="2" t="s">
        <v>1060</v>
      </c>
      <c r="P1501" s="2" t="s">
        <v>1061</v>
      </c>
      <c r="Q1501" s="2" t="s">
        <v>1062</v>
      </c>
      <c r="R1501" s="2" t="s">
        <v>1063</v>
      </c>
      <c r="S1501" s="2" t="s">
        <v>1064</v>
      </c>
      <c r="T1501" s="2" t="s">
        <v>1065</v>
      </c>
      <c r="U1501" s="2" t="s">
        <v>380</v>
      </c>
      <c r="V1501" s="2" t="s">
        <v>1128</v>
      </c>
    </row>
    <row r="1502" spans="1:22" x14ac:dyDescent="0.2">
      <c r="A1502" t="str">
        <f>B1463</f>
        <v>heat, residential, by conversion of hydrogen using fuel cell, SOFC, allocated by exergy, transported by pipeline, produced by Steam Methane Reforming using natural gas from Russia</v>
      </c>
      <c r="B1502" s="45">
        <v>1</v>
      </c>
      <c r="C1502" t="str">
        <f>B1469</f>
        <v>megajoule</v>
      </c>
      <c r="E1502" t="str">
        <f>B1466</f>
        <v>CH</v>
      </c>
      <c r="F1502" t="s">
        <v>62</v>
      </c>
      <c r="G1502" t="str">
        <f>B1468</f>
        <v>heat, from residential heating system</v>
      </c>
      <c r="K1502" t="str">
        <f>B1463</f>
        <v>heat, residential, by conversion of hydrogen using fuel cell, SOFC, allocated by exergy, transported by pipeline, produced by Steam Methane Reforming using natural gas from Russia</v>
      </c>
    </row>
    <row r="1503" spans="1:22" hidden="1" x14ac:dyDescent="0.2">
      <c r="A1503" t="str">
        <f>VLOOKUP(J1503,'dataset mapping'!$A$4:$E$69,2,0)</f>
        <v>fuel cell production, stack solid oxide, 125kW electrical, future</v>
      </c>
      <c r="B1503" s="52">
        <f>1/(62*1000000)/B1485*SUMIFS(allocation!$I$4:$I$30,allocation!$B$4:$B$30,B1475,allocation!$C$4:$C$30,B1476)</f>
        <v>4.1349685059035601E-9</v>
      </c>
      <c r="C1503" t="str">
        <f>VLOOKUP(J1503,'dataset mapping'!$A$4:$E$69,5,0)</f>
        <v>unit</v>
      </c>
      <c r="E1503" t="str">
        <f>VLOOKUP(J1503,'dataset mapping'!$A$4:$E$69,4,0)</f>
        <v>CH</v>
      </c>
      <c r="F1503" t="s">
        <v>86</v>
      </c>
      <c r="G1503" t="str">
        <f>VLOOKUP(J1503,'dataset mapping'!$A$4:$E$69,3,0)</f>
        <v>fuel cell, stack solid oxide, 125kW electrical, future</v>
      </c>
      <c r="H1503" t="s">
        <v>88</v>
      </c>
      <c r="I1503" t="s">
        <v>277</v>
      </c>
      <c r="J1503" t="s">
        <v>274</v>
      </c>
      <c r="K1503" t="str">
        <f>B1463</f>
        <v>heat, residential, by conversion of hydrogen using fuel cell, SOFC, allocated by exergy, transported by pipeline, produced by Steam Methane Reforming using natural gas from Russia</v>
      </c>
      <c r="L1503">
        <f t="shared" ref="L1503:L1508" si="95">IF(OR(B1503&lt;0,B1503=0),1,2)</f>
        <v>2</v>
      </c>
      <c r="M1503">
        <f t="shared" ref="M1503:M1508" si="96">IF(L1503=2,LN(B1503),"")</f>
        <v>-19.303786124968067</v>
      </c>
      <c r="N1503">
        <v>1</v>
      </c>
      <c r="O1503" s="15">
        <v>1.2</v>
      </c>
      <c r="P1503">
        <v>1</v>
      </c>
      <c r="Q1503">
        <v>1.01</v>
      </c>
      <c r="R1503">
        <v>1.2</v>
      </c>
      <c r="S1503">
        <v>1.2</v>
      </c>
      <c r="T1503">
        <v>3</v>
      </c>
      <c r="U1503">
        <f t="shared" ref="U1503:U1508" si="97">LN(SQRT(EXP(
SQRT(
+POWER(LN(N1503),2)
+POWER(LN(O1503),2)
+POWER(LN(P1503),2)
+POWER(LN(Q1503),2)
+POWER(LN(R1503),2)
+POWER(LN(S1503),2)
+POWER(LN(T1503),2)
)
)))</f>
        <v>0.57157051623399524</v>
      </c>
    </row>
    <row r="1504" spans="1:22" hidden="1" x14ac:dyDescent="0.2">
      <c r="A1504" t="s">
        <v>283</v>
      </c>
      <c r="B1504" s="52">
        <f>0.000000145/B1485*SUMIFS(allocation!$I$4:$I$30,allocation!$B$4:$B$30,B1475,allocation!$C$4:$C$30,B1476)</f>
        <v>3.7173366868072996E-8</v>
      </c>
      <c r="C1504" t="s">
        <v>55</v>
      </c>
      <c r="E1504" t="s">
        <v>64</v>
      </c>
      <c r="F1504" t="s">
        <v>86</v>
      </c>
      <c r="G1504" t="s">
        <v>284</v>
      </c>
      <c r="H1504" t="s">
        <v>88</v>
      </c>
      <c r="I1504" t="s">
        <v>277</v>
      </c>
      <c r="K1504" t="str">
        <f>B1463</f>
        <v>heat, residential, by conversion of hydrogen using fuel cell, SOFC, allocated by exergy, transported by pipeline, produced by Steam Methane Reforming using natural gas from Russia</v>
      </c>
      <c r="L1504">
        <f t="shared" si="95"/>
        <v>2</v>
      </c>
      <c r="M1504">
        <f t="shared" si="96"/>
        <v>-17.107673276484537</v>
      </c>
      <c r="N1504">
        <v>1</v>
      </c>
      <c r="O1504" s="15">
        <v>1.2</v>
      </c>
      <c r="P1504">
        <v>1</v>
      </c>
      <c r="Q1504">
        <v>1.01</v>
      </c>
      <c r="R1504">
        <v>1.2</v>
      </c>
      <c r="S1504">
        <v>1.2</v>
      </c>
      <c r="T1504">
        <v>3</v>
      </c>
      <c r="U1504">
        <f t="shared" si="97"/>
        <v>0.57157051623399524</v>
      </c>
    </row>
    <row r="1505" spans="1:21" hidden="1" x14ac:dyDescent="0.2">
      <c r="A1505" t="s">
        <v>285</v>
      </c>
      <c r="B1505" s="52">
        <f>0.0000000115/B1485*SUMIFS(allocation!$I$4:$I$30,allocation!$B$4:$B$30,B1475,allocation!$C$4:$C$30,B1476)</f>
        <v>2.9482325447092381E-9</v>
      </c>
      <c r="C1505" t="s">
        <v>55</v>
      </c>
      <c r="E1505" t="s">
        <v>90</v>
      </c>
      <c r="F1505" t="s">
        <v>86</v>
      </c>
      <c r="G1505" t="s">
        <v>286</v>
      </c>
      <c r="H1505" t="s">
        <v>88</v>
      </c>
      <c r="K1505" t="str">
        <f>B1463</f>
        <v>heat, residential, by conversion of hydrogen using fuel cell, SOFC, allocated by exergy, transported by pipeline, produced by Steam Methane Reforming using natural gas from Russia</v>
      </c>
      <c r="L1505">
        <f t="shared" si="95"/>
        <v>2</v>
      </c>
      <c r="M1505">
        <f t="shared" si="96"/>
        <v>-19.642059983535908</v>
      </c>
      <c r="N1505">
        <v>1</v>
      </c>
      <c r="O1505" s="15">
        <v>1.2</v>
      </c>
      <c r="P1505">
        <v>1</v>
      </c>
      <c r="Q1505">
        <v>1.01</v>
      </c>
      <c r="R1505">
        <v>1.2</v>
      </c>
      <c r="S1505">
        <v>1.2</v>
      </c>
      <c r="T1505">
        <v>3</v>
      </c>
      <c r="U1505">
        <f t="shared" si="97"/>
        <v>0.57157051623399524</v>
      </c>
    </row>
    <row r="1506" spans="1:21" hidden="1" x14ac:dyDescent="0.2">
      <c r="A1506" t="s">
        <v>288</v>
      </c>
      <c r="B1506" s="52">
        <f>0.000024/B1485*SUMIFS(allocation!$I$4:$I$30,allocation!$B$4:$B$30,B1475,allocation!$C$4:$C$30,B1476)</f>
        <v>6.152833136784497E-6</v>
      </c>
      <c r="C1506" t="s">
        <v>56</v>
      </c>
      <c r="E1506" t="s">
        <v>64</v>
      </c>
      <c r="F1506" t="s">
        <v>86</v>
      </c>
      <c r="G1506" t="s">
        <v>287</v>
      </c>
      <c r="H1506" t="s">
        <v>88</v>
      </c>
      <c r="K1506" t="str">
        <f>B1463</f>
        <v>heat, residential, by conversion of hydrogen using fuel cell, SOFC, allocated by exergy, transported by pipeline, produced by Steam Methane Reforming using natural gas from Russia</v>
      </c>
      <c r="L1506">
        <f t="shared" si="95"/>
        <v>2</v>
      </c>
      <c r="M1506">
        <f t="shared" si="96"/>
        <v>-11.998597909575029</v>
      </c>
      <c r="N1506">
        <v>1</v>
      </c>
      <c r="O1506" s="15">
        <v>1.2</v>
      </c>
      <c r="P1506">
        <v>1</v>
      </c>
      <c r="Q1506">
        <v>1.01</v>
      </c>
      <c r="R1506">
        <v>1.2</v>
      </c>
      <c r="S1506">
        <v>1.2</v>
      </c>
      <c r="T1506">
        <v>1.05</v>
      </c>
      <c r="U1506">
        <f t="shared" si="97"/>
        <v>0.15984597228197622</v>
      </c>
    </row>
    <row r="1507" spans="1:21" hidden="1" x14ac:dyDescent="0.2">
      <c r="A1507" s="45" t="str">
        <f>"hydrogen supply, transported by "&amp;B1477&amp;", produced by "&amp;B1481&amp;" using "&amp;B1482&amp;" from "&amp;B1483</f>
        <v>hydrogen supply, transported by pipeline, produced by Steam Methane Reforming using natural gas from Russia</v>
      </c>
      <c r="B1507" s="53">
        <f>(B1502/B1486)/B1485*B1497</f>
        <v>2.1364003947168392E-3</v>
      </c>
      <c r="C1507" t="s">
        <v>56</v>
      </c>
      <c r="E1507" t="s">
        <v>64</v>
      </c>
      <c r="F1507" t="s">
        <v>86</v>
      </c>
      <c r="G1507" s="67" t="s">
        <v>1129</v>
      </c>
      <c r="H1507" t="s">
        <v>76</v>
      </c>
      <c r="I1507" t="s">
        <v>1054</v>
      </c>
      <c r="J1507" t="s">
        <v>364</v>
      </c>
      <c r="K1507" t="str">
        <f>B1463</f>
        <v>heat, residential, by conversion of hydrogen using fuel cell, SOFC, allocated by exergy, transported by pipeline, produced by Steam Methane Reforming using natural gas from Russia</v>
      </c>
      <c r="L1507">
        <f t="shared" si="95"/>
        <v>2</v>
      </c>
      <c r="M1507">
        <f t="shared" si="96"/>
        <v>-6.1486329247407472</v>
      </c>
      <c r="N1507">
        <v>1</v>
      </c>
      <c r="O1507" s="15">
        <v>1.2</v>
      </c>
      <c r="P1507">
        <v>1</v>
      </c>
      <c r="Q1507">
        <v>1.01</v>
      </c>
      <c r="R1507">
        <v>1.2</v>
      </c>
      <c r="S1507">
        <v>1.2</v>
      </c>
      <c r="T1507">
        <v>1.05</v>
      </c>
      <c r="U1507">
        <f t="shared" si="97"/>
        <v>0.15984597228197622</v>
      </c>
    </row>
    <row r="1508" spans="1:21" hidden="1" x14ac:dyDescent="0.2">
      <c r="A1508" t="s">
        <v>134</v>
      </c>
      <c r="B1508" s="45">
        <f>B1507*9</f>
        <v>1.9227603552451553E-2</v>
      </c>
      <c r="C1508" t="s">
        <v>56</v>
      </c>
      <c r="D1508" t="s">
        <v>100</v>
      </c>
      <c r="F1508" t="s">
        <v>99</v>
      </c>
      <c r="H1508" t="s">
        <v>131</v>
      </c>
      <c r="I1508" t="s">
        <v>1057</v>
      </c>
      <c r="K1508" t="str">
        <f>B1463</f>
        <v>heat, residential, by conversion of hydrogen using fuel cell, SOFC, allocated by exergy, transported by pipeline, produced by Steam Methane Reforming using natural gas from Russia</v>
      </c>
      <c r="L1508">
        <f t="shared" si="95"/>
        <v>2</v>
      </c>
      <c r="M1508">
        <f t="shared" si="96"/>
        <v>-3.9514083474045276</v>
      </c>
      <c r="N1508">
        <v>1</v>
      </c>
      <c r="O1508" s="15">
        <v>1.2</v>
      </c>
      <c r="P1508">
        <v>1</v>
      </c>
      <c r="Q1508">
        <v>1.01</v>
      </c>
      <c r="R1508">
        <v>1.2</v>
      </c>
      <c r="S1508">
        <v>1.2</v>
      </c>
      <c r="T1508">
        <v>1.05</v>
      </c>
      <c r="U1508">
        <f t="shared" si="97"/>
        <v>0.15984597228197622</v>
      </c>
    </row>
    <row r="1509" spans="1:21" hidden="1" x14ac:dyDescent="0.2"/>
    <row r="1510" spans="1:21" hidden="1" x14ac:dyDescent="0.2">
      <c r="A1510" s="2" t="s">
        <v>50</v>
      </c>
      <c r="B1510" s="44" t="str">
        <f>IF(B1516="megajoule","heat","electricity")&amp;", residential, by "&amp;B1521&amp;" of "&amp;B1520&amp;" using "&amp;B1522&amp;IF(B1523&lt;&gt;0,", allocated by "&amp;B1523,"")&amp;", transported by "&amp;B1524&amp;", produced by "&amp;B1528&amp;" using "&amp;B1529&amp;" from "&amp;B1530</f>
        <v>electricity, residential, by combustion of hydrogen using CHP, allocated by exergy, transported by pipeline, produced by Steam Methane Reforming using natural gas from Russia</v>
      </c>
    </row>
    <row r="1511" spans="1:21" hidden="1" x14ac:dyDescent="0.2">
      <c r="A1511" t="s">
        <v>51</v>
      </c>
      <c r="B1511" s="45" t="str">
        <f>"This dataset represents the supply of 1 "&amp;IF(B1516="megajoule","megajoule of heat","kilowatt hour of electricity")&amp;" in a residence, by "&amp;B1520&amp;" "&amp;B1521&amp;" in a "&amp;B1522&amp;". "&amp;" The hydrogen is transported by "&amp;B1524&amp;" over "&amp;B1525&amp;" km from regional storage. "&amp;" The "&amp;B1520&amp;" is produced by  "&amp;B1528&amp;", with "&amp;B1529&amp;" from "&amp;B1530&amp;" as feedstock. "&amp;A1532&amp;": "&amp;(B1532*100)&amp;"%. "&amp;A1533&amp;": "&amp;B1533&amp;". "&amp;A1534&amp;": "&amp;B1534&amp;". "&amp;A1535&amp;": "&amp;(B1535*100)&amp;"%. "&amp;A1536&amp;": "&amp;(B1536*100)&amp;"%. "&amp;A1537&amp;": "&amp;(B1537*100)&amp;"%. "&amp;A1538&amp;": "&amp;B1538&amp;". "&amp;A1539&amp;": "&amp;B1539&amp;". "&amp;A1540&amp;": "&amp;(B1540*100)&amp;"%. "&amp;A1541&amp;": "&amp;B1541&amp;". "&amp;A1542&amp;": "&amp;B1542&amp;". "&amp;A1543&amp;": "&amp;B1543&amp;". "&amp;A1544&amp;": "&amp;B1544&amp;".  For more information, refer to: "&amp;B1512</f>
        <v>This dataset represents the supply of 1 kilowatt hour of electricity in a residence, by hydrogen combustion in a CHP.  The hydrogen is transported by pipeline over 500 km from regional storage.  The hydrogen is produced by  Steam Methane Reforming, with natural gas from Russia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512" spans="1:21" hidden="1" x14ac:dyDescent="0.2">
      <c r="A1512" t="s">
        <v>63</v>
      </c>
      <c r="B1512" s="45" t="s">
        <v>660</v>
      </c>
    </row>
    <row r="1513" spans="1:21" hidden="1" x14ac:dyDescent="0.2">
      <c r="A1513" t="s">
        <v>52</v>
      </c>
      <c r="B1513" s="45" t="s">
        <v>64</v>
      </c>
    </row>
    <row r="1514" spans="1:21" hidden="1" x14ac:dyDescent="0.2">
      <c r="A1514" t="s">
        <v>48</v>
      </c>
      <c r="B1514" s="45" t="s">
        <v>985</v>
      </c>
    </row>
    <row r="1515" spans="1:21" hidden="1" x14ac:dyDescent="0.2">
      <c r="A1515" t="s">
        <v>54</v>
      </c>
      <c r="B1515" s="45" t="str">
        <f>INDEX(overview!$B$4:$R$338,MATCH(B1514,overview!$A$4:$A$338,0),MATCH(A1515,overview!$B$3:$R$3,0))</f>
        <v>electricity, from residential heating system</v>
      </c>
    </row>
    <row r="1516" spans="1:21" hidden="1" x14ac:dyDescent="0.2">
      <c r="A1516" t="s">
        <v>55</v>
      </c>
      <c r="B1516" s="45" t="str">
        <f>INDEX(overview!$B$4:$R$338,MATCH(B1514,overview!$A$4:$A$338,0),MATCH(A1516,overview!$B$3:$R$3,0))</f>
        <v>kilowatt hour</v>
      </c>
    </row>
    <row r="1517" spans="1:21" hidden="1" x14ac:dyDescent="0.2">
      <c r="A1517" t="s">
        <v>0</v>
      </c>
      <c r="B1517" s="45" t="str">
        <f>INDEX(overview!$B$4:$R$338,MATCH(B1514,overview!$A$4:$A$338,0),MATCH(A1517,overview!$B$3:$R$3,0))</f>
        <v>Switzerland</v>
      </c>
    </row>
    <row r="1518" spans="1:21" hidden="1" x14ac:dyDescent="0.2">
      <c r="A1518" t="s">
        <v>1</v>
      </c>
      <c r="B1518" s="45">
        <f>INDEX(overview!$B$4:$R$338,MATCH(B1514,overview!$A$4:$A$338,0),MATCH(A1518,overview!$B$3:$R$3,0))</f>
        <v>2020</v>
      </c>
    </row>
    <row r="1519" spans="1:21" hidden="1" x14ac:dyDescent="0.2">
      <c r="A1519" t="s">
        <v>2</v>
      </c>
      <c r="B1519" s="45" t="str">
        <f>INDEX(overview!$B$4:$R$338,MATCH(B1514,overview!$A$4:$A$338,0),MATCH(A1519,overview!$B$3:$R$3,0))</f>
        <v>1 kWh electricity</v>
      </c>
    </row>
    <row r="1520" spans="1:21" hidden="1" x14ac:dyDescent="0.2">
      <c r="A1520" t="s">
        <v>5</v>
      </c>
      <c r="B1520" s="45" t="str">
        <f>INDEX(overview!$B$4:$R$338,MATCH(B1514,overview!$A$4:$A$338,0),MATCH(A1520,overview!$B$3:$R$3,0))</f>
        <v>hydrogen</v>
      </c>
    </row>
    <row r="1521" spans="1:2" hidden="1" x14ac:dyDescent="0.2">
      <c r="A1521" t="s">
        <v>3</v>
      </c>
      <c r="B1521" s="45" t="str">
        <f>INDEX(overview!$B$4:$R$338,MATCH(B1514,overview!$A$4:$A$338,0),MATCH(A1521,overview!$B$3:$R$3,0))</f>
        <v>combustion</v>
      </c>
    </row>
    <row r="1522" spans="1:2" hidden="1" x14ac:dyDescent="0.2">
      <c r="A1522" t="s">
        <v>6</v>
      </c>
      <c r="B1522" s="45" t="str">
        <f>INDEX(overview!$B$4:$R$338,MATCH(B1514,overview!$A$4:$A$338,0),MATCH(A1522,overview!$B$3:$R$3,0))</f>
        <v>CHP</v>
      </c>
    </row>
    <row r="1523" spans="1:2" hidden="1" x14ac:dyDescent="0.2">
      <c r="A1523" t="s">
        <v>39</v>
      </c>
      <c r="B1523" s="45" t="str">
        <f>INDEX(overview!$B$4:$R$338,MATCH(B1514,overview!$A$4:$A$338,0),MATCH(A1523,overview!$B$3:$R$3,0))</f>
        <v>exergy</v>
      </c>
    </row>
    <row r="1524" spans="1:2" hidden="1" x14ac:dyDescent="0.2">
      <c r="A1524" t="s">
        <v>4</v>
      </c>
      <c r="B1524" s="45" t="str">
        <f>INDEX(overview!$B$4:$R$338,MATCH(B1514,overview!$A$4:$A$338,0),MATCH(A1524,overview!$B$3:$R$3,0))</f>
        <v>pipeline</v>
      </c>
    </row>
    <row r="1525" spans="1:2" hidden="1" x14ac:dyDescent="0.2">
      <c r="A1525" t="s">
        <v>38</v>
      </c>
      <c r="B1525" s="45">
        <f>INDEX(overview!$B$4:$R$338,MATCH(B1514,overview!$A$4:$A$338,0),MATCH(A1525,overview!$B$3:$R$3,0))</f>
        <v>500</v>
      </c>
    </row>
    <row r="1526" spans="1:2" hidden="1" x14ac:dyDescent="0.2">
      <c r="A1526" t="s">
        <v>12</v>
      </c>
      <c r="B1526" s="45" t="str">
        <f>INDEX(overview!$B$4:$R$338,MATCH(B1514,overview!$A$4:$A$338,0),MATCH(A1526,overview!$B$3:$R$3,0))</f>
        <v>Pressure vessel for stationary storage</v>
      </c>
    </row>
    <row r="1527" spans="1:2" hidden="1" x14ac:dyDescent="0.2">
      <c r="A1527" t="s">
        <v>34</v>
      </c>
      <c r="B1527" s="45">
        <f>INDEX(overview!$B$4:$R$338,MATCH(B1514,overview!$A$4:$A$338,0),MATCH(A1527,overview!$B$3:$R$3,0))</f>
        <v>0</v>
      </c>
    </row>
    <row r="1528" spans="1:2" hidden="1" x14ac:dyDescent="0.2">
      <c r="A1528" t="s">
        <v>15</v>
      </c>
      <c r="B1528" s="45" t="str">
        <f>INDEX(overview!$B$4:$R$338,MATCH(B1514,overview!$A$4:$A$338,0),MATCH(A1528,overview!$B$3:$R$3,0))</f>
        <v>Steam Methane Reforming</v>
      </c>
    </row>
    <row r="1529" spans="1:2" hidden="1" x14ac:dyDescent="0.2">
      <c r="A1529" t="s">
        <v>14</v>
      </c>
      <c r="B1529" s="45" t="str">
        <f>INDEX(overview!$B$4:$R$338,MATCH(B1514,overview!$A$4:$A$338,0),MATCH(A1529,overview!$B$3:$R$3,0))</f>
        <v>natural gas</v>
      </c>
    </row>
    <row r="1530" spans="1:2" hidden="1" x14ac:dyDescent="0.2">
      <c r="A1530" t="s">
        <v>26</v>
      </c>
      <c r="B1530" s="45" t="str">
        <f>INDEX(overview!$B$4:$R$338,MATCH(B1514,overview!$A$4:$A$338,0),MATCH(A1530,overview!$B$3:$R$3,0))</f>
        <v>Russia</v>
      </c>
    </row>
    <row r="1531" spans="1:2" hidden="1" x14ac:dyDescent="0.2">
      <c r="A1531" t="s">
        <v>29</v>
      </c>
      <c r="B1531" s="45">
        <f>INDEX(overview!$B$4:$R$338,MATCH(B1514,overview!$A$4:$A$338,0),MATCH(A1531,overview!$B$3:$R$3,0))</f>
        <v>0</v>
      </c>
    </row>
    <row r="1532" spans="1:2" hidden="1" x14ac:dyDescent="0.2">
      <c r="A1532" t="str">
        <f>IF(B1516="megajoule","Heat","Electricity")&amp;" conversion efficiency [% LHV input]"</f>
        <v>Electricity conversion efficiency [% LHV input]</v>
      </c>
      <c r="B1532" s="46">
        <f>INDEX(parameters!$D$4:$N$20,MATCH(B1520&amp;B1522,parameters!$A$4:$A$20,0),MATCH(A1532,parameters!$D$3:$N$3,0))</f>
        <v>0.39400000000000002</v>
      </c>
    </row>
    <row r="1533" spans="1:2" hidden="1" x14ac:dyDescent="0.2">
      <c r="A1533" t="str">
        <f>IF(B1516="megajoule","LHV [MJ/kg]","LHV [kWh/kg]")</f>
        <v>LHV [kWh/kg]</v>
      </c>
      <c r="B1533" s="47">
        <f>INDEX(parameters!$D$4:$N$20,MATCH(B1520&amp;B1522,parameters!$A$4:$A$20,0),MATCH(A1533,parameters!$D$3:$N$3,0))</f>
        <v>33.333333333333336</v>
      </c>
    </row>
    <row r="1534" spans="1:2" hidden="1" x14ac:dyDescent="0.2">
      <c r="A1534" t="s">
        <v>41</v>
      </c>
      <c r="B1534" s="48">
        <f>INDEX(parameters!$D$4:$N$20,MATCH(B1520&amp;B1522,parameters!$A$4:$A$20,0),MATCH(A1534,parameters!$D$3:$N$3,0))</f>
        <v>2.6666666666666665E-2</v>
      </c>
    </row>
    <row r="1535" spans="1:2" hidden="1" x14ac:dyDescent="0.2">
      <c r="A1535" t="s">
        <v>45</v>
      </c>
      <c r="B1535" s="46">
        <f>INDEX(parameters!$D$4:$N$20,MATCH(B1520&amp;B1522,parameters!$A$4:$A$20,0),MATCH(A1535,parameters!$D$3:$N$3,0))</f>
        <v>0</v>
      </c>
    </row>
    <row r="1536" spans="1:2" hidden="1" x14ac:dyDescent="0.2">
      <c r="A1536" t="s">
        <v>46</v>
      </c>
      <c r="B1536" s="46">
        <f>INDEX(parameters!$D$4:$N$20,MATCH(B1520&amp;B1522,parameters!$A$4:$A$20,0),MATCH(A1536,parameters!$D$3:$N$3,0))</f>
        <v>1.4999999999999999E-2</v>
      </c>
    </row>
    <row r="1537" spans="1:22" hidden="1" x14ac:dyDescent="0.2">
      <c r="A1537" t="s">
        <v>43</v>
      </c>
      <c r="B1537" s="46">
        <f>INDEX(parameters!$D$4:$N$20,MATCH(B1520&amp;B1522,parameters!$A$4:$A$20,0),MATCH(A1537,parameters!$D$3:$N$3,0))</f>
        <v>0</v>
      </c>
    </row>
    <row r="1538" spans="1:22" hidden="1" x14ac:dyDescent="0.2">
      <c r="A1538" t="s">
        <v>44</v>
      </c>
      <c r="B1538" s="46">
        <f>INDEX(parameters!$D$4:$N$20,MATCH(B1520&amp;B1522,parameters!$A$4:$A$20,0),MATCH(A1538,parameters!$D$3:$N$3,0))</f>
        <v>0</v>
      </c>
    </row>
    <row r="1539" spans="1:22" hidden="1" x14ac:dyDescent="0.2">
      <c r="A1539" t="s">
        <v>634</v>
      </c>
      <c r="B1539" s="50">
        <f>INDEX(parameters!$D$4:$Y$20,MATCH(B1520&amp;B1522,parameters!$A$4:$A$20,0),MATCH(A1539,parameters!$D$3:$Y$3,0))</f>
        <v>351.41800246609125</v>
      </c>
    </row>
    <row r="1540" spans="1:22" hidden="1" x14ac:dyDescent="0.2">
      <c r="A1540" t="s">
        <v>82</v>
      </c>
      <c r="B1540" s="46">
        <f>IF(B1531&lt;&gt;0,VLOOKUP(B1531,parameters!A1073:B1075,2,0),0)</f>
        <v>0</v>
      </c>
    </row>
    <row r="1541" spans="1:22" hidden="1" x14ac:dyDescent="0.2">
      <c r="A1541" t="s">
        <v>548</v>
      </c>
      <c r="B1541" s="50">
        <f>INDEX(parameters!$D$4:$P$20,MATCH(B1520&amp;B1522,parameters!$A$4:$A$20,0),MATCH(A1541,parameters!$D$3:$P$3,0))</f>
        <v>125</v>
      </c>
    </row>
    <row r="1542" spans="1:22" hidden="1" x14ac:dyDescent="0.2">
      <c r="A1542" t="s">
        <v>547</v>
      </c>
      <c r="B1542" s="51">
        <f>INDEX(parameters!$D$4:$P$20,MATCH(B1520&amp;B1522,parameters!$A$4:$A$20,0),MATCH(A1542,parameters!$D$3:$P$3,0))</f>
        <v>19.512195121951219</v>
      </c>
    </row>
    <row r="1543" spans="1:22" hidden="1" x14ac:dyDescent="0.2">
      <c r="A1543" t="s">
        <v>630</v>
      </c>
      <c r="B1543" s="51">
        <f>INDEX(parameters!$D$4:$T$20,MATCH(B1520&amp;B1522,parameters!$A$4:$A$20,0),MATCH(A1543,parameters!$D$3:$T$3,0))</f>
        <v>4100</v>
      </c>
    </row>
    <row r="1544" spans="1:22" hidden="1" x14ac:dyDescent="0.2">
      <c r="A1544" t="s">
        <v>1005</v>
      </c>
      <c r="B1544" s="50">
        <f>IF(B1516="megajoule",SUMIFS(allocation!$I$4:$I$30,allocation!$B$4:$B$30,B1522,allocation!$C$4:$C$30,B1523),SUMIFS(allocation!$J$4:$J$30,allocation!$B$4:$B$30,B1522,allocation!$C$4:$C$30,B1523))</f>
        <v>0.87139957772704957</v>
      </c>
    </row>
    <row r="1545" spans="1:22" hidden="1" x14ac:dyDescent="0.2">
      <c r="A1545" t="s">
        <v>1050</v>
      </c>
      <c r="B1545" s="51">
        <f>INDEX(parameters!$D$4:$AB$20,MATCH(B1520&amp;B1522,parameters!$A$4:$A$20,0),MATCH(A1545,parameters!$D$3:$AB$3,0))</f>
        <v>2220.7364520822662</v>
      </c>
    </row>
    <row r="1546" spans="1:22" hidden="1" x14ac:dyDescent="0.2"/>
    <row r="1547" spans="1:22" hidden="1" x14ac:dyDescent="0.2">
      <c r="A1547" s="3" t="s">
        <v>57</v>
      </c>
    </row>
    <row r="1548" spans="1:22" hidden="1" x14ac:dyDescent="0.2">
      <c r="A1548" s="2" t="s">
        <v>58</v>
      </c>
      <c r="B1548" s="44" t="s">
        <v>59</v>
      </c>
      <c r="C1548" s="2" t="s">
        <v>55</v>
      </c>
      <c r="D1548" s="2" t="s">
        <v>60</v>
      </c>
      <c r="E1548" s="2" t="s">
        <v>52</v>
      </c>
      <c r="F1548" s="2" t="s">
        <v>61</v>
      </c>
      <c r="G1548" s="2" t="s">
        <v>54</v>
      </c>
      <c r="H1548" s="2" t="s">
        <v>87</v>
      </c>
      <c r="I1548" s="2" t="s">
        <v>51</v>
      </c>
      <c r="J1548" s="2" t="s">
        <v>138</v>
      </c>
      <c r="K1548" s="2" t="s">
        <v>136</v>
      </c>
      <c r="L1548" s="2" t="s">
        <v>221</v>
      </c>
      <c r="M1548" s="2" t="s">
        <v>379</v>
      </c>
      <c r="N1548" s="2" t="s">
        <v>1059</v>
      </c>
      <c r="O1548" s="2" t="s">
        <v>1060</v>
      </c>
      <c r="P1548" s="2" t="s">
        <v>1061</v>
      </c>
      <c r="Q1548" s="2" t="s">
        <v>1062</v>
      </c>
      <c r="R1548" s="2" t="s">
        <v>1063</v>
      </c>
      <c r="S1548" s="2" t="s">
        <v>1064</v>
      </c>
      <c r="T1548" s="2" t="s">
        <v>1065</v>
      </c>
      <c r="U1548" s="2" t="s">
        <v>380</v>
      </c>
      <c r="V1548" s="2" t="s">
        <v>1128</v>
      </c>
    </row>
    <row r="1549" spans="1:22" hidden="1" x14ac:dyDescent="0.2">
      <c r="A1549" t="str">
        <f>B1510</f>
        <v>electricity, residential, by combustion of hydrogen using CHP, allocated by exergy, transported by pipeline, produced by Steam Methane Reforming using natural gas from Russia</v>
      </c>
      <c r="B1549" s="45">
        <v>1</v>
      </c>
      <c r="C1549" t="str">
        <f>B1516</f>
        <v>kilowatt hour</v>
      </c>
      <c r="E1549" t="str">
        <f>B1513</f>
        <v>CH</v>
      </c>
      <c r="F1549" t="s">
        <v>62</v>
      </c>
      <c r="G1549" t="str">
        <f>B1515</f>
        <v>electricity, from residential heating system</v>
      </c>
      <c r="K1549" t="str">
        <f>B1510</f>
        <v>electricity, residential, by combustion of hydrogen using CHP, allocated by exergy, transported by pipeline, produced by Steam Methane Reforming using natural gas from Russia</v>
      </c>
    </row>
    <row r="1550" spans="1:22" hidden="1" x14ac:dyDescent="0.2">
      <c r="A1550" t="str">
        <f>VLOOKUP(J1550,'dataset mapping'!$A$4:$E$69,2,0)</f>
        <v>heat and power co-generation unit construction, 160kW electrical, common components for heat+electricity</v>
      </c>
      <c r="B1550" s="52">
        <f>(1/(B1539*B1543*B1542))*B1544</f>
        <v>3.0995835856870056E-8</v>
      </c>
      <c r="C1550" t="str">
        <f>VLOOKUP(J1550,'dataset mapping'!$A$4:$E$69,5,0)</f>
        <v>unit</v>
      </c>
      <c r="E1550" t="str">
        <f>VLOOKUP(J1550,'dataset mapping'!$A$4:$E$69,4,0)</f>
        <v>RER</v>
      </c>
      <c r="F1550" t="s">
        <v>86</v>
      </c>
      <c r="G1550" t="str">
        <f>VLOOKUP(J1550,'dataset mapping'!$A$4:$E$69,3,0)</f>
        <v>heat and power co-generation unit, 160kW electrical, common components for heat+electricity</v>
      </c>
      <c r="H1550" t="s">
        <v>88</v>
      </c>
      <c r="J1550" t="s">
        <v>145</v>
      </c>
      <c r="K1550" t="str">
        <f>B1510</f>
        <v>electricity, residential, by combustion of hydrogen using CHP, allocated by exergy, transported by pipeline, produced by Steam Methane Reforming using natural gas from Russia</v>
      </c>
      <c r="L1550">
        <f t="shared" ref="L1550:L1557" si="98">IF(OR(B1550&lt;0,B1550=0),1,2)</f>
        <v>2</v>
      </c>
      <c r="M1550">
        <f t="shared" ref="M1550:M1557" si="99">IF(L1550=2,LN(B1550),"")</f>
        <v>-17.28941296868171</v>
      </c>
      <c r="N1550">
        <v>1.05</v>
      </c>
      <c r="O1550" s="15">
        <v>1.2</v>
      </c>
      <c r="P1550">
        <v>1</v>
      </c>
      <c r="Q1550">
        <v>1.01</v>
      </c>
      <c r="R1550">
        <v>1.2</v>
      </c>
      <c r="S1550">
        <v>1.2</v>
      </c>
      <c r="T1550">
        <v>3</v>
      </c>
      <c r="U1550">
        <f t="shared" ref="U1550:U1557" si="100">LN(SQRT(EXP(
SQRT(
+POWER(LN(N1550),2)
+POWER(LN(O1550),2)
+POWER(LN(P1550),2)
+POWER(LN(Q1550),2)
+POWER(LN(R1550),2)
+POWER(LN(S1550),2)
+POWER(LN(T1550),2)
)
)))</f>
        <v>0.57209088006881903</v>
      </c>
    </row>
    <row r="1551" spans="1:22" hidden="1" x14ac:dyDescent="0.2">
      <c r="A1551" t="str">
        <f>VLOOKUP(J1551,'dataset mapping'!$A$4:$E$69,2,0)</f>
        <v>heat and power co-generation unit construction, 160kW electrical, components for electricity only</v>
      </c>
      <c r="B1551" s="52">
        <f>(1/(B1539*B1543*B1542))*B1544</f>
        <v>3.0995835856870056E-8</v>
      </c>
      <c r="C1551" t="str">
        <f>VLOOKUP(J1551,'dataset mapping'!$A$4:$E$69,5,0)</f>
        <v>unit</v>
      </c>
      <c r="E1551" t="str">
        <f>VLOOKUP(J1551,'dataset mapping'!$A$4:$E$69,4,0)</f>
        <v>RER</v>
      </c>
      <c r="F1551" t="s">
        <v>86</v>
      </c>
      <c r="G1551" t="str">
        <f>VLOOKUP(J1551,'dataset mapping'!$A$4:$E$69,3,0)</f>
        <v>heat and power co-generation unit, 160kW electrical, components for electricity only</v>
      </c>
      <c r="H1551" t="s">
        <v>88</v>
      </c>
      <c r="J1551" t="s">
        <v>146</v>
      </c>
      <c r="K1551" t="str">
        <f>B1510</f>
        <v>electricity, residential, by combustion of hydrogen using CHP, allocated by exergy, transported by pipeline, produced by Steam Methane Reforming using natural gas from Russia</v>
      </c>
      <c r="L1551">
        <f t="shared" si="98"/>
        <v>2</v>
      </c>
      <c r="M1551">
        <f t="shared" si="99"/>
        <v>-17.28941296868171</v>
      </c>
      <c r="N1551">
        <v>1.05</v>
      </c>
      <c r="O1551" s="15">
        <v>1.2</v>
      </c>
      <c r="P1551">
        <v>1</v>
      </c>
      <c r="Q1551">
        <v>1.01</v>
      </c>
      <c r="R1551">
        <v>1.2</v>
      </c>
      <c r="S1551">
        <v>1.2</v>
      </c>
      <c r="T1551">
        <v>3</v>
      </c>
      <c r="U1551">
        <f t="shared" si="100"/>
        <v>0.57209088006881903</v>
      </c>
    </row>
    <row r="1552" spans="1:22" hidden="1" x14ac:dyDescent="0.2">
      <c r="A1552" t="str">
        <f>VLOOKUP(J1552,'dataset mapping'!$A$4:$E$69,2,0)</f>
        <v>heat and power co-generation unit construction, 160kW electrical, components for heat only</v>
      </c>
      <c r="B1552" s="52">
        <f>(1/(B1539*B1543*B1542))*B1544</f>
        <v>3.0995835856870056E-8</v>
      </c>
      <c r="C1552" t="str">
        <f>VLOOKUP(J1552,'dataset mapping'!$A$4:$E$69,5,0)</f>
        <v>unit</v>
      </c>
      <c r="E1552" t="str">
        <f>VLOOKUP(J1552,'dataset mapping'!$A$4:$E$69,4,0)</f>
        <v>RER</v>
      </c>
      <c r="F1552" t="s">
        <v>86</v>
      </c>
      <c r="G1552" t="str">
        <f>VLOOKUP(J1552,'dataset mapping'!$A$4:$E$69,3,0)</f>
        <v>heat and power co-generation unit, 160kW electrical, components for heat only</v>
      </c>
      <c r="H1552" t="s">
        <v>88</v>
      </c>
      <c r="J1552" t="s">
        <v>147</v>
      </c>
      <c r="K1552" t="str">
        <f>B1510</f>
        <v>electricity, residential, by combustion of hydrogen using CHP, allocated by exergy, transported by pipeline, produced by Steam Methane Reforming using natural gas from Russia</v>
      </c>
      <c r="L1552">
        <f t="shared" si="98"/>
        <v>2</v>
      </c>
      <c r="M1552">
        <f t="shared" si="99"/>
        <v>-17.28941296868171</v>
      </c>
      <c r="N1552">
        <v>1.05</v>
      </c>
      <c r="O1552" s="15">
        <v>1.2</v>
      </c>
      <c r="P1552">
        <v>1</v>
      </c>
      <c r="Q1552">
        <v>1.01</v>
      </c>
      <c r="R1552">
        <v>1.2</v>
      </c>
      <c r="S1552">
        <v>1.2</v>
      </c>
      <c r="T1552">
        <v>3</v>
      </c>
      <c r="U1552">
        <f t="shared" si="100"/>
        <v>0.57209088006881903</v>
      </c>
    </row>
    <row r="1553" spans="1:22" hidden="1" x14ac:dyDescent="0.2">
      <c r="A1553" t="s">
        <v>156</v>
      </c>
      <c r="B1553" s="52">
        <f>0.00000011366*B1544</f>
        <v>9.9043276004456456E-8</v>
      </c>
      <c r="C1553" t="s">
        <v>56</v>
      </c>
      <c r="E1553" t="s">
        <v>90</v>
      </c>
      <c r="F1553" t="s">
        <v>86</v>
      </c>
      <c r="G1553" t="s">
        <v>154</v>
      </c>
      <c r="H1553" t="s">
        <v>155</v>
      </c>
      <c r="K1553" t="str">
        <f>B1510</f>
        <v>electricity, residential, by combustion of hydrogen using CHP, allocated by exergy, transported by pipeline, produced by Steam Methane Reforming using natural gas from Russia</v>
      </c>
      <c r="L1553">
        <f t="shared" si="98"/>
        <v>2</v>
      </c>
      <c r="M1553">
        <f t="shared" si="99"/>
        <v>-16.127708950967754</v>
      </c>
      <c r="N1553">
        <v>1.05</v>
      </c>
      <c r="O1553" s="15">
        <v>1.2</v>
      </c>
      <c r="P1553">
        <v>1</v>
      </c>
      <c r="Q1553">
        <v>1.01</v>
      </c>
      <c r="R1553">
        <v>1.2</v>
      </c>
      <c r="S1553">
        <v>1.2</v>
      </c>
      <c r="T1553">
        <v>1.05</v>
      </c>
      <c r="U1553">
        <f t="shared" si="100"/>
        <v>0.16169679924070957</v>
      </c>
    </row>
    <row r="1554" spans="1:22" hidden="1" x14ac:dyDescent="0.2">
      <c r="A1554" t="s">
        <v>157</v>
      </c>
      <c r="B1554" s="52">
        <f>0.00000011366*B1544*-1</f>
        <v>-9.9043276004456456E-8</v>
      </c>
      <c r="C1554" t="s">
        <v>56</v>
      </c>
      <c r="E1554" t="s">
        <v>64</v>
      </c>
      <c r="F1554" t="s">
        <v>86</v>
      </c>
      <c r="G1554" t="s">
        <v>158</v>
      </c>
      <c r="H1554" t="s">
        <v>155</v>
      </c>
      <c r="K1554" t="str">
        <f>B1510</f>
        <v>electricity, residential, by combustion of hydrogen using CHP, allocated by exergy, transported by pipeline, produced by Steam Methane Reforming using natural gas from Russia</v>
      </c>
      <c r="L1554">
        <v>2</v>
      </c>
      <c r="M1554">
        <f>IF(L1554=2,LN(B1554*-1),"")</f>
        <v>-16.127708950967754</v>
      </c>
      <c r="N1554">
        <v>1.05</v>
      </c>
      <c r="O1554" s="15">
        <v>1.2</v>
      </c>
      <c r="P1554">
        <v>1</v>
      </c>
      <c r="Q1554">
        <v>1.01</v>
      </c>
      <c r="R1554">
        <v>1.2</v>
      </c>
      <c r="S1554">
        <v>1.2</v>
      </c>
      <c r="T1554">
        <v>3</v>
      </c>
      <c r="U1554">
        <f>LN(SQRT(EXP(
SQRT(
+POWER(LN(N1554),2)
+POWER(LN(O1554),2)
+POWER(LN(P1554),2)
+POWER(LN(Q1554),2)
+POWER(LN(R1554),2)
+POWER(LN(S1554),2)
+POWER(LN(T1554),2)
)
)))</f>
        <v>0.57209088006881903</v>
      </c>
      <c r="V1554" t="b">
        <v>1</v>
      </c>
    </row>
    <row r="1555" spans="1:22" hidden="1" x14ac:dyDescent="0.2">
      <c r="A1555" s="45" t="str">
        <f>"hydrogen supply, transported by "&amp;B1524&amp;", produced by "&amp;B1528&amp;" using "&amp;B1529&amp;" from "&amp;B1530</f>
        <v>hydrogen supply, transported by pipeline, produced by Steam Methane Reforming using natural gas from Russia</v>
      </c>
      <c r="B1555" s="53">
        <f>(B1549/B1533)/B1532*B1544</f>
        <v>6.6350221654343872E-2</v>
      </c>
      <c r="C1555" t="s">
        <v>56</v>
      </c>
      <c r="E1555" t="s">
        <v>64</v>
      </c>
      <c r="F1555" t="s">
        <v>86</v>
      </c>
      <c r="G1555" s="67" t="s">
        <v>1129</v>
      </c>
      <c r="H1555" t="s">
        <v>76</v>
      </c>
      <c r="I1555" t="s">
        <v>1054</v>
      </c>
      <c r="J1555" t="s">
        <v>364</v>
      </c>
      <c r="K1555" t="str">
        <f>B1510</f>
        <v>electricity, residential, by combustion of hydrogen using CHP, allocated by exergy, transported by pipeline, produced by Steam Methane Reforming using natural gas from Russia</v>
      </c>
      <c r="L1555">
        <f t="shared" si="98"/>
        <v>2</v>
      </c>
      <c r="M1555">
        <f t="shared" si="99"/>
        <v>-2.7128081775260964</v>
      </c>
      <c r="N1555">
        <v>1.05</v>
      </c>
      <c r="O1555" s="15">
        <v>1.2</v>
      </c>
      <c r="P1555">
        <v>1</v>
      </c>
      <c r="Q1555">
        <v>1.01</v>
      </c>
      <c r="R1555">
        <v>1.2</v>
      </c>
      <c r="S1555">
        <v>1.2</v>
      </c>
      <c r="T1555">
        <v>1.05</v>
      </c>
      <c r="U1555">
        <f t="shared" si="100"/>
        <v>0.16169679924070957</v>
      </c>
    </row>
    <row r="1556" spans="1:22" hidden="1" x14ac:dyDescent="0.2">
      <c r="A1556" t="s">
        <v>134</v>
      </c>
      <c r="B1556" s="45">
        <f>B1555*9</f>
        <v>0.59715199488909487</v>
      </c>
      <c r="C1556" t="s">
        <v>56</v>
      </c>
      <c r="D1556" t="s">
        <v>100</v>
      </c>
      <c r="F1556" t="s">
        <v>99</v>
      </c>
      <c r="H1556" t="s">
        <v>131</v>
      </c>
      <c r="I1556" t="s">
        <v>1058</v>
      </c>
      <c r="K1556" t="str">
        <f>B1510</f>
        <v>electricity, residential, by combustion of hydrogen using CHP, allocated by exergy, transported by pipeline, produced by Steam Methane Reforming using natural gas from Russia</v>
      </c>
      <c r="L1556">
        <f t="shared" si="98"/>
        <v>2</v>
      </c>
      <c r="M1556">
        <f t="shared" si="99"/>
        <v>-0.51558360018987692</v>
      </c>
      <c r="N1556">
        <v>1.05</v>
      </c>
      <c r="O1556" s="15">
        <v>1.2</v>
      </c>
      <c r="P1556">
        <v>1</v>
      </c>
      <c r="Q1556">
        <v>1.01</v>
      </c>
      <c r="R1556">
        <v>1.2</v>
      </c>
      <c r="S1556">
        <v>1.2</v>
      </c>
      <c r="T1556">
        <v>1.05</v>
      </c>
      <c r="U1556">
        <f t="shared" si="100"/>
        <v>0.16169679924070957</v>
      </c>
    </row>
    <row r="1557" spans="1:22" hidden="1" x14ac:dyDescent="0.2">
      <c r="A1557" t="s">
        <v>135</v>
      </c>
      <c r="B1557" s="45">
        <f>912.5/1000000*B1555</f>
        <v>6.0544577259588785E-5</v>
      </c>
      <c r="C1557" t="s">
        <v>56</v>
      </c>
      <c r="D1557" t="s">
        <v>100</v>
      </c>
      <c r="F1557" t="s">
        <v>99</v>
      </c>
      <c r="H1557" t="s">
        <v>131</v>
      </c>
      <c r="I1557" t="s">
        <v>1217</v>
      </c>
      <c r="K1557" t="str">
        <f>B1510</f>
        <v>electricity, residential, by combustion of hydrogen using CHP, allocated by exergy, transported by pipeline, produced by Steam Methane Reforming using natural gas from Russia</v>
      </c>
      <c r="L1557">
        <f t="shared" si="98"/>
        <v>2</v>
      </c>
      <c r="M1557">
        <f t="shared" si="99"/>
        <v>-9.712130650033723</v>
      </c>
      <c r="N1557">
        <v>1.05</v>
      </c>
      <c r="O1557" s="15">
        <v>1.2</v>
      </c>
      <c r="P1557">
        <v>1</v>
      </c>
      <c r="Q1557">
        <v>1.01</v>
      </c>
      <c r="R1557">
        <v>1.2</v>
      </c>
      <c r="S1557">
        <v>1.2</v>
      </c>
      <c r="T1557">
        <v>1.5</v>
      </c>
      <c r="U1557">
        <f t="shared" si="100"/>
        <v>0.25816898211842121</v>
      </c>
    </row>
    <row r="1558" spans="1:22" hidden="1" x14ac:dyDescent="0.2"/>
    <row r="1559" spans="1:22" hidden="1" x14ac:dyDescent="0.2">
      <c r="A1559" s="2" t="s">
        <v>50</v>
      </c>
      <c r="B1559" s="44" t="str">
        <f>IF(B1565="megajoule","heat","electricity")&amp;", residential, by "&amp;B1570&amp;" of "&amp;B1569&amp;" using "&amp;B1571&amp;IF(B1572&lt;&gt;0,", allocated by "&amp;B1572,"")&amp;", transported by "&amp;B1573&amp;", produced by "&amp;B1577&amp;" using "&amp;B1578&amp;" from "&amp;B1579</f>
        <v>electricity, residential, by conversion of hydrogen using fuel cell, PEM, allocated by exergy, transported by pipeline, produced by Steam Methane Reforming using natural gas from Russia</v>
      </c>
    </row>
    <row r="1560" spans="1:22" hidden="1" x14ac:dyDescent="0.2">
      <c r="A1560" t="s">
        <v>51</v>
      </c>
      <c r="B1560" s="45" t="str">
        <f>"This dataset represents the supply of 1 "&amp;IF(B1565="megajoule","megajoule of heat","kilowatt hour of electricity")&amp;" in a residence, by "&amp;B1569&amp;" "&amp;B1570&amp;" in a "&amp;B1571&amp;". "&amp;" The hydrogen is transported by "&amp;B1573&amp;" over "&amp;B1574&amp;" km from regional storage. "&amp;" The "&amp;B1569&amp;" is produced by  "&amp;B1577&amp;", with "&amp;B1578&amp;" from "&amp;B1579&amp;" as feedstock. "&amp;A1581&amp;": "&amp;(B1581*100)&amp;"%. "&amp;A1582&amp;": "&amp;B1582&amp;". "&amp;A1583&amp;": "&amp;B1583&amp;". "&amp;A1584&amp;": "&amp;(B1584*100)&amp;"%. "&amp;A1585&amp;": "&amp;(B1585*100)&amp;"%. "&amp;A1586&amp;": "&amp;(B1586*100)&amp;"%. "&amp;A1587&amp;": "&amp;B1587&amp;". "&amp;A1588&amp;": "&amp;B1588&amp;". "&amp;A1589&amp;": "&amp;(B1589*100)&amp;"%. "&amp;A1590&amp;": "&amp;B1590&amp;". "&amp;A1591&amp;": "&amp;B1591&amp;". "&amp;A1592&amp;": "&amp;B1592&amp;". "&amp;A1593&amp;": "&amp;B1593&amp;".  For more information, refer to: "&amp;B1561</f>
        <v>This dataset represents the supply of 1 kilowatt hour of electricity in a residence, by hydrogen conversion in a fuel cell, PEM.  The hydrogen is transported by pipeline over 500 km from regional storage.  The hydrogen is produced by  Steam Methane Reforming, with natural gas from Russia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1561" spans="1:22" hidden="1" x14ac:dyDescent="0.2">
      <c r="A1561" t="s">
        <v>63</v>
      </c>
      <c r="B1561" s="45" t="s">
        <v>660</v>
      </c>
    </row>
    <row r="1562" spans="1:22" hidden="1" x14ac:dyDescent="0.2">
      <c r="A1562" t="s">
        <v>52</v>
      </c>
      <c r="B1562" s="45" t="s">
        <v>64</v>
      </c>
    </row>
    <row r="1563" spans="1:22" hidden="1" x14ac:dyDescent="0.2">
      <c r="A1563" t="s">
        <v>48</v>
      </c>
      <c r="B1563" s="45" t="s">
        <v>986</v>
      </c>
    </row>
    <row r="1564" spans="1:22" hidden="1" x14ac:dyDescent="0.2">
      <c r="A1564" t="s">
        <v>54</v>
      </c>
      <c r="B1564" s="45" t="str">
        <f>INDEX(overview!$B$4:$R$338,MATCH(B1563,overview!$A$4:$A$338,0),MATCH(A1564,overview!$B$3:$R$3,0))</f>
        <v>electricity, from residential heating system</v>
      </c>
    </row>
    <row r="1565" spans="1:22" hidden="1" x14ac:dyDescent="0.2">
      <c r="A1565" t="s">
        <v>55</v>
      </c>
      <c r="B1565" s="45" t="str">
        <f>INDEX(overview!$B$4:$R$338,MATCH(B1563,overview!$A$4:$A$338,0),MATCH(A1565,overview!$B$3:$R$3,0))</f>
        <v>kilowatt hour</v>
      </c>
    </row>
    <row r="1566" spans="1:22" hidden="1" x14ac:dyDescent="0.2">
      <c r="A1566" t="s">
        <v>0</v>
      </c>
      <c r="B1566" s="45" t="str">
        <f>INDEX(overview!$B$4:$R$338,MATCH(B1563,overview!$A$4:$A$338,0),MATCH(A1566,overview!$B$3:$R$3,0))</f>
        <v>Switzerland</v>
      </c>
    </row>
    <row r="1567" spans="1:22" hidden="1" x14ac:dyDescent="0.2">
      <c r="A1567" t="s">
        <v>1</v>
      </c>
      <c r="B1567" s="45">
        <f>INDEX(overview!$B$4:$R$338,MATCH(B1563,overview!$A$4:$A$338,0),MATCH(A1567,overview!$B$3:$R$3,0))</f>
        <v>2020</v>
      </c>
    </row>
    <row r="1568" spans="1:22" hidden="1" x14ac:dyDescent="0.2">
      <c r="A1568" t="s">
        <v>2</v>
      </c>
      <c r="B1568" s="45" t="str">
        <f>INDEX(overview!$B$4:$R$338,MATCH(B1563,overview!$A$4:$A$338,0),MATCH(A1568,overview!$B$3:$R$3,0))</f>
        <v>1 kWh electricity</v>
      </c>
    </row>
    <row r="1569" spans="1:2" hidden="1" x14ac:dyDescent="0.2">
      <c r="A1569" t="s">
        <v>5</v>
      </c>
      <c r="B1569" s="45" t="str">
        <f>INDEX(overview!$B$4:$R$338,MATCH(B1563,overview!$A$4:$A$338,0),MATCH(A1569,overview!$B$3:$R$3,0))</f>
        <v>hydrogen</v>
      </c>
    </row>
    <row r="1570" spans="1:2" hidden="1" x14ac:dyDescent="0.2">
      <c r="A1570" t="s">
        <v>3</v>
      </c>
      <c r="B1570" s="45" t="str">
        <f>INDEX(overview!$B$4:$R$338,MATCH(B1563,overview!$A$4:$A$338,0),MATCH(A1570,overview!$B$3:$R$3,0))</f>
        <v>conversion</v>
      </c>
    </row>
    <row r="1571" spans="1:2" hidden="1" x14ac:dyDescent="0.2">
      <c r="A1571" t="s">
        <v>6</v>
      </c>
      <c r="B1571" s="45" t="str">
        <f>INDEX(overview!$B$4:$R$338,MATCH(B1563,overview!$A$4:$A$338,0),MATCH(A1571,overview!$B$3:$R$3,0))</f>
        <v>fuel cell, PEM</v>
      </c>
    </row>
    <row r="1572" spans="1:2" hidden="1" x14ac:dyDescent="0.2">
      <c r="A1572" t="s">
        <v>39</v>
      </c>
      <c r="B1572" s="45" t="str">
        <f>INDEX(overview!$B$4:$R$338,MATCH(B1563,overview!$A$4:$A$338,0),MATCH(A1572,overview!$B$3:$R$3,0))</f>
        <v>exergy</v>
      </c>
    </row>
    <row r="1573" spans="1:2" hidden="1" x14ac:dyDescent="0.2">
      <c r="A1573" t="s">
        <v>4</v>
      </c>
      <c r="B1573" s="45" t="str">
        <f>INDEX(overview!$B$4:$R$338,MATCH(B1563,overview!$A$4:$A$338,0),MATCH(A1573,overview!$B$3:$R$3,0))</f>
        <v>pipeline</v>
      </c>
    </row>
    <row r="1574" spans="1:2" hidden="1" x14ac:dyDescent="0.2">
      <c r="A1574" t="s">
        <v>38</v>
      </c>
      <c r="B1574" s="45">
        <f>INDEX(overview!$B$4:$R$338,MATCH(B1563,overview!$A$4:$A$338,0),MATCH(A1574,overview!$B$3:$R$3,0))</f>
        <v>500</v>
      </c>
    </row>
    <row r="1575" spans="1:2" hidden="1" x14ac:dyDescent="0.2">
      <c r="A1575" t="s">
        <v>12</v>
      </c>
      <c r="B1575" s="45" t="str">
        <f>INDEX(overview!$B$4:$R$338,MATCH(B1563,overview!$A$4:$A$338,0),MATCH(A1575,overview!$B$3:$R$3,0))</f>
        <v>Pressure vessel for stationary storage</v>
      </c>
    </row>
    <row r="1576" spans="1:2" hidden="1" x14ac:dyDescent="0.2">
      <c r="A1576" t="s">
        <v>34</v>
      </c>
      <c r="B1576" s="45">
        <f>INDEX(overview!$B$4:$R$338,MATCH(B1563,overview!$A$4:$A$338,0),MATCH(A1576,overview!$B$3:$R$3,0))</f>
        <v>0</v>
      </c>
    </row>
    <row r="1577" spans="1:2" hidden="1" x14ac:dyDescent="0.2">
      <c r="A1577" t="s">
        <v>15</v>
      </c>
      <c r="B1577" s="45" t="str">
        <f>INDEX(overview!$B$4:$R$338,MATCH(B1563,overview!$A$4:$A$338,0),MATCH(A1577,overview!$B$3:$R$3,0))</f>
        <v>Steam Methane Reforming</v>
      </c>
    </row>
    <row r="1578" spans="1:2" hidden="1" x14ac:dyDescent="0.2">
      <c r="A1578" t="s">
        <v>14</v>
      </c>
      <c r="B1578" s="45" t="str">
        <f>INDEX(overview!$B$4:$R$338,MATCH(B1563,overview!$A$4:$A$338,0),MATCH(A1578,overview!$B$3:$R$3,0))</f>
        <v>natural gas</v>
      </c>
    </row>
    <row r="1579" spans="1:2" hidden="1" x14ac:dyDescent="0.2">
      <c r="A1579" t="s">
        <v>26</v>
      </c>
      <c r="B1579" s="45" t="str">
        <f>INDEX(overview!$B$4:$R$338,MATCH(B1563,overview!$A$4:$A$338,0),MATCH(A1579,overview!$B$3:$R$3,0))</f>
        <v>Russia</v>
      </c>
    </row>
    <row r="1580" spans="1:2" hidden="1" x14ac:dyDescent="0.2">
      <c r="A1580" t="s">
        <v>29</v>
      </c>
      <c r="B1580" s="45">
        <f>INDEX(overview!$B$4:$R$338,MATCH(B1563,overview!$A$4:$A$338,0),MATCH(A1580,overview!$B$3:$R$3,0))</f>
        <v>0</v>
      </c>
    </row>
    <row r="1581" spans="1:2" hidden="1" x14ac:dyDescent="0.2">
      <c r="A1581" t="str">
        <f>IF(B1565="megajoule","Heat","Electricity")&amp;" conversion efficiency [% LHV input]"</f>
        <v>Electricity conversion efficiency [% LHV input]</v>
      </c>
      <c r="B1581" s="46">
        <f>INDEX(parameters!$D$4:$N$20,MATCH(B1569&amp;B1571,parameters!$A$4:$A$20,0),MATCH(A1581,parameters!$D$3:$N$3,0))</f>
        <v>0.45</v>
      </c>
    </row>
    <row r="1582" spans="1:2" hidden="1" x14ac:dyDescent="0.2">
      <c r="A1582" t="str">
        <f>IF(B1565="megajoule","LHV [MJ/kg]","LHV [kWh/kg]")</f>
        <v>LHV [kWh/kg]</v>
      </c>
      <c r="B1582" s="47">
        <f>INDEX(parameters!$D$4:$N$20,MATCH(B1569&amp;B1571,parameters!$A$4:$A$20,0),MATCH(A1582,parameters!$D$3:$N$3,0))</f>
        <v>33.333333333333336</v>
      </c>
    </row>
    <row r="1583" spans="1:2" hidden="1" x14ac:dyDescent="0.2">
      <c r="A1583" t="s">
        <v>41</v>
      </c>
      <c r="B1583" s="48">
        <f>INDEX(parameters!$D$4:$N$20,MATCH(B1569&amp;B1571,parameters!$A$4:$A$20,0),MATCH(A1583,parameters!$D$3:$N$3,0))</f>
        <v>2.6666666666666665E-2</v>
      </c>
    </row>
    <row r="1584" spans="1:2" hidden="1" x14ac:dyDescent="0.2">
      <c r="A1584" t="s">
        <v>45</v>
      </c>
      <c r="B1584" s="46">
        <f>INDEX(parameters!$D$4:$N$20,MATCH(B1569&amp;B1571,parameters!$A$4:$A$20,0),MATCH(A1584,parameters!$D$3:$N$3,0))</f>
        <v>0</v>
      </c>
    </row>
    <row r="1585" spans="1:22" hidden="1" x14ac:dyDescent="0.2">
      <c r="A1585" t="s">
        <v>46</v>
      </c>
      <c r="B1585" s="46">
        <f>INDEX(parameters!$D$4:$N$20,MATCH(B1569&amp;B1571,parameters!$A$4:$A$20,0),MATCH(A1585,parameters!$D$3:$N$3,0))</f>
        <v>1.4999999999999999E-2</v>
      </c>
    </row>
    <row r="1586" spans="1:22" hidden="1" x14ac:dyDescent="0.2">
      <c r="A1586" t="s">
        <v>43</v>
      </c>
      <c r="B1586" s="46">
        <f>INDEX(parameters!$D$4:$N$20,MATCH(B1569&amp;B1571,parameters!$A$4:$A$20,0),MATCH(A1586,parameters!$D$3:$N$3,0))</f>
        <v>0</v>
      </c>
    </row>
    <row r="1587" spans="1:22" hidden="1" x14ac:dyDescent="0.2">
      <c r="A1587" t="s">
        <v>44</v>
      </c>
      <c r="B1587" s="46">
        <f>INDEX(parameters!$D$4:$N$20,MATCH(B1569&amp;B1571,parameters!$A$4:$A$20,0),MATCH(A1587,parameters!$D$3:$N$3,0))</f>
        <v>0</v>
      </c>
    </row>
    <row r="1588" spans="1:22" hidden="1" x14ac:dyDescent="0.2">
      <c r="A1588" t="s">
        <v>634</v>
      </c>
      <c r="B1588" s="50">
        <f>INDEX(parameters!$D$4:$Y$20,MATCH(B1569&amp;B1571,parameters!$A$4:$A$20,0),MATCH(A1588,parameters!$D$3:$Y$3,0))</f>
        <v>1.8947368421052633</v>
      </c>
    </row>
    <row r="1589" spans="1:22" hidden="1" x14ac:dyDescent="0.2">
      <c r="A1589" t="s">
        <v>82</v>
      </c>
      <c r="B1589" s="46">
        <f>IF(B1580&lt;&gt;0,VLOOKUP(B1580,parameters!A1127:B1129,2,0),0)</f>
        <v>0</v>
      </c>
    </row>
    <row r="1590" spans="1:22" hidden="1" x14ac:dyDescent="0.2">
      <c r="A1590" t="s">
        <v>548</v>
      </c>
      <c r="B1590" s="50">
        <f>INDEX(parameters!$D$4:$P$20,MATCH(B1569&amp;B1571,parameters!$A$4:$A$20,0),MATCH(A1590,parameters!$D$3:$P$3,0))</f>
        <v>0.8</v>
      </c>
    </row>
    <row r="1591" spans="1:22" hidden="1" x14ac:dyDescent="0.2">
      <c r="A1591" t="s">
        <v>547</v>
      </c>
      <c r="B1591" s="51">
        <f>INDEX(parameters!$D$4:$P$20,MATCH(B1569&amp;B1571,parameters!$A$4:$A$20,0),MATCH(A1591,parameters!$D$3:$P$3,0))</f>
        <v>4.8780487804878048</v>
      </c>
    </row>
    <row r="1592" spans="1:22" hidden="1" x14ac:dyDescent="0.2">
      <c r="A1592" t="s">
        <v>630</v>
      </c>
      <c r="B1592" s="51">
        <f>INDEX(parameters!$D$4:$T$20,MATCH(B1569&amp;B1571,parameters!$A$4:$A$20,0),MATCH(A1592,parameters!$D$3:$T$3,0))</f>
        <v>4100</v>
      </c>
    </row>
    <row r="1593" spans="1:22" hidden="1" x14ac:dyDescent="0.2">
      <c r="A1593" t="s">
        <v>1005</v>
      </c>
      <c r="B1593" s="50">
        <f>IF(B1565="megajoule",SUMIFS(allocation!$I$4:$I$30,allocation!$B$4:$B$30,B1571,allocation!$C$4:$C$30,B1572),SUMIFS(allocation!$J$4:$J$30,allocation!$B$4:$B$30,B1571,allocation!$C$4:$C$30,B1572))</f>
        <v>0.86066019201025545</v>
      </c>
    </row>
    <row r="1594" spans="1:22" hidden="1" x14ac:dyDescent="0.2">
      <c r="A1594" t="s">
        <v>1050</v>
      </c>
      <c r="B1594" s="51">
        <f>INDEX(parameters!$D$4:$AB$20,MATCH(B1569&amp;B1571,parameters!$A$4:$A$20,0),MATCH(A1594,parameters!$D$3:$AB$3,0))</f>
        <v>10.221606648199446</v>
      </c>
    </row>
    <row r="1595" spans="1:22" hidden="1" x14ac:dyDescent="0.2"/>
    <row r="1596" spans="1:22" hidden="1" x14ac:dyDescent="0.2">
      <c r="A1596" s="3" t="s">
        <v>57</v>
      </c>
    </row>
    <row r="1597" spans="1:22" hidden="1" x14ac:dyDescent="0.2">
      <c r="A1597" s="2" t="s">
        <v>58</v>
      </c>
      <c r="B1597" s="44" t="s">
        <v>59</v>
      </c>
      <c r="C1597" s="2" t="s">
        <v>55</v>
      </c>
      <c r="D1597" s="2" t="s">
        <v>60</v>
      </c>
      <c r="E1597" s="2" t="s">
        <v>52</v>
      </c>
      <c r="F1597" s="2" t="s">
        <v>61</v>
      </c>
      <c r="G1597" s="2" t="s">
        <v>54</v>
      </c>
      <c r="H1597" s="2" t="s">
        <v>87</v>
      </c>
      <c r="I1597" s="2" t="s">
        <v>51</v>
      </c>
      <c r="J1597" s="2" t="s">
        <v>138</v>
      </c>
      <c r="K1597" s="2" t="s">
        <v>136</v>
      </c>
      <c r="L1597" s="2" t="s">
        <v>221</v>
      </c>
      <c r="M1597" s="2" t="s">
        <v>379</v>
      </c>
      <c r="N1597" s="2" t="s">
        <v>1059</v>
      </c>
      <c r="O1597" s="2" t="s">
        <v>1060</v>
      </c>
      <c r="P1597" s="2" t="s">
        <v>1061</v>
      </c>
      <c r="Q1597" s="2" t="s">
        <v>1062</v>
      </c>
      <c r="R1597" s="2" t="s">
        <v>1063</v>
      </c>
      <c r="S1597" s="2" t="s">
        <v>1064</v>
      </c>
      <c r="T1597" s="2" t="s">
        <v>1065</v>
      </c>
      <c r="U1597" s="2" t="s">
        <v>380</v>
      </c>
      <c r="V1597" s="2" t="s">
        <v>1128</v>
      </c>
    </row>
    <row r="1598" spans="1:22" x14ac:dyDescent="0.2">
      <c r="A1598" t="str">
        <f>B1559</f>
        <v>electricity, residential, by conversion of hydrogen using fuel cell, PEM, allocated by exergy, transported by pipeline, produced by Steam Methane Reforming using natural gas from Russia</v>
      </c>
      <c r="B1598" s="45">
        <v>1</v>
      </c>
      <c r="C1598" t="str">
        <f>B1565</f>
        <v>kilowatt hour</v>
      </c>
      <c r="E1598" t="str">
        <f>B1562</f>
        <v>CH</v>
      </c>
      <c r="F1598" t="s">
        <v>62</v>
      </c>
      <c r="G1598" t="str">
        <f>B1564</f>
        <v>electricity, from residential heating system</v>
      </c>
      <c r="K1598" t="str">
        <f>B1559</f>
        <v>electricity, residential, by conversion of hydrogen using fuel cell, PEM, allocated by exergy, transported by pipeline, produced by Steam Methane Reforming using natural gas from Russia</v>
      </c>
    </row>
    <row r="1599" spans="1:22" hidden="1" x14ac:dyDescent="0.2">
      <c r="A1599" t="str">
        <f>VLOOKUP(J1599,'dataset mapping'!$A$4:$E$69,2,0)</f>
        <v>fuel cell system assembly, 1 kWe, proton exchange membrane (PEM)</v>
      </c>
      <c r="B1599" s="52">
        <f>(1/(B1588*B1592*B1591))*B1593</f>
        <v>2.2711866178048405E-5</v>
      </c>
      <c r="C1599" t="str">
        <f>VLOOKUP(J1599,'dataset mapping'!$A$4:$E$69,5,0)</f>
        <v>unit</v>
      </c>
      <c r="E1599" t="str">
        <f>VLOOKUP(J1599,'dataset mapping'!$A$4:$E$69,4,0)</f>
        <v>GLO</v>
      </c>
      <c r="F1599" t="s">
        <v>86</v>
      </c>
      <c r="G1599" t="str">
        <f>VLOOKUP(J1599,'dataset mapping'!$A$4:$E$69,3,0)</f>
        <v>fuel cell system, 1 kWe, proton exchange membrane (PEM)</v>
      </c>
      <c r="H1599" t="s">
        <v>88</v>
      </c>
      <c r="I1599" t="s">
        <v>272</v>
      </c>
      <c r="J1599" t="s">
        <v>273</v>
      </c>
      <c r="K1599" t="str">
        <f>B1559</f>
        <v>electricity, residential, by conversion of hydrogen using fuel cell, PEM, allocated by exergy, transported by pipeline, produced by Steam Methane Reforming using natural gas from Russia</v>
      </c>
      <c r="L1599">
        <f t="shared" ref="L1599:L1601" si="101">IF(OR(B1599&lt;0,B1599=0),1,2)</f>
        <v>2</v>
      </c>
      <c r="M1599">
        <f t="shared" ref="M1599:M1601" si="102">IF(L1599=2,LN(B1599),"")</f>
        <v>-10.692623030936341</v>
      </c>
      <c r="N1599">
        <v>1</v>
      </c>
      <c r="O1599" s="15">
        <v>1.2</v>
      </c>
      <c r="P1599">
        <v>1</v>
      </c>
      <c r="Q1599">
        <v>1.01</v>
      </c>
      <c r="R1599">
        <v>1.2</v>
      </c>
      <c r="S1599">
        <v>1.2</v>
      </c>
      <c r="T1599">
        <v>3</v>
      </c>
      <c r="U1599">
        <f t="shared" ref="U1599:U1601" si="103">LN(SQRT(EXP(
SQRT(
+POWER(LN(N1599),2)
+POWER(LN(O1599),2)
+POWER(LN(P1599),2)
+POWER(LN(Q1599),2)
+POWER(LN(R1599),2)
+POWER(LN(S1599),2)
+POWER(LN(T1599),2)
)
)))</f>
        <v>0.57157051623399524</v>
      </c>
    </row>
    <row r="1600" spans="1:22" hidden="1" x14ac:dyDescent="0.2">
      <c r="A1600" s="45" t="str">
        <f>"hydrogen supply, transported by "&amp;B1573&amp;", produced by "&amp;B1577&amp;" using "&amp;B1578&amp;" from "&amp;B1579</f>
        <v>hydrogen supply, transported by pipeline, produced by Steam Methane Reforming using natural gas from Russia</v>
      </c>
      <c r="B1600" s="53">
        <f>(B1598/B1582)/B1581*B1593</f>
        <v>5.7377346134017029E-2</v>
      </c>
      <c r="C1600" t="s">
        <v>56</v>
      </c>
      <c r="E1600" t="s">
        <v>64</v>
      </c>
      <c r="F1600" t="s">
        <v>86</v>
      </c>
      <c r="G1600" s="67" t="s">
        <v>1129</v>
      </c>
      <c r="H1600" t="s">
        <v>76</v>
      </c>
      <c r="I1600" t="s">
        <v>1054</v>
      </c>
      <c r="J1600" t="s">
        <v>364</v>
      </c>
      <c r="K1600" t="str">
        <f>B1559</f>
        <v>electricity, residential, by conversion of hydrogen using fuel cell, PEM, allocated by exergy, transported by pipeline, produced by Steam Methane Reforming using natural gas from Russia</v>
      </c>
      <c r="L1600">
        <f t="shared" si="101"/>
        <v>2</v>
      </c>
      <c r="M1600">
        <f t="shared" si="102"/>
        <v>-2.8581057202127536</v>
      </c>
      <c r="N1600">
        <v>1</v>
      </c>
      <c r="O1600" s="15">
        <v>1.2</v>
      </c>
      <c r="P1600">
        <v>1</v>
      </c>
      <c r="Q1600">
        <v>1.01</v>
      </c>
      <c r="R1600">
        <v>1.2</v>
      </c>
      <c r="S1600">
        <v>1.2</v>
      </c>
      <c r="T1600">
        <v>1.05</v>
      </c>
      <c r="U1600">
        <f t="shared" si="103"/>
        <v>0.15984597228197622</v>
      </c>
    </row>
    <row r="1601" spans="1:21" hidden="1" x14ac:dyDescent="0.2">
      <c r="A1601" t="s">
        <v>134</v>
      </c>
      <c r="B1601" s="53">
        <f>B1600*9</f>
        <v>0.51639611520615325</v>
      </c>
      <c r="C1601" t="s">
        <v>56</v>
      </c>
      <c r="D1601" t="s">
        <v>100</v>
      </c>
      <c r="F1601" t="s">
        <v>99</v>
      </c>
      <c r="H1601" t="s">
        <v>131</v>
      </c>
      <c r="I1601" t="s">
        <v>1057</v>
      </c>
      <c r="K1601" t="str">
        <f>B1559</f>
        <v>electricity, residential, by conversion of hydrogen using fuel cell, PEM, allocated by exergy, transported by pipeline, produced by Steam Methane Reforming using natural gas from Russia</v>
      </c>
      <c r="L1601">
        <f t="shared" si="101"/>
        <v>2</v>
      </c>
      <c r="M1601">
        <f t="shared" si="102"/>
        <v>-0.6608811428765341</v>
      </c>
      <c r="N1601">
        <v>1</v>
      </c>
      <c r="O1601" s="15">
        <v>1.2</v>
      </c>
      <c r="P1601">
        <v>1</v>
      </c>
      <c r="Q1601">
        <v>1.01</v>
      </c>
      <c r="R1601">
        <v>1.2</v>
      </c>
      <c r="S1601">
        <v>1.2</v>
      </c>
      <c r="T1601">
        <v>1.05</v>
      </c>
      <c r="U1601">
        <f t="shared" si="103"/>
        <v>0.15984597228197622</v>
      </c>
    </row>
    <row r="1602" spans="1:21" hidden="1" x14ac:dyDescent="0.2"/>
    <row r="1603" spans="1:21" hidden="1" x14ac:dyDescent="0.2">
      <c r="A1603" s="2" t="s">
        <v>50</v>
      </c>
      <c r="B1603" s="44" t="str">
        <f>IF(B1609="megajoule","heat","electricity")&amp;", residential, by "&amp;B1614&amp;" of "&amp;B1613&amp;" using "&amp;B1615&amp;IF(B1616&lt;&gt;0,", allocated by "&amp;B1616,"")&amp;", transported by "&amp;B1617&amp;", produced by "&amp;B1621&amp;" using "&amp;B1622&amp;" from "&amp;B1623</f>
        <v>electricity, residential, by conversion of hydrogen using fuel cell, SOFC, allocated by exergy, transported by pipeline, produced by Steam Methane Reforming using natural gas from Russia</v>
      </c>
    </row>
    <row r="1604" spans="1:21" hidden="1" x14ac:dyDescent="0.2">
      <c r="A1604" t="s">
        <v>51</v>
      </c>
      <c r="B1604" s="45" t="str">
        <f>"This dataset represents the supply of 1 "&amp;IF(B1609="megajoule","megajoule of heat","kilowatt hour of electricity")&amp;" in a residence, by "&amp;B1613&amp;" "&amp;B1614&amp;" in a "&amp;B1615&amp;". "&amp;" The hydrogen is transported by "&amp;B1617&amp;" over "&amp;B1618&amp;" km from regional storage. "&amp;" The "&amp;B1613&amp;" is produced by  "&amp;B1621&amp;", with "&amp;B1622&amp;" from "&amp;B1623&amp;" as feedstock. "&amp;A1625&amp;": "&amp;(B1625*100)&amp;"%. "&amp;A1626&amp;": "&amp;B1626&amp;". "&amp;A1627&amp;": "&amp;B1627&amp;". "&amp;A1628&amp;": "&amp;(B1628*100)&amp;"%. "&amp;A1629&amp;": "&amp;(B1629*100)&amp;"%. "&amp;A1630&amp;": "&amp;(B1630*100)&amp;"%. "&amp;A1631&amp;": "&amp;B1631&amp;". "&amp;A1632&amp;": "&amp;B1632&amp;". "&amp;A1633&amp;": "&amp;(B1633*100)&amp;"%. "&amp;A1634&amp;": "&amp;B1634&amp;". "&amp;A1635&amp;": "&amp;B1635&amp;". "&amp;A1636&amp;": "&amp;B1636&amp;". "&amp;A1637&amp;": "&amp;B1637&amp;".  For more information, refer to: "&amp;B1605</f>
        <v>This dataset represents the supply of 1 kilowatt hour of electricity in a residence, by hydrogen conversion in a fuel cell, SOFC.  The hydrogen is transported by pipeline over 500 km from regional storage.  The hydrogen is produced by  Steam Methane Reforming, with natural gas from Russia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1605" spans="1:21" hidden="1" x14ac:dyDescent="0.2">
      <c r="A1605" t="s">
        <v>63</v>
      </c>
      <c r="B1605" s="45" t="s">
        <v>660</v>
      </c>
    </row>
    <row r="1606" spans="1:21" hidden="1" x14ac:dyDescent="0.2">
      <c r="A1606" t="s">
        <v>52</v>
      </c>
      <c r="B1606" s="45" t="s">
        <v>64</v>
      </c>
    </row>
    <row r="1607" spans="1:21" hidden="1" x14ac:dyDescent="0.2">
      <c r="A1607" t="s">
        <v>48</v>
      </c>
      <c r="B1607" s="45" t="s">
        <v>987</v>
      </c>
    </row>
    <row r="1608" spans="1:21" hidden="1" x14ac:dyDescent="0.2">
      <c r="A1608" t="s">
        <v>54</v>
      </c>
      <c r="B1608" s="45" t="str">
        <f>INDEX(overview!$B$4:$R$338,MATCH(B1607,overview!$A$4:$A$338,0),MATCH(A1608,overview!$B$3:$R$3,0))</f>
        <v>electricity, from residential heating system</v>
      </c>
    </row>
    <row r="1609" spans="1:21" hidden="1" x14ac:dyDescent="0.2">
      <c r="A1609" t="s">
        <v>55</v>
      </c>
      <c r="B1609" s="45" t="str">
        <f>INDEX(overview!$B$4:$R$338,MATCH(B1607,overview!$A$4:$A$338,0),MATCH(A1609,overview!$B$3:$R$3,0))</f>
        <v>kilowatt hour</v>
      </c>
    </row>
    <row r="1610" spans="1:21" hidden="1" x14ac:dyDescent="0.2">
      <c r="A1610" t="s">
        <v>0</v>
      </c>
      <c r="B1610" s="45" t="str">
        <f>INDEX(overview!$B$4:$R$338,MATCH(B1607,overview!$A$4:$A$338,0),MATCH(A1610,overview!$B$3:$R$3,0))</f>
        <v>Switzerland</v>
      </c>
    </row>
    <row r="1611" spans="1:21" hidden="1" x14ac:dyDescent="0.2">
      <c r="A1611" t="s">
        <v>1</v>
      </c>
      <c r="B1611" s="45">
        <f>INDEX(overview!$B$4:$R$338,MATCH(B1607,overview!$A$4:$A$338,0),MATCH(A1611,overview!$B$3:$R$3,0))</f>
        <v>2020</v>
      </c>
    </row>
    <row r="1612" spans="1:21" hidden="1" x14ac:dyDescent="0.2">
      <c r="A1612" t="s">
        <v>2</v>
      </c>
      <c r="B1612" s="45" t="str">
        <f>INDEX(overview!$B$4:$R$338,MATCH(B1607,overview!$A$4:$A$338,0),MATCH(A1612,overview!$B$3:$R$3,0))</f>
        <v>1 kWh electricity</v>
      </c>
    </row>
    <row r="1613" spans="1:21" hidden="1" x14ac:dyDescent="0.2">
      <c r="A1613" t="s">
        <v>5</v>
      </c>
      <c r="B1613" s="45" t="str">
        <f>INDEX(overview!$B$4:$R$338,MATCH(B1607,overview!$A$4:$A$338,0),MATCH(A1613,overview!$B$3:$R$3,0))</f>
        <v>hydrogen</v>
      </c>
    </row>
    <row r="1614" spans="1:21" hidden="1" x14ac:dyDescent="0.2">
      <c r="A1614" t="s">
        <v>3</v>
      </c>
      <c r="B1614" s="45" t="str">
        <f>INDEX(overview!$B$4:$R$338,MATCH(B1607,overview!$A$4:$A$338,0),MATCH(A1614,overview!$B$3:$R$3,0))</f>
        <v>conversion</v>
      </c>
    </row>
    <row r="1615" spans="1:21" hidden="1" x14ac:dyDescent="0.2">
      <c r="A1615" t="s">
        <v>6</v>
      </c>
      <c r="B1615" s="45" t="str">
        <f>INDEX(overview!$B$4:$R$338,MATCH(B1607,overview!$A$4:$A$338,0),MATCH(A1615,overview!$B$3:$R$3,0))</f>
        <v>fuel cell, SOFC</v>
      </c>
    </row>
    <row r="1616" spans="1:21" hidden="1" x14ac:dyDescent="0.2">
      <c r="A1616" t="s">
        <v>39</v>
      </c>
      <c r="B1616" s="45" t="str">
        <f>INDEX(overview!$B$4:$R$338,MATCH(B1607,overview!$A$4:$A$338,0),MATCH(A1616,overview!$B$3:$R$3,0))</f>
        <v>exergy</v>
      </c>
    </row>
    <row r="1617" spans="1:4" hidden="1" x14ac:dyDescent="0.2">
      <c r="A1617" t="s">
        <v>4</v>
      </c>
      <c r="B1617" s="45" t="str">
        <f>INDEX(overview!$B$4:$R$338,MATCH(B1607,overview!$A$4:$A$338,0),MATCH(A1617,overview!$B$3:$R$3,0))</f>
        <v>pipeline</v>
      </c>
    </row>
    <row r="1618" spans="1:4" hidden="1" x14ac:dyDescent="0.2">
      <c r="A1618" t="s">
        <v>38</v>
      </c>
      <c r="B1618" s="45">
        <f>INDEX(overview!$B$4:$R$338,MATCH(B1607,overview!$A$4:$A$338,0),MATCH(A1618,overview!$B$3:$R$3,0))</f>
        <v>500</v>
      </c>
    </row>
    <row r="1619" spans="1:4" hidden="1" x14ac:dyDescent="0.2">
      <c r="A1619" t="s">
        <v>12</v>
      </c>
      <c r="B1619" s="45" t="str">
        <f>INDEX(overview!$B$4:$R$338,MATCH(B1607,overview!$A$4:$A$338,0),MATCH(A1619,overview!$B$3:$R$3,0))</f>
        <v>Pressure vessel for stationary storage</v>
      </c>
    </row>
    <row r="1620" spans="1:4" hidden="1" x14ac:dyDescent="0.2">
      <c r="A1620" t="s">
        <v>34</v>
      </c>
      <c r="B1620" s="45">
        <f>INDEX(overview!$B$4:$R$338,MATCH(B1607,overview!$A$4:$A$338,0),MATCH(A1620,overview!$B$3:$R$3,0))</f>
        <v>0</v>
      </c>
    </row>
    <row r="1621" spans="1:4" hidden="1" x14ac:dyDescent="0.2">
      <c r="A1621" t="s">
        <v>15</v>
      </c>
      <c r="B1621" s="45" t="str">
        <f>INDEX(overview!$B$4:$R$338,MATCH(B1607,overview!$A$4:$A$338,0),MATCH(A1621,overview!$B$3:$R$3,0))</f>
        <v>Steam Methane Reforming</v>
      </c>
    </row>
    <row r="1622" spans="1:4" hidden="1" x14ac:dyDescent="0.2">
      <c r="A1622" t="s">
        <v>14</v>
      </c>
      <c r="B1622" s="45" t="str">
        <f>INDEX(overview!$B$4:$R$338,MATCH(B1607,overview!$A$4:$A$338,0),MATCH(A1622,overview!$B$3:$R$3,0))</f>
        <v>natural gas</v>
      </c>
    </row>
    <row r="1623" spans="1:4" hidden="1" x14ac:dyDescent="0.2">
      <c r="A1623" t="s">
        <v>26</v>
      </c>
      <c r="B1623" s="45" t="str">
        <f>INDEX(overview!$B$4:$R$338,MATCH(B1607,overview!$A$4:$A$338,0),MATCH(A1623,overview!$B$3:$R$3,0))</f>
        <v>Russia</v>
      </c>
    </row>
    <row r="1624" spans="1:4" hidden="1" x14ac:dyDescent="0.2">
      <c r="A1624" t="s">
        <v>29</v>
      </c>
      <c r="B1624" s="45">
        <f>INDEX(overview!$B$4:$R$338,MATCH(B1607,overview!$A$4:$A$338,0),MATCH(A1624,overview!$B$3:$R$3,0))</f>
        <v>0</v>
      </c>
    </row>
    <row r="1625" spans="1:4" hidden="1" x14ac:dyDescent="0.2">
      <c r="A1625" t="str">
        <f>IF(B1609="megajoule","Heat","Electricity")&amp;" conversion efficiency [% LHV input]"</f>
        <v>Electricity conversion efficiency [% LHV input]</v>
      </c>
      <c r="B1625" s="46">
        <f>INDEX(parameters!$D$4:$N$20,MATCH(B1613&amp;B1615,parameters!$A$4:$A$20,0),MATCH(A1625,parameters!$D$3:$N$3,0))</f>
        <v>0.47</v>
      </c>
    </row>
    <row r="1626" spans="1:4" hidden="1" x14ac:dyDescent="0.2">
      <c r="A1626" t="str">
        <f>IF(B1609="megajoule","LHV [MJ/kg]","LHV [kWh/kg]")</f>
        <v>LHV [kWh/kg]</v>
      </c>
      <c r="B1626" s="47">
        <f>INDEX(parameters!$D$4:$N$20,MATCH(B1613&amp;B1615,parameters!$A$4:$A$20,0),MATCH(A1626,parameters!$D$3:$N$3,0))</f>
        <v>33.333333333333336</v>
      </c>
    </row>
    <row r="1627" spans="1:4" hidden="1" x14ac:dyDescent="0.2">
      <c r="A1627" t="s">
        <v>41</v>
      </c>
      <c r="B1627" s="48">
        <f>INDEX(parameters!$D$4:$N$20,MATCH(B1613&amp;B1615,parameters!$A$4:$A$20,0),MATCH(A1627,parameters!$D$3:$N$3,0))</f>
        <v>2.6666666666666665E-2</v>
      </c>
    </row>
    <row r="1628" spans="1:4" hidden="1" x14ac:dyDescent="0.2">
      <c r="A1628" t="s">
        <v>45</v>
      </c>
      <c r="B1628" s="46">
        <f>INDEX(parameters!$D$4:$N$20,MATCH(B1613&amp;B1615,parameters!$A$4:$A$20,0),MATCH(A1628,parameters!$D$3:$N$3,0))</f>
        <v>0</v>
      </c>
    </row>
    <row r="1629" spans="1:4" hidden="1" x14ac:dyDescent="0.2">
      <c r="A1629" t="s">
        <v>46</v>
      </c>
      <c r="B1629" s="46">
        <f>INDEX(parameters!$D$4:$N$20,MATCH(B1613&amp;B1615,parameters!$A$4:$A$20,0),MATCH(A1629,parameters!$D$3:$N$3,0))</f>
        <v>1.4999999999999999E-2</v>
      </c>
    </row>
    <row r="1630" spans="1:4" hidden="1" x14ac:dyDescent="0.2">
      <c r="A1630" t="s">
        <v>43</v>
      </c>
      <c r="B1630" s="46">
        <f>INDEX(parameters!$D$4:$N$20,MATCH(B1613&amp;B1615,parameters!$A$4:$A$20,0),MATCH(A1630,parameters!$D$3:$N$3,0))</f>
        <v>0</v>
      </c>
    </row>
    <row r="1631" spans="1:4" hidden="1" x14ac:dyDescent="0.2">
      <c r="A1631" t="s">
        <v>44</v>
      </c>
      <c r="B1631" s="46">
        <f>INDEX(parameters!$D$4:$N$20,MATCH(B1613&amp;B1615,parameters!$A$4:$A$20,0),MATCH(A1631,parameters!$D$3:$N$3,0))</f>
        <v>0</v>
      </c>
    </row>
    <row r="1632" spans="1:4" hidden="1" x14ac:dyDescent="0.2">
      <c r="A1632" t="s">
        <v>634</v>
      </c>
      <c r="B1632" s="50">
        <f>INDEX(parameters!$D$4:$Y$20,MATCH(B1613&amp;B1615,parameters!$A$4:$A$20,0),MATCH(A1632,parameters!$D$3:$Y$3,0))</f>
        <v>225</v>
      </c>
      <c r="D1632" s="8"/>
    </row>
    <row r="1633" spans="1:22" hidden="1" x14ac:dyDescent="0.2">
      <c r="A1633" t="s">
        <v>82</v>
      </c>
      <c r="B1633" s="46">
        <f>IF(B1624&lt;&gt;0,VLOOKUP(B1624,parameters!A1176:B1178,2,0),0)</f>
        <v>0</v>
      </c>
    </row>
    <row r="1634" spans="1:22" hidden="1" x14ac:dyDescent="0.2">
      <c r="A1634" t="s">
        <v>548</v>
      </c>
      <c r="B1634" s="50">
        <f>INDEX(parameters!$D$4:$P$20,MATCH(B1613&amp;B1615,parameters!$A$4:$A$20,0),MATCH(A1634,parameters!$D$3:$P$3,0))</f>
        <v>100</v>
      </c>
    </row>
    <row r="1635" spans="1:22" hidden="1" x14ac:dyDescent="0.2">
      <c r="A1635" t="s">
        <v>547</v>
      </c>
      <c r="B1635" s="51">
        <f>INDEX(parameters!$D$4:$P$20,MATCH(B1613&amp;B1615,parameters!$A$4:$A$20,0),MATCH(A1635,parameters!$D$3:$P$3,0))</f>
        <v>6</v>
      </c>
    </row>
    <row r="1636" spans="1:22" hidden="1" x14ac:dyDescent="0.2">
      <c r="A1636" t="s">
        <v>630</v>
      </c>
      <c r="B1636" s="51">
        <f>INDEX(parameters!$D$4:$T$20,MATCH(B1613&amp;B1615,parameters!$A$4:$A$20,0),MATCH(A1636,parameters!$D$3:$T$3,0))</f>
        <v>4100</v>
      </c>
    </row>
    <row r="1637" spans="1:22" hidden="1" x14ac:dyDescent="0.2">
      <c r="A1637" t="s">
        <v>1005</v>
      </c>
      <c r="B1637" s="50">
        <f>IF(B1609="megajoule",SUMIFS(allocation!$I$4:$I$30,allocation!$B$4:$B$30,B1615,allocation!$C$4:$C$30,B1616),SUMIFS(allocation!$J$4:$J$30,allocation!$B$4:$B$30,B1615,allocation!$C$4:$C$30,B1616))</f>
        <v>0.86412493489600906</v>
      </c>
    </row>
    <row r="1638" spans="1:22" hidden="1" x14ac:dyDescent="0.2">
      <c r="A1638" t="s">
        <v>1050</v>
      </c>
      <c r="B1638" s="51">
        <f>INDEX(parameters!$D$4:$AB$20,MATCH(B1613&amp;B1615,parameters!$A$4:$A$20,0),MATCH(A1638,parameters!$D$3:$AB$3,0))</f>
        <v>1153.1249999999998</v>
      </c>
    </row>
    <row r="1639" spans="1:22" hidden="1" x14ac:dyDescent="0.2"/>
    <row r="1640" spans="1:22" hidden="1" x14ac:dyDescent="0.2">
      <c r="A1640" s="3" t="s">
        <v>57</v>
      </c>
    </row>
    <row r="1641" spans="1:22" hidden="1" x14ac:dyDescent="0.2">
      <c r="A1641" s="2" t="s">
        <v>58</v>
      </c>
      <c r="B1641" s="44" t="s">
        <v>59</v>
      </c>
      <c r="C1641" s="2" t="s">
        <v>55</v>
      </c>
      <c r="D1641" s="2" t="s">
        <v>60</v>
      </c>
      <c r="E1641" s="2" t="s">
        <v>52</v>
      </c>
      <c r="F1641" s="2" t="s">
        <v>61</v>
      </c>
      <c r="G1641" s="2" t="s">
        <v>54</v>
      </c>
      <c r="H1641" s="2" t="s">
        <v>87</v>
      </c>
      <c r="I1641" s="2" t="s">
        <v>51</v>
      </c>
      <c r="J1641" s="2" t="s">
        <v>138</v>
      </c>
      <c r="K1641" s="2" t="s">
        <v>136</v>
      </c>
      <c r="L1641" s="2" t="s">
        <v>221</v>
      </c>
      <c r="M1641" s="2" t="s">
        <v>379</v>
      </c>
      <c r="N1641" s="2" t="s">
        <v>1059</v>
      </c>
      <c r="O1641" s="2" t="s">
        <v>1060</v>
      </c>
      <c r="P1641" s="2" t="s">
        <v>1061</v>
      </c>
      <c r="Q1641" s="2" t="s">
        <v>1062</v>
      </c>
      <c r="R1641" s="2" t="s">
        <v>1063</v>
      </c>
      <c r="S1641" s="2" t="s">
        <v>1064</v>
      </c>
      <c r="T1641" s="2" t="s">
        <v>1065</v>
      </c>
      <c r="U1641" s="2" t="s">
        <v>380</v>
      </c>
      <c r="V1641" s="2" t="s">
        <v>1128</v>
      </c>
    </row>
    <row r="1642" spans="1:22" x14ac:dyDescent="0.2">
      <c r="A1642" t="str">
        <f>B1603</f>
        <v>electricity, residential, by conversion of hydrogen using fuel cell, SOFC, allocated by exergy, transported by pipeline, produced by Steam Methane Reforming using natural gas from Russia</v>
      </c>
      <c r="B1642" s="45">
        <v>1</v>
      </c>
      <c r="C1642" t="str">
        <f>B1609</f>
        <v>kilowatt hour</v>
      </c>
      <c r="E1642" t="str">
        <f>B1606</f>
        <v>CH</v>
      </c>
      <c r="F1642" t="s">
        <v>62</v>
      </c>
      <c r="G1642" t="str">
        <f>B1608</f>
        <v>electricity, from residential heating system</v>
      </c>
      <c r="K1642" t="str">
        <f>B1603</f>
        <v>electricity, residential, by conversion of hydrogen using fuel cell, SOFC, allocated by exergy, transported by pipeline, produced by Steam Methane Reforming using natural gas from Russia</v>
      </c>
    </row>
    <row r="1643" spans="1:22" hidden="1" x14ac:dyDescent="0.2">
      <c r="A1643" t="str">
        <f>VLOOKUP(J1643,'dataset mapping'!$A$4:$E$69,2,0)</f>
        <v>fuel cell production, stack solid oxide, 125kW electrical, future</v>
      </c>
      <c r="B1643" s="52">
        <f>1/(62*1000000)/B1625*SUMIFS(allocation!$I$4:$I$30,allocation!$B$4:$B$30,B1615,allocation!$C$4:$C$30,B1616)</f>
        <v>4.6628368258061427E-9</v>
      </c>
      <c r="C1643" t="str">
        <f>VLOOKUP(J1643,'dataset mapping'!$A$4:$E$69,5,0)</f>
        <v>unit</v>
      </c>
      <c r="E1643" t="str">
        <f>VLOOKUP(J1643,'dataset mapping'!$A$4:$E$69,4,0)</f>
        <v>CH</v>
      </c>
      <c r="F1643" t="s">
        <v>86</v>
      </c>
      <c r="G1643" t="str">
        <f>VLOOKUP(J1643,'dataset mapping'!$A$4:$E$69,3,0)</f>
        <v>fuel cell, stack solid oxide, 125kW electrical, future</v>
      </c>
      <c r="H1643" t="s">
        <v>88</v>
      </c>
      <c r="I1643" t="s">
        <v>277</v>
      </c>
      <c r="J1643" t="s">
        <v>274</v>
      </c>
      <c r="K1643" t="str">
        <f>B1603</f>
        <v>electricity, residential, by conversion of hydrogen using fuel cell, SOFC, allocated by exergy, transported by pipeline, produced by Steam Methane Reforming using natural gas from Russia</v>
      </c>
      <c r="L1643">
        <f t="shared" ref="L1643:L1648" si="104">IF(OR(B1643&lt;0,B1643=0),1,2)</f>
        <v>2</v>
      </c>
      <c r="M1643">
        <f t="shared" ref="M1643:M1648" si="105">IF(L1643=2,LN(B1643),"")</f>
        <v>-19.183641813126002</v>
      </c>
      <c r="N1643">
        <v>1</v>
      </c>
      <c r="O1643" s="15">
        <v>1.2</v>
      </c>
      <c r="P1643">
        <v>1</v>
      </c>
      <c r="Q1643">
        <v>1.01</v>
      </c>
      <c r="R1643">
        <v>1.2</v>
      </c>
      <c r="S1643">
        <v>1.2</v>
      </c>
      <c r="T1643">
        <v>3</v>
      </c>
      <c r="U1643">
        <f t="shared" ref="U1643:U1648" si="106">LN(SQRT(EXP(
SQRT(
+POWER(LN(N1643),2)
+POWER(LN(O1643),2)
+POWER(LN(P1643),2)
+POWER(LN(Q1643),2)
+POWER(LN(R1643),2)
+POWER(LN(S1643),2)
+POWER(LN(T1643),2)
)
)))</f>
        <v>0.57157051623399524</v>
      </c>
    </row>
    <row r="1644" spans="1:22" hidden="1" x14ac:dyDescent="0.2">
      <c r="A1644" t="s">
        <v>283</v>
      </c>
      <c r="B1644" s="52">
        <f>0.000000145/B1625*SUMIFS(allocation!$I$4:$I$30,allocation!$B$4:$B$30,B1615,allocation!$C$4:$C$30,B1616)</f>
        <v>4.1918903063997216E-8</v>
      </c>
      <c r="C1644" t="s">
        <v>55</v>
      </c>
      <c r="E1644" t="s">
        <v>64</v>
      </c>
      <c r="F1644" t="s">
        <v>86</v>
      </c>
      <c r="G1644" t="s">
        <v>284</v>
      </c>
      <c r="H1644" t="s">
        <v>88</v>
      </c>
      <c r="I1644" t="s">
        <v>277</v>
      </c>
      <c r="K1644" t="str">
        <f>B1603</f>
        <v>electricity, residential, by conversion of hydrogen using fuel cell, SOFC, allocated by exergy, transported by pipeline, produced by Steam Methane Reforming using natural gas from Russia</v>
      </c>
      <c r="L1644">
        <f t="shared" si="104"/>
        <v>2</v>
      </c>
      <c r="M1644">
        <f t="shared" si="105"/>
        <v>-16.987528964642475</v>
      </c>
      <c r="N1644">
        <v>1</v>
      </c>
      <c r="O1644" s="15">
        <v>1.2</v>
      </c>
      <c r="P1644">
        <v>1</v>
      </c>
      <c r="Q1644">
        <v>1.01</v>
      </c>
      <c r="R1644">
        <v>1.2</v>
      </c>
      <c r="S1644">
        <v>1.2</v>
      </c>
      <c r="T1644">
        <v>3</v>
      </c>
      <c r="U1644">
        <f t="shared" si="106"/>
        <v>0.57157051623399524</v>
      </c>
    </row>
    <row r="1645" spans="1:22" hidden="1" x14ac:dyDescent="0.2">
      <c r="A1645" t="s">
        <v>285</v>
      </c>
      <c r="B1645" s="52">
        <f>0.0000000115/B1625*SUMIFS(allocation!$I$4:$I$30,allocation!$B$4:$B$30,B1615,allocation!$C$4:$C$30,B1616)</f>
        <v>3.3246026567997794E-9</v>
      </c>
      <c r="C1645" t="s">
        <v>55</v>
      </c>
      <c r="E1645" t="s">
        <v>90</v>
      </c>
      <c r="F1645" t="s">
        <v>86</v>
      </c>
      <c r="G1645" t="s">
        <v>286</v>
      </c>
      <c r="H1645" t="s">
        <v>88</v>
      </c>
      <c r="K1645" t="str">
        <f>B1603</f>
        <v>electricity, residential, by conversion of hydrogen using fuel cell, SOFC, allocated by exergy, transported by pipeline, produced by Steam Methane Reforming using natural gas from Russia</v>
      </c>
      <c r="L1645">
        <f t="shared" si="104"/>
        <v>2</v>
      </c>
      <c r="M1645">
        <f t="shared" si="105"/>
        <v>-19.521915671693844</v>
      </c>
      <c r="N1645">
        <v>1</v>
      </c>
      <c r="O1645" s="15">
        <v>1.2</v>
      </c>
      <c r="P1645">
        <v>1</v>
      </c>
      <c r="Q1645">
        <v>1.01</v>
      </c>
      <c r="R1645">
        <v>1.2</v>
      </c>
      <c r="S1645">
        <v>1.2</v>
      </c>
      <c r="T1645">
        <v>3</v>
      </c>
      <c r="U1645">
        <f t="shared" si="106"/>
        <v>0.57157051623399524</v>
      </c>
    </row>
    <row r="1646" spans="1:22" hidden="1" x14ac:dyDescent="0.2">
      <c r="A1646" t="s">
        <v>288</v>
      </c>
      <c r="B1646" s="52">
        <f>0.000024/B1625*SUMIFS(allocation!$I$4:$I$30,allocation!$B$4:$B$30,B1615,allocation!$C$4:$C$30,B1616)</f>
        <v>6.9383011967995388E-6</v>
      </c>
      <c r="C1646" t="s">
        <v>56</v>
      </c>
      <c r="E1646" t="s">
        <v>64</v>
      </c>
      <c r="F1646" t="s">
        <v>86</v>
      </c>
      <c r="G1646" t="s">
        <v>287</v>
      </c>
      <c r="H1646" t="s">
        <v>88</v>
      </c>
      <c r="K1646" t="str">
        <f>B1603</f>
        <v>electricity, residential, by conversion of hydrogen using fuel cell, SOFC, allocated by exergy, transported by pipeline, produced by Steam Methane Reforming using natural gas from Russia</v>
      </c>
      <c r="L1646">
        <f t="shared" si="104"/>
        <v>2</v>
      </c>
      <c r="M1646">
        <f t="shared" si="105"/>
        <v>-11.878453597732966</v>
      </c>
      <c r="N1646">
        <v>1</v>
      </c>
      <c r="O1646" s="15">
        <v>1.2</v>
      </c>
      <c r="P1646">
        <v>1</v>
      </c>
      <c r="Q1646">
        <v>1.01</v>
      </c>
      <c r="R1646">
        <v>1.2</v>
      </c>
      <c r="S1646">
        <v>1.2</v>
      </c>
      <c r="T1646">
        <v>1.05</v>
      </c>
      <c r="U1646">
        <f t="shared" si="106"/>
        <v>0.15984597228197622</v>
      </c>
    </row>
    <row r="1647" spans="1:22" hidden="1" x14ac:dyDescent="0.2">
      <c r="A1647" s="45" t="str">
        <f>"hydrogen supply, transported by "&amp;B1617&amp;", produced by "&amp;B1621&amp;" using "&amp;B1622&amp;" from "&amp;B1623</f>
        <v>hydrogen supply, transported by pipeline, produced by Steam Methane Reforming using natural gas from Russia</v>
      </c>
      <c r="B1647" s="53">
        <f>(B1642/B1626)/B1625*B1637</f>
        <v>5.515691073804313E-2</v>
      </c>
      <c r="C1647" t="s">
        <v>56</v>
      </c>
      <c r="E1647" t="s">
        <v>64</v>
      </c>
      <c r="F1647" t="s">
        <v>86</v>
      </c>
      <c r="G1647" s="67" t="s">
        <v>1129</v>
      </c>
      <c r="H1647" t="s">
        <v>76</v>
      </c>
      <c r="I1647" t="s">
        <v>1054</v>
      </c>
      <c r="J1647" t="s">
        <v>364</v>
      </c>
      <c r="K1647" t="str">
        <f>B1603</f>
        <v>electricity, residential, by conversion of hydrogen using fuel cell, SOFC, allocated by exergy, transported by pipeline, produced by Steam Methane Reforming using natural gas from Russia</v>
      </c>
      <c r="L1647">
        <f t="shared" si="104"/>
        <v>2</v>
      </c>
      <c r="M1647">
        <f t="shared" si="105"/>
        <v>-2.8975732330996009</v>
      </c>
      <c r="N1647">
        <v>1</v>
      </c>
      <c r="O1647" s="15">
        <v>1.2</v>
      </c>
      <c r="P1647">
        <v>1</v>
      </c>
      <c r="Q1647">
        <v>1.01</v>
      </c>
      <c r="R1647">
        <v>1.2</v>
      </c>
      <c r="S1647">
        <v>1.2</v>
      </c>
      <c r="T1647">
        <v>1.05</v>
      </c>
      <c r="U1647">
        <f t="shared" si="106"/>
        <v>0.15984597228197622</v>
      </c>
    </row>
    <row r="1648" spans="1:22" hidden="1" x14ac:dyDescent="0.2">
      <c r="A1648" t="s">
        <v>134</v>
      </c>
      <c r="B1648" s="45">
        <f>B1647*9</f>
        <v>0.49641219664238817</v>
      </c>
      <c r="C1648" t="s">
        <v>56</v>
      </c>
      <c r="D1648" t="s">
        <v>100</v>
      </c>
      <c r="F1648" t="s">
        <v>99</v>
      </c>
      <c r="H1648" t="s">
        <v>131</v>
      </c>
      <c r="I1648" t="s">
        <v>1057</v>
      </c>
      <c r="K1648" t="str">
        <f>B1603</f>
        <v>electricity, residential, by conversion of hydrogen using fuel cell, SOFC, allocated by exergy, transported by pipeline, produced by Steam Methane Reforming using natural gas from Russia</v>
      </c>
      <c r="L1648">
        <f t="shared" si="104"/>
        <v>2</v>
      </c>
      <c r="M1648">
        <f t="shared" si="105"/>
        <v>-0.70034865576338168</v>
      </c>
      <c r="N1648">
        <v>1</v>
      </c>
      <c r="O1648" s="15">
        <v>1.2</v>
      </c>
      <c r="P1648">
        <v>1</v>
      </c>
      <c r="Q1648">
        <v>1.01</v>
      </c>
      <c r="R1648">
        <v>1.2</v>
      </c>
      <c r="S1648">
        <v>1.2</v>
      </c>
      <c r="T1648">
        <v>1.05</v>
      </c>
      <c r="U1648">
        <f t="shared" si="106"/>
        <v>0.15984597228197622</v>
      </c>
    </row>
    <row r="1649" spans="1:2" hidden="1" x14ac:dyDescent="0.2"/>
    <row r="1650" spans="1:2" hidden="1" x14ac:dyDescent="0.2">
      <c r="A1650" s="2" t="s">
        <v>50</v>
      </c>
      <c r="B1650" s="44" t="str">
        <f>IF(B1656="megajoule","heat","electricity")&amp;", residential, by "&amp;B1661&amp;" of "&amp;B1660&amp;" using "&amp;B1662&amp;IF(B1663&lt;&gt;0,", allocated by "&amp;B1663,"")&amp;", transported by "&amp;B1664&amp;", produced by "&amp;B1668&amp;" using "&amp;B1669&amp;" from "&amp;B1670</f>
        <v>heat, residential, by combustion of hydrogen using boiler, transported by truck, produced by Steam Methane Reforming using natural gas from Russia</v>
      </c>
    </row>
    <row r="1651" spans="1:2" hidden="1" x14ac:dyDescent="0.2">
      <c r="A1651" t="s">
        <v>51</v>
      </c>
      <c r="B1651" s="45" t="str">
        <f>"This dataset represents the supply of 1 "&amp;IF(B1656="megajoule","megajoule of heat","kilowatt hour of electricity")&amp;" in a residence, by "&amp;B1660&amp;" "&amp;B1661&amp;" in a "&amp;B1662&amp;". "&amp;" The hydrogen is transported by "&amp;B1664&amp;" over "&amp;B1665&amp;" km from regional storage. "&amp;" The "&amp;B1660&amp;" is produced by  "&amp;B1668&amp;", with "&amp;B1669&amp;" from "&amp;B1670&amp;" as feedstock. "&amp;A1672&amp;": "&amp;(B1672*100)&amp;"%. "&amp;A1673&amp;": "&amp;B1673&amp;". "&amp;A1674&amp;": "&amp;B1674&amp;". "&amp;A1675&amp;": "&amp;(B1675*100)&amp;"%. "&amp;A1676&amp;": "&amp;(B1676*100)&amp;"%. "&amp;A1677&amp;": "&amp;(B1677*100)&amp;"%. "&amp;A1678&amp;": "&amp;B1678&amp;". "&amp;A1679&amp;": "&amp;B1679&amp;". "&amp;A1680&amp;": "&amp;(B1680*100)&amp;"%. "&amp;A1681&amp;": "&amp;B1681&amp;". "&amp;A1682&amp;": "&amp;B1682&amp;". "&amp;A1683&amp;": "&amp;B1683&amp;". "&amp;A1684&amp;": "&amp;B1684&amp;".  For more information, refer to: "&amp;B1652</f>
        <v>This dataset represents the supply of 1 megajoule of heat in a residence, by hydrogen combustion in a boiler.  The hydrogen is transported by truck over 200 km from regional storage.  The hydrogen is produced by  Steam Methane Reforming, with natural gas from Russia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1652" spans="1:2" hidden="1" x14ac:dyDescent="0.2">
      <c r="A1652" t="s">
        <v>63</v>
      </c>
      <c r="B1652" s="45" t="s">
        <v>660</v>
      </c>
    </row>
    <row r="1653" spans="1:2" hidden="1" x14ac:dyDescent="0.2">
      <c r="A1653" t="s">
        <v>52</v>
      </c>
      <c r="B1653" s="45" t="s">
        <v>64</v>
      </c>
    </row>
    <row r="1654" spans="1:2" hidden="1" x14ac:dyDescent="0.2">
      <c r="A1654" t="s">
        <v>48</v>
      </c>
      <c r="B1654" s="45">
        <v>165</v>
      </c>
    </row>
    <row r="1655" spans="1:2" hidden="1" x14ac:dyDescent="0.2">
      <c r="A1655" t="s">
        <v>54</v>
      </c>
      <c r="B1655" s="45" t="str">
        <f>INDEX(overview!$B$4:$R$338,MATCH(B1654,overview!$A$4:$A$338,0),MATCH(A1655,overview!$B$3:$R$3,0))</f>
        <v>heat, from residential heating system</v>
      </c>
    </row>
    <row r="1656" spans="1:2" hidden="1" x14ac:dyDescent="0.2">
      <c r="A1656" t="s">
        <v>55</v>
      </c>
      <c r="B1656" s="45" t="str">
        <f>INDEX(overview!$B$4:$R$338,MATCH(B1654,overview!$A$4:$A$338,0),MATCH(A1656,overview!$B$3:$R$3,0))</f>
        <v>megajoule</v>
      </c>
    </row>
    <row r="1657" spans="1:2" hidden="1" x14ac:dyDescent="0.2">
      <c r="A1657" t="s">
        <v>0</v>
      </c>
      <c r="B1657" s="45" t="str">
        <f>INDEX(overview!$B$4:$R$338,MATCH(B1654,overview!$A$4:$A$338,0),MATCH(A1657,overview!$B$3:$R$3,0))</f>
        <v>Switzerland</v>
      </c>
    </row>
    <row r="1658" spans="1:2" hidden="1" x14ac:dyDescent="0.2">
      <c r="A1658" t="s">
        <v>1</v>
      </c>
      <c r="B1658" s="45">
        <f>INDEX(overview!$B$4:$R$338,MATCH(B1654,overview!$A$4:$A$338,0),MATCH(A1658,overview!$B$3:$R$3,0))</f>
        <v>2020</v>
      </c>
    </row>
    <row r="1659" spans="1:2" hidden="1" x14ac:dyDescent="0.2">
      <c r="A1659" t="s">
        <v>2</v>
      </c>
      <c r="B1659" s="45" t="str">
        <f>INDEX(overview!$B$4:$R$338,MATCH(B1654,overview!$A$4:$A$338,0),MATCH(A1659,overview!$B$3:$R$3,0))</f>
        <v>1 MJ heat</v>
      </c>
    </row>
    <row r="1660" spans="1:2" hidden="1" x14ac:dyDescent="0.2">
      <c r="A1660" t="s">
        <v>5</v>
      </c>
      <c r="B1660" s="45" t="str">
        <f>INDEX(overview!$B$4:$R$338,MATCH(B1654,overview!$A$4:$A$338,0),MATCH(A1660,overview!$B$3:$R$3,0))</f>
        <v>hydrogen</v>
      </c>
    </row>
    <row r="1661" spans="1:2" hidden="1" x14ac:dyDescent="0.2">
      <c r="A1661" t="s">
        <v>3</v>
      </c>
      <c r="B1661" s="45" t="str">
        <f>INDEX(overview!$B$4:$R$338,MATCH(B1654,overview!$A$4:$A$338,0),MATCH(A1661,overview!$B$3:$R$3,0))</f>
        <v>combustion</v>
      </c>
    </row>
    <row r="1662" spans="1:2" hidden="1" x14ac:dyDescent="0.2">
      <c r="A1662" t="s">
        <v>6</v>
      </c>
      <c r="B1662" s="45" t="str">
        <f>INDEX(overview!$B$4:$R$338,MATCH(B1654,overview!$A$4:$A$338,0),MATCH(A1662,overview!$B$3:$R$3,0))</f>
        <v>boiler</v>
      </c>
    </row>
    <row r="1663" spans="1:2" hidden="1" x14ac:dyDescent="0.2">
      <c r="A1663" t="s">
        <v>39</v>
      </c>
      <c r="B1663" s="45">
        <f>INDEX(overview!$B$4:$R$338,MATCH(B1654,overview!$A$4:$A$338,0),MATCH(A1663,overview!$B$3:$R$3,0))</f>
        <v>0</v>
      </c>
    </row>
    <row r="1664" spans="1:2" hidden="1" x14ac:dyDescent="0.2">
      <c r="A1664" t="s">
        <v>4</v>
      </c>
      <c r="B1664" s="45" t="str">
        <f>INDEX(overview!$B$4:$R$338,MATCH(B1654,overview!$A$4:$A$338,0),MATCH(A1664,overview!$B$3:$R$3,0))</f>
        <v>truck</v>
      </c>
    </row>
    <row r="1665" spans="1:2" hidden="1" x14ac:dyDescent="0.2">
      <c r="A1665" t="s">
        <v>38</v>
      </c>
      <c r="B1665" s="45">
        <f>INDEX(overview!$B$4:$R$338,MATCH(B1654,overview!$A$4:$A$338,0),MATCH(A1665,overview!$B$3:$R$3,0))</f>
        <v>200</v>
      </c>
    </row>
    <row r="1666" spans="1:2" hidden="1" x14ac:dyDescent="0.2">
      <c r="A1666" t="s">
        <v>12</v>
      </c>
      <c r="B1666" s="45" t="str">
        <f>INDEX(overview!$B$4:$R$338,MATCH(B1654,overview!$A$4:$A$338,0),MATCH(A1666,overview!$B$3:$R$3,0))</f>
        <v>Pressure vessel for stationary storage</v>
      </c>
    </row>
    <row r="1667" spans="1:2" hidden="1" x14ac:dyDescent="0.2">
      <c r="A1667" t="s">
        <v>34</v>
      </c>
      <c r="B1667" s="45">
        <f>INDEX(overview!$B$4:$R$338,MATCH(B1654,overview!$A$4:$A$338,0),MATCH(A1667,overview!$B$3:$R$3,0))</f>
        <v>0</v>
      </c>
    </row>
    <row r="1668" spans="1:2" hidden="1" x14ac:dyDescent="0.2">
      <c r="A1668" t="s">
        <v>15</v>
      </c>
      <c r="B1668" s="45" t="str">
        <f>INDEX(overview!$B$4:$R$338,MATCH(B1654,overview!$A$4:$A$338,0),MATCH(A1668,overview!$B$3:$R$3,0))</f>
        <v>Steam Methane Reforming</v>
      </c>
    </row>
    <row r="1669" spans="1:2" hidden="1" x14ac:dyDescent="0.2">
      <c r="A1669" t="s">
        <v>14</v>
      </c>
      <c r="B1669" s="45" t="str">
        <f>INDEX(overview!$B$4:$R$338,MATCH(B1654,overview!$A$4:$A$338,0),MATCH(A1669,overview!$B$3:$R$3,0))</f>
        <v>natural gas</v>
      </c>
    </row>
    <row r="1670" spans="1:2" hidden="1" x14ac:dyDescent="0.2">
      <c r="A1670" t="s">
        <v>26</v>
      </c>
      <c r="B1670" s="45" t="str">
        <f>INDEX(overview!$B$4:$R$338,MATCH(B1654,overview!$A$4:$A$338,0),MATCH(A1670,overview!$B$3:$R$3,0))</f>
        <v>Russia</v>
      </c>
    </row>
    <row r="1671" spans="1:2" hidden="1" x14ac:dyDescent="0.2">
      <c r="A1671" t="s">
        <v>29</v>
      </c>
      <c r="B1671" s="45">
        <f>INDEX(overview!$B$4:$R$338,MATCH(B1654,overview!$A$4:$A$338,0),MATCH(A1671,overview!$B$3:$R$3,0))</f>
        <v>0</v>
      </c>
    </row>
    <row r="1672" spans="1:2" hidden="1" x14ac:dyDescent="0.2">
      <c r="A1672" t="str">
        <f>IF(B1656="megajoule","Heat","Electricity")&amp;" conversion efficiency [% LHV input]"</f>
        <v>Heat conversion efficiency [% LHV input]</v>
      </c>
      <c r="B1672" s="46">
        <f>INDEX(parameters!$D$4:$N$20,MATCH(B1660&amp;B1662,parameters!$A$4:$A$20,0),MATCH(A1672,parameters!$D$3:$N$3,0))</f>
        <v>0.94</v>
      </c>
    </row>
    <row r="1673" spans="1:2" hidden="1" x14ac:dyDescent="0.2">
      <c r="A1673" t="str">
        <f>IF(B1656="megajoule","LHV [MJ/kg]","LHV [kWh/kg]")</f>
        <v>LHV [MJ/kg]</v>
      </c>
      <c r="B1673" s="47">
        <f>INDEX(parameters!$D$4:$N$20,MATCH(B1660&amp;B1662,parameters!$A$4:$A$20,0),MATCH(A1673,parameters!$D$3:$N$3,0))</f>
        <v>120</v>
      </c>
    </row>
    <row r="1674" spans="1:2" hidden="1" x14ac:dyDescent="0.2">
      <c r="A1674" t="s">
        <v>41</v>
      </c>
      <c r="B1674" s="48">
        <f>INDEX(parameters!$D$4:$N$20,MATCH(B1660&amp;B1662,parameters!$A$4:$A$20,0),MATCH(A1674,parameters!$D$3:$N$3,0))</f>
        <v>2.6666666666666665E-2</v>
      </c>
    </row>
    <row r="1675" spans="1:2" hidden="1" x14ac:dyDescent="0.2">
      <c r="A1675" t="s">
        <v>45</v>
      </c>
      <c r="B1675" s="49">
        <f>INDEX(parameters!$D$4:$N$20,MATCH(B1660&amp;B1662,parameters!$A$4:$A$20,0),MATCH(A1675,parameters!$D$3:$N$3,0))</f>
        <v>0</v>
      </c>
    </row>
    <row r="1676" spans="1:2" hidden="1" x14ac:dyDescent="0.2">
      <c r="A1676" t="s">
        <v>46</v>
      </c>
      <c r="B1676" s="49">
        <f>INDEX(parameters!$D$4:$N$20,MATCH(B1660&amp;B1662,parameters!$A$4:$A$20,0),MATCH(A1676,parameters!$D$3:$N$3,0))</f>
        <v>1.4999999999999999E-2</v>
      </c>
    </row>
    <row r="1677" spans="1:2" hidden="1" x14ac:dyDescent="0.2">
      <c r="A1677" t="s">
        <v>43</v>
      </c>
      <c r="B1677" s="49">
        <f>INDEX(parameters!$D$4:$N$20,MATCH(B1660&amp;B1662,parameters!$A$4:$A$20,0),MATCH(A1677,parameters!$D$3:$N$3,0))</f>
        <v>0</v>
      </c>
    </row>
    <row r="1678" spans="1:2" hidden="1" x14ac:dyDescent="0.2">
      <c r="A1678" t="s">
        <v>44</v>
      </c>
      <c r="B1678" s="49">
        <f>INDEX(parameters!$D$4:$N$20,MATCH(B1660&amp;B1662,parameters!$A$4:$A$20,0),MATCH(A1678,parameters!$D$3:$N$3,0))</f>
        <v>0</v>
      </c>
    </row>
    <row r="1679" spans="1:2" hidden="1" x14ac:dyDescent="0.2">
      <c r="A1679" t="s">
        <v>634</v>
      </c>
      <c r="B1679" s="50">
        <f>INDEX(parameters!$D$4:$Y$20,MATCH(B1660&amp;B1662,parameters!$A$4:$A$20,0),MATCH(A1679,parameters!$D$3:$Y$3,0))</f>
        <v>15.957446808510639</v>
      </c>
    </row>
    <row r="1680" spans="1:2" hidden="1" x14ac:dyDescent="0.2">
      <c r="A1680" t="s">
        <v>82</v>
      </c>
      <c r="B1680" s="46">
        <f>IF(B1671&lt;&gt;0,VLOOKUP(B1671,parameters!A1073:B1075,2,0),0)</f>
        <v>0</v>
      </c>
    </row>
    <row r="1681" spans="1:22" hidden="1" x14ac:dyDescent="0.2">
      <c r="A1681" t="s">
        <v>548</v>
      </c>
      <c r="B1681" s="50">
        <f>INDEX(parameters!$D$4:$P$20,MATCH(B1660&amp;B1662,parameters!$A$4:$A$20,0),MATCH(A1681,parameters!$D$3:$P$3,0))</f>
        <v>15</v>
      </c>
    </row>
    <row r="1682" spans="1:22" hidden="1" x14ac:dyDescent="0.2">
      <c r="A1682" t="s">
        <v>547</v>
      </c>
      <c r="B1682" s="51">
        <f>INDEX(parameters!$D$4:$P$20,MATCH(B1660&amp;B1662,parameters!$A$4:$A$20,0),MATCH(A1682,parameters!$D$3:$P$3,0))</f>
        <v>20</v>
      </c>
    </row>
    <row r="1683" spans="1:22" hidden="1" x14ac:dyDescent="0.2">
      <c r="A1683" t="s">
        <v>630</v>
      </c>
      <c r="B1683" s="51">
        <f>INDEX(parameters!$D$4:$T$20,MATCH(B1660&amp;B1662,parameters!$A$4:$A$20,0),MATCH(A1683,parameters!$D$3:$T$3,0))</f>
        <v>2100</v>
      </c>
    </row>
    <row r="1684" spans="1:22" hidden="1" x14ac:dyDescent="0.2">
      <c r="A1684" t="s">
        <v>1005</v>
      </c>
      <c r="B1684" s="50">
        <f>IF(B1656="megajoule",SUMIFS(allocation!$I$4:$I$30,allocation!$B$4:$B$30,B1662,allocation!$C$4:$C$30,B1663),SUMIFS(allocation!$J$4:$J$30,allocation!$B$4:$B$30,B1662,allocation!$C$4:$C$30,B1663))</f>
        <v>0</v>
      </c>
    </row>
    <row r="1685" spans="1:22" hidden="1" x14ac:dyDescent="0.2">
      <c r="A1685" t="s">
        <v>1050</v>
      </c>
      <c r="B1685" s="51">
        <f>INDEX(parameters!$D$4:$AB$20,MATCH(B1660&amp;B1662,parameters!$A$4:$A$20,0),MATCH(A1685,parameters!$D$3:$AB$3,0))</f>
        <v>44.562019013128115</v>
      </c>
    </row>
    <row r="1686" spans="1:22" hidden="1" x14ac:dyDescent="0.2"/>
    <row r="1687" spans="1:22" hidden="1" x14ac:dyDescent="0.2">
      <c r="A1687" s="3" t="s">
        <v>57</v>
      </c>
    </row>
    <row r="1688" spans="1:22" hidden="1" x14ac:dyDescent="0.2">
      <c r="A1688" s="2" t="s">
        <v>58</v>
      </c>
      <c r="B1688" s="44" t="s">
        <v>59</v>
      </c>
      <c r="C1688" s="2" t="s">
        <v>55</v>
      </c>
      <c r="D1688" s="2" t="s">
        <v>60</v>
      </c>
      <c r="E1688" s="2" t="s">
        <v>52</v>
      </c>
      <c r="F1688" s="2" t="s">
        <v>61</v>
      </c>
      <c r="G1688" s="2" t="s">
        <v>54</v>
      </c>
      <c r="H1688" s="2" t="s">
        <v>87</v>
      </c>
      <c r="I1688" s="2" t="s">
        <v>51</v>
      </c>
      <c r="J1688" s="2" t="s">
        <v>138</v>
      </c>
      <c r="K1688" s="2" t="s">
        <v>136</v>
      </c>
      <c r="L1688" s="2" t="s">
        <v>221</v>
      </c>
      <c r="M1688" s="2" t="s">
        <v>379</v>
      </c>
      <c r="N1688" s="2" t="s">
        <v>1059</v>
      </c>
      <c r="O1688" s="2" t="s">
        <v>1060</v>
      </c>
      <c r="P1688" s="2" t="s">
        <v>1061</v>
      </c>
      <c r="Q1688" s="2" t="s">
        <v>1062</v>
      </c>
      <c r="R1688" s="2" t="s">
        <v>1063</v>
      </c>
      <c r="S1688" s="2" t="s">
        <v>1064</v>
      </c>
      <c r="T1688" s="2" t="s">
        <v>1065</v>
      </c>
      <c r="U1688" s="2" t="s">
        <v>380</v>
      </c>
      <c r="V1688" s="2" t="s">
        <v>1128</v>
      </c>
    </row>
    <row r="1689" spans="1:22" hidden="1" x14ac:dyDescent="0.2">
      <c r="A1689" t="str">
        <f>B1650</f>
        <v>heat, residential, by combustion of hydrogen using boiler, transported by truck, produced by Steam Methane Reforming using natural gas from Russia</v>
      </c>
      <c r="B1689" s="45">
        <v>1</v>
      </c>
      <c r="C1689" t="str">
        <f>B1656</f>
        <v>megajoule</v>
      </c>
      <c r="E1689" t="str">
        <f>B1653</f>
        <v>CH</v>
      </c>
      <c r="F1689" t="s">
        <v>62</v>
      </c>
      <c r="G1689" t="str">
        <f>B1655</f>
        <v>heat, from residential heating system</v>
      </c>
      <c r="K1689" t="str">
        <f>B1650</f>
        <v>heat, residential, by combustion of hydrogen using boiler, transported by truck, produced by Steam Methane Reforming using natural gas from Russia</v>
      </c>
    </row>
    <row r="1690" spans="1:22" hidden="1" x14ac:dyDescent="0.2">
      <c r="A1690" t="s">
        <v>83</v>
      </c>
      <c r="B1690" s="52">
        <f>1/(B1681*B1683*B1682*3.6)</f>
        <v>4.4091710758377425E-7</v>
      </c>
      <c r="C1690" t="s">
        <v>55</v>
      </c>
      <c r="E1690" t="s">
        <v>85</v>
      </c>
      <c r="F1690" t="s">
        <v>86</v>
      </c>
      <c r="G1690" t="s">
        <v>84</v>
      </c>
      <c r="H1690" t="s">
        <v>88</v>
      </c>
      <c r="K1690" t="str">
        <f>B1650</f>
        <v>heat, residential, by combustion of hydrogen using boiler, transported by truck, produced by Steam Methane Reforming using natural gas from Russia</v>
      </c>
      <c r="L1690">
        <f t="shared" ref="L1690:L1696" si="107">IF(OR(B1690&lt;0,B1690=0),1,2)</f>
        <v>2</v>
      </c>
      <c r="M1690">
        <f t="shared" ref="M1690:M1696" si="108">IF(L1690=2,LN(B1690),"")</f>
        <v>-14.634408943829779</v>
      </c>
      <c r="N1690">
        <v>1.05</v>
      </c>
      <c r="O1690" s="15">
        <v>1.2</v>
      </c>
      <c r="P1690">
        <v>1</v>
      </c>
      <c r="Q1690">
        <v>1.01</v>
      </c>
      <c r="R1690">
        <v>1.2</v>
      </c>
      <c r="S1690">
        <v>1.2</v>
      </c>
      <c r="T1690">
        <v>3</v>
      </c>
      <c r="U1690">
        <f t="shared" ref="U1690:U1696" si="109">LN(SQRT(EXP(
SQRT(
+POWER(LN(N1690),2)
+POWER(LN(O1690),2)
+POWER(LN(P1690),2)
+POWER(LN(Q1690),2)
+POWER(LN(R1690),2)
+POWER(LN(S1690),2)
+POWER(LN(T1690),2)
)
)))</f>
        <v>0.57209088006881903</v>
      </c>
    </row>
    <row r="1691" spans="1:22" hidden="1" x14ac:dyDescent="0.2">
      <c r="A1691" t="s">
        <v>500</v>
      </c>
      <c r="B1691" s="52">
        <f>B1690*2</f>
        <v>8.8183421516754851E-7</v>
      </c>
      <c r="C1691" t="s">
        <v>267</v>
      </c>
      <c r="E1691" t="s">
        <v>85</v>
      </c>
      <c r="F1691" t="s">
        <v>86</v>
      </c>
      <c r="G1691" t="s">
        <v>501</v>
      </c>
      <c r="H1691" t="s">
        <v>88</v>
      </c>
      <c r="I1691" t="s">
        <v>621</v>
      </c>
      <c r="K1691" t="str">
        <f>B1650</f>
        <v>heat, residential, by combustion of hydrogen using boiler, transported by truck, produced by Steam Methane Reforming using natural gas from Russia</v>
      </c>
      <c r="L1691">
        <f t="shared" si="107"/>
        <v>2</v>
      </c>
      <c r="M1691">
        <f t="shared" si="108"/>
        <v>-13.941261763269834</v>
      </c>
      <c r="N1691">
        <v>1.05</v>
      </c>
      <c r="O1691" s="15">
        <v>1.2</v>
      </c>
      <c r="P1691">
        <v>1</v>
      </c>
      <c r="Q1691">
        <v>1.01</v>
      </c>
      <c r="R1691">
        <v>1.2</v>
      </c>
      <c r="S1691">
        <v>1.2</v>
      </c>
      <c r="T1691">
        <v>3</v>
      </c>
      <c r="U1691">
        <f t="shared" si="109"/>
        <v>0.57209088006881903</v>
      </c>
    </row>
    <row r="1692" spans="1:22" hidden="1" x14ac:dyDescent="0.2">
      <c r="A1692" t="s">
        <v>130</v>
      </c>
      <c r="B1692" s="52">
        <v>2.64E-3</v>
      </c>
      <c r="C1692" t="s">
        <v>92</v>
      </c>
      <c r="E1692" t="s">
        <v>64</v>
      </c>
      <c r="F1692" t="s">
        <v>86</v>
      </c>
      <c r="G1692" t="s">
        <v>93</v>
      </c>
      <c r="H1692" t="s">
        <v>78</v>
      </c>
      <c r="I1692" t="s">
        <v>270</v>
      </c>
      <c r="J1692" t="s">
        <v>67</v>
      </c>
      <c r="K1692" t="str">
        <f>B1650</f>
        <v>heat, residential, by combustion of hydrogen using boiler, transported by truck, produced by Steam Methane Reforming using natural gas from Russia</v>
      </c>
      <c r="L1692">
        <f t="shared" si="107"/>
        <v>2</v>
      </c>
      <c r="M1692">
        <f t="shared" si="108"/>
        <v>-5.9369763618239126</v>
      </c>
      <c r="N1692">
        <v>1.05</v>
      </c>
      <c r="O1692" s="15">
        <v>1.2</v>
      </c>
      <c r="P1692">
        <v>1</v>
      </c>
      <c r="Q1692">
        <v>1.01</v>
      </c>
      <c r="R1692">
        <v>1.2</v>
      </c>
      <c r="S1692">
        <v>1.2</v>
      </c>
      <c r="T1692">
        <v>1.05</v>
      </c>
      <c r="U1692">
        <f t="shared" si="109"/>
        <v>0.16169679924070957</v>
      </c>
    </row>
    <row r="1693" spans="1:22" hidden="1" x14ac:dyDescent="0.2">
      <c r="A1693" s="45" t="str">
        <f>"hydrogen supply, transported by "&amp;B1664&amp;", produced by "&amp;B1668&amp;" using "&amp;B1669&amp;" from "&amp;B1670</f>
        <v>hydrogen supply, transported by truck, produced by Steam Methane Reforming using natural gas from Russia</v>
      </c>
      <c r="B1693" s="53">
        <f>(B1689/B1673)/B1672</f>
        <v>8.8652482269503553E-3</v>
      </c>
      <c r="C1693" t="s">
        <v>56</v>
      </c>
      <c r="E1693" t="s">
        <v>64</v>
      </c>
      <c r="F1693" t="s">
        <v>86</v>
      </c>
      <c r="G1693" t="s">
        <v>1137</v>
      </c>
      <c r="H1693" t="s">
        <v>76</v>
      </c>
      <c r="I1693" t="s">
        <v>1054</v>
      </c>
      <c r="J1693" t="s">
        <v>364</v>
      </c>
      <c r="K1693" t="str">
        <f>B1650</f>
        <v>heat, residential, by combustion of hydrogen using boiler, transported by truck, produced by Steam Methane Reforming using natural gas from Russia</v>
      </c>
      <c r="L1693">
        <f t="shared" si="107"/>
        <v>2</v>
      </c>
      <c r="M1693">
        <f t="shared" si="108"/>
        <v>-4.7256163390639587</v>
      </c>
      <c r="N1693">
        <v>1.05</v>
      </c>
      <c r="O1693" s="15">
        <v>1.2</v>
      </c>
      <c r="P1693">
        <v>1</v>
      </c>
      <c r="Q1693">
        <v>1.01</v>
      </c>
      <c r="R1693">
        <v>1.2</v>
      </c>
      <c r="S1693">
        <v>1.2</v>
      </c>
      <c r="T1693">
        <v>1.05</v>
      </c>
      <c r="U1693">
        <f t="shared" si="109"/>
        <v>0.16169679924070957</v>
      </c>
    </row>
    <row r="1694" spans="1:22" hidden="1" x14ac:dyDescent="0.2">
      <c r="A1694" t="str">
        <f>VLOOKUP(J1694,'dataset mapping'!$A$4:$E$69,2,0)</f>
        <v>high pressure hydrogen storage tank</v>
      </c>
      <c r="B1694" s="52">
        <f>((B1685/10)/(B1683*B1679*20*3.6))*IF(B1684&lt;&gt;0,B1684,1)</f>
        <v>1.8469267139479905E-6</v>
      </c>
      <c r="C1694" t="str">
        <f>VLOOKUP(J1694,'dataset mapping'!$A$4:$E$69,5,0)</f>
        <v>kilogram</v>
      </c>
      <c r="E1694" t="str">
        <f>VLOOKUP(J1694,'dataset mapping'!$A$4:$E$69,4,0)</f>
        <v>GLO</v>
      </c>
      <c r="F1694" t="s">
        <v>86</v>
      </c>
      <c r="G1694" t="str">
        <f>VLOOKUP(J1694,'dataset mapping'!$A$4:$E$69,3,0)</f>
        <v>high pressure hydrogen storage tank</v>
      </c>
      <c r="H1694" t="s">
        <v>88</v>
      </c>
      <c r="I1694" t="s">
        <v>230</v>
      </c>
      <c r="J1694" t="s">
        <v>229</v>
      </c>
      <c r="K1694" t="str">
        <f>B1650</f>
        <v>heat, residential, by combustion of hydrogen using boiler, transported by truck, produced by Steam Methane Reforming using natural gas from Russia</v>
      </c>
      <c r="L1694">
        <f t="shared" si="107"/>
        <v>2</v>
      </c>
      <c r="M1694">
        <f t="shared" si="108"/>
        <v>-13.20198753595994</v>
      </c>
      <c r="N1694">
        <v>1.05</v>
      </c>
      <c r="O1694" s="15">
        <v>1.2</v>
      </c>
      <c r="P1694">
        <v>1</v>
      </c>
      <c r="Q1694">
        <v>1.01</v>
      </c>
      <c r="R1694">
        <v>1.2</v>
      </c>
      <c r="S1694">
        <v>1.2</v>
      </c>
      <c r="T1694">
        <v>3</v>
      </c>
      <c r="U1694">
        <f t="shared" si="109"/>
        <v>0.57209088006881903</v>
      </c>
    </row>
    <row r="1695" spans="1:22" hidden="1" x14ac:dyDescent="0.2">
      <c r="A1695" t="s">
        <v>134</v>
      </c>
      <c r="B1695" s="45">
        <f>B1693*9</f>
        <v>7.9787234042553196E-2</v>
      </c>
      <c r="C1695" t="s">
        <v>56</v>
      </c>
      <c r="D1695" t="s">
        <v>100</v>
      </c>
      <c r="F1695" t="s">
        <v>99</v>
      </c>
      <c r="H1695" t="s">
        <v>131</v>
      </c>
      <c r="I1695" t="s">
        <v>1058</v>
      </c>
      <c r="K1695" t="str">
        <f>B1650</f>
        <v>heat, residential, by combustion of hydrogen using boiler, transported by truck, produced by Steam Methane Reforming using natural gas from Russia</v>
      </c>
      <c r="L1695">
        <f t="shared" si="107"/>
        <v>2</v>
      </c>
      <c r="M1695">
        <f t="shared" si="108"/>
        <v>-2.5283917617277392</v>
      </c>
      <c r="N1695">
        <v>1.05</v>
      </c>
      <c r="O1695" s="15">
        <v>1.2</v>
      </c>
      <c r="P1695">
        <v>1</v>
      </c>
      <c r="Q1695">
        <v>1.01</v>
      </c>
      <c r="R1695">
        <v>1.2</v>
      </c>
      <c r="S1695">
        <v>1.2</v>
      </c>
      <c r="T1695">
        <v>1.05</v>
      </c>
      <c r="U1695">
        <f t="shared" si="109"/>
        <v>0.16169679924070957</v>
      </c>
    </row>
    <row r="1696" spans="1:22" hidden="1" x14ac:dyDescent="0.2">
      <c r="A1696" t="s">
        <v>135</v>
      </c>
      <c r="B1696" s="45">
        <f>912.5/1000000*B1693</f>
        <v>8.0895390070921995E-6</v>
      </c>
      <c r="C1696" t="s">
        <v>56</v>
      </c>
      <c r="D1696" t="s">
        <v>100</v>
      </c>
      <c r="F1696" t="s">
        <v>99</v>
      </c>
      <c r="H1696" t="s">
        <v>131</v>
      </c>
      <c r="I1696" t="s">
        <v>1217</v>
      </c>
      <c r="K1696" t="str">
        <f>B1650</f>
        <v>heat, residential, by combustion of hydrogen using boiler, transported by truck, produced by Steam Methane Reforming using natural gas from Russia</v>
      </c>
      <c r="L1696">
        <f t="shared" si="107"/>
        <v>2</v>
      </c>
      <c r="M1696">
        <f t="shared" si="108"/>
        <v>-11.724938811571587</v>
      </c>
      <c r="N1696">
        <v>1.05</v>
      </c>
      <c r="O1696" s="15">
        <v>1.2</v>
      </c>
      <c r="P1696">
        <v>1</v>
      </c>
      <c r="Q1696">
        <v>1.01</v>
      </c>
      <c r="R1696">
        <v>1.2</v>
      </c>
      <c r="S1696">
        <v>1.2</v>
      </c>
      <c r="T1696">
        <v>1.5</v>
      </c>
      <c r="U1696">
        <f t="shared" si="109"/>
        <v>0.25816898211842121</v>
      </c>
    </row>
    <row r="1697" spans="1:2" hidden="1" x14ac:dyDescent="0.2"/>
    <row r="1698" spans="1:2" hidden="1" x14ac:dyDescent="0.2">
      <c r="A1698" s="2" t="s">
        <v>50</v>
      </c>
      <c r="B1698" s="44" t="str">
        <f>IF(B1704="megajoule","heat","electricity")&amp;", residential, by "&amp;B1709&amp;" of "&amp;B1708&amp;" using "&amp;B1710&amp;IF(B1711&lt;&gt;0,", allocated by "&amp;B1711,"")&amp;", transported by "&amp;B1712&amp;", produced by "&amp;B1716&amp;" using "&amp;B1717&amp;" from "&amp;B1718</f>
        <v>heat, residential, by combustion of hydrogen using CHP, allocated by exergy, transported by truck, produced by Steam Methane Reforming using natural gas from Russia</v>
      </c>
    </row>
    <row r="1699" spans="1:2" hidden="1" x14ac:dyDescent="0.2">
      <c r="A1699" t="s">
        <v>51</v>
      </c>
      <c r="B1699" s="45" t="str">
        <f>"This dataset represents the supply of 1 "&amp;IF(B1704="megajoule","megajoule of heat","kilowatt hour of electricity")&amp;" in a residence, by "&amp;B1708&amp;" "&amp;B1709&amp;" in a "&amp;B1710&amp;". "&amp;" The hydrogen is transported by "&amp;B1712&amp;" over "&amp;B1713&amp;" km from regional storage. "&amp;" The "&amp;B1708&amp;" is produced by  "&amp;B1716&amp;", with "&amp;B1717&amp;" from "&amp;B1718&amp;" as feedstock. "&amp;A1720&amp;": "&amp;(B1720*100)&amp;"%. "&amp;A1721&amp;": "&amp;B1721&amp;". "&amp;A1722&amp;": "&amp;B1722&amp;". "&amp;A1723&amp;": "&amp;(B1723*100)&amp;"%. "&amp;A1724&amp;": "&amp;(B1724*100)&amp;"%. "&amp;A1725&amp;": "&amp;(B1725*100)&amp;"%. "&amp;A1726&amp;": "&amp;B1726&amp;". "&amp;A1727&amp;": "&amp;B1727&amp;". "&amp;A1728&amp;": "&amp;(B1728*100)&amp;"%. "&amp;A1729&amp;": "&amp;B1729&amp;". "&amp;A1730&amp;": "&amp;B1730&amp;". "&amp;A1731&amp;": "&amp;B1731&amp;". "&amp;A1732&amp;": "&amp;B1732&amp;".  For more information, refer to: "&amp;B1700</f>
        <v>This dataset represents the supply of 1 megajoule of heat in a residence, by hydrogen combustion in a CHP.  The hydrogen is transported by truck over 200 km from regional storage.  The hydrogen is produced by  Steam Methane Reforming, with natural gas from Russia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1700" spans="1:2" hidden="1" x14ac:dyDescent="0.2">
      <c r="A1700" t="s">
        <v>63</v>
      </c>
      <c r="B1700" s="45" t="s">
        <v>660</v>
      </c>
    </row>
    <row r="1701" spans="1:2" hidden="1" x14ac:dyDescent="0.2">
      <c r="A1701" t="s">
        <v>52</v>
      </c>
      <c r="B1701" s="45" t="s">
        <v>64</v>
      </c>
    </row>
    <row r="1702" spans="1:2" hidden="1" x14ac:dyDescent="0.2">
      <c r="A1702" t="s">
        <v>48</v>
      </c>
      <c r="B1702" s="45">
        <v>166</v>
      </c>
    </row>
    <row r="1703" spans="1:2" hidden="1" x14ac:dyDescent="0.2">
      <c r="A1703" t="s">
        <v>54</v>
      </c>
      <c r="B1703" s="45" t="str">
        <f>INDEX(overview!$B$4:$R$338,MATCH(B1702,overview!$A$4:$A$338,0),MATCH(A1703,overview!$B$3:$R$3,0))</f>
        <v>heat, from residential heating system</v>
      </c>
    </row>
    <row r="1704" spans="1:2" hidden="1" x14ac:dyDescent="0.2">
      <c r="A1704" t="s">
        <v>55</v>
      </c>
      <c r="B1704" s="45" t="str">
        <f>INDEX(overview!$B$4:$R$338,MATCH(B1702,overview!$A$4:$A$338,0),MATCH(A1704,overview!$B$3:$R$3,0))</f>
        <v>megajoule</v>
      </c>
    </row>
    <row r="1705" spans="1:2" hidden="1" x14ac:dyDescent="0.2">
      <c r="A1705" t="s">
        <v>0</v>
      </c>
      <c r="B1705" s="45" t="str">
        <f>INDEX(overview!$B$4:$R$338,MATCH(B1702,overview!$A$4:$A$338,0),MATCH(A1705,overview!$B$3:$R$3,0))</f>
        <v>Switzerland</v>
      </c>
    </row>
    <row r="1706" spans="1:2" hidden="1" x14ac:dyDescent="0.2">
      <c r="A1706" t="s">
        <v>1</v>
      </c>
      <c r="B1706" s="45">
        <f>INDEX(overview!$B$4:$R$338,MATCH(B1702,overview!$A$4:$A$338,0),MATCH(A1706,overview!$B$3:$R$3,0))</f>
        <v>2020</v>
      </c>
    </row>
    <row r="1707" spans="1:2" hidden="1" x14ac:dyDescent="0.2">
      <c r="A1707" t="s">
        <v>2</v>
      </c>
      <c r="B1707" s="45" t="str">
        <f>INDEX(overview!$B$4:$R$338,MATCH(B1702,overview!$A$4:$A$338,0),MATCH(A1707,overview!$B$3:$R$3,0))</f>
        <v>1 MJ heat</v>
      </c>
    </row>
    <row r="1708" spans="1:2" hidden="1" x14ac:dyDescent="0.2">
      <c r="A1708" t="s">
        <v>5</v>
      </c>
      <c r="B1708" s="45" t="str">
        <f>INDEX(overview!$B$4:$R$338,MATCH(B1702,overview!$A$4:$A$338,0),MATCH(A1708,overview!$B$3:$R$3,0))</f>
        <v>hydrogen</v>
      </c>
    </row>
    <row r="1709" spans="1:2" hidden="1" x14ac:dyDescent="0.2">
      <c r="A1709" t="s">
        <v>3</v>
      </c>
      <c r="B1709" s="45" t="str">
        <f>INDEX(overview!$B$4:$R$338,MATCH(B1702,overview!$A$4:$A$338,0),MATCH(A1709,overview!$B$3:$R$3,0))</f>
        <v>combustion</v>
      </c>
    </row>
    <row r="1710" spans="1:2" hidden="1" x14ac:dyDescent="0.2">
      <c r="A1710" t="s">
        <v>6</v>
      </c>
      <c r="B1710" s="45" t="str">
        <f>INDEX(overview!$B$4:$R$338,MATCH(B1702,overview!$A$4:$A$338,0),MATCH(A1710,overview!$B$3:$R$3,0))</f>
        <v>CHP</v>
      </c>
    </row>
    <row r="1711" spans="1:2" hidden="1" x14ac:dyDescent="0.2">
      <c r="A1711" t="s">
        <v>39</v>
      </c>
      <c r="B1711" s="45" t="str">
        <f>INDEX(overview!$B$4:$R$338,MATCH(B1702,overview!$A$4:$A$338,0),MATCH(A1711,overview!$B$3:$R$3,0))</f>
        <v>exergy</v>
      </c>
    </row>
    <row r="1712" spans="1:2" hidden="1" x14ac:dyDescent="0.2">
      <c r="A1712" t="s">
        <v>4</v>
      </c>
      <c r="B1712" s="45" t="str">
        <f>INDEX(overview!$B$4:$R$338,MATCH(B1702,overview!$A$4:$A$338,0),MATCH(A1712,overview!$B$3:$R$3,0))</f>
        <v>truck</v>
      </c>
    </row>
    <row r="1713" spans="1:2" hidden="1" x14ac:dyDescent="0.2">
      <c r="A1713" t="s">
        <v>38</v>
      </c>
      <c r="B1713" s="45">
        <f>INDEX(overview!$B$4:$R$338,MATCH(B1702,overview!$A$4:$A$338,0),MATCH(A1713,overview!$B$3:$R$3,0))</f>
        <v>200</v>
      </c>
    </row>
    <row r="1714" spans="1:2" hidden="1" x14ac:dyDescent="0.2">
      <c r="A1714" t="s">
        <v>12</v>
      </c>
      <c r="B1714" s="45" t="str">
        <f>INDEX(overview!$B$4:$R$338,MATCH(B1702,overview!$A$4:$A$338,0),MATCH(A1714,overview!$B$3:$R$3,0))</f>
        <v>Pressure vessel for stationary storage</v>
      </c>
    </row>
    <row r="1715" spans="1:2" hidden="1" x14ac:dyDescent="0.2">
      <c r="A1715" t="s">
        <v>34</v>
      </c>
      <c r="B1715" s="45">
        <f>INDEX(overview!$B$4:$R$338,MATCH(B1702,overview!$A$4:$A$338,0),MATCH(A1715,overview!$B$3:$R$3,0))</f>
        <v>0</v>
      </c>
    </row>
    <row r="1716" spans="1:2" hidden="1" x14ac:dyDescent="0.2">
      <c r="A1716" t="s">
        <v>15</v>
      </c>
      <c r="B1716" s="45" t="str">
        <f>INDEX(overview!$B$4:$R$338,MATCH(B1702,overview!$A$4:$A$338,0),MATCH(A1716,overview!$B$3:$R$3,0))</f>
        <v>Steam Methane Reforming</v>
      </c>
    </row>
    <row r="1717" spans="1:2" hidden="1" x14ac:dyDescent="0.2">
      <c r="A1717" t="s">
        <v>14</v>
      </c>
      <c r="B1717" s="45" t="str">
        <f>INDEX(overview!$B$4:$R$338,MATCH(B1702,overview!$A$4:$A$338,0),MATCH(A1717,overview!$B$3:$R$3,0))</f>
        <v>natural gas</v>
      </c>
    </row>
    <row r="1718" spans="1:2" hidden="1" x14ac:dyDescent="0.2">
      <c r="A1718" t="s">
        <v>26</v>
      </c>
      <c r="B1718" s="45" t="str">
        <f>INDEX(overview!$B$4:$R$338,MATCH(B1702,overview!$A$4:$A$338,0),MATCH(A1718,overview!$B$3:$R$3,0))</f>
        <v>Russia</v>
      </c>
    </row>
    <row r="1719" spans="1:2" hidden="1" x14ac:dyDescent="0.2">
      <c r="A1719" t="s">
        <v>29</v>
      </c>
      <c r="B1719" s="45">
        <f>INDEX(overview!$B$4:$R$338,MATCH(B1702,overview!$A$4:$A$338,0),MATCH(A1719,overview!$B$3:$R$3,0))</f>
        <v>0</v>
      </c>
    </row>
    <row r="1720" spans="1:2" hidden="1" x14ac:dyDescent="0.2">
      <c r="A1720" t="str">
        <f>IF(B1704="megajoule","Heat","Electricity")&amp;" conversion efficiency [% LHV input]"</f>
        <v>Heat conversion efficiency [% LHV input]</v>
      </c>
      <c r="B1720" s="46">
        <f>INDEX(parameters!$D$4:$N$20,MATCH(B1708&amp;B1710,parameters!$A$4:$A$20,0),MATCH(A1720,parameters!$D$3:$N$3,0))</f>
        <v>0.41699999999999998</v>
      </c>
    </row>
    <row r="1721" spans="1:2" hidden="1" x14ac:dyDescent="0.2">
      <c r="A1721" t="str">
        <f>IF(B1704="megajoule","LHV [MJ/kg]","LHV [kWh/kg]")</f>
        <v>LHV [MJ/kg]</v>
      </c>
      <c r="B1721" s="47">
        <f>INDEX(parameters!$D$4:$N$20,MATCH(B1708&amp;B1710,parameters!$A$4:$A$20,0),MATCH(A1721,parameters!$D$3:$N$3,0))</f>
        <v>120</v>
      </c>
    </row>
    <row r="1722" spans="1:2" hidden="1" x14ac:dyDescent="0.2">
      <c r="A1722" t="s">
        <v>41</v>
      </c>
      <c r="B1722" s="48">
        <f>INDEX(parameters!$D$4:$N$20,MATCH(B1708&amp;B1710,parameters!$A$4:$A$20,0),MATCH(A1722,parameters!$D$3:$N$3,0))</f>
        <v>2.6666666666666665E-2</v>
      </c>
    </row>
    <row r="1723" spans="1:2" hidden="1" x14ac:dyDescent="0.2">
      <c r="A1723" t="s">
        <v>45</v>
      </c>
      <c r="B1723" s="46">
        <f>INDEX(parameters!$D$4:$N$20,MATCH(B1708&amp;B1710,parameters!$A$4:$A$20,0),MATCH(A1723,parameters!$D$3:$N$3,0))</f>
        <v>0</v>
      </c>
    </row>
    <row r="1724" spans="1:2" hidden="1" x14ac:dyDescent="0.2">
      <c r="A1724" t="s">
        <v>46</v>
      </c>
      <c r="B1724" s="46">
        <f>INDEX(parameters!$D$4:$N$20,MATCH(B1708&amp;B1710,parameters!$A$4:$A$20,0),MATCH(A1724,parameters!$D$3:$N$3,0))</f>
        <v>1.4999999999999999E-2</v>
      </c>
    </row>
    <row r="1725" spans="1:2" hidden="1" x14ac:dyDescent="0.2">
      <c r="A1725" t="s">
        <v>43</v>
      </c>
      <c r="B1725" s="46">
        <f>INDEX(parameters!$D$4:$N$20,MATCH(B1708&amp;B1710,parameters!$A$4:$A$20,0),MATCH(A1725,parameters!$D$3:$N$3,0))</f>
        <v>0</v>
      </c>
    </row>
    <row r="1726" spans="1:2" hidden="1" x14ac:dyDescent="0.2">
      <c r="A1726" t="s">
        <v>44</v>
      </c>
      <c r="B1726" s="46">
        <f>INDEX(parameters!$D$4:$N$20,MATCH(B1708&amp;B1710,parameters!$A$4:$A$20,0),MATCH(A1726,parameters!$D$3:$N$3,0))</f>
        <v>0</v>
      </c>
    </row>
    <row r="1727" spans="1:2" hidden="1" x14ac:dyDescent="0.2">
      <c r="A1727" t="s">
        <v>634</v>
      </c>
      <c r="B1727" s="50">
        <f>INDEX(parameters!$D$4:$Y$20,MATCH(B1708&amp;B1710,parameters!$A$4:$A$20,0),MATCH(A1727,parameters!$D$3:$Y$3,0))</f>
        <v>351.41800246609125</v>
      </c>
    </row>
    <row r="1728" spans="1:2" hidden="1" x14ac:dyDescent="0.2">
      <c r="A1728" t="s">
        <v>82</v>
      </c>
      <c r="B1728" s="46">
        <f>IF(B1719&lt;&gt;0,VLOOKUP(B1719,parameters!A1124:B1126,2,0),0)</f>
        <v>0</v>
      </c>
    </row>
    <row r="1729" spans="1:22" hidden="1" x14ac:dyDescent="0.2">
      <c r="A1729" t="s">
        <v>548</v>
      </c>
      <c r="B1729" s="50">
        <f>INDEX(parameters!$D$4:$P$20,MATCH(B1708&amp;B1710,parameters!$A$4:$A$20,0),MATCH(A1729,parameters!$D$3:$P$3,0))</f>
        <v>125</v>
      </c>
    </row>
    <row r="1730" spans="1:22" hidden="1" x14ac:dyDescent="0.2">
      <c r="A1730" t="s">
        <v>547</v>
      </c>
      <c r="B1730" s="51">
        <f>INDEX(parameters!$D$4:$P$20,MATCH(B1708&amp;B1710,parameters!$A$4:$A$20,0),MATCH(A1730,parameters!$D$3:$P$3,0))</f>
        <v>19.512195121951219</v>
      </c>
    </row>
    <row r="1731" spans="1:22" hidden="1" x14ac:dyDescent="0.2">
      <c r="A1731" t="s">
        <v>630</v>
      </c>
      <c r="B1731" s="51">
        <f>INDEX(parameters!$D$4:$T$20,MATCH(B1708&amp;B1710,parameters!$A$4:$A$20,0),MATCH(A1731,parameters!$D$3:$T$3,0))</f>
        <v>4100</v>
      </c>
    </row>
    <row r="1732" spans="1:22" hidden="1" x14ac:dyDescent="0.2">
      <c r="A1732" t="s">
        <v>1005</v>
      </c>
      <c r="B1732" s="50">
        <f>IF(B1704="megajoule",SUMIFS(allocation!$I$4:$I$30,allocation!$B$4:$B$30,B1710,allocation!$C$4:$C$30,B1711),SUMIFS(allocation!$J$4:$J$30,allocation!$B$4:$B$30,B1710,allocation!$C$4:$C$30,B1711))</f>
        <v>0.12860042227295038</v>
      </c>
    </row>
    <row r="1733" spans="1:22" hidden="1" x14ac:dyDescent="0.2">
      <c r="A1733" t="s">
        <v>1050</v>
      </c>
      <c r="B1733" s="51">
        <f>INDEX(parameters!$D$4:$AB$20,MATCH(B1708&amp;B1710,parameters!$A$4:$A$20,0),MATCH(A1733,parameters!$D$3:$AB$3,0))</f>
        <v>2220.7364520822662</v>
      </c>
    </row>
    <row r="1734" spans="1:22" hidden="1" x14ac:dyDescent="0.2"/>
    <row r="1735" spans="1:22" hidden="1" x14ac:dyDescent="0.2">
      <c r="A1735" s="3" t="s">
        <v>57</v>
      </c>
    </row>
    <row r="1736" spans="1:22" hidden="1" x14ac:dyDescent="0.2">
      <c r="A1736" s="2" t="s">
        <v>58</v>
      </c>
      <c r="B1736" s="44" t="s">
        <v>59</v>
      </c>
      <c r="C1736" s="2" t="s">
        <v>55</v>
      </c>
      <c r="D1736" s="2" t="s">
        <v>60</v>
      </c>
      <c r="E1736" s="2" t="s">
        <v>52</v>
      </c>
      <c r="F1736" s="2" t="s">
        <v>61</v>
      </c>
      <c r="G1736" s="2" t="s">
        <v>54</v>
      </c>
      <c r="H1736" s="2" t="s">
        <v>87</v>
      </c>
      <c r="I1736" s="2" t="s">
        <v>51</v>
      </c>
      <c r="J1736" s="2" t="s">
        <v>138</v>
      </c>
      <c r="K1736" s="2" t="s">
        <v>136</v>
      </c>
      <c r="L1736" s="2" t="s">
        <v>221</v>
      </c>
      <c r="M1736" s="2" t="s">
        <v>379</v>
      </c>
      <c r="N1736" s="2" t="s">
        <v>1059</v>
      </c>
      <c r="O1736" s="2" t="s">
        <v>1060</v>
      </c>
      <c r="P1736" s="2" t="s">
        <v>1061</v>
      </c>
      <c r="Q1736" s="2" t="s">
        <v>1062</v>
      </c>
      <c r="R1736" s="2" t="s">
        <v>1063</v>
      </c>
      <c r="S1736" s="2" t="s">
        <v>1064</v>
      </c>
      <c r="T1736" s="2" t="s">
        <v>1065</v>
      </c>
      <c r="U1736" s="2" t="s">
        <v>380</v>
      </c>
      <c r="V1736" s="2" t="s">
        <v>1128</v>
      </c>
    </row>
    <row r="1737" spans="1:22" hidden="1" x14ac:dyDescent="0.2">
      <c r="A1737" t="str">
        <f>B1698</f>
        <v>heat, residential, by combustion of hydrogen using CHP, allocated by exergy, transported by truck, produced by Steam Methane Reforming using natural gas from Russia</v>
      </c>
      <c r="B1737" s="45">
        <v>1</v>
      </c>
      <c r="C1737" t="str">
        <f>B1704</f>
        <v>megajoule</v>
      </c>
      <c r="E1737" t="str">
        <f>B1701</f>
        <v>CH</v>
      </c>
      <c r="F1737" t="s">
        <v>62</v>
      </c>
      <c r="G1737" t="str">
        <f>B1703</f>
        <v>heat, from residential heating system</v>
      </c>
      <c r="K1737" t="str">
        <f>B1698</f>
        <v>heat, residential, by combustion of hydrogen using CHP, allocated by exergy, transported by truck, produced by Steam Methane Reforming using natural gas from Russia</v>
      </c>
    </row>
    <row r="1738" spans="1:22" hidden="1" x14ac:dyDescent="0.2">
      <c r="A1738" t="str">
        <f>VLOOKUP(J1738,'dataset mapping'!$A$4:$E$69,2,0)</f>
        <v>heat and power co-generation unit construction, 160kW electrical, common components for heat+electricity</v>
      </c>
      <c r="B1738" s="52">
        <f>(1/(B1727*B1731*B1730*3.6))*B1732</f>
        <v>1.270649883812899E-9</v>
      </c>
      <c r="C1738" t="str">
        <f>VLOOKUP(J1738,'dataset mapping'!$A$4:$E$69,5,0)</f>
        <v>unit</v>
      </c>
      <c r="E1738" t="str">
        <f>VLOOKUP(J1738,'dataset mapping'!$A$4:$E$69,4,0)</f>
        <v>RER</v>
      </c>
      <c r="F1738" t="s">
        <v>86</v>
      </c>
      <c r="G1738" t="str">
        <f>VLOOKUP(J1738,'dataset mapping'!$A$4:$E$69,3,0)</f>
        <v>heat and power co-generation unit, 160kW electrical, common components for heat+electricity</v>
      </c>
      <c r="H1738" t="s">
        <v>88</v>
      </c>
      <c r="J1738" t="s">
        <v>145</v>
      </c>
      <c r="K1738" t="str">
        <f>B1698</f>
        <v>heat, residential, by combustion of hydrogen using CHP, allocated by exergy, transported by truck, produced by Steam Methane Reforming using natural gas from Russia</v>
      </c>
      <c r="L1738">
        <f t="shared" ref="L1738:L1746" si="110">IF(OR(B1738&lt;0,B1738=0),1,2)</f>
        <v>2</v>
      </c>
      <c r="M1738">
        <f t="shared" ref="M1738:M1746" si="111">IF(L1738=2,LN(B1738),"")</f>
        <v>-20.48373734782199</v>
      </c>
      <c r="N1738">
        <v>1.05</v>
      </c>
      <c r="O1738" s="15">
        <v>1.2</v>
      </c>
      <c r="P1738">
        <v>1</v>
      </c>
      <c r="Q1738">
        <v>1.01</v>
      </c>
      <c r="R1738">
        <v>1.2</v>
      </c>
      <c r="S1738">
        <v>1.2</v>
      </c>
      <c r="T1738">
        <v>3</v>
      </c>
      <c r="U1738">
        <f t="shared" ref="U1738:U1746" si="112">LN(SQRT(EXP(
SQRT(
+POWER(LN(N1738),2)
+POWER(LN(O1738),2)
+POWER(LN(P1738),2)
+POWER(LN(Q1738),2)
+POWER(LN(R1738),2)
+POWER(LN(S1738),2)
+POWER(LN(T1738),2)
)
)))</f>
        <v>0.57209088006881903</v>
      </c>
    </row>
    <row r="1739" spans="1:22" hidden="1" x14ac:dyDescent="0.2">
      <c r="A1739" t="str">
        <f>VLOOKUP(J1739,'dataset mapping'!$A$4:$E$69,2,0)</f>
        <v>heat and power co-generation unit construction, 160kW electrical, components for electricity only</v>
      </c>
      <c r="B1739" s="52">
        <f>(1/(B1727*B1731*B1730*3.6))*B1732</f>
        <v>1.270649883812899E-9</v>
      </c>
      <c r="C1739" t="str">
        <f>VLOOKUP(J1739,'dataset mapping'!$A$4:$E$69,5,0)</f>
        <v>unit</v>
      </c>
      <c r="E1739" t="str">
        <f>VLOOKUP(J1739,'dataset mapping'!$A$4:$E$69,4,0)</f>
        <v>RER</v>
      </c>
      <c r="F1739" t="s">
        <v>86</v>
      </c>
      <c r="G1739" t="str">
        <f>VLOOKUP(J1739,'dataset mapping'!$A$4:$E$69,3,0)</f>
        <v>heat and power co-generation unit, 160kW electrical, components for electricity only</v>
      </c>
      <c r="H1739" t="s">
        <v>88</v>
      </c>
      <c r="J1739" t="s">
        <v>146</v>
      </c>
      <c r="K1739" t="str">
        <f>B1698</f>
        <v>heat, residential, by combustion of hydrogen using CHP, allocated by exergy, transported by truck, produced by Steam Methane Reforming using natural gas from Russia</v>
      </c>
      <c r="L1739">
        <f t="shared" si="110"/>
        <v>2</v>
      </c>
      <c r="M1739">
        <f t="shared" si="111"/>
        <v>-20.48373734782199</v>
      </c>
      <c r="N1739">
        <v>1.05</v>
      </c>
      <c r="O1739" s="15">
        <v>1.2</v>
      </c>
      <c r="P1739">
        <v>1</v>
      </c>
      <c r="Q1739">
        <v>1.01</v>
      </c>
      <c r="R1739">
        <v>1.2</v>
      </c>
      <c r="S1739">
        <v>1.2</v>
      </c>
      <c r="T1739">
        <v>3</v>
      </c>
      <c r="U1739">
        <f t="shared" si="112"/>
        <v>0.57209088006881903</v>
      </c>
    </row>
    <row r="1740" spans="1:22" hidden="1" x14ac:dyDescent="0.2">
      <c r="A1740" t="str">
        <f>VLOOKUP(J1740,'dataset mapping'!$A$4:$E$69,2,0)</f>
        <v>heat and power co-generation unit construction, 160kW electrical, components for heat only</v>
      </c>
      <c r="B1740" s="52">
        <f>(1/(B1727*B1731*B1730*3.6))*B1732</f>
        <v>1.270649883812899E-9</v>
      </c>
      <c r="C1740" t="str">
        <f>VLOOKUP(J1740,'dataset mapping'!$A$4:$E$69,5,0)</f>
        <v>unit</v>
      </c>
      <c r="E1740" t="str">
        <f>VLOOKUP(J1740,'dataset mapping'!$A$4:$E$69,4,0)</f>
        <v>RER</v>
      </c>
      <c r="F1740" t="s">
        <v>86</v>
      </c>
      <c r="G1740" t="str">
        <f>VLOOKUP(J1740,'dataset mapping'!$A$4:$E$69,3,0)</f>
        <v>heat and power co-generation unit, 160kW electrical, components for heat only</v>
      </c>
      <c r="H1740" t="s">
        <v>88</v>
      </c>
      <c r="J1740" t="s">
        <v>147</v>
      </c>
      <c r="K1740" t="str">
        <f>B1698</f>
        <v>heat, residential, by combustion of hydrogen using CHP, allocated by exergy, transported by truck, produced by Steam Methane Reforming using natural gas from Russia</v>
      </c>
      <c r="L1740">
        <f t="shared" si="110"/>
        <v>2</v>
      </c>
      <c r="M1740">
        <f t="shared" si="111"/>
        <v>-20.48373734782199</v>
      </c>
      <c r="N1740">
        <v>1.05</v>
      </c>
      <c r="O1740" s="15">
        <v>1.2</v>
      </c>
      <c r="P1740">
        <v>1</v>
      </c>
      <c r="Q1740">
        <v>1.01</v>
      </c>
      <c r="R1740">
        <v>1.2</v>
      </c>
      <c r="S1740">
        <v>1.2</v>
      </c>
      <c r="T1740">
        <v>3</v>
      </c>
      <c r="U1740">
        <f t="shared" si="112"/>
        <v>0.57209088006881903</v>
      </c>
    </row>
    <row r="1741" spans="1:22" hidden="1" x14ac:dyDescent="0.2">
      <c r="A1741" t="s">
        <v>156</v>
      </c>
      <c r="B1741" s="52">
        <f>0.00000011366*B1732</f>
        <v>1.461672399554354E-8</v>
      </c>
      <c r="C1741" t="s">
        <v>56</v>
      </c>
      <c r="E1741" t="s">
        <v>90</v>
      </c>
      <c r="F1741" t="s">
        <v>86</v>
      </c>
      <c r="G1741" t="s">
        <v>154</v>
      </c>
      <c r="H1741" t="s">
        <v>155</v>
      </c>
      <c r="K1741" t="str">
        <f>B1698</f>
        <v>heat, residential, by combustion of hydrogen using CHP, allocated by exergy, transported by truck, produced by Steam Methane Reforming using natural gas from Russia</v>
      </c>
      <c r="L1741">
        <f t="shared" si="110"/>
        <v>2</v>
      </c>
      <c r="M1741">
        <f t="shared" si="111"/>
        <v>-18.041099484645969</v>
      </c>
      <c r="N1741">
        <v>1.05</v>
      </c>
      <c r="O1741" s="15">
        <v>1.2</v>
      </c>
      <c r="P1741">
        <v>1</v>
      </c>
      <c r="Q1741">
        <v>1.01</v>
      </c>
      <c r="R1741">
        <v>1.2</v>
      </c>
      <c r="S1741">
        <v>1.2</v>
      </c>
      <c r="T1741">
        <v>1.05</v>
      </c>
      <c r="U1741">
        <f t="shared" si="112"/>
        <v>0.16169679924070957</v>
      </c>
    </row>
    <row r="1742" spans="1:22" hidden="1" x14ac:dyDescent="0.2">
      <c r="A1742" t="s">
        <v>157</v>
      </c>
      <c r="B1742" s="52">
        <f>0.00000011366*B1732*-1</f>
        <v>-1.461672399554354E-8</v>
      </c>
      <c r="C1742" t="s">
        <v>56</v>
      </c>
      <c r="E1742" t="s">
        <v>64</v>
      </c>
      <c r="F1742" t="s">
        <v>86</v>
      </c>
      <c r="G1742" t="s">
        <v>158</v>
      </c>
      <c r="H1742" t="s">
        <v>155</v>
      </c>
      <c r="K1742" t="str">
        <f>B1698</f>
        <v>heat, residential, by combustion of hydrogen using CHP, allocated by exergy, transported by truck, produced by Steam Methane Reforming using natural gas from Russia</v>
      </c>
      <c r="L1742">
        <v>2</v>
      </c>
      <c r="M1742">
        <f>IF(L1742=2,LN(B1742*-1),"")</f>
        <v>-18.041099484645969</v>
      </c>
      <c r="N1742">
        <v>1.05</v>
      </c>
      <c r="O1742" s="15">
        <v>1.2</v>
      </c>
      <c r="P1742">
        <v>1</v>
      </c>
      <c r="Q1742">
        <v>1.01</v>
      </c>
      <c r="R1742">
        <v>1.2</v>
      </c>
      <c r="S1742">
        <v>1.2</v>
      </c>
      <c r="T1742">
        <v>3</v>
      </c>
      <c r="U1742">
        <f>LN(SQRT(EXP(
SQRT(
+POWER(LN(N1742),2)
+POWER(LN(O1742),2)
+POWER(LN(P1742),2)
+POWER(LN(Q1742),2)
+POWER(LN(R1742),2)
+POWER(LN(S1742),2)
+POWER(LN(T1742),2)
)
)))</f>
        <v>0.57209088006881903</v>
      </c>
      <c r="V1742" t="b">
        <v>1</v>
      </c>
    </row>
    <row r="1743" spans="1:22" hidden="1" x14ac:dyDescent="0.2">
      <c r="A1743" s="45" t="str">
        <f>"hydrogen supply, transported by "&amp;B1712&amp;", produced by "&amp;B1716&amp;" using "&amp;B1717&amp;" from "&amp;B1718</f>
        <v>hydrogen supply, transported by truck, produced by Steam Methane Reforming using natural gas from Russia</v>
      </c>
      <c r="B1743" s="53">
        <f>(B1737/B1721)/B1720*B1732</f>
        <v>2.56995248347223E-3</v>
      </c>
      <c r="C1743" t="s">
        <v>56</v>
      </c>
      <c r="E1743" t="s">
        <v>64</v>
      </c>
      <c r="F1743" t="s">
        <v>86</v>
      </c>
      <c r="G1743" t="s">
        <v>1137</v>
      </c>
      <c r="H1743" t="s">
        <v>76</v>
      </c>
      <c r="I1743" t="s">
        <v>1054</v>
      </c>
      <c r="J1743" t="s">
        <v>364</v>
      </c>
      <c r="K1743" t="str">
        <f>B1698</f>
        <v>heat, residential, by combustion of hydrogen using CHP, allocated by exergy, transported by truck, produced by Steam Methane Reforming using natural gas from Russia</v>
      </c>
      <c r="L1743">
        <f t="shared" si="110"/>
        <v>2</v>
      </c>
      <c r="M1743">
        <f t="shared" si="111"/>
        <v>-5.9638678691672418</v>
      </c>
      <c r="N1743">
        <v>1.05</v>
      </c>
      <c r="O1743" s="15">
        <v>1.2</v>
      </c>
      <c r="P1743">
        <v>1</v>
      </c>
      <c r="Q1743">
        <v>1.01</v>
      </c>
      <c r="R1743">
        <v>1.2</v>
      </c>
      <c r="S1743">
        <v>1.2</v>
      </c>
      <c r="T1743">
        <v>1.05</v>
      </c>
      <c r="U1743">
        <f t="shared" si="112"/>
        <v>0.16169679924070957</v>
      </c>
    </row>
    <row r="1744" spans="1:22" hidden="1" x14ac:dyDescent="0.2">
      <c r="A1744" t="str">
        <f>VLOOKUP(J1744,'dataset mapping'!$A$4:$E$69,2,0)</f>
        <v>high pressure hydrogen storage tank</v>
      </c>
      <c r="B1744" s="52">
        <f>((B1733/10)/(B1731*B1727*20*3.6))*IF(B1732&lt;&gt;0,B1732,1)</f>
        <v>2.7529546486023421E-7</v>
      </c>
      <c r="C1744" t="str">
        <f>VLOOKUP(J1744,'dataset mapping'!$A$4:$E$69,5,0)</f>
        <v>kilogram</v>
      </c>
      <c r="E1744" t="str">
        <f>VLOOKUP(J1744,'dataset mapping'!$A$4:$E$69,4,0)</f>
        <v>GLO</v>
      </c>
      <c r="F1744" t="s">
        <v>86</v>
      </c>
      <c r="G1744" t="str">
        <f>VLOOKUP(J1744,'dataset mapping'!$A$4:$E$69,3,0)</f>
        <v>high pressure hydrogen storage tank</v>
      </c>
      <c r="H1744" t="s">
        <v>88</v>
      </c>
      <c r="I1744" t="s">
        <v>279</v>
      </c>
      <c r="J1744" t="s">
        <v>229</v>
      </c>
      <c r="K1744" t="str">
        <f>B1698</f>
        <v>heat, residential, by combustion of hydrogen using CHP, allocated by exergy, transported by truck, produced by Steam Methane Reforming using natural gas from Russia</v>
      </c>
      <c r="L1744">
        <f t="shared" si="110"/>
        <v>2</v>
      </c>
      <c r="M1744">
        <f t="shared" si="111"/>
        <v>-15.105420898379837</v>
      </c>
      <c r="N1744">
        <v>1.05</v>
      </c>
      <c r="O1744" s="15">
        <v>1.2</v>
      </c>
      <c r="P1744">
        <v>1</v>
      </c>
      <c r="Q1744">
        <v>1.01</v>
      </c>
      <c r="R1744">
        <v>1.2</v>
      </c>
      <c r="S1744">
        <v>1.2</v>
      </c>
      <c r="T1744">
        <v>3</v>
      </c>
      <c r="U1744">
        <f t="shared" si="112"/>
        <v>0.57209088006881903</v>
      </c>
    </row>
    <row r="1745" spans="1:21" hidden="1" x14ac:dyDescent="0.2">
      <c r="A1745" t="s">
        <v>134</v>
      </c>
      <c r="B1745" s="45">
        <f>B1743*9</f>
        <v>2.3129572351250072E-2</v>
      </c>
      <c r="C1745" t="s">
        <v>56</v>
      </c>
      <c r="D1745" t="s">
        <v>100</v>
      </c>
      <c r="F1745" t="s">
        <v>99</v>
      </c>
      <c r="H1745" t="s">
        <v>131</v>
      </c>
      <c r="I1745" t="s">
        <v>1058</v>
      </c>
      <c r="K1745" t="str">
        <f>B1698</f>
        <v>heat, residential, by combustion of hydrogen using CHP, allocated by exergy, transported by truck, produced by Steam Methane Reforming using natural gas from Russia</v>
      </c>
      <c r="L1745">
        <f t="shared" si="110"/>
        <v>2</v>
      </c>
      <c r="M1745">
        <f t="shared" si="111"/>
        <v>-3.7666432918310226</v>
      </c>
      <c r="N1745">
        <v>1.05</v>
      </c>
      <c r="O1745" s="15">
        <v>1.2</v>
      </c>
      <c r="P1745">
        <v>1</v>
      </c>
      <c r="Q1745">
        <v>1.01</v>
      </c>
      <c r="R1745">
        <v>1.2</v>
      </c>
      <c r="S1745">
        <v>1.2</v>
      </c>
      <c r="T1745">
        <v>1.05</v>
      </c>
      <c r="U1745">
        <f t="shared" si="112"/>
        <v>0.16169679924070957</v>
      </c>
    </row>
    <row r="1746" spans="1:21" hidden="1" x14ac:dyDescent="0.2">
      <c r="A1746" t="s">
        <v>135</v>
      </c>
      <c r="B1746" s="45">
        <f>912.5/1000000*B1743</f>
        <v>2.3450816411684101E-6</v>
      </c>
      <c r="C1746" t="s">
        <v>56</v>
      </c>
      <c r="D1746" t="s">
        <v>100</v>
      </c>
      <c r="F1746" t="s">
        <v>99</v>
      </c>
      <c r="H1746" t="s">
        <v>131</v>
      </c>
      <c r="I1746" t="s">
        <v>1217</v>
      </c>
      <c r="K1746" t="str">
        <f>B1698</f>
        <v>heat, residential, by combustion of hydrogen using CHP, allocated by exergy, transported by truck, produced by Steam Methane Reforming using natural gas from Russia</v>
      </c>
      <c r="L1746">
        <f t="shared" si="110"/>
        <v>2</v>
      </c>
      <c r="M1746">
        <f t="shared" si="111"/>
        <v>-12.963190341674869</v>
      </c>
      <c r="N1746">
        <v>1.05</v>
      </c>
      <c r="O1746" s="15">
        <v>1.2</v>
      </c>
      <c r="P1746">
        <v>1</v>
      </c>
      <c r="Q1746">
        <v>1.01</v>
      </c>
      <c r="R1746">
        <v>1.2</v>
      </c>
      <c r="S1746">
        <v>1.2</v>
      </c>
      <c r="T1746">
        <v>1.5</v>
      </c>
      <c r="U1746">
        <f t="shared" si="112"/>
        <v>0.25816898211842121</v>
      </c>
    </row>
    <row r="1747" spans="1:21" hidden="1" x14ac:dyDescent="0.2"/>
    <row r="1748" spans="1:21" hidden="1" x14ac:dyDescent="0.2">
      <c r="A1748" s="2" t="s">
        <v>50</v>
      </c>
      <c r="B1748" s="44" t="str">
        <f>IF(B1754="megajoule","heat","electricity")&amp;", residential, by "&amp;B1759&amp;" of "&amp;B1758&amp;" using "&amp;B1760&amp;IF(B1761&lt;&gt;0,", allocated by "&amp;B1761,"")&amp;", transported by "&amp;B1762&amp;", produced by "&amp;B1766&amp;" using "&amp;B1767&amp;" from "&amp;B1768</f>
        <v>heat, residential, by conversion of hydrogen using fuel cell, PEM, allocated by exergy, transported by truck, produced by Steam Methane Reforming using natural gas from Russia</v>
      </c>
    </row>
    <row r="1749" spans="1:21" hidden="1" x14ac:dyDescent="0.2">
      <c r="A1749" t="s">
        <v>51</v>
      </c>
      <c r="B1749" s="45" t="str">
        <f>"This dataset represents the supply of 1 "&amp;IF(B1754="megajoule","megajoule of heat","kilowatt hour of electricity")&amp;" in a residence, by "&amp;B1758&amp;" "&amp;B1759&amp;" in a "&amp;B1760&amp;". "&amp;" The hydrogen is transported by "&amp;B1762&amp;" over "&amp;B1763&amp;" km from regional storage. "&amp;" The "&amp;B1758&amp;" is produced by  "&amp;B1766&amp;", with "&amp;B1767&amp;" from "&amp;B1768&amp;" as feedstock. "&amp;A1770&amp;": "&amp;(B1770*100)&amp;"%. "&amp;A1771&amp;": "&amp;B1771&amp;". "&amp;A1772&amp;": "&amp;B1772&amp;". "&amp;A1773&amp;": "&amp;(B1773*100)&amp;"%. "&amp;A1774&amp;": "&amp;(B1774*100)&amp;"%. "&amp;A1775&amp;": "&amp;(B1775*100)&amp;"%. "&amp;A1776&amp;": "&amp;B1776&amp;". "&amp;A1777&amp;": "&amp;B1777&amp;". "&amp;A1778&amp;": "&amp;(B1778*100)&amp;"%. "&amp;A1779&amp;": "&amp;B1779&amp;". "&amp;A1780&amp;": "&amp;B1780&amp;". "&amp;A1781&amp;": "&amp;B1781&amp;". "&amp;A1782&amp;": "&amp;B1782&amp;".  For more information, refer to: "&amp;B1750</f>
        <v>This dataset represents the supply of 1 megajoule of heat in a residence, by hydrogen conversion in a fuel cell, PEM.  The hydrogen is transported by truck over 200 km from regional storage.  The hydrogen is produced by  Steam Methane Reforming, with natural gas from Russia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1750" spans="1:21" hidden="1" x14ac:dyDescent="0.2">
      <c r="A1750" t="s">
        <v>63</v>
      </c>
      <c r="B1750" s="45" t="s">
        <v>660</v>
      </c>
    </row>
    <row r="1751" spans="1:21" hidden="1" x14ac:dyDescent="0.2">
      <c r="A1751" t="s">
        <v>52</v>
      </c>
      <c r="B1751" s="45" t="s">
        <v>64</v>
      </c>
    </row>
    <row r="1752" spans="1:21" hidden="1" x14ac:dyDescent="0.2">
      <c r="A1752" t="s">
        <v>48</v>
      </c>
      <c r="B1752" s="45">
        <v>167</v>
      </c>
    </row>
    <row r="1753" spans="1:21" hidden="1" x14ac:dyDescent="0.2">
      <c r="A1753" t="s">
        <v>54</v>
      </c>
      <c r="B1753" s="45" t="str">
        <f>INDEX(overview!$B$4:$R$338,MATCH(B1752,overview!$A$4:$A$338,0),MATCH(A1753,overview!$B$3:$R$3,0))</f>
        <v>heat, from residential heating system</v>
      </c>
    </row>
    <row r="1754" spans="1:21" hidden="1" x14ac:dyDescent="0.2">
      <c r="A1754" t="s">
        <v>55</v>
      </c>
      <c r="B1754" s="45" t="str">
        <f>INDEX(overview!$B$4:$R$338,MATCH(B1752,overview!$A$4:$A$338,0),MATCH(A1754,overview!$B$3:$R$3,0))</f>
        <v>megajoule</v>
      </c>
    </row>
    <row r="1755" spans="1:21" hidden="1" x14ac:dyDescent="0.2">
      <c r="A1755" t="s">
        <v>0</v>
      </c>
      <c r="B1755" s="45" t="str">
        <f>INDEX(overview!$B$4:$R$338,MATCH(B1752,overview!$A$4:$A$338,0),MATCH(A1755,overview!$B$3:$R$3,0))</f>
        <v>Switzerland</v>
      </c>
    </row>
    <row r="1756" spans="1:21" hidden="1" x14ac:dyDescent="0.2">
      <c r="A1756" t="s">
        <v>1</v>
      </c>
      <c r="B1756" s="45">
        <f>INDEX(overview!$B$4:$R$338,MATCH(B1752,overview!$A$4:$A$338,0),MATCH(A1756,overview!$B$3:$R$3,0))</f>
        <v>2020</v>
      </c>
    </row>
    <row r="1757" spans="1:21" hidden="1" x14ac:dyDescent="0.2">
      <c r="A1757" t="s">
        <v>2</v>
      </c>
      <c r="B1757" s="45" t="str">
        <f>INDEX(overview!$B$4:$R$338,MATCH(B1752,overview!$A$4:$A$338,0),MATCH(A1757,overview!$B$3:$R$3,0))</f>
        <v>1 MJ heat</v>
      </c>
    </row>
    <row r="1758" spans="1:21" hidden="1" x14ac:dyDescent="0.2">
      <c r="A1758" t="s">
        <v>5</v>
      </c>
      <c r="B1758" s="45" t="str">
        <f>INDEX(overview!$B$4:$R$338,MATCH(B1752,overview!$A$4:$A$338,0),MATCH(A1758,overview!$B$3:$R$3,0))</f>
        <v>hydrogen</v>
      </c>
    </row>
    <row r="1759" spans="1:21" hidden="1" x14ac:dyDescent="0.2">
      <c r="A1759" t="s">
        <v>3</v>
      </c>
      <c r="B1759" s="45" t="str">
        <f>INDEX(overview!$B$4:$R$338,MATCH(B1752,overview!$A$4:$A$338,0),MATCH(A1759,overview!$B$3:$R$3,0))</f>
        <v>conversion</v>
      </c>
    </row>
    <row r="1760" spans="1:21" hidden="1" x14ac:dyDescent="0.2">
      <c r="A1760" t="s">
        <v>6</v>
      </c>
      <c r="B1760" s="45" t="str">
        <f>INDEX(overview!$B$4:$R$338,MATCH(B1752,overview!$A$4:$A$338,0),MATCH(A1760,overview!$B$3:$R$3,0))</f>
        <v>fuel cell, PEM</v>
      </c>
    </row>
    <row r="1761" spans="1:2" hidden="1" x14ac:dyDescent="0.2">
      <c r="A1761" t="s">
        <v>39</v>
      </c>
      <c r="B1761" s="45" t="str">
        <f>INDEX(overview!$B$4:$R$338,MATCH(B1752,overview!$A$4:$A$338,0),MATCH(A1761,overview!$B$3:$R$3,0))</f>
        <v>exergy</v>
      </c>
    </row>
    <row r="1762" spans="1:2" hidden="1" x14ac:dyDescent="0.2">
      <c r="A1762" t="s">
        <v>4</v>
      </c>
      <c r="B1762" s="45" t="str">
        <f>INDEX(overview!$B$4:$R$338,MATCH(B1752,overview!$A$4:$A$338,0),MATCH(A1762,overview!$B$3:$R$3,0))</f>
        <v>truck</v>
      </c>
    </row>
    <row r="1763" spans="1:2" hidden="1" x14ac:dyDescent="0.2">
      <c r="A1763" t="s">
        <v>38</v>
      </c>
      <c r="B1763" s="45">
        <f>INDEX(overview!$B$4:$R$338,MATCH(B1752,overview!$A$4:$A$338,0),MATCH(A1763,overview!$B$3:$R$3,0))</f>
        <v>200</v>
      </c>
    </row>
    <row r="1764" spans="1:2" hidden="1" x14ac:dyDescent="0.2">
      <c r="A1764" t="s">
        <v>12</v>
      </c>
      <c r="B1764" s="45" t="str">
        <f>INDEX(overview!$B$4:$R$338,MATCH(B1752,overview!$A$4:$A$338,0),MATCH(A1764,overview!$B$3:$R$3,0))</f>
        <v>Pressure vessel for stationary storage</v>
      </c>
    </row>
    <row r="1765" spans="1:2" hidden="1" x14ac:dyDescent="0.2">
      <c r="A1765" t="s">
        <v>34</v>
      </c>
      <c r="B1765" s="45">
        <f>INDEX(overview!$B$4:$R$338,MATCH(B1752,overview!$A$4:$A$338,0),MATCH(A1765,overview!$B$3:$R$3,0))</f>
        <v>0</v>
      </c>
    </row>
    <row r="1766" spans="1:2" hidden="1" x14ac:dyDescent="0.2">
      <c r="A1766" t="s">
        <v>15</v>
      </c>
      <c r="B1766" s="45" t="str">
        <f>INDEX(overview!$B$4:$R$338,MATCH(B1752,overview!$A$4:$A$338,0),MATCH(A1766,overview!$B$3:$R$3,0))</f>
        <v>Steam Methane Reforming</v>
      </c>
    </row>
    <row r="1767" spans="1:2" hidden="1" x14ac:dyDescent="0.2">
      <c r="A1767" t="s">
        <v>14</v>
      </c>
      <c r="B1767" s="45" t="str">
        <f>INDEX(overview!$B$4:$R$338,MATCH(B1752,overview!$A$4:$A$338,0),MATCH(A1767,overview!$B$3:$R$3,0))</f>
        <v>natural gas</v>
      </c>
    </row>
    <row r="1768" spans="1:2" hidden="1" x14ac:dyDescent="0.2">
      <c r="A1768" t="s">
        <v>26</v>
      </c>
      <c r="B1768" s="45" t="str">
        <f>INDEX(overview!$B$4:$R$338,MATCH(B1752,overview!$A$4:$A$338,0),MATCH(A1768,overview!$B$3:$R$3,0))</f>
        <v>Russia</v>
      </c>
    </row>
    <row r="1769" spans="1:2" hidden="1" x14ac:dyDescent="0.2">
      <c r="A1769" t="s">
        <v>29</v>
      </c>
      <c r="B1769" s="45">
        <f>INDEX(overview!$B$4:$R$338,MATCH(B1752,overview!$A$4:$A$338,0),MATCH(A1769,overview!$B$3:$R$3,0))</f>
        <v>0</v>
      </c>
    </row>
    <row r="1770" spans="1:2" hidden="1" x14ac:dyDescent="0.2">
      <c r="A1770" t="str">
        <f>IF(B1754="megajoule","Heat","Electricity")&amp;" conversion efficiency [% LHV input]"</f>
        <v>Heat conversion efficiency [% LHV input]</v>
      </c>
      <c r="B1770" s="46">
        <f>INDEX(parameters!$D$4:$N$20,MATCH(B1758&amp;B1760,parameters!$A$4:$A$20,0),MATCH(A1770,parameters!$D$3:$N$3,0))</f>
        <v>0.5</v>
      </c>
    </row>
    <row r="1771" spans="1:2" hidden="1" x14ac:dyDescent="0.2">
      <c r="A1771" t="str">
        <f>IF(B1754="megajoule","LHV [MJ/kg]","LHV [kWh/kg]")</f>
        <v>LHV [MJ/kg]</v>
      </c>
      <c r="B1771" s="47">
        <f>INDEX(parameters!$D$4:$N$20,MATCH(B1758&amp;B1760,parameters!$A$4:$A$20,0),MATCH(A1771,parameters!$D$3:$N$3,0))</f>
        <v>120</v>
      </c>
    </row>
    <row r="1772" spans="1:2" hidden="1" x14ac:dyDescent="0.2">
      <c r="A1772" t="s">
        <v>41</v>
      </c>
      <c r="B1772" s="48">
        <f>INDEX(parameters!$D$4:$N$20,MATCH(B1758&amp;B1760,parameters!$A$4:$A$20,0),MATCH(A1772,parameters!$D$3:$N$3,0))</f>
        <v>2.6666666666666665E-2</v>
      </c>
    </row>
    <row r="1773" spans="1:2" hidden="1" x14ac:dyDescent="0.2">
      <c r="A1773" t="s">
        <v>45</v>
      </c>
      <c r="B1773" s="46">
        <f>INDEX(parameters!$D$4:$N$20,MATCH(B1758&amp;B1760,parameters!$A$4:$A$20,0),MATCH(A1773,parameters!$D$3:$N$3,0))</f>
        <v>0</v>
      </c>
    </row>
    <row r="1774" spans="1:2" hidden="1" x14ac:dyDescent="0.2">
      <c r="A1774" t="s">
        <v>46</v>
      </c>
      <c r="B1774" s="46">
        <f>INDEX(parameters!$D$4:$N$20,MATCH(B1758&amp;B1760,parameters!$A$4:$A$20,0),MATCH(A1774,parameters!$D$3:$N$3,0))</f>
        <v>1.4999999999999999E-2</v>
      </c>
    </row>
    <row r="1775" spans="1:2" hidden="1" x14ac:dyDescent="0.2">
      <c r="A1775" t="s">
        <v>43</v>
      </c>
      <c r="B1775" s="46">
        <f>INDEX(parameters!$D$4:$N$20,MATCH(B1758&amp;B1760,parameters!$A$4:$A$20,0),MATCH(A1775,parameters!$D$3:$N$3,0))</f>
        <v>0</v>
      </c>
    </row>
    <row r="1776" spans="1:2" hidden="1" x14ac:dyDescent="0.2">
      <c r="A1776" t="s">
        <v>44</v>
      </c>
      <c r="B1776" s="46">
        <f>INDEX(parameters!$D$4:$N$20,MATCH(B1758&amp;B1760,parameters!$A$4:$A$20,0),MATCH(A1776,parameters!$D$3:$N$3,0))</f>
        <v>0</v>
      </c>
    </row>
    <row r="1777" spans="1:22" hidden="1" x14ac:dyDescent="0.2">
      <c r="A1777" t="s">
        <v>634</v>
      </c>
      <c r="B1777" s="50">
        <f>INDEX(parameters!$D$4:$Y$20,MATCH(B1758&amp;B1760,parameters!$A$4:$A$20,0),MATCH(A1777,parameters!$D$3:$Y$3,0))</f>
        <v>1.8947368421052633</v>
      </c>
    </row>
    <row r="1778" spans="1:22" hidden="1" x14ac:dyDescent="0.2">
      <c r="A1778" t="s">
        <v>82</v>
      </c>
      <c r="B1778" s="46">
        <f>IF(B1769&lt;&gt;0,VLOOKUP(B1769,parameters!A1177:B1179,2,0),0)</f>
        <v>0</v>
      </c>
    </row>
    <row r="1779" spans="1:22" hidden="1" x14ac:dyDescent="0.2">
      <c r="A1779" t="s">
        <v>548</v>
      </c>
      <c r="B1779" s="50">
        <f>INDEX(parameters!$D$4:$P$20,MATCH(B1758&amp;B1760,parameters!$A$4:$A$20,0),MATCH(A1779,parameters!$D$3:$P$3,0))</f>
        <v>0.8</v>
      </c>
    </row>
    <row r="1780" spans="1:22" hidden="1" x14ac:dyDescent="0.2">
      <c r="A1780" t="s">
        <v>547</v>
      </c>
      <c r="B1780" s="51">
        <f>INDEX(parameters!$D$4:$P$20,MATCH(B1758&amp;B1760,parameters!$A$4:$A$20,0),MATCH(A1780,parameters!$D$3:$P$3,0))</f>
        <v>4.8780487804878048</v>
      </c>
    </row>
    <row r="1781" spans="1:22" hidden="1" x14ac:dyDescent="0.2">
      <c r="A1781" t="s">
        <v>630</v>
      </c>
      <c r="B1781" s="51">
        <f>INDEX(parameters!$D$4:$T$20,MATCH(B1758&amp;B1760,parameters!$A$4:$A$20,0),MATCH(A1781,parameters!$D$3:$T$3,0))</f>
        <v>4100</v>
      </c>
    </row>
    <row r="1782" spans="1:22" hidden="1" x14ac:dyDescent="0.2">
      <c r="A1782" t="s">
        <v>1005</v>
      </c>
      <c r="B1782" s="50">
        <f>IF(B1754="megajoule",SUMIFS(allocation!$I$4:$I$30,allocation!$B$4:$B$30,B1760,allocation!$C$4:$C$30,B1761),SUMIFS(allocation!$J$4:$J$30,allocation!$B$4:$B$30,B1760,allocation!$C$4:$C$30,B1761))</f>
        <v>0.13933980798974457</v>
      </c>
    </row>
    <row r="1783" spans="1:22" hidden="1" x14ac:dyDescent="0.2">
      <c r="A1783" t="s">
        <v>1050</v>
      </c>
      <c r="B1783" s="51">
        <f>INDEX(parameters!$D$4:$AB$20,MATCH(B1758&amp;B1760,parameters!$A$4:$A$20,0),MATCH(A1783,parameters!$D$3:$AB$3,0))</f>
        <v>10.221606648199446</v>
      </c>
    </row>
    <row r="1784" spans="1:22" hidden="1" x14ac:dyDescent="0.2"/>
    <row r="1785" spans="1:22" hidden="1" x14ac:dyDescent="0.2">
      <c r="A1785" s="3" t="s">
        <v>57</v>
      </c>
    </row>
    <row r="1786" spans="1:22" hidden="1" x14ac:dyDescent="0.2">
      <c r="A1786" s="2" t="s">
        <v>58</v>
      </c>
      <c r="B1786" s="44" t="s">
        <v>59</v>
      </c>
      <c r="C1786" s="2" t="s">
        <v>55</v>
      </c>
      <c r="D1786" s="2" t="s">
        <v>60</v>
      </c>
      <c r="E1786" s="2" t="s">
        <v>52</v>
      </c>
      <c r="F1786" s="2" t="s">
        <v>61</v>
      </c>
      <c r="G1786" s="2" t="s">
        <v>54</v>
      </c>
      <c r="H1786" s="2" t="s">
        <v>87</v>
      </c>
      <c r="I1786" s="2" t="s">
        <v>51</v>
      </c>
      <c r="J1786" s="2" t="s">
        <v>138</v>
      </c>
      <c r="K1786" s="2" t="s">
        <v>136</v>
      </c>
      <c r="L1786" s="2" t="s">
        <v>221</v>
      </c>
      <c r="M1786" s="2" t="s">
        <v>379</v>
      </c>
      <c r="N1786" s="2" t="s">
        <v>1059</v>
      </c>
      <c r="O1786" s="2" t="s">
        <v>1060</v>
      </c>
      <c r="P1786" s="2" t="s">
        <v>1061</v>
      </c>
      <c r="Q1786" s="2" t="s">
        <v>1062</v>
      </c>
      <c r="R1786" s="2" t="s">
        <v>1063</v>
      </c>
      <c r="S1786" s="2" t="s">
        <v>1064</v>
      </c>
      <c r="T1786" s="2" t="s">
        <v>1065</v>
      </c>
      <c r="U1786" s="2" t="s">
        <v>380</v>
      </c>
      <c r="V1786" s="2" t="s">
        <v>1128</v>
      </c>
    </row>
    <row r="1787" spans="1:22" x14ac:dyDescent="0.2">
      <c r="A1787" t="str">
        <f>B1748</f>
        <v>heat, residential, by conversion of hydrogen using fuel cell, PEM, allocated by exergy, transported by truck, produced by Steam Methane Reforming using natural gas from Russia</v>
      </c>
      <c r="B1787" s="45">
        <v>1</v>
      </c>
      <c r="C1787" t="str">
        <f>B1754</f>
        <v>megajoule</v>
      </c>
      <c r="E1787" t="str">
        <f>B1751</f>
        <v>CH</v>
      </c>
      <c r="F1787" t="s">
        <v>62</v>
      </c>
      <c r="G1787" t="str">
        <f>B1753</f>
        <v>heat, from residential heating system</v>
      </c>
      <c r="K1787" t="str">
        <f>B1748</f>
        <v>heat, residential, by conversion of hydrogen using fuel cell, PEM, allocated by exergy, transported by truck, produced by Steam Methane Reforming using natural gas from Russia</v>
      </c>
    </row>
    <row r="1788" spans="1:22" hidden="1" x14ac:dyDescent="0.2">
      <c r="A1788" t="str">
        <f>VLOOKUP(J1788,'dataset mapping'!$A$4:$E$69,2,0)</f>
        <v>fuel cell system assembly, 1 kWe, proton exchange membrane (PEM)</v>
      </c>
      <c r="B1788" s="52">
        <f>(1/(B1777*B1781*B1780*3.6))*B1782</f>
        <v>1.0213951974556892E-6</v>
      </c>
      <c r="C1788" t="str">
        <f>VLOOKUP(J1788,'dataset mapping'!$A$4:$E$69,5,0)</f>
        <v>unit</v>
      </c>
      <c r="E1788" t="str">
        <f>VLOOKUP(J1788,'dataset mapping'!$A$4:$E$69,4,0)</f>
        <v>GLO</v>
      </c>
      <c r="F1788" t="s">
        <v>86</v>
      </c>
      <c r="G1788" t="str">
        <f>VLOOKUP(J1788,'dataset mapping'!$A$4:$E$69,3,0)</f>
        <v>fuel cell system, 1 kWe, proton exchange membrane (PEM)</v>
      </c>
      <c r="H1788" t="s">
        <v>88</v>
      </c>
      <c r="I1788" t="s">
        <v>272</v>
      </c>
      <c r="J1788" t="s">
        <v>273</v>
      </c>
      <c r="K1788" t="str">
        <f>B1748</f>
        <v>heat, residential, by conversion of hydrogen using fuel cell, PEM, allocated by exergy, transported by truck, produced by Steam Methane Reforming using natural gas from Russia</v>
      </c>
      <c r="L1788">
        <f t="shared" ref="L1788:L1791" si="113">IF(OR(B1788&lt;0,B1788=0),1,2)</f>
        <v>2</v>
      </c>
      <c r="M1788">
        <f t="shared" ref="M1788:M1791" si="114">IF(L1788=2,LN(B1788),"")</f>
        <v>-13.794341024667077</v>
      </c>
      <c r="N1788">
        <v>1</v>
      </c>
      <c r="O1788" s="15">
        <v>1.2</v>
      </c>
      <c r="P1788">
        <v>1</v>
      </c>
      <c r="Q1788">
        <v>1.01</v>
      </c>
      <c r="R1788">
        <v>1.2</v>
      </c>
      <c r="S1788">
        <v>1.2</v>
      </c>
      <c r="T1788">
        <v>3</v>
      </c>
      <c r="U1788">
        <f t="shared" ref="U1788:U1791" si="115">LN(SQRT(EXP(
SQRT(
+POWER(LN(N1788),2)
+POWER(LN(O1788),2)
+POWER(LN(P1788),2)
+POWER(LN(Q1788),2)
+POWER(LN(R1788),2)
+POWER(LN(S1788),2)
+POWER(LN(T1788),2)
)
)))</f>
        <v>0.57157051623399524</v>
      </c>
    </row>
    <row r="1789" spans="1:22" hidden="1" x14ac:dyDescent="0.2">
      <c r="A1789" s="45" t="str">
        <f>"hydrogen supply, transported by "&amp;B1762&amp;", produced by "&amp;B1766&amp;" using "&amp;B1767&amp;" from "&amp;B1768</f>
        <v>hydrogen supply, transported by truck, produced by Steam Methane Reforming using natural gas from Russia</v>
      </c>
      <c r="B1789" s="53">
        <f>(B1787/B1771)/B1770*B1782</f>
        <v>2.3223301331624095E-3</v>
      </c>
      <c r="C1789" t="s">
        <v>56</v>
      </c>
      <c r="E1789" t="s">
        <v>64</v>
      </c>
      <c r="F1789" t="s">
        <v>86</v>
      </c>
      <c r="G1789" t="s">
        <v>1137</v>
      </c>
      <c r="H1789" t="s">
        <v>76</v>
      </c>
      <c r="I1789" t="s">
        <v>1054</v>
      </c>
      <c r="J1789" t="s">
        <v>364</v>
      </c>
      <c r="K1789" t="str">
        <f>B1748</f>
        <v>heat, residential, by conversion of hydrogen using fuel cell, PEM, allocated by exergy, transported by truck, produced by Steam Methane Reforming using natural gas from Russia</v>
      </c>
      <c r="L1789">
        <f t="shared" si="113"/>
        <v>2</v>
      </c>
      <c r="M1789">
        <f t="shared" si="114"/>
        <v>-6.0651842296013152</v>
      </c>
      <c r="N1789">
        <v>1</v>
      </c>
      <c r="O1789" s="15">
        <v>1.2</v>
      </c>
      <c r="P1789">
        <v>1</v>
      </c>
      <c r="Q1789">
        <v>1.01</v>
      </c>
      <c r="R1789">
        <v>1.2</v>
      </c>
      <c r="S1789">
        <v>1.2</v>
      </c>
      <c r="T1789">
        <v>1.05</v>
      </c>
      <c r="U1789">
        <f t="shared" si="115"/>
        <v>0.15984597228197622</v>
      </c>
    </row>
    <row r="1790" spans="1:22" hidden="1" x14ac:dyDescent="0.2">
      <c r="A1790" t="str">
        <f>VLOOKUP(J1790,'dataset mapping'!$A$4:$E$69,2,0)</f>
        <v>high pressure hydrogen storage tank</v>
      </c>
      <c r="B1790" s="52">
        <f>((B1783/10)/(B1781*B1777*20*3.6))*IF(B1782&lt;&gt;0,B1782,1)</f>
        <v>2.5464146196956242E-7</v>
      </c>
      <c r="C1790" t="str">
        <f>VLOOKUP(J1790,'dataset mapping'!$A$4:$E$69,5,0)</f>
        <v>kilogram</v>
      </c>
      <c r="E1790" t="str">
        <f>VLOOKUP(J1790,'dataset mapping'!$A$4:$E$69,4,0)</f>
        <v>GLO</v>
      </c>
      <c r="F1790" t="s">
        <v>86</v>
      </c>
      <c r="G1790" t="str">
        <f>VLOOKUP(J1790,'dataset mapping'!$A$4:$E$69,3,0)</f>
        <v>high pressure hydrogen storage tank</v>
      </c>
      <c r="H1790" t="s">
        <v>88</v>
      </c>
      <c r="I1790" t="s">
        <v>280</v>
      </c>
      <c r="J1790" t="s">
        <v>229</v>
      </c>
      <c r="K1790" t="str">
        <f>B1748</f>
        <v>heat, residential, by conversion of hydrogen using fuel cell, PEM, allocated by exergy, transported by truck, produced by Steam Methane Reforming using natural gas from Russia</v>
      </c>
      <c r="L1790">
        <f t="shared" si="113"/>
        <v>2</v>
      </c>
      <c r="M1790">
        <f t="shared" si="114"/>
        <v>-15.183409312669692</v>
      </c>
      <c r="N1790">
        <v>1</v>
      </c>
      <c r="O1790" s="15">
        <v>1.2</v>
      </c>
      <c r="P1790">
        <v>1</v>
      </c>
      <c r="Q1790">
        <v>1.01</v>
      </c>
      <c r="R1790">
        <v>1.2</v>
      </c>
      <c r="S1790">
        <v>1.2</v>
      </c>
      <c r="T1790">
        <v>3</v>
      </c>
      <c r="U1790">
        <f t="shared" si="115"/>
        <v>0.57157051623399524</v>
      </c>
    </row>
    <row r="1791" spans="1:22" hidden="1" x14ac:dyDescent="0.2">
      <c r="A1791" t="s">
        <v>134</v>
      </c>
      <c r="B1791" s="45">
        <f>B1789*9</f>
        <v>2.0900971198461685E-2</v>
      </c>
      <c r="C1791" t="s">
        <v>56</v>
      </c>
      <c r="D1791" t="s">
        <v>100</v>
      </c>
      <c r="F1791" t="s">
        <v>99</v>
      </c>
      <c r="H1791" t="s">
        <v>131</v>
      </c>
      <c r="I1791" t="s">
        <v>1057</v>
      </c>
      <c r="K1791" t="str">
        <f>B1748</f>
        <v>heat, residential, by conversion of hydrogen using fuel cell, PEM, allocated by exergy, transported by truck, produced by Steam Methane Reforming using natural gas from Russia</v>
      </c>
      <c r="L1791">
        <f t="shared" si="113"/>
        <v>2</v>
      </c>
      <c r="M1791">
        <f t="shared" si="114"/>
        <v>-3.8679596522650961</v>
      </c>
      <c r="N1791">
        <v>1</v>
      </c>
      <c r="O1791" s="15">
        <v>1.2</v>
      </c>
      <c r="P1791">
        <v>1</v>
      </c>
      <c r="Q1791">
        <v>1.01</v>
      </c>
      <c r="R1791">
        <v>1.2</v>
      </c>
      <c r="S1791">
        <v>1.2</v>
      </c>
      <c r="T1791">
        <v>1.05</v>
      </c>
      <c r="U1791">
        <f t="shared" si="115"/>
        <v>0.15984597228197622</v>
      </c>
    </row>
    <row r="1792" spans="1:22" hidden="1" x14ac:dyDescent="0.2"/>
    <row r="1793" spans="1:2" hidden="1" x14ac:dyDescent="0.2">
      <c r="A1793" s="2" t="s">
        <v>50</v>
      </c>
      <c r="B1793" s="44" t="str">
        <f>IF(B1799="megajoule","heat","electricity")&amp;", residential, by "&amp;B1804&amp;" of "&amp;B1803&amp;" using "&amp;B1805&amp;IF(B1806&lt;&gt;0,", allocated by "&amp;B1806,"")&amp;", transported by "&amp;B1807&amp;", produced by "&amp;B1811&amp;" using "&amp;B1812&amp;" from "&amp;B1813</f>
        <v>heat, residential, by conversion of hydrogen using fuel cell, SOFC, allocated by exergy, transported by truck, produced by Steam Methane Reforming using natural gas from Russia</v>
      </c>
    </row>
    <row r="1794" spans="1:2" hidden="1" x14ac:dyDescent="0.2">
      <c r="A1794" t="s">
        <v>51</v>
      </c>
      <c r="B1794" s="45" t="str">
        <f>"This dataset represents the supply of 1 "&amp;IF(B1799="megajoule","megajoule of heat","kilowatt hour of electricity")&amp;" in a residence, by "&amp;B1803&amp;" "&amp;B1804&amp;" in a "&amp;B1805&amp;". "&amp;" The hydrogen is transported by "&amp;B1807&amp;" over "&amp;B1808&amp;" km from regional storage. "&amp;" The "&amp;B1803&amp;" is produced by  "&amp;B1811&amp;", with "&amp;B1812&amp;" from "&amp;B1813&amp;" as feedstock. "&amp;A1815&amp;": "&amp;(B1815*100)&amp;"%. "&amp;A1816&amp;": "&amp;B1816&amp;". "&amp;A1817&amp;": "&amp;B1817&amp;". "&amp;A1818&amp;": "&amp;(B1818*100)&amp;"%. "&amp;A1819&amp;": "&amp;(B1819*100)&amp;"%. "&amp;A1820&amp;": "&amp;(B1820*100)&amp;"%. "&amp;A1821&amp;": "&amp;B1821&amp;". "&amp;A1822&amp;": "&amp;B1822&amp;". "&amp;A1823&amp;": "&amp;(B1823*100)&amp;"%. "&amp;A1824&amp;": "&amp;B1824&amp;". "&amp;A1825&amp;": "&amp;B1825&amp;". "&amp;A1826&amp;": "&amp;B1826&amp;". "&amp;A1827&amp;": "&amp;B1827&amp;".  For more information, refer to: "&amp;B1795</f>
        <v>This dataset represents the supply of 1 megajoule of heat in a residence, by hydrogen conversion in a fuel cell, SOFC.  The hydrogen is transported by truck over 200 km from regional storage.  The hydrogen is produced by  Steam Methane Reforming, with natural gas from Russia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795" spans="1:2" hidden="1" x14ac:dyDescent="0.2">
      <c r="A1795" t="s">
        <v>63</v>
      </c>
      <c r="B1795" s="45" t="s">
        <v>660</v>
      </c>
    </row>
    <row r="1796" spans="1:2" hidden="1" x14ac:dyDescent="0.2">
      <c r="A1796" t="s">
        <v>52</v>
      </c>
      <c r="B1796" s="45" t="s">
        <v>64</v>
      </c>
    </row>
    <row r="1797" spans="1:2" hidden="1" x14ac:dyDescent="0.2">
      <c r="A1797" t="s">
        <v>48</v>
      </c>
      <c r="B1797" s="45">
        <v>168</v>
      </c>
    </row>
    <row r="1798" spans="1:2" hidden="1" x14ac:dyDescent="0.2">
      <c r="A1798" t="s">
        <v>54</v>
      </c>
      <c r="B1798" s="45" t="str">
        <f>INDEX(overview!$B$4:$R$338,MATCH(B1797,overview!$A$4:$A$338,0),MATCH(A1798,overview!$B$3:$R$3,0))</f>
        <v>heat, from residential heating system</v>
      </c>
    </row>
    <row r="1799" spans="1:2" hidden="1" x14ac:dyDescent="0.2">
      <c r="A1799" t="s">
        <v>55</v>
      </c>
      <c r="B1799" s="45" t="str">
        <f>INDEX(overview!$B$4:$R$338,MATCH(B1797,overview!$A$4:$A$338,0),MATCH(A1799,overview!$B$3:$R$3,0))</f>
        <v>megajoule</v>
      </c>
    </row>
    <row r="1800" spans="1:2" hidden="1" x14ac:dyDescent="0.2">
      <c r="A1800" t="s">
        <v>0</v>
      </c>
      <c r="B1800" s="45" t="str">
        <f>INDEX(overview!$B$4:$R$338,MATCH(B1797,overview!$A$4:$A$338,0),MATCH(A1800,overview!$B$3:$R$3,0))</f>
        <v>Switzerland</v>
      </c>
    </row>
    <row r="1801" spans="1:2" hidden="1" x14ac:dyDescent="0.2">
      <c r="A1801" t="s">
        <v>1</v>
      </c>
      <c r="B1801" s="45">
        <f>INDEX(overview!$B$4:$R$338,MATCH(B1797,overview!$A$4:$A$338,0),MATCH(A1801,overview!$B$3:$R$3,0))</f>
        <v>2020</v>
      </c>
    </row>
    <row r="1802" spans="1:2" hidden="1" x14ac:dyDescent="0.2">
      <c r="A1802" t="s">
        <v>2</v>
      </c>
      <c r="B1802" s="45" t="str">
        <f>INDEX(overview!$B$4:$R$338,MATCH(B1797,overview!$A$4:$A$338,0),MATCH(A1802,overview!$B$3:$R$3,0))</f>
        <v>1 MJ heat</v>
      </c>
    </row>
    <row r="1803" spans="1:2" hidden="1" x14ac:dyDescent="0.2">
      <c r="A1803" t="s">
        <v>5</v>
      </c>
      <c r="B1803" s="45" t="str">
        <f>INDEX(overview!$B$4:$R$338,MATCH(B1797,overview!$A$4:$A$338,0),MATCH(A1803,overview!$B$3:$R$3,0))</f>
        <v>hydrogen</v>
      </c>
    </row>
    <row r="1804" spans="1:2" hidden="1" x14ac:dyDescent="0.2">
      <c r="A1804" t="s">
        <v>3</v>
      </c>
      <c r="B1804" s="45" t="str">
        <f>INDEX(overview!$B$4:$R$338,MATCH(B1797,overview!$A$4:$A$338,0),MATCH(A1804,overview!$B$3:$R$3,0))</f>
        <v>conversion</v>
      </c>
    </row>
    <row r="1805" spans="1:2" hidden="1" x14ac:dyDescent="0.2">
      <c r="A1805" t="s">
        <v>6</v>
      </c>
      <c r="B1805" s="45" t="str">
        <f>INDEX(overview!$B$4:$R$338,MATCH(B1797,overview!$A$4:$A$338,0),MATCH(A1805,overview!$B$3:$R$3,0))</f>
        <v>fuel cell, SOFC</v>
      </c>
    </row>
    <row r="1806" spans="1:2" hidden="1" x14ac:dyDescent="0.2">
      <c r="A1806" t="s">
        <v>39</v>
      </c>
      <c r="B1806" s="45" t="str">
        <f>INDEX(overview!$B$4:$R$338,MATCH(B1797,overview!$A$4:$A$338,0),MATCH(A1806,overview!$B$3:$R$3,0))</f>
        <v>exergy</v>
      </c>
    </row>
    <row r="1807" spans="1:2" hidden="1" x14ac:dyDescent="0.2">
      <c r="A1807" t="s">
        <v>4</v>
      </c>
      <c r="B1807" s="45" t="str">
        <f>INDEX(overview!$B$4:$R$338,MATCH(B1797,overview!$A$4:$A$338,0),MATCH(A1807,overview!$B$3:$R$3,0))</f>
        <v>truck</v>
      </c>
    </row>
    <row r="1808" spans="1:2" hidden="1" x14ac:dyDescent="0.2">
      <c r="A1808" t="s">
        <v>38</v>
      </c>
      <c r="B1808" s="45">
        <f>INDEX(overview!$B$4:$R$338,MATCH(B1797,overview!$A$4:$A$338,0),MATCH(A1808,overview!$B$3:$R$3,0))</f>
        <v>200</v>
      </c>
    </row>
    <row r="1809" spans="1:4" hidden="1" x14ac:dyDescent="0.2">
      <c r="A1809" t="s">
        <v>12</v>
      </c>
      <c r="B1809" s="45" t="str">
        <f>INDEX(overview!$B$4:$R$338,MATCH(B1797,overview!$A$4:$A$338,0),MATCH(A1809,overview!$B$3:$R$3,0))</f>
        <v>Pressure vessel for stationary storage</v>
      </c>
    </row>
    <row r="1810" spans="1:4" hidden="1" x14ac:dyDescent="0.2">
      <c r="A1810" t="s">
        <v>34</v>
      </c>
      <c r="B1810" s="45">
        <f>INDEX(overview!$B$4:$R$338,MATCH(B1797,overview!$A$4:$A$338,0),MATCH(A1810,overview!$B$3:$R$3,0))</f>
        <v>0</v>
      </c>
    </row>
    <row r="1811" spans="1:4" hidden="1" x14ac:dyDescent="0.2">
      <c r="A1811" t="s">
        <v>15</v>
      </c>
      <c r="B1811" s="45" t="str">
        <f>INDEX(overview!$B$4:$R$338,MATCH(B1797,overview!$A$4:$A$338,0),MATCH(A1811,overview!$B$3:$R$3,0))</f>
        <v>Steam Methane Reforming</v>
      </c>
    </row>
    <row r="1812" spans="1:4" hidden="1" x14ac:dyDescent="0.2">
      <c r="A1812" t="s">
        <v>14</v>
      </c>
      <c r="B1812" s="45" t="str">
        <f>INDEX(overview!$B$4:$R$338,MATCH(B1797,overview!$A$4:$A$338,0),MATCH(A1812,overview!$B$3:$R$3,0))</f>
        <v>natural gas</v>
      </c>
    </row>
    <row r="1813" spans="1:4" hidden="1" x14ac:dyDescent="0.2">
      <c r="A1813" t="s">
        <v>26</v>
      </c>
      <c r="B1813" s="45" t="str">
        <f>INDEX(overview!$B$4:$R$338,MATCH(B1797,overview!$A$4:$A$338,0),MATCH(A1813,overview!$B$3:$R$3,0))</f>
        <v>Russia</v>
      </c>
    </row>
    <row r="1814" spans="1:4" hidden="1" x14ac:dyDescent="0.2">
      <c r="A1814" t="s">
        <v>29</v>
      </c>
      <c r="B1814" s="45">
        <f>INDEX(overview!$B$4:$R$338,MATCH(B1797,overview!$A$4:$A$338,0),MATCH(A1814,overview!$B$3:$R$3,0))</f>
        <v>0</v>
      </c>
    </row>
    <row r="1815" spans="1:4" hidden="1" x14ac:dyDescent="0.2">
      <c r="A1815" t="str">
        <f>IF(B1799="megajoule","Heat","Electricity")&amp;" conversion efficiency [% LHV input]"</f>
        <v>Heat conversion efficiency [% LHV input]</v>
      </c>
      <c r="B1815" s="46">
        <f>INDEX(parameters!$D$4:$N$20,MATCH(B1803&amp;B1805,parameters!$A$4:$A$20,0),MATCH(A1815,parameters!$D$3:$N$3,0))</f>
        <v>0.53</v>
      </c>
    </row>
    <row r="1816" spans="1:4" hidden="1" x14ac:dyDescent="0.2">
      <c r="A1816" t="str">
        <f>IF(B1799="megajoule","LHV [MJ/kg]","LHV [kWh/kg]")</f>
        <v>LHV [MJ/kg]</v>
      </c>
      <c r="B1816" s="47">
        <f>INDEX(parameters!$D$4:$N$20,MATCH(B1803&amp;B1805,parameters!$A$4:$A$20,0),MATCH(A1816,parameters!$D$3:$N$3,0))</f>
        <v>120</v>
      </c>
    </row>
    <row r="1817" spans="1:4" hidden="1" x14ac:dyDescent="0.2">
      <c r="A1817" t="s">
        <v>41</v>
      </c>
      <c r="B1817" s="48">
        <f>INDEX(parameters!$D$4:$N$20,MATCH(B1803&amp;B1805,parameters!$A$4:$A$20,0),MATCH(A1817,parameters!$D$3:$N$3,0))</f>
        <v>2.6666666666666665E-2</v>
      </c>
    </row>
    <row r="1818" spans="1:4" hidden="1" x14ac:dyDescent="0.2">
      <c r="A1818" t="s">
        <v>45</v>
      </c>
      <c r="B1818" s="46">
        <f>INDEX(parameters!$D$4:$N$20,MATCH(B1803&amp;B1805,parameters!$A$4:$A$20,0),MATCH(A1818,parameters!$D$3:$N$3,0))</f>
        <v>0</v>
      </c>
    </row>
    <row r="1819" spans="1:4" hidden="1" x14ac:dyDescent="0.2">
      <c r="A1819" t="s">
        <v>46</v>
      </c>
      <c r="B1819" s="46">
        <f>INDEX(parameters!$D$4:$N$20,MATCH(B1803&amp;B1805,parameters!$A$4:$A$20,0),MATCH(A1819,parameters!$D$3:$N$3,0))</f>
        <v>1.4999999999999999E-2</v>
      </c>
    </row>
    <row r="1820" spans="1:4" hidden="1" x14ac:dyDescent="0.2">
      <c r="A1820" t="s">
        <v>43</v>
      </c>
      <c r="B1820" s="46">
        <f>INDEX(parameters!$D$4:$N$20,MATCH(B1803&amp;B1805,parameters!$A$4:$A$20,0),MATCH(A1820,parameters!$D$3:$N$3,0))</f>
        <v>0</v>
      </c>
    </row>
    <row r="1821" spans="1:4" hidden="1" x14ac:dyDescent="0.2">
      <c r="A1821" t="s">
        <v>44</v>
      </c>
      <c r="B1821" s="46">
        <f>INDEX(parameters!$D$4:$N$20,MATCH(B1803&amp;B1805,parameters!$A$4:$A$20,0),MATCH(A1821,parameters!$D$3:$N$3,0))</f>
        <v>0</v>
      </c>
    </row>
    <row r="1822" spans="1:4" hidden="1" x14ac:dyDescent="0.2">
      <c r="A1822" t="s">
        <v>634</v>
      </c>
      <c r="B1822" s="50">
        <f>INDEX(parameters!$D$4:$Y$20,MATCH(B1803&amp;B1805,parameters!$A$4:$A$20,0),MATCH(A1822,parameters!$D$3:$Y$3,0))</f>
        <v>225</v>
      </c>
      <c r="D1822" s="8"/>
    </row>
    <row r="1823" spans="1:4" hidden="1" x14ac:dyDescent="0.2">
      <c r="A1823" t="s">
        <v>82</v>
      </c>
      <c r="B1823" s="46">
        <f>IF(B1814&lt;&gt;0,VLOOKUP(B1814,parameters!A1225:B1227,2,0),0)</f>
        <v>0</v>
      </c>
    </row>
    <row r="1824" spans="1:4" hidden="1" x14ac:dyDescent="0.2">
      <c r="A1824" t="s">
        <v>548</v>
      </c>
      <c r="B1824" s="50">
        <f>INDEX(parameters!$D$4:$P$20,MATCH(B1803&amp;B1805,parameters!$A$4:$A$20,0),MATCH(A1824,parameters!$D$3:$P$3,0))</f>
        <v>100</v>
      </c>
    </row>
    <row r="1825" spans="1:22" hidden="1" x14ac:dyDescent="0.2">
      <c r="A1825" t="s">
        <v>547</v>
      </c>
      <c r="B1825" s="51">
        <f>INDEX(parameters!$D$4:$P$20,MATCH(B1803&amp;B1805,parameters!$A$4:$A$20,0),MATCH(A1825,parameters!$D$3:$P$3,0))</f>
        <v>6</v>
      </c>
    </row>
    <row r="1826" spans="1:22" hidden="1" x14ac:dyDescent="0.2">
      <c r="A1826" t="s">
        <v>630</v>
      </c>
      <c r="B1826" s="51">
        <f>INDEX(parameters!$D$4:$T$20,MATCH(B1803&amp;B1805,parameters!$A$4:$A$20,0),MATCH(A1826,parameters!$D$3:$T$3,0))</f>
        <v>4100</v>
      </c>
    </row>
    <row r="1827" spans="1:22" hidden="1" x14ac:dyDescent="0.2">
      <c r="A1827" t="s">
        <v>1005</v>
      </c>
      <c r="B1827" s="50">
        <f>IF(B1799="megajoule",SUMIFS(allocation!$I$4:$I$30,allocation!$B$4:$B$30,B1805,allocation!$C$4:$C$30,B1806),SUMIFS(allocation!$J$4:$J$30,allocation!$B$4:$B$30,B1805,allocation!$C$4:$C$30,B1806))</f>
        <v>0.13587506510399097</v>
      </c>
    </row>
    <row r="1828" spans="1:22" hidden="1" x14ac:dyDescent="0.2">
      <c r="A1828" t="s">
        <v>1050</v>
      </c>
      <c r="B1828" s="51">
        <f>INDEX(parameters!$D$4:$AB$20,MATCH(B1803&amp;B1805,parameters!$A$4:$A$20,0),MATCH(A1828,parameters!$D$3:$AB$3,0))</f>
        <v>1153.1249999999998</v>
      </c>
    </row>
    <row r="1829" spans="1:22" hidden="1" x14ac:dyDescent="0.2"/>
    <row r="1830" spans="1:22" hidden="1" x14ac:dyDescent="0.2">
      <c r="A1830" s="3" t="s">
        <v>57</v>
      </c>
    </row>
    <row r="1831" spans="1:22" hidden="1" x14ac:dyDescent="0.2">
      <c r="A1831" s="2" t="s">
        <v>58</v>
      </c>
      <c r="B1831" s="44" t="s">
        <v>59</v>
      </c>
      <c r="C1831" s="2" t="s">
        <v>55</v>
      </c>
      <c r="D1831" s="2" t="s">
        <v>60</v>
      </c>
      <c r="E1831" s="2" t="s">
        <v>52</v>
      </c>
      <c r="F1831" s="2" t="s">
        <v>61</v>
      </c>
      <c r="G1831" s="2" t="s">
        <v>54</v>
      </c>
      <c r="H1831" s="2" t="s">
        <v>87</v>
      </c>
      <c r="I1831" s="2" t="s">
        <v>51</v>
      </c>
      <c r="J1831" s="2" t="s">
        <v>138</v>
      </c>
      <c r="K1831" s="2" t="s">
        <v>136</v>
      </c>
      <c r="L1831" s="2" t="s">
        <v>221</v>
      </c>
      <c r="M1831" s="2" t="s">
        <v>379</v>
      </c>
      <c r="N1831" s="2" t="s">
        <v>1059</v>
      </c>
      <c r="O1831" s="2" t="s">
        <v>1060</v>
      </c>
      <c r="P1831" s="2" t="s">
        <v>1061</v>
      </c>
      <c r="Q1831" s="2" t="s">
        <v>1062</v>
      </c>
      <c r="R1831" s="2" t="s">
        <v>1063</v>
      </c>
      <c r="S1831" s="2" t="s">
        <v>1064</v>
      </c>
      <c r="T1831" s="2" t="s">
        <v>1065</v>
      </c>
      <c r="U1831" s="2" t="s">
        <v>380</v>
      </c>
      <c r="V1831" s="2" t="s">
        <v>1128</v>
      </c>
    </row>
    <row r="1832" spans="1:22" x14ac:dyDescent="0.2">
      <c r="A1832" t="str">
        <f>B1793</f>
        <v>heat, residential, by conversion of hydrogen using fuel cell, SOFC, allocated by exergy, transported by truck, produced by Steam Methane Reforming using natural gas from Russia</v>
      </c>
      <c r="B1832" s="45">
        <v>1</v>
      </c>
      <c r="C1832" t="str">
        <f>B1799</f>
        <v>megajoule</v>
      </c>
      <c r="E1832" t="str">
        <f>B1796</f>
        <v>CH</v>
      </c>
      <c r="F1832" t="s">
        <v>62</v>
      </c>
      <c r="G1832" t="str">
        <f>B1798</f>
        <v>heat, from residential heating system</v>
      </c>
      <c r="K1832" t="str">
        <f>B1793</f>
        <v>heat, residential, by conversion of hydrogen using fuel cell, SOFC, allocated by exergy, transported by truck, produced by Steam Methane Reforming using natural gas from Russia</v>
      </c>
    </row>
    <row r="1833" spans="1:22" hidden="1" x14ac:dyDescent="0.2">
      <c r="A1833" t="str">
        <f>VLOOKUP(J1833,'dataset mapping'!$A$4:$E$69,2,0)</f>
        <v>fuel cell production, stack solid oxide, 125kW electrical, future</v>
      </c>
      <c r="B1833" s="52">
        <f>1/(62*1000000)/B1815*SUMIFS(allocation!$I$4:$I$30,allocation!$B$4:$B$30,B1805,allocation!$C$4:$C$30,B1806)</f>
        <v>4.1349685059035601E-9</v>
      </c>
      <c r="C1833" t="str">
        <f>VLOOKUP(J1833,'dataset mapping'!$A$4:$E$69,5,0)</f>
        <v>unit</v>
      </c>
      <c r="E1833" t="str">
        <f>VLOOKUP(J1833,'dataset mapping'!$A$4:$E$69,4,0)</f>
        <v>CH</v>
      </c>
      <c r="F1833" t="s">
        <v>86</v>
      </c>
      <c r="G1833" t="str">
        <f>VLOOKUP(J1833,'dataset mapping'!$A$4:$E$69,3,0)</f>
        <v>fuel cell, stack solid oxide, 125kW electrical, future</v>
      </c>
      <c r="H1833" t="s">
        <v>88</v>
      </c>
      <c r="I1833" t="s">
        <v>277</v>
      </c>
      <c r="J1833" t="s">
        <v>274</v>
      </c>
      <c r="K1833" t="str">
        <f>B1793</f>
        <v>heat, residential, by conversion of hydrogen using fuel cell, SOFC, allocated by exergy, transported by truck, produced by Steam Methane Reforming using natural gas from Russia</v>
      </c>
      <c r="L1833">
        <f t="shared" ref="L1833:L1839" si="116">IF(OR(B1833&lt;0,B1833=0),1,2)</f>
        <v>2</v>
      </c>
      <c r="M1833">
        <f t="shared" ref="M1833:M1839" si="117">IF(L1833=2,LN(B1833),"")</f>
        <v>-19.303786124968067</v>
      </c>
      <c r="N1833">
        <v>1</v>
      </c>
      <c r="O1833" s="15">
        <v>1.2</v>
      </c>
      <c r="P1833">
        <v>1</v>
      </c>
      <c r="Q1833">
        <v>1.01</v>
      </c>
      <c r="R1833">
        <v>1.2</v>
      </c>
      <c r="S1833">
        <v>1.2</v>
      </c>
      <c r="T1833">
        <v>3</v>
      </c>
      <c r="U1833">
        <f t="shared" ref="U1833:U1839" si="118">LN(SQRT(EXP(
SQRT(
+POWER(LN(N1833),2)
+POWER(LN(O1833),2)
+POWER(LN(P1833),2)
+POWER(LN(Q1833),2)
+POWER(LN(R1833),2)
+POWER(LN(S1833),2)
+POWER(LN(T1833),2)
)
)))</f>
        <v>0.57157051623399524</v>
      </c>
    </row>
    <row r="1834" spans="1:22" hidden="1" x14ac:dyDescent="0.2">
      <c r="A1834" t="s">
        <v>283</v>
      </c>
      <c r="B1834" s="52">
        <f>0.000000145/B1815*SUMIFS(allocation!$I$4:$I$30,allocation!$B$4:$B$30,B1805,allocation!$C$4:$C$30,B1806)</f>
        <v>3.7173366868072996E-8</v>
      </c>
      <c r="C1834" t="s">
        <v>55</v>
      </c>
      <c r="E1834" t="s">
        <v>64</v>
      </c>
      <c r="F1834" t="s">
        <v>86</v>
      </c>
      <c r="G1834" t="s">
        <v>284</v>
      </c>
      <c r="H1834" t="s">
        <v>88</v>
      </c>
      <c r="I1834" t="s">
        <v>277</v>
      </c>
      <c r="K1834" t="str">
        <f>B1793</f>
        <v>heat, residential, by conversion of hydrogen using fuel cell, SOFC, allocated by exergy, transported by truck, produced by Steam Methane Reforming using natural gas from Russia</v>
      </c>
      <c r="L1834">
        <f t="shared" si="116"/>
        <v>2</v>
      </c>
      <c r="M1834">
        <f t="shared" si="117"/>
        <v>-17.107673276484537</v>
      </c>
      <c r="N1834">
        <v>1</v>
      </c>
      <c r="O1834" s="15">
        <v>1.2</v>
      </c>
      <c r="P1834">
        <v>1</v>
      </c>
      <c r="Q1834">
        <v>1.01</v>
      </c>
      <c r="R1834">
        <v>1.2</v>
      </c>
      <c r="S1834">
        <v>1.2</v>
      </c>
      <c r="T1834">
        <v>3</v>
      </c>
      <c r="U1834">
        <f t="shared" si="118"/>
        <v>0.57157051623399524</v>
      </c>
    </row>
    <row r="1835" spans="1:22" hidden="1" x14ac:dyDescent="0.2">
      <c r="A1835" t="s">
        <v>285</v>
      </c>
      <c r="B1835" s="52">
        <f>0.0000000115/B1815*SUMIFS(allocation!$I$4:$I$30,allocation!$B$4:$B$30,B1805,allocation!$C$4:$C$30,B1806)</f>
        <v>2.9482325447092381E-9</v>
      </c>
      <c r="C1835" t="s">
        <v>55</v>
      </c>
      <c r="E1835" t="s">
        <v>90</v>
      </c>
      <c r="F1835" t="s">
        <v>86</v>
      </c>
      <c r="G1835" t="s">
        <v>286</v>
      </c>
      <c r="H1835" t="s">
        <v>88</v>
      </c>
      <c r="K1835" t="str">
        <f>B1793</f>
        <v>heat, residential, by conversion of hydrogen using fuel cell, SOFC, allocated by exergy, transported by truck, produced by Steam Methane Reforming using natural gas from Russia</v>
      </c>
      <c r="L1835">
        <f t="shared" si="116"/>
        <v>2</v>
      </c>
      <c r="M1835">
        <f t="shared" si="117"/>
        <v>-19.642059983535908</v>
      </c>
      <c r="N1835">
        <v>1</v>
      </c>
      <c r="O1835" s="15">
        <v>1.2</v>
      </c>
      <c r="P1835">
        <v>1</v>
      </c>
      <c r="Q1835">
        <v>1.01</v>
      </c>
      <c r="R1835">
        <v>1.2</v>
      </c>
      <c r="S1835">
        <v>1.2</v>
      </c>
      <c r="T1835">
        <v>3</v>
      </c>
      <c r="U1835">
        <f t="shared" si="118"/>
        <v>0.57157051623399524</v>
      </c>
    </row>
    <row r="1836" spans="1:22" hidden="1" x14ac:dyDescent="0.2">
      <c r="A1836" t="s">
        <v>288</v>
      </c>
      <c r="B1836" s="52">
        <f>0.000024/B1815*SUMIFS(allocation!$I$4:$I$30,allocation!$B$4:$B$30,B1805,allocation!$C$4:$C$30,B1806)</f>
        <v>6.152833136784497E-6</v>
      </c>
      <c r="C1836" t="s">
        <v>56</v>
      </c>
      <c r="E1836" t="s">
        <v>64</v>
      </c>
      <c r="F1836" t="s">
        <v>86</v>
      </c>
      <c r="G1836" t="s">
        <v>287</v>
      </c>
      <c r="H1836" t="s">
        <v>88</v>
      </c>
      <c r="K1836" t="str">
        <f>B1793</f>
        <v>heat, residential, by conversion of hydrogen using fuel cell, SOFC, allocated by exergy, transported by truck, produced by Steam Methane Reforming using natural gas from Russia</v>
      </c>
      <c r="L1836">
        <f t="shared" si="116"/>
        <v>2</v>
      </c>
      <c r="M1836">
        <f t="shared" si="117"/>
        <v>-11.998597909575029</v>
      </c>
      <c r="N1836">
        <v>1</v>
      </c>
      <c r="O1836" s="15">
        <v>1.2</v>
      </c>
      <c r="P1836">
        <v>1</v>
      </c>
      <c r="Q1836">
        <v>1.01</v>
      </c>
      <c r="R1836">
        <v>1.2</v>
      </c>
      <c r="S1836">
        <v>1.2</v>
      </c>
      <c r="T1836">
        <v>1.05</v>
      </c>
      <c r="U1836">
        <f t="shared" si="118"/>
        <v>0.15984597228197622</v>
      </c>
    </row>
    <row r="1837" spans="1:22" hidden="1" x14ac:dyDescent="0.2">
      <c r="A1837" s="45" t="str">
        <f>"hydrogen supply, transported by "&amp;B1807&amp;", produced by "&amp;B1811&amp;" using "&amp;B1812&amp;" from "&amp;B1813</f>
        <v>hydrogen supply, transported by truck, produced by Steam Methane Reforming using natural gas from Russia</v>
      </c>
      <c r="B1837" s="53">
        <f>(B1832/B1816)/B1815*B1827</f>
        <v>2.1364003947168392E-3</v>
      </c>
      <c r="C1837" t="s">
        <v>56</v>
      </c>
      <c r="E1837" t="s">
        <v>64</v>
      </c>
      <c r="F1837" t="s">
        <v>86</v>
      </c>
      <c r="G1837" t="s">
        <v>1137</v>
      </c>
      <c r="H1837" t="s">
        <v>76</v>
      </c>
      <c r="I1837" t="s">
        <v>1054</v>
      </c>
      <c r="J1837" t="s">
        <v>364</v>
      </c>
      <c r="K1837" t="str">
        <f>B1793</f>
        <v>heat, residential, by conversion of hydrogen using fuel cell, SOFC, allocated by exergy, transported by truck, produced by Steam Methane Reforming using natural gas from Russia</v>
      </c>
      <c r="L1837">
        <f t="shared" si="116"/>
        <v>2</v>
      </c>
      <c r="M1837">
        <f t="shared" si="117"/>
        <v>-6.1486329247407472</v>
      </c>
      <c r="N1837">
        <v>1</v>
      </c>
      <c r="O1837" s="15">
        <v>1.2</v>
      </c>
      <c r="P1837">
        <v>1</v>
      </c>
      <c r="Q1837">
        <v>1.01</v>
      </c>
      <c r="R1837">
        <v>1.2</v>
      </c>
      <c r="S1837">
        <v>1.2</v>
      </c>
      <c r="T1837">
        <v>1.05</v>
      </c>
      <c r="U1837">
        <f t="shared" si="118"/>
        <v>0.15984597228197622</v>
      </c>
    </row>
    <row r="1838" spans="1:22" hidden="1" x14ac:dyDescent="0.2">
      <c r="A1838" t="str">
        <f>VLOOKUP(J1838,'dataset mapping'!$A$4:$E$69,2,0)</f>
        <v>high pressure hydrogen storage tank</v>
      </c>
      <c r="B1838" s="52">
        <f>((B1828/10)/(B1826*B1822*20*3.6))*IF(B1827&lt;&gt;0,B1827,1)</f>
        <v>2.3589421024998428E-7</v>
      </c>
      <c r="C1838" t="str">
        <f>VLOOKUP(J1838,'dataset mapping'!$A$4:$E$69,5,0)</f>
        <v>kilogram</v>
      </c>
      <c r="E1838" t="str">
        <f>VLOOKUP(J1838,'dataset mapping'!$A$4:$E$69,4,0)</f>
        <v>GLO</v>
      </c>
      <c r="F1838" t="s">
        <v>86</v>
      </c>
      <c r="G1838" t="str">
        <f>VLOOKUP(J1838,'dataset mapping'!$A$4:$E$69,3,0)</f>
        <v>high pressure hydrogen storage tank</v>
      </c>
      <c r="H1838" t="s">
        <v>88</v>
      </c>
      <c r="I1838" t="s">
        <v>230</v>
      </c>
      <c r="J1838" t="s">
        <v>229</v>
      </c>
      <c r="K1838" t="str">
        <f>B1793</f>
        <v>heat, residential, by conversion of hydrogen using fuel cell, SOFC, allocated by exergy, transported by truck, produced by Steam Methane Reforming using natural gas from Russia</v>
      </c>
      <c r="L1838">
        <f t="shared" si="116"/>
        <v>2</v>
      </c>
      <c r="M1838">
        <f t="shared" si="117"/>
        <v>-15.259882394072699</v>
      </c>
      <c r="N1838">
        <v>1</v>
      </c>
      <c r="O1838" s="15">
        <v>1.2</v>
      </c>
      <c r="P1838">
        <v>1</v>
      </c>
      <c r="Q1838">
        <v>1.01</v>
      </c>
      <c r="R1838">
        <v>1.2</v>
      </c>
      <c r="S1838">
        <v>1.2</v>
      </c>
      <c r="T1838">
        <v>3</v>
      </c>
      <c r="U1838">
        <f t="shared" si="118"/>
        <v>0.57157051623399524</v>
      </c>
    </row>
    <row r="1839" spans="1:22" hidden="1" x14ac:dyDescent="0.2">
      <c r="A1839" t="s">
        <v>134</v>
      </c>
      <c r="B1839" s="45">
        <f>B1837*9</f>
        <v>1.9227603552451553E-2</v>
      </c>
      <c r="C1839" t="s">
        <v>56</v>
      </c>
      <c r="D1839" t="s">
        <v>100</v>
      </c>
      <c r="F1839" t="s">
        <v>99</v>
      </c>
      <c r="H1839" t="s">
        <v>131</v>
      </c>
      <c r="I1839" t="s">
        <v>1057</v>
      </c>
      <c r="K1839" t="str">
        <f>B1793</f>
        <v>heat, residential, by conversion of hydrogen using fuel cell, SOFC, allocated by exergy, transported by truck, produced by Steam Methane Reforming using natural gas from Russia</v>
      </c>
      <c r="L1839">
        <f t="shared" si="116"/>
        <v>2</v>
      </c>
      <c r="M1839">
        <f t="shared" si="117"/>
        <v>-3.9514083474045276</v>
      </c>
      <c r="N1839">
        <v>1</v>
      </c>
      <c r="O1839" s="15">
        <v>1.2</v>
      </c>
      <c r="P1839">
        <v>1</v>
      </c>
      <c r="Q1839">
        <v>1.01</v>
      </c>
      <c r="R1839">
        <v>1.2</v>
      </c>
      <c r="S1839">
        <v>1.2</v>
      </c>
      <c r="T1839">
        <v>1.05</v>
      </c>
      <c r="U1839">
        <f t="shared" si="118"/>
        <v>0.15984597228197622</v>
      </c>
    </row>
    <row r="1840" spans="1:22" hidden="1" x14ac:dyDescent="0.2"/>
    <row r="1841" spans="1:2" hidden="1" x14ac:dyDescent="0.2">
      <c r="A1841" s="2" t="s">
        <v>50</v>
      </c>
      <c r="B1841" s="44" t="str">
        <f>IF(B1847="megajoule","heat","electricity")&amp;", residential, by "&amp;B1852&amp;" of "&amp;B1851&amp;" using "&amp;B1853&amp;IF(B1854&lt;&gt;0,", allocated by "&amp;B1854,"")&amp;", transported by "&amp;B1855&amp;", produced by "&amp;B1859&amp;" using "&amp;B1860&amp;" from "&amp;B1861</f>
        <v>electricity, residential, by combustion of hydrogen using CHP, allocated by exergy, transported by truck, produced by Steam Methane Reforming using natural gas from Russia</v>
      </c>
    </row>
    <row r="1842" spans="1:2" hidden="1" x14ac:dyDescent="0.2">
      <c r="A1842" t="s">
        <v>51</v>
      </c>
      <c r="B1842" s="45" t="str">
        <f>"This dataset represents the supply of 1 "&amp;IF(B1847="megajoule","megajoule of heat","kilowatt hour of electricity")&amp;" in a residence, by "&amp;B1851&amp;" "&amp;B1852&amp;" in a "&amp;B1853&amp;". "&amp;" The hydrogen is transported by "&amp;B1855&amp;" over "&amp;B1856&amp;" km from regional storage. "&amp;" The "&amp;B1851&amp;" is produced by  "&amp;B1859&amp;", with "&amp;B1860&amp;" from "&amp;B1861&amp;" as feedstock. "&amp;A1863&amp;": "&amp;(B1863*100)&amp;"%. "&amp;A1864&amp;": "&amp;B1864&amp;". "&amp;A1865&amp;": "&amp;B1865&amp;". "&amp;A1866&amp;": "&amp;(B1866*100)&amp;"%. "&amp;A1867&amp;": "&amp;(B1867*100)&amp;"%. "&amp;A1868&amp;": "&amp;(B1868*100)&amp;"%. "&amp;A1869&amp;": "&amp;B1869&amp;". "&amp;A1870&amp;": "&amp;B1870&amp;". "&amp;A1871&amp;": "&amp;(B1871*100)&amp;"%. "&amp;A1872&amp;": "&amp;B1872&amp;". "&amp;A1873&amp;": "&amp;B1873&amp;". "&amp;A1874&amp;": "&amp;B1874&amp;". "&amp;A1875&amp;": "&amp;B1875&amp;".  For more information, refer to: "&amp;B1843</f>
        <v>This dataset represents the supply of 1 kilowatt hour of electricity in a residence, by hydrogen combustion in a CHP.  The hydrogen is transported by truck over 200 km from regional storage.  The hydrogen is produced by  Steam Methane Reforming, with natural gas from Russia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843" spans="1:2" hidden="1" x14ac:dyDescent="0.2">
      <c r="A1843" t="s">
        <v>63</v>
      </c>
      <c r="B1843" s="45" t="s">
        <v>660</v>
      </c>
    </row>
    <row r="1844" spans="1:2" hidden="1" x14ac:dyDescent="0.2">
      <c r="A1844" t="s">
        <v>52</v>
      </c>
      <c r="B1844" s="45" t="s">
        <v>64</v>
      </c>
    </row>
    <row r="1845" spans="1:2" hidden="1" x14ac:dyDescent="0.2">
      <c r="A1845" t="s">
        <v>48</v>
      </c>
      <c r="B1845" s="45" t="s">
        <v>988</v>
      </c>
    </row>
    <row r="1846" spans="1:2" hidden="1" x14ac:dyDescent="0.2">
      <c r="A1846" t="s">
        <v>54</v>
      </c>
      <c r="B1846" s="45" t="str">
        <f>INDEX(overview!$B$4:$R$338,MATCH(B1845,overview!$A$4:$A$338,0),MATCH(A1846,overview!$B$3:$R$3,0))</f>
        <v>electricity, from residential heating system</v>
      </c>
    </row>
    <row r="1847" spans="1:2" hidden="1" x14ac:dyDescent="0.2">
      <c r="A1847" t="s">
        <v>55</v>
      </c>
      <c r="B1847" s="45" t="str">
        <f>INDEX(overview!$B$4:$R$338,MATCH(B1845,overview!$A$4:$A$338,0),MATCH(A1847,overview!$B$3:$R$3,0))</f>
        <v>kilowatt hour</v>
      </c>
    </row>
    <row r="1848" spans="1:2" hidden="1" x14ac:dyDescent="0.2">
      <c r="A1848" t="s">
        <v>0</v>
      </c>
      <c r="B1848" s="45" t="str">
        <f>INDEX(overview!$B$4:$R$338,MATCH(B1845,overview!$A$4:$A$338,0),MATCH(A1848,overview!$B$3:$R$3,0))</f>
        <v>Switzerland</v>
      </c>
    </row>
    <row r="1849" spans="1:2" hidden="1" x14ac:dyDescent="0.2">
      <c r="A1849" t="s">
        <v>1</v>
      </c>
      <c r="B1849" s="45">
        <f>INDEX(overview!$B$4:$R$338,MATCH(B1845,overview!$A$4:$A$338,0),MATCH(A1849,overview!$B$3:$R$3,0))</f>
        <v>2020</v>
      </c>
    </row>
    <row r="1850" spans="1:2" hidden="1" x14ac:dyDescent="0.2">
      <c r="A1850" t="s">
        <v>2</v>
      </c>
      <c r="B1850" s="45" t="str">
        <f>INDEX(overview!$B$4:$R$338,MATCH(B1845,overview!$A$4:$A$338,0),MATCH(A1850,overview!$B$3:$R$3,0))</f>
        <v>1 kWh electricity</v>
      </c>
    </row>
    <row r="1851" spans="1:2" hidden="1" x14ac:dyDescent="0.2">
      <c r="A1851" t="s">
        <v>5</v>
      </c>
      <c r="B1851" s="45" t="str">
        <f>INDEX(overview!$B$4:$R$338,MATCH(B1845,overview!$A$4:$A$338,0),MATCH(A1851,overview!$B$3:$R$3,0))</f>
        <v>hydrogen</v>
      </c>
    </row>
    <row r="1852" spans="1:2" hidden="1" x14ac:dyDescent="0.2">
      <c r="A1852" t="s">
        <v>3</v>
      </c>
      <c r="B1852" s="45" t="str">
        <f>INDEX(overview!$B$4:$R$338,MATCH(B1845,overview!$A$4:$A$338,0),MATCH(A1852,overview!$B$3:$R$3,0))</f>
        <v>combustion</v>
      </c>
    </row>
    <row r="1853" spans="1:2" hidden="1" x14ac:dyDescent="0.2">
      <c r="A1853" t="s">
        <v>6</v>
      </c>
      <c r="B1853" s="45" t="str">
        <f>INDEX(overview!$B$4:$R$338,MATCH(B1845,overview!$A$4:$A$338,0),MATCH(A1853,overview!$B$3:$R$3,0))</f>
        <v>CHP</v>
      </c>
    </row>
    <row r="1854" spans="1:2" hidden="1" x14ac:dyDescent="0.2">
      <c r="A1854" t="s">
        <v>39</v>
      </c>
      <c r="B1854" s="45" t="str">
        <f>INDEX(overview!$B$4:$R$338,MATCH(B1845,overview!$A$4:$A$338,0),MATCH(A1854,overview!$B$3:$R$3,0))</f>
        <v>exergy</v>
      </c>
    </row>
    <row r="1855" spans="1:2" hidden="1" x14ac:dyDescent="0.2">
      <c r="A1855" t="s">
        <v>4</v>
      </c>
      <c r="B1855" s="45" t="str">
        <f>INDEX(overview!$B$4:$R$338,MATCH(B1845,overview!$A$4:$A$338,0),MATCH(A1855,overview!$B$3:$R$3,0))</f>
        <v>truck</v>
      </c>
    </row>
    <row r="1856" spans="1:2" hidden="1" x14ac:dyDescent="0.2">
      <c r="A1856" t="s">
        <v>38</v>
      </c>
      <c r="B1856" s="45">
        <f>INDEX(overview!$B$4:$R$338,MATCH(B1845,overview!$A$4:$A$338,0),MATCH(A1856,overview!$B$3:$R$3,0))</f>
        <v>200</v>
      </c>
    </row>
    <row r="1857" spans="1:2" hidden="1" x14ac:dyDescent="0.2">
      <c r="A1857" t="s">
        <v>12</v>
      </c>
      <c r="B1857" s="45" t="str">
        <f>INDEX(overview!$B$4:$R$338,MATCH(B1845,overview!$A$4:$A$338,0),MATCH(A1857,overview!$B$3:$R$3,0))</f>
        <v>Pressure vessel for stationary storage</v>
      </c>
    </row>
    <row r="1858" spans="1:2" hidden="1" x14ac:dyDescent="0.2">
      <c r="A1858" t="s">
        <v>34</v>
      </c>
      <c r="B1858" s="45">
        <f>INDEX(overview!$B$4:$R$338,MATCH(B1845,overview!$A$4:$A$338,0),MATCH(A1858,overview!$B$3:$R$3,0))</f>
        <v>0</v>
      </c>
    </row>
    <row r="1859" spans="1:2" hidden="1" x14ac:dyDescent="0.2">
      <c r="A1859" t="s">
        <v>15</v>
      </c>
      <c r="B1859" s="45" t="str">
        <f>INDEX(overview!$B$4:$R$338,MATCH(B1845,overview!$A$4:$A$338,0),MATCH(A1859,overview!$B$3:$R$3,0))</f>
        <v>Steam Methane Reforming</v>
      </c>
    </row>
    <row r="1860" spans="1:2" hidden="1" x14ac:dyDescent="0.2">
      <c r="A1860" t="s">
        <v>14</v>
      </c>
      <c r="B1860" s="45" t="str">
        <f>INDEX(overview!$B$4:$R$338,MATCH(B1845,overview!$A$4:$A$338,0),MATCH(A1860,overview!$B$3:$R$3,0))</f>
        <v>natural gas</v>
      </c>
    </row>
    <row r="1861" spans="1:2" hidden="1" x14ac:dyDescent="0.2">
      <c r="A1861" t="s">
        <v>26</v>
      </c>
      <c r="B1861" s="45" t="str">
        <f>INDEX(overview!$B$4:$R$338,MATCH(B1845,overview!$A$4:$A$338,0),MATCH(A1861,overview!$B$3:$R$3,0))</f>
        <v>Russia</v>
      </c>
    </row>
    <row r="1862" spans="1:2" hidden="1" x14ac:dyDescent="0.2">
      <c r="A1862" t="s">
        <v>29</v>
      </c>
      <c r="B1862" s="45">
        <f>INDEX(overview!$B$4:$R$338,MATCH(B1845,overview!$A$4:$A$338,0),MATCH(A1862,overview!$B$3:$R$3,0))</f>
        <v>0</v>
      </c>
    </row>
    <row r="1863" spans="1:2" hidden="1" x14ac:dyDescent="0.2">
      <c r="A1863" t="str">
        <f>IF(B1847="megajoule","Heat","Electricity")&amp;" conversion efficiency [% LHV input]"</f>
        <v>Electricity conversion efficiency [% LHV input]</v>
      </c>
      <c r="B1863" s="46">
        <f>INDEX(parameters!$D$4:$N$20,MATCH(B1851&amp;B1853,parameters!$A$4:$A$20,0),MATCH(A1863,parameters!$D$3:$N$3,0))</f>
        <v>0.39400000000000002</v>
      </c>
    </row>
    <row r="1864" spans="1:2" hidden="1" x14ac:dyDescent="0.2">
      <c r="A1864" t="str">
        <f>IF(B1847="megajoule","LHV [MJ/kg]","LHV [kWh/kg]")</f>
        <v>LHV [kWh/kg]</v>
      </c>
      <c r="B1864" s="47">
        <f>INDEX(parameters!$D$4:$N$20,MATCH(B1851&amp;B1853,parameters!$A$4:$A$20,0),MATCH(A1864,parameters!$D$3:$N$3,0))</f>
        <v>33.333333333333336</v>
      </c>
    </row>
    <row r="1865" spans="1:2" hidden="1" x14ac:dyDescent="0.2">
      <c r="A1865" t="s">
        <v>41</v>
      </c>
      <c r="B1865" s="48">
        <f>INDEX(parameters!$D$4:$N$20,MATCH(B1851&amp;B1853,parameters!$A$4:$A$20,0),MATCH(A1865,parameters!$D$3:$N$3,0))</f>
        <v>2.6666666666666665E-2</v>
      </c>
    </row>
    <row r="1866" spans="1:2" hidden="1" x14ac:dyDescent="0.2">
      <c r="A1866" t="s">
        <v>45</v>
      </c>
      <c r="B1866" s="46">
        <f>INDEX(parameters!$D$4:$N$20,MATCH(B1851&amp;B1853,parameters!$A$4:$A$20,0),MATCH(A1866,parameters!$D$3:$N$3,0))</f>
        <v>0</v>
      </c>
    </row>
    <row r="1867" spans="1:2" hidden="1" x14ac:dyDescent="0.2">
      <c r="A1867" t="s">
        <v>46</v>
      </c>
      <c r="B1867" s="46">
        <f>INDEX(parameters!$D$4:$N$20,MATCH(B1851&amp;B1853,parameters!$A$4:$A$20,0),MATCH(A1867,parameters!$D$3:$N$3,0))</f>
        <v>1.4999999999999999E-2</v>
      </c>
    </row>
    <row r="1868" spans="1:2" hidden="1" x14ac:dyDescent="0.2">
      <c r="A1868" t="s">
        <v>43</v>
      </c>
      <c r="B1868" s="46">
        <f>INDEX(parameters!$D$4:$N$20,MATCH(B1851&amp;B1853,parameters!$A$4:$A$20,0),MATCH(A1868,parameters!$D$3:$N$3,0))</f>
        <v>0</v>
      </c>
    </row>
    <row r="1869" spans="1:2" hidden="1" x14ac:dyDescent="0.2">
      <c r="A1869" t="s">
        <v>44</v>
      </c>
      <c r="B1869" s="46">
        <f>INDEX(parameters!$D$4:$N$20,MATCH(B1851&amp;B1853,parameters!$A$4:$A$20,0),MATCH(A1869,parameters!$D$3:$N$3,0))</f>
        <v>0</v>
      </c>
    </row>
    <row r="1870" spans="1:2" hidden="1" x14ac:dyDescent="0.2">
      <c r="A1870" t="s">
        <v>634</v>
      </c>
      <c r="B1870" s="50">
        <f>INDEX(parameters!$D$4:$Y$20,MATCH(B1851&amp;B1853,parameters!$A$4:$A$20,0),MATCH(A1870,parameters!$D$3:$Y$3,0))</f>
        <v>351.41800246609125</v>
      </c>
    </row>
    <row r="1871" spans="1:2" hidden="1" x14ac:dyDescent="0.2">
      <c r="A1871" t="s">
        <v>82</v>
      </c>
      <c r="B1871" s="46">
        <f>IF(B1862&lt;&gt;0,VLOOKUP(B1862,parameters!A1276:B1278,2,0),0)</f>
        <v>0</v>
      </c>
    </row>
    <row r="1872" spans="1:2" hidden="1" x14ac:dyDescent="0.2">
      <c r="A1872" t="s">
        <v>548</v>
      </c>
      <c r="B1872" s="50">
        <f>INDEX(parameters!$D$4:$P$20,MATCH(B1851&amp;B1853,parameters!$A$4:$A$20,0),MATCH(A1872,parameters!$D$3:$P$3,0))</f>
        <v>125</v>
      </c>
    </row>
    <row r="1873" spans="1:22" hidden="1" x14ac:dyDescent="0.2">
      <c r="A1873" t="s">
        <v>547</v>
      </c>
      <c r="B1873" s="51">
        <f>INDEX(parameters!$D$4:$P$20,MATCH(B1851&amp;B1853,parameters!$A$4:$A$20,0),MATCH(A1873,parameters!$D$3:$P$3,0))</f>
        <v>19.512195121951219</v>
      </c>
    </row>
    <row r="1874" spans="1:22" hidden="1" x14ac:dyDescent="0.2">
      <c r="A1874" t="s">
        <v>630</v>
      </c>
      <c r="B1874" s="51">
        <f>INDEX(parameters!$D$4:$T$20,MATCH(B1851&amp;B1853,parameters!$A$4:$A$20,0),MATCH(A1874,parameters!$D$3:$T$3,0))</f>
        <v>4100</v>
      </c>
    </row>
    <row r="1875" spans="1:22" hidden="1" x14ac:dyDescent="0.2">
      <c r="A1875" t="s">
        <v>1005</v>
      </c>
      <c r="B1875" s="50">
        <f>IF(B1847="megajoule",SUMIFS(allocation!$I$4:$I$30,allocation!$B$4:$B$30,B1853,allocation!$C$4:$C$30,B1854),SUMIFS(allocation!$J$4:$J$30,allocation!$B$4:$B$30,B1853,allocation!$C$4:$C$30,B1854))</f>
        <v>0.87139957772704957</v>
      </c>
    </row>
    <row r="1876" spans="1:22" hidden="1" x14ac:dyDescent="0.2">
      <c r="A1876" t="s">
        <v>1050</v>
      </c>
      <c r="B1876" s="51">
        <f>INDEX(parameters!$D$4:$AB$20,MATCH(B1851&amp;B1853,parameters!$A$4:$A$20,0),MATCH(A1876,parameters!$D$3:$AB$3,0))</f>
        <v>2220.7364520822662</v>
      </c>
    </row>
    <row r="1877" spans="1:22" hidden="1" x14ac:dyDescent="0.2"/>
    <row r="1878" spans="1:22" hidden="1" x14ac:dyDescent="0.2">
      <c r="A1878" s="3" t="s">
        <v>57</v>
      </c>
    </row>
    <row r="1879" spans="1:22" hidden="1" x14ac:dyDescent="0.2">
      <c r="A1879" s="2" t="s">
        <v>58</v>
      </c>
      <c r="B1879" s="44" t="s">
        <v>59</v>
      </c>
      <c r="C1879" s="2" t="s">
        <v>55</v>
      </c>
      <c r="D1879" s="2" t="s">
        <v>60</v>
      </c>
      <c r="E1879" s="2" t="s">
        <v>52</v>
      </c>
      <c r="F1879" s="2" t="s">
        <v>61</v>
      </c>
      <c r="G1879" s="2" t="s">
        <v>54</v>
      </c>
      <c r="H1879" s="2" t="s">
        <v>87</v>
      </c>
      <c r="I1879" s="2" t="s">
        <v>51</v>
      </c>
      <c r="J1879" s="2" t="s">
        <v>138</v>
      </c>
      <c r="K1879" s="2" t="s">
        <v>136</v>
      </c>
      <c r="L1879" s="2" t="s">
        <v>221</v>
      </c>
      <c r="M1879" s="2" t="s">
        <v>379</v>
      </c>
      <c r="N1879" s="2" t="s">
        <v>1059</v>
      </c>
      <c r="O1879" s="2" t="s">
        <v>1060</v>
      </c>
      <c r="P1879" s="2" t="s">
        <v>1061</v>
      </c>
      <c r="Q1879" s="2" t="s">
        <v>1062</v>
      </c>
      <c r="R1879" s="2" t="s">
        <v>1063</v>
      </c>
      <c r="S1879" s="2" t="s">
        <v>1064</v>
      </c>
      <c r="T1879" s="2" t="s">
        <v>1065</v>
      </c>
      <c r="U1879" s="2" t="s">
        <v>380</v>
      </c>
      <c r="V1879" s="2" t="s">
        <v>1128</v>
      </c>
    </row>
    <row r="1880" spans="1:22" hidden="1" x14ac:dyDescent="0.2">
      <c r="A1880" t="str">
        <f>B1841</f>
        <v>electricity, residential, by combustion of hydrogen using CHP, allocated by exergy, transported by truck, produced by Steam Methane Reforming using natural gas from Russia</v>
      </c>
      <c r="B1880" s="45">
        <v>1</v>
      </c>
      <c r="C1880" t="str">
        <f>B1847</f>
        <v>kilowatt hour</v>
      </c>
      <c r="E1880" t="str">
        <f>B1844</f>
        <v>CH</v>
      </c>
      <c r="F1880" t="s">
        <v>62</v>
      </c>
      <c r="G1880" t="str">
        <f>B1846</f>
        <v>electricity, from residential heating system</v>
      </c>
      <c r="K1880" t="str">
        <f>B1841</f>
        <v>electricity, residential, by combustion of hydrogen using CHP, allocated by exergy, transported by truck, produced by Steam Methane Reforming using natural gas from Russia</v>
      </c>
    </row>
    <row r="1881" spans="1:22" hidden="1" x14ac:dyDescent="0.2">
      <c r="A1881" t="str">
        <f>VLOOKUP(J1881,'dataset mapping'!$A$4:$E$69,2,0)</f>
        <v>heat and power co-generation unit construction, 160kW electrical, common components for heat+electricity</v>
      </c>
      <c r="B1881" s="52">
        <f>(1/(B1870*B1874*B1873))*B1875</f>
        <v>3.0995835856870056E-8</v>
      </c>
      <c r="C1881" t="str">
        <f>VLOOKUP(J1881,'dataset mapping'!$A$4:$E$69,5,0)</f>
        <v>unit</v>
      </c>
      <c r="E1881" t="str">
        <f>VLOOKUP(J1881,'dataset mapping'!$A$4:$E$69,4,0)</f>
        <v>RER</v>
      </c>
      <c r="F1881" t="s">
        <v>86</v>
      </c>
      <c r="G1881" t="str">
        <f>VLOOKUP(J1881,'dataset mapping'!$A$4:$E$69,3,0)</f>
        <v>heat and power co-generation unit, 160kW electrical, common components for heat+electricity</v>
      </c>
      <c r="H1881" t="s">
        <v>88</v>
      </c>
      <c r="J1881" t="s">
        <v>145</v>
      </c>
      <c r="K1881" t="str">
        <f>B1841</f>
        <v>electricity, residential, by combustion of hydrogen using CHP, allocated by exergy, transported by truck, produced by Steam Methane Reforming using natural gas from Russia</v>
      </c>
      <c r="L1881">
        <f t="shared" ref="L1881:L1889" si="119">IF(OR(B1881&lt;0,B1881=0),1,2)</f>
        <v>2</v>
      </c>
      <c r="M1881">
        <f t="shared" ref="M1881:M1889" si="120">IF(L1881=2,LN(B1881),"")</f>
        <v>-17.28941296868171</v>
      </c>
      <c r="N1881">
        <v>1.05</v>
      </c>
      <c r="O1881" s="15">
        <v>1.2</v>
      </c>
      <c r="P1881">
        <v>1</v>
      </c>
      <c r="Q1881">
        <v>1.01</v>
      </c>
      <c r="R1881">
        <v>1.2</v>
      </c>
      <c r="S1881">
        <v>1.2</v>
      </c>
      <c r="T1881">
        <v>3</v>
      </c>
      <c r="U1881">
        <f t="shared" ref="U1881:U1889" si="121">LN(SQRT(EXP(
SQRT(
+POWER(LN(N1881),2)
+POWER(LN(O1881),2)
+POWER(LN(P1881),2)
+POWER(LN(Q1881),2)
+POWER(LN(R1881),2)
+POWER(LN(S1881),2)
+POWER(LN(T1881),2)
)
)))</f>
        <v>0.57209088006881903</v>
      </c>
    </row>
    <row r="1882" spans="1:22" hidden="1" x14ac:dyDescent="0.2">
      <c r="A1882" t="str">
        <f>VLOOKUP(J1882,'dataset mapping'!$A$4:$E$69,2,0)</f>
        <v>heat and power co-generation unit construction, 160kW electrical, components for electricity only</v>
      </c>
      <c r="B1882" s="52">
        <f>(1/(B1870*B1874*B1873))*B1875</f>
        <v>3.0995835856870056E-8</v>
      </c>
      <c r="C1882" t="str">
        <f>VLOOKUP(J1882,'dataset mapping'!$A$4:$E$69,5,0)</f>
        <v>unit</v>
      </c>
      <c r="E1882" t="str">
        <f>VLOOKUP(J1882,'dataset mapping'!$A$4:$E$69,4,0)</f>
        <v>RER</v>
      </c>
      <c r="F1882" t="s">
        <v>86</v>
      </c>
      <c r="G1882" t="str">
        <f>VLOOKUP(J1882,'dataset mapping'!$A$4:$E$69,3,0)</f>
        <v>heat and power co-generation unit, 160kW electrical, components for electricity only</v>
      </c>
      <c r="H1882" t="s">
        <v>88</v>
      </c>
      <c r="J1882" t="s">
        <v>146</v>
      </c>
      <c r="K1882" t="str">
        <f>B1841</f>
        <v>electricity, residential, by combustion of hydrogen using CHP, allocated by exergy, transported by truck, produced by Steam Methane Reforming using natural gas from Russia</v>
      </c>
      <c r="L1882">
        <f t="shared" si="119"/>
        <v>2</v>
      </c>
      <c r="M1882">
        <f t="shared" si="120"/>
        <v>-17.28941296868171</v>
      </c>
      <c r="N1882">
        <v>1.05</v>
      </c>
      <c r="O1882" s="15">
        <v>1.2</v>
      </c>
      <c r="P1882">
        <v>1</v>
      </c>
      <c r="Q1882">
        <v>1.01</v>
      </c>
      <c r="R1882">
        <v>1.2</v>
      </c>
      <c r="S1882">
        <v>1.2</v>
      </c>
      <c r="T1882">
        <v>3</v>
      </c>
      <c r="U1882">
        <f t="shared" si="121"/>
        <v>0.57209088006881903</v>
      </c>
    </row>
    <row r="1883" spans="1:22" hidden="1" x14ac:dyDescent="0.2">
      <c r="A1883" t="str">
        <f>VLOOKUP(J1883,'dataset mapping'!$A$4:$E$69,2,0)</f>
        <v>heat and power co-generation unit construction, 160kW electrical, components for heat only</v>
      </c>
      <c r="B1883" s="52">
        <f>(1/(B1870*B1874*B1873))*B1875</f>
        <v>3.0995835856870056E-8</v>
      </c>
      <c r="C1883" t="str">
        <f>VLOOKUP(J1883,'dataset mapping'!$A$4:$E$69,5,0)</f>
        <v>unit</v>
      </c>
      <c r="E1883" t="str">
        <f>VLOOKUP(J1883,'dataset mapping'!$A$4:$E$69,4,0)</f>
        <v>RER</v>
      </c>
      <c r="F1883" t="s">
        <v>86</v>
      </c>
      <c r="G1883" t="str">
        <f>VLOOKUP(J1883,'dataset mapping'!$A$4:$E$69,3,0)</f>
        <v>heat and power co-generation unit, 160kW electrical, components for heat only</v>
      </c>
      <c r="H1883" t="s">
        <v>88</v>
      </c>
      <c r="J1883" t="s">
        <v>147</v>
      </c>
      <c r="K1883" t="str">
        <f>B1841</f>
        <v>electricity, residential, by combustion of hydrogen using CHP, allocated by exergy, transported by truck, produced by Steam Methane Reforming using natural gas from Russia</v>
      </c>
      <c r="L1883">
        <f t="shared" si="119"/>
        <v>2</v>
      </c>
      <c r="M1883">
        <f t="shared" si="120"/>
        <v>-17.28941296868171</v>
      </c>
      <c r="N1883">
        <v>1.05</v>
      </c>
      <c r="O1883" s="15">
        <v>1.2</v>
      </c>
      <c r="P1883">
        <v>1</v>
      </c>
      <c r="Q1883">
        <v>1.01</v>
      </c>
      <c r="R1883">
        <v>1.2</v>
      </c>
      <c r="S1883">
        <v>1.2</v>
      </c>
      <c r="T1883">
        <v>3</v>
      </c>
      <c r="U1883">
        <f t="shared" si="121"/>
        <v>0.57209088006881903</v>
      </c>
    </row>
    <row r="1884" spans="1:22" hidden="1" x14ac:dyDescent="0.2">
      <c r="A1884" t="s">
        <v>156</v>
      </c>
      <c r="B1884" s="52">
        <f>0.00000011366*B1875</f>
        <v>9.9043276004456456E-8</v>
      </c>
      <c r="C1884" t="s">
        <v>56</v>
      </c>
      <c r="E1884" t="s">
        <v>90</v>
      </c>
      <c r="F1884" t="s">
        <v>86</v>
      </c>
      <c r="G1884" t="s">
        <v>154</v>
      </c>
      <c r="H1884" t="s">
        <v>155</v>
      </c>
      <c r="K1884" t="str">
        <f>B1841</f>
        <v>electricity, residential, by combustion of hydrogen using CHP, allocated by exergy, transported by truck, produced by Steam Methane Reforming using natural gas from Russia</v>
      </c>
      <c r="L1884">
        <f t="shared" si="119"/>
        <v>2</v>
      </c>
      <c r="M1884">
        <f t="shared" si="120"/>
        <v>-16.127708950967754</v>
      </c>
      <c r="N1884">
        <v>1.05</v>
      </c>
      <c r="O1884" s="15">
        <v>1.2</v>
      </c>
      <c r="P1884">
        <v>1</v>
      </c>
      <c r="Q1884">
        <v>1.01</v>
      </c>
      <c r="R1884">
        <v>1.2</v>
      </c>
      <c r="S1884">
        <v>1.2</v>
      </c>
      <c r="T1884">
        <v>1.05</v>
      </c>
      <c r="U1884">
        <f t="shared" si="121"/>
        <v>0.16169679924070957</v>
      </c>
    </row>
    <row r="1885" spans="1:22" hidden="1" x14ac:dyDescent="0.2">
      <c r="A1885" t="s">
        <v>157</v>
      </c>
      <c r="B1885" s="52">
        <f>0.00000011366*B1875*-1</f>
        <v>-9.9043276004456456E-8</v>
      </c>
      <c r="C1885" t="s">
        <v>56</v>
      </c>
      <c r="E1885" t="s">
        <v>64</v>
      </c>
      <c r="F1885" t="s">
        <v>86</v>
      </c>
      <c r="G1885" t="s">
        <v>158</v>
      </c>
      <c r="H1885" t="s">
        <v>155</v>
      </c>
      <c r="K1885" t="str">
        <f>B1841</f>
        <v>electricity, residential, by combustion of hydrogen using CHP, allocated by exergy, transported by truck, produced by Steam Methane Reforming using natural gas from Russia</v>
      </c>
      <c r="L1885">
        <v>2</v>
      </c>
      <c r="M1885">
        <f>IF(L1885=2,LN(B1885*-1),"")</f>
        <v>-16.127708950967754</v>
      </c>
      <c r="N1885">
        <v>1.05</v>
      </c>
      <c r="O1885" s="15">
        <v>1.2</v>
      </c>
      <c r="P1885">
        <v>1</v>
      </c>
      <c r="Q1885">
        <v>1.01</v>
      </c>
      <c r="R1885">
        <v>1.2</v>
      </c>
      <c r="S1885">
        <v>1.2</v>
      </c>
      <c r="T1885">
        <v>3</v>
      </c>
      <c r="U1885">
        <f>LN(SQRT(EXP(
SQRT(
+POWER(LN(N1885),2)
+POWER(LN(O1885),2)
+POWER(LN(P1885),2)
+POWER(LN(Q1885),2)
+POWER(LN(R1885),2)
+POWER(LN(S1885),2)
+POWER(LN(T1885),2)
)
)))</f>
        <v>0.57209088006881903</v>
      </c>
      <c r="V1885" t="b">
        <v>1</v>
      </c>
    </row>
    <row r="1886" spans="1:22" hidden="1" x14ac:dyDescent="0.2">
      <c r="A1886" s="45" t="str">
        <f>"hydrogen supply, transported by "&amp;B1855&amp;", produced by "&amp;B1859&amp;" using "&amp;B1860&amp;" from "&amp;B1861</f>
        <v>hydrogen supply, transported by truck, produced by Steam Methane Reforming using natural gas from Russia</v>
      </c>
      <c r="B1886" s="53">
        <f>(B1880/B1864)/B1863*B1875</f>
        <v>6.6350221654343872E-2</v>
      </c>
      <c r="C1886" t="s">
        <v>56</v>
      </c>
      <c r="E1886" t="s">
        <v>64</v>
      </c>
      <c r="F1886" t="s">
        <v>86</v>
      </c>
      <c r="G1886" t="s">
        <v>1137</v>
      </c>
      <c r="H1886" t="s">
        <v>76</v>
      </c>
      <c r="I1886" t="s">
        <v>1054</v>
      </c>
      <c r="J1886" t="s">
        <v>364</v>
      </c>
      <c r="K1886" t="str">
        <f>B1841</f>
        <v>electricity, residential, by combustion of hydrogen using CHP, allocated by exergy, transported by truck, produced by Steam Methane Reforming using natural gas from Russia</v>
      </c>
      <c r="L1886">
        <f t="shared" si="119"/>
        <v>2</v>
      </c>
      <c r="M1886">
        <f t="shared" si="120"/>
        <v>-2.7128081775260964</v>
      </c>
      <c r="N1886">
        <v>1.05</v>
      </c>
      <c r="O1886" s="15">
        <v>1.2</v>
      </c>
      <c r="P1886">
        <v>1</v>
      </c>
      <c r="Q1886">
        <v>1.01</v>
      </c>
      <c r="R1886">
        <v>1.2</v>
      </c>
      <c r="S1886">
        <v>1.2</v>
      </c>
      <c r="T1886">
        <v>1.05</v>
      </c>
      <c r="U1886">
        <f t="shared" si="121"/>
        <v>0.16169679924070957</v>
      </c>
    </row>
    <row r="1887" spans="1:22" hidden="1" x14ac:dyDescent="0.2">
      <c r="A1887" t="str">
        <f>VLOOKUP(J1887,'dataset mapping'!$A$4:$E$69,2,0)</f>
        <v>high pressure hydrogen storage tank</v>
      </c>
      <c r="B1887" s="52">
        <f>((B1876/10)/(B1874*B1870*20))*IF(B1875&lt;&gt;0,B1875,1)</f>
        <v>6.7154714683034044E-6</v>
      </c>
      <c r="C1887" t="str">
        <f>VLOOKUP(J1887,'dataset mapping'!$A$4:$E$69,5,0)</f>
        <v>kilogram</v>
      </c>
      <c r="E1887" t="str">
        <f>VLOOKUP(J1887,'dataset mapping'!$A$4:$E$69,4,0)</f>
        <v>GLO</v>
      </c>
      <c r="F1887" t="s">
        <v>86</v>
      </c>
      <c r="G1887" t="str">
        <f>VLOOKUP(J1887,'dataset mapping'!$A$4:$E$69,3,0)</f>
        <v>high pressure hydrogen storage tank</v>
      </c>
      <c r="H1887" t="s">
        <v>88</v>
      </c>
      <c r="I1887" t="s">
        <v>279</v>
      </c>
      <c r="J1887" t="s">
        <v>229</v>
      </c>
      <c r="K1887" t="str">
        <f>B1841</f>
        <v>electricity, residential, by combustion of hydrogen using CHP, allocated by exergy, transported by truck, produced by Steam Methane Reforming using natural gas from Russia</v>
      </c>
      <c r="L1887">
        <f t="shared" si="119"/>
        <v>2</v>
      </c>
      <c r="M1887">
        <f t="shared" si="120"/>
        <v>-11.911096519239557</v>
      </c>
      <c r="N1887">
        <v>1.05</v>
      </c>
      <c r="O1887" s="15">
        <v>1.2</v>
      </c>
      <c r="P1887">
        <v>1</v>
      </c>
      <c r="Q1887">
        <v>1.01</v>
      </c>
      <c r="R1887">
        <v>1.2</v>
      </c>
      <c r="S1887">
        <v>1.2</v>
      </c>
      <c r="T1887">
        <v>3</v>
      </c>
      <c r="U1887">
        <f t="shared" si="121"/>
        <v>0.57209088006881903</v>
      </c>
    </row>
    <row r="1888" spans="1:22" hidden="1" x14ac:dyDescent="0.2">
      <c r="A1888" t="s">
        <v>134</v>
      </c>
      <c r="B1888" s="45">
        <f>B1886*9</f>
        <v>0.59715199488909487</v>
      </c>
      <c r="C1888" t="s">
        <v>56</v>
      </c>
      <c r="D1888" t="s">
        <v>100</v>
      </c>
      <c r="F1888" t="s">
        <v>99</v>
      </c>
      <c r="H1888" t="s">
        <v>131</v>
      </c>
      <c r="I1888" t="s">
        <v>1058</v>
      </c>
      <c r="K1888" t="str">
        <f>B1841</f>
        <v>electricity, residential, by combustion of hydrogen using CHP, allocated by exergy, transported by truck, produced by Steam Methane Reforming using natural gas from Russia</v>
      </c>
      <c r="L1888">
        <f t="shared" si="119"/>
        <v>2</v>
      </c>
      <c r="M1888">
        <f t="shared" si="120"/>
        <v>-0.51558360018987692</v>
      </c>
      <c r="N1888">
        <v>1.05</v>
      </c>
      <c r="O1888" s="15">
        <v>1.2</v>
      </c>
      <c r="P1888">
        <v>1</v>
      </c>
      <c r="Q1888">
        <v>1.01</v>
      </c>
      <c r="R1888">
        <v>1.2</v>
      </c>
      <c r="S1888">
        <v>1.2</v>
      </c>
      <c r="T1888">
        <v>1.05</v>
      </c>
      <c r="U1888">
        <f t="shared" si="121"/>
        <v>0.16169679924070957</v>
      </c>
    </row>
    <row r="1889" spans="1:21" hidden="1" x14ac:dyDescent="0.2">
      <c r="A1889" t="s">
        <v>135</v>
      </c>
      <c r="B1889" s="45">
        <f>912.5/1000000*B1886</f>
        <v>6.0544577259588785E-5</v>
      </c>
      <c r="C1889" t="s">
        <v>56</v>
      </c>
      <c r="D1889" t="s">
        <v>100</v>
      </c>
      <c r="F1889" t="s">
        <v>99</v>
      </c>
      <c r="H1889" t="s">
        <v>131</v>
      </c>
      <c r="I1889" t="s">
        <v>1217</v>
      </c>
      <c r="K1889" t="str">
        <f>B1841</f>
        <v>electricity, residential, by combustion of hydrogen using CHP, allocated by exergy, transported by truck, produced by Steam Methane Reforming using natural gas from Russia</v>
      </c>
      <c r="L1889">
        <f t="shared" si="119"/>
        <v>2</v>
      </c>
      <c r="M1889">
        <f t="shared" si="120"/>
        <v>-9.712130650033723</v>
      </c>
      <c r="N1889">
        <v>1.05</v>
      </c>
      <c r="O1889" s="15">
        <v>1.2</v>
      </c>
      <c r="P1889">
        <v>1</v>
      </c>
      <c r="Q1889">
        <v>1.01</v>
      </c>
      <c r="R1889">
        <v>1.2</v>
      </c>
      <c r="S1889">
        <v>1.2</v>
      </c>
      <c r="T1889">
        <v>1.5</v>
      </c>
      <c r="U1889">
        <f t="shared" si="121"/>
        <v>0.25816898211842121</v>
      </c>
    </row>
    <row r="1890" spans="1:21" hidden="1" x14ac:dyDescent="0.2"/>
    <row r="1891" spans="1:21" hidden="1" x14ac:dyDescent="0.2">
      <c r="A1891" s="2" t="s">
        <v>50</v>
      </c>
      <c r="B1891" s="44" t="str">
        <f>IF(B1897="megajoule","heat","electricity")&amp;", residential, by "&amp;B1902&amp;" of "&amp;B1901&amp;" using "&amp;B1903&amp;IF(B1904&lt;&gt;0,", allocated by "&amp;B1904,"")&amp;", transported by "&amp;B1905&amp;", produced by "&amp;B1909&amp;" using "&amp;B1910&amp;" from "&amp;B1911</f>
        <v>electricity, residential, by conversion of hydrogen using fuel cell, PEM, allocated by exergy, transported by truck, produced by Steam Methane Reforming using natural gas from Russia</v>
      </c>
    </row>
    <row r="1892" spans="1:21" hidden="1" x14ac:dyDescent="0.2">
      <c r="A1892" t="s">
        <v>51</v>
      </c>
      <c r="B1892" s="45" t="str">
        <f>"This dataset represents the supply of 1 "&amp;IF(B1897="megajoule","megajoule of heat","kilowatt hour of electricity")&amp;" in a residence, by "&amp;B1901&amp;" "&amp;B1902&amp;" in a "&amp;B1903&amp;". "&amp;" The hydrogen is transported by "&amp;B1905&amp;" over "&amp;B1906&amp;" km from regional storage. "&amp;" The "&amp;B1901&amp;" is produced by  "&amp;B1909&amp;", with "&amp;B1910&amp;" from "&amp;B1911&amp;" as feedstock. "&amp;A1913&amp;": "&amp;(B1913*100)&amp;"%. "&amp;A1914&amp;": "&amp;B1914&amp;". "&amp;A1915&amp;": "&amp;B1915&amp;". "&amp;A1916&amp;": "&amp;(B1916*100)&amp;"%. "&amp;A1917&amp;": "&amp;(B1917*100)&amp;"%. "&amp;A1918&amp;": "&amp;(B1918*100)&amp;"%. "&amp;A1919&amp;": "&amp;B1919&amp;". "&amp;A1920&amp;": "&amp;B1920&amp;". "&amp;A1921&amp;": "&amp;(B1921*100)&amp;"%. "&amp;A1922&amp;": "&amp;B1922&amp;". "&amp;A1923&amp;": "&amp;B1923&amp;". "&amp;A1924&amp;": "&amp;B1924&amp;". "&amp;A1925&amp;": "&amp;B1925&amp;".  For more information, refer to: "&amp;B1893</f>
        <v>This dataset represents the supply of 1 kilowatt hour of electricity in a residence, by hydrogen conversion in a fuel cell, PEM.  The hydrogen is transported by truck over 200 km from regional storage.  The hydrogen is produced by  Steam Methane Reforming, with natural gas from Russia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1893" spans="1:21" hidden="1" x14ac:dyDescent="0.2">
      <c r="A1893" t="s">
        <v>63</v>
      </c>
      <c r="B1893" s="45" t="s">
        <v>660</v>
      </c>
    </row>
    <row r="1894" spans="1:21" hidden="1" x14ac:dyDescent="0.2">
      <c r="A1894" t="s">
        <v>52</v>
      </c>
      <c r="B1894" s="45" t="s">
        <v>64</v>
      </c>
    </row>
    <row r="1895" spans="1:21" hidden="1" x14ac:dyDescent="0.2">
      <c r="A1895" t="s">
        <v>48</v>
      </c>
      <c r="B1895" s="45" t="s">
        <v>989</v>
      </c>
    </row>
    <row r="1896" spans="1:21" hidden="1" x14ac:dyDescent="0.2">
      <c r="A1896" t="s">
        <v>54</v>
      </c>
      <c r="B1896" s="45" t="str">
        <f>INDEX(overview!$B$4:$R$338,MATCH(B1895,overview!$A$4:$A$338,0),MATCH(A1896,overview!$B$3:$R$3,0))</f>
        <v>electricity, from residential heating system</v>
      </c>
    </row>
    <row r="1897" spans="1:21" hidden="1" x14ac:dyDescent="0.2">
      <c r="A1897" t="s">
        <v>55</v>
      </c>
      <c r="B1897" s="45" t="str">
        <f>INDEX(overview!$B$4:$R$338,MATCH(B1895,overview!$A$4:$A$338,0),MATCH(A1897,overview!$B$3:$R$3,0))</f>
        <v>kilowatt hour</v>
      </c>
    </row>
    <row r="1898" spans="1:21" hidden="1" x14ac:dyDescent="0.2">
      <c r="A1898" t="s">
        <v>0</v>
      </c>
      <c r="B1898" s="45" t="str">
        <f>INDEX(overview!$B$4:$R$338,MATCH(B1895,overview!$A$4:$A$338,0),MATCH(A1898,overview!$B$3:$R$3,0))</f>
        <v>Switzerland</v>
      </c>
    </row>
    <row r="1899" spans="1:21" hidden="1" x14ac:dyDescent="0.2">
      <c r="A1899" t="s">
        <v>1</v>
      </c>
      <c r="B1899" s="45">
        <f>INDEX(overview!$B$4:$R$338,MATCH(B1895,overview!$A$4:$A$338,0),MATCH(A1899,overview!$B$3:$R$3,0))</f>
        <v>2020</v>
      </c>
    </row>
    <row r="1900" spans="1:21" hidden="1" x14ac:dyDescent="0.2">
      <c r="A1900" t="s">
        <v>2</v>
      </c>
      <c r="B1900" s="45" t="str">
        <f>INDEX(overview!$B$4:$R$338,MATCH(B1895,overview!$A$4:$A$338,0),MATCH(A1900,overview!$B$3:$R$3,0))</f>
        <v>1 kWh electricity</v>
      </c>
    </row>
    <row r="1901" spans="1:21" hidden="1" x14ac:dyDescent="0.2">
      <c r="A1901" t="s">
        <v>5</v>
      </c>
      <c r="B1901" s="45" t="str">
        <f>INDEX(overview!$B$4:$R$338,MATCH(B1895,overview!$A$4:$A$338,0),MATCH(A1901,overview!$B$3:$R$3,0))</f>
        <v>hydrogen</v>
      </c>
    </row>
    <row r="1902" spans="1:21" hidden="1" x14ac:dyDescent="0.2">
      <c r="A1902" t="s">
        <v>3</v>
      </c>
      <c r="B1902" s="45" t="str">
        <f>INDEX(overview!$B$4:$R$338,MATCH(B1895,overview!$A$4:$A$338,0),MATCH(A1902,overview!$B$3:$R$3,0))</f>
        <v>conversion</v>
      </c>
    </row>
    <row r="1903" spans="1:21" hidden="1" x14ac:dyDescent="0.2">
      <c r="A1903" t="s">
        <v>6</v>
      </c>
      <c r="B1903" s="45" t="str">
        <f>INDEX(overview!$B$4:$R$338,MATCH(B1895,overview!$A$4:$A$338,0),MATCH(A1903,overview!$B$3:$R$3,0))</f>
        <v>fuel cell, PEM</v>
      </c>
    </row>
    <row r="1904" spans="1:21" hidden="1" x14ac:dyDescent="0.2">
      <c r="A1904" t="s">
        <v>39</v>
      </c>
      <c r="B1904" s="45" t="str">
        <f>INDEX(overview!$B$4:$R$338,MATCH(B1895,overview!$A$4:$A$338,0),MATCH(A1904,overview!$B$3:$R$3,0))</f>
        <v>exergy</v>
      </c>
    </row>
    <row r="1905" spans="1:2" hidden="1" x14ac:dyDescent="0.2">
      <c r="A1905" t="s">
        <v>4</v>
      </c>
      <c r="B1905" s="45" t="str">
        <f>INDEX(overview!$B$4:$R$338,MATCH(B1895,overview!$A$4:$A$338,0),MATCH(A1905,overview!$B$3:$R$3,0))</f>
        <v>truck</v>
      </c>
    </row>
    <row r="1906" spans="1:2" hidden="1" x14ac:dyDescent="0.2">
      <c r="A1906" t="s">
        <v>38</v>
      </c>
      <c r="B1906" s="45">
        <f>INDEX(overview!$B$4:$R$338,MATCH(B1895,overview!$A$4:$A$338,0),MATCH(A1906,overview!$B$3:$R$3,0))</f>
        <v>200</v>
      </c>
    </row>
    <row r="1907" spans="1:2" hidden="1" x14ac:dyDescent="0.2">
      <c r="A1907" t="s">
        <v>12</v>
      </c>
      <c r="B1907" s="45" t="str">
        <f>INDEX(overview!$B$4:$R$338,MATCH(B1895,overview!$A$4:$A$338,0),MATCH(A1907,overview!$B$3:$R$3,0))</f>
        <v>Pressure vessel for stationary storage</v>
      </c>
    </row>
    <row r="1908" spans="1:2" hidden="1" x14ac:dyDescent="0.2">
      <c r="A1908" t="s">
        <v>34</v>
      </c>
      <c r="B1908" s="45">
        <f>INDEX(overview!$B$4:$R$338,MATCH(B1895,overview!$A$4:$A$338,0),MATCH(A1908,overview!$B$3:$R$3,0))</f>
        <v>0</v>
      </c>
    </row>
    <row r="1909" spans="1:2" hidden="1" x14ac:dyDescent="0.2">
      <c r="A1909" t="s">
        <v>15</v>
      </c>
      <c r="B1909" s="45" t="str">
        <f>INDEX(overview!$B$4:$R$338,MATCH(B1895,overview!$A$4:$A$338,0),MATCH(A1909,overview!$B$3:$R$3,0))</f>
        <v>Steam Methane Reforming</v>
      </c>
    </row>
    <row r="1910" spans="1:2" hidden="1" x14ac:dyDescent="0.2">
      <c r="A1910" t="s">
        <v>14</v>
      </c>
      <c r="B1910" s="45" t="str">
        <f>INDEX(overview!$B$4:$R$338,MATCH(B1895,overview!$A$4:$A$338,0),MATCH(A1910,overview!$B$3:$R$3,0))</f>
        <v>natural gas</v>
      </c>
    </row>
    <row r="1911" spans="1:2" hidden="1" x14ac:dyDescent="0.2">
      <c r="A1911" t="s">
        <v>26</v>
      </c>
      <c r="B1911" s="45" t="str">
        <f>INDEX(overview!$B$4:$R$338,MATCH(B1895,overview!$A$4:$A$338,0),MATCH(A1911,overview!$B$3:$R$3,0))</f>
        <v>Russia</v>
      </c>
    </row>
    <row r="1912" spans="1:2" hidden="1" x14ac:dyDescent="0.2">
      <c r="A1912" t="s">
        <v>29</v>
      </c>
      <c r="B1912" s="45">
        <f>INDEX(overview!$B$4:$R$338,MATCH(B1895,overview!$A$4:$A$338,0),MATCH(A1912,overview!$B$3:$R$3,0))</f>
        <v>0</v>
      </c>
    </row>
    <row r="1913" spans="1:2" hidden="1" x14ac:dyDescent="0.2">
      <c r="A1913" t="str">
        <f>IF(B1897="megajoule","Heat","Electricity")&amp;" conversion efficiency [% LHV input]"</f>
        <v>Electricity conversion efficiency [% LHV input]</v>
      </c>
      <c r="B1913" s="46">
        <f>INDEX(parameters!$D$4:$N$20,MATCH(B1901&amp;B1903,parameters!$A$4:$A$20,0),MATCH(A1913,parameters!$D$3:$N$3,0))</f>
        <v>0.45</v>
      </c>
    </row>
    <row r="1914" spans="1:2" hidden="1" x14ac:dyDescent="0.2">
      <c r="A1914" t="str">
        <f>IF(B1897="megajoule","LHV [MJ/kg]","LHV [kWh/kg]")</f>
        <v>LHV [kWh/kg]</v>
      </c>
      <c r="B1914" s="47">
        <f>INDEX(parameters!$D$4:$N$20,MATCH(B1901&amp;B1903,parameters!$A$4:$A$20,0),MATCH(A1914,parameters!$D$3:$N$3,0))</f>
        <v>33.333333333333336</v>
      </c>
    </row>
    <row r="1915" spans="1:2" hidden="1" x14ac:dyDescent="0.2">
      <c r="A1915" t="s">
        <v>41</v>
      </c>
      <c r="B1915" s="48">
        <f>INDEX(parameters!$D$4:$N$20,MATCH(B1901&amp;B1903,parameters!$A$4:$A$20,0),MATCH(A1915,parameters!$D$3:$N$3,0))</f>
        <v>2.6666666666666665E-2</v>
      </c>
    </row>
    <row r="1916" spans="1:2" hidden="1" x14ac:dyDescent="0.2">
      <c r="A1916" t="s">
        <v>45</v>
      </c>
      <c r="B1916" s="46">
        <f>INDEX(parameters!$D$4:$N$20,MATCH(B1901&amp;B1903,parameters!$A$4:$A$20,0),MATCH(A1916,parameters!$D$3:$N$3,0))</f>
        <v>0</v>
      </c>
    </row>
    <row r="1917" spans="1:2" hidden="1" x14ac:dyDescent="0.2">
      <c r="A1917" t="s">
        <v>46</v>
      </c>
      <c r="B1917" s="46">
        <f>INDEX(parameters!$D$4:$N$20,MATCH(B1901&amp;B1903,parameters!$A$4:$A$20,0),MATCH(A1917,parameters!$D$3:$N$3,0))</f>
        <v>1.4999999999999999E-2</v>
      </c>
    </row>
    <row r="1918" spans="1:2" hidden="1" x14ac:dyDescent="0.2">
      <c r="A1918" t="s">
        <v>43</v>
      </c>
      <c r="B1918" s="46">
        <f>INDEX(parameters!$D$4:$N$20,MATCH(B1901&amp;B1903,parameters!$A$4:$A$20,0),MATCH(A1918,parameters!$D$3:$N$3,0))</f>
        <v>0</v>
      </c>
    </row>
    <row r="1919" spans="1:2" hidden="1" x14ac:dyDescent="0.2">
      <c r="A1919" t="s">
        <v>44</v>
      </c>
      <c r="B1919" s="46">
        <f>INDEX(parameters!$D$4:$N$20,MATCH(B1901&amp;B1903,parameters!$A$4:$A$20,0),MATCH(A1919,parameters!$D$3:$N$3,0))</f>
        <v>0</v>
      </c>
    </row>
    <row r="1920" spans="1:2" hidden="1" x14ac:dyDescent="0.2">
      <c r="A1920" t="s">
        <v>634</v>
      </c>
      <c r="B1920" s="50">
        <f>INDEX(parameters!$D$4:$Y$20,MATCH(B1901&amp;B1903,parameters!$A$4:$A$20,0),MATCH(A1920,parameters!$D$3:$Y$3,0))</f>
        <v>1.8947368421052633</v>
      </c>
    </row>
    <row r="1921" spans="1:22" hidden="1" x14ac:dyDescent="0.2">
      <c r="A1921" t="s">
        <v>82</v>
      </c>
      <c r="B1921" s="46">
        <f>IF(B1912&lt;&gt;0,VLOOKUP(B1912,parameters!A1329:B1331,2,0),0)</f>
        <v>0</v>
      </c>
    </row>
    <row r="1922" spans="1:22" hidden="1" x14ac:dyDescent="0.2">
      <c r="A1922" t="s">
        <v>548</v>
      </c>
      <c r="B1922" s="50">
        <f>INDEX(parameters!$D$4:$P$20,MATCH(B1901&amp;B1903,parameters!$A$4:$A$20,0),MATCH(A1922,parameters!$D$3:$P$3,0))</f>
        <v>0.8</v>
      </c>
    </row>
    <row r="1923" spans="1:22" hidden="1" x14ac:dyDescent="0.2">
      <c r="A1923" t="s">
        <v>547</v>
      </c>
      <c r="B1923" s="51">
        <f>INDEX(parameters!$D$4:$P$20,MATCH(B1901&amp;B1903,parameters!$A$4:$A$20,0),MATCH(A1923,parameters!$D$3:$P$3,0))</f>
        <v>4.8780487804878048</v>
      </c>
    </row>
    <row r="1924" spans="1:22" hidden="1" x14ac:dyDescent="0.2">
      <c r="A1924" t="s">
        <v>630</v>
      </c>
      <c r="B1924" s="51">
        <f>INDEX(parameters!$D$4:$T$20,MATCH(B1901&amp;B1903,parameters!$A$4:$A$20,0),MATCH(A1924,parameters!$D$3:$T$3,0))</f>
        <v>4100</v>
      </c>
    </row>
    <row r="1925" spans="1:22" hidden="1" x14ac:dyDescent="0.2">
      <c r="A1925" t="s">
        <v>1005</v>
      </c>
      <c r="B1925" s="50">
        <f>IF(B1897="megajoule",SUMIFS(allocation!$I$4:$I$30,allocation!$B$4:$B$30,B1903,allocation!$C$4:$C$30,B1904),SUMIFS(allocation!$J$4:$J$30,allocation!$B$4:$B$30,B1903,allocation!$C$4:$C$30,B1904))</f>
        <v>0.86066019201025545</v>
      </c>
    </row>
    <row r="1926" spans="1:22" hidden="1" x14ac:dyDescent="0.2">
      <c r="A1926" t="s">
        <v>1050</v>
      </c>
      <c r="B1926" s="51">
        <f>INDEX(parameters!$D$4:$AB$20,MATCH(B1901&amp;B1903,parameters!$A$4:$A$20,0),MATCH(A1926,parameters!$D$3:$AB$3,0))</f>
        <v>10.221606648199446</v>
      </c>
    </row>
    <row r="1927" spans="1:22" hidden="1" x14ac:dyDescent="0.2"/>
    <row r="1928" spans="1:22" hidden="1" x14ac:dyDescent="0.2">
      <c r="A1928" s="3" t="s">
        <v>57</v>
      </c>
    </row>
    <row r="1929" spans="1:22" hidden="1" x14ac:dyDescent="0.2">
      <c r="A1929" s="2" t="s">
        <v>58</v>
      </c>
      <c r="B1929" s="44" t="s">
        <v>59</v>
      </c>
      <c r="C1929" s="2" t="s">
        <v>55</v>
      </c>
      <c r="D1929" s="2" t="s">
        <v>60</v>
      </c>
      <c r="E1929" s="2" t="s">
        <v>52</v>
      </c>
      <c r="F1929" s="2" t="s">
        <v>61</v>
      </c>
      <c r="G1929" s="2" t="s">
        <v>54</v>
      </c>
      <c r="H1929" s="2" t="s">
        <v>87</v>
      </c>
      <c r="I1929" s="2" t="s">
        <v>51</v>
      </c>
      <c r="J1929" s="2" t="s">
        <v>138</v>
      </c>
      <c r="K1929" s="2" t="s">
        <v>136</v>
      </c>
      <c r="L1929" s="2" t="s">
        <v>221</v>
      </c>
      <c r="M1929" s="2" t="s">
        <v>379</v>
      </c>
      <c r="N1929" s="2" t="s">
        <v>1059</v>
      </c>
      <c r="O1929" s="2" t="s">
        <v>1060</v>
      </c>
      <c r="P1929" s="2" t="s">
        <v>1061</v>
      </c>
      <c r="Q1929" s="2" t="s">
        <v>1062</v>
      </c>
      <c r="R1929" s="2" t="s">
        <v>1063</v>
      </c>
      <c r="S1929" s="2" t="s">
        <v>1064</v>
      </c>
      <c r="T1929" s="2" t="s">
        <v>1065</v>
      </c>
      <c r="U1929" s="2" t="s">
        <v>380</v>
      </c>
      <c r="V1929" s="2" t="s">
        <v>1128</v>
      </c>
    </row>
    <row r="1930" spans="1:22" x14ac:dyDescent="0.2">
      <c r="A1930" t="str">
        <f>B1891</f>
        <v>electricity, residential, by conversion of hydrogen using fuel cell, PEM, allocated by exergy, transported by truck, produced by Steam Methane Reforming using natural gas from Russia</v>
      </c>
      <c r="B1930" s="45">
        <v>1</v>
      </c>
      <c r="C1930" t="str">
        <f>B1897</f>
        <v>kilowatt hour</v>
      </c>
      <c r="E1930" t="str">
        <f>B1894</f>
        <v>CH</v>
      </c>
      <c r="F1930" t="s">
        <v>62</v>
      </c>
      <c r="G1930" t="str">
        <f>B1896</f>
        <v>electricity, from residential heating system</v>
      </c>
      <c r="K1930" t="str">
        <f>B1891</f>
        <v>electricity, residential, by conversion of hydrogen using fuel cell, PEM, allocated by exergy, transported by truck, produced by Steam Methane Reforming using natural gas from Russia</v>
      </c>
    </row>
    <row r="1931" spans="1:22" hidden="1" x14ac:dyDescent="0.2">
      <c r="A1931" t="str">
        <f>VLOOKUP(J1931,'dataset mapping'!$A$4:$E$69,2,0)</f>
        <v>fuel cell system assembly, 1 kWe, proton exchange membrane (PEM)</v>
      </c>
      <c r="B1931" s="52">
        <f>(1/(B1920*B1924*B1923))*B1925</f>
        <v>2.2711866178048405E-5</v>
      </c>
      <c r="C1931" t="str">
        <f>VLOOKUP(J1931,'dataset mapping'!$A$4:$E$69,5,0)</f>
        <v>unit</v>
      </c>
      <c r="E1931" t="str">
        <f>VLOOKUP(J1931,'dataset mapping'!$A$4:$E$69,4,0)</f>
        <v>GLO</v>
      </c>
      <c r="F1931" t="s">
        <v>86</v>
      </c>
      <c r="G1931" t="str">
        <f>VLOOKUP(J1931,'dataset mapping'!$A$4:$E$69,3,0)</f>
        <v>fuel cell system, 1 kWe, proton exchange membrane (PEM)</v>
      </c>
      <c r="H1931" t="s">
        <v>88</v>
      </c>
      <c r="I1931" t="s">
        <v>272</v>
      </c>
      <c r="J1931" t="s">
        <v>273</v>
      </c>
      <c r="K1931" t="str">
        <f>B1891</f>
        <v>electricity, residential, by conversion of hydrogen using fuel cell, PEM, allocated by exergy, transported by truck, produced by Steam Methane Reforming using natural gas from Russia</v>
      </c>
      <c r="L1931">
        <f t="shared" ref="L1931:L1934" si="122">IF(OR(B1931&lt;0,B1931=0),1,2)</f>
        <v>2</v>
      </c>
      <c r="M1931">
        <f t="shared" ref="M1931:M1934" si="123">IF(L1931=2,LN(B1931),"")</f>
        <v>-10.692623030936341</v>
      </c>
      <c r="N1931">
        <v>1</v>
      </c>
      <c r="O1931" s="15">
        <v>1.2</v>
      </c>
      <c r="P1931">
        <v>1</v>
      </c>
      <c r="Q1931">
        <v>1.01</v>
      </c>
      <c r="R1931">
        <v>1.2</v>
      </c>
      <c r="S1931">
        <v>1.2</v>
      </c>
      <c r="T1931">
        <v>3</v>
      </c>
      <c r="U1931">
        <f t="shared" ref="U1931:U1934" si="124">LN(SQRT(EXP(
SQRT(
+POWER(LN(N1931),2)
+POWER(LN(O1931),2)
+POWER(LN(P1931),2)
+POWER(LN(Q1931),2)
+POWER(LN(R1931),2)
+POWER(LN(S1931),2)
+POWER(LN(T1931),2)
)
)))</f>
        <v>0.57157051623399524</v>
      </c>
    </row>
    <row r="1932" spans="1:22" hidden="1" x14ac:dyDescent="0.2">
      <c r="A1932" s="45" t="str">
        <f>"hydrogen supply, transported by "&amp;B1905&amp;", produced by "&amp;B1909&amp;" using "&amp;B1910&amp;" from "&amp;B1911</f>
        <v>hydrogen supply, transported by truck, produced by Steam Methane Reforming using natural gas from Russia</v>
      </c>
      <c r="B1932" s="53">
        <f>(B1930/B1914)/B1913*B1925</f>
        <v>5.7377346134017029E-2</v>
      </c>
      <c r="C1932" t="s">
        <v>56</v>
      </c>
      <c r="E1932" t="s">
        <v>64</v>
      </c>
      <c r="F1932" t="s">
        <v>86</v>
      </c>
      <c r="G1932" t="s">
        <v>1137</v>
      </c>
      <c r="H1932" t="s">
        <v>76</v>
      </c>
      <c r="I1932" t="s">
        <v>1054</v>
      </c>
      <c r="J1932" t="s">
        <v>364</v>
      </c>
      <c r="K1932" t="str">
        <f>B1891</f>
        <v>electricity, residential, by conversion of hydrogen using fuel cell, PEM, allocated by exergy, transported by truck, produced by Steam Methane Reforming using natural gas from Russia</v>
      </c>
      <c r="L1932">
        <f t="shared" si="122"/>
        <v>2</v>
      </c>
      <c r="M1932">
        <f t="shared" si="123"/>
        <v>-2.8581057202127536</v>
      </c>
      <c r="N1932">
        <v>1</v>
      </c>
      <c r="O1932" s="15">
        <v>1.2</v>
      </c>
      <c r="P1932">
        <v>1</v>
      </c>
      <c r="Q1932">
        <v>1.01</v>
      </c>
      <c r="R1932">
        <v>1.2</v>
      </c>
      <c r="S1932">
        <v>1.2</v>
      </c>
      <c r="T1932">
        <v>1.05</v>
      </c>
      <c r="U1932">
        <f t="shared" si="124"/>
        <v>0.15984597228197622</v>
      </c>
    </row>
    <row r="1933" spans="1:22" hidden="1" x14ac:dyDescent="0.2">
      <c r="A1933" t="str">
        <f>VLOOKUP(J1933,'dataset mapping'!$A$4:$E$69,2,0)</f>
        <v>high pressure hydrogen storage tank</v>
      </c>
      <c r="B1933" s="52">
        <f>((B1926/10)/(B1924*B1920*20))*IF(B1925&lt;&gt;0,B1925,1)</f>
        <v>5.6622381053306285E-6</v>
      </c>
      <c r="C1933" t="str">
        <f>VLOOKUP(J1933,'dataset mapping'!$A$4:$E$69,5,0)</f>
        <v>kilogram</v>
      </c>
      <c r="E1933" t="str">
        <f>VLOOKUP(J1933,'dataset mapping'!$A$4:$E$69,4,0)</f>
        <v>GLO</v>
      </c>
      <c r="F1933" t="s">
        <v>86</v>
      </c>
      <c r="G1933" t="str">
        <f>VLOOKUP(J1933,'dataset mapping'!$A$4:$E$69,3,0)</f>
        <v>high pressure hydrogen storage tank</v>
      </c>
      <c r="H1933" t="s">
        <v>88</v>
      </c>
      <c r="I1933" t="s">
        <v>280</v>
      </c>
      <c r="J1933" t="s">
        <v>229</v>
      </c>
      <c r="K1933" t="str">
        <f>B1891</f>
        <v>electricity, residential, by conversion of hydrogen using fuel cell, PEM, allocated by exergy, transported by truck, produced by Steam Methane Reforming using natural gas from Russia</v>
      </c>
      <c r="L1933">
        <f t="shared" si="122"/>
        <v>2</v>
      </c>
      <c r="M1933">
        <f t="shared" si="123"/>
        <v>-12.081691318938956</v>
      </c>
      <c r="N1933">
        <v>1</v>
      </c>
      <c r="O1933" s="15">
        <v>1.2</v>
      </c>
      <c r="P1933">
        <v>1</v>
      </c>
      <c r="Q1933">
        <v>1.01</v>
      </c>
      <c r="R1933">
        <v>1.2</v>
      </c>
      <c r="S1933">
        <v>1.2</v>
      </c>
      <c r="T1933">
        <v>3</v>
      </c>
      <c r="U1933">
        <f t="shared" si="124"/>
        <v>0.57157051623399524</v>
      </c>
    </row>
    <row r="1934" spans="1:22" hidden="1" x14ac:dyDescent="0.2">
      <c r="A1934" t="s">
        <v>134</v>
      </c>
      <c r="B1934" s="45">
        <f>B1932*9</f>
        <v>0.51639611520615325</v>
      </c>
      <c r="C1934" t="s">
        <v>56</v>
      </c>
      <c r="D1934" t="s">
        <v>100</v>
      </c>
      <c r="F1934" t="s">
        <v>99</v>
      </c>
      <c r="H1934" t="s">
        <v>131</v>
      </c>
      <c r="I1934" t="s">
        <v>1057</v>
      </c>
      <c r="K1934" t="str">
        <f>B1891</f>
        <v>electricity, residential, by conversion of hydrogen using fuel cell, PEM, allocated by exergy, transported by truck, produced by Steam Methane Reforming using natural gas from Russia</v>
      </c>
      <c r="L1934">
        <f t="shared" si="122"/>
        <v>2</v>
      </c>
      <c r="M1934">
        <f t="shared" si="123"/>
        <v>-0.6608811428765341</v>
      </c>
      <c r="N1934">
        <v>1</v>
      </c>
      <c r="O1934" s="15">
        <v>1.2</v>
      </c>
      <c r="P1934">
        <v>1</v>
      </c>
      <c r="Q1934">
        <v>1.01</v>
      </c>
      <c r="R1934">
        <v>1.2</v>
      </c>
      <c r="S1934">
        <v>1.2</v>
      </c>
      <c r="T1934">
        <v>1.05</v>
      </c>
      <c r="U1934">
        <f t="shared" si="124"/>
        <v>0.15984597228197622</v>
      </c>
    </row>
    <row r="1935" spans="1:22" hidden="1" x14ac:dyDescent="0.2"/>
    <row r="1936" spans="1:22" hidden="1" x14ac:dyDescent="0.2">
      <c r="A1936" s="2" t="s">
        <v>50</v>
      </c>
      <c r="B1936" s="44" t="str">
        <f>IF(B1942="megajoule","heat","electricity")&amp;", residential, by "&amp;B1947&amp;" of "&amp;B1946&amp;" using "&amp;B1948&amp;IF(B1949&lt;&gt;0,", allocated by "&amp;B1949,"")&amp;", transported by "&amp;B1950&amp;", produced by "&amp;B1954&amp;" using "&amp;B1955&amp;" from "&amp;B1956</f>
        <v>electricity, residential, by conversion of hydrogen using fuel cell, SOFC, allocated by exergy, transported by truck, produced by Steam Methane Reforming using natural gas from Russia</v>
      </c>
    </row>
    <row r="1937" spans="1:2" hidden="1" x14ac:dyDescent="0.2">
      <c r="A1937" t="s">
        <v>51</v>
      </c>
      <c r="B1937" s="45" t="str">
        <f>"This dataset represents the supply of 1 "&amp;IF(B1942="megajoule","megajoule of heat","kilowatt hour of electricity")&amp;" in a residence, by "&amp;B1946&amp;" "&amp;B1947&amp;" in a "&amp;B1948&amp;". "&amp;" The hydrogen is transported by "&amp;B1950&amp;" over "&amp;B1951&amp;" km from regional storage. "&amp;" The "&amp;B1946&amp;" is produced by  "&amp;B1954&amp;", with "&amp;B1955&amp;" from "&amp;B1956&amp;" as feedstock. "&amp;A1958&amp;": "&amp;(B1958*100)&amp;"%. "&amp;A1959&amp;": "&amp;B1959&amp;". "&amp;A1960&amp;": "&amp;B1960&amp;". "&amp;A1961&amp;": "&amp;(B1961*100)&amp;"%. "&amp;A1962&amp;": "&amp;(B1962*100)&amp;"%. "&amp;A1963&amp;": "&amp;(B1963*100)&amp;"%. "&amp;A1964&amp;": "&amp;B1964&amp;". "&amp;A1965&amp;": "&amp;B1965&amp;". "&amp;A1966&amp;": "&amp;(B1966*100)&amp;"%. "&amp;A1967&amp;": "&amp;B1967&amp;". "&amp;A1968&amp;": "&amp;B1968&amp;". "&amp;A1969&amp;": "&amp;B1969&amp;". "&amp;A1970&amp;": "&amp;B1970&amp;".  For more information, refer to: "&amp;B1938</f>
        <v>This dataset represents the supply of 1 kilowatt hour of electricity in a residence, by hydrogen conversion in a fuel cell, SOFC.  The hydrogen is transported by truck over 200 km from regional storage.  The hydrogen is produced by  Steam Methane Reforming, with natural gas from Russia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1938" spans="1:2" hidden="1" x14ac:dyDescent="0.2">
      <c r="A1938" t="s">
        <v>63</v>
      </c>
      <c r="B1938" s="45" t="s">
        <v>660</v>
      </c>
    </row>
    <row r="1939" spans="1:2" hidden="1" x14ac:dyDescent="0.2">
      <c r="A1939" t="s">
        <v>52</v>
      </c>
      <c r="B1939" s="45" t="s">
        <v>64</v>
      </c>
    </row>
    <row r="1940" spans="1:2" hidden="1" x14ac:dyDescent="0.2">
      <c r="A1940" t="s">
        <v>48</v>
      </c>
      <c r="B1940" s="45" t="s">
        <v>990</v>
      </c>
    </row>
    <row r="1941" spans="1:2" hidden="1" x14ac:dyDescent="0.2">
      <c r="A1941" t="s">
        <v>54</v>
      </c>
      <c r="B1941" s="45" t="str">
        <f>INDEX(overview!$B$4:$R$338,MATCH(B1940,overview!$A$4:$A$338,0),MATCH(A1941,overview!$B$3:$R$3,0))</f>
        <v>electricity, from residential heating system</v>
      </c>
    </row>
    <row r="1942" spans="1:2" hidden="1" x14ac:dyDescent="0.2">
      <c r="A1942" t="s">
        <v>55</v>
      </c>
      <c r="B1942" s="45" t="str">
        <f>INDEX(overview!$B$4:$R$338,MATCH(B1940,overview!$A$4:$A$338,0),MATCH(A1942,overview!$B$3:$R$3,0))</f>
        <v>kilowatt hour</v>
      </c>
    </row>
    <row r="1943" spans="1:2" hidden="1" x14ac:dyDescent="0.2">
      <c r="A1943" t="s">
        <v>0</v>
      </c>
      <c r="B1943" s="45" t="str">
        <f>INDEX(overview!$B$4:$R$338,MATCH(B1940,overview!$A$4:$A$338,0),MATCH(A1943,overview!$B$3:$R$3,0))</f>
        <v>Switzerland</v>
      </c>
    </row>
    <row r="1944" spans="1:2" hidden="1" x14ac:dyDescent="0.2">
      <c r="A1944" t="s">
        <v>1</v>
      </c>
      <c r="B1944" s="45">
        <f>INDEX(overview!$B$4:$R$338,MATCH(B1940,overview!$A$4:$A$338,0),MATCH(A1944,overview!$B$3:$R$3,0))</f>
        <v>2020</v>
      </c>
    </row>
    <row r="1945" spans="1:2" hidden="1" x14ac:dyDescent="0.2">
      <c r="A1945" t="s">
        <v>2</v>
      </c>
      <c r="B1945" s="45" t="str">
        <f>INDEX(overview!$B$4:$R$338,MATCH(B1940,overview!$A$4:$A$338,0),MATCH(A1945,overview!$B$3:$R$3,0))</f>
        <v>1 kWh electricity</v>
      </c>
    </row>
    <row r="1946" spans="1:2" hidden="1" x14ac:dyDescent="0.2">
      <c r="A1946" t="s">
        <v>5</v>
      </c>
      <c r="B1946" s="45" t="str">
        <f>INDEX(overview!$B$4:$R$338,MATCH(B1940,overview!$A$4:$A$338,0),MATCH(A1946,overview!$B$3:$R$3,0))</f>
        <v>hydrogen</v>
      </c>
    </row>
    <row r="1947" spans="1:2" hidden="1" x14ac:dyDescent="0.2">
      <c r="A1947" t="s">
        <v>3</v>
      </c>
      <c r="B1947" s="45" t="str">
        <f>INDEX(overview!$B$4:$R$338,MATCH(B1940,overview!$A$4:$A$338,0),MATCH(A1947,overview!$B$3:$R$3,0))</f>
        <v>conversion</v>
      </c>
    </row>
    <row r="1948" spans="1:2" hidden="1" x14ac:dyDescent="0.2">
      <c r="A1948" t="s">
        <v>6</v>
      </c>
      <c r="B1948" s="45" t="str">
        <f>INDEX(overview!$B$4:$R$338,MATCH(B1940,overview!$A$4:$A$338,0),MATCH(A1948,overview!$B$3:$R$3,0))</f>
        <v>fuel cell, SOFC</v>
      </c>
    </row>
    <row r="1949" spans="1:2" hidden="1" x14ac:dyDescent="0.2">
      <c r="A1949" t="s">
        <v>39</v>
      </c>
      <c r="B1949" s="45" t="str">
        <f>INDEX(overview!$B$4:$R$338,MATCH(B1940,overview!$A$4:$A$338,0),MATCH(A1949,overview!$B$3:$R$3,0))</f>
        <v>exergy</v>
      </c>
    </row>
    <row r="1950" spans="1:2" hidden="1" x14ac:dyDescent="0.2">
      <c r="A1950" t="s">
        <v>4</v>
      </c>
      <c r="B1950" s="45" t="str">
        <f>INDEX(overview!$B$4:$R$338,MATCH(B1940,overview!$A$4:$A$338,0),MATCH(A1950,overview!$B$3:$R$3,0))</f>
        <v>truck</v>
      </c>
    </row>
    <row r="1951" spans="1:2" hidden="1" x14ac:dyDescent="0.2">
      <c r="A1951" t="s">
        <v>38</v>
      </c>
      <c r="B1951" s="45">
        <f>INDEX(overview!$B$4:$R$338,MATCH(B1940,overview!$A$4:$A$338,0),MATCH(A1951,overview!$B$3:$R$3,0))</f>
        <v>200</v>
      </c>
    </row>
    <row r="1952" spans="1:2" hidden="1" x14ac:dyDescent="0.2">
      <c r="A1952" t="s">
        <v>12</v>
      </c>
      <c r="B1952" s="45" t="str">
        <f>INDEX(overview!$B$4:$R$338,MATCH(B1940,overview!$A$4:$A$338,0),MATCH(A1952,overview!$B$3:$R$3,0))</f>
        <v>Pressure vessel for stationary storage</v>
      </c>
    </row>
    <row r="1953" spans="1:4" hidden="1" x14ac:dyDescent="0.2">
      <c r="A1953" t="s">
        <v>34</v>
      </c>
      <c r="B1953" s="45">
        <f>INDEX(overview!$B$4:$R$338,MATCH(B1940,overview!$A$4:$A$338,0),MATCH(A1953,overview!$B$3:$R$3,0))</f>
        <v>0</v>
      </c>
    </row>
    <row r="1954" spans="1:4" hidden="1" x14ac:dyDescent="0.2">
      <c r="A1954" t="s">
        <v>15</v>
      </c>
      <c r="B1954" s="45" t="str">
        <f>INDEX(overview!$B$4:$R$338,MATCH(B1940,overview!$A$4:$A$338,0),MATCH(A1954,overview!$B$3:$R$3,0))</f>
        <v>Steam Methane Reforming</v>
      </c>
    </row>
    <row r="1955" spans="1:4" hidden="1" x14ac:dyDescent="0.2">
      <c r="A1955" t="s">
        <v>14</v>
      </c>
      <c r="B1955" s="45" t="str">
        <f>INDEX(overview!$B$4:$R$338,MATCH(B1940,overview!$A$4:$A$338,0),MATCH(A1955,overview!$B$3:$R$3,0))</f>
        <v>natural gas</v>
      </c>
    </row>
    <row r="1956" spans="1:4" hidden="1" x14ac:dyDescent="0.2">
      <c r="A1956" t="s">
        <v>26</v>
      </c>
      <c r="B1956" s="45" t="str">
        <f>INDEX(overview!$B$4:$R$338,MATCH(B1940,overview!$A$4:$A$338,0),MATCH(A1956,overview!$B$3:$R$3,0))</f>
        <v>Russia</v>
      </c>
    </row>
    <row r="1957" spans="1:4" hidden="1" x14ac:dyDescent="0.2">
      <c r="A1957" t="s">
        <v>29</v>
      </c>
      <c r="B1957" s="45">
        <f>INDEX(overview!$B$4:$R$338,MATCH(B1940,overview!$A$4:$A$338,0),MATCH(A1957,overview!$B$3:$R$3,0))</f>
        <v>0</v>
      </c>
    </row>
    <row r="1958" spans="1:4" hidden="1" x14ac:dyDescent="0.2">
      <c r="A1958" t="str">
        <f>IF(B1942="megajoule","Heat","Electricity")&amp;" conversion efficiency [% LHV input]"</f>
        <v>Electricity conversion efficiency [% LHV input]</v>
      </c>
      <c r="B1958" s="46">
        <f>INDEX(parameters!$D$4:$N$20,MATCH(B1946&amp;B1948,parameters!$A$4:$A$20,0),MATCH(A1958,parameters!$D$3:$N$3,0))</f>
        <v>0.47</v>
      </c>
    </row>
    <row r="1959" spans="1:4" hidden="1" x14ac:dyDescent="0.2">
      <c r="A1959" t="str">
        <f>IF(B1942="megajoule","LHV [MJ/kg]","LHV [kWh/kg]")</f>
        <v>LHV [kWh/kg]</v>
      </c>
      <c r="B1959" s="47">
        <f>INDEX(parameters!$D$4:$N$20,MATCH(B1946&amp;B1948,parameters!$A$4:$A$20,0),MATCH(A1959,parameters!$D$3:$N$3,0))</f>
        <v>33.333333333333336</v>
      </c>
    </row>
    <row r="1960" spans="1:4" hidden="1" x14ac:dyDescent="0.2">
      <c r="A1960" t="s">
        <v>41</v>
      </c>
      <c r="B1960" s="48">
        <f>INDEX(parameters!$D$4:$N$20,MATCH(B1946&amp;B1948,parameters!$A$4:$A$20,0),MATCH(A1960,parameters!$D$3:$N$3,0))</f>
        <v>2.6666666666666665E-2</v>
      </c>
    </row>
    <row r="1961" spans="1:4" hidden="1" x14ac:dyDescent="0.2">
      <c r="A1961" t="s">
        <v>45</v>
      </c>
      <c r="B1961" s="46">
        <f>INDEX(parameters!$D$4:$N$20,MATCH(B1946&amp;B1948,parameters!$A$4:$A$20,0),MATCH(A1961,parameters!$D$3:$N$3,0))</f>
        <v>0</v>
      </c>
    </row>
    <row r="1962" spans="1:4" hidden="1" x14ac:dyDescent="0.2">
      <c r="A1962" t="s">
        <v>46</v>
      </c>
      <c r="B1962" s="46">
        <f>INDEX(parameters!$D$4:$N$20,MATCH(B1946&amp;B1948,parameters!$A$4:$A$20,0),MATCH(A1962,parameters!$D$3:$N$3,0))</f>
        <v>1.4999999999999999E-2</v>
      </c>
    </row>
    <row r="1963" spans="1:4" hidden="1" x14ac:dyDescent="0.2">
      <c r="A1963" t="s">
        <v>43</v>
      </c>
      <c r="B1963" s="46">
        <f>INDEX(parameters!$D$4:$N$20,MATCH(B1946&amp;B1948,parameters!$A$4:$A$20,0),MATCH(A1963,parameters!$D$3:$N$3,0))</f>
        <v>0</v>
      </c>
    </row>
    <row r="1964" spans="1:4" hidden="1" x14ac:dyDescent="0.2">
      <c r="A1964" t="s">
        <v>44</v>
      </c>
      <c r="B1964" s="46">
        <f>INDEX(parameters!$D$4:$N$20,MATCH(B1946&amp;B1948,parameters!$A$4:$A$20,0),MATCH(A1964,parameters!$D$3:$N$3,0))</f>
        <v>0</v>
      </c>
    </row>
    <row r="1965" spans="1:4" hidden="1" x14ac:dyDescent="0.2">
      <c r="A1965" t="s">
        <v>634</v>
      </c>
      <c r="B1965" s="50">
        <f>INDEX(parameters!$D$4:$Y$20,MATCH(B1946&amp;B1948,parameters!$A$4:$A$20,0),MATCH(A1965,parameters!$D$3:$Y$3,0))</f>
        <v>225</v>
      </c>
      <c r="D1965" s="8"/>
    </row>
    <row r="1966" spans="1:4" hidden="1" x14ac:dyDescent="0.2">
      <c r="A1966" t="s">
        <v>82</v>
      </c>
      <c r="B1966" s="46">
        <f>IF(B1957&lt;&gt;0,VLOOKUP(B1957,parameters!A1377:B1379,2,0),0)</f>
        <v>0</v>
      </c>
    </row>
    <row r="1967" spans="1:4" hidden="1" x14ac:dyDescent="0.2">
      <c r="A1967" t="s">
        <v>548</v>
      </c>
      <c r="B1967" s="50">
        <f>INDEX(parameters!$D$4:$P$20,MATCH(B1946&amp;B1948,parameters!$A$4:$A$20,0),MATCH(A1967,parameters!$D$3:$P$3,0))</f>
        <v>100</v>
      </c>
    </row>
    <row r="1968" spans="1:4" hidden="1" x14ac:dyDescent="0.2">
      <c r="A1968" t="s">
        <v>547</v>
      </c>
      <c r="B1968" s="51">
        <f>INDEX(parameters!$D$4:$P$20,MATCH(B1946&amp;B1948,parameters!$A$4:$A$20,0),MATCH(A1968,parameters!$D$3:$P$3,0))</f>
        <v>6</v>
      </c>
    </row>
    <row r="1969" spans="1:22" hidden="1" x14ac:dyDescent="0.2">
      <c r="A1969" t="s">
        <v>630</v>
      </c>
      <c r="B1969" s="51">
        <f>INDEX(parameters!$D$4:$T$20,MATCH(B1946&amp;B1948,parameters!$A$4:$A$20,0),MATCH(A1969,parameters!$D$3:$T$3,0))</f>
        <v>4100</v>
      </c>
    </row>
    <row r="1970" spans="1:22" hidden="1" x14ac:dyDescent="0.2">
      <c r="A1970" t="s">
        <v>1005</v>
      </c>
      <c r="B1970" s="50">
        <f>IF(B1942="megajoule",SUMIFS(allocation!$I$4:$I$30,allocation!$B$4:$B$30,B1948,allocation!$C$4:$C$30,B1949),SUMIFS(allocation!$J$4:$J$30,allocation!$B$4:$B$30,B1948,allocation!$C$4:$C$30,B1949))</f>
        <v>0.86412493489600906</v>
      </c>
    </row>
    <row r="1971" spans="1:22" hidden="1" x14ac:dyDescent="0.2">
      <c r="A1971" t="s">
        <v>1050</v>
      </c>
      <c r="B1971" s="51">
        <f>INDEX(parameters!$D$4:$AB$20,MATCH(B1946&amp;B1948,parameters!$A$4:$A$20,0),MATCH(A1971,parameters!$D$3:$AB$3,0))</f>
        <v>1153.1249999999998</v>
      </c>
    </row>
    <row r="1972" spans="1:22" hidden="1" x14ac:dyDescent="0.2"/>
    <row r="1973" spans="1:22" hidden="1" x14ac:dyDescent="0.2">
      <c r="A1973" s="3" t="s">
        <v>57</v>
      </c>
    </row>
    <row r="1974" spans="1:22" hidden="1" x14ac:dyDescent="0.2">
      <c r="A1974" s="2" t="s">
        <v>58</v>
      </c>
      <c r="B1974" s="44" t="s">
        <v>59</v>
      </c>
      <c r="C1974" s="2" t="s">
        <v>55</v>
      </c>
      <c r="D1974" s="2" t="s">
        <v>60</v>
      </c>
      <c r="E1974" s="2" t="s">
        <v>52</v>
      </c>
      <c r="F1974" s="2" t="s">
        <v>61</v>
      </c>
      <c r="G1974" s="2" t="s">
        <v>54</v>
      </c>
      <c r="H1974" s="2" t="s">
        <v>87</v>
      </c>
      <c r="I1974" s="2" t="s">
        <v>51</v>
      </c>
      <c r="J1974" s="2" t="s">
        <v>138</v>
      </c>
      <c r="K1974" s="2" t="s">
        <v>136</v>
      </c>
      <c r="L1974" s="2" t="s">
        <v>221</v>
      </c>
      <c r="M1974" s="2" t="s">
        <v>379</v>
      </c>
      <c r="N1974" s="2" t="s">
        <v>1059</v>
      </c>
      <c r="O1974" s="2" t="s">
        <v>1060</v>
      </c>
      <c r="P1974" s="2" t="s">
        <v>1061</v>
      </c>
      <c r="Q1974" s="2" t="s">
        <v>1062</v>
      </c>
      <c r="R1974" s="2" t="s">
        <v>1063</v>
      </c>
      <c r="S1974" s="2" t="s">
        <v>1064</v>
      </c>
      <c r="T1974" s="2" t="s">
        <v>1065</v>
      </c>
      <c r="U1974" s="2" t="s">
        <v>380</v>
      </c>
      <c r="V1974" s="2" t="s">
        <v>1128</v>
      </c>
    </row>
    <row r="1975" spans="1:22" x14ac:dyDescent="0.2">
      <c r="A1975" t="str">
        <f>B1936</f>
        <v>electricity, residential, by conversion of hydrogen using fuel cell, SOFC, allocated by exergy, transported by truck, produced by Steam Methane Reforming using natural gas from Russia</v>
      </c>
      <c r="B1975" s="45">
        <v>1</v>
      </c>
      <c r="C1975" t="str">
        <f>B1942</f>
        <v>kilowatt hour</v>
      </c>
      <c r="E1975" t="str">
        <f>B1939</f>
        <v>CH</v>
      </c>
      <c r="F1975" t="s">
        <v>62</v>
      </c>
      <c r="G1975" t="str">
        <f>B1941</f>
        <v>electricity, from residential heating system</v>
      </c>
      <c r="K1975" t="str">
        <f>B1936</f>
        <v>electricity, residential, by conversion of hydrogen using fuel cell, SOFC, allocated by exergy, transported by truck, produced by Steam Methane Reforming using natural gas from Russia</v>
      </c>
    </row>
    <row r="1976" spans="1:22" hidden="1" x14ac:dyDescent="0.2">
      <c r="A1976" t="str">
        <f>VLOOKUP(J1976,'dataset mapping'!$A$4:$E$69,2,0)</f>
        <v>fuel cell production, stack solid oxide, 125kW electrical, future</v>
      </c>
      <c r="B1976" s="52">
        <f>1/(62*1000000)/B1958*SUMIFS(allocation!$I$4:$I$30,allocation!$B$4:$B$30,B1948,allocation!$C$4:$C$30,B1949)</f>
        <v>4.6628368258061427E-9</v>
      </c>
      <c r="C1976" t="str">
        <f>VLOOKUP(J1976,'dataset mapping'!$A$4:$E$69,5,0)</f>
        <v>unit</v>
      </c>
      <c r="E1976" t="str">
        <f>VLOOKUP(J1976,'dataset mapping'!$A$4:$E$69,4,0)</f>
        <v>CH</v>
      </c>
      <c r="F1976" t="s">
        <v>86</v>
      </c>
      <c r="G1976" t="str">
        <f>VLOOKUP(J1976,'dataset mapping'!$A$4:$E$69,3,0)</f>
        <v>fuel cell, stack solid oxide, 125kW electrical, future</v>
      </c>
      <c r="H1976" t="s">
        <v>88</v>
      </c>
      <c r="I1976" t="s">
        <v>277</v>
      </c>
      <c r="J1976" t="s">
        <v>274</v>
      </c>
      <c r="K1976" t="str">
        <f>B1936</f>
        <v>electricity, residential, by conversion of hydrogen using fuel cell, SOFC, allocated by exergy, transported by truck, produced by Steam Methane Reforming using natural gas from Russia</v>
      </c>
      <c r="L1976">
        <f t="shared" ref="L1976:L1982" si="125">IF(OR(B1976&lt;0,B1976=0),1,2)</f>
        <v>2</v>
      </c>
      <c r="M1976">
        <f t="shared" ref="M1976:M1982" si="126">IF(L1976=2,LN(B1976),"")</f>
        <v>-19.183641813126002</v>
      </c>
      <c r="N1976">
        <v>1</v>
      </c>
      <c r="O1976" s="15">
        <v>1.2</v>
      </c>
      <c r="P1976">
        <v>1</v>
      </c>
      <c r="Q1976">
        <v>1.01</v>
      </c>
      <c r="R1976">
        <v>1.2</v>
      </c>
      <c r="S1976">
        <v>1.2</v>
      </c>
      <c r="T1976">
        <v>3</v>
      </c>
      <c r="U1976">
        <f t="shared" ref="U1976:U1982" si="127">LN(SQRT(EXP(
SQRT(
+POWER(LN(N1976),2)
+POWER(LN(O1976),2)
+POWER(LN(P1976),2)
+POWER(LN(Q1976),2)
+POWER(LN(R1976),2)
+POWER(LN(S1976),2)
+POWER(LN(T1976),2)
)
)))</f>
        <v>0.57157051623399524</v>
      </c>
    </row>
    <row r="1977" spans="1:22" hidden="1" x14ac:dyDescent="0.2">
      <c r="A1977" t="s">
        <v>283</v>
      </c>
      <c r="B1977" s="52">
        <f>0.000000145/B1958*SUMIFS(allocation!$I$4:$I$30,allocation!$B$4:$B$30,B1948,allocation!$C$4:$C$30,B1949)</f>
        <v>4.1918903063997216E-8</v>
      </c>
      <c r="C1977" t="s">
        <v>55</v>
      </c>
      <c r="E1977" t="s">
        <v>64</v>
      </c>
      <c r="F1977" t="s">
        <v>86</v>
      </c>
      <c r="G1977" t="s">
        <v>284</v>
      </c>
      <c r="H1977" t="s">
        <v>88</v>
      </c>
      <c r="I1977" t="s">
        <v>277</v>
      </c>
      <c r="K1977" t="str">
        <f>B1936</f>
        <v>electricity, residential, by conversion of hydrogen using fuel cell, SOFC, allocated by exergy, transported by truck, produced by Steam Methane Reforming using natural gas from Russia</v>
      </c>
      <c r="L1977">
        <f t="shared" si="125"/>
        <v>2</v>
      </c>
      <c r="M1977">
        <f t="shared" si="126"/>
        <v>-16.987528964642475</v>
      </c>
      <c r="N1977">
        <v>1</v>
      </c>
      <c r="O1977" s="15">
        <v>1.2</v>
      </c>
      <c r="P1977">
        <v>1</v>
      </c>
      <c r="Q1977">
        <v>1.01</v>
      </c>
      <c r="R1977">
        <v>1.2</v>
      </c>
      <c r="S1977">
        <v>1.2</v>
      </c>
      <c r="T1977">
        <v>3</v>
      </c>
      <c r="U1977">
        <f t="shared" si="127"/>
        <v>0.57157051623399524</v>
      </c>
    </row>
    <row r="1978" spans="1:22" hidden="1" x14ac:dyDescent="0.2">
      <c r="A1978" t="s">
        <v>285</v>
      </c>
      <c r="B1978" s="52">
        <f>0.0000000115/B1958*SUMIFS(allocation!$I$4:$I$30,allocation!$B$4:$B$30,B1948,allocation!$C$4:$C$30,B1949)</f>
        <v>3.3246026567997794E-9</v>
      </c>
      <c r="C1978" t="s">
        <v>55</v>
      </c>
      <c r="E1978" t="s">
        <v>90</v>
      </c>
      <c r="F1978" t="s">
        <v>86</v>
      </c>
      <c r="G1978" t="s">
        <v>286</v>
      </c>
      <c r="H1978" t="s">
        <v>88</v>
      </c>
      <c r="K1978" t="str">
        <f>B1936</f>
        <v>electricity, residential, by conversion of hydrogen using fuel cell, SOFC, allocated by exergy, transported by truck, produced by Steam Methane Reforming using natural gas from Russia</v>
      </c>
      <c r="L1978">
        <f t="shared" si="125"/>
        <v>2</v>
      </c>
      <c r="M1978">
        <f t="shared" si="126"/>
        <v>-19.521915671693844</v>
      </c>
      <c r="N1978">
        <v>1</v>
      </c>
      <c r="O1978" s="15">
        <v>1.2</v>
      </c>
      <c r="P1978">
        <v>1</v>
      </c>
      <c r="Q1978">
        <v>1.01</v>
      </c>
      <c r="R1978">
        <v>1.2</v>
      </c>
      <c r="S1978">
        <v>1.2</v>
      </c>
      <c r="T1978">
        <v>3</v>
      </c>
      <c r="U1978">
        <f t="shared" si="127"/>
        <v>0.57157051623399524</v>
      </c>
    </row>
    <row r="1979" spans="1:22" hidden="1" x14ac:dyDescent="0.2">
      <c r="A1979" t="s">
        <v>288</v>
      </c>
      <c r="B1979" s="52">
        <f>0.000024/B1958*SUMIFS(allocation!$I$4:$I$30,allocation!$B$4:$B$30,B1948,allocation!$C$4:$C$30,B1949)</f>
        <v>6.9383011967995388E-6</v>
      </c>
      <c r="C1979" t="s">
        <v>56</v>
      </c>
      <c r="E1979" t="s">
        <v>64</v>
      </c>
      <c r="F1979" t="s">
        <v>86</v>
      </c>
      <c r="G1979" t="s">
        <v>287</v>
      </c>
      <c r="H1979" t="s">
        <v>88</v>
      </c>
      <c r="K1979" t="str">
        <f>B1936</f>
        <v>electricity, residential, by conversion of hydrogen using fuel cell, SOFC, allocated by exergy, transported by truck, produced by Steam Methane Reforming using natural gas from Russia</v>
      </c>
      <c r="L1979">
        <f t="shared" si="125"/>
        <v>2</v>
      </c>
      <c r="M1979">
        <f t="shared" si="126"/>
        <v>-11.878453597732966</v>
      </c>
      <c r="N1979">
        <v>1</v>
      </c>
      <c r="O1979" s="15">
        <v>1.2</v>
      </c>
      <c r="P1979">
        <v>1</v>
      </c>
      <c r="Q1979">
        <v>1.01</v>
      </c>
      <c r="R1979">
        <v>1.2</v>
      </c>
      <c r="S1979">
        <v>1.2</v>
      </c>
      <c r="T1979">
        <v>1.05</v>
      </c>
      <c r="U1979">
        <f t="shared" si="127"/>
        <v>0.15984597228197622</v>
      </c>
    </row>
    <row r="1980" spans="1:22" hidden="1" x14ac:dyDescent="0.2">
      <c r="A1980" s="45" t="str">
        <f>"hydrogen supply, transported by "&amp;B1950&amp;", produced by "&amp;B1954&amp;" using "&amp;B1955&amp;" from "&amp;B1956</f>
        <v>hydrogen supply, transported by truck, produced by Steam Methane Reforming using natural gas from Russia</v>
      </c>
      <c r="B1980" s="53">
        <f>(B1975/B1959)/B1958*B1970</f>
        <v>5.515691073804313E-2</v>
      </c>
      <c r="C1980" t="s">
        <v>56</v>
      </c>
      <c r="E1980" t="s">
        <v>64</v>
      </c>
      <c r="F1980" t="s">
        <v>86</v>
      </c>
      <c r="G1980" t="s">
        <v>1137</v>
      </c>
      <c r="H1980" t="s">
        <v>76</v>
      </c>
      <c r="I1980" t="s">
        <v>1054</v>
      </c>
      <c r="J1980" t="s">
        <v>364</v>
      </c>
      <c r="K1980" t="str">
        <f>B1936</f>
        <v>electricity, residential, by conversion of hydrogen using fuel cell, SOFC, allocated by exergy, transported by truck, produced by Steam Methane Reforming using natural gas from Russia</v>
      </c>
      <c r="L1980">
        <f t="shared" si="125"/>
        <v>2</v>
      </c>
      <c r="M1980">
        <f t="shared" si="126"/>
        <v>-2.8975732330996009</v>
      </c>
      <c r="N1980">
        <v>1</v>
      </c>
      <c r="O1980" s="15">
        <v>1.2</v>
      </c>
      <c r="P1980">
        <v>1</v>
      </c>
      <c r="Q1980">
        <v>1.01</v>
      </c>
      <c r="R1980">
        <v>1.2</v>
      </c>
      <c r="S1980">
        <v>1.2</v>
      </c>
      <c r="T1980">
        <v>1.05</v>
      </c>
      <c r="U1980">
        <f t="shared" si="127"/>
        <v>0.15984597228197622</v>
      </c>
    </row>
    <row r="1981" spans="1:22" hidden="1" x14ac:dyDescent="0.2">
      <c r="A1981" t="str">
        <f>VLOOKUP(J1981,'dataset mapping'!$A$4:$E$69,2,0)</f>
        <v>high pressure hydrogen storage tank</v>
      </c>
      <c r="B1981" s="52">
        <f>((B1971/10)/(B1969*B1965*20))*IF(B1970&lt;&gt;0,B1970,1)</f>
        <v>5.400780843100055E-6</v>
      </c>
      <c r="C1981" t="str">
        <f>VLOOKUP(J1981,'dataset mapping'!$A$4:$E$69,5,0)</f>
        <v>kilogram</v>
      </c>
      <c r="E1981" t="str">
        <f>VLOOKUP(J1981,'dataset mapping'!$A$4:$E$69,4,0)</f>
        <v>GLO</v>
      </c>
      <c r="F1981" t="s">
        <v>86</v>
      </c>
      <c r="G1981" t="str">
        <f>VLOOKUP(J1981,'dataset mapping'!$A$4:$E$69,3,0)</f>
        <v>high pressure hydrogen storage tank</v>
      </c>
      <c r="H1981" t="s">
        <v>88</v>
      </c>
      <c r="I1981" t="s">
        <v>230</v>
      </c>
      <c r="J1981" t="s">
        <v>229</v>
      </c>
      <c r="K1981" t="str">
        <f>B1936</f>
        <v>electricity, residential, by conversion of hydrogen using fuel cell, SOFC, allocated by exergy, transported by truck, produced by Steam Methane Reforming using natural gas from Russia</v>
      </c>
      <c r="L1981">
        <f t="shared" si="125"/>
        <v>2</v>
      </c>
      <c r="M1981">
        <f t="shared" si="126"/>
        <v>-12.128967014273616</v>
      </c>
      <c r="N1981">
        <v>1</v>
      </c>
      <c r="O1981" s="15">
        <v>1.2</v>
      </c>
      <c r="P1981">
        <v>1</v>
      </c>
      <c r="Q1981">
        <v>1.01</v>
      </c>
      <c r="R1981">
        <v>1.2</v>
      </c>
      <c r="S1981">
        <v>1.2</v>
      </c>
      <c r="T1981">
        <v>3</v>
      </c>
      <c r="U1981">
        <f t="shared" si="127"/>
        <v>0.57157051623399524</v>
      </c>
    </row>
    <row r="1982" spans="1:22" hidden="1" x14ac:dyDescent="0.2">
      <c r="A1982" t="s">
        <v>134</v>
      </c>
      <c r="B1982" s="45">
        <f>B1980*9</f>
        <v>0.49641219664238817</v>
      </c>
      <c r="C1982" t="s">
        <v>56</v>
      </c>
      <c r="D1982" t="s">
        <v>100</v>
      </c>
      <c r="F1982" t="s">
        <v>99</v>
      </c>
      <c r="H1982" t="s">
        <v>131</v>
      </c>
      <c r="I1982" t="s">
        <v>1057</v>
      </c>
      <c r="K1982" t="str">
        <f>B1936</f>
        <v>electricity, residential, by conversion of hydrogen using fuel cell, SOFC, allocated by exergy, transported by truck, produced by Steam Methane Reforming using natural gas from Russia</v>
      </c>
      <c r="L1982">
        <f t="shared" si="125"/>
        <v>2</v>
      </c>
      <c r="M1982">
        <f t="shared" si="126"/>
        <v>-0.70034865576338168</v>
      </c>
      <c r="N1982">
        <v>1</v>
      </c>
      <c r="O1982" s="15">
        <v>1.2</v>
      </c>
      <c r="P1982">
        <v>1</v>
      </c>
      <c r="Q1982">
        <v>1.01</v>
      </c>
      <c r="R1982">
        <v>1.2</v>
      </c>
      <c r="S1982">
        <v>1.2</v>
      </c>
      <c r="T1982">
        <v>1.05</v>
      </c>
      <c r="U1982">
        <f t="shared" si="127"/>
        <v>0.15984597228197622</v>
      </c>
    </row>
    <row r="1983" spans="1:22" hidden="1" x14ac:dyDescent="0.2"/>
    <row r="1984" spans="1:22" hidden="1" x14ac:dyDescent="0.2">
      <c r="A1984" s="2" t="s">
        <v>50</v>
      </c>
      <c r="B1984" s="44" t="str">
        <f>IF(B1990="megajoule","heat","electricity")&amp;", residential, by "&amp;B1995&amp;" of "&amp;B1994&amp;" using "&amp;B1996&amp;IF(B1997&lt;&gt;0,", allocated by "&amp;B1997,"")&amp;", transported by "&amp;B1998&amp;", produced by "&amp;B2002&amp;" using "&amp;B2003&amp;" from "&amp;B2004</f>
        <v>heat, residential, by combustion of hydrogen using boiler, transported by pipeline, produced by Steam Methane Reforming, with CCS using natural gas from Russia</v>
      </c>
    </row>
    <row r="1985" spans="1:2" hidden="1" x14ac:dyDescent="0.2">
      <c r="A1985" t="s">
        <v>51</v>
      </c>
      <c r="B1985" s="45" t="str">
        <f>"This dataset represents the supply of 1 "&amp;IF(B1990="megajoule","megajoule of heat","kilowatt hour of electricity")&amp;" in a residence, by "&amp;B1994&amp;" "&amp;B1995&amp;" in a "&amp;B1996&amp;". "&amp;" The hydrogen is transported by "&amp;B1998&amp;" over "&amp;B1999&amp;" km from regional storage. "&amp;" The "&amp;B1994&amp;" is produced by  "&amp;B2002&amp;", with "&amp;B2003&amp;" from "&amp;B2004&amp;" as feedstock. "&amp;A2006&amp;": "&amp;(B2006*100)&amp;"%. "&amp;A2007&amp;": "&amp;B2007&amp;". "&amp;A2008&amp;": "&amp;B2008&amp;". "&amp;A2009&amp;": "&amp;(B2009*100)&amp;"%. "&amp;A2010&amp;": "&amp;(B2010*100)&amp;"%. "&amp;A2011&amp;": "&amp;(B2011*100)&amp;"%. "&amp;A2012&amp;": "&amp;B2012&amp;". "&amp;A2013&amp;": "&amp;B2013&amp;". "&amp;A2014&amp;": "&amp;(B2014*100)&amp;"%. "&amp;A2015&amp;": "&amp;B2015&amp;". "&amp;A2016&amp;": "&amp;B2016&amp;". "&amp;A2017&amp;": "&amp;B2017&amp;". "&amp;A2018&amp;": "&amp;B2018&amp;".  For more information, refer to: "&amp;B1986</f>
        <v>This dataset represents the supply of 1 megajoule of heat in a residence, by hydrogen combustion in a boiler.  The hydrogen is transported by pipeline over 500 km from regional storage.  The hydrogen is produced by  Steam Methane Reforming, with CCS, with natural gas from Russia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1986" spans="1:2" hidden="1" x14ac:dyDescent="0.2">
      <c r="A1986" t="s">
        <v>63</v>
      </c>
      <c r="B1986" s="45" t="s">
        <v>660</v>
      </c>
    </row>
    <row r="1987" spans="1:2" hidden="1" x14ac:dyDescent="0.2">
      <c r="A1987" t="s">
        <v>52</v>
      </c>
      <c r="B1987" s="45" t="s">
        <v>64</v>
      </c>
    </row>
    <row r="1988" spans="1:2" hidden="1" x14ac:dyDescent="0.2">
      <c r="A1988" t="s">
        <v>48</v>
      </c>
      <c r="B1988" s="45">
        <v>169</v>
      </c>
    </row>
    <row r="1989" spans="1:2" hidden="1" x14ac:dyDescent="0.2">
      <c r="A1989" t="s">
        <v>54</v>
      </c>
      <c r="B1989" s="45" t="str">
        <f>INDEX(overview!$B$4:$R$338,MATCH(B1988,overview!$A$4:$A$338,0),MATCH(A1989,overview!$B$3:$R$3,0))</f>
        <v>heat, from residential heating system</v>
      </c>
    </row>
    <row r="1990" spans="1:2" hidden="1" x14ac:dyDescent="0.2">
      <c r="A1990" t="s">
        <v>55</v>
      </c>
      <c r="B1990" s="45" t="str">
        <f>INDEX(overview!$B$4:$R$338,MATCH(B1988,overview!$A$4:$A$338,0),MATCH(A1990,overview!$B$3:$R$3,0))</f>
        <v>megajoule</v>
      </c>
    </row>
    <row r="1991" spans="1:2" hidden="1" x14ac:dyDescent="0.2">
      <c r="A1991" t="s">
        <v>0</v>
      </c>
      <c r="B1991" s="45" t="str">
        <f>INDEX(overview!$B$4:$R$338,MATCH(B1988,overview!$A$4:$A$338,0),MATCH(A1991,overview!$B$3:$R$3,0))</f>
        <v>Switzerland</v>
      </c>
    </row>
    <row r="1992" spans="1:2" hidden="1" x14ac:dyDescent="0.2">
      <c r="A1992" t="s">
        <v>1</v>
      </c>
      <c r="B1992" s="45">
        <f>INDEX(overview!$B$4:$R$338,MATCH(B1988,overview!$A$4:$A$338,0),MATCH(A1992,overview!$B$3:$R$3,0))</f>
        <v>2020</v>
      </c>
    </row>
    <row r="1993" spans="1:2" hidden="1" x14ac:dyDescent="0.2">
      <c r="A1993" t="s">
        <v>2</v>
      </c>
      <c r="B1993" s="45" t="str">
        <f>INDEX(overview!$B$4:$R$338,MATCH(B1988,overview!$A$4:$A$338,0),MATCH(A1993,overview!$B$3:$R$3,0))</f>
        <v>1 MJ heat</v>
      </c>
    </row>
    <row r="1994" spans="1:2" hidden="1" x14ac:dyDescent="0.2">
      <c r="A1994" t="s">
        <v>5</v>
      </c>
      <c r="B1994" s="45" t="str">
        <f>INDEX(overview!$B$4:$R$338,MATCH(B1988,overview!$A$4:$A$338,0),MATCH(A1994,overview!$B$3:$R$3,0))</f>
        <v>hydrogen</v>
      </c>
    </row>
    <row r="1995" spans="1:2" hidden="1" x14ac:dyDescent="0.2">
      <c r="A1995" t="s">
        <v>3</v>
      </c>
      <c r="B1995" s="45" t="str">
        <f>INDEX(overview!$B$4:$R$338,MATCH(B1988,overview!$A$4:$A$338,0),MATCH(A1995,overview!$B$3:$R$3,0))</f>
        <v>combustion</v>
      </c>
    </row>
    <row r="1996" spans="1:2" hidden="1" x14ac:dyDescent="0.2">
      <c r="A1996" t="s">
        <v>6</v>
      </c>
      <c r="B1996" s="45" t="str">
        <f>INDEX(overview!$B$4:$R$338,MATCH(B1988,overview!$A$4:$A$338,0),MATCH(A1996,overview!$B$3:$R$3,0))</f>
        <v>boiler</v>
      </c>
    </row>
    <row r="1997" spans="1:2" hidden="1" x14ac:dyDescent="0.2">
      <c r="A1997" t="s">
        <v>39</v>
      </c>
      <c r="B1997" s="45">
        <f>INDEX(overview!$B$4:$R$338,MATCH(B1988,overview!$A$4:$A$338,0),MATCH(A1997,overview!$B$3:$R$3,0))</f>
        <v>0</v>
      </c>
    </row>
    <row r="1998" spans="1:2" hidden="1" x14ac:dyDescent="0.2">
      <c r="A1998" t="s">
        <v>4</v>
      </c>
      <c r="B1998" s="45" t="str">
        <f>INDEX(overview!$B$4:$R$338,MATCH(B1988,overview!$A$4:$A$338,0),MATCH(A1998,overview!$B$3:$R$3,0))</f>
        <v>pipeline</v>
      </c>
    </row>
    <row r="1999" spans="1:2" hidden="1" x14ac:dyDescent="0.2">
      <c r="A1999" t="s">
        <v>38</v>
      </c>
      <c r="B1999" s="45">
        <f>INDEX(overview!$B$4:$R$338,MATCH(B1988,overview!$A$4:$A$338,0),MATCH(A1999,overview!$B$3:$R$3,0))</f>
        <v>500</v>
      </c>
    </row>
    <row r="2000" spans="1:2" hidden="1" x14ac:dyDescent="0.2">
      <c r="A2000" t="s">
        <v>12</v>
      </c>
      <c r="B2000" s="45" t="str">
        <f>INDEX(overview!$B$4:$R$338,MATCH(B1988,overview!$A$4:$A$338,0),MATCH(A2000,overview!$B$3:$R$3,0))</f>
        <v>Pressure vessel for stationary storage</v>
      </c>
    </row>
    <row r="2001" spans="1:2" hidden="1" x14ac:dyDescent="0.2">
      <c r="A2001" t="s">
        <v>34</v>
      </c>
      <c r="B2001" s="45">
        <f>INDEX(overview!$B$4:$R$338,MATCH(B1988,overview!$A$4:$A$338,0),MATCH(A2001,overview!$B$3:$R$3,0))</f>
        <v>0</v>
      </c>
    </row>
    <row r="2002" spans="1:2" hidden="1" x14ac:dyDescent="0.2">
      <c r="A2002" t="s">
        <v>15</v>
      </c>
      <c r="B2002" s="45" t="str">
        <f>INDEX(overview!$B$4:$R$338,MATCH(B1988,overview!$A$4:$A$338,0),MATCH(A2002,overview!$B$3:$R$3,0))</f>
        <v>Steam Methane Reforming, with CCS</v>
      </c>
    </row>
    <row r="2003" spans="1:2" hidden="1" x14ac:dyDescent="0.2">
      <c r="A2003" t="s">
        <v>14</v>
      </c>
      <c r="B2003" s="45" t="str">
        <f>INDEX(overview!$B$4:$R$338,MATCH(B1988,overview!$A$4:$A$338,0),MATCH(A2003,overview!$B$3:$R$3,0))</f>
        <v>natural gas</v>
      </c>
    </row>
    <row r="2004" spans="1:2" hidden="1" x14ac:dyDescent="0.2">
      <c r="A2004" t="s">
        <v>26</v>
      </c>
      <c r="B2004" s="45" t="str">
        <f>INDEX(overview!$B$4:$R$338,MATCH(B1988,overview!$A$4:$A$338,0),MATCH(A2004,overview!$B$3:$R$3,0))</f>
        <v>Russia</v>
      </c>
    </row>
    <row r="2005" spans="1:2" hidden="1" x14ac:dyDescent="0.2">
      <c r="A2005" t="s">
        <v>29</v>
      </c>
      <c r="B2005" s="45">
        <f>INDEX(overview!$B$4:$R$338,MATCH(B1988,overview!$A$4:$A$338,0),MATCH(A2005,overview!$B$3:$R$3,0))</f>
        <v>0</v>
      </c>
    </row>
    <row r="2006" spans="1:2" hidden="1" x14ac:dyDescent="0.2">
      <c r="A2006" t="str">
        <f>IF(B1990="megajoule","Heat","Electricity")&amp;" conversion efficiency [% LHV input]"</f>
        <v>Heat conversion efficiency [% LHV input]</v>
      </c>
      <c r="B2006" s="46">
        <f>INDEX(parameters!$D$4:$N$20,MATCH(B1994&amp;B1996,parameters!$A$4:$A$20,0),MATCH(A2006,parameters!$D$3:$N$3,0))</f>
        <v>0.94</v>
      </c>
    </row>
    <row r="2007" spans="1:2" hidden="1" x14ac:dyDescent="0.2">
      <c r="A2007" t="str">
        <f>IF(B1990="megajoule","LHV [MJ/kg]","LHV [kWh/kg]")</f>
        <v>LHV [MJ/kg]</v>
      </c>
      <c r="B2007" s="47">
        <f>INDEX(parameters!$D$4:$N$20,MATCH(B1994&amp;B1996,parameters!$A$4:$A$20,0),MATCH(A2007,parameters!$D$3:$N$3,0))</f>
        <v>120</v>
      </c>
    </row>
    <row r="2008" spans="1:2" hidden="1" x14ac:dyDescent="0.2">
      <c r="A2008" t="s">
        <v>41</v>
      </c>
      <c r="B2008" s="48">
        <f>INDEX(parameters!$D$4:$N$20,MATCH(B1994&amp;B1996,parameters!$A$4:$A$20,0),MATCH(A2008,parameters!$D$3:$N$3,0))</f>
        <v>2.6666666666666665E-2</v>
      </c>
    </row>
    <row r="2009" spans="1:2" hidden="1" x14ac:dyDescent="0.2">
      <c r="A2009" t="s">
        <v>45</v>
      </c>
      <c r="B2009" s="49">
        <f>INDEX(parameters!$D$4:$N$20,MATCH(B1994&amp;B1996,parameters!$A$4:$A$20,0),MATCH(A2009,parameters!$D$3:$N$3,0))</f>
        <v>0</v>
      </c>
    </row>
    <row r="2010" spans="1:2" hidden="1" x14ac:dyDescent="0.2">
      <c r="A2010" t="s">
        <v>46</v>
      </c>
      <c r="B2010" s="49">
        <f>INDEX(parameters!$D$4:$N$20,MATCH(B1994&amp;B1996,parameters!$A$4:$A$20,0),MATCH(A2010,parameters!$D$3:$N$3,0))</f>
        <v>1.4999999999999999E-2</v>
      </c>
    </row>
    <row r="2011" spans="1:2" hidden="1" x14ac:dyDescent="0.2">
      <c r="A2011" t="s">
        <v>43</v>
      </c>
      <c r="B2011" s="49">
        <f>INDEX(parameters!$D$4:$N$20,MATCH(B1994&amp;B1996,parameters!$A$4:$A$20,0),MATCH(A2011,parameters!$D$3:$N$3,0))</f>
        <v>0</v>
      </c>
    </row>
    <row r="2012" spans="1:2" hidden="1" x14ac:dyDescent="0.2">
      <c r="A2012" t="s">
        <v>44</v>
      </c>
      <c r="B2012" s="49">
        <f>INDEX(parameters!$D$4:$N$20,MATCH(B1994&amp;B1996,parameters!$A$4:$A$20,0),MATCH(A2012,parameters!$D$3:$N$3,0))</f>
        <v>0</v>
      </c>
    </row>
    <row r="2013" spans="1:2" hidden="1" x14ac:dyDescent="0.2">
      <c r="A2013" t="s">
        <v>634</v>
      </c>
      <c r="B2013" s="50">
        <f>INDEX(parameters!$D$4:$Y$20,MATCH(B1994&amp;B1996,parameters!$A$4:$A$20,0),MATCH(A2013,parameters!$D$3:$Y$3,0))</f>
        <v>15.957446808510639</v>
      </c>
    </row>
    <row r="2014" spans="1:2" hidden="1" x14ac:dyDescent="0.2">
      <c r="A2014" t="s">
        <v>82</v>
      </c>
      <c r="B2014" s="46">
        <f>IF(B2005&lt;&gt;0,VLOOKUP(B2005,parameters!A1276:B1278,2,0),0)</f>
        <v>0</v>
      </c>
    </row>
    <row r="2015" spans="1:2" hidden="1" x14ac:dyDescent="0.2">
      <c r="A2015" t="s">
        <v>548</v>
      </c>
      <c r="B2015" s="50">
        <f>INDEX(parameters!$D$4:$P$20,MATCH(B1994&amp;B1996,parameters!$A$4:$A$20,0),MATCH(A2015,parameters!$D$3:$P$3,0))</f>
        <v>15</v>
      </c>
    </row>
    <row r="2016" spans="1:2" hidden="1" x14ac:dyDescent="0.2">
      <c r="A2016" t="s">
        <v>547</v>
      </c>
      <c r="B2016" s="51">
        <f>INDEX(parameters!$D$4:$P$20,MATCH(B1994&amp;B1996,parameters!$A$4:$A$20,0),MATCH(A2016,parameters!$D$3:$P$3,0))</f>
        <v>20</v>
      </c>
    </row>
    <row r="2017" spans="1:22" hidden="1" x14ac:dyDescent="0.2">
      <c r="A2017" t="s">
        <v>630</v>
      </c>
      <c r="B2017" s="51">
        <f>INDEX(parameters!$D$4:$T$20,MATCH(B1994&amp;B1996,parameters!$A$4:$A$20,0),MATCH(A2017,parameters!$D$3:$T$3,0))</f>
        <v>2100</v>
      </c>
    </row>
    <row r="2018" spans="1:22" hidden="1" x14ac:dyDescent="0.2">
      <c r="A2018" t="s">
        <v>1005</v>
      </c>
      <c r="B2018" s="50">
        <f>IF(B1990="megajoule",SUMIFS(allocation!$I$4:$I$30,allocation!$B$4:$B$30,B1996,allocation!$C$4:$C$30,B1997),SUMIFS(allocation!$J$4:$J$30,allocation!$B$4:$B$30,B1996,allocation!$C$4:$C$30,B1997))</f>
        <v>0</v>
      </c>
    </row>
    <row r="2019" spans="1:22" hidden="1" x14ac:dyDescent="0.2">
      <c r="A2019" t="s">
        <v>1050</v>
      </c>
      <c r="B2019" s="51">
        <f>INDEX(parameters!$D$4:$AB$20,MATCH(B1994&amp;B1996,parameters!$A$4:$A$20,0),MATCH(A2019,parameters!$D$3:$AB$3,0))</f>
        <v>44.562019013128115</v>
      </c>
    </row>
    <row r="2020" spans="1:22" hidden="1" x14ac:dyDescent="0.2"/>
    <row r="2021" spans="1:22" hidden="1" x14ac:dyDescent="0.2">
      <c r="A2021" s="3" t="s">
        <v>57</v>
      </c>
    </row>
    <row r="2022" spans="1:22" hidden="1" x14ac:dyDescent="0.2">
      <c r="A2022" s="2" t="s">
        <v>58</v>
      </c>
      <c r="B2022" s="44" t="s">
        <v>59</v>
      </c>
      <c r="C2022" s="2" t="s">
        <v>55</v>
      </c>
      <c r="D2022" s="2" t="s">
        <v>60</v>
      </c>
      <c r="E2022" s="2" t="s">
        <v>52</v>
      </c>
      <c r="F2022" s="2" t="s">
        <v>61</v>
      </c>
      <c r="G2022" s="2" t="s">
        <v>54</v>
      </c>
      <c r="H2022" s="2" t="s">
        <v>87</v>
      </c>
      <c r="I2022" s="2" t="s">
        <v>51</v>
      </c>
      <c r="J2022" s="2" t="s">
        <v>138</v>
      </c>
      <c r="K2022" s="2" t="s">
        <v>136</v>
      </c>
      <c r="L2022" s="2" t="s">
        <v>221</v>
      </c>
      <c r="M2022" s="2" t="s">
        <v>379</v>
      </c>
      <c r="N2022" s="2" t="s">
        <v>1059</v>
      </c>
      <c r="O2022" s="2" t="s">
        <v>1060</v>
      </c>
      <c r="P2022" s="2" t="s">
        <v>1061</v>
      </c>
      <c r="Q2022" s="2" t="s">
        <v>1062</v>
      </c>
      <c r="R2022" s="2" t="s">
        <v>1063</v>
      </c>
      <c r="S2022" s="2" t="s">
        <v>1064</v>
      </c>
      <c r="T2022" s="2" t="s">
        <v>1065</v>
      </c>
      <c r="U2022" s="2" t="s">
        <v>380</v>
      </c>
      <c r="V2022" s="2" t="s">
        <v>1128</v>
      </c>
    </row>
    <row r="2023" spans="1:22" hidden="1" x14ac:dyDescent="0.2">
      <c r="A2023" t="str">
        <f>B1984</f>
        <v>heat, residential, by combustion of hydrogen using boiler, transported by pipeline, produced by Steam Methane Reforming, with CCS using natural gas from Russia</v>
      </c>
      <c r="B2023" s="45">
        <v>1</v>
      </c>
      <c r="C2023" t="str">
        <f>B1990</f>
        <v>megajoule</v>
      </c>
      <c r="E2023" t="str">
        <f>B1987</f>
        <v>CH</v>
      </c>
      <c r="F2023" t="s">
        <v>62</v>
      </c>
      <c r="G2023" t="str">
        <f>B1989</f>
        <v>heat, from residential heating system</v>
      </c>
      <c r="K2023" t="str">
        <f>B1984</f>
        <v>heat, residential, by combustion of hydrogen using boiler, transported by pipeline, produced by Steam Methane Reforming, with CCS using natural gas from Russia</v>
      </c>
    </row>
    <row r="2024" spans="1:22" hidden="1" x14ac:dyDescent="0.2">
      <c r="A2024" t="s">
        <v>83</v>
      </c>
      <c r="B2024" s="52">
        <f>1/(B2015*B2017*B2016*3.6)</f>
        <v>4.4091710758377425E-7</v>
      </c>
      <c r="C2024" t="s">
        <v>55</v>
      </c>
      <c r="E2024" t="s">
        <v>85</v>
      </c>
      <c r="F2024" t="s">
        <v>86</v>
      </c>
      <c r="G2024" t="s">
        <v>84</v>
      </c>
      <c r="H2024" t="s">
        <v>88</v>
      </c>
      <c r="K2024" t="str">
        <f>B1984</f>
        <v>heat, residential, by combustion of hydrogen using boiler, transported by pipeline, produced by Steam Methane Reforming, with CCS using natural gas from Russia</v>
      </c>
      <c r="L2024">
        <f t="shared" ref="L2024:L2029" si="128">IF(OR(B2024&lt;0,B2024=0),1,2)</f>
        <v>2</v>
      </c>
      <c r="M2024">
        <f t="shared" ref="M2024:M2029" si="129">IF(L2024=2,LN(B2024),"")</f>
        <v>-14.634408943829779</v>
      </c>
      <c r="N2024">
        <v>1.05</v>
      </c>
      <c r="O2024" s="15">
        <v>1.2</v>
      </c>
      <c r="P2024">
        <v>1</v>
      </c>
      <c r="Q2024">
        <v>1.01</v>
      </c>
      <c r="R2024">
        <v>1.2</v>
      </c>
      <c r="S2024">
        <v>1.2</v>
      </c>
      <c r="T2024">
        <v>3</v>
      </c>
      <c r="U2024">
        <f t="shared" ref="U2024:U2029" si="130">LN(SQRT(EXP(
SQRT(
+POWER(LN(N2024),2)
+POWER(LN(O2024),2)
+POWER(LN(P2024),2)
+POWER(LN(Q2024),2)
+POWER(LN(R2024),2)
+POWER(LN(S2024),2)
+POWER(LN(T2024),2)
)
)))</f>
        <v>0.57209088006881903</v>
      </c>
    </row>
    <row r="2025" spans="1:22" hidden="1" x14ac:dyDescent="0.2">
      <c r="A2025" t="s">
        <v>500</v>
      </c>
      <c r="B2025" s="52">
        <f>B2024*2</f>
        <v>8.8183421516754851E-7</v>
      </c>
      <c r="C2025" t="s">
        <v>267</v>
      </c>
      <c r="E2025" t="s">
        <v>85</v>
      </c>
      <c r="F2025" t="s">
        <v>86</v>
      </c>
      <c r="G2025" t="s">
        <v>501</v>
      </c>
      <c r="H2025" t="s">
        <v>88</v>
      </c>
      <c r="I2025" t="s">
        <v>621</v>
      </c>
      <c r="K2025" t="str">
        <f>B1984</f>
        <v>heat, residential, by combustion of hydrogen using boiler, transported by pipeline, produced by Steam Methane Reforming, with CCS using natural gas from Russia</v>
      </c>
      <c r="L2025">
        <f t="shared" si="128"/>
        <v>2</v>
      </c>
      <c r="M2025">
        <f t="shared" si="129"/>
        <v>-13.941261763269834</v>
      </c>
      <c r="N2025">
        <v>1.05</v>
      </c>
      <c r="O2025" s="15">
        <v>1.2</v>
      </c>
      <c r="P2025">
        <v>1</v>
      </c>
      <c r="Q2025">
        <v>1.01</v>
      </c>
      <c r="R2025">
        <v>1.2</v>
      </c>
      <c r="S2025">
        <v>1.2</v>
      </c>
      <c r="T2025">
        <v>3</v>
      </c>
      <c r="U2025">
        <f t="shared" si="130"/>
        <v>0.57209088006881903</v>
      </c>
    </row>
    <row r="2026" spans="1:22" hidden="1" x14ac:dyDescent="0.2">
      <c r="A2026" t="s">
        <v>130</v>
      </c>
      <c r="B2026" s="52">
        <v>2.64E-3</v>
      </c>
      <c r="C2026" t="s">
        <v>92</v>
      </c>
      <c r="E2026" t="s">
        <v>64</v>
      </c>
      <c r="F2026" t="s">
        <v>86</v>
      </c>
      <c r="G2026" t="s">
        <v>93</v>
      </c>
      <c r="H2026" t="s">
        <v>78</v>
      </c>
      <c r="I2026" t="s">
        <v>270</v>
      </c>
      <c r="J2026" t="s">
        <v>67</v>
      </c>
      <c r="K2026" t="str">
        <f>B1984</f>
        <v>heat, residential, by combustion of hydrogen using boiler, transported by pipeline, produced by Steam Methane Reforming, with CCS using natural gas from Russia</v>
      </c>
      <c r="L2026">
        <f t="shared" si="128"/>
        <v>2</v>
      </c>
      <c r="M2026">
        <f t="shared" si="129"/>
        <v>-5.9369763618239126</v>
      </c>
      <c r="N2026">
        <v>1.05</v>
      </c>
      <c r="O2026" s="15">
        <v>1.2</v>
      </c>
      <c r="P2026">
        <v>1</v>
      </c>
      <c r="Q2026">
        <v>1.01</v>
      </c>
      <c r="R2026">
        <v>1.2</v>
      </c>
      <c r="S2026">
        <v>1.2</v>
      </c>
      <c r="T2026">
        <v>1.05</v>
      </c>
      <c r="U2026">
        <f t="shared" si="130"/>
        <v>0.16169679924070957</v>
      </c>
    </row>
    <row r="2027" spans="1:22" hidden="1" x14ac:dyDescent="0.2">
      <c r="A2027" s="45" t="str">
        <f>"hydrogen supply, transported by "&amp;B1998&amp;", produced by "&amp;B2002&amp;" using "&amp;B2003&amp;" from "&amp;B2004</f>
        <v>hydrogen supply, transported by pipeline, produced by Steam Methane Reforming, with CCS using natural gas from Russia</v>
      </c>
      <c r="B2027" s="53">
        <f>(B2023/B2007)/B2006</f>
        <v>8.8652482269503553E-3</v>
      </c>
      <c r="C2027" t="s">
        <v>56</v>
      </c>
      <c r="E2027" t="s">
        <v>64</v>
      </c>
      <c r="F2027" t="s">
        <v>86</v>
      </c>
      <c r="G2027" s="67" t="s">
        <v>1129</v>
      </c>
      <c r="H2027" t="s">
        <v>76</v>
      </c>
      <c r="I2027" t="s">
        <v>1054</v>
      </c>
      <c r="J2027" t="s">
        <v>365</v>
      </c>
      <c r="K2027" t="str">
        <f>B1984</f>
        <v>heat, residential, by combustion of hydrogen using boiler, transported by pipeline, produced by Steam Methane Reforming, with CCS using natural gas from Russia</v>
      </c>
      <c r="L2027">
        <f t="shared" si="128"/>
        <v>2</v>
      </c>
      <c r="M2027">
        <f t="shared" si="129"/>
        <v>-4.7256163390639587</v>
      </c>
      <c r="N2027">
        <v>1.05</v>
      </c>
      <c r="O2027" s="15">
        <v>1.2</v>
      </c>
      <c r="P2027">
        <v>1</v>
      </c>
      <c r="Q2027">
        <v>1.01</v>
      </c>
      <c r="R2027">
        <v>1.2</v>
      </c>
      <c r="S2027">
        <v>1.2</v>
      </c>
      <c r="T2027">
        <v>1.05</v>
      </c>
      <c r="U2027">
        <f t="shared" si="130"/>
        <v>0.16169679924070957</v>
      </c>
    </row>
    <row r="2028" spans="1:22" hidden="1" x14ac:dyDescent="0.2">
      <c r="A2028" t="s">
        <v>134</v>
      </c>
      <c r="B2028" s="45">
        <f>B2027*9</f>
        <v>7.9787234042553196E-2</v>
      </c>
      <c r="C2028" t="s">
        <v>56</v>
      </c>
      <c r="D2028" t="s">
        <v>100</v>
      </c>
      <c r="F2028" t="s">
        <v>99</v>
      </c>
      <c r="H2028" t="s">
        <v>131</v>
      </c>
      <c r="I2028" t="s">
        <v>1058</v>
      </c>
      <c r="K2028" t="str">
        <f>B1984</f>
        <v>heat, residential, by combustion of hydrogen using boiler, transported by pipeline, produced by Steam Methane Reforming, with CCS using natural gas from Russia</v>
      </c>
      <c r="L2028">
        <f t="shared" si="128"/>
        <v>2</v>
      </c>
      <c r="M2028">
        <f t="shared" si="129"/>
        <v>-2.5283917617277392</v>
      </c>
      <c r="N2028">
        <v>1.05</v>
      </c>
      <c r="O2028" s="15">
        <v>1.2</v>
      </c>
      <c r="P2028">
        <v>1</v>
      </c>
      <c r="Q2028">
        <v>1.01</v>
      </c>
      <c r="R2028">
        <v>1.2</v>
      </c>
      <c r="S2028">
        <v>1.2</v>
      </c>
      <c r="T2028">
        <v>1.05</v>
      </c>
      <c r="U2028">
        <f t="shared" si="130"/>
        <v>0.16169679924070957</v>
      </c>
    </row>
    <row r="2029" spans="1:22" hidden="1" x14ac:dyDescent="0.2">
      <c r="A2029" t="s">
        <v>135</v>
      </c>
      <c r="B2029" s="45">
        <f>912.5/1000000*B2027</f>
        <v>8.0895390070921995E-6</v>
      </c>
      <c r="C2029" t="s">
        <v>56</v>
      </c>
      <c r="D2029" t="s">
        <v>100</v>
      </c>
      <c r="F2029" t="s">
        <v>99</v>
      </c>
      <c r="H2029" t="s">
        <v>131</v>
      </c>
      <c r="I2029" t="s">
        <v>1217</v>
      </c>
      <c r="K2029" t="str">
        <f>B1984</f>
        <v>heat, residential, by combustion of hydrogen using boiler, transported by pipeline, produced by Steam Methane Reforming, with CCS using natural gas from Russia</v>
      </c>
      <c r="L2029">
        <f t="shared" si="128"/>
        <v>2</v>
      </c>
      <c r="M2029">
        <f t="shared" si="129"/>
        <v>-11.724938811571587</v>
      </c>
      <c r="N2029">
        <v>1.05</v>
      </c>
      <c r="O2029" s="15">
        <v>1.2</v>
      </c>
      <c r="P2029">
        <v>1</v>
      </c>
      <c r="Q2029">
        <v>1.01</v>
      </c>
      <c r="R2029">
        <v>1.2</v>
      </c>
      <c r="S2029">
        <v>1.2</v>
      </c>
      <c r="T2029">
        <v>1.5</v>
      </c>
      <c r="U2029">
        <f t="shared" si="130"/>
        <v>0.25816898211842121</v>
      </c>
    </row>
    <row r="2030" spans="1:22" hidden="1" x14ac:dyDescent="0.2"/>
    <row r="2031" spans="1:22" hidden="1" x14ac:dyDescent="0.2">
      <c r="A2031" s="2" t="s">
        <v>50</v>
      </c>
      <c r="B2031" s="44" t="str">
        <f>IF(B2037="megajoule","heat","electricity")&amp;", residential, by "&amp;B2042&amp;" of "&amp;B2041&amp;" using "&amp;B2043&amp;IF(B2044&lt;&gt;0,", allocated by "&amp;B2044,"")&amp;", transported by "&amp;B2045&amp;", produced by "&amp;B2049&amp;" using "&amp;B2050&amp;" from "&amp;B2051</f>
        <v>heat, residential, by combustion of hydrogen using CHP, allocated by exergy, transported by pipeline, produced by Steam Methane Reforming, with CCS using natural gas from Russia</v>
      </c>
    </row>
    <row r="2032" spans="1:22" hidden="1" x14ac:dyDescent="0.2">
      <c r="A2032" t="s">
        <v>51</v>
      </c>
      <c r="B2032" s="45" t="str">
        <f>"This dataset represents the supply of 1 "&amp;IF(B2037="megajoule","megajoule of heat","kilowatt hour of electricity")&amp;" in a residence, by "&amp;B2041&amp;" "&amp;B2042&amp;" in a "&amp;B2043&amp;". "&amp;" The hydrogen is transported by "&amp;B2045&amp;" over "&amp;B2046&amp;" km from regional storage. "&amp;" The "&amp;B2041&amp;" is produced by  "&amp;B2049&amp;", with "&amp;B2050&amp;" from "&amp;B2051&amp;" as feedstock. "&amp;A2053&amp;": "&amp;(B2053*100)&amp;"%. "&amp;A2054&amp;": "&amp;B2054&amp;". "&amp;A2055&amp;": "&amp;B2055&amp;". "&amp;A2056&amp;": "&amp;(B2056*100)&amp;"%. "&amp;A2057&amp;": "&amp;(B2057*100)&amp;"%. "&amp;A2058&amp;": "&amp;(B2058*100)&amp;"%. "&amp;A2059&amp;": "&amp;B2059&amp;". "&amp;A2060&amp;": "&amp;B2060&amp;". "&amp;A2061&amp;": "&amp;(B2061*100)&amp;"%. "&amp;A2062&amp;": "&amp;B2062&amp;". "&amp;A2063&amp;": "&amp;B2063&amp;". "&amp;A2064&amp;": "&amp;B2064&amp;". "&amp;A2065&amp;": "&amp;B2065&amp;".  For more information, refer to: "&amp;B2033</f>
        <v>This dataset represents the supply of 1 megajoule of heat in a residence, by hydrogen combustion in a CHP.  The hydrogen is transported by pipeline over 500 km from regional storage.  The hydrogen is produced by  Steam Methane Reforming, with CCS, with natural gas from Russia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2033" spans="1:2" hidden="1" x14ac:dyDescent="0.2">
      <c r="A2033" t="s">
        <v>63</v>
      </c>
      <c r="B2033" s="45" t="s">
        <v>660</v>
      </c>
    </row>
    <row r="2034" spans="1:2" hidden="1" x14ac:dyDescent="0.2">
      <c r="A2034" t="s">
        <v>52</v>
      </c>
      <c r="B2034" s="45" t="s">
        <v>64</v>
      </c>
    </row>
    <row r="2035" spans="1:2" hidden="1" x14ac:dyDescent="0.2">
      <c r="A2035" t="s">
        <v>48</v>
      </c>
      <c r="B2035" s="45">
        <v>170</v>
      </c>
    </row>
    <row r="2036" spans="1:2" hidden="1" x14ac:dyDescent="0.2">
      <c r="A2036" t="s">
        <v>54</v>
      </c>
      <c r="B2036" s="45" t="str">
        <f>INDEX(overview!$B$4:$R$338,MATCH(B2035,overview!$A$4:$A$338,0),MATCH(A2036,overview!$B$3:$R$3,0))</f>
        <v>heat, from residential heating system</v>
      </c>
    </row>
    <row r="2037" spans="1:2" hidden="1" x14ac:dyDescent="0.2">
      <c r="A2037" t="s">
        <v>55</v>
      </c>
      <c r="B2037" s="45" t="str">
        <f>INDEX(overview!$B$4:$R$338,MATCH(B2035,overview!$A$4:$A$338,0),MATCH(A2037,overview!$B$3:$R$3,0))</f>
        <v>megajoule</v>
      </c>
    </row>
    <row r="2038" spans="1:2" hidden="1" x14ac:dyDescent="0.2">
      <c r="A2038" t="s">
        <v>0</v>
      </c>
      <c r="B2038" s="45" t="str">
        <f>INDEX(overview!$B$4:$R$338,MATCH(B2035,overview!$A$4:$A$338,0),MATCH(A2038,overview!$B$3:$R$3,0))</f>
        <v>Switzerland</v>
      </c>
    </row>
    <row r="2039" spans="1:2" hidden="1" x14ac:dyDescent="0.2">
      <c r="A2039" t="s">
        <v>1</v>
      </c>
      <c r="B2039" s="45">
        <f>INDEX(overview!$B$4:$R$338,MATCH(B2035,overview!$A$4:$A$338,0),MATCH(A2039,overview!$B$3:$R$3,0))</f>
        <v>2020</v>
      </c>
    </row>
    <row r="2040" spans="1:2" hidden="1" x14ac:dyDescent="0.2">
      <c r="A2040" t="s">
        <v>2</v>
      </c>
      <c r="B2040" s="45" t="str">
        <f>INDEX(overview!$B$4:$R$338,MATCH(B2035,overview!$A$4:$A$338,0),MATCH(A2040,overview!$B$3:$R$3,0))</f>
        <v>1 MJ heat</v>
      </c>
    </row>
    <row r="2041" spans="1:2" hidden="1" x14ac:dyDescent="0.2">
      <c r="A2041" t="s">
        <v>5</v>
      </c>
      <c r="B2041" s="45" t="str">
        <f>INDEX(overview!$B$4:$R$338,MATCH(B2035,overview!$A$4:$A$338,0),MATCH(A2041,overview!$B$3:$R$3,0))</f>
        <v>hydrogen</v>
      </c>
    </row>
    <row r="2042" spans="1:2" hidden="1" x14ac:dyDescent="0.2">
      <c r="A2042" t="s">
        <v>3</v>
      </c>
      <c r="B2042" s="45" t="str">
        <f>INDEX(overview!$B$4:$R$338,MATCH(B2035,overview!$A$4:$A$338,0),MATCH(A2042,overview!$B$3:$R$3,0))</f>
        <v>combustion</v>
      </c>
    </row>
    <row r="2043" spans="1:2" hidden="1" x14ac:dyDescent="0.2">
      <c r="A2043" t="s">
        <v>6</v>
      </c>
      <c r="B2043" s="45" t="str">
        <f>INDEX(overview!$B$4:$R$338,MATCH(B2035,overview!$A$4:$A$338,0),MATCH(A2043,overview!$B$3:$R$3,0))</f>
        <v>CHP</v>
      </c>
    </row>
    <row r="2044" spans="1:2" hidden="1" x14ac:dyDescent="0.2">
      <c r="A2044" t="s">
        <v>39</v>
      </c>
      <c r="B2044" s="45" t="str">
        <f>INDEX(overview!$B$4:$R$338,MATCH(B2035,overview!$A$4:$A$338,0),MATCH(A2044,overview!$B$3:$R$3,0))</f>
        <v>exergy</v>
      </c>
    </row>
    <row r="2045" spans="1:2" hidden="1" x14ac:dyDescent="0.2">
      <c r="A2045" t="s">
        <v>4</v>
      </c>
      <c r="B2045" s="45" t="str">
        <f>INDEX(overview!$B$4:$R$338,MATCH(B2035,overview!$A$4:$A$338,0),MATCH(A2045,overview!$B$3:$R$3,0))</f>
        <v>pipeline</v>
      </c>
    </row>
    <row r="2046" spans="1:2" hidden="1" x14ac:dyDescent="0.2">
      <c r="A2046" t="s">
        <v>38</v>
      </c>
      <c r="B2046" s="45">
        <f>INDEX(overview!$B$4:$R$338,MATCH(B2035,overview!$A$4:$A$338,0),MATCH(A2046,overview!$B$3:$R$3,0))</f>
        <v>500</v>
      </c>
    </row>
    <row r="2047" spans="1:2" hidden="1" x14ac:dyDescent="0.2">
      <c r="A2047" t="s">
        <v>12</v>
      </c>
      <c r="B2047" s="45" t="str">
        <f>INDEX(overview!$B$4:$R$338,MATCH(B2035,overview!$A$4:$A$338,0),MATCH(A2047,overview!$B$3:$R$3,0))</f>
        <v>Pressure vessel for stationary storage</v>
      </c>
    </row>
    <row r="2048" spans="1:2" hidden="1" x14ac:dyDescent="0.2">
      <c r="A2048" t="s">
        <v>34</v>
      </c>
      <c r="B2048" s="45">
        <f>INDEX(overview!$B$4:$R$338,MATCH(B2035,overview!$A$4:$A$338,0),MATCH(A2048,overview!$B$3:$R$3,0))</f>
        <v>0</v>
      </c>
    </row>
    <row r="2049" spans="1:2" hidden="1" x14ac:dyDescent="0.2">
      <c r="A2049" t="s">
        <v>15</v>
      </c>
      <c r="B2049" s="45" t="str">
        <f>INDEX(overview!$B$4:$R$338,MATCH(B2035,overview!$A$4:$A$338,0),MATCH(A2049,overview!$B$3:$R$3,0))</f>
        <v>Steam Methane Reforming, with CCS</v>
      </c>
    </row>
    <row r="2050" spans="1:2" hidden="1" x14ac:dyDescent="0.2">
      <c r="A2050" t="s">
        <v>14</v>
      </c>
      <c r="B2050" s="45" t="str">
        <f>INDEX(overview!$B$4:$R$338,MATCH(B2035,overview!$A$4:$A$338,0),MATCH(A2050,overview!$B$3:$R$3,0))</f>
        <v>natural gas</v>
      </c>
    </row>
    <row r="2051" spans="1:2" hidden="1" x14ac:dyDescent="0.2">
      <c r="A2051" t="s">
        <v>26</v>
      </c>
      <c r="B2051" s="45" t="str">
        <f>INDEX(overview!$B$4:$R$338,MATCH(B2035,overview!$A$4:$A$338,0),MATCH(A2051,overview!$B$3:$R$3,0))</f>
        <v>Russia</v>
      </c>
    </row>
    <row r="2052" spans="1:2" hidden="1" x14ac:dyDescent="0.2">
      <c r="A2052" t="s">
        <v>29</v>
      </c>
      <c r="B2052" s="45">
        <f>INDEX(overview!$B$4:$R$338,MATCH(B2035,overview!$A$4:$A$338,0),MATCH(A2052,overview!$B$3:$R$3,0))</f>
        <v>0</v>
      </c>
    </row>
    <row r="2053" spans="1:2" hidden="1" x14ac:dyDescent="0.2">
      <c r="A2053" t="str">
        <f>IF(B2037="megajoule","Heat","Electricity")&amp;" conversion efficiency [% LHV input]"</f>
        <v>Heat conversion efficiency [% LHV input]</v>
      </c>
      <c r="B2053" s="46">
        <f>INDEX(parameters!$D$4:$N$20,MATCH(B2041&amp;B2043,parameters!$A$4:$A$20,0),MATCH(A2053,parameters!$D$3:$N$3,0))</f>
        <v>0.41699999999999998</v>
      </c>
    </row>
    <row r="2054" spans="1:2" hidden="1" x14ac:dyDescent="0.2">
      <c r="A2054" t="str">
        <f>IF(B2037="megajoule","LHV [MJ/kg]","LHV [kWh/kg]")</f>
        <v>LHV [MJ/kg]</v>
      </c>
      <c r="B2054" s="47">
        <f>INDEX(parameters!$D$4:$N$20,MATCH(B2041&amp;B2043,parameters!$A$4:$A$20,0),MATCH(A2054,parameters!$D$3:$N$3,0))</f>
        <v>120</v>
      </c>
    </row>
    <row r="2055" spans="1:2" hidden="1" x14ac:dyDescent="0.2">
      <c r="A2055" t="s">
        <v>41</v>
      </c>
      <c r="B2055" s="48">
        <f>INDEX(parameters!$D$4:$N$20,MATCH(B2041&amp;B2043,parameters!$A$4:$A$20,0),MATCH(A2055,parameters!$D$3:$N$3,0))</f>
        <v>2.6666666666666665E-2</v>
      </c>
    </row>
    <row r="2056" spans="1:2" hidden="1" x14ac:dyDescent="0.2">
      <c r="A2056" t="s">
        <v>45</v>
      </c>
      <c r="B2056" s="46">
        <f>INDEX(parameters!$D$4:$N$20,MATCH(B2041&amp;B2043,parameters!$A$4:$A$20,0),MATCH(A2056,parameters!$D$3:$N$3,0))</f>
        <v>0</v>
      </c>
    </row>
    <row r="2057" spans="1:2" hidden="1" x14ac:dyDescent="0.2">
      <c r="A2057" t="s">
        <v>46</v>
      </c>
      <c r="B2057" s="46">
        <f>INDEX(parameters!$D$4:$N$20,MATCH(B2041&amp;B2043,parameters!$A$4:$A$20,0),MATCH(A2057,parameters!$D$3:$N$3,0))</f>
        <v>1.4999999999999999E-2</v>
      </c>
    </row>
    <row r="2058" spans="1:2" hidden="1" x14ac:dyDescent="0.2">
      <c r="A2058" t="s">
        <v>43</v>
      </c>
      <c r="B2058" s="46">
        <f>INDEX(parameters!$D$4:$N$20,MATCH(B2041&amp;B2043,parameters!$A$4:$A$20,0),MATCH(A2058,parameters!$D$3:$N$3,0))</f>
        <v>0</v>
      </c>
    </row>
    <row r="2059" spans="1:2" hidden="1" x14ac:dyDescent="0.2">
      <c r="A2059" t="s">
        <v>44</v>
      </c>
      <c r="B2059" s="46">
        <f>INDEX(parameters!$D$4:$N$20,MATCH(B2041&amp;B2043,parameters!$A$4:$A$20,0),MATCH(A2059,parameters!$D$3:$N$3,0))</f>
        <v>0</v>
      </c>
    </row>
    <row r="2060" spans="1:2" hidden="1" x14ac:dyDescent="0.2">
      <c r="A2060" t="s">
        <v>634</v>
      </c>
      <c r="B2060" s="50">
        <f>INDEX(parameters!$D$4:$Y$20,MATCH(B2041&amp;B2043,parameters!$A$4:$A$20,0),MATCH(A2060,parameters!$D$3:$Y$3,0))</f>
        <v>351.41800246609125</v>
      </c>
    </row>
    <row r="2061" spans="1:2" hidden="1" x14ac:dyDescent="0.2">
      <c r="A2061" t="s">
        <v>82</v>
      </c>
      <c r="B2061" s="46">
        <f>IF(B2052&lt;&gt;0,VLOOKUP(B2052,parameters!A1328:B1330,2,0),0)</f>
        <v>0</v>
      </c>
    </row>
    <row r="2062" spans="1:2" hidden="1" x14ac:dyDescent="0.2">
      <c r="A2062" t="s">
        <v>548</v>
      </c>
      <c r="B2062" s="50">
        <f>INDEX(parameters!$D$4:$P$20,MATCH(B2041&amp;B2043,parameters!$A$4:$A$20,0),MATCH(A2062,parameters!$D$3:$P$3,0))</f>
        <v>125</v>
      </c>
    </row>
    <row r="2063" spans="1:2" hidden="1" x14ac:dyDescent="0.2">
      <c r="A2063" t="s">
        <v>547</v>
      </c>
      <c r="B2063" s="51">
        <f>INDEX(parameters!$D$4:$P$20,MATCH(B2041&amp;B2043,parameters!$A$4:$A$20,0),MATCH(A2063,parameters!$D$3:$P$3,0))</f>
        <v>19.512195121951219</v>
      </c>
    </row>
    <row r="2064" spans="1:2" hidden="1" x14ac:dyDescent="0.2">
      <c r="A2064" t="s">
        <v>630</v>
      </c>
      <c r="B2064" s="51">
        <f>INDEX(parameters!$D$4:$T$20,MATCH(B2041&amp;B2043,parameters!$A$4:$A$20,0),MATCH(A2064,parameters!$D$3:$T$3,0))</f>
        <v>4100</v>
      </c>
    </row>
    <row r="2065" spans="1:22" hidden="1" x14ac:dyDescent="0.2">
      <c r="A2065" t="s">
        <v>1005</v>
      </c>
      <c r="B2065" s="50">
        <f>IF(B2037="megajoule",SUMIFS(allocation!$I$4:$I$30,allocation!$B$4:$B$30,B2043,allocation!$C$4:$C$30,B2044),SUMIFS(allocation!$J$4:$J$30,allocation!$B$4:$B$30,B2043,allocation!$C$4:$C$30,B2044))</f>
        <v>0.12860042227295038</v>
      </c>
    </row>
    <row r="2066" spans="1:22" hidden="1" x14ac:dyDescent="0.2">
      <c r="A2066" t="s">
        <v>1050</v>
      </c>
      <c r="B2066" s="51">
        <f>INDEX(parameters!$D$4:$AB$20,MATCH(B2041&amp;B2043,parameters!$A$4:$A$20,0),MATCH(A2066,parameters!$D$3:$AB$3,0))</f>
        <v>2220.7364520822662</v>
      </c>
    </row>
    <row r="2067" spans="1:22" hidden="1" x14ac:dyDescent="0.2"/>
    <row r="2068" spans="1:22" hidden="1" x14ac:dyDescent="0.2">
      <c r="A2068" s="3" t="s">
        <v>57</v>
      </c>
    </row>
    <row r="2069" spans="1:22" hidden="1" x14ac:dyDescent="0.2">
      <c r="A2069" s="2" t="s">
        <v>58</v>
      </c>
      <c r="B2069" s="44" t="s">
        <v>59</v>
      </c>
      <c r="C2069" s="2" t="s">
        <v>55</v>
      </c>
      <c r="D2069" s="2" t="s">
        <v>60</v>
      </c>
      <c r="E2069" s="2" t="s">
        <v>52</v>
      </c>
      <c r="F2069" s="2" t="s">
        <v>61</v>
      </c>
      <c r="G2069" s="2" t="s">
        <v>54</v>
      </c>
      <c r="H2069" s="2" t="s">
        <v>87</v>
      </c>
      <c r="I2069" s="2" t="s">
        <v>51</v>
      </c>
      <c r="J2069" s="2" t="s">
        <v>138</v>
      </c>
      <c r="K2069" s="2" t="s">
        <v>136</v>
      </c>
      <c r="L2069" s="2" t="s">
        <v>221</v>
      </c>
      <c r="M2069" s="2" t="s">
        <v>379</v>
      </c>
      <c r="N2069" s="2" t="s">
        <v>1059</v>
      </c>
      <c r="O2069" s="2" t="s">
        <v>1060</v>
      </c>
      <c r="P2069" s="2" t="s">
        <v>1061</v>
      </c>
      <c r="Q2069" s="2" t="s">
        <v>1062</v>
      </c>
      <c r="R2069" s="2" t="s">
        <v>1063</v>
      </c>
      <c r="S2069" s="2" t="s">
        <v>1064</v>
      </c>
      <c r="T2069" s="2" t="s">
        <v>1065</v>
      </c>
      <c r="U2069" s="2" t="s">
        <v>380</v>
      </c>
      <c r="V2069" s="2" t="s">
        <v>1128</v>
      </c>
    </row>
    <row r="2070" spans="1:22" hidden="1" x14ac:dyDescent="0.2">
      <c r="A2070" t="str">
        <f>B2031</f>
        <v>heat, residential, by combustion of hydrogen using CHP, allocated by exergy, transported by pipeline, produced by Steam Methane Reforming, with CCS using natural gas from Russia</v>
      </c>
      <c r="B2070" s="45">
        <v>1</v>
      </c>
      <c r="C2070" t="str">
        <f>B2037</f>
        <v>megajoule</v>
      </c>
      <c r="E2070" t="str">
        <f>B2034</f>
        <v>CH</v>
      </c>
      <c r="F2070" t="s">
        <v>62</v>
      </c>
      <c r="G2070" t="str">
        <f>B2036</f>
        <v>heat, from residential heating system</v>
      </c>
      <c r="K2070" t="str">
        <f>B2031</f>
        <v>heat, residential, by combustion of hydrogen using CHP, allocated by exergy, transported by pipeline, produced by Steam Methane Reforming, with CCS using natural gas from Russia</v>
      </c>
    </row>
    <row r="2071" spans="1:22" hidden="1" x14ac:dyDescent="0.2">
      <c r="A2071" t="str">
        <f>VLOOKUP(J2071,'dataset mapping'!$A$4:$E$69,2,0)</f>
        <v>heat and power co-generation unit construction, 160kW electrical, common components for heat+electricity</v>
      </c>
      <c r="B2071" s="52">
        <f>(1/(B2060*B2064*B2063*3.6))*B2065</f>
        <v>1.270649883812899E-9</v>
      </c>
      <c r="C2071" t="str">
        <f>VLOOKUP(J2071,'dataset mapping'!$A$4:$E$69,5,0)</f>
        <v>unit</v>
      </c>
      <c r="E2071" t="str">
        <f>VLOOKUP(J2071,'dataset mapping'!$A$4:$E$69,4,0)</f>
        <v>RER</v>
      </c>
      <c r="F2071" t="s">
        <v>86</v>
      </c>
      <c r="G2071" t="str">
        <f>VLOOKUP(J2071,'dataset mapping'!$A$4:$E$69,3,0)</f>
        <v>heat and power co-generation unit, 160kW electrical, common components for heat+electricity</v>
      </c>
      <c r="H2071" t="s">
        <v>88</v>
      </c>
      <c r="J2071" t="s">
        <v>145</v>
      </c>
      <c r="K2071" t="str">
        <f>B2031</f>
        <v>heat, residential, by combustion of hydrogen using CHP, allocated by exergy, transported by pipeline, produced by Steam Methane Reforming, with CCS using natural gas from Russia</v>
      </c>
      <c r="L2071">
        <f t="shared" ref="L2071:L2078" si="131">IF(OR(B2071&lt;0,B2071=0),1,2)</f>
        <v>2</v>
      </c>
      <c r="M2071">
        <f t="shared" ref="M2071:M2078" si="132">IF(L2071=2,LN(B2071),"")</f>
        <v>-20.48373734782199</v>
      </c>
      <c r="N2071">
        <v>1.05</v>
      </c>
      <c r="O2071" s="15">
        <v>1.2</v>
      </c>
      <c r="P2071">
        <v>1</v>
      </c>
      <c r="Q2071">
        <v>1.01</v>
      </c>
      <c r="R2071">
        <v>1.2</v>
      </c>
      <c r="S2071">
        <v>1.2</v>
      </c>
      <c r="T2071">
        <v>3</v>
      </c>
      <c r="U2071">
        <f t="shared" ref="U2071:U2078" si="133">LN(SQRT(EXP(
SQRT(
+POWER(LN(N2071),2)
+POWER(LN(O2071),2)
+POWER(LN(P2071),2)
+POWER(LN(Q2071),2)
+POWER(LN(R2071),2)
+POWER(LN(S2071),2)
+POWER(LN(T2071),2)
)
)))</f>
        <v>0.57209088006881903</v>
      </c>
    </row>
    <row r="2072" spans="1:22" hidden="1" x14ac:dyDescent="0.2">
      <c r="A2072" t="str">
        <f>VLOOKUP(J2072,'dataset mapping'!$A$4:$E$69,2,0)</f>
        <v>heat and power co-generation unit construction, 160kW electrical, components for electricity only</v>
      </c>
      <c r="B2072" s="52">
        <f>(1/(B2060*B2064*B2063*3.6))*B2065</f>
        <v>1.270649883812899E-9</v>
      </c>
      <c r="C2072" t="str">
        <f>VLOOKUP(J2072,'dataset mapping'!$A$4:$E$69,5,0)</f>
        <v>unit</v>
      </c>
      <c r="E2072" t="str">
        <f>VLOOKUP(J2072,'dataset mapping'!$A$4:$E$69,4,0)</f>
        <v>RER</v>
      </c>
      <c r="F2072" t="s">
        <v>86</v>
      </c>
      <c r="G2072" t="str">
        <f>VLOOKUP(J2072,'dataset mapping'!$A$4:$E$69,3,0)</f>
        <v>heat and power co-generation unit, 160kW electrical, components for electricity only</v>
      </c>
      <c r="H2072" t="s">
        <v>88</v>
      </c>
      <c r="J2072" t="s">
        <v>146</v>
      </c>
      <c r="K2072" t="str">
        <f>B2031</f>
        <v>heat, residential, by combustion of hydrogen using CHP, allocated by exergy, transported by pipeline, produced by Steam Methane Reforming, with CCS using natural gas from Russia</v>
      </c>
      <c r="L2072">
        <f t="shared" si="131"/>
        <v>2</v>
      </c>
      <c r="M2072">
        <f t="shared" si="132"/>
        <v>-20.48373734782199</v>
      </c>
      <c r="N2072">
        <v>1.05</v>
      </c>
      <c r="O2072" s="15">
        <v>1.2</v>
      </c>
      <c r="P2072">
        <v>1</v>
      </c>
      <c r="Q2072">
        <v>1.01</v>
      </c>
      <c r="R2072">
        <v>1.2</v>
      </c>
      <c r="S2072">
        <v>1.2</v>
      </c>
      <c r="T2072">
        <v>3</v>
      </c>
      <c r="U2072">
        <f t="shared" si="133"/>
        <v>0.57209088006881903</v>
      </c>
    </row>
    <row r="2073" spans="1:22" hidden="1" x14ac:dyDescent="0.2">
      <c r="A2073" t="str">
        <f>VLOOKUP(J2073,'dataset mapping'!$A$4:$E$69,2,0)</f>
        <v>heat and power co-generation unit construction, 160kW electrical, components for heat only</v>
      </c>
      <c r="B2073" s="52">
        <f>(1/(B2060*B2064*B2063*3.6))*B2065</f>
        <v>1.270649883812899E-9</v>
      </c>
      <c r="C2073" t="str">
        <f>VLOOKUP(J2073,'dataset mapping'!$A$4:$E$69,5,0)</f>
        <v>unit</v>
      </c>
      <c r="E2073" t="str">
        <f>VLOOKUP(J2073,'dataset mapping'!$A$4:$E$69,4,0)</f>
        <v>RER</v>
      </c>
      <c r="F2073" t="s">
        <v>86</v>
      </c>
      <c r="G2073" t="str">
        <f>VLOOKUP(J2073,'dataset mapping'!$A$4:$E$69,3,0)</f>
        <v>heat and power co-generation unit, 160kW electrical, components for heat only</v>
      </c>
      <c r="H2073" t="s">
        <v>88</v>
      </c>
      <c r="J2073" t="s">
        <v>147</v>
      </c>
      <c r="K2073" t="str">
        <f>B2031</f>
        <v>heat, residential, by combustion of hydrogen using CHP, allocated by exergy, transported by pipeline, produced by Steam Methane Reforming, with CCS using natural gas from Russia</v>
      </c>
      <c r="L2073">
        <f t="shared" si="131"/>
        <v>2</v>
      </c>
      <c r="M2073">
        <f t="shared" si="132"/>
        <v>-20.48373734782199</v>
      </c>
      <c r="N2073">
        <v>1.05</v>
      </c>
      <c r="O2073" s="15">
        <v>1.2</v>
      </c>
      <c r="P2073">
        <v>1</v>
      </c>
      <c r="Q2073">
        <v>1.01</v>
      </c>
      <c r="R2073">
        <v>1.2</v>
      </c>
      <c r="S2073">
        <v>1.2</v>
      </c>
      <c r="T2073">
        <v>3</v>
      </c>
      <c r="U2073">
        <f t="shared" si="133"/>
        <v>0.57209088006881903</v>
      </c>
    </row>
    <row r="2074" spans="1:22" hidden="1" x14ac:dyDescent="0.2">
      <c r="A2074" t="s">
        <v>156</v>
      </c>
      <c r="B2074" s="52">
        <f>0.00000011366*B2065</f>
        <v>1.461672399554354E-8</v>
      </c>
      <c r="C2074" t="s">
        <v>56</v>
      </c>
      <c r="E2074" t="s">
        <v>90</v>
      </c>
      <c r="F2074" t="s">
        <v>86</v>
      </c>
      <c r="G2074" t="s">
        <v>154</v>
      </c>
      <c r="H2074" t="s">
        <v>155</v>
      </c>
      <c r="K2074" t="str">
        <f>B2031</f>
        <v>heat, residential, by combustion of hydrogen using CHP, allocated by exergy, transported by pipeline, produced by Steam Methane Reforming, with CCS using natural gas from Russia</v>
      </c>
      <c r="L2074">
        <f t="shared" si="131"/>
        <v>2</v>
      </c>
      <c r="M2074">
        <f t="shared" si="132"/>
        <v>-18.041099484645969</v>
      </c>
      <c r="N2074">
        <v>1.05</v>
      </c>
      <c r="O2074" s="15">
        <v>1.2</v>
      </c>
      <c r="P2074">
        <v>1</v>
      </c>
      <c r="Q2074">
        <v>1.01</v>
      </c>
      <c r="R2074">
        <v>1.2</v>
      </c>
      <c r="S2074">
        <v>1.2</v>
      </c>
      <c r="T2074">
        <v>1.05</v>
      </c>
      <c r="U2074">
        <f t="shared" si="133"/>
        <v>0.16169679924070957</v>
      </c>
    </row>
    <row r="2075" spans="1:22" hidden="1" x14ac:dyDescent="0.2">
      <c r="A2075" t="s">
        <v>157</v>
      </c>
      <c r="B2075" s="52">
        <f>0.00000011366*B2065*-1</f>
        <v>-1.461672399554354E-8</v>
      </c>
      <c r="C2075" t="s">
        <v>56</v>
      </c>
      <c r="E2075" t="s">
        <v>64</v>
      </c>
      <c r="F2075" t="s">
        <v>86</v>
      </c>
      <c r="G2075" t="s">
        <v>158</v>
      </c>
      <c r="H2075" t="s">
        <v>155</v>
      </c>
      <c r="K2075" t="str">
        <f>B2031</f>
        <v>heat, residential, by combustion of hydrogen using CHP, allocated by exergy, transported by pipeline, produced by Steam Methane Reforming, with CCS using natural gas from Russia</v>
      </c>
      <c r="L2075">
        <v>2</v>
      </c>
      <c r="M2075">
        <f>IF(L2075=2,LN(B2075*-1),"")</f>
        <v>-18.041099484645969</v>
      </c>
      <c r="N2075">
        <v>1.05</v>
      </c>
      <c r="O2075" s="15">
        <v>1.2</v>
      </c>
      <c r="P2075">
        <v>1</v>
      </c>
      <c r="Q2075">
        <v>1.01</v>
      </c>
      <c r="R2075">
        <v>1.2</v>
      </c>
      <c r="S2075">
        <v>1.2</v>
      </c>
      <c r="T2075">
        <v>3</v>
      </c>
      <c r="U2075">
        <f>LN(SQRT(EXP(
SQRT(
+POWER(LN(N2075),2)
+POWER(LN(O2075),2)
+POWER(LN(P2075),2)
+POWER(LN(Q2075),2)
+POWER(LN(R2075),2)
+POWER(LN(S2075),2)
+POWER(LN(T2075),2)
)
)))</f>
        <v>0.57209088006881903</v>
      </c>
      <c r="V2075" t="b">
        <v>1</v>
      </c>
    </row>
    <row r="2076" spans="1:22" hidden="1" x14ac:dyDescent="0.2">
      <c r="A2076" s="45" t="str">
        <f>"hydrogen supply, transported by "&amp;B2045&amp;", produced by "&amp;B2049&amp;" using "&amp;B2050&amp;" from "&amp;B2051</f>
        <v>hydrogen supply, transported by pipeline, produced by Steam Methane Reforming, with CCS using natural gas from Russia</v>
      </c>
      <c r="B2076" s="53">
        <f>(B2070/B2054)/B2053*B2065</f>
        <v>2.56995248347223E-3</v>
      </c>
      <c r="C2076" t="s">
        <v>56</v>
      </c>
      <c r="E2076" t="s">
        <v>64</v>
      </c>
      <c r="F2076" t="s">
        <v>86</v>
      </c>
      <c r="G2076" s="67" t="s">
        <v>1129</v>
      </c>
      <c r="H2076" t="s">
        <v>76</v>
      </c>
      <c r="I2076" t="s">
        <v>1054</v>
      </c>
      <c r="J2076" t="s">
        <v>365</v>
      </c>
      <c r="K2076" t="str">
        <f>B2031</f>
        <v>heat, residential, by combustion of hydrogen using CHP, allocated by exergy, transported by pipeline, produced by Steam Methane Reforming, with CCS using natural gas from Russia</v>
      </c>
      <c r="L2076">
        <f t="shared" si="131"/>
        <v>2</v>
      </c>
      <c r="M2076">
        <f t="shared" si="132"/>
        <v>-5.9638678691672418</v>
      </c>
      <c r="N2076">
        <v>1.05</v>
      </c>
      <c r="O2076" s="15">
        <v>1.2</v>
      </c>
      <c r="P2076">
        <v>1</v>
      </c>
      <c r="Q2076">
        <v>1.01</v>
      </c>
      <c r="R2076">
        <v>1.2</v>
      </c>
      <c r="S2076">
        <v>1.2</v>
      </c>
      <c r="T2076">
        <v>1.05</v>
      </c>
      <c r="U2076">
        <f t="shared" si="133"/>
        <v>0.16169679924070957</v>
      </c>
    </row>
    <row r="2077" spans="1:22" hidden="1" x14ac:dyDescent="0.2">
      <c r="A2077" t="s">
        <v>134</v>
      </c>
      <c r="B2077" s="45">
        <f>B2076*9</f>
        <v>2.3129572351250072E-2</v>
      </c>
      <c r="C2077" t="s">
        <v>56</v>
      </c>
      <c r="D2077" t="s">
        <v>100</v>
      </c>
      <c r="F2077" t="s">
        <v>99</v>
      </c>
      <c r="H2077" t="s">
        <v>131</v>
      </c>
      <c r="I2077" t="s">
        <v>1058</v>
      </c>
      <c r="K2077" t="str">
        <f>B2031</f>
        <v>heat, residential, by combustion of hydrogen using CHP, allocated by exergy, transported by pipeline, produced by Steam Methane Reforming, with CCS using natural gas from Russia</v>
      </c>
      <c r="L2077">
        <f t="shared" si="131"/>
        <v>2</v>
      </c>
      <c r="M2077">
        <f t="shared" si="132"/>
        <v>-3.7666432918310226</v>
      </c>
      <c r="N2077">
        <v>1.05</v>
      </c>
      <c r="O2077" s="15">
        <v>1.2</v>
      </c>
      <c r="P2077">
        <v>1</v>
      </c>
      <c r="Q2077">
        <v>1.01</v>
      </c>
      <c r="R2077">
        <v>1.2</v>
      </c>
      <c r="S2077">
        <v>1.2</v>
      </c>
      <c r="T2077">
        <v>1.05</v>
      </c>
      <c r="U2077">
        <f t="shared" si="133"/>
        <v>0.16169679924070957</v>
      </c>
    </row>
    <row r="2078" spans="1:22" hidden="1" x14ac:dyDescent="0.2">
      <c r="A2078" t="s">
        <v>135</v>
      </c>
      <c r="B2078" s="45">
        <f>912.5/1000000*B2076</f>
        <v>2.3450816411684101E-6</v>
      </c>
      <c r="C2078" t="s">
        <v>56</v>
      </c>
      <c r="D2078" t="s">
        <v>100</v>
      </c>
      <c r="F2078" t="s">
        <v>99</v>
      </c>
      <c r="H2078" t="s">
        <v>131</v>
      </c>
      <c r="I2078" t="s">
        <v>1217</v>
      </c>
      <c r="K2078" t="str">
        <f>B2031</f>
        <v>heat, residential, by combustion of hydrogen using CHP, allocated by exergy, transported by pipeline, produced by Steam Methane Reforming, with CCS using natural gas from Russia</v>
      </c>
      <c r="L2078">
        <f t="shared" si="131"/>
        <v>2</v>
      </c>
      <c r="M2078">
        <f t="shared" si="132"/>
        <v>-12.963190341674869</v>
      </c>
      <c r="N2078">
        <v>1.05</v>
      </c>
      <c r="O2078" s="15">
        <v>1.2</v>
      </c>
      <c r="P2078">
        <v>1</v>
      </c>
      <c r="Q2078">
        <v>1.01</v>
      </c>
      <c r="R2078">
        <v>1.2</v>
      </c>
      <c r="S2078">
        <v>1.2</v>
      </c>
      <c r="T2078">
        <v>1.5</v>
      </c>
      <c r="U2078">
        <f t="shared" si="133"/>
        <v>0.25816898211842121</v>
      </c>
    </row>
    <row r="2079" spans="1:22" hidden="1" x14ac:dyDescent="0.2"/>
    <row r="2080" spans="1:22" hidden="1" x14ac:dyDescent="0.2">
      <c r="A2080" s="2" t="s">
        <v>50</v>
      </c>
      <c r="B2080" s="44" t="str">
        <f>IF(B2086="megajoule","heat","electricity")&amp;", residential, by "&amp;B2091&amp;" of "&amp;B2090&amp;" using "&amp;B2092&amp;IF(B2093&lt;&gt;0,", allocated by "&amp;B2093,"")&amp;", transported by "&amp;B2094&amp;", produced by "&amp;B2098&amp;" using "&amp;B2099&amp;" from "&amp;B2100</f>
        <v>heat, residential, by conversion of hydrogen using fuel cell, PEM, allocated by exergy, transported by pipeline, produced by Steam Methane Reforming, with CCS using natural gas from Russia</v>
      </c>
    </row>
    <row r="2081" spans="1:2" hidden="1" x14ac:dyDescent="0.2">
      <c r="A2081" t="s">
        <v>51</v>
      </c>
      <c r="B2081" s="45" t="str">
        <f>"This dataset represents the supply of 1 "&amp;IF(B2086="megajoule","megajoule of heat","kilowatt hour of electricity")&amp;" in a residence, by "&amp;B2090&amp;" "&amp;B2091&amp;" in a "&amp;B2092&amp;". "&amp;" The hydrogen is transported by "&amp;B2094&amp;" over "&amp;B2095&amp;" km from regional storage. "&amp;" The "&amp;B2090&amp;" is produced by  "&amp;B2098&amp;", with "&amp;B2099&amp;" from "&amp;B2100&amp;" as feedstock. "&amp;A2102&amp;": "&amp;(B2102*100)&amp;"%. "&amp;A2103&amp;": "&amp;B2103&amp;". "&amp;A2104&amp;": "&amp;B2104&amp;". "&amp;A2105&amp;": "&amp;(B2105*100)&amp;"%. "&amp;A2106&amp;": "&amp;(B2106*100)&amp;"%. "&amp;A2107&amp;": "&amp;(B2107*100)&amp;"%. "&amp;A2108&amp;": "&amp;B2108&amp;". "&amp;A2109&amp;": "&amp;B2109&amp;". "&amp;A2110&amp;": "&amp;(B2110*100)&amp;"%. "&amp;A2111&amp;": "&amp;B2111&amp;". "&amp;A2112&amp;": "&amp;B2112&amp;". "&amp;A2113&amp;": "&amp;B2113&amp;". "&amp;A2114&amp;": "&amp;B2114&amp;".  For more information, refer to: "&amp;B2082</f>
        <v>This dataset represents the supply of 1 megajoule of heat in a residence, by hydrogen conversion in a fuel cell, PEM.  The hydrogen is transported by pipeline over 500 km from regional storage.  The hydrogen is produced by  Steam Methane Reforming, with CCS, with natural gas from Russia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2082" spans="1:2" hidden="1" x14ac:dyDescent="0.2">
      <c r="A2082" t="s">
        <v>63</v>
      </c>
      <c r="B2082" s="45" t="s">
        <v>660</v>
      </c>
    </row>
    <row r="2083" spans="1:2" hidden="1" x14ac:dyDescent="0.2">
      <c r="A2083" t="s">
        <v>52</v>
      </c>
      <c r="B2083" s="45" t="s">
        <v>64</v>
      </c>
    </row>
    <row r="2084" spans="1:2" hidden="1" x14ac:dyDescent="0.2">
      <c r="A2084" t="s">
        <v>48</v>
      </c>
      <c r="B2084" s="45">
        <v>171</v>
      </c>
    </row>
    <row r="2085" spans="1:2" hidden="1" x14ac:dyDescent="0.2">
      <c r="A2085" t="s">
        <v>54</v>
      </c>
      <c r="B2085" s="45" t="str">
        <f>INDEX(overview!$B$4:$R$338,MATCH(B2084,overview!$A$4:$A$338,0),MATCH(A2085,overview!$B$3:$R$3,0))</f>
        <v>heat, from residential heating system</v>
      </c>
    </row>
    <row r="2086" spans="1:2" hidden="1" x14ac:dyDescent="0.2">
      <c r="A2086" t="s">
        <v>55</v>
      </c>
      <c r="B2086" s="45" t="str">
        <f>INDEX(overview!$B$4:$R$338,MATCH(B2084,overview!$A$4:$A$338,0),MATCH(A2086,overview!$B$3:$R$3,0))</f>
        <v>megajoule</v>
      </c>
    </row>
    <row r="2087" spans="1:2" hidden="1" x14ac:dyDescent="0.2">
      <c r="A2087" t="s">
        <v>0</v>
      </c>
      <c r="B2087" s="45" t="str">
        <f>INDEX(overview!$B$4:$R$338,MATCH(B2084,overview!$A$4:$A$338,0),MATCH(A2087,overview!$B$3:$R$3,0))</f>
        <v>Switzerland</v>
      </c>
    </row>
    <row r="2088" spans="1:2" hidden="1" x14ac:dyDescent="0.2">
      <c r="A2088" t="s">
        <v>1</v>
      </c>
      <c r="B2088" s="45">
        <f>INDEX(overview!$B$4:$R$338,MATCH(B2084,overview!$A$4:$A$338,0),MATCH(A2088,overview!$B$3:$R$3,0))</f>
        <v>2020</v>
      </c>
    </row>
    <row r="2089" spans="1:2" hidden="1" x14ac:dyDescent="0.2">
      <c r="A2089" t="s">
        <v>2</v>
      </c>
      <c r="B2089" s="45" t="str">
        <f>INDEX(overview!$B$4:$R$338,MATCH(B2084,overview!$A$4:$A$338,0),MATCH(A2089,overview!$B$3:$R$3,0))</f>
        <v>1 MJ heat</v>
      </c>
    </row>
    <row r="2090" spans="1:2" hidden="1" x14ac:dyDescent="0.2">
      <c r="A2090" t="s">
        <v>5</v>
      </c>
      <c r="B2090" s="45" t="str">
        <f>INDEX(overview!$B$4:$R$338,MATCH(B2084,overview!$A$4:$A$338,0),MATCH(A2090,overview!$B$3:$R$3,0))</f>
        <v>hydrogen</v>
      </c>
    </row>
    <row r="2091" spans="1:2" hidden="1" x14ac:dyDescent="0.2">
      <c r="A2091" t="s">
        <v>3</v>
      </c>
      <c r="B2091" s="45" t="str">
        <f>INDEX(overview!$B$4:$R$338,MATCH(B2084,overview!$A$4:$A$338,0),MATCH(A2091,overview!$B$3:$R$3,0))</f>
        <v>conversion</v>
      </c>
    </row>
    <row r="2092" spans="1:2" hidden="1" x14ac:dyDescent="0.2">
      <c r="A2092" t="s">
        <v>6</v>
      </c>
      <c r="B2092" s="45" t="str">
        <f>INDEX(overview!$B$4:$R$338,MATCH(B2084,overview!$A$4:$A$338,0),MATCH(A2092,overview!$B$3:$R$3,0))</f>
        <v>fuel cell, PEM</v>
      </c>
    </row>
    <row r="2093" spans="1:2" hidden="1" x14ac:dyDescent="0.2">
      <c r="A2093" t="s">
        <v>39</v>
      </c>
      <c r="B2093" s="45" t="str">
        <f>INDEX(overview!$B$4:$R$338,MATCH(B2084,overview!$A$4:$A$338,0),MATCH(A2093,overview!$B$3:$R$3,0))</f>
        <v>exergy</v>
      </c>
    </row>
    <row r="2094" spans="1:2" hidden="1" x14ac:dyDescent="0.2">
      <c r="A2094" t="s">
        <v>4</v>
      </c>
      <c r="B2094" s="45" t="str">
        <f>INDEX(overview!$B$4:$R$338,MATCH(B2084,overview!$A$4:$A$338,0),MATCH(A2094,overview!$B$3:$R$3,0))</f>
        <v>pipeline</v>
      </c>
    </row>
    <row r="2095" spans="1:2" hidden="1" x14ac:dyDescent="0.2">
      <c r="A2095" t="s">
        <v>38</v>
      </c>
      <c r="B2095" s="45">
        <f>INDEX(overview!$B$4:$R$338,MATCH(B2084,overview!$A$4:$A$338,0),MATCH(A2095,overview!$B$3:$R$3,0))</f>
        <v>500</v>
      </c>
    </row>
    <row r="2096" spans="1:2" hidden="1" x14ac:dyDescent="0.2">
      <c r="A2096" t="s">
        <v>12</v>
      </c>
      <c r="B2096" s="45" t="str">
        <f>INDEX(overview!$B$4:$R$338,MATCH(B2084,overview!$A$4:$A$338,0),MATCH(A2096,overview!$B$3:$R$3,0))</f>
        <v>Pressure vessel for stationary storage</v>
      </c>
    </row>
    <row r="2097" spans="1:2" hidden="1" x14ac:dyDescent="0.2">
      <c r="A2097" t="s">
        <v>34</v>
      </c>
      <c r="B2097" s="45">
        <f>INDEX(overview!$B$4:$R$338,MATCH(B2084,overview!$A$4:$A$338,0),MATCH(A2097,overview!$B$3:$R$3,0))</f>
        <v>0</v>
      </c>
    </row>
    <row r="2098" spans="1:2" hidden="1" x14ac:dyDescent="0.2">
      <c r="A2098" t="s">
        <v>15</v>
      </c>
      <c r="B2098" s="45" t="str">
        <f>INDEX(overview!$B$4:$R$338,MATCH(B2084,overview!$A$4:$A$338,0),MATCH(A2098,overview!$B$3:$R$3,0))</f>
        <v>Steam Methane Reforming, with CCS</v>
      </c>
    </row>
    <row r="2099" spans="1:2" hidden="1" x14ac:dyDescent="0.2">
      <c r="A2099" t="s">
        <v>14</v>
      </c>
      <c r="B2099" s="45" t="str">
        <f>INDEX(overview!$B$4:$R$338,MATCH(B2084,overview!$A$4:$A$338,0),MATCH(A2099,overview!$B$3:$R$3,0))</f>
        <v>natural gas</v>
      </c>
    </row>
    <row r="2100" spans="1:2" hidden="1" x14ac:dyDescent="0.2">
      <c r="A2100" t="s">
        <v>26</v>
      </c>
      <c r="B2100" s="45" t="str">
        <f>INDEX(overview!$B$4:$R$338,MATCH(B2084,overview!$A$4:$A$338,0),MATCH(A2100,overview!$B$3:$R$3,0))</f>
        <v>Russia</v>
      </c>
    </row>
    <row r="2101" spans="1:2" hidden="1" x14ac:dyDescent="0.2">
      <c r="A2101" t="s">
        <v>29</v>
      </c>
      <c r="B2101" s="45">
        <f>INDEX(overview!$B$4:$R$338,MATCH(B2084,overview!$A$4:$A$338,0),MATCH(A2101,overview!$B$3:$R$3,0))</f>
        <v>0</v>
      </c>
    </row>
    <row r="2102" spans="1:2" hidden="1" x14ac:dyDescent="0.2">
      <c r="A2102" t="str">
        <f>IF(B2086="megajoule","Heat","Electricity")&amp;" conversion efficiency [% LHV input]"</f>
        <v>Heat conversion efficiency [% LHV input]</v>
      </c>
      <c r="B2102" s="46">
        <f>INDEX(parameters!$D$4:$N$20,MATCH(B2090&amp;B2092,parameters!$A$4:$A$20,0),MATCH(A2102,parameters!$D$3:$N$3,0))</f>
        <v>0.5</v>
      </c>
    </row>
    <row r="2103" spans="1:2" hidden="1" x14ac:dyDescent="0.2">
      <c r="A2103" t="str">
        <f>IF(B2086="megajoule","LHV [MJ/kg]","LHV [kWh/kg]")</f>
        <v>LHV [MJ/kg]</v>
      </c>
      <c r="B2103" s="47">
        <f>INDEX(parameters!$D$4:$N$20,MATCH(B2090&amp;B2092,parameters!$A$4:$A$20,0),MATCH(A2103,parameters!$D$3:$N$3,0))</f>
        <v>120</v>
      </c>
    </row>
    <row r="2104" spans="1:2" hidden="1" x14ac:dyDescent="0.2">
      <c r="A2104" t="s">
        <v>41</v>
      </c>
      <c r="B2104" s="48">
        <f>INDEX(parameters!$D$4:$N$20,MATCH(B2090&amp;B2092,parameters!$A$4:$A$20,0),MATCH(A2104,parameters!$D$3:$N$3,0))</f>
        <v>2.6666666666666665E-2</v>
      </c>
    </row>
    <row r="2105" spans="1:2" hidden="1" x14ac:dyDescent="0.2">
      <c r="A2105" t="s">
        <v>45</v>
      </c>
      <c r="B2105" s="46">
        <f>INDEX(parameters!$D$4:$N$20,MATCH(B2090&amp;B2092,parameters!$A$4:$A$20,0),MATCH(A2105,parameters!$D$3:$N$3,0))</f>
        <v>0</v>
      </c>
    </row>
    <row r="2106" spans="1:2" hidden="1" x14ac:dyDescent="0.2">
      <c r="A2106" t="s">
        <v>46</v>
      </c>
      <c r="B2106" s="46">
        <f>INDEX(parameters!$D$4:$N$20,MATCH(B2090&amp;B2092,parameters!$A$4:$A$20,0),MATCH(A2106,parameters!$D$3:$N$3,0))</f>
        <v>1.4999999999999999E-2</v>
      </c>
    </row>
    <row r="2107" spans="1:2" hidden="1" x14ac:dyDescent="0.2">
      <c r="A2107" t="s">
        <v>43</v>
      </c>
      <c r="B2107" s="46">
        <f>INDEX(parameters!$D$4:$N$20,MATCH(B2090&amp;B2092,parameters!$A$4:$A$20,0),MATCH(A2107,parameters!$D$3:$N$3,0))</f>
        <v>0</v>
      </c>
    </row>
    <row r="2108" spans="1:2" hidden="1" x14ac:dyDescent="0.2">
      <c r="A2108" t="s">
        <v>44</v>
      </c>
      <c r="B2108" s="46">
        <f>INDEX(parameters!$D$4:$N$20,MATCH(B2090&amp;B2092,parameters!$A$4:$A$20,0),MATCH(A2108,parameters!$D$3:$N$3,0))</f>
        <v>0</v>
      </c>
    </row>
    <row r="2109" spans="1:2" hidden="1" x14ac:dyDescent="0.2">
      <c r="A2109" t="s">
        <v>634</v>
      </c>
      <c r="B2109" s="50">
        <f>INDEX(parameters!$D$4:$Y$20,MATCH(B2090&amp;B2092,parameters!$A$4:$A$20,0),MATCH(A2109,parameters!$D$3:$Y$3,0))</f>
        <v>1.8947368421052633</v>
      </c>
    </row>
    <row r="2110" spans="1:2" hidden="1" x14ac:dyDescent="0.2">
      <c r="A2110" t="s">
        <v>82</v>
      </c>
      <c r="B2110" s="46">
        <f>IF(B2101&lt;&gt;0,VLOOKUP(B2101,parameters!A1382:B1384,2,0),0)</f>
        <v>0</v>
      </c>
    </row>
    <row r="2111" spans="1:2" hidden="1" x14ac:dyDescent="0.2">
      <c r="A2111" t="s">
        <v>548</v>
      </c>
      <c r="B2111" s="50">
        <f>INDEX(parameters!$D$4:$P$20,MATCH(B2090&amp;B2092,parameters!$A$4:$A$20,0),MATCH(A2111,parameters!$D$3:$P$3,0))</f>
        <v>0.8</v>
      </c>
    </row>
    <row r="2112" spans="1:2" hidden="1" x14ac:dyDescent="0.2">
      <c r="A2112" t="s">
        <v>547</v>
      </c>
      <c r="B2112" s="51">
        <f>INDEX(parameters!$D$4:$P$20,MATCH(B2090&amp;B2092,parameters!$A$4:$A$20,0),MATCH(A2112,parameters!$D$3:$P$3,0))</f>
        <v>4.8780487804878048</v>
      </c>
    </row>
    <row r="2113" spans="1:22" hidden="1" x14ac:dyDescent="0.2">
      <c r="A2113" t="s">
        <v>630</v>
      </c>
      <c r="B2113" s="51">
        <f>INDEX(parameters!$D$4:$T$20,MATCH(B2090&amp;B2092,parameters!$A$4:$A$20,0),MATCH(A2113,parameters!$D$3:$T$3,0))</f>
        <v>4100</v>
      </c>
    </row>
    <row r="2114" spans="1:22" hidden="1" x14ac:dyDescent="0.2">
      <c r="A2114" t="s">
        <v>1005</v>
      </c>
      <c r="B2114" s="50">
        <f>IF(B2086="megajoule",SUMIFS(allocation!$I$4:$I$30,allocation!$B$4:$B$30,B2092,allocation!$C$4:$C$30,B2093),SUMIFS(allocation!$J$4:$J$30,allocation!$B$4:$B$30,B2092,allocation!$C$4:$C$30,B2093))</f>
        <v>0.13933980798974457</v>
      </c>
    </row>
    <row r="2115" spans="1:22" hidden="1" x14ac:dyDescent="0.2">
      <c r="A2115" t="s">
        <v>1050</v>
      </c>
      <c r="B2115" s="51">
        <f>INDEX(parameters!$D$4:$AB$20,MATCH(B2090&amp;B2092,parameters!$A$4:$A$20,0),MATCH(A2115,parameters!$D$3:$AB$3,0))</f>
        <v>10.221606648199446</v>
      </c>
    </row>
    <row r="2116" spans="1:22" hidden="1" x14ac:dyDescent="0.2"/>
    <row r="2117" spans="1:22" hidden="1" x14ac:dyDescent="0.2">
      <c r="A2117" s="3" t="s">
        <v>57</v>
      </c>
    </row>
    <row r="2118" spans="1:22" hidden="1" x14ac:dyDescent="0.2">
      <c r="A2118" s="2" t="s">
        <v>58</v>
      </c>
      <c r="B2118" s="44" t="s">
        <v>59</v>
      </c>
      <c r="C2118" s="2" t="s">
        <v>55</v>
      </c>
      <c r="D2118" s="2" t="s">
        <v>60</v>
      </c>
      <c r="E2118" s="2" t="s">
        <v>52</v>
      </c>
      <c r="F2118" s="2" t="s">
        <v>61</v>
      </c>
      <c r="G2118" s="2" t="s">
        <v>54</v>
      </c>
      <c r="H2118" s="2" t="s">
        <v>87</v>
      </c>
      <c r="I2118" s="2" t="s">
        <v>51</v>
      </c>
      <c r="J2118" s="2" t="s">
        <v>138</v>
      </c>
      <c r="K2118" s="2" t="s">
        <v>136</v>
      </c>
      <c r="L2118" s="2" t="s">
        <v>221</v>
      </c>
      <c r="M2118" s="2" t="s">
        <v>379</v>
      </c>
      <c r="N2118" s="2" t="s">
        <v>1059</v>
      </c>
      <c r="O2118" s="2" t="s">
        <v>1060</v>
      </c>
      <c r="P2118" s="2" t="s">
        <v>1061</v>
      </c>
      <c r="Q2118" s="2" t="s">
        <v>1062</v>
      </c>
      <c r="R2118" s="2" t="s">
        <v>1063</v>
      </c>
      <c r="S2118" s="2" t="s">
        <v>1064</v>
      </c>
      <c r="T2118" s="2" t="s">
        <v>1065</v>
      </c>
      <c r="U2118" s="2" t="s">
        <v>380</v>
      </c>
      <c r="V2118" s="2" t="s">
        <v>1128</v>
      </c>
    </row>
    <row r="2119" spans="1:22" x14ac:dyDescent="0.2">
      <c r="A2119" t="str">
        <f>B2080</f>
        <v>heat, residential, by conversion of hydrogen using fuel cell, PEM, allocated by exergy, transported by pipeline, produced by Steam Methane Reforming, with CCS using natural gas from Russia</v>
      </c>
      <c r="B2119" s="45">
        <v>1</v>
      </c>
      <c r="C2119" t="str">
        <f>B2086</f>
        <v>megajoule</v>
      </c>
      <c r="E2119" t="str">
        <f>B2083</f>
        <v>CH</v>
      </c>
      <c r="F2119" t="s">
        <v>62</v>
      </c>
      <c r="G2119" t="str">
        <f>B2085</f>
        <v>heat, from residential heating system</v>
      </c>
      <c r="K2119" t="str">
        <f>B2080</f>
        <v>heat, residential, by conversion of hydrogen using fuel cell, PEM, allocated by exergy, transported by pipeline, produced by Steam Methane Reforming, with CCS using natural gas from Russia</v>
      </c>
    </row>
    <row r="2120" spans="1:22" hidden="1" x14ac:dyDescent="0.2">
      <c r="A2120" t="str">
        <f>VLOOKUP(J2120,'dataset mapping'!$A$4:$E$69,2,0)</f>
        <v>fuel cell system assembly, 1 kWe, proton exchange membrane (PEM)</v>
      </c>
      <c r="B2120" s="52">
        <f>(1/(B2109*B2113*B2112*3.6))*B2114</f>
        <v>1.0213951974556892E-6</v>
      </c>
      <c r="C2120" t="str">
        <f>VLOOKUP(J2120,'dataset mapping'!$A$4:$E$69,5,0)</f>
        <v>unit</v>
      </c>
      <c r="E2120" t="str">
        <f>VLOOKUP(J2120,'dataset mapping'!$A$4:$E$69,4,0)</f>
        <v>GLO</v>
      </c>
      <c r="F2120" t="s">
        <v>86</v>
      </c>
      <c r="G2120" t="str">
        <f>VLOOKUP(J2120,'dataset mapping'!$A$4:$E$69,3,0)</f>
        <v>fuel cell system, 1 kWe, proton exchange membrane (PEM)</v>
      </c>
      <c r="H2120" t="s">
        <v>88</v>
      </c>
      <c r="I2120" t="s">
        <v>272</v>
      </c>
      <c r="J2120" t="s">
        <v>273</v>
      </c>
      <c r="K2120" t="str">
        <f>B2080</f>
        <v>heat, residential, by conversion of hydrogen using fuel cell, PEM, allocated by exergy, transported by pipeline, produced by Steam Methane Reforming, with CCS using natural gas from Russia</v>
      </c>
      <c r="L2120">
        <f t="shared" ref="L2120:L2122" si="134">IF(OR(B2120&lt;0,B2120=0),1,2)</f>
        <v>2</v>
      </c>
      <c r="M2120">
        <f t="shared" ref="M2120:M2122" si="135">IF(L2120=2,LN(B2120),"")</f>
        <v>-13.794341024667077</v>
      </c>
      <c r="N2120">
        <v>1</v>
      </c>
      <c r="O2120" s="15">
        <v>1.2</v>
      </c>
      <c r="P2120">
        <v>1</v>
      </c>
      <c r="Q2120">
        <v>1.01</v>
      </c>
      <c r="R2120">
        <v>1.2</v>
      </c>
      <c r="S2120">
        <v>1.2</v>
      </c>
      <c r="T2120">
        <v>3</v>
      </c>
      <c r="U2120">
        <f t="shared" ref="U2120:U2122" si="136">LN(SQRT(EXP(
SQRT(
+POWER(LN(N2120),2)
+POWER(LN(O2120),2)
+POWER(LN(P2120),2)
+POWER(LN(Q2120),2)
+POWER(LN(R2120),2)
+POWER(LN(S2120),2)
+POWER(LN(T2120),2)
)
)))</f>
        <v>0.57157051623399524</v>
      </c>
    </row>
    <row r="2121" spans="1:22" hidden="1" x14ac:dyDescent="0.2">
      <c r="A2121" s="45" t="str">
        <f>"hydrogen supply, transported by "&amp;B2094&amp;", produced by "&amp;B2098&amp;" using "&amp;B2099&amp;" from "&amp;B2100</f>
        <v>hydrogen supply, transported by pipeline, produced by Steam Methane Reforming, with CCS using natural gas from Russia</v>
      </c>
      <c r="B2121" s="53">
        <f>(B2119/B2103)/B2102*B2114</f>
        <v>2.3223301331624095E-3</v>
      </c>
      <c r="C2121" t="s">
        <v>56</v>
      </c>
      <c r="E2121" t="s">
        <v>64</v>
      </c>
      <c r="F2121" t="s">
        <v>86</v>
      </c>
      <c r="G2121" s="67" t="s">
        <v>1129</v>
      </c>
      <c r="H2121" t="s">
        <v>76</v>
      </c>
      <c r="I2121" t="s">
        <v>1054</v>
      </c>
      <c r="J2121" t="s">
        <v>365</v>
      </c>
      <c r="K2121" t="str">
        <f>B2080</f>
        <v>heat, residential, by conversion of hydrogen using fuel cell, PEM, allocated by exergy, transported by pipeline, produced by Steam Methane Reforming, with CCS using natural gas from Russia</v>
      </c>
      <c r="L2121">
        <f t="shared" si="134"/>
        <v>2</v>
      </c>
      <c r="M2121">
        <f t="shared" si="135"/>
        <v>-6.0651842296013152</v>
      </c>
      <c r="N2121">
        <v>1</v>
      </c>
      <c r="O2121" s="15">
        <v>1.2</v>
      </c>
      <c r="P2121">
        <v>1</v>
      </c>
      <c r="Q2121">
        <v>1.01</v>
      </c>
      <c r="R2121">
        <v>1.2</v>
      </c>
      <c r="S2121">
        <v>1.2</v>
      </c>
      <c r="T2121">
        <v>1.05</v>
      </c>
      <c r="U2121">
        <f t="shared" si="136"/>
        <v>0.15984597228197622</v>
      </c>
    </row>
    <row r="2122" spans="1:22" hidden="1" x14ac:dyDescent="0.2">
      <c r="A2122" t="s">
        <v>134</v>
      </c>
      <c r="B2122" s="53">
        <f>B2121*9</f>
        <v>2.0900971198461685E-2</v>
      </c>
      <c r="C2122" t="s">
        <v>56</v>
      </c>
      <c r="D2122" t="s">
        <v>100</v>
      </c>
      <c r="F2122" t="s">
        <v>99</v>
      </c>
      <c r="H2122" t="s">
        <v>131</v>
      </c>
      <c r="I2122" t="s">
        <v>1057</v>
      </c>
      <c r="K2122" t="str">
        <f>B2080</f>
        <v>heat, residential, by conversion of hydrogen using fuel cell, PEM, allocated by exergy, transported by pipeline, produced by Steam Methane Reforming, with CCS using natural gas from Russia</v>
      </c>
      <c r="L2122">
        <f t="shared" si="134"/>
        <v>2</v>
      </c>
      <c r="M2122">
        <f t="shared" si="135"/>
        <v>-3.8679596522650961</v>
      </c>
      <c r="N2122">
        <v>1</v>
      </c>
      <c r="O2122" s="15">
        <v>1.2</v>
      </c>
      <c r="P2122">
        <v>1</v>
      </c>
      <c r="Q2122">
        <v>1.01</v>
      </c>
      <c r="R2122">
        <v>1.2</v>
      </c>
      <c r="S2122">
        <v>1.2</v>
      </c>
      <c r="T2122">
        <v>1.05</v>
      </c>
      <c r="U2122">
        <f t="shared" si="136"/>
        <v>0.15984597228197622</v>
      </c>
    </row>
    <row r="2123" spans="1:22" hidden="1" x14ac:dyDescent="0.2"/>
    <row r="2124" spans="1:22" hidden="1" x14ac:dyDescent="0.2">
      <c r="A2124" s="2" t="s">
        <v>50</v>
      </c>
      <c r="B2124" s="44" t="str">
        <f>IF(B2130="megajoule","heat","electricity")&amp;", residential, by "&amp;B2135&amp;" of "&amp;B2134&amp;" using "&amp;B2136&amp;IF(B2137&lt;&gt;0,", allocated by "&amp;B2137,"")&amp;", transported by "&amp;B2138&amp;", produced by "&amp;B2142&amp;" using "&amp;B2143&amp;" from "&amp;B2144</f>
        <v>heat, residential, by conversion of hydrogen using fuel cell, SOFC, allocated by exergy, transported by pipeline, produced by Steam Methane Reforming, with CCS using natural gas from Russia</v>
      </c>
    </row>
    <row r="2125" spans="1:22" hidden="1" x14ac:dyDescent="0.2">
      <c r="A2125" t="s">
        <v>51</v>
      </c>
      <c r="B2125" s="45" t="str">
        <f>"This dataset represents the supply of 1 "&amp;IF(B2130="megajoule","megajoule of heat","kilowatt hour of electricity")&amp;" in a residence, by "&amp;B2134&amp;" "&amp;B2135&amp;" in a "&amp;B2136&amp;". "&amp;" The hydrogen is transported by "&amp;B2138&amp;" over "&amp;B2139&amp;" km from regional storage. "&amp;" The "&amp;B2134&amp;" is produced by  "&amp;B2142&amp;", with "&amp;B2143&amp;" from "&amp;B2144&amp;" as feedstock. "&amp;A2146&amp;": "&amp;(B2146*100)&amp;"%. "&amp;A2147&amp;": "&amp;B2147&amp;". "&amp;A2148&amp;": "&amp;B2148&amp;". "&amp;A2149&amp;": "&amp;(B2149*100)&amp;"%. "&amp;A2150&amp;": "&amp;(B2150*100)&amp;"%. "&amp;A2151&amp;": "&amp;(B2151*100)&amp;"%. "&amp;A2152&amp;": "&amp;B2152&amp;". "&amp;A2153&amp;": "&amp;B2153&amp;". "&amp;A2154&amp;": "&amp;(B2154*100)&amp;"%. "&amp;A2155&amp;": "&amp;B2155&amp;". "&amp;A2156&amp;": "&amp;B2156&amp;". "&amp;A2157&amp;": "&amp;B2157&amp;". "&amp;A2158&amp;": "&amp;B2158&amp;".  For more information, refer to: "&amp;B2126</f>
        <v>This dataset represents the supply of 1 megajoule of heat in a residence, by hydrogen conversion in a fuel cell, SOFC.  The hydrogen is transported by pipeline over 500 km from regional storage.  The hydrogen is produced by  Steam Methane Reforming, with CCS, with natural gas from Russia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2126" spans="1:22" hidden="1" x14ac:dyDescent="0.2">
      <c r="A2126" t="s">
        <v>63</v>
      </c>
      <c r="B2126" s="45" t="s">
        <v>660</v>
      </c>
    </row>
    <row r="2127" spans="1:22" hidden="1" x14ac:dyDescent="0.2">
      <c r="A2127" t="s">
        <v>52</v>
      </c>
      <c r="B2127" s="45" t="s">
        <v>64</v>
      </c>
    </row>
    <row r="2128" spans="1:22" hidden="1" x14ac:dyDescent="0.2">
      <c r="A2128" t="s">
        <v>48</v>
      </c>
      <c r="B2128" s="45">
        <v>172</v>
      </c>
    </row>
    <row r="2129" spans="1:2" hidden="1" x14ac:dyDescent="0.2">
      <c r="A2129" t="s">
        <v>54</v>
      </c>
      <c r="B2129" s="45" t="str">
        <f>INDEX(overview!$B$4:$R$338,MATCH(B2128,overview!$A$4:$A$338,0),MATCH(A2129,overview!$B$3:$R$3,0))</f>
        <v>heat, from residential heating system</v>
      </c>
    </row>
    <row r="2130" spans="1:2" hidden="1" x14ac:dyDescent="0.2">
      <c r="A2130" t="s">
        <v>55</v>
      </c>
      <c r="B2130" s="45" t="str">
        <f>INDEX(overview!$B$4:$R$338,MATCH(B2128,overview!$A$4:$A$338,0),MATCH(A2130,overview!$B$3:$R$3,0))</f>
        <v>megajoule</v>
      </c>
    </row>
    <row r="2131" spans="1:2" hidden="1" x14ac:dyDescent="0.2">
      <c r="A2131" t="s">
        <v>0</v>
      </c>
      <c r="B2131" s="45" t="str">
        <f>INDEX(overview!$B$4:$R$338,MATCH(B2128,overview!$A$4:$A$338,0),MATCH(A2131,overview!$B$3:$R$3,0))</f>
        <v>Switzerland</v>
      </c>
    </row>
    <row r="2132" spans="1:2" hidden="1" x14ac:dyDescent="0.2">
      <c r="A2132" t="s">
        <v>1</v>
      </c>
      <c r="B2132" s="45">
        <f>INDEX(overview!$B$4:$R$338,MATCH(B2128,overview!$A$4:$A$338,0),MATCH(A2132,overview!$B$3:$R$3,0))</f>
        <v>2020</v>
      </c>
    </row>
    <row r="2133" spans="1:2" hidden="1" x14ac:dyDescent="0.2">
      <c r="A2133" t="s">
        <v>2</v>
      </c>
      <c r="B2133" s="45" t="str">
        <f>INDEX(overview!$B$4:$R$338,MATCH(B2128,overview!$A$4:$A$338,0),MATCH(A2133,overview!$B$3:$R$3,0))</f>
        <v>1 MJ heat</v>
      </c>
    </row>
    <row r="2134" spans="1:2" hidden="1" x14ac:dyDescent="0.2">
      <c r="A2134" t="s">
        <v>5</v>
      </c>
      <c r="B2134" s="45" t="str">
        <f>INDEX(overview!$B$4:$R$338,MATCH(B2128,overview!$A$4:$A$338,0),MATCH(A2134,overview!$B$3:$R$3,0))</f>
        <v>hydrogen</v>
      </c>
    </row>
    <row r="2135" spans="1:2" hidden="1" x14ac:dyDescent="0.2">
      <c r="A2135" t="s">
        <v>3</v>
      </c>
      <c r="B2135" s="45" t="str">
        <f>INDEX(overview!$B$4:$R$338,MATCH(B2128,overview!$A$4:$A$338,0),MATCH(A2135,overview!$B$3:$R$3,0))</f>
        <v>conversion</v>
      </c>
    </row>
    <row r="2136" spans="1:2" hidden="1" x14ac:dyDescent="0.2">
      <c r="A2136" t="s">
        <v>6</v>
      </c>
      <c r="B2136" s="45" t="str">
        <f>INDEX(overview!$B$4:$R$338,MATCH(B2128,overview!$A$4:$A$338,0),MATCH(A2136,overview!$B$3:$R$3,0))</f>
        <v>fuel cell, SOFC</v>
      </c>
    </row>
    <row r="2137" spans="1:2" hidden="1" x14ac:dyDescent="0.2">
      <c r="A2137" t="s">
        <v>39</v>
      </c>
      <c r="B2137" s="45" t="str">
        <f>INDEX(overview!$B$4:$R$338,MATCH(B2128,overview!$A$4:$A$338,0),MATCH(A2137,overview!$B$3:$R$3,0))</f>
        <v>exergy</v>
      </c>
    </row>
    <row r="2138" spans="1:2" hidden="1" x14ac:dyDescent="0.2">
      <c r="A2138" t="s">
        <v>4</v>
      </c>
      <c r="B2138" s="45" t="str">
        <f>INDEX(overview!$B$4:$R$338,MATCH(B2128,overview!$A$4:$A$338,0),MATCH(A2138,overview!$B$3:$R$3,0))</f>
        <v>pipeline</v>
      </c>
    </row>
    <row r="2139" spans="1:2" hidden="1" x14ac:dyDescent="0.2">
      <c r="A2139" t="s">
        <v>38</v>
      </c>
      <c r="B2139" s="45">
        <f>INDEX(overview!$B$4:$R$338,MATCH(B2128,overview!$A$4:$A$338,0),MATCH(A2139,overview!$B$3:$R$3,0))</f>
        <v>500</v>
      </c>
    </row>
    <row r="2140" spans="1:2" hidden="1" x14ac:dyDescent="0.2">
      <c r="A2140" t="s">
        <v>12</v>
      </c>
      <c r="B2140" s="45" t="str">
        <f>INDEX(overview!$B$4:$R$338,MATCH(B2128,overview!$A$4:$A$338,0),MATCH(A2140,overview!$B$3:$R$3,0))</f>
        <v>Pressure vessel for stationary storage</v>
      </c>
    </row>
    <row r="2141" spans="1:2" hidden="1" x14ac:dyDescent="0.2">
      <c r="A2141" t="s">
        <v>34</v>
      </c>
      <c r="B2141" s="45">
        <f>INDEX(overview!$B$4:$R$338,MATCH(B2128,overview!$A$4:$A$338,0),MATCH(A2141,overview!$B$3:$R$3,0))</f>
        <v>0</v>
      </c>
    </row>
    <row r="2142" spans="1:2" hidden="1" x14ac:dyDescent="0.2">
      <c r="A2142" t="s">
        <v>15</v>
      </c>
      <c r="B2142" s="45" t="str">
        <f>INDEX(overview!$B$4:$R$338,MATCH(B2128,overview!$A$4:$A$338,0),MATCH(A2142,overview!$B$3:$R$3,0))</f>
        <v>Steam Methane Reforming, with CCS</v>
      </c>
    </row>
    <row r="2143" spans="1:2" hidden="1" x14ac:dyDescent="0.2">
      <c r="A2143" t="s">
        <v>14</v>
      </c>
      <c r="B2143" s="45" t="str">
        <f>INDEX(overview!$B$4:$R$338,MATCH(B2128,overview!$A$4:$A$338,0),MATCH(A2143,overview!$B$3:$R$3,0))</f>
        <v>natural gas</v>
      </c>
    </row>
    <row r="2144" spans="1:2" hidden="1" x14ac:dyDescent="0.2">
      <c r="A2144" t="s">
        <v>26</v>
      </c>
      <c r="B2144" s="45" t="str">
        <f>INDEX(overview!$B$4:$R$338,MATCH(B2128,overview!$A$4:$A$338,0),MATCH(A2144,overview!$B$3:$R$3,0))</f>
        <v>Russia</v>
      </c>
    </row>
    <row r="2145" spans="1:4" hidden="1" x14ac:dyDescent="0.2">
      <c r="A2145" t="s">
        <v>29</v>
      </c>
      <c r="B2145" s="45">
        <f>INDEX(overview!$B$4:$R$338,MATCH(B2128,overview!$A$4:$A$338,0),MATCH(A2145,overview!$B$3:$R$3,0))</f>
        <v>0</v>
      </c>
    </row>
    <row r="2146" spans="1:4" hidden="1" x14ac:dyDescent="0.2">
      <c r="A2146" t="str">
        <f>IF(B2130="megajoule","Heat","Electricity")&amp;" conversion efficiency [% LHV input]"</f>
        <v>Heat conversion efficiency [% LHV input]</v>
      </c>
      <c r="B2146" s="46">
        <f>INDEX(parameters!$D$4:$N$20,MATCH(B2134&amp;B2136,parameters!$A$4:$A$20,0),MATCH(A2146,parameters!$D$3:$N$3,0))</f>
        <v>0.53</v>
      </c>
    </row>
    <row r="2147" spans="1:4" hidden="1" x14ac:dyDescent="0.2">
      <c r="A2147" t="str">
        <f>IF(B2130="megajoule","LHV [MJ/kg]","LHV [kWh/kg]")</f>
        <v>LHV [MJ/kg]</v>
      </c>
      <c r="B2147" s="47">
        <f>INDEX(parameters!$D$4:$N$20,MATCH(B2134&amp;B2136,parameters!$A$4:$A$20,0),MATCH(A2147,parameters!$D$3:$N$3,0))</f>
        <v>120</v>
      </c>
    </row>
    <row r="2148" spans="1:4" hidden="1" x14ac:dyDescent="0.2">
      <c r="A2148" t="s">
        <v>41</v>
      </c>
      <c r="B2148" s="48">
        <f>INDEX(parameters!$D$4:$N$20,MATCH(B2134&amp;B2136,parameters!$A$4:$A$20,0),MATCH(A2148,parameters!$D$3:$N$3,0))</f>
        <v>2.6666666666666665E-2</v>
      </c>
    </row>
    <row r="2149" spans="1:4" hidden="1" x14ac:dyDescent="0.2">
      <c r="A2149" t="s">
        <v>45</v>
      </c>
      <c r="B2149" s="46">
        <f>INDEX(parameters!$D$4:$N$20,MATCH(B2134&amp;B2136,parameters!$A$4:$A$20,0),MATCH(A2149,parameters!$D$3:$N$3,0))</f>
        <v>0</v>
      </c>
    </row>
    <row r="2150" spans="1:4" hidden="1" x14ac:dyDescent="0.2">
      <c r="A2150" t="s">
        <v>46</v>
      </c>
      <c r="B2150" s="46">
        <f>INDEX(parameters!$D$4:$N$20,MATCH(B2134&amp;B2136,parameters!$A$4:$A$20,0),MATCH(A2150,parameters!$D$3:$N$3,0))</f>
        <v>1.4999999999999999E-2</v>
      </c>
    </row>
    <row r="2151" spans="1:4" hidden="1" x14ac:dyDescent="0.2">
      <c r="A2151" t="s">
        <v>43</v>
      </c>
      <c r="B2151" s="46">
        <f>INDEX(parameters!$D$4:$N$20,MATCH(B2134&amp;B2136,parameters!$A$4:$A$20,0),MATCH(A2151,parameters!$D$3:$N$3,0))</f>
        <v>0</v>
      </c>
    </row>
    <row r="2152" spans="1:4" hidden="1" x14ac:dyDescent="0.2">
      <c r="A2152" t="s">
        <v>44</v>
      </c>
      <c r="B2152" s="46">
        <f>INDEX(parameters!$D$4:$N$20,MATCH(B2134&amp;B2136,parameters!$A$4:$A$20,0),MATCH(A2152,parameters!$D$3:$N$3,0))</f>
        <v>0</v>
      </c>
    </row>
    <row r="2153" spans="1:4" hidden="1" x14ac:dyDescent="0.2">
      <c r="A2153" t="s">
        <v>634</v>
      </c>
      <c r="B2153" s="50">
        <f>INDEX(parameters!$D$4:$Y$20,MATCH(B2134&amp;B2136,parameters!$A$4:$A$20,0),MATCH(A2153,parameters!$D$3:$Y$3,0))</f>
        <v>225</v>
      </c>
      <c r="D2153" s="8"/>
    </row>
    <row r="2154" spans="1:4" hidden="1" x14ac:dyDescent="0.2">
      <c r="A2154" t="s">
        <v>82</v>
      </c>
      <c r="B2154" s="46">
        <f>IF(B2145&lt;&gt;0,VLOOKUP(B2145,parameters!A1431:B1433,2,0),0)</f>
        <v>0</v>
      </c>
    </row>
    <row r="2155" spans="1:4" hidden="1" x14ac:dyDescent="0.2">
      <c r="A2155" t="s">
        <v>548</v>
      </c>
      <c r="B2155" s="50">
        <f>INDEX(parameters!$D$4:$P$20,MATCH(B2134&amp;B2136,parameters!$A$4:$A$20,0),MATCH(A2155,parameters!$D$3:$P$3,0))</f>
        <v>100</v>
      </c>
    </row>
    <row r="2156" spans="1:4" hidden="1" x14ac:dyDescent="0.2">
      <c r="A2156" t="s">
        <v>547</v>
      </c>
      <c r="B2156" s="51">
        <f>INDEX(parameters!$D$4:$P$20,MATCH(B2134&amp;B2136,parameters!$A$4:$A$20,0),MATCH(A2156,parameters!$D$3:$P$3,0))</f>
        <v>6</v>
      </c>
    </row>
    <row r="2157" spans="1:4" hidden="1" x14ac:dyDescent="0.2">
      <c r="A2157" t="s">
        <v>630</v>
      </c>
      <c r="B2157" s="51">
        <f>INDEX(parameters!$D$4:$T$20,MATCH(B2134&amp;B2136,parameters!$A$4:$A$20,0),MATCH(A2157,parameters!$D$3:$T$3,0))</f>
        <v>4100</v>
      </c>
    </row>
    <row r="2158" spans="1:4" hidden="1" x14ac:dyDescent="0.2">
      <c r="A2158" t="s">
        <v>1005</v>
      </c>
      <c r="B2158" s="50">
        <f>IF(B2130="megajoule",SUMIFS(allocation!$I$4:$I$30,allocation!$B$4:$B$30,B2136,allocation!$C$4:$C$30,B2137),SUMIFS(allocation!$J$4:$J$30,allocation!$B$4:$B$30,B2136,allocation!$C$4:$C$30,B2137))</f>
        <v>0.13587506510399097</v>
      </c>
    </row>
    <row r="2159" spans="1:4" hidden="1" x14ac:dyDescent="0.2">
      <c r="A2159" t="s">
        <v>1050</v>
      </c>
      <c r="B2159" s="51">
        <f>INDEX(parameters!$D$4:$AB$20,MATCH(B2134&amp;B2136,parameters!$A$4:$A$20,0),MATCH(A2159,parameters!$D$3:$AB$3,0))</f>
        <v>1153.1249999999998</v>
      </c>
    </row>
    <row r="2160" spans="1:4" hidden="1" x14ac:dyDescent="0.2"/>
    <row r="2161" spans="1:22" hidden="1" x14ac:dyDescent="0.2">
      <c r="A2161" s="3" t="s">
        <v>57</v>
      </c>
    </row>
    <row r="2162" spans="1:22" hidden="1" x14ac:dyDescent="0.2">
      <c r="A2162" s="2" t="s">
        <v>58</v>
      </c>
      <c r="B2162" s="44" t="s">
        <v>59</v>
      </c>
      <c r="C2162" s="2" t="s">
        <v>55</v>
      </c>
      <c r="D2162" s="2" t="s">
        <v>60</v>
      </c>
      <c r="E2162" s="2" t="s">
        <v>52</v>
      </c>
      <c r="F2162" s="2" t="s">
        <v>61</v>
      </c>
      <c r="G2162" s="2" t="s">
        <v>54</v>
      </c>
      <c r="H2162" s="2" t="s">
        <v>87</v>
      </c>
      <c r="I2162" s="2" t="s">
        <v>51</v>
      </c>
      <c r="J2162" s="2" t="s">
        <v>138</v>
      </c>
      <c r="K2162" s="2" t="s">
        <v>136</v>
      </c>
      <c r="L2162" s="2" t="s">
        <v>221</v>
      </c>
      <c r="M2162" s="2" t="s">
        <v>379</v>
      </c>
      <c r="N2162" s="2" t="s">
        <v>1059</v>
      </c>
      <c r="O2162" s="2" t="s">
        <v>1060</v>
      </c>
      <c r="P2162" s="2" t="s">
        <v>1061</v>
      </c>
      <c r="Q2162" s="2" t="s">
        <v>1062</v>
      </c>
      <c r="R2162" s="2" t="s">
        <v>1063</v>
      </c>
      <c r="S2162" s="2" t="s">
        <v>1064</v>
      </c>
      <c r="T2162" s="2" t="s">
        <v>1065</v>
      </c>
      <c r="U2162" s="2" t="s">
        <v>380</v>
      </c>
      <c r="V2162" s="2" t="s">
        <v>1128</v>
      </c>
    </row>
    <row r="2163" spans="1:22" x14ac:dyDescent="0.2">
      <c r="A2163" t="str">
        <f>B2124</f>
        <v>heat, residential, by conversion of hydrogen using fuel cell, SOFC, allocated by exergy, transported by pipeline, produced by Steam Methane Reforming, with CCS using natural gas from Russia</v>
      </c>
      <c r="B2163" s="45">
        <v>1</v>
      </c>
      <c r="C2163" t="str">
        <f>B2130</f>
        <v>megajoule</v>
      </c>
      <c r="E2163" t="str">
        <f>B2127</f>
        <v>CH</v>
      </c>
      <c r="F2163" t="s">
        <v>62</v>
      </c>
      <c r="G2163" t="str">
        <f>B2129</f>
        <v>heat, from residential heating system</v>
      </c>
      <c r="K2163" t="str">
        <f>B2124</f>
        <v>heat, residential, by conversion of hydrogen using fuel cell, SOFC, allocated by exergy, transported by pipeline, produced by Steam Methane Reforming, with CCS using natural gas from Russia</v>
      </c>
    </row>
    <row r="2164" spans="1:22" hidden="1" x14ac:dyDescent="0.2">
      <c r="A2164" t="str">
        <f>VLOOKUP(J2164,'dataset mapping'!$A$4:$E$69,2,0)</f>
        <v>fuel cell production, stack solid oxide, 125kW electrical, future</v>
      </c>
      <c r="B2164" s="52">
        <f>1/(62*1000000)/B2146*SUMIFS(allocation!$I$4:$I$30,allocation!$B$4:$B$30,B2136,allocation!$C$4:$C$30,B2137)</f>
        <v>4.1349685059035601E-9</v>
      </c>
      <c r="C2164" t="str">
        <f>VLOOKUP(J2164,'dataset mapping'!$A$4:$E$69,5,0)</f>
        <v>unit</v>
      </c>
      <c r="E2164" t="str">
        <f>VLOOKUP(J2164,'dataset mapping'!$A$4:$E$69,4,0)</f>
        <v>CH</v>
      </c>
      <c r="F2164" t="s">
        <v>86</v>
      </c>
      <c r="G2164" t="str">
        <f>VLOOKUP(J2164,'dataset mapping'!$A$4:$E$69,3,0)</f>
        <v>fuel cell, stack solid oxide, 125kW electrical, future</v>
      </c>
      <c r="H2164" t="s">
        <v>88</v>
      </c>
      <c r="I2164" t="s">
        <v>277</v>
      </c>
      <c r="J2164" t="s">
        <v>274</v>
      </c>
      <c r="K2164" t="str">
        <f>B2124</f>
        <v>heat, residential, by conversion of hydrogen using fuel cell, SOFC, allocated by exergy, transported by pipeline, produced by Steam Methane Reforming, with CCS using natural gas from Russia</v>
      </c>
      <c r="L2164">
        <f t="shared" ref="L2164:L2169" si="137">IF(OR(B2164&lt;0,B2164=0),1,2)</f>
        <v>2</v>
      </c>
      <c r="M2164">
        <f t="shared" ref="M2164:M2169" si="138">IF(L2164=2,LN(B2164),"")</f>
        <v>-19.303786124968067</v>
      </c>
      <c r="N2164">
        <v>1</v>
      </c>
      <c r="O2164" s="15">
        <v>1.2</v>
      </c>
      <c r="P2164">
        <v>1</v>
      </c>
      <c r="Q2164">
        <v>1.01</v>
      </c>
      <c r="R2164">
        <v>1.2</v>
      </c>
      <c r="S2164">
        <v>1.2</v>
      </c>
      <c r="T2164">
        <v>3</v>
      </c>
      <c r="U2164">
        <f t="shared" ref="U2164:U2169" si="139">LN(SQRT(EXP(
SQRT(
+POWER(LN(N2164),2)
+POWER(LN(O2164),2)
+POWER(LN(P2164),2)
+POWER(LN(Q2164),2)
+POWER(LN(R2164),2)
+POWER(LN(S2164),2)
+POWER(LN(T2164),2)
)
)))</f>
        <v>0.57157051623399524</v>
      </c>
    </row>
    <row r="2165" spans="1:22" hidden="1" x14ac:dyDescent="0.2">
      <c r="A2165" t="s">
        <v>283</v>
      </c>
      <c r="B2165" s="52">
        <f>0.000000145/B2146*SUMIFS(allocation!$I$4:$I$30,allocation!$B$4:$B$30,B2136,allocation!$C$4:$C$30,B2137)</f>
        <v>3.7173366868072996E-8</v>
      </c>
      <c r="C2165" t="s">
        <v>55</v>
      </c>
      <c r="E2165" t="s">
        <v>64</v>
      </c>
      <c r="F2165" t="s">
        <v>86</v>
      </c>
      <c r="G2165" t="s">
        <v>284</v>
      </c>
      <c r="H2165" t="s">
        <v>88</v>
      </c>
      <c r="I2165" t="s">
        <v>277</v>
      </c>
      <c r="K2165" t="str">
        <f>B2124</f>
        <v>heat, residential, by conversion of hydrogen using fuel cell, SOFC, allocated by exergy, transported by pipeline, produced by Steam Methane Reforming, with CCS using natural gas from Russia</v>
      </c>
      <c r="L2165">
        <f t="shared" si="137"/>
        <v>2</v>
      </c>
      <c r="M2165">
        <f t="shared" si="138"/>
        <v>-17.107673276484537</v>
      </c>
      <c r="N2165">
        <v>1</v>
      </c>
      <c r="O2165" s="15">
        <v>1.2</v>
      </c>
      <c r="P2165">
        <v>1</v>
      </c>
      <c r="Q2165">
        <v>1.01</v>
      </c>
      <c r="R2165">
        <v>1.2</v>
      </c>
      <c r="S2165">
        <v>1.2</v>
      </c>
      <c r="T2165">
        <v>3</v>
      </c>
      <c r="U2165">
        <f t="shared" si="139"/>
        <v>0.57157051623399524</v>
      </c>
    </row>
    <row r="2166" spans="1:22" hidden="1" x14ac:dyDescent="0.2">
      <c r="A2166" t="s">
        <v>285</v>
      </c>
      <c r="B2166" s="52">
        <f>0.0000000115/B2146*SUMIFS(allocation!$I$4:$I$30,allocation!$B$4:$B$30,B2136,allocation!$C$4:$C$30,B2137)</f>
        <v>2.9482325447092381E-9</v>
      </c>
      <c r="C2166" t="s">
        <v>55</v>
      </c>
      <c r="E2166" t="s">
        <v>90</v>
      </c>
      <c r="F2166" t="s">
        <v>86</v>
      </c>
      <c r="G2166" t="s">
        <v>286</v>
      </c>
      <c r="H2166" t="s">
        <v>88</v>
      </c>
      <c r="K2166" t="str">
        <f>B2124</f>
        <v>heat, residential, by conversion of hydrogen using fuel cell, SOFC, allocated by exergy, transported by pipeline, produced by Steam Methane Reforming, with CCS using natural gas from Russia</v>
      </c>
      <c r="L2166">
        <f t="shared" si="137"/>
        <v>2</v>
      </c>
      <c r="M2166">
        <f t="shared" si="138"/>
        <v>-19.642059983535908</v>
      </c>
      <c r="N2166">
        <v>1</v>
      </c>
      <c r="O2166" s="15">
        <v>1.2</v>
      </c>
      <c r="P2166">
        <v>1</v>
      </c>
      <c r="Q2166">
        <v>1.01</v>
      </c>
      <c r="R2166">
        <v>1.2</v>
      </c>
      <c r="S2166">
        <v>1.2</v>
      </c>
      <c r="T2166">
        <v>3</v>
      </c>
      <c r="U2166">
        <f t="shared" si="139"/>
        <v>0.57157051623399524</v>
      </c>
    </row>
    <row r="2167" spans="1:22" hidden="1" x14ac:dyDescent="0.2">
      <c r="A2167" t="s">
        <v>288</v>
      </c>
      <c r="B2167" s="52">
        <f>0.000024/B2146*SUMIFS(allocation!$I$4:$I$30,allocation!$B$4:$B$30,B2136,allocation!$C$4:$C$30,B2137)</f>
        <v>6.152833136784497E-6</v>
      </c>
      <c r="C2167" t="s">
        <v>56</v>
      </c>
      <c r="E2167" t="s">
        <v>64</v>
      </c>
      <c r="F2167" t="s">
        <v>86</v>
      </c>
      <c r="G2167" t="s">
        <v>287</v>
      </c>
      <c r="H2167" t="s">
        <v>88</v>
      </c>
      <c r="K2167" t="str">
        <f>B2124</f>
        <v>heat, residential, by conversion of hydrogen using fuel cell, SOFC, allocated by exergy, transported by pipeline, produced by Steam Methane Reforming, with CCS using natural gas from Russia</v>
      </c>
      <c r="L2167">
        <f t="shared" si="137"/>
        <v>2</v>
      </c>
      <c r="M2167">
        <f t="shared" si="138"/>
        <v>-11.998597909575029</v>
      </c>
      <c r="N2167">
        <v>1</v>
      </c>
      <c r="O2167" s="15">
        <v>1.2</v>
      </c>
      <c r="P2167">
        <v>1</v>
      </c>
      <c r="Q2167">
        <v>1.01</v>
      </c>
      <c r="R2167">
        <v>1.2</v>
      </c>
      <c r="S2167">
        <v>1.2</v>
      </c>
      <c r="T2167">
        <v>1.05</v>
      </c>
      <c r="U2167">
        <f t="shared" si="139"/>
        <v>0.15984597228197622</v>
      </c>
    </row>
    <row r="2168" spans="1:22" hidden="1" x14ac:dyDescent="0.2">
      <c r="A2168" s="45" t="str">
        <f>"hydrogen supply, transported by "&amp;B2138&amp;", produced by "&amp;B2142&amp;" using "&amp;B2143&amp;" from "&amp;B2144</f>
        <v>hydrogen supply, transported by pipeline, produced by Steam Methane Reforming, with CCS using natural gas from Russia</v>
      </c>
      <c r="B2168" s="53">
        <f>(B2163/B2147)/B2146*B2158</f>
        <v>2.1364003947168392E-3</v>
      </c>
      <c r="C2168" t="s">
        <v>56</v>
      </c>
      <c r="E2168" t="s">
        <v>64</v>
      </c>
      <c r="F2168" t="s">
        <v>86</v>
      </c>
      <c r="G2168" s="67" t="s">
        <v>1129</v>
      </c>
      <c r="H2168" t="s">
        <v>76</v>
      </c>
      <c r="I2168" t="s">
        <v>1054</v>
      </c>
      <c r="J2168" t="s">
        <v>365</v>
      </c>
      <c r="K2168" t="str">
        <f>B2124</f>
        <v>heat, residential, by conversion of hydrogen using fuel cell, SOFC, allocated by exergy, transported by pipeline, produced by Steam Methane Reforming, with CCS using natural gas from Russia</v>
      </c>
      <c r="L2168">
        <f t="shared" si="137"/>
        <v>2</v>
      </c>
      <c r="M2168">
        <f t="shared" si="138"/>
        <v>-6.1486329247407472</v>
      </c>
      <c r="N2168">
        <v>1</v>
      </c>
      <c r="O2168" s="15">
        <v>1.2</v>
      </c>
      <c r="P2168">
        <v>1</v>
      </c>
      <c r="Q2168">
        <v>1.01</v>
      </c>
      <c r="R2168">
        <v>1.2</v>
      </c>
      <c r="S2168">
        <v>1.2</v>
      </c>
      <c r="T2168">
        <v>1.05</v>
      </c>
      <c r="U2168">
        <f t="shared" si="139"/>
        <v>0.15984597228197622</v>
      </c>
    </row>
    <row r="2169" spans="1:22" hidden="1" x14ac:dyDescent="0.2">
      <c r="A2169" t="s">
        <v>134</v>
      </c>
      <c r="B2169" s="45">
        <f>B2168*9</f>
        <v>1.9227603552451553E-2</v>
      </c>
      <c r="C2169" t="s">
        <v>56</v>
      </c>
      <c r="D2169" t="s">
        <v>100</v>
      </c>
      <c r="F2169" t="s">
        <v>99</v>
      </c>
      <c r="H2169" t="s">
        <v>131</v>
      </c>
      <c r="I2169" t="s">
        <v>1057</v>
      </c>
      <c r="K2169" t="str">
        <f>B2124</f>
        <v>heat, residential, by conversion of hydrogen using fuel cell, SOFC, allocated by exergy, transported by pipeline, produced by Steam Methane Reforming, with CCS using natural gas from Russia</v>
      </c>
      <c r="L2169">
        <f t="shared" si="137"/>
        <v>2</v>
      </c>
      <c r="M2169">
        <f t="shared" si="138"/>
        <v>-3.9514083474045276</v>
      </c>
      <c r="N2169">
        <v>1</v>
      </c>
      <c r="O2169" s="15">
        <v>1.2</v>
      </c>
      <c r="P2169">
        <v>1</v>
      </c>
      <c r="Q2169">
        <v>1.01</v>
      </c>
      <c r="R2169">
        <v>1.2</v>
      </c>
      <c r="S2169">
        <v>1.2</v>
      </c>
      <c r="T2169">
        <v>1.05</v>
      </c>
      <c r="U2169">
        <f t="shared" si="139"/>
        <v>0.15984597228197622</v>
      </c>
    </row>
    <row r="2170" spans="1:22" hidden="1" x14ac:dyDescent="0.2"/>
    <row r="2171" spans="1:22" hidden="1" x14ac:dyDescent="0.2">
      <c r="A2171" s="2" t="s">
        <v>50</v>
      </c>
      <c r="B2171" s="44" t="str">
        <f>IF(B2177="megajoule","heat","electricity")&amp;", residential, by "&amp;B2182&amp;" of "&amp;B2181&amp;" using "&amp;B2183&amp;IF(B2184&lt;&gt;0,", allocated by "&amp;B2184,"")&amp;", transported by "&amp;B2185&amp;", produced by "&amp;B2189&amp;" using "&amp;B2190&amp;" from "&amp;B2191</f>
        <v>electricity, residential, by combustion of hydrogen using CHP, allocated by exergy, transported by pipeline, produced by Steam Methane Reforming, with CCS using natural gas from Russia</v>
      </c>
    </row>
    <row r="2172" spans="1:22" hidden="1" x14ac:dyDescent="0.2">
      <c r="A2172" t="s">
        <v>51</v>
      </c>
      <c r="B2172" s="45" t="str">
        <f>"This dataset represents the supply of 1 "&amp;IF(B2177="megajoule","megajoule of heat","kilowatt hour of electricity")&amp;" in a residence, by "&amp;B2181&amp;" "&amp;B2182&amp;" in a "&amp;B2183&amp;". "&amp;" The hydrogen is transported by "&amp;B2185&amp;" over "&amp;B2186&amp;" km from regional storage. "&amp;" The "&amp;B2181&amp;" is produced by  "&amp;B2189&amp;", with "&amp;B2190&amp;" from "&amp;B2191&amp;" as feedstock. "&amp;A2193&amp;": "&amp;(B2193*100)&amp;"%. "&amp;A2194&amp;": "&amp;B2194&amp;". "&amp;A2195&amp;": "&amp;B2195&amp;". "&amp;A2196&amp;": "&amp;(B2196*100)&amp;"%. "&amp;A2197&amp;": "&amp;(B2197*100)&amp;"%. "&amp;A2198&amp;": "&amp;(B2198*100)&amp;"%. "&amp;A2199&amp;": "&amp;B2199&amp;". "&amp;A2200&amp;": "&amp;B2200&amp;". "&amp;A2201&amp;": "&amp;(B2201*100)&amp;"%. "&amp;A2202&amp;": "&amp;B2202&amp;". "&amp;A2203&amp;": "&amp;B2203&amp;". "&amp;A2204&amp;": "&amp;B2204&amp;". "&amp;A2205&amp;": "&amp;B2205&amp;".  For more information, refer to: "&amp;B2173</f>
        <v>This dataset represents the supply of 1 kilowatt hour of electricity in a residence, by hydrogen combustion in a CHP.  The hydrogen is transported by pipeline over 500 km from regional storage.  The hydrogen is produced by  Steam Methane Reforming, with CCS, with natural gas from Russia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2173" spans="1:22" hidden="1" x14ac:dyDescent="0.2">
      <c r="A2173" t="s">
        <v>63</v>
      </c>
      <c r="B2173" s="45" t="s">
        <v>660</v>
      </c>
    </row>
    <row r="2174" spans="1:22" hidden="1" x14ac:dyDescent="0.2">
      <c r="A2174" t="s">
        <v>52</v>
      </c>
      <c r="B2174" s="45" t="s">
        <v>64</v>
      </c>
    </row>
    <row r="2175" spans="1:22" hidden="1" x14ac:dyDescent="0.2">
      <c r="A2175" t="s">
        <v>48</v>
      </c>
      <c r="B2175" s="45" t="s">
        <v>991</v>
      </c>
    </row>
    <row r="2176" spans="1:22" hidden="1" x14ac:dyDescent="0.2">
      <c r="A2176" t="s">
        <v>54</v>
      </c>
      <c r="B2176" s="45" t="str">
        <f>INDEX(overview!$B$4:$R$338,MATCH(B2175,overview!$A$4:$A$338,0),MATCH(A2176,overview!$B$3:$R$3,0))</f>
        <v>electricity, from residential heating system</v>
      </c>
    </row>
    <row r="2177" spans="1:2" hidden="1" x14ac:dyDescent="0.2">
      <c r="A2177" t="s">
        <v>55</v>
      </c>
      <c r="B2177" s="45" t="str">
        <f>INDEX(overview!$B$4:$R$338,MATCH(B2175,overview!$A$4:$A$338,0),MATCH(A2177,overview!$B$3:$R$3,0))</f>
        <v>kilowatt hour</v>
      </c>
    </row>
    <row r="2178" spans="1:2" hidden="1" x14ac:dyDescent="0.2">
      <c r="A2178" t="s">
        <v>0</v>
      </c>
      <c r="B2178" s="45" t="str">
        <f>INDEX(overview!$B$4:$R$338,MATCH(B2175,overview!$A$4:$A$338,0),MATCH(A2178,overview!$B$3:$R$3,0))</f>
        <v>Switzerland</v>
      </c>
    </row>
    <row r="2179" spans="1:2" hidden="1" x14ac:dyDescent="0.2">
      <c r="A2179" t="s">
        <v>1</v>
      </c>
      <c r="B2179" s="45">
        <f>INDEX(overview!$B$4:$R$338,MATCH(B2175,overview!$A$4:$A$338,0),MATCH(A2179,overview!$B$3:$R$3,0))</f>
        <v>2020</v>
      </c>
    </row>
    <row r="2180" spans="1:2" hidden="1" x14ac:dyDescent="0.2">
      <c r="A2180" t="s">
        <v>2</v>
      </c>
      <c r="B2180" s="45" t="str">
        <f>INDEX(overview!$B$4:$R$338,MATCH(B2175,overview!$A$4:$A$338,0),MATCH(A2180,overview!$B$3:$R$3,0))</f>
        <v>1 kWh electricity</v>
      </c>
    </row>
    <row r="2181" spans="1:2" hidden="1" x14ac:dyDescent="0.2">
      <c r="A2181" t="s">
        <v>5</v>
      </c>
      <c r="B2181" s="45" t="str">
        <f>INDEX(overview!$B$4:$R$338,MATCH(B2175,overview!$A$4:$A$338,0),MATCH(A2181,overview!$B$3:$R$3,0))</f>
        <v>hydrogen</v>
      </c>
    </row>
    <row r="2182" spans="1:2" hidden="1" x14ac:dyDescent="0.2">
      <c r="A2182" t="s">
        <v>3</v>
      </c>
      <c r="B2182" s="45" t="str">
        <f>INDEX(overview!$B$4:$R$338,MATCH(B2175,overview!$A$4:$A$338,0),MATCH(A2182,overview!$B$3:$R$3,0))</f>
        <v>combustion</v>
      </c>
    </row>
    <row r="2183" spans="1:2" hidden="1" x14ac:dyDescent="0.2">
      <c r="A2183" t="s">
        <v>6</v>
      </c>
      <c r="B2183" s="45" t="str">
        <f>INDEX(overview!$B$4:$R$338,MATCH(B2175,overview!$A$4:$A$338,0),MATCH(A2183,overview!$B$3:$R$3,0))</f>
        <v>CHP</v>
      </c>
    </row>
    <row r="2184" spans="1:2" hidden="1" x14ac:dyDescent="0.2">
      <c r="A2184" t="s">
        <v>39</v>
      </c>
      <c r="B2184" s="45" t="str">
        <f>INDEX(overview!$B$4:$R$338,MATCH(B2175,overview!$A$4:$A$338,0),MATCH(A2184,overview!$B$3:$R$3,0))</f>
        <v>exergy</v>
      </c>
    </row>
    <row r="2185" spans="1:2" hidden="1" x14ac:dyDescent="0.2">
      <c r="A2185" t="s">
        <v>4</v>
      </c>
      <c r="B2185" s="45" t="str">
        <f>INDEX(overview!$B$4:$R$338,MATCH(B2175,overview!$A$4:$A$338,0),MATCH(A2185,overview!$B$3:$R$3,0))</f>
        <v>pipeline</v>
      </c>
    </row>
    <row r="2186" spans="1:2" hidden="1" x14ac:dyDescent="0.2">
      <c r="A2186" t="s">
        <v>38</v>
      </c>
      <c r="B2186" s="45">
        <f>INDEX(overview!$B$4:$R$338,MATCH(B2175,overview!$A$4:$A$338,0),MATCH(A2186,overview!$B$3:$R$3,0))</f>
        <v>500</v>
      </c>
    </row>
    <row r="2187" spans="1:2" hidden="1" x14ac:dyDescent="0.2">
      <c r="A2187" t="s">
        <v>12</v>
      </c>
      <c r="B2187" s="45" t="str">
        <f>INDEX(overview!$B$4:$R$338,MATCH(B2175,overview!$A$4:$A$338,0),MATCH(A2187,overview!$B$3:$R$3,0))</f>
        <v>Pressure vessel for stationary storage</v>
      </c>
    </row>
    <row r="2188" spans="1:2" hidden="1" x14ac:dyDescent="0.2">
      <c r="A2188" t="s">
        <v>34</v>
      </c>
      <c r="B2188" s="45">
        <f>INDEX(overview!$B$4:$R$338,MATCH(B2175,overview!$A$4:$A$338,0),MATCH(A2188,overview!$B$3:$R$3,0))</f>
        <v>0</v>
      </c>
    </row>
    <row r="2189" spans="1:2" hidden="1" x14ac:dyDescent="0.2">
      <c r="A2189" t="s">
        <v>15</v>
      </c>
      <c r="B2189" s="45" t="str">
        <f>INDEX(overview!$B$4:$R$338,MATCH(B2175,overview!$A$4:$A$338,0),MATCH(A2189,overview!$B$3:$R$3,0))</f>
        <v>Steam Methane Reforming, with CCS</v>
      </c>
    </row>
    <row r="2190" spans="1:2" hidden="1" x14ac:dyDescent="0.2">
      <c r="A2190" t="s">
        <v>14</v>
      </c>
      <c r="B2190" s="45" t="str">
        <f>INDEX(overview!$B$4:$R$338,MATCH(B2175,overview!$A$4:$A$338,0),MATCH(A2190,overview!$B$3:$R$3,0))</f>
        <v>natural gas</v>
      </c>
    </row>
    <row r="2191" spans="1:2" hidden="1" x14ac:dyDescent="0.2">
      <c r="A2191" t="s">
        <v>26</v>
      </c>
      <c r="B2191" s="45" t="str">
        <f>INDEX(overview!$B$4:$R$338,MATCH(B2175,overview!$A$4:$A$338,0),MATCH(A2191,overview!$B$3:$R$3,0))</f>
        <v>Russia</v>
      </c>
    </row>
    <row r="2192" spans="1:2" hidden="1" x14ac:dyDescent="0.2">
      <c r="A2192" t="s">
        <v>29</v>
      </c>
      <c r="B2192" s="45">
        <f>INDEX(overview!$B$4:$R$338,MATCH(B2175,overview!$A$4:$A$338,0),MATCH(A2192,overview!$B$3:$R$3,0))</f>
        <v>0</v>
      </c>
    </row>
    <row r="2193" spans="1:2" hidden="1" x14ac:dyDescent="0.2">
      <c r="A2193" t="str">
        <f>IF(B2177="megajoule","Heat","Electricity")&amp;" conversion efficiency [% LHV input]"</f>
        <v>Electricity conversion efficiency [% LHV input]</v>
      </c>
      <c r="B2193" s="46">
        <f>INDEX(parameters!$D$4:$N$20,MATCH(B2181&amp;B2183,parameters!$A$4:$A$20,0),MATCH(A2193,parameters!$D$3:$N$3,0))</f>
        <v>0.39400000000000002</v>
      </c>
    </row>
    <row r="2194" spans="1:2" hidden="1" x14ac:dyDescent="0.2">
      <c r="A2194" t="str">
        <f>IF(B2177="megajoule","LHV [MJ/kg]","LHV [kWh/kg]")</f>
        <v>LHV [kWh/kg]</v>
      </c>
      <c r="B2194" s="47">
        <f>INDEX(parameters!$D$4:$N$20,MATCH(B2181&amp;B2183,parameters!$A$4:$A$20,0),MATCH(A2194,parameters!$D$3:$N$3,0))</f>
        <v>33.333333333333336</v>
      </c>
    </row>
    <row r="2195" spans="1:2" hidden="1" x14ac:dyDescent="0.2">
      <c r="A2195" t="s">
        <v>41</v>
      </c>
      <c r="B2195" s="48">
        <f>INDEX(parameters!$D$4:$N$20,MATCH(B2181&amp;B2183,parameters!$A$4:$A$20,0),MATCH(A2195,parameters!$D$3:$N$3,0))</f>
        <v>2.6666666666666665E-2</v>
      </c>
    </row>
    <row r="2196" spans="1:2" hidden="1" x14ac:dyDescent="0.2">
      <c r="A2196" t="s">
        <v>45</v>
      </c>
      <c r="B2196" s="46">
        <f>INDEX(parameters!$D$4:$N$20,MATCH(B2181&amp;B2183,parameters!$A$4:$A$20,0),MATCH(A2196,parameters!$D$3:$N$3,0))</f>
        <v>0</v>
      </c>
    </row>
    <row r="2197" spans="1:2" hidden="1" x14ac:dyDescent="0.2">
      <c r="A2197" t="s">
        <v>46</v>
      </c>
      <c r="B2197" s="46">
        <f>INDEX(parameters!$D$4:$N$20,MATCH(B2181&amp;B2183,parameters!$A$4:$A$20,0),MATCH(A2197,parameters!$D$3:$N$3,0))</f>
        <v>1.4999999999999999E-2</v>
      </c>
    </row>
    <row r="2198" spans="1:2" hidden="1" x14ac:dyDescent="0.2">
      <c r="A2198" t="s">
        <v>43</v>
      </c>
      <c r="B2198" s="46">
        <f>INDEX(parameters!$D$4:$N$20,MATCH(B2181&amp;B2183,parameters!$A$4:$A$20,0),MATCH(A2198,parameters!$D$3:$N$3,0))</f>
        <v>0</v>
      </c>
    </row>
    <row r="2199" spans="1:2" hidden="1" x14ac:dyDescent="0.2">
      <c r="A2199" t="s">
        <v>44</v>
      </c>
      <c r="B2199" s="46">
        <f>INDEX(parameters!$D$4:$N$20,MATCH(B2181&amp;B2183,parameters!$A$4:$A$20,0),MATCH(A2199,parameters!$D$3:$N$3,0))</f>
        <v>0</v>
      </c>
    </row>
    <row r="2200" spans="1:2" hidden="1" x14ac:dyDescent="0.2">
      <c r="A2200" t="s">
        <v>634</v>
      </c>
      <c r="B2200" s="50">
        <f>INDEX(parameters!$D$4:$Y$20,MATCH(B2181&amp;B2183,parameters!$A$4:$A$20,0),MATCH(A2200,parameters!$D$3:$Y$3,0))</f>
        <v>351.41800246609125</v>
      </c>
    </row>
    <row r="2201" spans="1:2" hidden="1" x14ac:dyDescent="0.2">
      <c r="A2201" t="s">
        <v>82</v>
      </c>
      <c r="B2201" s="46">
        <f>IF(B2192&lt;&gt;0,VLOOKUP(B2192,parameters!A1483:B1485,2,0),0)</f>
        <v>0</v>
      </c>
    </row>
    <row r="2202" spans="1:2" hidden="1" x14ac:dyDescent="0.2">
      <c r="A2202" t="s">
        <v>548</v>
      </c>
      <c r="B2202" s="50">
        <f>INDEX(parameters!$D$4:$P$20,MATCH(B2181&amp;B2183,parameters!$A$4:$A$20,0),MATCH(A2202,parameters!$D$3:$P$3,0))</f>
        <v>125</v>
      </c>
    </row>
    <row r="2203" spans="1:2" hidden="1" x14ac:dyDescent="0.2">
      <c r="A2203" t="s">
        <v>547</v>
      </c>
      <c r="B2203" s="51">
        <f>INDEX(parameters!$D$4:$P$20,MATCH(B2181&amp;B2183,parameters!$A$4:$A$20,0),MATCH(A2203,parameters!$D$3:$P$3,0))</f>
        <v>19.512195121951219</v>
      </c>
    </row>
    <row r="2204" spans="1:2" hidden="1" x14ac:dyDescent="0.2">
      <c r="A2204" t="s">
        <v>630</v>
      </c>
      <c r="B2204" s="51">
        <f>INDEX(parameters!$D$4:$T$20,MATCH(B2181&amp;B2183,parameters!$A$4:$A$20,0),MATCH(A2204,parameters!$D$3:$T$3,0))</f>
        <v>4100</v>
      </c>
    </row>
    <row r="2205" spans="1:2" hidden="1" x14ac:dyDescent="0.2">
      <c r="A2205" t="s">
        <v>1005</v>
      </c>
      <c r="B2205" s="50">
        <f>IF(B2177="megajoule",SUMIFS(allocation!$I$4:$I$30,allocation!$B$4:$B$30,B2183,allocation!$C$4:$C$30,B2184),SUMIFS(allocation!$J$4:$J$30,allocation!$B$4:$B$30,B2183,allocation!$C$4:$C$30,B2184))</f>
        <v>0.87139957772704957</v>
      </c>
    </row>
    <row r="2206" spans="1:2" hidden="1" x14ac:dyDescent="0.2">
      <c r="A2206" t="s">
        <v>1050</v>
      </c>
      <c r="B2206" s="51">
        <f>INDEX(parameters!$D$4:$AB$20,MATCH(B2181&amp;B2183,parameters!$A$4:$A$20,0),MATCH(A2206,parameters!$D$3:$AB$3,0))</f>
        <v>2220.7364520822662</v>
      </c>
    </row>
    <row r="2207" spans="1:2" hidden="1" x14ac:dyDescent="0.2"/>
    <row r="2208" spans="1:2" hidden="1" x14ac:dyDescent="0.2">
      <c r="A2208" s="3" t="s">
        <v>57</v>
      </c>
    </row>
    <row r="2209" spans="1:22" hidden="1" x14ac:dyDescent="0.2">
      <c r="A2209" s="2" t="s">
        <v>58</v>
      </c>
      <c r="B2209" s="44" t="s">
        <v>59</v>
      </c>
      <c r="C2209" s="2" t="s">
        <v>55</v>
      </c>
      <c r="D2209" s="2" t="s">
        <v>60</v>
      </c>
      <c r="E2209" s="2" t="s">
        <v>52</v>
      </c>
      <c r="F2209" s="2" t="s">
        <v>61</v>
      </c>
      <c r="G2209" s="2" t="s">
        <v>54</v>
      </c>
      <c r="H2209" s="2" t="s">
        <v>87</v>
      </c>
      <c r="I2209" s="2" t="s">
        <v>51</v>
      </c>
      <c r="J2209" s="2" t="s">
        <v>138</v>
      </c>
      <c r="K2209" s="2" t="s">
        <v>136</v>
      </c>
      <c r="L2209" s="2" t="s">
        <v>221</v>
      </c>
      <c r="M2209" s="2" t="s">
        <v>379</v>
      </c>
      <c r="N2209" s="2" t="s">
        <v>1059</v>
      </c>
      <c r="O2209" s="2" t="s">
        <v>1060</v>
      </c>
      <c r="P2209" s="2" t="s">
        <v>1061</v>
      </c>
      <c r="Q2209" s="2" t="s">
        <v>1062</v>
      </c>
      <c r="R2209" s="2" t="s">
        <v>1063</v>
      </c>
      <c r="S2209" s="2" t="s">
        <v>1064</v>
      </c>
      <c r="T2209" s="2" t="s">
        <v>1065</v>
      </c>
      <c r="U2209" s="2" t="s">
        <v>380</v>
      </c>
      <c r="V2209" s="2" t="s">
        <v>1128</v>
      </c>
    </row>
    <row r="2210" spans="1:22" hidden="1" x14ac:dyDescent="0.2">
      <c r="A2210" t="str">
        <f>B2171</f>
        <v>electricity, residential, by combustion of hydrogen using CHP, allocated by exergy, transported by pipeline, produced by Steam Methane Reforming, with CCS using natural gas from Russia</v>
      </c>
      <c r="B2210" s="45">
        <v>1</v>
      </c>
      <c r="C2210" t="str">
        <f>B2177</f>
        <v>kilowatt hour</v>
      </c>
      <c r="E2210" t="str">
        <f>B2174</f>
        <v>CH</v>
      </c>
      <c r="F2210" t="s">
        <v>62</v>
      </c>
      <c r="G2210" t="str">
        <f>B2176</f>
        <v>electricity, from residential heating system</v>
      </c>
      <c r="K2210" t="str">
        <f>B2171</f>
        <v>electricity, residential, by combustion of hydrogen using CHP, allocated by exergy, transported by pipeline, produced by Steam Methane Reforming, with CCS using natural gas from Russia</v>
      </c>
    </row>
    <row r="2211" spans="1:22" hidden="1" x14ac:dyDescent="0.2">
      <c r="A2211" t="str">
        <f>VLOOKUP(J2211,'dataset mapping'!$A$4:$E$69,2,0)</f>
        <v>heat and power co-generation unit construction, 160kW electrical, common components for heat+electricity</v>
      </c>
      <c r="B2211" s="52">
        <f>(1/(B2200*B2204*B2203))*B2205</f>
        <v>3.0995835856870056E-8</v>
      </c>
      <c r="C2211" t="str">
        <f>VLOOKUP(J2211,'dataset mapping'!$A$4:$E$69,5,0)</f>
        <v>unit</v>
      </c>
      <c r="E2211" t="str">
        <f>VLOOKUP(J2211,'dataset mapping'!$A$4:$E$69,4,0)</f>
        <v>RER</v>
      </c>
      <c r="F2211" t="s">
        <v>86</v>
      </c>
      <c r="G2211" t="str">
        <f>VLOOKUP(J2211,'dataset mapping'!$A$4:$E$69,3,0)</f>
        <v>heat and power co-generation unit, 160kW electrical, common components for heat+electricity</v>
      </c>
      <c r="H2211" t="s">
        <v>88</v>
      </c>
      <c r="J2211" t="s">
        <v>145</v>
      </c>
      <c r="K2211" t="str">
        <f>B2171</f>
        <v>electricity, residential, by combustion of hydrogen using CHP, allocated by exergy, transported by pipeline, produced by Steam Methane Reforming, with CCS using natural gas from Russia</v>
      </c>
      <c r="L2211">
        <f t="shared" ref="L2211:L2218" si="140">IF(OR(B2211&lt;0,B2211=0),1,2)</f>
        <v>2</v>
      </c>
      <c r="M2211">
        <f t="shared" ref="M2211:M2218" si="141">IF(L2211=2,LN(B2211),"")</f>
        <v>-17.28941296868171</v>
      </c>
      <c r="N2211">
        <v>1.05</v>
      </c>
      <c r="O2211" s="15">
        <v>1.2</v>
      </c>
      <c r="P2211">
        <v>1</v>
      </c>
      <c r="Q2211">
        <v>1.01</v>
      </c>
      <c r="R2211">
        <v>1.2</v>
      </c>
      <c r="S2211">
        <v>1.2</v>
      </c>
      <c r="T2211">
        <v>3</v>
      </c>
      <c r="U2211">
        <f t="shared" ref="U2211:U2218" si="142">LN(SQRT(EXP(
SQRT(
+POWER(LN(N2211),2)
+POWER(LN(O2211),2)
+POWER(LN(P2211),2)
+POWER(LN(Q2211),2)
+POWER(LN(R2211),2)
+POWER(LN(S2211),2)
+POWER(LN(T2211),2)
)
)))</f>
        <v>0.57209088006881903</v>
      </c>
    </row>
    <row r="2212" spans="1:22" hidden="1" x14ac:dyDescent="0.2">
      <c r="A2212" t="str">
        <f>VLOOKUP(J2212,'dataset mapping'!$A$4:$E$69,2,0)</f>
        <v>heat and power co-generation unit construction, 160kW electrical, components for electricity only</v>
      </c>
      <c r="B2212" s="52">
        <f>(1/(B2200*B2204*B2203))*B2205</f>
        <v>3.0995835856870056E-8</v>
      </c>
      <c r="C2212" t="str">
        <f>VLOOKUP(J2212,'dataset mapping'!$A$4:$E$69,5,0)</f>
        <v>unit</v>
      </c>
      <c r="E2212" t="str">
        <f>VLOOKUP(J2212,'dataset mapping'!$A$4:$E$69,4,0)</f>
        <v>RER</v>
      </c>
      <c r="F2212" t="s">
        <v>86</v>
      </c>
      <c r="G2212" t="str">
        <f>VLOOKUP(J2212,'dataset mapping'!$A$4:$E$69,3,0)</f>
        <v>heat and power co-generation unit, 160kW electrical, components for electricity only</v>
      </c>
      <c r="H2212" t="s">
        <v>88</v>
      </c>
      <c r="J2212" t="s">
        <v>146</v>
      </c>
      <c r="K2212" t="str">
        <f>B2171</f>
        <v>electricity, residential, by combustion of hydrogen using CHP, allocated by exergy, transported by pipeline, produced by Steam Methane Reforming, with CCS using natural gas from Russia</v>
      </c>
      <c r="L2212">
        <f t="shared" si="140"/>
        <v>2</v>
      </c>
      <c r="M2212">
        <f t="shared" si="141"/>
        <v>-17.28941296868171</v>
      </c>
      <c r="N2212">
        <v>1.05</v>
      </c>
      <c r="O2212" s="15">
        <v>1.2</v>
      </c>
      <c r="P2212">
        <v>1</v>
      </c>
      <c r="Q2212">
        <v>1.01</v>
      </c>
      <c r="R2212">
        <v>1.2</v>
      </c>
      <c r="S2212">
        <v>1.2</v>
      </c>
      <c r="T2212">
        <v>3</v>
      </c>
      <c r="U2212">
        <f t="shared" si="142"/>
        <v>0.57209088006881903</v>
      </c>
    </row>
    <row r="2213" spans="1:22" hidden="1" x14ac:dyDescent="0.2">
      <c r="A2213" t="str">
        <f>VLOOKUP(J2213,'dataset mapping'!$A$4:$E$69,2,0)</f>
        <v>heat and power co-generation unit construction, 160kW electrical, components for heat only</v>
      </c>
      <c r="B2213" s="52">
        <f>(1/(B2200*B2204*B2203))*B2205</f>
        <v>3.0995835856870056E-8</v>
      </c>
      <c r="C2213" t="str">
        <f>VLOOKUP(J2213,'dataset mapping'!$A$4:$E$69,5,0)</f>
        <v>unit</v>
      </c>
      <c r="E2213" t="str">
        <f>VLOOKUP(J2213,'dataset mapping'!$A$4:$E$69,4,0)</f>
        <v>RER</v>
      </c>
      <c r="F2213" t="s">
        <v>86</v>
      </c>
      <c r="G2213" t="str">
        <f>VLOOKUP(J2213,'dataset mapping'!$A$4:$E$69,3,0)</f>
        <v>heat and power co-generation unit, 160kW electrical, components for heat only</v>
      </c>
      <c r="H2213" t="s">
        <v>88</v>
      </c>
      <c r="J2213" t="s">
        <v>147</v>
      </c>
      <c r="K2213" t="str">
        <f>B2171</f>
        <v>electricity, residential, by combustion of hydrogen using CHP, allocated by exergy, transported by pipeline, produced by Steam Methane Reforming, with CCS using natural gas from Russia</v>
      </c>
      <c r="L2213">
        <f t="shared" si="140"/>
        <v>2</v>
      </c>
      <c r="M2213">
        <f t="shared" si="141"/>
        <v>-17.28941296868171</v>
      </c>
      <c r="N2213">
        <v>1.05</v>
      </c>
      <c r="O2213" s="15">
        <v>1.2</v>
      </c>
      <c r="P2213">
        <v>1</v>
      </c>
      <c r="Q2213">
        <v>1.01</v>
      </c>
      <c r="R2213">
        <v>1.2</v>
      </c>
      <c r="S2213">
        <v>1.2</v>
      </c>
      <c r="T2213">
        <v>3</v>
      </c>
      <c r="U2213">
        <f t="shared" si="142"/>
        <v>0.57209088006881903</v>
      </c>
    </row>
    <row r="2214" spans="1:22" hidden="1" x14ac:dyDescent="0.2">
      <c r="A2214" t="s">
        <v>156</v>
      </c>
      <c r="B2214" s="52">
        <f>0.00000011366*B2205</f>
        <v>9.9043276004456456E-8</v>
      </c>
      <c r="C2214" t="s">
        <v>56</v>
      </c>
      <c r="E2214" t="s">
        <v>90</v>
      </c>
      <c r="F2214" t="s">
        <v>86</v>
      </c>
      <c r="G2214" t="s">
        <v>154</v>
      </c>
      <c r="H2214" t="s">
        <v>155</v>
      </c>
      <c r="K2214" t="str">
        <f>B2171</f>
        <v>electricity, residential, by combustion of hydrogen using CHP, allocated by exergy, transported by pipeline, produced by Steam Methane Reforming, with CCS using natural gas from Russia</v>
      </c>
      <c r="L2214">
        <f t="shared" si="140"/>
        <v>2</v>
      </c>
      <c r="M2214">
        <f t="shared" si="141"/>
        <v>-16.127708950967754</v>
      </c>
      <c r="N2214">
        <v>1.05</v>
      </c>
      <c r="O2214" s="15">
        <v>1.2</v>
      </c>
      <c r="P2214">
        <v>1</v>
      </c>
      <c r="Q2214">
        <v>1.01</v>
      </c>
      <c r="R2214">
        <v>1.2</v>
      </c>
      <c r="S2214">
        <v>1.2</v>
      </c>
      <c r="T2214">
        <v>1.05</v>
      </c>
      <c r="U2214">
        <f t="shared" si="142"/>
        <v>0.16169679924070957</v>
      </c>
    </row>
    <row r="2215" spans="1:22" hidden="1" x14ac:dyDescent="0.2">
      <c r="A2215" t="s">
        <v>157</v>
      </c>
      <c r="B2215" s="52">
        <f>0.00000011366*B2205*-1</f>
        <v>-9.9043276004456456E-8</v>
      </c>
      <c r="C2215" t="s">
        <v>56</v>
      </c>
      <c r="E2215" t="s">
        <v>64</v>
      </c>
      <c r="F2215" t="s">
        <v>86</v>
      </c>
      <c r="G2215" t="s">
        <v>158</v>
      </c>
      <c r="H2215" t="s">
        <v>155</v>
      </c>
      <c r="K2215" t="str">
        <f>B2171</f>
        <v>electricity, residential, by combustion of hydrogen using CHP, allocated by exergy, transported by pipeline, produced by Steam Methane Reforming, with CCS using natural gas from Russia</v>
      </c>
      <c r="L2215">
        <v>2</v>
      </c>
      <c r="M2215">
        <f>IF(L2215=2,LN(B2215*-1),"")</f>
        <v>-16.127708950967754</v>
      </c>
      <c r="N2215">
        <v>1.05</v>
      </c>
      <c r="O2215" s="15">
        <v>1.2</v>
      </c>
      <c r="P2215">
        <v>1</v>
      </c>
      <c r="Q2215">
        <v>1.01</v>
      </c>
      <c r="R2215">
        <v>1.2</v>
      </c>
      <c r="S2215">
        <v>1.2</v>
      </c>
      <c r="T2215">
        <v>3</v>
      </c>
      <c r="U2215">
        <f>LN(SQRT(EXP(
SQRT(
+POWER(LN(N2215),2)
+POWER(LN(O2215),2)
+POWER(LN(P2215),2)
+POWER(LN(Q2215),2)
+POWER(LN(R2215),2)
+POWER(LN(S2215),2)
+POWER(LN(T2215),2)
)
)))</f>
        <v>0.57209088006881903</v>
      </c>
      <c r="V2215" t="b">
        <v>1</v>
      </c>
    </row>
    <row r="2216" spans="1:22" hidden="1" x14ac:dyDescent="0.2">
      <c r="A2216" s="45" t="str">
        <f>"hydrogen supply, transported by "&amp;B2185&amp;", produced by "&amp;B2189&amp;" using "&amp;B2190&amp;" from "&amp;B2191</f>
        <v>hydrogen supply, transported by pipeline, produced by Steam Methane Reforming, with CCS using natural gas from Russia</v>
      </c>
      <c r="B2216" s="53">
        <f>(B2210/B2194)/B2193*B2205</f>
        <v>6.6350221654343872E-2</v>
      </c>
      <c r="C2216" t="s">
        <v>56</v>
      </c>
      <c r="E2216" t="s">
        <v>64</v>
      </c>
      <c r="F2216" t="s">
        <v>86</v>
      </c>
      <c r="G2216" s="67" t="s">
        <v>1129</v>
      </c>
      <c r="H2216" t="s">
        <v>76</v>
      </c>
      <c r="I2216" t="s">
        <v>1054</v>
      </c>
      <c r="J2216" t="s">
        <v>365</v>
      </c>
      <c r="K2216" t="str">
        <f>B2171</f>
        <v>electricity, residential, by combustion of hydrogen using CHP, allocated by exergy, transported by pipeline, produced by Steam Methane Reforming, with CCS using natural gas from Russia</v>
      </c>
      <c r="L2216">
        <f t="shared" si="140"/>
        <v>2</v>
      </c>
      <c r="M2216">
        <f t="shared" si="141"/>
        <v>-2.7128081775260964</v>
      </c>
      <c r="N2216">
        <v>1.05</v>
      </c>
      <c r="O2216" s="15">
        <v>1.2</v>
      </c>
      <c r="P2216">
        <v>1</v>
      </c>
      <c r="Q2216">
        <v>1.01</v>
      </c>
      <c r="R2216">
        <v>1.2</v>
      </c>
      <c r="S2216">
        <v>1.2</v>
      </c>
      <c r="T2216">
        <v>1.05</v>
      </c>
      <c r="U2216">
        <f t="shared" si="142"/>
        <v>0.16169679924070957</v>
      </c>
    </row>
    <row r="2217" spans="1:22" hidden="1" x14ac:dyDescent="0.2">
      <c r="A2217" t="s">
        <v>134</v>
      </c>
      <c r="B2217" s="45">
        <f>B2216*9</f>
        <v>0.59715199488909487</v>
      </c>
      <c r="C2217" t="s">
        <v>56</v>
      </c>
      <c r="D2217" t="s">
        <v>100</v>
      </c>
      <c r="F2217" t="s">
        <v>99</v>
      </c>
      <c r="H2217" t="s">
        <v>131</v>
      </c>
      <c r="I2217" t="s">
        <v>1058</v>
      </c>
      <c r="K2217" t="str">
        <f>B2171</f>
        <v>electricity, residential, by combustion of hydrogen using CHP, allocated by exergy, transported by pipeline, produced by Steam Methane Reforming, with CCS using natural gas from Russia</v>
      </c>
      <c r="L2217">
        <f t="shared" si="140"/>
        <v>2</v>
      </c>
      <c r="M2217">
        <f t="shared" si="141"/>
        <v>-0.51558360018987692</v>
      </c>
      <c r="N2217">
        <v>1.05</v>
      </c>
      <c r="O2217" s="15">
        <v>1.2</v>
      </c>
      <c r="P2217">
        <v>1</v>
      </c>
      <c r="Q2217">
        <v>1.01</v>
      </c>
      <c r="R2217">
        <v>1.2</v>
      </c>
      <c r="S2217">
        <v>1.2</v>
      </c>
      <c r="T2217">
        <v>1.05</v>
      </c>
      <c r="U2217">
        <f t="shared" si="142"/>
        <v>0.16169679924070957</v>
      </c>
    </row>
    <row r="2218" spans="1:22" hidden="1" x14ac:dyDescent="0.2">
      <c r="A2218" t="s">
        <v>135</v>
      </c>
      <c r="B2218" s="45">
        <f>912.5/1000000*B2216</f>
        <v>6.0544577259588785E-5</v>
      </c>
      <c r="C2218" t="s">
        <v>56</v>
      </c>
      <c r="D2218" t="s">
        <v>100</v>
      </c>
      <c r="F2218" t="s">
        <v>99</v>
      </c>
      <c r="H2218" t="s">
        <v>131</v>
      </c>
      <c r="I2218" t="s">
        <v>1217</v>
      </c>
      <c r="K2218" t="str">
        <f>B2171</f>
        <v>electricity, residential, by combustion of hydrogen using CHP, allocated by exergy, transported by pipeline, produced by Steam Methane Reforming, with CCS using natural gas from Russia</v>
      </c>
      <c r="L2218">
        <f t="shared" si="140"/>
        <v>2</v>
      </c>
      <c r="M2218">
        <f t="shared" si="141"/>
        <v>-9.712130650033723</v>
      </c>
      <c r="N2218">
        <v>1.05</v>
      </c>
      <c r="O2218" s="15">
        <v>1.2</v>
      </c>
      <c r="P2218">
        <v>1</v>
      </c>
      <c r="Q2218">
        <v>1.01</v>
      </c>
      <c r="R2218">
        <v>1.2</v>
      </c>
      <c r="S2218">
        <v>1.2</v>
      </c>
      <c r="T2218">
        <v>1.5</v>
      </c>
      <c r="U2218">
        <f t="shared" si="142"/>
        <v>0.25816898211842121</v>
      </c>
    </row>
    <row r="2219" spans="1:22" hidden="1" x14ac:dyDescent="0.2"/>
    <row r="2220" spans="1:22" hidden="1" x14ac:dyDescent="0.2">
      <c r="A2220" s="2" t="s">
        <v>50</v>
      </c>
      <c r="B2220" s="44" t="str">
        <f>IF(B2226="megajoule","heat","electricity")&amp;", residential, by "&amp;B2231&amp;" of "&amp;B2230&amp;" using "&amp;B2232&amp;IF(B2233&lt;&gt;0,", allocated by "&amp;B2233,"")&amp;", transported by "&amp;B2234&amp;", produced by "&amp;B2238&amp;" using "&amp;B2239&amp;" from "&amp;B2240</f>
        <v>electricity, residential, by conversion of hydrogen using fuel cell, PEM, allocated by exergy, transported by pipeline, produced by Steam Methane Reforming, with CCS using natural gas from Russia</v>
      </c>
    </row>
    <row r="2221" spans="1:22" hidden="1" x14ac:dyDescent="0.2">
      <c r="A2221" t="s">
        <v>51</v>
      </c>
      <c r="B2221" s="45" t="str">
        <f>"This dataset represents the supply of 1 "&amp;IF(B2226="megajoule","megajoule of heat","kilowatt hour of electricity")&amp;" in a residence, by "&amp;B2230&amp;" "&amp;B2231&amp;" in a "&amp;B2232&amp;". "&amp;" The hydrogen is transported by "&amp;B2234&amp;" over "&amp;B2235&amp;" km from regional storage. "&amp;" The "&amp;B2230&amp;" is produced by  "&amp;B2238&amp;", with "&amp;B2239&amp;" from "&amp;B2240&amp;" as feedstock. "&amp;A2242&amp;": "&amp;(B2242*100)&amp;"%. "&amp;A2243&amp;": "&amp;B2243&amp;". "&amp;A2244&amp;": "&amp;B2244&amp;". "&amp;A2245&amp;": "&amp;(B2245*100)&amp;"%. "&amp;A2246&amp;": "&amp;(B2246*100)&amp;"%. "&amp;A2247&amp;": "&amp;(B2247*100)&amp;"%. "&amp;A2248&amp;": "&amp;B2248&amp;". "&amp;A2249&amp;": "&amp;B2249&amp;". "&amp;A2250&amp;": "&amp;(B2250*100)&amp;"%. "&amp;A2251&amp;": "&amp;B2251&amp;". "&amp;A2252&amp;": "&amp;B2252&amp;". "&amp;A2253&amp;": "&amp;B2253&amp;". "&amp;A2254&amp;": "&amp;B2254&amp;".  For more information, refer to: "&amp;B2222</f>
        <v>This dataset represents the supply of 1 kilowatt hour of electricity in a residence, by hydrogen conversion in a fuel cell, PEM.  The hydrogen is transported by pipeline over 500 km from regional storage.  The hydrogen is produced by  Steam Methane Reforming, with CCS, with natural gas from Russia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2222" spans="1:22" hidden="1" x14ac:dyDescent="0.2">
      <c r="A2222" t="s">
        <v>63</v>
      </c>
      <c r="B2222" s="45" t="s">
        <v>660</v>
      </c>
    </row>
    <row r="2223" spans="1:22" hidden="1" x14ac:dyDescent="0.2">
      <c r="A2223" t="s">
        <v>52</v>
      </c>
      <c r="B2223" s="45" t="s">
        <v>64</v>
      </c>
    </row>
    <row r="2224" spans="1:22" hidden="1" x14ac:dyDescent="0.2">
      <c r="A2224" t="s">
        <v>48</v>
      </c>
      <c r="B2224" s="45" t="s">
        <v>992</v>
      </c>
    </row>
    <row r="2225" spans="1:2" hidden="1" x14ac:dyDescent="0.2">
      <c r="A2225" t="s">
        <v>54</v>
      </c>
      <c r="B2225" s="45" t="str">
        <f>INDEX(overview!$B$4:$R$338,MATCH(B2224,overview!$A$4:$A$338,0),MATCH(A2225,overview!$B$3:$R$3,0))</f>
        <v>electricity, from residential heating system</v>
      </c>
    </row>
    <row r="2226" spans="1:2" hidden="1" x14ac:dyDescent="0.2">
      <c r="A2226" t="s">
        <v>55</v>
      </c>
      <c r="B2226" s="45" t="str">
        <f>INDEX(overview!$B$4:$R$338,MATCH(B2224,overview!$A$4:$A$338,0),MATCH(A2226,overview!$B$3:$R$3,0))</f>
        <v>kilowatt hour</v>
      </c>
    </row>
    <row r="2227" spans="1:2" hidden="1" x14ac:dyDescent="0.2">
      <c r="A2227" t="s">
        <v>0</v>
      </c>
      <c r="B2227" s="45" t="str">
        <f>INDEX(overview!$B$4:$R$338,MATCH(B2224,overview!$A$4:$A$338,0),MATCH(A2227,overview!$B$3:$R$3,0))</f>
        <v>Switzerland</v>
      </c>
    </row>
    <row r="2228" spans="1:2" hidden="1" x14ac:dyDescent="0.2">
      <c r="A2228" t="s">
        <v>1</v>
      </c>
      <c r="B2228" s="45">
        <f>INDEX(overview!$B$4:$R$338,MATCH(B2224,overview!$A$4:$A$338,0),MATCH(A2228,overview!$B$3:$R$3,0))</f>
        <v>2020</v>
      </c>
    </row>
    <row r="2229" spans="1:2" hidden="1" x14ac:dyDescent="0.2">
      <c r="A2229" t="s">
        <v>2</v>
      </c>
      <c r="B2229" s="45" t="str">
        <f>INDEX(overview!$B$4:$R$338,MATCH(B2224,overview!$A$4:$A$338,0),MATCH(A2229,overview!$B$3:$R$3,0))</f>
        <v>1 kWh electricity</v>
      </c>
    </row>
    <row r="2230" spans="1:2" hidden="1" x14ac:dyDescent="0.2">
      <c r="A2230" t="s">
        <v>5</v>
      </c>
      <c r="B2230" s="45" t="str">
        <f>INDEX(overview!$B$4:$R$338,MATCH(B2224,overview!$A$4:$A$338,0),MATCH(A2230,overview!$B$3:$R$3,0))</f>
        <v>hydrogen</v>
      </c>
    </row>
    <row r="2231" spans="1:2" hidden="1" x14ac:dyDescent="0.2">
      <c r="A2231" t="s">
        <v>3</v>
      </c>
      <c r="B2231" s="45" t="str">
        <f>INDEX(overview!$B$4:$R$338,MATCH(B2224,overview!$A$4:$A$338,0),MATCH(A2231,overview!$B$3:$R$3,0))</f>
        <v>conversion</v>
      </c>
    </row>
    <row r="2232" spans="1:2" hidden="1" x14ac:dyDescent="0.2">
      <c r="A2232" t="s">
        <v>6</v>
      </c>
      <c r="B2232" s="45" t="str">
        <f>INDEX(overview!$B$4:$R$338,MATCH(B2224,overview!$A$4:$A$338,0),MATCH(A2232,overview!$B$3:$R$3,0))</f>
        <v>fuel cell, PEM</v>
      </c>
    </row>
    <row r="2233" spans="1:2" hidden="1" x14ac:dyDescent="0.2">
      <c r="A2233" t="s">
        <v>39</v>
      </c>
      <c r="B2233" s="45" t="str">
        <f>INDEX(overview!$B$4:$R$338,MATCH(B2224,overview!$A$4:$A$338,0),MATCH(A2233,overview!$B$3:$R$3,0))</f>
        <v>exergy</v>
      </c>
    </row>
    <row r="2234" spans="1:2" hidden="1" x14ac:dyDescent="0.2">
      <c r="A2234" t="s">
        <v>4</v>
      </c>
      <c r="B2234" s="45" t="str">
        <f>INDEX(overview!$B$4:$R$338,MATCH(B2224,overview!$A$4:$A$338,0),MATCH(A2234,overview!$B$3:$R$3,0))</f>
        <v>pipeline</v>
      </c>
    </row>
    <row r="2235" spans="1:2" hidden="1" x14ac:dyDescent="0.2">
      <c r="A2235" t="s">
        <v>38</v>
      </c>
      <c r="B2235" s="45">
        <f>INDEX(overview!$B$4:$R$338,MATCH(B2224,overview!$A$4:$A$338,0),MATCH(A2235,overview!$B$3:$R$3,0))</f>
        <v>500</v>
      </c>
    </row>
    <row r="2236" spans="1:2" hidden="1" x14ac:dyDescent="0.2">
      <c r="A2236" t="s">
        <v>12</v>
      </c>
      <c r="B2236" s="45" t="str">
        <f>INDEX(overview!$B$4:$R$338,MATCH(B2224,overview!$A$4:$A$338,0),MATCH(A2236,overview!$B$3:$R$3,0))</f>
        <v>Pressure vessel for stationary storage</v>
      </c>
    </row>
    <row r="2237" spans="1:2" hidden="1" x14ac:dyDescent="0.2">
      <c r="A2237" t="s">
        <v>34</v>
      </c>
      <c r="B2237" s="45">
        <f>INDEX(overview!$B$4:$R$338,MATCH(B2224,overview!$A$4:$A$338,0),MATCH(A2237,overview!$B$3:$R$3,0))</f>
        <v>0</v>
      </c>
    </row>
    <row r="2238" spans="1:2" hidden="1" x14ac:dyDescent="0.2">
      <c r="A2238" t="s">
        <v>15</v>
      </c>
      <c r="B2238" s="45" t="str">
        <f>INDEX(overview!$B$4:$R$338,MATCH(B2224,overview!$A$4:$A$338,0),MATCH(A2238,overview!$B$3:$R$3,0))</f>
        <v>Steam Methane Reforming, with CCS</v>
      </c>
    </row>
    <row r="2239" spans="1:2" hidden="1" x14ac:dyDescent="0.2">
      <c r="A2239" t="s">
        <v>14</v>
      </c>
      <c r="B2239" s="45" t="str">
        <f>INDEX(overview!$B$4:$R$338,MATCH(B2224,overview!$A$4:$A$338,0),MATCH(A2239,overview!$B$3:$R$3,0))</f>
        <v>natural gas</v>
      </c>
    </row>
    <row r="2240" spans="1:2" hidden="1" x14ac:dyDescent="0.2">
      <c r="A2240" t="s">
        <v>26</v>
      </c>
      <c r="B2240" s="45" t="str">
        <f>INDEX(overview!$B$4:$R$338,MATCH(B2224,overview!$A$4:$A$338,0),MATCH(A2240,overview!$B$3:$R$3,0))</f>
        <v>Russia</v>
      </c>
    </row>
    <row r="2241" spans="1:2" hidden="1" x14ac:dyDescent="0.2">
      <c r="A2241" t="s">
        <v>29</v>
      </c>
      <c r="B2241" s="45">
        <f>INDEX(overview!$B$4:$R$338,MATCH(B2224,overview!$A$4:$A$338,0),MATCH(A2241,overview!$B$3:$R$3,0))</f>
        <v>0</v>
      </c>
    </row>
    <row r="2242" spans="1:2" hidden="1" x14ac:dyDescent="0.2">
      <c r="A2242" t="str">
        <f>IF(B2226="megajoule","Heat","Electricity")&amp;" conversion efficiency [% LHV input]"</f>
        <v>Electricity conversion efficiency [% LHV input]</v>
      </c>
      <c r="B2242" s="46">
        <f>INDEX(parameters!$D$4:$N$20,MATCH(B2230&amp;B2232,parameters!$A$4:$A$20,0),MATCH(A2242,parameters!$D$3:$N$3,0))</f>
        <v>0.45</v>
      </c>
    </row>
    <row r="2243" spans="1:2" hidden="1" x14ac:dyDescent="0.2">
      <c r="A2243" t="str">
        <f>IF(B2226="megajoule","LHV [MJ/kg]","LHV [kWh/kg]")</f>
        <v>LHV [kWh/kg]</v>
      </c>
      <c r="B2243" s="47">
        <f>INDEX(parameters!$D$4:$N$20,MATCH(B2230&amp;B2232,parameters!$A$4:$A$20,0),MATCH(A2243,parameters!$D$3:$N$3,0))</f>
        <v>33.333333333333336</v>
      </c>
    </row>
    <row r="2244" spans="1:2" hidden="1" x14ac:dyDescent="0.2">
      <c r="A2244" t="s">
        <v>41</v>
      </c>
      <c r="B2244" s="48">
        <f>INDEX(parameters!$D$4:$N$20,MATCH(B2230&amp;B2232,parameters!$A$4:$A$20,0),MATCH(A2244,parameters!$D$3:$N$3,0))</f>
        <v>2.6666666666666665E-2</v>
      </c>
    </row>
    <row r="2245" spans="1:2" hidden="1" x14ac:dyDescent="0.2">
      <c r="A2245" t="s">
        <v>45</v>
      </c>
      <c r="B2245" s="46">
        <f>INDEX(parameters!$D$4:$N$20,MATCH(B2230&amp;B2232,parameters!$A$4:$A$20,0),MATCH(A2245,parameters!$D$3:$N$3,0))</f>
        <v>0</v>
      </c>
    </row>
    <row r="2246" spans="1:2" hidden="1" x14ac:dyDescent="0.2">
      <c r="A2246" t="s">
        <v>46</v>
      </c>
      <c r="B2246" s="46">
        <f>INDEX(parameters!$D$4:$N$20,MATCH(B2230&amp;B2232,parameters!$A$4:$A$20,0),MATCH(A2246,parameters!$D$3:$N$3,0))</f>
        <v>1.4999999999999999E-2</v>
      </c>
    </row>
    <row r="2247" spans="1:2" hidden="1" x14ac:dyDescent="0.2">
      <c r="A2247" t="s">
        <v>43</v>
      </c>
      <c r="B2247" s="46">
        <f>INDEX(parameters!$D$4:$N$20,MATCH(B2230&amp;B2232,parameters!$A$4:$A$20,0),MATCH(A2247,parameters!$D$3:$N$3,0))</f>
        <v>0</v>
      </c>
    </row>
    <row r="2248" spans="1:2" hidden="1" x14ac:dyDescent="0.2">
      <c r="A2248" t="s">
        <v>44</v>
      </c>
      <c r="B2248" s="46">
        <f>INDEX(parameters!$D$4:$N$20,MATCH(B2230&amp;B2232,parameters!$A$4:$A$20,0),MATCH(A2248,parameters!$D$3:$N$3,0))</f>
        <v>0</v>
      </c>
    </row>
    <row r="2249" spans="1:2" hidden="1" x14ac:dyDescent="0.2">
      <c r="A2249" t="s">
        <v>634</v>
      </c>
      <c r="B2249" s="50">
        <f>INDEX(parameters!$D$4:$Y$20,MATCH(B2230&amp;B2232,parameters!$A$4:$A$20,0),MATCH(A2249,parameters!$D$3:$Y$3,0))</f>
        <v>1.8947368421052633</v>
      </c>
    </row>
    <row r="2250" spans="1:2" hidden="1" x14ac:dyDescent="0.2">
      <c r="A2250" t="s">
        <v>82</v>
      </c>
      <c r="B2250" s="46">
        <f>IF(B2241&lt;&gt;0,VLOOKUP(B2241,parameters!A1537:B1539,2,0),0)</f>
        <v>0</v>
      </c>
    </row>
    <row r="2251" spans="1:2" hidden="1" x14ac:dyDescent="0.2">
      <c r="A2251" t="s">
        <v>548</v>
      </c>
      <c r="B2251" s="50">
        <f>INDEX(parameters!$D$4:$P$20,MATCH(B2230&amp;B2232,parameters!$A$4:$A$20,0),MATCH(A2251,parameters!$D$3:$P$3,0))</f>
        <v>0.8</v>
      </c>
    </row>
    <row r="2252" spans="1:2" hidden="1" x14ac:dyDescent="0.2">
      <c r="A2252" t="s">
        <v>547</v>
      </c>
      <c r="B2252" s="51">
        <f>INDEX(parameters!$D$4:$P$20,MATCH(B2230&amp;B2232,parameters!$A$4:$A$20,0),MATCH(A2252,parameters!$D$3:$P$3,0))</f>
        <v>4.8780487804878048</v>
      </c>
    </row>
    <row r="2253" spans="1:2" hidden="1" x14ac:dyDescent="0.2">
      <c r="A2253" t="s">
        <v>630</v>
      </c>
      <c r="B2253" s="51">
        <f>INDEX(parameters!$D$4:$T$20,MATCH(B2230&amp;B2232,parameters!$A$4:$A$20,0),MATCH(A2253,parameters!$D$3:$T$3,0))</f>
        <v>4100</v>
      </c>
    </row>
    <row r="2254" spans="1:2" hidden="1" x14ac:dyDescent="0.2">
      <c r="A2254" t="s">
        <v>1005</v>
      </c>
      <c r="B2254" s="50">
        <f>IF(B2226="megajoule",SUMIFS(allocation!$I$4:$I$30,allocation!$B$4:$B$30,B2232,allocation!$C$4:$C$30,B2233),SUMIFS(allocation!$J$4:$J$30,allocation!$B$4:$B$30,B2232,allocation!$C$4:$C$30,B2233))</f>
        <v>0.86066019201025545</v>
      </c>
    </row>
    <row r="2255" spans="1:2" hidden="1" x14ac:dyDescent="0.2">
      <c r="A2255" t="s">
        <v>1050</v>
      </c>
      <c r="B2255" s="51">
        <f>INDEX(parameters!$D$4:$AB$20,MATCH(B2230&amp;B2232,parameters!$A$4:$A$20,0),MATCH(A2255,parameters!$D$3:$AB$3,0))</f>
        <v>10.221606648199446</v>
      </c>
    </row>
    <row r="2256" spans="1:2" hidden="1" x14ac:dyDescent="0.2"/>
    <row r="2257" spans="1:22" hidden="1" x14ac:dyDescent="0.2">
      <c r="A2257" s="3" t="s">
        <v>57</v>
      </c>
    </row>
    <row r="2258" spans="1:22" hidden="1" x14ac:dyDescent="0.2">
      <c r="A2258" s="2" t="s">
        <v>58</v>
      </c>
      <c r="B2258" s="44" t="s">
        <v>59</v>
      </c>
      <c r="C2258" s="2" t="s">
        <v>55</v>
      </c>
      <c r="D2258" s="2" t="s">
        <v>60</v>
      </c>
      <c r="E2258" s="2" t="s">
        <v>52</v>
      </c>
      <c r="F2258" s="2" t="s">
        <v>61</v>
      </c>
      <c r="G2258" s="2" t="s">
        <v>54</v>
      </c>
      <c r="H2258" s="2" t="s">
        <v>87</v>
      </c>
      <c r="I2258" s="2" t="s">
        <v>51</v>
      </c>
      <c r="J2258" s="2" t="s">
        <v>138</v>
      </c>
      <c r="K2258" s="2" t="s">
        <v>136</v>
      </c>
      <c r="L2258" s="2" t="s">
        <v>221</v>
      </c>
      <c r="M2258" s="2" t="s">
        <v>379</v>
      </c>
      <c r="N2258" s="2" t="s">
        <v>1059</v>
      </c>
      <c r="O2258" s="2" t="s">
        <v>1060</v>
      </c>
      <c r="P2258" s="2" t="s">
        <v>1061</v>
      </c>
      <c r="Q2258" s="2" t="s">
        <v>1062</v>
      </c>
      <c r="R2258" s="2" t="s">
        <v>1063</v>
      </c>
      <c r="S2258" s="2" t="s">
        <v>1064</v>
      </c>
      <c r="T2258" s="2" t="s">
        <v>1065</v>
      </c>
      <c r="U2258" s="2" t="s">
        <v>380</v>
      </c>
      <c r="V2258" s="2" t="s">
        <v>1128</v>
      </c>
    </row>
    <row r="2259" spans="1:22" x14ac:dyDescent="0.2">
      <c r="A2259" t="str">
        <f>B2220</f>
        <v>electricity, residential, by conversion of hydrogen using fuel cell, PEM, allocated by exergy, transported by pipeline, produced by Steam Methane Reforming, with CCS using natural gas from Russia</v>
      </c>
      <c r="B2259" s="45">
        <v>1</v>
      </c>
      <c r="C2259" t="str">
        <f>B2226</f>
        <v>kilowatt hour</v>
      </c>
      <c r="E2259" t="str">
        <f>B2223</f>
        <v>CH</v>
      </c>
      <c r="F2259" t="s">
        <v>62</v>
      </c>
      <c r="G2259" t="str">
        <f>B2225</f>
        <v>electricity, from residential heating system</v>
      </c>
      <c r="K2259" t="str">
        <f>B2220</f>
        <v>electricity, residential, by conversion of hydrogen using fuel cell, PEM, allocated by exergy, transported by pipeline, produced by Steam Methane Reforming, with CCS using natural gas from Russia</v>
      </c>
    </row>
    <row r="2260" spans="1:22" hidden="1" x14ac:dyDescent="0.2">
      <c r="A2260" t="str">
        <f>VLOOKUP(J2260,'dataset mapping'!$A$4:$E$69,2,0)</f>
        <v>fuel cell system assembly, 1 kWe, proton exchange membrane (PEM)</v>
      </c>
      <c r="B2260" s="52">
        <f>(1/(B2249*B2253*B2252))*B2254</f>
        <v>2.2711866178048405E-5</v>
      </c>
      <c r="C2260" t="str">
        <f>VLOOKUP(J2260,'dataset mapping'!$A$4:$E$69,5,0)</f>
        <v>unit</v>
      </c>
      <c r="E2260" t="str">
        <f>VLOOKUP(J2260,'dataset mapping'!$A$4:$E$69,4,0)</f>
        <v>GLO</v>
      </c>
      <c r="F2260" t="s">
        <v>86</v>
      </c>
      <c r="G2260" t="str">
        <f>VLOOKUP(J2260,'dataset mapping'!$A$4:$E$69,3,0)</f>
        <v>fuel cell system, 1 kWe, proton exchange membrane (PEM)</v>
      </c>
      <c r="H2260" t="s">
        <v>88</v>
      </c>
      <c r="I2260" t="s">
        <v>272</v>
      </c>
      <c r="J2260" t="s">
        <v>273</v>
      </c>
      <c r="K2260" t="str">
        <f>B2220</f>
        <v>electricity, residential, by conversion of hydrogen using fuel cell, PEM, allocated by exergy, transported by pipeline, produced by Steam Methane Reforming, with CCS using natural gas from Russia</v>
      </c>
      <c r="L2260">
        <f t="shared" ref="L2260:L2262" si="143">IF(OR(B2260&lt;0,B2260=0),1,2)</f>
        <v>2</v>
      </c>
      <c r="M2260">
        <f t="shared" ref="M2260:M2262" si="144">IF(L2260=2,LN(B2260),"")</f>
        <v>-10.692623030936341</v>
      </c>
      <c r="N2260">
        <v>1</v>
      </c>
      <c r="O2260" s="15">
        <v>1.2</v>
      </c>
      <c r="P2260">
        <v>1</v>
      </c>
      <c r="Q2260">
        <v>1.01</v>
      </c>
      <c r="R2260">
        <v>1.2</v>
      </c>
      <c r="S2260">
        <v>1.2</v>
      </c>
      <c r="T2260">
        <v>3</v>
      </c>
      <c r="U2260">
        <f t="shared" ref="U2260:U2262" si="145">LN(SQRT(EXP(
SQRT(
+POWER(LN(N2260),2)
+POWER(LN(O2260),2)
+POWER(LN(P2260),2)
+POWER(LN(Q2260),2)
+POWER(LN(R2260),2)
+POWER(LN(S2260),2)
+POWER(LN(T2260),2)
)
)))</f>
        <v>0.57157051623399524</v>
      </c>
    </row>
    <row r="2261" spans="1:22" hidden="1" x14ac:dyDescent="0.2">
      <c r="A2261" s="45" t="str">
        <f>"hydrogen supply, transported by "&amp;B2234&amp;", produced by "&amp;B2238&amp;" using "&amp;B2239&amp;" from "&amp;B2240</f>
        <v>hydrogen supply, transported by pipeline, produced by Steam Methane Reforming, with CCS using natural gas from Russia</v>
      </c>
      <c r="B2261" s="53">
        <f>(B2259/B2243)/B2242*B2254</f>
        <v>5.7377346134017029E-2</v>
      </c>
      <c r="C2261" t="s">
        <v>56</v>
      </c>
      <c r="E2261" t="s">
        <v>64</v>
      </c>
      <c r="F2261" t="s">
        <v>86</v>
      </c>
      <c r="G2261" s="67" t="s">
        <v>1129</v>
      </c>
      <c r="H2261" t="s">
        <v>76</v>
      </c>
      <c r="I2261" t="s">
        <v>1054</v>
      </c>
      <c r="J2261" t="s">
        <v>365</v>
      </c>
      <c r="K2261" t="str">
        <f>B2220</f>
        <v>electricity, residential, by conversion of hydrogen using fuel cell, PEM, allocated by exergy, transported by pipeline, produced by Steam Methane Reforming, with CCS using natural gas from Russia</v>
      </c>
      <c r="L2261">
        <f t="shared" si="143"/>
        <v>2</v>
      </c>
      <c r="M2261">
        <f t="shared" si="144"/>
        <v>-2.8581057202127536</v>
      </c>
      <c r="N2261">
        <v>1</v>
      </c>
      <c r="O2261" s="15">
        <v>1.2</v>
      </c>
      <c r="P2261">
        <v>1</v>
      </c>
      <c r="Q2261">
        <v>1.01</v>
      </c>
      <c r="R2261">
        <v>1.2</v>
      </c>
      <c r="S2261">
        <v>1.2</v>
      </c>
      <c r="T2261">
        <v>1.05</v>
      </c>
      <c r="U2261">
        <f t="shared" si="145"/>
        <v>0.15984597228197622</v>
      </c>
    </row>
    <row r="2262" spans="1:22" hidden="1" x14ac:dyDescent="0.2">
      <c r="A2262" t="s">
        <v>134</v>
      </c>
      <c r="B2262" s="53">
        <f>B2261*9</f>
        <v>0.51639611520615325</v>
      </c>
      <c r="C2262" t="s">
        <v>56</v>
      </c>
      <c r="D2262" t="s">
        <v>100</v>
      </c>
      <c r="F2262" t="s">
        <v>99</v>
      </c>
      <c r="H2262" t="s">
        <v>131</v>
      </c>
      <c r="I2262" t="s">
        <v>1057</v>
      </c>
      <c r="K2262" t="str">
        <f>B2220</f>
        <v>electricity, residential, by conversion of hydrogen using fuel cell, PEM, allocated by exergy, transported by pipeline, produced by Steam Methane Reforming, with CCS using natural gas from Russia</v>
      </c>
      <c r="L2262">
        <f t="shared" si="143"/>
        <v>2</v>
      </c>
      <c r="M2262">
        <f t="shared" si="144"/>
        <v>-0.6608811428765341</v>
      </c>
      <c r="N2262">
        <v>1</v>
      </c>
      <c r="O2262" s="15">
        <v>1.2</v>
      </c>
      <c r="P2262">
        <v>1</v>
      </c>
      <c r="Q2262">
        <v>1.01</v>
      </c>
      <c r="R2262">
        <v>1.2</v>
      </c>
      <c r="S2262">
        <v>1.2</v>
      </c>
      <c r="T2262">
        <v>1.05</v>
      </c>
      <c r="U2262">
        <f t="shared" si="145"/>
        <v>0.15984597228197622</v>
      </c>
    </row>
    <row r="2263" spans="1:22" hidden="1" x14ac:dyDescent="0.2"/>
    <row r="2264" spans="1:22" hidden="1" x14ac:dyDescent="0.2">
      <c r="A2264" s="2" t="s">
        <v>50</v>
      </c>
      <c r="B2264" s="44" t="str">
        <f>IF(B2270="megajoule","heat","electricity")&amp;", residential, by "&amp;B2275&amp;" of "&amp;B2274&amp;" using "&amp;B2276&amp;IF(B2277&lt;&gt;0,", allocated by "&amp;B2277,"")&amp;", transported by "&amp;B2278&amp;", produced by "&amp;B2282&amp;" using "&amp;B2283&amp;" from "&amp;B2284</f>
        <v>electricity, residential, by conversion of hydrogen using fuel cell, SOFC, allocated by exergy, transported by pipeline, produced by Steam Methane Reforming, with CCS using natural gas from Russia</v>
      </c>
    </row>
    <row r="2265" spans="1:22" hidden="1" x14ac:dyDescent="0.2">
      <c r="A2265" t="s">
        <v>51</v>
      </c>
      <c r="B2265" s="45" t="str">
        <f>"This dataset represents the supply of 1 "&amp;IF(B2270="megajoule","megajoule of heat","kilowatt hour of electricity")&amp;" in a residence, by "&amp;B2274&amp;" "&amp;B2275&amp;" in a "&amp;B2276&amp;". "&amp;" The hydrogen is transported by "&amp;B2278&amp;" over "&amp;B2279&amp;" km from regional storage. "&amp;" The "&amp;B2274&amp;" is produced by  "&amp;B2282&amp;", with "&amp;B2283&amp;" from "&amp;B2284&amp;" as feedstock. "&amp;A2286&amp;": "&amp;(B2286*100)&amp;"%. "&amp;A2287&amp;": "&amp;B2287&amp;". "&amp;A2288&amp;": "&amp;B2288&amp;". "&amp;A2289&amp;": "&amp;(B2289*100)&amp;"%. "&amp;A2290&amp;": "&amp;(B2290*100)&amp;"%. "&amp;A2291&amp;": "&amp;(B2291*100)&amp;"%. "&amp;A2292&amp;": "&amp;B2292&amp;". "&amp;A2293&amp;": "&amp;B2293&amp;". "&amp;A2294&amp;": "&amp;(B2294*100)&amp;"%. "&amp;A2295&amp;": "&amp;B2295&amp;". "&amp;A2296&amp;": "&amp;B2296&amp;". "&amp;A2297&amp;": "&amp;B2297&amp;". "&amp;A2298&amp;": "&amp;B2298&amp;".  For more information, refer to: "&amp;B2266</f>
        <v>This dataset represents the supply of 1 kilowatt hour of electricity in a residence, by hydrogen conversion in a fuel cell, SOFC.  The hydrogen is transported by pipeline over 500 km from regional storage.  The hydrogen is produced by  Steam Methane Reforming, with CCS, with natural gas from Russia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2266" spans="1:22" hidden="1" x14ac:dyDescent="0.2">
      <c r="A2266" t="s">
        <v>63</v>
      </c>
      <c r="B2266" s="45" t="s">
        <v>660</v>
      </c>
    </row>
    <row r="2267" spans="1:22" hidden="1" x14ac:dyDescent="0.2">
      <c r="A2267" t="s">
        <v>52</v>
      </c>
      <c r="B2267" s="45" t="s">
        <v>64</v>
      </c>
    </row>
    <row r="2268" spans="1:22" hidden="1" x14ac:dyDescent="0.2">
      <c r="A2268" t="s">
        <v>48</v>
      </c>
      <c r="B2268" s="45" t="s">
        <v>993</v>
      </c>
    </row>
    <row r="2269" spans="1:22" hidden="1" x14ac:dyDescent="0.2">
      <c r="A2269" t="s">
        <v>54</v>
      </c>
      <c r="B2269" s="45" t="str">
        <f>INDEX(overview!$B$4:$R$338,MATCH(B2268,overview!$A$4:$A$338,0),MATCH(A2269,overview!$B$3:$R$3,0))</f>
        <v>electricity, from residential heating system</v>
      </c>
    </row>
    <row r="2270" spans="1:22" hidden="1" x14ac:dyDescent="0.2">
      <c r="A2270" t="s">
        <v>55</v>
      </c>
      <c r="B2270" s="45" t="str">
        <f>INDEX(overview!$B$4:$R$338,MATCH(B2268,overview!$A$4:$A$338,0),MATCH(A2270,overview!$B$3:$R$3,0))</f>
        <v>kilowatt hour</v>
      </c>
    </row>
    <row r="2271" spans="1:22" hidden="1" x14ac:dyDescent="0.2">
      <c r="A2271" t="s">
        <v>0</v>
      </c>
      <c r="B2271" s="45" t="str">
        <f>INDEX(overview!$B$4:$R$338,MATCH(B2268,overview!$A$4:$A$338,0),MATCH(A2271,overview!$B$3:$R$3,0))</f>
        <v>Switzerland</v>
      </c>
    </row>
    <row r="2272" spans="1:22" hidden="1" x14ac:dyDescent="0.2">
      <c r="A2272" t="s">
        <v>1</v>
      </c>
      <c r="B2272" s="45">
        <f>INDEX(overview!$B$4:$R$338,MATCH(B2268,overview!$A$4:$A$338,0),MATCH(A2272,overview!$B$3:$R$3,0))</f>
        <v>2020</v>
      </c>
    </row>
    <row r="2273" spans="1:2" hidden="1" x14ac:dyDescent="0.2">
      <c r="A2273" t="s">
        <v>2</v>
      </c>
      <c r="B2273" s="45" t="str">
        <f>INDEX(overview!$B$4:$R$338,MATCH(B2268,overview!$A$4:$A$338,0),MATCH(A2273,overview!$B$3:$R$3,0))</f>
        <v>1 kWh electricity</v>
      </c>
    </row>
    <row r="2274" spans="1:2" hidden="1" x14ac:dyDescent="0.2">
      <c r="A2274" t="s">
        <v>5</v>
      </c>
      <c r="B2274" s="45" t="str">
        <f>INDEX(overview!$B$4:$R$338,MATCH(B2268,overview!$A$4:$A$338,0),MATCH(A2274,overview!$B$3:$R$3,0))</f>
        <v>hydrogen</v>
      </c>
    </row>
    <row r="2275" spans="1:2" hidden="1" x14ac:dyDescent="0.2">
      <c r="A2275" t="s">
        <v>3</v>
      </c>
      <c r="B2275" s="45" t="str">
        <f>INDEX(overview!$B$4:$R$338,MATCH(B2268,overview!$A$4:$A$338,0),MATCH(A2275,overview!$B$3:$R$3,0))</f>
        <v>conversion</v>
      </c>
    </row>
    <row r="2276" spans="1:2" hidden="1" x14ac:dyDescent="0.2">
      <c r="A2276" t="s">
        <v>6</v>
      </c>
      <c r="B2276" s="45" t="str">
        <f>INDEX(overview!$B$4:$R$338,MATCH(B2268,overview!$A$4:$A$338,0),MATCH(A2276,overview!$B$3:$R$3,0))</f>
        <v>fuel cell, SOFC</v>
      </c>
    </row>
    <row r="2277" spans="1:2" hidden="1" x14ac:dyDescent="0.2">
      <c r="A2277" t="s">
        <v>39</v>
      </c>
      <c r="B2277" s="45" t="str">
        <f>INDEX(overview!$B$4:$R$338,MATCH(B2268,overview!$A$4:$A$338,0),MATCH(A2277,overview!$B$3:$R$3,0))</f>
        <v>exergy</v>
      </c>
    </row>
    <row r="2278" spans="1:2" hidden="1" x14ac:dyDescent="0.2">
      <c r="A2278" t="s">
        <v>4</v>
      </c>
      <c r="B2278" s="45" t="str">
        <f>INDEX(overview!$B$4:$R$338,MATCH(B2268,overview!$A$4:$A$338,0),MATCH(A2278,overview!$B$3:$R$3,0))</f>
        <v>pipeline</v>
      </c>
    </row>
    <row r="2279" spans="1:2" hidden="1" x14ac:dyDescent="0.2">
      <c r="A2279" t="s">
        <v>38</v>
      </c>
      <c r="B2279" s="45">
        <f>INDEX(overview!$B$4:$R$338,MATCH(B2268,overview!$A$4:$A$338,0),MATCH(A2279,overview!$B$3:$R$3,0))</f>
        <v>500</v>
      </c>
    </row>
    <row r="2280" spans="1:2" hidden="1" x14ac:dyDescent="0.2">
      <c r="A2280" t="s">
        <v>12</v>
      </c>
      <c r="B2280" s="45" t="str">
        <f>INDEX(overview!$B$4:$R$338,MATCH(B2268,overview!$A$4:$A$338,0),MATCH(A2280,overview!$B$3:$R$3,0))</f>
        <v>Pressure vessel for stationary storage</v>
      </c>
    </row>
    <row r="2281" spans="1:2" hidden="1" x14ac:dyDescent="0.2">
      <c r="A2281" t="s">
        <v>34</v>
      </c>
      <c r="B2281" s="45">
        <f>INDEX(overview!$B$4:$R$338,MATCH(B2268,overview!$A$4:$A$338,0),MATCH(A2281,overview!$B$3:$R$3,0))</f>
        <v>0</v>
      </c>
    </row>
    <row r="2282" spans="1:2" hidden="1" x14ac:dyDescent="0.2">
      <c r="A2282" t="s">
        <v>15</v>
      </c>
      <c r="B2282" s="45" t="str">
        <f>INDEX(overview!$B$4:$R$338,MATCH(B2268,overview!$A$4:$A$338,0),MATCH(A2282,overview!$B$3:$R$3,0))</f>
        <v>Steam Methane Reforming, with CCS</v>
      </c>
    </row>
    <row r="2283" spans="1:2" hidden="1" x14ac:dyDescent="0.2">
      <c r="A2283" t="s">
        <v>14</v>
      </c>
      <c r="B2283" s="45" t="str">
        <f>INDEX(overview!$B$4:$R$338,MATCH(B2268,overview!$A$4:$A$338,0),MATCH(A2283,overview!$B$3:$R$3,0))</f>
        <v>natural gas</v>
      </c>
    </row>
    <row r="2284" spans="1:2" hidden="1" x14ac:dyDescent="0.2">
      <c r="A2284" t="s">
        <v>26</v>
      </c>
      <c r="B2284" s="45" t="str">
        <f>INDEX(overview!$B$4:$R$338,MATCH(B2268,overview!$A$4:$A$338,0),MATCH(A2284,overview!$B$3:$R$3,0))</f>
        <v>Russia</v>
      </c>
    </row>
    <row r="2285" spans="1:2" hidden="1" x14ac:dyDescent="0.2">
      <c r="A2285" t="s">
        <v>29</v>
      </c>
      <c r="B2285" s="45">
        <f>INDEX(overview!$B$4:$R$338,MATCH(B2268,overview!$A$4:$A$338,0),MATCH(A2285,overview!$B$3:$R$3,0))</f>
        <v>0</v>
      </c>
    </row>
    <row r="2286" spans="1:2" hidden="1" x14ac:dyDescent="0.2">
      <c r="A2286" t="str">
        <f>IF(B2270="megajoule","Heat","Electricity")&amp;" conversion efficiency [% LHV input]"</f>
        <v>Electricity conversion efficiency [% LHV input]</v>
      </c>
      <c r="B2286" s="46">
        <f>INDEX(parameters!$D$4:$N$20,MATCH(B2274&amp;B2276,parameters!$A$4:$A$20,0),MATCH(A2286,parameters!$D$3:$N$3,0))</f>
        <v>0.47</v>
      </c>
    </row>
    <row r="2287" spans="1:2" hidden="1" x14ac:dyDescent="0.2">
      <c r="A2287" t="str">
        <f>IF(B2270="megajoule","LHV [MJ/kg]","LHV [kWh/kg]")</f>
        <v>LHV [kWh/kg]</v>
      </c>
      <c r="B2287" s="47">
        <f>INDEX(parameters!$D$4:$N$20,MATCH(B2274&amp;B2276,parameters!$A$4:$A$20,0),MATCH(A2287,parameters!$D$3:$N$3,0))</f>
        <v>33.333333333333336</v>
      </c>
    </row>
    <row r="2288" spans="1:2" hidden="1" x14ac:dyDescent="0.2">
      <c r="A2288" t="s">
        <v>41</v>
      </c>
      <c r="B2288" s="48">
        <f>INDEX(parameters!$D$4:$N$20,MATCH(B2274&amp;B2276,parameters!$A$4:$A$20,0),MATCH(A2288,parameters!$D$3:$N$3,0))</f>
        <v>2.6666666666666665E-2</v>
      </c>
    </row>
    <row r="2289" spans="1:22" hidden="1" x14ac:dyDescent="0.2">
      <c r="A2289" t="s">
        <v>45</v>
      </c>
      <c r="B2289" s="46">
        <f>INDEX(parameters!$D$4:$N$20,MATCH(B2274&amp;B2276,parameters!$A$4:$A$20,0),MATCH(A2289,parameters!$D$3:$N$3,0))</f>
        <v>0</v>
      </c>
    </row>
    <row r="2290" spans="1:22" hidden="1" x14ac:dyDescent="0.2">
      <c r="A2290" t="s">
        <v>46</v>
      </c>
      <c r="B2290" s="46">
        <f>INDEX(parameters!$D$4:$N$20,MATCH(B2274&amp;B2276,parameters!$A$4:$A$20,0),MATCH(A2290,parameters!$D$3:$N$3,0))</f>
        <v>1.4999999999999999E-2</v>
      </c>
    </row>
    <row r="2291" spans="1:22" hidden="1" x14ac:dyDescent="0.2">
      <c r="A2291" t="s">
        <v>43</v>
      </c>
      <c r="B2291" s="46">
        <f>INDEX(parameters!$D$4:$N$20,MATCH(B2274&amp;B2276,parameters!$A$4:$A$20,0),MATCH(A2291,parameters!$D$3:$N$3,0))</f>
        <v>0</v>
      </c>
    </row>
    <row r="2292" spans="1:22" hidden="1" x14ac:dyDescent="0.2">
      <c r="A2292" t="s">
        <v>44</v>
      </c>
      <c r="B2292" s="46">
        <f>INDEX(parameters!$D$4:$N$20,MATCH(B2274&amp;B2276,parameters!$A$4:$A$20,0),MATCH(A2292,parameters!$D$3:$N$3,0))</f>
        <v>0</v>
      </c>
    </row>
    <row r="2293" spans="1:22" hidden="1" x14ac:dyDescent="0.2">
      <c r="A2293" t="s">
        <v>634</v>
      </c>
      <c r="B2293" s="50">
        <f>INDEX(parameters!$D$4:$Y$20,MATCH(B2274&amp;B2276,parameters!$A$4:$A$20,0),MATCH(A2293,parameters!$D$3:$Y$3,0))</f>
        <v>225</v>
      </c>
      <c r="D2293" s="8"/>
    </row>
    <row r="2294" spans="1:22" hidden="1" x14ac:dyDescent="0.2">
      <c r="A2294" t="s">
        <v>82</v>
      </c>
      <c r="B2294" s="46">
        <f>IF(B2285&lt;&gt;0,VLOOKUP(B2285,parameters!A1586:B1588,2,0),0)</f>
        <v>0</v>
      </c>
    </row>
    <row r="2295" spans="1:22" hidden="1" x14ac:dyDescent="0.2">
      <c r="A2295" t="s">
        <v>548</v>
      </c>
      <c r="B2295" s="50">
        <f>INDEX(parameters!$D$4:$P$20,MATCH(B2274&amp;B2276,parameters!$A$4:$A$20,0),MATCH(A2295,parameters!$D$3:$P$3,0))</f>
        <v>100</v>
      </c>
    </row>
    <row r="2296" spans="1:22" hidden="1" x14ac:dyDescent="0.2">
      <c r="A2296" t="s">
        <v>547</v>
      </c>
      <c r="B2296" s="51">
        <f>INDEX(parameters!$D$4:$P$20,MATCH(B2274&amp;B2276,parameters!$A$4:$A$20,0),MATCH(A2296,parameters!$D$3:$P$3,0))</f>
        <v>6</v>
      </c>
    </row>
    <row r="2297" spans="1:22" hidden="1" x14ac:dyDescent="0.2">
      <c r="A2297" t="s">
        <v>630</v>
      </c>
      <c r="B2297" s="51">
        <f>INDEX(parameters!$D$4:$T$20,MATCH(B2274&amp;B2276,parameters!$A$4:$A$20,0),MATCH(A2297,parameters!$D$3:$T$3,0))</f>
        <v>4100</v>
      </c>
    </row>
    <row r="2298" spans="1:22" hidden="1" x14ac:dyDescent="0.2">
      <c r="A2298" t="s">
        <v>1005</v>
      </c>
      <c r="B2298" s="50">
        <f>IF(B2270="megajoule",SUMIFS(allocation!$I$4:$I$30,allocation!$B$4:$B$30,B2276,allocation!$C$4:$C$30,B2277),SUMIFS(allocation!$J$4:$J$30,allocation!$B$4:$B$30,B2276,allocation!$C$4:$C$30,B2277))</f>
        <v>0.86412493489600906</v>
      </c>
    </row>
    <row r="2299" spans="1:22" hidden="1" x14ac:dyDescent="0.2">
      <c r="A2299" t="s">
        <v>1050</v>
      </c>
      <c r="B2299" s="51">
        <f>INDEX(parameters!$D$4:$AB$20,MATCH(B2274&amp;B2276,parameters!$A$4:$A$20,0),MATCH(A2299,parameters!$D$3:$AB$3,0))</f>
        <v>1153.1249999999998</v>
      </c>
    </row>
    <row r="2300" spans="1:22" hidden="1" x14ac:dyDescent="0.2"/>
    <row r="2301" spans="1:22" hidden="1" x14ac:dyDescent="0.2">
      <c r="A2301" s="3" t="s">
        <v>57</v>
      </c>
    </row>
    <row r="2302" spans="1:22" hidden="1" x14ac:dyDescent="0.2">
      <c r="A2302" s="2" t="s">
        <v>58</v>
      </c>
      <c r="B2302" s="44" t="s">
        <v>59</v>
      </c>
      <c r="C2302" s="2" t="s">
        <v>55</v>
      </c>
      <c r="D2302" s="2" t="s">
        <v>60</v>
      </c>
      <c r="E2302" s="2" t="s">
        <v>52</v>
      </c>
      <c r="F2302" s="2" t="s">
        <v>61</v>
      </c>
      <c r="G2302" s="2" t="s">
        <v>54</v>
      </c>
      <c r="H2302" s="2" t="s">
        <v>87</v>
      </c>
      <c r="I2302" s="2" t="s">
        <v>51</v>
      </c>
      <c r="J2302" s="2" t="s">
        <v>138</v>
      </c>
      <c r="K2302" s="2" t="s">
        <v>136</v>
      </c>
      <c r="L2302" s="2" t="s">
        <v>221</v>
      </c>
      <c r="M2302" s="2" t="s">
        <v>379</v>
      </c>
      <c r="N2302" s="2" t="s">
        <v>1059</v>
      </c>
      <c r="O2302" s="2" t="s">
        <v>1060</v>
      </c>
      <c r="P2302" s="2" t="s">
        <v>1061</v>
      </c>
      <c r="Q2302" s="2" t="s">
        <v>1062</v>
      </c>
      <c r="R2302" s="2" t="s">
        <v>1063</v>
      </c>
      <c r="S2302" s="2" t="s">
        <v>1064</v>
      </c>
      <c r="T2302" s="2" t="s">
        <v>1065</v>
      </c>
      <c r="U2302" s="2" t="s">
        <v>380</v>
      </c>
      <c r="V2302" s="2" t="s">
        <v>1128</v>
      </c>
    </row>
    <row r="2303" spans="1:22" x14ac:dyDescent="0.2">
      <c r="A2303" t="str">
        <f>B2264</f>
        <v>electricity, residential, by conversion of hydrogen using fuel cell, SOFC, allocated by exergy, transported by pipeline, produced by Steam Methane Reforming, with CCS using natural gas from Russia</v>
      </c>
      <c r="B2303" s="45">
        <v>1</v>
      </c>
      <c r="C2303" t="str">
        <f>B2270</f>
        <v>kilowatt hour</v>
      </c>
      <c r="E2303" t="str">
        <f>B2267</f>
        <v>CH</v>
      </c>
      <c r="F2303" t="s">
        <v>62</v>
      </c>
      <c r="G2303" t="str">
        <f>B2269</f>
        <v>electricity, from residential heating system</v>
      </c>
      <c r="K2303" t="str">
        <f>B2264</f>
        <v>electricity, residential, by conversion of hydrogen using fuel cell, SOFC, allocated by exergy, transported by pipeline, produced by Steam Methane Reforming, with CCS using natural gas from Russia</v>
      </c>
    </row>
    <row r="2304" spans="1:22" hidden="1" x14ac:dyDescent="0.2">
      <c r="A2304" t="str">
        <f>VLOOKUP(J2304,'dataset mapping'!$A$4:$E$69,2,0)</f>
        <v>fuel cell production, stack solid oxide, 125kW electrical, future</v>
      </c>
      <c r="B2304" s="52">
        <f>1/(62*1000000)/B2286*SUMIFS(allocation!$I$4:$I$30,allocation!$B$4:$B$30,B2276,allocation!$C$4:$C$30,B2277)</f>
        <v>4.6628368258061427E-9</v>
      </c>
      <c r="C2304" t="str">
        <f>VLOOKUP(J2304,'dataset mapping'!$A$4:$E$69,5,0)</f>
        <v>unit</v>
      </c>
      <c r="E2304" t="str">
        <f>VLOOKUP(J2304,'dataset mapping'!$A$4:$E$69,4,0)</f>
        <v>CH</v>
      </c>
      <c r="F2304" t="s">
        <v>86</v>
      </c>
      <c r="G2304" t="str">
        <f>VLOOKUP(J2304,'dataset mapping'!$A$4:$E$69,3,0)</f>
        <v>fuel cell, stack solid oxide, 125kW electrical, future</v>
      </c>
      <c r="H2304" t="s">
        <v>88</v>
      </c>
      <c r="I2304" t="s">
        <v>277</v>
      </c>
      <c r="J2304" t="s">
        <v>274</v>
      </c>
      <c r="K2304" t="str">
        <f>B2264</f>
        <v>electricity, residential, by conversion of hydrogen using fuel cell, SOFC, allocated by exergy, transported by pipeline, produced by Steam Methane Reforming, with CCS using natural gas from Russia</v>
      </c>
      <c r="L2304">
        <f t="shared" ref="L2304:L2309" si="146">IF(OR(B2304&lt;0,B2304=0),1,2)</f>
        <v>2</v>
      </c>
      <c r="M2304">
        <f t="shared" ref="M2304:M2309" si="147">IF(L2304=2,LN(B2304),"")</f>
        <v>-19.183641813126002</v>
      </c>
      <c r="N2304">
        <v>1</v>
      </c>
      <c r="O2304" s="15">
        <v>1.2</v>
      </c>
      <c r="P2304">
        <v>1</v>
      </c>
      <c r="Q2304">
        <v>1.01</v>
      </c>
      <c r="R2304">
        <v>1.2</v>
      </c>
      <c r="S2304">
        <v>1.2</v>
      </c>
      <c r="T2304">
        <v>3</v>
      </c>
      <c r="U2304">
        <f t="shared" ref="U2304:U2309" si="148">LN(SQRT(EXP(
SQRT(
+POWER(LN(N2304),2)
+POWER(LN(O2304),2)
+POWER(LN(P2304),2)
+POWER(LN(Q2304),2)
+POWER(LN(R2304),2)
+POWER(LN(S2304),2)
+POWER(LN(T2304),2)
)
)))</f>
        <v>0.57157051623399524</v>
      </c>
    </row>
    <row r="2305" spans="1:21" hidden="1" x14ac:dyDescent="0.2">
      <c r="A2305" t="s">
        <v>283</v>
      </c>
      <c r="B2305" s="52">
        <f>0.000000145/B2286*SUMIFS(allocation!$I$4:$I$30,allocation!$B$4:$B$30,B2276,allocation!$C$4:$C$30,B2277)</f>
        <v>4.1918903063997216E-8</v>
      </c>
      <c r="C2305" t="s">
        <v>55</v>
      </c>
      <c r="E2305" t="s">
        <v>64</v>
      </c>
      <c r="F2305" t="s">
        <v>86</v>
      </c>
      <c r="G2305" t="s">
        <v>284</v>
      </c>
      <c r="H2305" t="s">
        <v>88</v>
      </c>
      <c r="I2305" t="s">
        <v>277</v>
      </c>
      <c r="K2305" t="str">
        <f>B2264</f>
        <v>electricity, residential, by conversion of hydrogen using fuel cell, SOFC, allocated by exergy, transported by pipeline, produced by Steam Methane Reforming, with CCS using natural gas from Russia</v>
      </c>
      <c r="L2305">
        <f t="shared" si="146"/>
        <v>2</v>
      </c>
      <c r="M2305">
        <f t="shared" si="147"/>
        <v>-16.987528964642475</v>
      </c>
      <c r="N2305">
        <v>1</v>
      </c>
      <c r="O2305" s="15">
        <v>1.2</v>
      </c>
      <c r="P2305">
        <v>1</v>
      </c>
      <c r="Q2305">
        <v>1.01</v>
      </c>
      <c r="R2305">
        <v>1.2</v>
      </c>
      <c r="S2305">
        <v>1.2</v>
      </c>
      <c r="T2305">
        <v>3</v>
      </c>
      <c r="U2305">
        <f t="shared" si="148"/>
        <v>0.57157051623399524</v>
      </c>
    </row>
    <row r="2306" spans="1:21" hidden="1" x14ac:dyDescent="0.2">
      <c r="A2306" t="s">
        <v>285</v>
      </c>
      <c r="B2306" s="52">
        <f>0.0000000115/B2286*SUMIFS(allocation!$I$4:$I$30,allocation!$B$4:$B$30,B2276,allocation!$C$4:$C$30,B2277)</f>
        <v>3.3246026567997794E-9</v>
      </c>
      <c r="C2306" t="s">
        <v>55</v>
      </c>
      <c r="E2306" t="s">
        <v>90</v>
      </c>
      <c r="F2306" t="s">
        <v>86</v>
      </c>
      <c r="G2306" t="s">
        <v>286</v>
      </c>
      <c r="H2306" t="s">
        <v>88</v>
      </c>
      <c r="K2306" t="str">
        <f>B2264</f>
        <v>electricity, residential, by conversion of hydrogen using fuel cell, SOFC, allocated by exergy, transported by pipeline, produced by Steam Methane Reforming, with CCS using natural gas from Russia</v>
      </c>
      <c r="L2306">
        <f t="shared" si="146"/>
        <v>2</v>
      </c>
      <c r="M2306">
        <f t="shared" si="147"/>
        <v>-19.521915671693844</v>
      </c>
      <c r="N2306">
        <v>1</v>
      </c>
      <c r="O2306" s="15">
        <v>1.2</v>
      </c>
      <c r="P2306">
        <v>1</v>
      </c>
      <c r="Q2306">
        <v>1.01</v>
      </c>
      <c r="R2306">
        <v>1.2</v>
      </c>
      <c r="S2306">
        <v>1.2</v>
      </c>
      <c r="T2306">
        <v>3</v>
      </c>
      <c r="U2306">
        <f t="shared" si="148"/>
        <v>0.57157051623399524</v>
      </c>
    </row>
    <row r="2307" spans="1:21" hidden="1" x14ac:dyDescent="0.2">
      <c r="A2307" t="s">
        <v>288</v>
      </c>
      <c r="B2307" s="52">
        <f>0.000024/B2286*SUMIFS(allocation!$I$4:$I$30,allocation!$B$4:$B$30,B2276,allocation!$C$4:$C$30,B2277)</f>
        <v>6.9383011967995388E-6</v>
      </c>
      <c r="C2307" t="s">
        <v>56</v>
      </c>
      <c r="E2307" t="s">
        <v>64</v>
      </c>
      <c r="F2307" t="s">
        <v>86</v>
      </c>
      <c r="G2307" t="s">
        <v>287</v>
      </c>
      <c r="H2307" t="s">
        <v>88</v>
      </c>
      <c r="K2307" t="str">
        <f>B2264</f>
        <v>electricity, residential, by conversion of hydrogen using fuel cell, SOFC, allocated by exergy, transported by pipeline, produced by Steam Methane Reforming, with CCS using natural gas from Russia</v>
      </c>
      <c r="L2307">
        <f t="shared" si="146"/>
        <v>2</v>
      </c>
      <c r="M2307">
        <f t="shared" si="147"/>
        <v>-11.878453597732966</v>
      </c>
      <c r="N2307">
        <v>1</v>
      </c>
      <c r="O2307" s="15">
        <v>1.2</v>
      </c>
      <c r="P2307">
        <v>1</v>
      </c>
      <c r="Q2307">
        <v>1.01</v>
      </c>
      <c r="R2307">
        <v>1.2</v>
      </c>
      <c r="S2307">
        <v>1.2</v>
      </c>
      <c r="T2307">
        <v>1.05</v>
      </c>
      <c r="U2307">
        <f t="shared" si="148"/>
        <v>0.15984597228197622</v>
      </c>
    </row>
    <row r="2308" spans="1:21" hidden="1" x14ac:dyDescent="0.2">
      <c r="A2308" s="45" t="str">
        <f>"hydrogen supply, transported by "&amp;B2278&amp;", produced by "&amp;B2282&amp;" using "&amp;B2283&amp;" from "&amp;B2284</f>
        <v>hydrogen supply, transported by pipeline, produced by Steam Methane Reforming, with CCS using natural gas from Russia</v>
      </c>
      <c r="B2308" s="53">
        <f>(B2303/B2287)/B2286*B2298</f>
        <v>5.515691073804313E-2</v>
      </c>
      <c r="C2308" t="s">
        <v>56</v>
      </c>
      <c r="E2308" t="s">
        <v>64</v>
      </c>
      <c r="F2308" t="s">
        <v>86</v>
      </c>
      <c r="G2308" s="67" t="s">
        <v>1129</v>
      </c>
      <c r="H2308" t="s">
        <v>76</v>
      </c>
      <c r="I2308" t="s">
        <v>1054</v>
      </c>
      <c r="J2308" t="s">
        <v>365</v>
      </c>
      <c r="K2308" t="str">
        <f>B2264</f>
        <v>electricity, residential, by conversion of hydrogen using fuel cell, SOFC, allocated by exergy, transported by pipeline, produced by Steam Methane Reforming, with CCS using natural gas from Russia</v>
      </c>
      <c r="L2308">
        <f t="shared" si="146"/>
        <v>2</v>
      </c>
      <c r="M2308">
        <f t="shared" si="147"/>
        <v>-2.8975732330996009</v>
      </c>
      <c r="N2308">
        <v>1</v>
      </c>
      <c r="O2308" s="15">
        <v>1.2</v>
      </c>
      <c r="P2308">
        <v>1</v>
      </c>
      <c r="Q2308">
        <v>1.01</v>
      </c>
      <c r="R2308">
        <v>1.2</v>
      </c>
      <c r="S2308">
        <v>1.2</v>
      </c>
      <c r="T2308">
        <v>1.05</v>
      </c>
      <c r="U2308">
        <f t="shared" si="148"/>
        <v>0.15984597228197622</v>
      </c>
    </row>
    <row r="2309" spans="1:21" hidden="1" x14ac:dyDescent="0.2">
      <c r="A2309" t="s">
        <v>134</v>
      </c>
      <c r="B2309" s="45">
        <f>B2308*9</f>
        <v>0.49641219664238817</v>
      </c>
      <c r="C2309" t="s">
        <v>56</v>
      </c>
      <c r="D2309" t="s">
        <v>100</v>
      </c>
      <c r="F2309" t="s">
        <v>99</v>
      </c>
      <c r="H2309" t="s">
        <v>131</v>
      </c>
      <c r="I2309" t="s">
        <v>1057</v>
      </c>
      <c r="K2309" t="str">
        <f>B2264</f>
        <v>electricity, residential, by conversion of hydrogen using fuel cell, SOFC, allocated by exergy, transported by pipeline, produced by Steam Methane Reforming, with CCS using natural gas from Russia</v>
      </c>
      <c r="L2309">
        <f t="shared" si="146"/>
        <v>2</v>
      </c>
      <c r="M2309">
        <f t="shared" si="147"/>
        <v>-0.70034865576338168</v>
      </c>
      <c r="N2309">
        <v>1</v>
      </c>
      <c r="O2309" s="15">
        <v>1.2</v>
      </c>
      <c r="P2309">
        <v>1</v>
      </c>
      <c r="Q2309">
        <v>1.01</v>
      </c>
      <c r="R2309">
        <v>1.2</v>
      </c>
      <c r="S2309">
        <v>1.2</v>
      </c>
      <c r="T2309">
        <v>1.05</v>
      </c>
      <c r="U2309">
        <f t="shared" si="148"/>
        <v>0.15984597228197622</v>
      </c>
    </row>
    <row r="2310" spans="1:21" hidden="1" x14ac:dyDescent="0.2"/>
    <row r="2311" spans="1:21" hidden="1" x14ac:dyDescent="0.2">
      <c r="A2311" s="2" t="s">
        <v>50</v>
      </c>
      <c r="B2311" s="44" t="str">
        <f>IF(B2317="megajoule","heat","electricity")&amp;", residential, by "&amp;B2322&amp;" of "&amp;B2321&amp;" using "&amp;B2323&amp;IF(B2324&lt;&gt;0,", allocated by "&amp;B2324,"")&amp;", transported by "&amp;B2325&amp;", produced by "&amp;B2329&amp;" using "&amp;B2330&amp;" from "&amp;B2331</f>
        <v>heat, residential, by combustion of hydrogen using boiler, transported by truck, produced by Steam Methane Reforming, with CCS using natural gas from Russia</v>
      </c>
    </row>
    <row r="2312" spans="1:21" hidden="1" x14ac:dyDescent="0.2">
      <c r="A2312" t="s">
        <v>51</v>
      </c>
      <c r="B2312" s="45" t="str">
        <f>"This dataset represents the supply of 1 "&amp;IF(B2317="megajoule","megajoule of heat","kilowatt hour of electricity")&amp;" in a residence, by "&amp;B2321&amp;" "&amp;B2322&amp;" in a "&amp;B2323&amp;". "&amp;" The hydrogen is transported by "&amp;B2325&amp;" over "&amp;B2326&amp;" km from regional storage. "&amp;" The "&amp;B2321&amp;" is produced by  "&amp;B2329&amp;", with "&amp;B2330&amp;" from "&amp;B2331&amp;" as feedstock. "&amp;A2333&amp;": "&amp;(B2333*100)&amp;"%. "&amp;A2334&amp;": "&amp;B2334&amp;". "&amp;A2335&amp;": "&amp;B2335&amp;". "&amp;A2336&amp;": "&amp;(B2336*100)&amp;"%. "&amp;A2337&amp;": "&amp;(B2337*100)&amp;"%. "&amp;A2338&amp;": "&amp;(B2338*100)&amp;"%. "&amp;A2339&amp;": "&amp;B2339&amp;". "&amp;A2340&amp;": "&amp;B2340&amp;". "&amp;A2341&amp;": "&amp;(B2341*100)&amp;"%. "&amp;A2342&amp;": "&amp;B2342&amp;". "&amp;A2343&amp;": "&amp;B2343&amp;". "&amp;A2344&amp;": "&amp;B2344&amp;". "&amp;A2345&amp;": "&amp;B2345&amp;".  For more information, refer to: "&amp;B2313</f>
        <v>This dataset represents the supply of 1 megajoule of heat in a residence, by hydrogen combustion in a boiler.  The hydrogen is transported by truck over 200 km from regional storage.  The hydrogen is produced by  Steam Methane Reforming, with CCS, with natural gas from Russia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2313" spans="1:21" hidden="1" x14ac:dyDescent="0.2">
      <c r="A2313" t="s">
        <v>63</v>
      </c>
      <c r="B2313" s="45" t="s">
        <v>660</v>
      </c>
    </row>
    <row r="2314" spans="1:21" hidden="1" x14ac:dyDescent="0.2">
      <c r="A2314" t="s">
        <v>52</v>
      </c>
      <c r="B2314" s="45" t="s">
        <v>64</v>
      </c>
    </row>
    <row r="2315" spans="1:21" hidden="1" x14ac:dyDescent="0.2">
      <c r="A2315" t="s">
        <v>48</v>
      </c>
      <c r="B2315" s="45">
        <v>173</v>
      </c>
    </row>
    <row r="2316" spans="1:21" hidden="1" x14ac:dyDescent="0.2">
      <c r="A2316" t="s">
        <v>54</v>
      </c>
      <c r="B2316" s="45" t="str">
        <f>INDEX(overview!$B$4:$R$338,MATCH(B2315,overview!$A$4:$A$338,0),MATCH(A2316,overview!$B$3:$R$3,0))</f>
        <v>heat, from residential heating system</v>
      </c>
    </row>
    <row r="2317" spans="1:21" hidden="1" x14ac:dyDescent="0.2">
      <c r="A2317" t="s">
        <v>55</v>
      </c>
      <c r="B2317" s="45" t="str">
        <f>INDEX(overview!$B$4:$R$338,MATCH(B2315,overview!$A$4:$A$338,0),MATCH(A2317,overview!$B$3:$R$3,0))</f>
        <v>megajoule</v>
      </c>
    </row>
    <row r="2318" spans="1:21" hidden="1" x14ac:dyDescent="0.2">
      <c r="A2318" t="s">
        <v>0</v>
      </c>
      <c r="B2318" s="45" t="str">
        <f>INDEX(overview!$B$4:$R$338,MATCH(B2315,overview!$A$4:$A$338,0),MATCH(A2318,overview!$B$3:$R$3,0))</f>
        <v>Switzerland</v>
      </c>
    </row>
    <row r="2319" spans="1:21" hidden="1" x14ac:dyDescent="0.2">
      <c r="A2319" t="s">
        <v>1</v>
      </c>
      <c r="B2319" s="45">
        <f>INDEX(overview!$B$4:$R$338,MATCH(B2315,overview!$A$4:$A$338,0),MATCH(A2319,overview!$B$3:$R$3,0))</f>
        <v>2020</v>
      </c>
    </row>
    <row r="2320" spans="1:21" hidden="1" x14ac:dyDescent="0.2">
      <c r="A2320" t="s">
        <v>2</v>
      </c>
      <c r="B2320" s="45" t="str">
        <f>INDEX(overview!$B$4:$R$338,MATCH(B2315,overview!$A$4:$A$338,0),MATCH(A2320,overview!$B$3:$R$3,0))</f>
        <v>1 MJ heat</v>
      </c>
    </row>
    <row r="2321" spans="1:2" hidden="1" x14ac:dyDescent="0.2">
      <c r="A2321" t="s">
        <v>5</v>
      </c>
      <c r="B2321" s="45" t="str">
        <f>INDEX(overview!$B$4:$R$338,MATCH(B2315,overview!$A$4:$A$338,0),MATCH(A2321,overview!$B$3:$R$3,0))</f>
        <v>hydrogen</v>
      </c>
    </row>
    <row r="2322" spans="1:2" hidden="1" x14ac:dyDescent="0.2">
      <c r="A2322" t="s">
        <v>3</v>
      </c>
      <c r="B2322" s="45" t="str">
        <f>INDEX(overview!$B$4:$R$338,MATCH(B2315,overview!$A$4:$A$338,0),MATCH(A2322,overview!$B$3:$R$3,0))</f>
        <v>combustion</v>
      </c>
    </row>
    <row r="2323" spans="1:2" hidden="1" x14ac:dyDescent="0.2">
      <c r="A2323" t="s">
        <v>6</v>
      </c>
      <c r="B2323" s="45" t="str">
        <f>INDEX(overview!$B$4:$R$338,MATCH(B2315,overview!$A$4:$A$338,0),MATCH(A2323,overview!$B$3:$R$3,0))</f>
        <v>boiler</v>
      </c>
    </row>
    <row r="2324" spans="1:2" hidden="1" x14ac:dyDescent="0.2">
      <c r="A2324" t="s">
        <v>39</v>
      </c>
      <c r="B2324" s="45">
        <f>INDEX(overview!$B$4:$R$338,MATCH(B2315,overview!$A$4:$A$338,0),MATCH(A2324,overview!$B$3:$R$3,0))</f>
        <v>0</v>
      </c>
    </row>
    <row r="2325" spans="1:2" hidden="1" x14ac:dyDescent="0.2">
      <c r="A2325" t="s">
        <v>4</v>
      </c>
      <c r="B2325" s="45" t="str">
        <f>INDEX(overview!$B$4:$R$338,MATCH(B2315,overview!$A$4:$A$338,0),MATCH(A2325,overview!$B$3:$R$3,0))</f>
        <v>truck</v>
      </c>
    </row>
    <row r="2326" spans="1:2" hidden="1" x14ac:dyDescent="0.2">
      <c r="A2326" t="s">
        <v>38</v>
      </c>
      <c r="B2326" s="45">
        <f>INDEX(overview!$B$4:$R$338,MATCH(B2315,overview!$A$4:$A$338,0),MATCH(A2326,overview!$B$3:$R$3,0))</f>
        <v>200</v>
      </c>
    </row>
    <row r="2327" spans="1:2" hidden="1" x14ac:dyDescent="0.2">
      <c r="A2327" t="s">
        <v>12</v>
      </c>
      <c r="B2327" s="45" t="str">
        <f>INDEX(overview!$B$4:$R$338,MATCH(B2315,overview!$A$4:$A$338,0),MATCH(A2327,overview!$B$3:$R$3,0))</f>
        <v>Pressure vessel for stationary storage</v>
      </c>
    </row>
    <row r="2328" spans="1:2" hidden="1" x14ac:dyDescent="0.2">
      <c r="A2328" t="s">
        <v>34</v>
      </c>
      <c r="B2328" s="45">
        <f>INDEX(overview!$B$4:$R$338,MATCH(B2315,overview!$A$4:$A$338,0),MATCH(A2328,overview!$B$3:$R$3,0))</f>
        <v>0</v>
      </c>
    </row>
    <row r="2329" spans="1:2" hidden="1" x14ac:dyDescent="0.2">
      <c r="A2329" t="s">
        <v>15</v>
      </c>
      <c r="B2329" s="45" t="str">
        <f>INDEX(overview!$B$4:$R$338,MATCH(B2315,overview!$A$4:$A$338,0),MATCH(A2329,overview!$B$3:$R$3,0))</f>
        <v>Steam Methane Reforming, with CCS</v>
      </c>
    </row>
    <row r="2330" spans="1:2" hidden="1" x14ac:dyDescent="0.2">
      <c r="A2330" t="s">
        <v>14</v>
      </c>
      <c r="B2330" s="45" t="str">
        <f>INDEX(overview!$B$4:$R$338,MATCH(B2315,overview!$A$4:$A$338,0),MATCH(A2330,overview!$B$3:$R$3,0))</f>
        <v>natural gas</v>
      </c>
    </row>
    <row r="2331" spans="1:2" hidden="1" x14ac:dyDescent="0.2">
      <c r="A2331" t="s">
        <v>26</v>
      </c>
      <c r="B2331" s="45" t="str">
        <f>INDEX(overview!$B$4:$R$338,MATCH(B2315,overview!$A$4:$A$338,0),MATCH(A2331,overview!$B$3:$R$3,0))</f>
        <v>Russia</v>
      </c>
    </row>
    <row r="2332" spans="1:2" hidden="1" x14ac:dyDescent="0.2">
      <c r="A2332" t="s">
        <v>29</v>
      </c>
      <c r="B2332" s="45">
        <f>INDEX(overview!$B$4:$R$338,MATCH(B2315,overview!$A$4:$A$338,0),MATCH(A2332,overview!$B$3:$R$3,0))</f>
        <v>0</v>
      </c>
    </row>
    <row r="2333" spans="1:2" hidden="1" x14ac:dyDescent="0.2">
      <c r="A2333" t="str">
        <f>IF(B2317="megajoule","Heat","Electricity")&amp;" conversion efficiency [% LHV input]"</f>
        <v>Heat conversion efficiency [% LHV input]</v>
      </c>
      <c r="B2333" s="46">
        <f>INDEX(parameters!$D$4:$N$20,MATCH(B2321&amp;B2323,parameters!$A$4:$A$20,0),MATCH(A2333,parameters!$D$3:$N$3,0))</f>
        <v>0.94</v>
      </c>
    </row>
    <row r="2334" spans="1:2" hidden="1" x14ac:dyDescent="0.2">
      <c r="A2334" t="str">
        <f>IF(B2317="megajoule","LHV [MJ/kg]","LHV [kWh/kg]")</f>
        <v>LHV [MJ/kg]</v>
      </c>
      <c r="B2334" s="47">
        <f>INDEX(parameters!$D$4:$N$20,MATCH(B2321&amp;B2323,parameters!$A$4:$A$20,0),MATCH(A2334,parameters!$D$3:$N$3,0))</f>
        <v>120</v>
      </c>
    </row>
    <row r="2335" spans="1:2" hidden="1" x14ac:dyDescent="0.2">
      <c r="A2335" t="s">
        <v>41</v>
      </c>
      <c r="B2335" s="48">
        <f>INDEX(parameters!$D$4:$N$20,MATCH(B2321&amp;B2323,parameters!$A$4:$A$20,0),MATCH(A2335,parameters!$D$3:$N$3,0))</f>
        <v>2.6666666666666665E-2</v>
      </c>
    </row>
    <row r="2336" spans="1:2" hidden="1" x14ac:dyDescent="0.2">
      <c r="A2336" t="s">
        <v>45</v>
      </c>
      <c r="B2336" s="49">
        <f>INDEX(parameters!$D$4:$N$20,MATCH(B2321&amp;B2323,parameters!$A$4:$A$20,0),MATCH(A2336,parameters!$D$3:$N$3,0))</f>
        <v>0</v>
      </c>
    </row>
    <row r="2337" spans="1:22" hidden="1" x14ac:dyDescent="0.2">
      <c r="A2337" t="s">
        <v>46</v>
      </c>
      <c r="B2337" s="49">
        <f>INDEX(parameters!$D$4:$N$20,MATCH(B2321&amp;B2323,parameters!$A$4:$A$20,0),MATCH(A2337,parameters!$D$3:$N$3,0))</f>
        <v>1.4999999999999999E-2</v>
      </c>
    </row>
    <row r="2338" spans="1:22" hidden="1" x14ac:dyDescent="0.2">
      <c r="A2338" t="s">
        <v>43</v>
      </c>
      <c r="B2338" s="49">
        <f>INDEX(parameters!$D$4:$N$20,MATCH(B2321&amp;B2323,parameters!$A$4:$A$20,0),MATCH(A2338,parameters!$D$3:$N$3,0))</f>
        <v>0</v>
      </c>
    </row>
    <row r="2339" spans="1:22" hidden="1" x14ac:dyDescent="0.2">
      <c r="A2339" t="s">
        <v>44</v>
      </c>
      <c r="B2339" s="49">
        <f>INDEX(parameters!$D$4:$N$20,MATCH(B2321&amp;B2323,parameters!$A$4:$A$20,0),MATCH(A2339,parameters!$D$3:$N$3,0))</f>
        <v>0</v>
      </c>
    </row>
    <row r="2340" spans="1:22" hidden="1" x14ac:dyDescent="0.2">
      <c r="A2340" t="s">
        <v>634</v>
      </c>
      <c r="B2340" s="50">
        <f>INDEX(parameters!$D$4:$Y$20,MATCH(B2321&amp;B2323,parameters!$A$4:$A$20,0),MATCH(A2340,parameters!$D$3:$Y$3,0))</f>
        <v>15.957446808510639</v>
      </c>
    </row>
    <row r="2341" spans="1:22" hidden="1" x14ac:dyDescent="0.2">
      <c r="A2341" t="s">
        <v>82</v>
      </c>
      <c r="B2341" s="46">
        <f>IF(B2332&lt;&gt;0,VLOOKUP(B2332,parameters!A1483:B1485,2,0),0)</f>
        <v>0</v>
      </c>
    </row>
    <row r="2342" spans="1:22" hidden="1" x14ac:dyDescent="0.2">
      <c r="A2342" t="s">
        <v>548</v>
      </c>
      <c r="B2342" s="50">
        <f>INDEX(parameters!$D$4:$P$20,MATCH(B2321&amp;B2323,parameters!$A$4:$A$20,0),MATCH(A2342,parameters!$D$3:$P$3,0))</f>
        <v>15</v>
      </c>
    </row>
    <row r="2343" spans="1:22" hidden="1" x14ac:dyDescent="0.2">
      <c r="A2343" t="s">
        <v>547</v>
      </c>
      <c r="B2343" s="51">
        <f>INDEX(parameters!$D$4:$P$20,MATCH(B2321&amp;B2323,parameters!$A$4:$A$20,0),MATCH(A2343,parameters!$D$3:$P$3,0))</f>
        <v>20</v>
      </c>
    </row>
    <row r="2344" spans="1:22" hidden="1" x14ac:dyDescent="0.2">
      <c r="A2344" t="s">
        <v>630</v>
      </c>
      <c r="B2344" s="51">
        <f>INDEX(parameters!$D$4:$T$20,MATCH(B2321&amp;B2323,parameters!$A$4:$A$20,0),MATCH(A2344,parameters!$D$3:$T$3,0))</f>
        <v>2100</v>
      </c>
    </row>
    <row r="2345" spans="1:22" hidden="1" x14ac:dyDescent="0.2">
      <c r="A2345" t="s">
        <v>1005</v>
      </c>
      <c r="B2345" s="50">
        <f>IF(B2317="megajoule",SUMIFS(allocation!$I$4:$I$30,allocation!$B$4:$B$30,B2323,allocation!$C$4:$C$30,B2324),SUMIFS(allocation!$J$4:$J$30,allocation!$B$4:$B$30,B2323,allocation!$C$4:$C$30,B2324))</f>
        <v>0</v>
      </c>
    </row>
    <row r="2346" spans="1:22" hidden="1" x14ac:dyDescent="0.2">
      <c r="A2346" t="s">
        <v>1050</v>
      </c>
      <c r="B2346" s="51">
        <f>INDEX(parameters!$D$4:$AB$20,MATCH(B2321&amp;B2323,parameters!$A$4:$A$20,0),MATCH(A2346,parameters!$D$3:$AB$3,0))</f>
        <v>44.562019013128115</v>
      </c>
    </row>
    <row r="2347" spans="1:22" hidden="1" x14ac:dyDescent="0.2"/>
    <row r="2348" spans="1:22" hidden="1" x14ac:dyDescent="0.2">
      <c r="A2348" s="3" t="s">
        <v>57</v>
      </c>
    </row>
    <row r="2349" spans="1:22" hidden="1" x14ac:dyDescent="0.2">
      <c r="A2349" s="2" t="s">
        <v>58</v>
      </c>
      <c r="B2349" s="44" t="s">
        <v>59</v>
      </c>
      <c r="C2349" s="2" t="s">
        <v>55</v>
      </c>
      <c r="D2349" s="2" t="s">
        <v>60</v>
      </c>
      <c r="E2349" s="2" t="s">
        <v>52</v>
      </c>
      <c r="F2349" s="2" t="s">
        <v>61</v>
      </c>
      <c r="G2349" s="2" t="s">
        <v>54</v>
      </c>
      <c r="H2349" s="2" t="s">
        <v>87</v>
      </c>
      <c r="I2349" s="2" t="s">
        <v>51</v>
      </c>
      <c r="J2349" s="2" t="s">
        <v>138</v>
      </c>
      <c r="K2349" s="2" t="s">
        <v>136</v>
      </c>
      <c r="L2349" s="2" t="s">
        <v>221</v>
      </c>
      <c r="M2349" s="2" t="s">
        <v>379</v>
      </c>
      <c r="N2349" s="2" t="s">
        <v>1059</v>
      </c>
      <c r="O2349" s="2" t="s">
        <v>1060</v>
      </c>
      <c r="P2349" s="2" t="s">
        <v>1061</v>
      </c>
      <c r="Q2349" s="2" t="s">
        <v>1062</v>
      </c>
      <c r="R2349" s="2" t="s">
        <v>1063</v>
      </c>
      <c r="S2349" s="2" t="s">
        <v>1064</v>
      </c>
      <c r="T2349" s="2" t="s">
        <v>1065</v>
      </c>
      <c r="U2349" s="2" t="s">
        <v>380</v>
      </c>
      <c r="V2349" s="2" t="s">
        <v>1128</v>
      </c>
    </row>
    <row r="2350" spans="1:22" hidden="1" x14ac:dyDescent="0.2">
      <c r="A2350" t="str">
        <f>B2311</f>
        <v>heat, residential, by combustion of hydrogen using boiler, transported by truck, produced by Steam Methane Reforming, with CCS using natural gas from Russia</v>
      </c>
      <c r="B2350" s="45">
        <v>1</v>
      </c>
      <c r="C2350" t="str">
        <f>B2317</f>
        <v>megajoule</v>
      </c>
      <c r="E2350" t="str">
        <f>B2314</f>
        <v>CH</v>
      </c>
      <c r="F2350" t="s">
        <v>62</v>
      </c>
      <c r="G2350" t="str">
        <f>B2316</f>
        <v>heat, from residential heating system</v>
      </c>
      <c r="K2350" t="str">
        <f>B2311</f>
        <v>heat, residential, by combustion of hydrogen using boiler, transported by truck, produced by Steam Methane Reforming, with CCS using natural gas from Russia</v>
      </c>
    </row>
    <row r="2351" spans="1:22" hidden="1" x14ac:dyDescent="0.2">
      <c r="A2351" t="s">
        <v>83</v>
      </c>
      <c r="B2351" s="52">
        <f>1/(B2342*B2344*B2343*3.6)</f>
        <v>4.4091710758377425E-7</v>
      </c>
      <c r="C2351" t="s">
        <v>55</v>
      </c>
      <c r="E2351" t="s">
        <v>85</v>
      </c>
      <c r="F2351" t="s">
        <v>86</v>
      </c>
      <c r="G2351" t="s">
        <v>84</v>
      </c>
      <c r="H2351" t="s">
        <v>88</v>
      </c>
      <c r="K2351" t="str">
        <f>B2311</f>
        <v>heat, residential, by combustion of hydrogen using boiler, transported by truck, produced by Steam Methane Reforming, with CCS using natural gas from Russia</v>
      </c>
      <c r="L2351">
        <f t="shared" ref="L2351:L2357" si="149">IF(OR(B2351&lt;0,B2351=0),1,2)</f>
        <v>2</v>
      </c>
      <c r="M2351">
        <f t="shared" ref="M2351:M2357" si="150">IF(L2351=2,LN(B2351),"")</f>
        <v>-14.634408943829779</v>
      </c>
      <c r="N2351">
        <v>1.05</v>
      </c>
      <c r="O2351" s="15">
        <v>1.2</v>
      </c>
      <c r="P2351">
        <v>1</v>
      </c>
      <c r="Q2351">
        <v>1.01</v>
      </c>
      <c r="R2351">
        <v>1.2</v>
      </c>
      <c r="S2351">
        <v>1.2</v>
      </c>
      <c r="T2351">
        <v>3</v>
      </c>
      <c r="U2351">
        <f t="shared" ref="U2351:U2357" si="151">LN(SQRT(EXP(
SQRT(
+POWER(LN(N2351),2)
+POWER(LN(O2351),2)
+POWER(LN(P2351),2)
+POWER(LN(Q2351),2)
+POWER(LN(R2351),2)
+POWER(LN(S2351),2)
+POWER(LN(T2351),2)
)
)))</f>
        <v>0.57209088006881903</v>
      </c>
    </row>
    <row r="2352" spans="1:22" hidden="1" x14ac:dyDescent="0.2">
      <c r="A2352" t="s">
        <v>500</v>
      </c>
      <c r="B2352" s="52">
        <f>B2351*2</f>
        <v>8.8183421516754851E-7</v>
      </c>
      <c r="C2352" t="s">
        <v>267</v>
      </c>
      <c r="E2352" t="s">
        <v>85</v>
      </c>
      <c r="F2352" t="s">
        <v>86</v>
      </c>
      <c r="G2352" t="s">
        <v>501</v>
      </c>
      <c r="H2352" t="s">
        <v>88</v>
      </c>
      <c r="I2352" t="s">
        <v>621</v>
      </c>
      <c r="K2352" t="str">
        <f>B2311</f>
        <v>heat, residential, by combustion of hydrogen using boiler, transported by truck, produced by Steam Methane Reforming, with CCS using natural gas from Russia</v>
      </c>
      <c r="L2352">
        <f t="shared" si="149"/>
        <v>2</v>
      </c>
      <c r="M2352">
        <f t="shared" si="150"/>
        <v>-13.941261763269834</v>
      </c>
      <c r="N2352">
        <v>1.05</v>
      </c>
      <c r="O2352" s="15">
        <v>1.2</v>
      </c>
      <c r="P2352">
        <v>1</v>
      </c>
      <c r="Q2352">
        <v>1.01</v>
      </c>
      <c r="R2352">
        <v>1.2</v>
      </c>
      <c r="S2352">
        <v>1.2</v>
      </c>
      <c r="T2352">
        <v>3</v>
      </c>
      <c r="U2352">
        <f t="shared" si="151"/>
        <v>0.57209088006881903</v>
      </c>
    </row>
    <row r="2353" spans="1:21" hidden="1" x14ac:dyDescent="0.2">
      <c r="A2353" t="s">
        <v>130</v>
      </c>
      <c r="B2353" s="52">
        <v>2.64E-3</v>
      </c>
      <c r="C2353" t="s">
        <v>92</v>
      </c>
      <c r="E2353" t="s">
        <v>64</v>
      </c>
      <c r="F2353" t="s">
        <v>86</v>
      </c>
      <c r="G2353" t="s">
        <v>93</v>
      </c>
      <c r="H2353" t="s">
        <v>78</v>
      </c>
      <c r="I2353" t="s">
        <v>270</v>
      </c>
      <c r="J2353" t="s">
        <v>67</v>
      </c>
      <c r="K2353" t="str">
        <f>B2311</f>
        <v>heat, residential, by combustion of hydrogen using boiler, transported by truck, produced by Steam Methane Reforming, with CCS using natural gas from Russia</v>
      </c>
      <c r="L2353">
        <f t="shared" si="149"/>
        <v>2</v>
      </c>
      <c r="M2353">
        <f t="shared" si="150"/>
        <v>-5.9369763618239126</v>
      </c>
      <c r="N2353">
        <v>1.05</v>
      </c>
      <c r="O2353" s="15">
        <v>1.2</v>
      </c>
      <c r="P2353">
        <v>1</v>
      </c>
      <c r="Q2353">
        <v>1.01</v>
      </c>
      <c r="R2353">
        <v>1.2</v>
      </c>
      <c r="S2353">
        <v>1.2</v>
      </c>
      <c r="T2353">
        <v>1.05</v>
      </c>
      <c r="U2353">
        <f t="shared" si="151"/>
        <v>0.16169679924070957</v>
      </c>
    </row>
    <row r="2354" spans="1:21" hidden="1" x14ac:dyDescent="0.2">
      <c r="A2354" s="45" t="str">
        <f>"hydrogen supply, transported by "&amp;B2325&amp;", produced by "&amp;B2329&amp;" using "&amp;B2330&amp;" from "&amp;B2331</f>
        <v>hydrogen supply, transported by truck, produced by Steam Methane Reforming, with CCS using natural gas from Russia</v>
      </c>
      <c r="B2354" s="53">
        <f>(B2350/B2334)/B2333</f>
        <v>8.8652482269503553E-3</v>
      </c>
      <c r="C2354" t="s">
        <v>56</v>
      </c>
      <c r="E2354" t="s">
        <v>64</v>
      </c>
      <c r="F2354" t="s">
        <v>86</v>
      </c>
      <c r="G2354" t="s">
        <v>1137</v>
      </c>
      <c r="H2354" t="s">
        <v>76</v>
      </c>
      <c r="I2354" t="s">
        <v>1054</v>
      </c>
      <c r="J2354" t="s">
        <v>365</v>
      </c>
      <c r="K2354" t="str">
        <f>B2311</f>
        <v>heat, residential, by combustion of hydrogen using boiler, transported by truck, produced by Steam Methane Reforming, with CCS using natural gas from Russia</v>
      </c>
      <c r="L2354">
        <f t="shared" si="149"/>
        <v>2</v>
      </c>
      <c r="M2354">
        <f t="shared" si="150"/>
        <v>-4.7256163390639587</v>
      </c>
      <c r="N2354">
        <v>1.05</v>
      </c>
      <c r="O2354" s="15">
        <v>1.2</v>
      </c>
      <c r="P2354">
        <v>1</v>
      </c>
      <c r="Q2354">
        <v>1.01</v>
      </c>
      <c r="R2354">
        <v>1.2</v>
      </c>
      <c r="S2354">
        <v>1.2</v>
      </c>
      <c r="T2354">
        <v>1.05</v>
      </c>
      <c r="U2354">
        <f t="shared" si="151"/>
        <v>0.16169679924070957</v>
      </c>
    </row>
    <row r="2355" spans="1:21" hidden="1" x14ac:dyDescent="0.2">
      <c r="A2355" t="str">
        <f>VLOOKUP(J2355,'dataset mapping'!$A$4:$E$69,2,0)</f>
        <v>high pressure hydrogen storage tank</v>
      </c>
      <c r="B2355" s="52">
        <f>((B2346/10)/(B2344*B2340*20*3.6))*IF(B2345&lt;&gt;0,B2345,1)</f>
        <v>1.8469267139479905E-6</v>
      </c>
      <c r="C2355" t="str">
        <f>VLOOKUP(J2355,'dataset mapping'!$A$4:$E$69,5,0)</f>
        <v>kilogram</v>
      </c>
      <c r="E2355" t="str">
        <f>VLOOKUP(J2355,'dataset mapping'!$A$4:$E$69,4,0)</f>
        <v>GLO</v>
      </c>
      <c r="F2355" t="s">
        <v>86</v>
      </c>
      <c r="G2355" t="str">
        <f>VLOOKUP(J2355,'dataset mapping'!$A$4:$E$69,3,0)</f>
        <v>high pressure hydrogen storage tank</v>
      </c>
      <c r="H2355" t="s">
        <v>88</v>
      </c>
      <c r="I2355" t="s">
        <v>230</v>
      </c>
      <c r="J2355" t="s">
        <v>229</v>
      </c>
      <c r="K2355" t="str">
        <f>B2311</f>
        <v>heat, residential, by combustion of hydrogen using boiler, transported by truck, produced by Steam Methane Reforming, with CCS using natural gas from Russia</v>
      </c>
      <c r="L2355">
        <f t="shared" si="149"/>
        <v>2</v>
      </c>
      <c r="M2355">
        <f t="shared" si="150"/>
        <v>-13.20198753595994</v>
      </c>
      <c r="N2355">
        <v>1.05</v>
      </c>
      <c r="O2355" s="15">
        <v>1.2</v>
      </c>
      <c r="P2355">
        <v>1</v>
      </c>
      <c r="Q2355">
        <v>1.01</v>
      </c>
      <c r="R2355">
        <v>1.2</v>
      </c>
      <c r="S2355">
        <v>1.2</v>
      </c>
      <c r="T2355">
        <v>3</v>
      </c>
      <c r="U2355">
        <f t="shared" si="151"/>
        <v>0.57209088006881903</v>
      </c>
    </row>
    <row r="2356" spans="1:21" hidden="1" x14ac:dyDescent="0.2">
      <c r="A2356" t="s">
        <v>134</v>
      </c>
      <c r="B2356" s="45">
        <f>B2354*9</f>
        <v>7.9787234042553196E-2</v>
      </c>
      <c r="C2356" t="s">
        <v>56</v>
      </c>
      <c r="D2356" t="s">
        <v>100</v>
      </c>
      <c r="F2356" t="s">
        <v>99</v>
      </c>
      <c r="H2356" t="s">
        <v>131</v>
      </c>
      <c r="I2356" t="s">
        <v>1058</v>
      </c>
      <c r="K2356" t="str">
        <f>B2311</f>
        <v>heat, residential, by combustion of hydrogen using boiler, transported by truck, produced by Steam Methane Reforming, with CCS using natural gas from Russia</v>
      </c>
      <c r="L2356">
        <f t="shared" si="149"/>
        <v>2</v>
      </c>
      <c r="M2356">
        <f t="shared" si="150"/>
        <v>-2.5283917617277392</v>
      </c>
      <c r="N2356">
        <v>1.05</v>
      </c>
      <c r="O2356" s="15">
        <v>1.2</v>
      </c>
      <c r="P2356">
        <v>1</v>
      </c>
      <c r="Q2356">
        <v>1.01</v>
      </c>
      <c r="R2356">
        <v>1.2</v>
      </c>
      <c r="S2356">
        <v>1.2</v>
      </c>
      <c r="T2356">
        <v>1.05</v>
      </c>
      <c r="U2356">
        <f t="shared" si="151"/>
        <v>0.16169679924070957</v>
      </c>
    </row>
    <row r="2357" spans="1:21" hidden="1" x14ac:dyDescent="0.2">
      <c r="A2357" t="s">
        <v>135</v>
      </c>
      <c r="B2357" s="45">
        <f>912.5/1000000*B2354</f>
        <v>8.0895390070921995E-6</v>
      </c>
      <c r="C2357" t="s">
        <v>56</v>
      </c>
      <c r="D2357" t="s">
        <v>100</v>
      </c>
      <c r="F2357" t="s">
        <v>99</v>
      </c>
      <c r="H2357" t="s">
        <v>131</v>
      </c>
      <c r="I2357" t="s">
        <v>1217</v>
      </c>
      <c r="K2357" t="str">
        <f>B2311</f>
        <v>heat, residential, by combustion of hydrogen using boiler, transported by truck, produced by Steam Methane Reforming, with CCS using natural gas from Russia</v>
      </c>
      <c r="L2357">
        <f t="shared" si="149"/>
        <v>2</v>
      </c>
      <c r="M2357">
        <f t="shared" si="150"/>
        <v>-11.724938811571587</v>
      </c>
      <c r="N2357">
        <v>1.05</v>
      </c>
      <c r="O2357" s="15">
        <v>1.2</v>
      </c>
      <c r="P2357">
        <v>1</v>
      </c>
      <c r="Q2357">
        <v>1.01</v>
      </c>
      <c r="R2357">
        <v>1.2</v>
      </c>
      <c r="S2357">
        <v>1.2</v>
      </c>
      <c r="T2357">
        <v>1.5</v>
      </c>
      <c r="U2357">
        <f t="shared" si="151"/>
        <v>0.25816898211842121</v>
      </c>
    </row>
    <row r="2358" spans="1:21" hidden="1" x14ac:dyDescent="0.2"/>
    <row r="2359" spans="1:21" hidden="1" x14ac:dyDescent="0.2">
      <c r="A2359" s="2" t="s">
        <v>50</v>
      </c>
      <c r="B2359" s="44" t="str">
        <f>IF(B2365="megajoule","heat","electricity")&amp;", residential, by "&amp;B2370&amp;" of "&amp;B2369&amp;" using "&amp;B2371&amp;IF(B2372&lt;&gt;0,", allocated by "&amp;B2372,"")&amp;", transported by "&amp;B2373&amp;", produced by "&amp;B2377&amp;" using "&amp;B2378&amp;" from "&amp;B2379</f>
        <v>heat, residential, by combustion of hydrogen using CHP, allocated by exergy, transported by truck, produced by Steam Methane Reforming, with CCS using natural gas from Russia</v>
      </c>
    </row>
    <row r="2360" spans="1:21" hidden="1" x14ac:dyDescent="0.2">
      <c r="A2360" t="s">
        <v>51</v>
      </c>
      <c r="B2360" s="45" t="str">
        <f>"This dataset represents the supply of 1 "&amp;IF(B2365="megajoule","megajoule of heat","kilowatt hour of electricity")&amp;" in a residence, by "&amp;B2369&amp;" "&amp;B2370&amp;" in a "&amp;B2371&amp;". "&amp;" The hydrogen is transported by "&amp;B2373&amp;" over "&amp;B2374&amp;" km from regional storage. "&amp;" The "&amp;B2369&amp;" is produced by  "&amp;B2377&amp;", with "&amp;B2378&amp;" from "&amp;B2379&amp;" as feedstock. "&amp;A2381&amp;": "&amp;(B2381*100)&amp;"%. "&amp;A2382&amp;": "&amp;B2382&amp;". "&amp;A2383&amp;": "&amp;B2383&amp;". "&amp;A2384&amp;": "&amp;(B2384*100)&amp;"%. "&amp;A2385&amp;": "&amp;(B2385*100)&amp;"%. "&amp;A2386&amp;": "&amp;(B2386*100)&amp;"%. "&amp;A2387&amp;": "&amp;B2387&amp;". "&amp;A2388&amp;": "&amp;B2388&amp;". "&amp;A2389&amp;": "&amp;(B2389*100)&amp;"%. "&amp;A2390&amp;": "&amp;B2390&amp;". "&amp;A2391&amp;": "&amp;B2391&amp;". "&amp;A2392&amp;": "&amp;B2392&amp;". "&amp;A2393&amp;": "&amp;B2393&amp;".  For more information, refer to: "&amp;B2361</f>
        <v>This dataset represents the supply of 1 megajoule of heat in a residence, by hydrogen combustion in a CHP.  The hydrogen is transported by truck over 200 km from regional storage.  The hydrogen is produced by  Steam Methane Reforming, with CCS, with natural gas from Russia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2361" spans="1:21" hidden="1" x14ac:dyDescent="0.2">
      <c r="A2361" t="s">
        <v>63</v>
      </c>
      <c r="B2361" s="45" t="s">
        <v>660</v>
      </c>
    </row>
    <row r="2362" spans="1:21" hidden="1" x14ac:dyDescent="0.2">
      <c r="A2362" t="s">
        <v>52</v>
      </c>
      <c r="B2362" s="45" t="s">
        <v>64</v>
      </c>
    </row>
    <row r="2363" spans="1:21" hidden="1" x14ac:dyDescent="0.2">
      <c r="A2363" t="s">
        <v>48</v>
      </c>
      <c r="B2363" s="45">
        <v>174</v>
      </c>
    </row>
    <row r="2364" spans="1:21" hidden="1" x14ac:dyDescent="0.2">
      <c r="A2364" t="s">
        <v>54</v>
      </c>
      <c r="B2364" s="45" t="str">
        <f>INDEX(overview!$B$4:$R$338,MATCH(B2363,overview!$A$4:$A$338,0),MATCH(A2364,overview!$B$3:$R$3,0))</f>
        <v>heat, from residential heating system</v>
      </c>
    </row>
    <row r="2365" spans="1:21" hidden="1" x14ac:dyDescent="0.2">
      <c r="A2365" t="s">
        <v>55</v>
      </c>
      <c r="B2365" s="45" t="str">
        <f>INDEX(overview!$B$4:$R$338,MATCH(B2363,overview!$A$4:$A$338,0),MATCH(A2365,overview!$B$3:$R$3,0))</f>
        <v>megajoule</v>
      </c>
    </row>
    <row r="2366" spans="1:21" hidden="1" x14ac:dyDescent="0.2">
      <c r="A2366" t="s">
        <v>0</v>
      </c>
      <c r="B2366" s="45" t="str">
        <f>INDEX(overview!$B$4:$R$338,MATCH(B2363,overview!$A$4:$A$338,0),MATCH(A2366,overview!$B$3:$R$3,0))</f>
        <v>Switzerland</v>
      </c>
    </row>
    <row r="2367" spans="1:21" hidden="1" x14ac:dyDescent="0.2">
      <c r="A2367" t="s">
        <v>1</v>
      </c>
      <c r="B2367" s="45">
        <f>INDEX(overview!$B$4:$R$338,MATCH(B2363,overview!$A$4:$A$338,0),MATCH(A2367,overview!$B$3:$R$3,0))</f>
        <v>2020</v>
      </c>
    </row>
    <row r="2368" spans="1:21" hidden="1" x14ac:dyDescent="0.2">
      <c r="A2368" t="s">
        <v>2</v>
      </c>
      <c r="B2368" s="45" t="str">
        <f>INDEX(overview!$B$4:$R$338,MATCH(B2363,overview!$A$4:$A$338,0),MATCH(A2368,overview!$B$3:$R$3,0))</f>
        <v>1 MJ heat</v>
      </c>
    </row>
    <row r="2369" spans="1:2" hidden="1" x14ac:dyDescent="0.2">
      <c r="A2369" t="s">
        <v>5</v>
      </c>
      <c r="B2369" s="45" t="str">
        <f>INDEX(overview!$B$4:$R$338,MATCH(B2363,overview!$A$4:$A$338,0),MATCH(A2369,overview!$B$3:$R$3,0))</f>
        <v>hydrogen</v>
      </c>
    </row>
    <row r="2370" spans="1:2" hidden="1" x14ac:dyDescent="0.2">
      <c r="A2370" t="s">
        <v>3</v>
      </c>
      <c r="B2370" s="45" t="str">
        <f>INDEX(overview!$B$4:$R$338,MATCH(B2363,overview!$A$4:$A$338,0),MATCH(A2370,overview!$B$3:$R$3,0))</f>
        <v>combustion</v>
      </c>
    </row>
    <row r="2371" spans="1:2" hidden="1" x14ac:dyDescent="0.2">
      <c r="A2371" t="s">
        <v>6</v>
      </c>
      <c r="B2371" s="45" t="str">
        <f>INDEX(overview!$B$4:$R$338,MATCH(B2363,overview!$A$4:$A$338,0),MATCH(A2371,overview!$B$3:$R$3,0))</f>
        <v>CHP</v>
      </c>
    </row>
    <row r="2372" spans="1:2" hidden="1" x14ac:dyDescent="0.2">
      <c r="A2372" t="s">
        <v>39</v>
      </c>
      <c r="B2372" s="45" t="str">
        <f>INDEX(overview!$B$4:$R$338,MATCH(B2363,overview!$A$4:$A$338,0),MATCH(A2372,overview!$B$3:$R$3,0))</f>
        <v>exergy</v>
      </c>
    </row>
    <row r="2373" spans="1:2" hidden="1" x14ac:dyDescent="0.2">
      <c r="A2373" t="s">
        <v>4</v>
      </c>
      <c r="B2373" s="45" t="str">
        <f>INDEX(overview!$B$4:$R$338,MATCH(B2363,overview!$A$4:$A$338,0),MATCH(A2373,overview!$B$3:$R$3,0))</f>
        <v>truck</v>
      </c>
    </row>
    <row r="2374" spans="1:2" hidden="1" x14ac:dyDescent="0.2">
      <c r="A2374" t="s">
        <v>38</v>
      </c>
      <c r="B2374" s="45">
        <f>INDEX(overview!$B$4:$R$338,MATCH(B2363,overview!$A$4:$A$338,0),MATCH(A2374,overview!$B$3:$R$3,0))</f>
        <v>200</v>
      </c>
    </row>
    <row r="2375" spans="1:2" hidden="1" x14ac:dyDescent="0.2">
      <c r="A2375" t="s">
        <v>12</v>
      </c>
      <c r="B2375" s="45" t="str">
        <f>INDEX(overview!$B$4:$R$338,MATCH(B2363,overview!$A$4:$A$338,0),MATCH(A2375,overview!$B$3:$R$3,0))</f>
        <v>Pressure vessel for stationary storage</v>
      </c>
    </row>
    <row r="2376" spans="1:2" hidden="1" x14ac:dyDescent="0.2">
      <c r="A2376" t="s">
        <v>34</v>
      </c>
      <c r="B2376" s="45">
        <f>INDEX(overview!$B$4:$R$338,MATCH(B2363,overview!$A$4:$A$338,0),MATCH(A2376,overview!$B$3:$R$3,0))</f>
        <v>0</v>
      </c>
    </row>
    <row r="2377" spans="1:2" hidden="1" x14ac:dyDescent="0.2">
      <c r="A2377" t="s">
        <v>15</v>
      </c>
      <c r="B2377" s="45" t="str">
        <f>INDEX(overview!$B$4:$R$338,MATCH(B2363,overview!$A$4:$A$338,0),MATCH(A2377,overview!$B$3:$R$3,0))</f>
        <v>Steam Methane Reforming, with CCS</v>
      </c>
    </row>
    <row r="2378" spans="1:2" hidden="1" x14ac:dyDescent="0.2">
      <c r="A2378" t="s">
        <v>14</v>
      </c>
      <c r="B2378" s="45" t="str">
        <f>INDEX(overview!$B$4:$R$338,MATCH(B2363,overview!$A$4:$A$338,0),MATCH(A2378,overview!$B$3:$R$3,0))</f>
        <v>natural gas</v>
      </c>
    </row>
    <row r="2379" spans="1:2" hidden="1" x14ac:dyDescent="0.2">
      <c r="A2379" t="s">
        <v>26</v>
      </c>
      <c r="B2379" s="45" t="str">
        <f>INDEX(overview!$B$4:$R$338,MATCH(B2363,overview!$A$4:$A$338,0),MATCH(A2379,overview!$B$3:$R$3,0))</f>
        <v>Russia</v>
      </c>
    </row>
    <row r="2380" spans="1:2" hidden="1" x14ac:dyDescent="0.2">
      <c r="A2380" t="s">
        <v>29</v>
      </c>
      <c r="B2380" s="45">
        <f>INDEX(overview!$B$4:$R$338,MATCH(B2363,overview!$A$4:$A$338,0),MATCH(A2380,overview!$B$3:$R$3,0))</f>
        <v>0</v>
      </c>
    </row>
    <row r="2381" spans="1:2" hidden="1" x14ac:dyDescent="0.2">
      <c r="A2381" t="str">
        <f>IF(B2365="megajoule","Heat","Electricity")&amp;" conversion efficiency [% LHV input]"</f>
        <v>Heat conversion efficiency [% LHV input]</v>
      </c>
      <c r="B2381" s="46">
        <f>INDEX(parameters!$D$4:$N$20,MATCH(B2369&amp;B2371,parameters!$A$4:$A$20,0),MATCH(A2381,parameters!$D$3:$N$3,0))</f>
        <v>0.41699999999999998</v>
      </c>
    </row>
    <row r="2382" spans="1:2" hidden="1" x14ac:dyDescent="0.2">
      <c r="A2382" t="str">
        <f>IF(B2365="megajoule","LHV [MJ/kg]","LHV [kWh/kg]")</f>
        <v>LHV [MJ/kg]</v>
      </c>
      <c r="B2382" s="47">
        <f>INDEX(parameters!$D$4:$N$20,MATCH(B2369&amp;B2371,parameters!$A$4:$A$20,0),MATCH(A2382,parameters!$D$3:$N$3,0))</f>
        <v>120</v>
      </c>
    </row>
    <row r="2383" spans="1:2" hidden="1" x14ac:dyDescent="0.2">
      <c r="A2383" t="s">
        <v>41</v>
      </c>
      <c r="B2383" s="48">
        <f>INDEX(parameters!$D$4:$N$20,MATCH(B2369&amp;B2371,parameters!$A$4:$A$20,0),MATCH(A2383,parameters!$D$3:$N$3,0))</f>
        <v>2.6666666666666665E-2</v>
      </c>
    </row>
    <row r="2384" spans="1:2" hidden="1" x14ac:dyDescent="0.2">
      <c r="A2384" t="s">
        <v>45</v>
      </c>
      <c r="B2384" s="46">
        <f>INDEX(parameters!$D$4:$N$20,MATCH(B2369&amp;B2371,parameters!$A$4:$A$20,0),MATCH(A2384,parameters!$D$3:$N$3,0))</f>
        <v>0</v>
      </c>
    </row>
    <row r="2385" spans="1:22" hidden="1" x14ac:dyDescent="0.2">
      <c r="A2385" t="s">
        <v>46</v>
      </c>
      <c r="B2385" s="46">
        <f>INDEX(parameters!$D$4:$N$20,MATCH(B2369&amp;B2371,parameters!$A$4:$A$20,0),MATCH(A2385,parameters!$D$3:$N$3,0))</f>
        <v>1.4999999999999999E-2</v>
      </c>
    </row>
    <row r="2386" spans="1:22" hidden="1" x14ac:dyDescent="0.2">
      <c r="A2386" t="s">
        <v>43</v>
      </c>
      <c r="B2386" s="46">
        <f>INDEX(parameters!$D$4:$N$20,MATCH(B2369&amp;B2371,parameters!$A$4:$A$20,0),MATCH(A2386,parameters!$D$3:$N$3,0))</f>
        <v>0</v>
      </c>
    </row>
    <row r="2387" spans="1:22" hidden="1" x14ac:dyDescent="0.2">
      <c r="A2387" t="s">
        <v>44</v>
      </c>
      <c r="B2387" s="46">
        <f>INDEX(parameters!$D$4:$N$20,MATCH(B2369&amp;B2371,parameters!$A$4:$A$20,0),MATCH(A2387,parameters!$D$3:$N$3,0))</f>
        <v>0</v>
      </c>
    </row>
    <row r="2388" spans="1:22" hidden="1" x14ac:dyDescent="0.2">
      <c r="A2388" t="s">
        <v>634</v>
      </c>
      <c r="B2388" s="50">
        <f>INDEX(parameters!$D$4:$Y$20,MATCH(B2369&amp;B2371,parameters!$A$4:$A$20,0),MATCH(A2388,parameters!$D$3:$Y$3,0))</f>
        <v>351.41800246609125</v>
      </c>
    </row>
    <row r="2389" spans="1:22" hidden="1" x14ac:dyDescent="0.2">
      <c r="A2389" t="s">
        <v>82</v>
      </c>
      <c r="B2389" s="46">
        <f>IF(B2380&lt;&gt;0,VLOOKUP(B2380,parameters!A1534:B1536,2,0),0)</f>
        <v>0</v>
      </c>
    </row>
    <row r="2390" spans="1:22" hidden="1" x14ac:dyDescent="0.2">
      <c r="A2390" t="s">
        <v>548</v>
      </c>
      <c r="B2390" s="50">
        <f>INDEX(parameters!$D$4:$P$20,MATCH(B2369&amp;B2371,parameters!$A$4:$A$20,0),MATCH(A2390,parameters!$D$3:$P$3,0))</f>
        <v>125</v>
      </c>
    </row>
    <row r="2391" spans="1:22" hidden="1" x14ac:dyDescent="0.2">
      <c r="A2391" t="s">
        <v>547</v>
      </c>
      <c r="B2391" s="51">
        <f>INDEX(parameters!$D$4:$P$20,MATCH(B2369&amp;B2371,parameters!$A$4:$A$20,0),MATCH(A2391,parameters!$D$3:$P$3,0))</f>
        <v>19.512195121951219</v>
      </c>
    </row>
    <row r="2392" spans="1:22" hidden="1" x14ac:dyDescent="0.2">
      <c r="A2392" t="s">
        <v>630</v>
      </c>
      <c r="B2392" s="51">
        <f>INDEX(parameters!$D$4:$T$20,MATCH(B2369&amp;B2371,parameters!$A$4:$A$20,0),MATCH(A2392,parameters!$D$3:$T$3,0))</f>
        <v>4100</v>
      </c>
    </row>
    <row r="2393" spans="1:22" hidden="1" x14ac:dyDescent="0.2">
      <c r="A2393" t="s">
        <v>1005</v>
      </c>
      <c r="B2393" s="50">
        <f>IF(B2365="megajoule",SUMIFS(allocation!$I$4:$I$30,allocation!$B$4:$B$30,B2371,allocation!$C$4:$C$30,B2372),SUMIFS(allocation!$J$4:$J$30,allocation!$B$4:$B$30,B2371,allocation!$C$4:$C$30,B2372))</f>
        <v>0.12860042227295038</v>
      </c>
    </row>
    <row r="2394" spans="1:22" hidden="1" x14ac:dyDescent="0.2">
      <c r="A2394" t="s">
        <v>1050</v>
      </c>
      <c r="B2394" s="51">
        <f>INDEX(parameters!$D$4:$AB$20,MATCH(B2369&amp;B2371,parameters!$A$4:$A$20,0),MATCH(A2394,parameters!$D$3:$AB$3,0))</f>
        <v>2220.7364520822662</v>
      </c>
    </row>
    <row r="2395" spans="1:22" hidden="1" x14ac:dyDescent="0.2"/>
    <row r="2396" spans="1:22" hidden="1" x14ac:dyDescent="0.2">
      <c r="A2396" s="3" t="s">
        <v>57</v>
      </c>
    </row>
    <row r="2397" spans="1:22" hidden="1" x14ac:dyDescent="0.2">
      <c r="A2397" s="2" t="s">
        <v>58</v>
      </c>
      <c r="B2397" s="44" t="s">
        <v>59</v>
      </c>
      <c r="C2397" s="2" t="s">
        <v>55</v>
      </c>
      <c r="D2397" s="2" t="s">
        <v>60</v>
      </c>
      <c r="E2397" s="2" t="s">
        <v>52</v>
      </c>
      <c r="F2397" s="2" t="s">
        <v>61</v>
      </c>
      <c r="G2397" s="2" t="s">
        <v>54</v>
      </c>
      <c r="H2397" s="2" t="s">
        <v>87</v>
      </c>
      <c r="I2397" s="2" t="s">
        <v>51</v>
      </c>
      <c r="J2397" s="2" t="s">
        <v>138</v>
      </c>
      <c r="K2397" s="2" t="s">
        <v>136</v>
      </c>
      <c r="L2397" s="2" t="s">
        <v>221</v>
      </c>
      <c r="M2397" s="2" t="s">
        <v>379</v>
      </c>
      <c r="N2397" s="2" t="s">
        <v>1059</v>
      </c>
      <c r="O2397" s="2" t="s">
        <v>1060</v>
      </c>
      <c r="P2397" s="2" t="s">
        <v>1061</v>
      </c>
      <c r="Q2397" s="2" t="s">
        <v>1062</v>
      </c>
      <c r="R2397" s="2" t="s">
        <v>1063</v>
      </c>
      <c r="S2397" s="2" t="s">
        <v>1064</v>
      </c>
      <c r="T2397" s="2" t="s">
        <v>1065</v>
      </c>
      <c r="U2397" s="2" t="s">
        <v>380</v>
      </c>
      <c r="V2397" s="2" t="s">
        <v>1128</v>
      </c>
    </row>
    <row r="2398" spans="1:22" hidden="1" x14ac:dyDescent="0.2">
      <c r="A2398" t="str">
        <f>B2359</f>
        <v>heat, residential, by combustion of hydrogen using CHP, allocated by exergy, transported by truck, produced by Steam Methane Reforming, with CCS using natural gas from Russia</v>
      </c>
      <c r="B2398" s="45">
        <v>1</v>
      </c>
      <c r="C2398" t="str">
        <f>B2365</f>
        <v>megajoule</v>
      </c>
      <c r="E2398" t="str">
        <f>B2362</f>
        <v>CH</v>
      </c>
      <c r="F2398" t="s">
        <v>62</v>
      </c>
      <c r="G2398" t="str">
        <f>B2364</f>
        <v>heat, from residential heating system</v>
      </c>
      <c r="K2398" t="str">
        <f>B2359</f>
        <v>heat, residential, by combustion of hydrogen using CHP, allocated by exergy, transported by truck, produced by Steam Methane Reforming, with CCS using natural gas from Russia</v>
      </c>
    </row>
    <row r="2399" spans="1:22" hidden="1" x14ac:dyDescent="0.2">
      <c r="A2399" t="str">
        <f>VLOOKUP(J2399,'dataset mapping'!$A$4:$E$69,2,0)</f>
        <v>heat and power co-generation unit construction, 160kW electrical, common components for heat+electricity</v>
      </c>
      <c r="B2399" s="52">
        <f>(1/(B2388*B2392*B2391*3.6))*B2393</f>
        <v>1.270649883812899E-9</v>
      </c>
      <c r="C2399" t="str">
        <f>VLOOKUP(J2399,'dataset mapping'!$A$4:$E$69,5,0)</f>
        <v>unit</v>
      </c>
      <c r="E2399" t="str">
        <f>VLOOKUP(J2399,'dataset mapping'!$A$4:$E$69,4,0)</f>
        <v>RER</v>
      </c>
      <c r="F2399" t="s">
        <v>86</v>
      </c>
      <c r="G2399" t="str">
        <f>VLOOKUP(J2399,'dataset mapping'!$A$4:$E$69,3,0)</f>
        <v>heat and power co-generation unit, 160kW electrical, common components for heat+electricity</v>
      </c>
      <c r="H2399" t="s">
        <v>88</v>
      </c>
      <c r="J2399" t="s">
        <v>145</v>
      </c>
      <c r="K2399" t="str">
        <f>B2359</f>
        <v>heat, residential, by combustion of hydrogen using CHP, allocated by exergy, transported by truck, produced by Steam Methane Reforming, with CCS using natural gas from Russia</v>
      </c>
      <c r="L2399">
        <f t="shared" ref="L2399:L2407" si="152">IF(OR(B2399&lt;0,B2399=0),1,2)</f>
        <v>2</v>
      </c>
      <c r="M2399">
        <f t="shared" ref="M2399:M2407" si="153">IF(L2399=2,LN(B2399),"")</f>
        <v>-20.48373734782199</v>
      </c>
      <c r="N2399">
        <v>1.05</v>
      </c>
      <c r="O2399" s="15">
        <v>1.2</v>
      </c>
      <c r="P2399">
        <v>1</v>
      </c>
      <c r="Q2399">
        <v>1.01</v>
      </c>
      <c r="R2399">
        <v>1.2</v>
      </c>
      <c r="S2399">
        <v>1.2</v>
      </c>
      <c r="T2399">
        <v>3</v>
      </c>
      <c r="U2399">
        <f t="shared" ref="U2399:U2407" si="154">LN(SQRT(EXP(
SQRT(
+POWER(LN(N2399),2)
+POWER(LN(O2399),2)
+POWER(LN(P2399),2)
+POWER(LN(Q2399),2)
+POWER(LN(R2399),2)
+POWER(LN(S2399),2)
+POWER(LN(T2399),2)
)
)))</f>
        <v>0.57209088006881903</v>
      </c>
    </row>
    <row r="2400" spans="1:22" hidden="1" x14ac:dyDescent="0.2">
      <c r="A2400" t="str">
        <f>VLOOKUP(J2400,'dataset mapping'!$A$4:$E$69,2,0)</f>
        <v>heat and power co-generation unit construction, 160kW electrical, components for electricity only</v>
      </c>
      <c r="B2400" s="52">
        <f>(1/(B2388*B2392*B2391*3.6))*B2393</f>
        <v>1.270649883812899E-9</v>
      </c>
      <c r="C2400" t="str">
        <f>VLOOKUP(J2400,'dataset mapping'!$A$4:$E$69,5,0)</f>
        <v>unit</v>
      </c>
      <c r="E2400" t="str">
        <f>VLOOKUP(J2400,'dataset mapping'!$A$4:$E$69,4,0)</f>
        <v>RER</v>
      </c>
      <c r="F2400" t="s">
        <v>86</v>
      </c>
      <c r="G2400" t="str">
        <f>VLOOKUP(J2400,'dataset mapping'!$A$4:$E$69,3,0)</f>
        <v>heat and power co-generation unit, 160kW electrical, components for electricity only</v>
      </c>
      <c r="H2400" t="s">
        <v>88</v>
      </c>
      <c r="J2400" t="s">
        <v>146</v>
      </c>
      <c r="K2400" t="str">
        <f>B2359</f>
        <v>heat, residential, by combustion of hydrogen using CHP, allocated by exergy, transported by truck, produced by Steam Methane Reforming, with CCS using natural gas from Russia</v>
      </c>
      <c r="L2400">
        <f t="shared" si="152"/>
        <v>2</v>
      </c>
      <c r="M2400">
        <f t="shared" si="153"/>
        <v>-20.48373734782199</v>
      </c>
      <c r="N2400">
        <v>1.05</v>
      </c>
      <c r="O2400" s="15">
        <v>1.2</v>
      </c>
      <c r="P2400">
        <v>1</v>
      </c>
      <c r="Q2400">
        <v>1.01</v>
      </c>
      <c r="R2400">
        <v>1.2</v>
      </c>
      <c r="S2400">
        <v>1.2</v>
      </c>
      <c r="T2400">
        <v>3</v>
      </c>
      <c r="U2400">
        <f t="shared" si="154"/>
        <v>0.57209088006881903</v>
      </c>
    </row>
    <row r="2401" spans="1:22" hidden="1" x14ac:dyDescent="0.2">
      <c r="A2401" t="str">
        <f>VLOOKUP(J2401,'dataset mapping'!$A$4:$E$69,2,0)</f>
        <v>heat and power co-generation unit construction, 160kW electrical, components for heat only</v>
      </c>
      <c r="B2401" s="52">
        <f>(1/(B2388*B2392*B2391*3.6))*B2393</f>
        <v>1.270649883812899E-9</v>
      </c>
      <c r="C2401" t="str">
        <f>VLOOKUP(J2401,'dataset mapping'!$A$4:$E$69,5,0)</f>
        <v>unit</v>
      </c>
      <c r="E2401" t="str">
        <f>VLOOKUP(J2401,'dataset mapping'!$A$4:$E$69,4,0)</f>
        <v>RER</v>
      </c>
      <c r="F2401" t="s">
        <v>86</v>
      </c>
      <c r="G2401" t="str">
        <f>VLOOKUP(J2401,'dataset mapping'!$A$4:$E$69,3,0)</f>
        <v>heat and power co-generation unit, 160kW electrical, components for heat only</v>
      </c>
      <c r="H2401" t="s">
        <v>88</v>
      </c>
      <c r="J2401" t="s">
        <v>147</v>
      </c>
      <c r="K2401" t="str">
        <f>B2359</f>
        <v>heat, residential, by combustion of hydrogen using CHP, allocated by exergy, transported by truck, produced by Steam Methane Reforming, with CCS using natural gas from Russia</v>
      </c>
      <c r="L2401">
        <f t="shared" si="152"/>
        <v>2</v>
      </c>
      <c r="M2401">
        <f t="shared" si="153"/>
        <v>-20.48373734782199</v>
      </c>
      <c r="N2401">
        <v>1.05</v>
      </c>
      <c r="O2401" s="15">
        <v>1.2</v>
      </c>
      <c r="P2401">
        <v>1</v>
      </c>
      <c r="Q2401">
        <v>1.01</v>
      </c>
      <c r="R2401">
        <v>1.2</v>
      </c>
      <c r="S2401">
        <v>1.2</v>
      </c>
      <c r="T2401">
        <v>3</v>
      </c>
      <c r="U2401">
        <f t="shared" si="154"/>
        <v>0.57209088006881903</v>
      </c>
    </row>
    <row r="2402" spans="1:22" hidden="1" x14ac:dyDescent="0.2">
      <c r="A2402" t="s">
        <v>156</v>
      </c>
      <c r="B2402" s="52">
        <f>0.00000011366*B2393</f>
        <v>1.461672399554354E-8</v>
      </c>
      <c r="C2402" t="s">
        <v>56</v>
      </c>
      <c r="E2402" t="s">
        <v>90</v>
      </c>
      <c r="F2402" t="s">
        <v>86</v>
      </c>
      <c r="G2402" t="s">
        <v>154</v>
      </c>
      <c r="H2402" t="s">
        <v>155</v>
      </c>
      <c r="K2402" t="str">
        <f>B2359</f>
        <v>heat, residential, by combustion of hydrogen using CHP, allocated by exergy, transported by truck, produced by Steam Methane Reforming, with CCS using natural gas from Russia</v>
      </c>
      <c r="L2402">
        <f t="shared" si="152"/>
        <v>2</v>
      </c>
      <c r="M2402">
        <f t="shared" si="153"/>
        <v>-18.041099484645969</v>
      </c>
      <c r="N2402">
        <v>1.05</v>
      </c>
      <c r="O2402" s="15">
        <v>1.2</v>
      </c>
      <c r="P2402">
        <v>1</v>
      </c>
      <c r="Q2402">
        <v>1.01</v>
      </c>
      <c r="R2402">
        <v>1.2</v>
      </c>
      <c r="S2402">
        <v>1.2</v>
      </c>
      <c r="T2402">
        <v>1.05</v>
      </c>
      <c r="U2402">
        <f t="shared" si="154"/>
        <v>0.16169679924070957</v>
      </c>
    </row>
    <row r="2403" spans="1:22" hidden="1" x14ac:dyDescent="0.2">
      <c r="A2403" t="s">
        <v>157</v>
      </c>
      <c r="B2403" s="52">
        <f>0.00000011366*B2393*-1</f>
        <v>-1.461672399554354E-8</v>
      </c>
      <c r="C2403" t="s">
        <v>56</v>
      </c>
      <c r="E2403" t="s">
        <v>64</v>
      </c>
      <c r="F2403" t="s">
        <v>86</v>
      </c>
      <c r="G2403" t="s">
        <v>158</v>
      </c>
      <c r="H2403" t="s">
        <v>155</v>
      </c>
      <c r="K2403" t="str">
        <f>B2359</f>
        <v>heat, residential, by combustion of hydrogen using CHP, allocated by exergy, transported by truck, produced by Steam Methane Reforming, with CCS using natural gas from Russia</v>
      </c>
      <c r="L2403">
        <v>2</v>
      </c>
      <c r="M2403">
        <f>IF(L2403=2,LN(B2403*-1),"")</f>
        <v>-18.041099484645969</v>
      </c>
      <c r="N2403">
        <v>1.05</v>
      </c>
      <c r="O2403" s="15">
        <v>1.2</v>
      </c>
      <c r="P2403">
        <v>1</v>
      </c>
      <c r="Q2403">
        <v>1.01</v>
      </c>
      <c r="R2403">
        <v>1.2</v>
      </c>
      <c r="S2403">
        <v>1.2</v>
      </c>
      <c r="T2403">
        <v>3</v>
      </c>
      <c r="U2403">
        <f>LN(SQRT(EXP(
SQRT(
+POWER(LN(N2403),2)
+POWER(LN(O2403),2)
+POWER(LN(P2403),2)
+POWER(LN(Q2403),2)
+POWER(LN(R2403),2)
+POWER(LN(S2403),2)
+POWER(LN(T2403),2)
)
)))</f>
        <v>0.57209088006881903</v>
      </c>
      <c r="V2403" t="b">
        <v>1</v>
      </c>
    </row>
    <row r="2404" spans="1:22" hidden="1" x14ac:dyDescent="0.2">
      <c r="A2404" s="45" t="str">
        <f>"hydrogen supply, transported by "&amp;B2373&amp;", produced by "&amp;B2377&amp;" using "&amp;B2378&amp;" from "&amp;B2379</f>
        <v>hydrogen supply, transported by truck, produced by Steam Methane Reforming, with CCS using natural gas from Russia</v>
      </c>
      <c r="B2404" s="53">
        <f>(B2398/B2382)/B2381*B2393</f>
        <v>2.56995248347223E-3</v>
      </c>
      <c r="C2404" t="s">
        <v>56</v>
      </c>
      <c r="E2404" t="s">
        <v>64</v>
      </c>
      <c r="F2404" t="s">
        <v>86</v>
      </c>
      <c r="G2404" t="s">
        <v>1137</v>
      </c>
      <c r="H2404" t="s">
        <v>76</v>
      </c>
      <c r="I2404" t="s">
        <v>1054</v>
      </c>
      <c r="J2404" t="s">
        <v>365</v>
      </c>
      <c r="K2404" t="str">
        <f>B2359</f>
        <v>heat, residential, by combustion of hydrogen using CHP, allocated by exergy, transported by truck, produced by Steam Methane Reforming, with CCS using natural gas from Russia</v>
      </c>
      <c r="L2404">
        <f t="shared" si="152"/>
        <v>2</v>
      </c>
      <c r="M2404">
        <f t="shared" si="153"/>
        <v>-5.9638678691672418</v>
      </c>
      <c r="N2404">
        <v>1.05</v>
      </c>
      <c r="O2404" s="15">
        <v>1.2</v>
      </c>
      <c r="P2404">
        <v>1</v>
      </c>
      <c r="Q2404">
        <v>1.01</v>
      </c>
      <c r="R2404">
        <v>1.2</v>
      </c>
      <c r="S2404">
        <v>1.2</v>
      </c>
      <c r="T2404">
        <v>1.05</v>
      </c>
      <c r="U2404">
        <f t="shared" si="154"/>
        <v>0.16169679924070957</v>
      </c>
    </row>
    <row r="2405" spans="1:22" hidden="1" x14ac:dyDescent="0.2">
      <c r="A2405" t="str">
        <f>VLOOKUP(J2405,'dataset mapping'!$A$4:$E$69,2,0)</f>
        <v>high pressure hydrogen storage tank</v>
      </c>
      <c r="B2405" s="52">
        <f>((B2394/10)/(B2392*B2388*20*3.6))*IF(B2393&lt;&gt;0,B2393,1)</f>
        <v>2.7529546486023421E-7</v>
      </c>
      <c r="C2405" t="str">
        <f>VLOOKUP(J2405,'dataset mapping'!$A$4:$E$69,5,0)</f>
        <v>kilogram</v>
      </c>
      <c r="E2405" t="str">
        <f>VLOOKUP(J2405,'dataset mapping'!$A$4:$E$69,4,0)</f>
        <v>GLO</v>
      </c>
      <c r="F2405" t="s">
        <v>86</v>
      </c>
      <c r="G2405" t="str">
        <f>VLOOKUP(J2405,'dataset mapping'!$A$4:$E$69,3,0)</f>
        <v>high pressure hydrogen storage tank</v>
      </c>
      <c r="H2405" t="s">
        <v>88</v>
      </c>
      <c r="I2405" t="s">
        <v>279</v>
      </c>
      <c r="J2405" t="s">
        <v>229</v>
      </c>
      <c r="K2405" t="str">
        <f>B2359</f>
        <v>heat, residential, by combustion of hydrogen using CHP, allocated by exergy, transported by truck, produced by Steam Methane Reforming, with CCS using natural gas from Russia</v>
      </c>
      <c r="L2405">
        <f t="shared" si="152"/>
        <v>2</v>
      </c>
      <c r="M2405">
        <f t="shared" si="153"/>
        <v>-15.105420898379837</v>
      </c>
      <c r="N2405">
        <v>1.05</v>
      </c>
      <c r="O2405" s="15">
        <v>1.2</v>
      </c>
      <c r="P2405">
        <v>1</v>
      </c>
      <c r="Q2405">
        <v>1.01</v>
      </c>
      <c r="R2405">
        <v>1.2</v>
      </c>
      <c r="S2405">
        <v>1.2</v>
      </c>
      <c r="T2405">
        <v>3</v>
      </c>
      <c r="U2405">
        <f t="shared" si="154"/>
        <v>0.57209088006881903</v>
      </c>
    </row>
    <row r="2406" spans="1:22" hidden="1" x14ac:dyDescent="0.2">
      <c r="A2406" t="s">
        <v>134</v>
      </c>
      <c r="B2406" s="45">
        <f>B2404*9</f>
        <v>2.3129572351250072E-2</v>
      </c>
      <c r="C2406" t="s">
        <v>56</v>
      </c>
      <c r="D2406" t="s">
        <v>100</v>
      </c>
      <c r="F2406" t="s">
        <v>99</v>
      </c>
      <c r="H2406" t="s">
        <v>131</v>
      </c>
      <c r="I2406" t="s">
        <v>1058</v>
      </c>
      <c r="K2406" t="str">
        <f>B2359</f>
        <v>heat, residential, by combustion of hydrogen using CHP, allocated by exergy, transported by truck, produced by Steam Methane Reforming, with CCS using natural gas from Russia</v>
      </c>
      <c r="L2406">
        <f t="shared" si="152"/>
        <v>2</v>
      </c>
      <c r="M2406">
        <f t="shared" si="153"/>
        <v>-3.7666432918310226</v>
      </c>
      <c r="N2406">
        <v>1.05</v>
      </c>
      <c r="O2406" s="15">
        <v>1.2</v>
      </c>
      <c r="P2406">
        <v>1</v>
      </c>
      <c r="Q2406">
        <v>1.01</v>
      </c>
      <c r="R2406">
        <v>1.2</v>
      </c>
      <c r="S2406">
        <v>1.2</v>
      </c>
      <c r="T2406">
        <v>1.05</v>
      </c>
      <c r="U2406">
        <f t="shared" si="154"/>
        <v>0.16169679924070957</v>
      </c>
    </row>
    <row r="2407" spans="1:22" hidden="1" x14ac:dyDescent="0.2">
      <c r="A2407" t="s">
        <v>135</v>
      </c>
      <c r="B2407" s="45">
        <f>912.5/1000000*B2404</f>
        <v>2.3450816411684101E-6</v>
      </c>
      <c r="C2407" t="s">
        <v>56</v>
      </c>
      <c r="D2407" t="s">
        <v>100</v>
      </c>
      <c r="F2407" t="s">
        <v>99</v>
      </c>
      <c r="H2407" t="s">
        <v>131</v>
      </c>
      <c r="I2407" t="s">
        <v>1217</v>
      </c>
      <c r="K2407" t="str">
        <f>B2359</f>
        <v>heat, residential, by combustion of hydrogen using CHP, allocated by exergy, transported by truck, produced by Steam Methane Reforming, with CCS using natural gas from Russia</v>
      </c>
      <c r="L2407">
        <f t="shared" si="152"/>
        <v>2</v>
      </c>
      <c r="M2407">
        <f t="shared" si="153"/>
        <v>-12.963190341674869</v>
      </c>
      <c r="N2407">
        <v>1.05</v>
      </c>
      <c r="O2407" s="15">
        <v>1.2</v>
      </c>
      <c r="P2407">
        <v>1</v>
      </c>
      <c r="Q2407">
        <v>1.01</v>
      </c>
      <c r="R2407">
        <v>1.2</v>
      </c>
      <c r="S2407">
        <v>1.2</v>
      </c>
      <c r="T2407">
        <v>1.5</v>
      </c>
      <c r="U2407">
        <f t="shared" si="154"/>
        <v>0.25816898211842121</v>
      </c>
    </row>
    <row r="2408" spans="1:22" hidden="1" x14ac:dyDescent="0.2"/>
    <row r="2409" spans="1:22" hidden="1" x14ac:dyDescent="0.2">
      <c r="A2409" s="2" t="s">
        <v>50</v>
      </c>
      <c r="B2409" s="44" t="str">
        <f>IF(B2415="megajoule","heat","electricity")&amp;", residential, by "&amp;B2420&amp;" of "&amp;B2419&amp;" using "&amp;B2421&amp;IF(B2422&lt;&gt;0,", allocated by "&amp;B2422,"")&amp;", transported by "&amp;B2423&amp;", produced by "&amp;B2427&amp;" using "&amp;B2428&amp;" from "&amp;B2429</f>
        <v>heat, residential, by conversion of hydrogen using fuel cell, PEM, allocated by exergy, transported by truck, produced by Steam Methane Reforming, with CCS using natural gas from Russia</v>
      </c>
    </row>
    <row r="2410" spans="1:22" hidden="1" x14ac:dyDescent="0.2">
      <c r="A2410" t="s">
        <v>51</v>
      </c>
      <c r="B2410" s="45" t="str">
        <f>"This dataset represents the supply of 1 "&amp;IF(B2415="megajoule","megajoule of heat","kilowatt hour of electricity")&amp;" in a residence, by "&amp;B2419&amp;" "&amp;B2420&amp;" in a "&amp;B2421&amp;". "&amp;" The hydrogen is transported by "&amp;B2423&amp;" over "&amp;B2424&amp;" km from regional storage. "&amp;" The "&amp;B2419&amp;" is produced by  "&amp;B2427&amp;", with "&amp;B2428&amp;" from "&amp;B2429&amp;" as feedstock. "&amp;A2431&amp;": "&amp;(B2431*100)&amp;"%. "&amp;A2432&amp;": "&amp;B2432&amp;". "&amp;A2433&amp;": "&amp;B2433&amp;". "&amp;A2434&amp;": "&amp;(B2434*100)&amp;"%. "&amp;A2435&amp;": "&amp;(B2435*100)&amp;"%. "&amp;A2436&amp;": "&amp;(B2436*100)&amp;"%. "&amp;A2437&amp;": "&amp;B2437&amp;". "&amp;A2438&amp;": "&amp;B2438&amp;". "&amp;A2439&amp;": "&amp;(B2439*100)&amp;"%. "&amp;A2440&amp;": "&amp;B2440&amp;". "&amp;A2441&amp;": "&amp;B2441&amp;". "&amp;A2442&amp;": "&amp;B2442&amp;". "&amp;A2443&amp;": "&amp;B2443&amp;".  For more information, refer to: "&amp;B2411</f>
        <v>This dataset represents the supply of 1 megajoule of heat in a residence, by hydrogen conversion in a fuel cell, PEM.  The hydrogen is transported by truck over 200 km from regional storage.  The hydrogen is produced by  Steam Methane Reforming, with CCS, with natural gas from Russia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2411" spans="1:22" hidden="1" x14ac:dyDescent="0.2">
      <c r="A2411" t="s">
        <v>63</v>
      </c>
      <c r="B2411" s="45" t="s">
        <v>660</v>
      </c>
    </row>
    <row r="2412" spans="1:22" hidden="1" x14ac:dyDescent="0.2">
      <c r="A2412" t="s">
        <v>52</v>
      </c>
      <c r="B2412" s="45" t="s">
        <v>64</v>
      </c>
    </row>
    <row r="2413" spans="1:22" hidden="1" x14ac:dyDescent="0.2">
      <c r="A2413" t="s">
        <v>48</v>
      </c>
      <c r="B2413" s="45">
        <v>175</v>
      </c>
    </row>
    <row r="2414" spans="1:22" hidden="1" x14ac:dyDescent="0.2">
      <c r="A2414" t="s">
        <v>54</v>
      </c>
      <c r="B2414" s="45" t="str">
        <f>INDEX(overview!$B$4:$R$338,MATCH(B2413,overview!$A$4:$A$338,0),MATCH(A2414,overview!$B$3:$R$3,0))</f>
        <v>heat, from residential heating system</v>
      </c>
    </row>
    <row r="2415" spans="1:22" hidden="1" x14ac:dyDescent="0.2">
      <c r="A2415" t="s">
        <v>55</v>
      </c>
      <c r="B2415" s="45" t="str">
        <f>INDEX(overview!$B$4:$R$338,MATCH(B2413,overview!$A$4:$A$338,0),MATCH(A2415,overview!$B$3:$R$3,0))</f>
        <v>megajoule</v>
      </c>
    </row>
    <row r="2416" spans="1:22" hidden="1" x14ac:dyDescent="0.2">
      <c r="A2416" t="s">
        <v>0</v>
      </c>
      <c r="B2416" s="45" t="str">
        <f>INDEX(overview!$B$4:$R$338,MATCH(B2413,overview!$A$4:$A$338,0),MATCH(A2416,overview!$B$3:$R$3,0))</f>
        <v>Switzerland</v>
      </c>
    </row>
    <row r="2417" spans="1:2" hidden="1" x14ac:dyDescent="0.2">
      <c r="A2417" t="s">
        <v>1</v>
      </c>
      <c r="B2417" s="45">
        <f>INDEX(overview!$B$4:$R$338,MATCH(B2413,overview!$A$4:$A$338,0),MATCH(A2417,overview!$B$3:$R$3,0))</f>
        <v>2020</v>
      </c>
    </row>
    <row r="2418" spans="1:2" hidden="1" x14ac:dyDescent="0.2">
      <c r="A2418" t="s">
        <v>2</v>
      </c>
      <c r="B2418" s="45" t="str">
        <f>INDEX(overview!$B$4:$R$338,MATCH(B2413,overview!$A$4:$A$338,0),MATCH(A2418,overview!$B$3:$R$3,0))</f>
        <v>1 MJ heat</v>
      </c>
    </row>
    <row r="2419" spans="1:2" hidden="1" x14ac:dyDescent="0.2">
      <c r="A2419" t="s">
        <v>5</v>
      </c>
      <c r="B2419" s="45" t="str">
        <f>INDEX(overview!$B$4:$R$338,MATCH(B2413,overview!$A$4:$A$338,0),MATCH(A2419,overview!$B$3:$R$3,0))</f>
        <v>hydrogen</v>
      </c>
    </row>
    <row r="2420" spans="1:2" hidden="1" x14ac:dyDescent="0.2">
      <c r="A2420" t="s">
        <v>3</v>
      </c>
      <c r="B2420" s="45" t="str">
        <f>INDEX(overview!$B$4:$R$338,MATCH(B2413,overview!$A$4:$A$338,0),MATCH(A2420,overview!$B$3:$R$3,0))</f>
        <v>conversion</v>
      </c>
    </row>
    <row r="2421" spans="1:2" hidden="1" x14ac:dyDescent="0.2">
      <c r="A2421" t="s">
        <v>6</v>
      </c>
      <c r="B2421" s="45" t="str">
        <f>INDEX(overview!$B$4:$R$338,MATCH(B2413,overview!$A$4:$A$338,0),MATCH(A2421,overview!$B$3:$R$3,0))</f>
        <v>fuel cell, PEM</v>
      </c>
    </row>
    <row r="2422" spans="1:2" hidden="1" x14ac:dyDescent="0.2">
      <c r="A2422" t="s">
        <v>39</v>
      </c>
      <c r="B2422" s="45" t="str">
        <f>INDEX(overview!$B$4:$R$338,MATCH(B2413,overview!$A$4:$A$338,0),MATCH(A2422,overview!$B$3:$R$3,0))</f>
        <v>exergy</v>
      </c>
    </row>
    <row r="2423" spans="1:2" hidden="1" x14ac:dyDescent="0.2">
      <c r="A2423" t="s">
        <v>4</v>
      </c>
      <c r="B2423" s="45" t="str">
        <f>INDEX(overview!$B$4:$R$338,MATCH(B2413,overview!$A$4:$A$338,0),MATCH(A2423,overview!$B$3:$R$3,0))</f>
        <v>truck</v>
      </c>
    </row>
    <row r="2424" spans="1:2" hidden="1" x14ac:dyDescent="0.2">
      <c r="A2424" t="s">
        <v>38</v>
      </c>
      <c r="B2424" s="45">
        <f>INDEX(overview!$B$4:$R$338,MATCH(B2413,overview!$A$4:$A$338,0),MATCH(A2424,overview!$B$3:$R$3,0))</f>
        <v>200</v>
      </c>
    </row>
    <row r="2425" spans="1:2" hidden="1" x14ac:dyDescent="0.2">
      <c r="A2425" t="s">
        <v>12</v>
      </c>
      <c r="B2425" s="45" t="str">
        <f>INDEX(overview!$B$4:$R$338,MATCH(B2413,overview!$A$4:$A$338,0),MATCH(A2425,overview!$B$3:$R$3,0))</f>
        <v>Pressure vessel for stationary storage</v>
      </c>
    </row>
    <row r="2426" spans="1:2" hidden="1" x14ac:dyDescent="0.2">
      <c r="A2426" t="s">
        <v>34</v>
      </c>
      <c r="B2426" s="45">
        <f>INDEX(overview!$B$4:$R$338,MATCH(B2413,overview!$A$4:$A$338,0),MATCH(A2426,overview!$B$3:$R$3,0))</f>
        <v>0</v>
      </c>
    </row>
    <row r="2427" spans="1:2" hidden="1" x14ac:dyDescent="0.2">
      <c r="A2427" t="s">
        <v>15</v>
      </c>
      <c r="B2427" s="45" t="str">
        <f>INDEX(overview!$B$4:$R$338,MATCH(B2413,overview!$A$4:$A$338,0),MATCH(A2427,overview!$B$3:$R$3,0))</f>
        <v>Steam Methane Reforming, with CCS</v>
      </c>
    </row>
    <row r="2428" spans="1:2" hidden="1" x14ac:dyDescent="0.2">
      <c r="A2428" t="s">
        <v>14</v>
      </c>
      <c r="B2428" s="45" t="str">
        <f>INDEX(overview!$B$4:$R$338,MATCH(B2413,overview!$A$4:$A$338,0),MATCH(A2428,overview!$B$3:$R$3,0))</f>
        <v>natural gas</v>
      </c>
    </row>
    <row r="2429" spans="1:2" hidden="1" x14ac:dyDescent="0.2">
      <c r="A2429" t="s">
        <v>26</v>
      </c>
      <c r="B2429" s="45" t="str">
        <f>INDEX(overview!$B$4:$R$338,MATCH(B2413,overview!$A$4:$A$338,0),MATCH(A2429,overview!$B$3:$R$3,0))</f>
        <v>Russia</v>
      </c>
    </row>
    <row r="2430" spans="1:2" hidden="1" x14ac:dyDescent="0.2">
      <c r="A2430" t="s">
        <v>29</v>
      </c>
      <c r="B2430" s="45">
        <f>INDEX(overview!$B$4:$R$338,MATCH(B2413,overview!$A$4:$A$338,0),MATCH(A2430,overview!$B$3:$R$3,0))</f>
        <v>0</v>
      </c>
    </row>
    <row r="2431" spans="1:2" hidden="1" x14ac:dyDescent="0.2">
      <c r="A2431" t="str">
        <f>IF(B2415="megajoule","Heat","Electricity")&amp;" conversion efficiency [% LHV input]"</f>
        <v>Heat conversion efficiency [% LHV input]</v>
      </c>
      <c r="B2431" s="46">
        <f>INDEX(parameters!$D$4:$N$20,MATCH(B2419&amp;B2421,parameters!$A$4:$A$20,0),MATCH(A2431,parameters!$D$3:$N$3,0))</f>
        <v>0.5</v>
      </c>
    </row>
    <row r="2432" spans="1:2" hidden="1" x14ac:dyDescent="0.2">
      <c r="A2432" t="str">
        <f>IF(B2415="megajoule","LHV [MJ/kg]","LHV [kWh/kg]")</f>
        <v>LHV [MJ/kg]</v>
      </c>
      <c r="B2432" s="47">
        <f>INDEX(parameters!$D$4:$N$20,MATCH(B2419&amp;B2421,parameters!$A$4:$A$20,0),MATCH(A2432,parameters!$D$3:$N$3,0))</f>
        <v>120</v>
      </c>
    </row>
    <row r="2433" spans="1:22" hidden="1" x14ac:dyDescent="0.2">
      <c r="A2433" t="s">
        <v>41</v>
      </c>
      <c r="B2433" s="48">
        <f>INDEX(parameters!$D$4:$N$20,MATCH(B2419&amp;B2421,parameters!$A$4:$A$20,0),MATCH(A2433,parameters!$D$3:$N$3,0))</f>
        <v>2.6666666666666665E-2</v>
      </c>
    </row>
    <row r="2434" spans="1:22" hidden="1" x14ac:dyDescent="0.2">
      <c r="A2434" t="s">
        <v>45</v>
      </c>
      <c r="B2434" s="46">
        <f>INDEX(parameters!$D$4:$N$20,MATCH(B2419&amp;B2421,parameters!$A$4:$A$20,0),MATCH(A2434,parameters!$D$3:$N$3,0))</f>
        <v>0</v>
      </c>
    </row>
    <row r="2435" spans="1:22" hidden="1" x14ac:dyDescent="0.2">
      <c r="A2435" t="s">
        <v>46</v>
      </c>
      <c r="B2435" s="46">
        <f>INDEX(parameters!$D$4:$N$20,MATCH(B2419&amp;B2421,parameters!$A$4:$A$20,0),MATCH(A2435,parameters!$D$3:$N$3,0))</f>
        <v>1.4999999999999999E-2</v>
      </c>
    </row>
    <row r="2436" spans="1:22" hidden="1" x14ac:dyDescent="0.2">
      <c r="A2436" t="s">
        <v>43</v>
      </c>
      <c r="B2436" s="46">
        <f>INDEX(parameters!$D$4:$N$20,MATCH(B2419&amp;B2421,parameters!$A$4:$A$20,0),MATCH(A2436,parameters!$D$3:$N$3,0))</f>
        <v>0</v>
      </c>
    </row>
    <row r="2437" spans="1:22" hidden="1" x14ac:dyDescent="0.2">
      <c r="A2437" t="s">
        <v>44</v>
      </c>
      <c r="B2437" s="46">
        <f>INDEX(parameters!$D$4:$N$20,MATCH(B2419&amp;B2421,parameters!$A$4:$A$20,0),MATCH(A2437,parameters!$D$3:$N$3,0))</f>
        <v>0</v>
      </c>
    </row>
    <row r="2438" spans="1:22" hidden="1" x14ac:dyDescent="0.2">
      <c r="A2438" t="s">
        <v>634</v>
      </c>
      <c r="B2438" s="50">
        <f>INDEX(parameters!$D$4:$Y$20,MATCH(B2419&amp;B2421,parameters!$A$4:$A$20,0),MATCH(A2438,parameters!$D$3:$Y$3,0))</f>
        <v>1.8947368421052633</v>
      </c>
    </row>
    <row r="2439" spans="1:22" hidden="1" x14ac:dyDescent="0.2">
      <c r="A2439" t="s">
        <v>82</v>
      </c>
      <c r="B2439" s="46">
        <f>IF(B2430&lt;&gt;0,VLOOKUP(B2430,parameters!A1587:B1589,2,0),0)</f>
        <v>0</v>
      </c>
    </row>
    <row r="2440" spans="1:22" hidden="1" x14ac:dyDescent="0.2">
      <c r="A2440" t="s">
        <v>548</v>
      </c>
      <c r="B2440" s="50">
        <f>INDEX(parameters!$D$4:$P$20,MATCH(B2419&amp;B2421,parameters!$A$4:$A$20,0),MATCH(A2440,parameters!$D$3:$P$3,0))</f>
        <v>0.8</v>
      </c>
    </row>
    <row r="2441" spans="1:22" hidden="1" x14ac:dyDescent="0.2">
      <c r="A2441" t="s">
        <v>547</v>
      </c>
      <c r="B2441" s="51">
        <f>INDEX(parameters!$D$4:$P$20,MATCH(B2419&amp;B2421,parameters!$A$4:$A$20,0),MATCH(A2441,parameters!$D$3:$P$3,0))</f>
        <v>4.8780487804878048</v>
      </c>
    </row>
    <row r="2442" spans="1:22" hidden="1" x14ac:dyDescent="0.2">
      <c r="A2442" t="s">
        <v>630</v>
      </c>
      <c r="B2442" s="51">
        <f>INDEX(parameters!$D$4:$T$20,MATCH(B2419&amp;B2421,parameters!$A$4:$A$20,0),MATCH(A2442,parameters!$D$3:$T$3,0))</f>
        <v>4100</v>
      </c>
    </row>
    <row r="2443" spans="1:22" hidden="1" x14ac:dyDescent="0.2">
      <c r="A2443" t="s">
        <v>1005</v>
      </c>
      <c r="B2443" s="50">
        <f>IF(B2415="megajoule",SUMIFS(allocation!$I$4:$I$30,allocation!$B$4:$B$30,B2421,allocation!$C$4:$C$30,B2422),SUMIFS(allocation!$J$4:$J$30,allocation!$B$4:$B$30,B2421,allocation!$C$4:$C$30,B2422))</f>
        <v>0.13933980798974457</v>
      </c>
    </row>
    <row r="2444" spans="1:22" hidden="1" x14ac:dyDescent="0.2">
      <c r="A2444" t="s">
        <v>1050</v>
      </c>
      <c r="B2444" s="51">
        <f>INDEX(parameters!$D$4:$AB$20,MATCH(B2419&amp;B2421,parameters!$A$4:$A$20,0),MATCH(A2444,parameters!$D$3:$AB$3,0))</f>
        <v>10.221606648199446</v>
      </c>
    </row>
    <row r="2445" spans="1:22" hidden="1" x14ac:dyDescent="0.2"/>
    <row r="2446" spans="1:22" hidden="1" x14ac:dyDescent="0.2">
      <c r="A2446" s="3" t="s">
        <v>57</v>
      </c>
    </row>
    <row r="2447" spans="1:22" hidden="1" x14ac:dyDescent="0.2">
      <c r="A2447" s="2" t="s">
        <v>58</v>
      </c>
      <c r="B2447" s="44" t="s">
        <v>59</v>
      </c>
      <c r="C2447" s="2" t="s">
        <v>55</v>
      </c>
      <c r="D2447" s="2" t="s">
        <v>60</v>
      </c>
      <c r="E2447" s="2" t="s">
        <v>52</v>
      </c>
      <c r="F2447" s="2" t="s">
        <v>61</v>
      </c>
      <c r="G2447" s="2" t="s">
        <v>54</v>
      </c>
      <c r="H2447" s="2" t="s">
        <v>87</v>
      </c>
      <c r="I2447" s="2" t="s">
        <v>51</v>
      </c>
      <c r="J2447" s="2" t="s">
        <v>138</v>
      </c>
      <c r="K2447" s="2" t="s">
        <v>136</v>
      </c>
      <c r="L2447" s="2" t="s">
        <v>221</v>
      </c>
      <c r="M2447" s="2" t="s">
        <v>379</v>
      </c>
      <c r="N2447" s="2" t="s">
        <v>1059</v>
      </c>
      <c r="O2447" s="2" t="s">
        <v>1060</v>
      </c>
      <c r="P2447" s="2" t="s">
        <v>1061</v>
      </c>
      <c r="Q2447" s="2" t="s">
        <v>1062</v>
      </c>
      <c r="R2447" s="2" t="s">
        <v>1063</v>
      </c>
      <c r="S2447" s="2" t="s">
        <v>1064</v>
      </c>
      <c r="T2447" s="2" t="s">
        <v>1065</v>
      </c>
      <c r="U2447" s="2" t="s">
        <v>380</v>
      </c>
      <c r="V2447" s="2" t="s">
        <v>1128</v>
      </c>
    </row>
    <row r="2448" spans="1:22" x14ac:dyDescent="0.2">
      <c r="A2448" t="str">
        <f>B2409</f>
        <v>heat, residential, by conversion of hydrogen using fuel cell, PEM, allocated by exergy, transported by truck, produced by Steam Methane Reforming, with CCS using natural gas from Russia</v>
      </c>
      <c r="B2448" s="45">
        <v>1</v>
      </c>
      <c r="C2448" t="str">
        <f>B2415</f>
        <v>megajoule</v>
      </c>
      <c r="E2448" t="str">
        <f>B2412</f>
        <v>CH</v>
      </c>
      <c r="F2448" t="s">
        <v>62</v>
      </c>
      <c r="G2448" t="str">
        <f>B2414</f>
        <v>heat, from residential heating system</v>
      </c>
      <c r="K2448" t="str">
        <f>B2409</f>
        <v>heat, residential, by conversion of hydrogen using fuel cell, PEM, allocated by exergy, transported by truck, produced by Steam Methane Reforming, with CCS using natural gas from Russia</v>
      </c>
    </row>
    <row r="2449" spans="1:21" hidden="1" x14ac:dyDescent="0.2">
      <c r="A2449" t="str">
        <f>VLOOKUP(J2449,'dataset mapping'!$A$4:$E$69,2,0)</f>
        <v>fuel cell system assembly, 1 kWe, proton exchange membrane (PEM)</v>
      </c>
      <c r="B2449" s="52">
        <f>(1/(B2438*B2442*B2441*3.6))*B2443</f>
        <v>1.0213951974556892E-6</v>
      </c>
      <c r="C2449" t="str">
        <f>VLOOKUP(J2449,'dataset mapping'!$A$4:$E$69,5,0)</f>
        <v>unit</v>
      </c>
      <c r="E2449" t="str">
        <f>VLOOKUP(J2449,'dataset mapping'!$A$4:$E$69,4,0)</f>
        <v>GLO</v>
      </c>
      <c r="F2449" t="s">
        <v>86</v>
      </c>
      <c r="G2449" t="str">
        <f>VLOOKUP(J2449,'dataset mapping'!$A$4:$E$69,3,0)</f>
        <v>fuel cell system, 1 kWe, proton exchange membrane (PEM)</v>
      </c>
      <c r="H2449" t="s">
        <v>88</v>
      </c>
      <c r="I2449" t="s">
        <v>272</v>
      </c>
      <c r="J2449" t="s">
        <v>273</v>
      </c>
      <c r="K2449" t="str">
        <f>B2409</f>
        <v>heat, residential, by conversion of hydrogen using fuel cell, PEM, allocated by exergy, transported by truck, produced by Steam Methane Reforming, with CCS using natural gas from Russia</v>
      </c>
      <c r="L2449">
        <f t="shared" ref="L2449:L2452" si="155">IF(OR(B2449&lt;0,B2449=0),1,2)</f>
        <v>2</v>
      </c>
      <c r="M2449">
        <f t="shared" ref="M2449:M2452" si="156">IF(L2449=2,LN(B2449),"")</f>
        <v>-13.794341024667077</v>
      </c>
      <c r="N2449">
        <v>1</v>
      </c>
      <c r="O2449" s="15">
        <v>1.2</v>
      </c>
      <c r="P2449">
        <v>1</v>
      </c>
      <c r="Q2449">
        <v>1.01</v>
      </c>
      <c r="R2449">
        <v>1.2</v>
      </c>
      <c r="S2449">
        <v>1.2</v>
      </c>
      <c r="T2449">
        <v>3</v>
      </c>
      <c r="U2449">
        <f t="shared" ref="U2449:U2452" si="157">LN(SQRT(EXP(
SQRT(
+POWER(LN(N2449),2)
+POWER(LN(O2449),2)
+POWER(LN(P2449),2)
+POWER(LN(Q2449),2)
+POWER(LN(R2449),2)
+POWER(LN(S2449),2)
+POWER(LN(T2449),2)
)
)))</f>
        <v>0.57157051623399524</v>
      </c>
    </row>
    <row r="2450" spans="1:21" hidden="1" x14ac:dyDescent="0.2">
      <c r="A2450" s="45" t="str">
        <f>"hydrogen supply, transported by "&amp;B2423&amp;", produced by "&amp;B2427&amp;" using "&amp;B2428&amp;" from "&amp;B2429</f>
        <v>hydrogen supply, transported by truck, produced by Steam Methane Reforming, with CCS using natural gas from Russia</v>
      </c>
      <c r="B2450" s="53">
        <f>(B2448/B2432)/B2431*B2443</f>
        <v>2.3223301331624095E-3</v>
      </c>
      <c r="C2450" t="s">
        <v>56</v>
      </c>
      <c r="E2450" t="s">
        <v>64</v>
      </c>
      <c r="F2450" t="s">
        <v>86</v>
      </c>
      <c r="G2450" t="s">
        <v>1137</v>
      </c>
      <c r="H2450" t="s">
        <v>76</v>
      </c>
      <c r="I2450" t="s">
        <v>1054</v>
      </c>
      <c r="J2450" t="s">
        <v>365</v>
      </c>
      <c r="K2450" t="str">
        <f>B2409</f>
        <v>heat, residential, by conversion of hydrogen using fuel cell, PEM, allocated by exergy, transported by truck, produced by Steam Methane Reforming, with CCS using natural gas from Russia</v>
      </c>
      <c r="L2450">
        <f t="shared" si="155"/>
        <v>2</v>
      </c>
      <c r="M2450">
        <f t="shared" si="156"/>
        <v>-6.0651842296013152</v>
      </c>
      <c r="N2450">
        <v>1</v>
      </c>
      <c r="O2450" s="15">
        <v>1.2</v>
      </c>
      <c r="P2450">
        <v>1</v>
      </c>
      <c r="Q2450">
        <v>1.01</v>
      </c>
      <c r="R2450">
        <v>1.2</v>
      </c>
      <c r="S2450">
        <v>1.2</v>
      </c>
      <c r="T2450">
        <v>1.05</v>
      </c>
      <c r="U2450">
        <f t="shared" si="157"/>
        <v>0.15984597228197622</v>
      </c>
    </row>
    <row r="2451" spans="1:21" hidden="1" x14ac:dyDescent="0.2">
      <c r="A2451" t="str">
        <f>VLOOKUP(J2451,'dataset mapping'!$A$4:$E$69,2,0)</f>
        <v>high pressure hydrogen storage tank</v>
      </c>
      <c r="B2451" s="52">
        <f>((B2444/10)/(B2442*B2438*20*3.6))*IF(B2443&lt;&gt;0,B2443,1)</f>
        <v>2.5464146196956242E-7</v>
      </c>
      <c r="C2451" t="str">
        <f>VLOOKUP(J2451,'dataset mapping'!$A$4:$E$69,5,0)</f>
        <v>kilogram</v>
      </c>
      <c r="E2451" t="str">
        <f>VLOOKUP(J2451,'dataset mapping'!$A$4:$E$69,4,0)</f>
        <v>GLO</v>
      </c>
      <c r="F2451" t="s">
        <v>86</v>
      </c>
      <c r="G2451" t="str">
        <f>VLOOKUP(J2451,'dataset mapping'!$A$4:$E$69,3,0)</f>
        <v>high pressure hydrogen storage tank</v>
      </c>
      <c r="H2451" t="s">
        <v>88</v>
      </c>
      <c r="I2451" t="s">
        <v>280</v>
      </c>
      <c r="J2451" t="s">
        <v>229</v>
      </c>
      <c r="K2451" t="str">
        <f>B2409</f>
        <v>heat, residential, by conversion of hydrogen using fuel cell, PEM, allocated by exergy, transported by truck, produced by Steam Methane Reforming, with CCS using natural gas from Russia</v>
      </c>
      <c r="L2451">
        <f t="shared" si="155"/>
        <v>2</v>
      </c>
      <c r="M2451">
        <f t="shared" si="156"/>
        <v>-15.183409312669692</v>
      </c>
      <c r="N2451">
        <v>1</v>
      </c>
      <c r="O2451" s="15">
        <v>1.2</v>
      </c>
      <c r="P2451">
        <v>1</v>
      </c>
      <c r="Q2451">
        <v>1.01</v>
      </c>
      <c r="R2451">
        <v>1.2</v>
      </c>
      <c r="S2451">
        <v>1.2</v>
      </c>
      <c r="T2451">
        <v>3</v>
      </c>
      <c r="U2451">
        <f t="shared" si="157"/>
        <v>0.57157051623399524</v>
      </c>
    </row>
    <row r="2452" spans="1:21" hidden="1" x14ac:dyDescent="0.2">
      <c r="A2452" t="s">
        <v>134</v>
      </c>
      <c r="B2452" s="45">
        <f>B2450*9</f>
        <v>2.0900971198461685E-2</v>
      </c>
      <c r="C2452" t="s">
        <v>56</v>
      </c>
      <c r="D2452" t="s">
        <v>100</v>
      </c>
      <c r="F2452" t="s">
        <v>99</v>
      </c>
      <c r="H2452" t="s">
        <v>131</v>
      </c>
      <c r="I2452" t="s">
        <v>1057</v>
      </c>
      <c r="K2452" t="str">
        <f>B2409</f>
        <v>heat, residential, by conversion of hydrogen using fuel cell, PEM, allocated by exergy, transported by truck, produced by Steam Methane Reforming, with CCS using natural gas from Russia</v>
      </c>
      <c r="L2452">
        <f t="shared" si="155"/>
        <v>2</v>
      </c>
      <c r="M2452">
        <f t="shared" si="156"/>
        <v>-3.8679596522650961</v>
      </c>
      <c r="N2452">
        <v>1</v>
      </c>
      <c r="O2452" s="15">
        <v>1.2</v>
      </c>
      <c r="P2452">
        <v>1</v>
      </c>
      <c r="Q2452">
        <v>1.01</v>
      </c>
      <c r="R2452">
        <v>1.2</v>
      </c>
      <c r="S2452">
        <v>1.2</v>
      </c>
      <c r="T2452">
        <v>1.05</v>
      </c>
      <c r="U2452">
        <f t="shared" si="157"/>
        <v>0.15984597228197622</v>
      </c>
    </row>
    <row r="2453" spans="1:21" hidden="1" x14ac:dyDescent="0.2"/>
    <row r="2454" spans="1:21" hidden="1" x14ac:dyDescent="0.2">
      <c r="A2454" s="2" t="s">
        <v>50</v>
      </c>
      <c r="B2454" s="44" t="str">
        <f>IF(B2460="megajoule","heat","electricity")&amp;", residential, by "&amp;B2465&amp;" of "&amp;B2464&amp;" using "&amp;B2466&amp;IF(B2467&lt;&gt;0,", allocated by "&amp;B2467,"")&amp;", transported by "&amp;B2468&amp;", produced by "&amp;B2472&amp;" using "&amp;B2473&amp;" from "&amp;B2474</f>
        <v>heat, residential, by conversion of hydrogen using fuel cell, SOFC, allocated by exergy, transported by truck, produced by Steam Methane Reforming, with CCS using natural gas from Russia</v>
      </c>
    </row>
    <row r="2455" spans="1:21" hidden="1" x14ac:dyDescent="0.2">
      <c r="A2455" t="s">
        <v>51</v>
      </c>
      <c r="B2455" s="45" t="str">
        <f>"This dataset represents the supply of 1 "&amp;IF(B2460="megajoule","megajoule of heat","kilowatt hour of electricity")&amp;" in a residence, by "&amp;B2464&amp;" "&amp;B2465&amp;" in a "&amp;B2466&amp;". "&amp;" The hydrogen is transported by "&amp;B2468&amp;" over "&amp;B2469&amp;" km from regional storage. "&amp;" The "&amp;B2464&amp;" is produced by  "&amp;B2472&amp;", with "&amp;B2473&amp;" from "&amp;B2474&amp;" as feedstock. "&amp;A2476&amp;": "&amp;(B2476*100)&amp;"%. "&amp;A2477&amp;": "&amp;B2477&amp;". "&amp;A2478&amp;": "&amp;B2478&amp;". "&amp;A2479&amp;": "&amp;(B2479*100)&amp;"%. "&amp;A2480&amp;": "&amp;(B2480*100)&amp;"%. "&amp;A2481&amp;": "&amp;(B2481*100)&amp;"%. "&amp;A2482&amp;": "&amp;B2482&amp;". "&amp;A2483&amp;": "&amp;B2483&amp;". "&amp;A2484&amp;": "&amp;(B2484*100)&amp;"%. "&amp;A2485&amp;": "&amp;B2485&amp;". "&amp;A2486&amp;": "&amp;B2486&amp;". "&amp;A2487&amp;": "&amp;B2487&amp;". "&amp;A2488&amp;": "&amp;B2488&amp;".  For more information, refer to: "&amp;B2456</f>
        <v>This dataset represents the supply of 1 megajoule of heat in a residence, by hydrogen conversion in a fuel cell, SOFC.  The hydrogen is transported by truck over 200 km from regional storage.  The hydrogen is produced by  Steam Methane Reforming, with CCS, with natural gas from Russia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2456" spans="1:21" hidden="1" x14ac:dyDescent="0.2">
      <c r="A2456" t="s">
        <v>63</v>
      </c>
      <c r="B2456" s="45" t="s">
        <v>660</v>
      </c>
    </row>
    <row r="2457" spans="1:21" hidden="1" x14ac:dyDescent="0.2">
      <c r="A2457" t="s">
        <v>52</v>
      </c>
      <c r="B2457" s="45" t="s">
        <v>64</v>
      </c>
    </row>
    <row r="2458" spans="1:21" hidden="1" x14ac:dyDescent="0.2">
      <c r="A2458" t="s">
        <v>48</v>
      </c>
      <c r="B2458" s="45">
        <v>176</v>
      </c>
    </row>
    <row r="2459" spans="1:21" hidden="1" x14ac:dyDescent="0.2">
      <c r="A2459" t="s">
        <v>54</v>
      </c>
      <c r="B2459" s="45" t="str">
        <f>INDEX(overview!$B$4:$R$338,MATCH(B2458,overview!$A$4:$A$338,0),MATCH(A2459,overview!$B$3:$R$3,0))</f>
        <v>heat, from residential heating system</v>
      </c>
    </row>
    <row r="2460" spans="1:21" hidden="1" x14ac:dyDescent="0.2">
      <c r="A2460" t="s">
        <v>55</v>
      </c>
      <c r="B2460" s="45" t="str">
        <f>INDEX(overview!$B$4:$R$338,MATCH(B2458,overview!$A$4:$A$338,0),MATCH(A2460,overview!$B$3:$R$3,0))</f>
        <v>megajoule</v>
      </c>
    </row>
    <row r="2461" spans="1:21" hidden="1" x14ac:dyDescent="0.2">
      <c r="A2461" t="s">
        <v>0</v>
      </c>
      <c r="B2461" s="45" t="str">
        <f>INDEX(overview!$B$4:$R$338,MATCH(B2458,overview!$A$4:$A$338,0),MATCH(A2461,overview!$B$3:$R$3,0))</f>
        <v>Switzerland</v>
      </c>
    </row>
    <row r="2462" spans="1:21" hidden="1" x14ac:dyDescent="0.2">
      <c r="A2462" t="s">
        <v>1</v>
      </c>
      <c r="B2462" s="45">
        <f>INDEX(overview!$B$4:$R$338,MATCH(B2458,overview!$A$4:$A$338,0),MATCH(A2462,overview!$B$3:$R$3,0))</f>
        <v>2020</v>
      </c>
    </row>
    <row r="2463" spans="1:21" hidden="1" x14ac:dyDescent="0.2">
      <c r="A2463" t="s">
        <v>2</v>
      </c>
      <c r="B2463" s="45" t="str">
        <f>INDEX(overview!$B$4:$R$338,MATCH(B2458,overview!$A$4:$A$338,0),MATCH(A2463,overview!$B$3:$R$3,0))</f>
        <v>1 MJ heat</v>
      </c>
    </row>
    <row r="2464" spans="1:21" hidden="1" x14ac:dyDescent="0.2">
      <c r="A2464" t="s">
        <v>5</v>
      </c>
      <c r="B2464" s="45" t="str">
        <f>INDEX(overview!$B$4:$R$338,MATCH(B2458,overview!$A$4:$A$338,0),MATCH(A2464,overview!$B$3:$R$3,0))</f>
        <v>hydrogen</v>
      </c>
    </row>
    <row r="2465" spans="1:2" hidden="1" x14ac:dyDescent="0.2">
      <c r="A2465" t="s">
        <v>3</v>
      </c>
      <c r="B2465" s="45" t="str">
        <f>INDEX(overview!$B$4:$R$338,MATCH(B2458,overview!$A$4:$A$338,0),MATCH(A2465,overview!$B$3:$R$3,0))</f>
        <v>conversion</v>
      </c>
    </row>
    <row r="2466" spans="1:2" hidden="1" x14ac:dyDescent="0.2">
      <c r="A2466" t="s">
        <v>6</v>
      </c>
      <c r="B2466" s="45" t="str">
        <f>INDEX(overview!$B$4:$R$338,MATCH(B2458,overview!$A$4:$A$338,0),MATCH(A2466,overview!$B$3:$R$3,0))</f>
        <v>fuel cell, SOFC</v>
      </c>
    </row>
    <row r="2467" spans="1:2" hidden="1" x14ac:dyDescent="0.2">
      <c r="A2467" t="s">
        <v>39</v>
      </c>
      <c r="B2467" s="45" t="str">
        <f>INDEX(overview!$B$4:$R$338,MATCH(B2458,overview!$A$4:$A$338,0),MATCH(A2467,overview!$B$3:$R$3,0))</f>
        <v>exergy</v>
      </c>
    </row>
    <row r="2468" spans="1:2" hidden="1" x14ac:dyDescent="0.2">
      <c r="A2468" t="s">
        <v>4</v>
      </c>
      <c r="B2468" s="45" t="str">
        <f>INDEX(overview!$B$4:$R$338,MATCH(B2458,overview!$A$4:$A$338,0),MATCH(A2468,overview!$B$3:$R$3,0))</f>
        <v>truck</v>
      </c>
    </row>
    <row r="2469" spans="1:2" hidden="1" x14ac:dyDescent="0.2">
      <c r="A2469" t="s">
        <v>38</v>
      </c>
      <c r="B2469" s="45">
        <f>INDEX(overview!$B$4:$R$338,MATCH(B2458,overview!$A$4:$A$338,0),MATCH(A2469,overview!$B$3:$R$3,0))</f>
        <v>200</v>
      </c>
    </row>
    <row r="2470" spans="1:2" hidden="1" x14ac:dyDescent="0.2">
      <c r="A2470" t="s">
        <v>12</v>
      </c>
      <c r="B2470" s="45" t="str">
        <f>INDEX(overview!$B$4:$R$338,MATCH(B2458,overview!$A$4:$A$338,0),MATCH(A2470,overview!$B$3:$R$3,0))</f>
        <v>Pressure vessel for stationary storage</v>
      </c>
    </row>
    <row r="2471" spans="1:2" hidden="1" x14ac:dyDescent="0.2">
      <c r="A2471" t="s">
        <v>34</v>
      </c>
      <c r="B2471" s="45">
        <f>INDEX(overview!$B$4:$R$338,MATCH(B2458,overview!$A$4:$A$338,0),MATCH(A2471,overview!$B$3:$R$3,0))</f>
        <v>0</v>
      </c>
    </row>
    <row r="2472" spans="1:2" hidden="1" x14ac:dyDescent="0.2">
      <c r="A2472" t="s">
        <v>15</v>
      </c>
      <c r="B2472" s="45" t="str">
        <f>INDEX(overview!$B$4:$R$338,MATCH(B2458,overview!$A$4:$A$338,0),MATCH(A2472,overview!$B$3:$R$3,0))</f>
        <v>Steam Methane Reforming, with CCS</v>
      </c>
    </row>
    <row r="2473" spans="1:2" hidden="1" x14ac:dyDescent="0.2">
      <c r="A2473" t="s">
        <v>14</v>
      </c>
      <c r="B2473" s="45" t="str">
        <f>INDEX(overview!$B$4:$R$338,MATCH(B2458,overview!$A$4:$A$338,0),MATCH(A2473,overview!$B$3:$R$3,0))</f>
        <v>natural gas</v>
      </c>
    </row>
    <row r="2474" spans="1:2" hidden="1" x14ac:dyDescent="0.2">
      <c r="A2474" t="s">
        <v>26</v>
      </c>
      <c r="B2474" s="45" t="str">
        <f>INDEX(overview!$B$4:$R$338,MATCH(B2458,overview!$A$4:$A$338,0),MATCH(A2474,overview!$B$3:$R$3,0))</f>
        <v>Russia</v>
      </c>
    </row>
    <row r="2475" spans="1:2" hidden="1" x14ac:dyDescent="0.2">
      <c r="A2475" t="s">
        <v>29</v>
      </c>
      <c r="B2475" s="45">
        <f>INDEX(overview!$B$4:$R$338,MATCH(B2458,overview!$A$4:$A$338,0),MATCH(A2475,overview!$B$3:$R$3,0))</f>
        <v>0</v>
      </c>
    </row>
    <row r="2476" spans="1:2" hidden="1" x14ac:dyDescent="0.2">
      <c r="A2476" t="str">
        <f>IF(B2460="megajoule","Heat","Electricity")&amp;" conversion efficiency [% LHV input]"</f>
        <v>Heat conversion efficiency [% LHV input]</v>
      </c>
      <c r="B2476" s="46">
        <f>INDEX(parameters!$D$4:$N$20,MATCH(B2464&amp;B2466,parameters!$A$4:$A$20,0),MATCH(A2476,parameters!$D$3:$N$3,0))</f>
        <v>0.53</v>
      </c>
    </row>
    <row r="2477" spans="1:2" hidden="1" x14ac:dyDescent="0.2">
      <c r="A2477" t="str">
        <f>IF(B2460="megajoule","LHV [MJ/kg]","LHV [kWh/kg]")</f>
        <v>LHV [MJ/kg]</v>
      </c>
      <c r="B2477" s="47">
        <f>INDEX(parameters!$D$4:$N$20,MATCH(B2464&amp;B2466,parameters!$A$4:$A$20,0),MATCH(A2477,parameters!$D$3:$N$3,0))</f>
        <v>120</v>
      </c>
    </row>
    <row r="2478" spans="1:2" hidden="1" x14ac:dyDescent="0.2">
      <c r="A2478" t="s">
        <v>41</v>
      </c>
      <c r="B2478" s="48">
        <f>INDEX(parameters!$D$4:$N$20,MATCH(B2464&amp;B2466,parameters!$A$4:$A$20,0),MATCH(A2478,parameters!$D$3:$N$3,0))</f>
        <v>2.6666666666666665E-2</v>
      </c>
    </row>
    <row r="2479" spans="1:2" hidden="1" x14ac:dyDescent="0.2">
      <c r="A2479" t="s">
        <v>45</v>
      </c>
      <c r="B2479" s="46">
        <f>INDEX(parameters!$D$4:$N$20,MATCH(B2464&amp;B2466,parameters!$A$4:$A$20,0),MATCH(A2479,parameters!$D$3:$N$3,0))</f>
        <v>0</v>
      </c>
    </row>
    <row r="2480" spans="1:2" hidden="1" x14ac:dyDescent="0.2">
      <c r="A2480" t="s">
        <v>46</v>
      </c>
      <c r="B2480" s="46">
        <f>INDEX(parameters!$D$4:$N$20,MATCH(B2464&amp;B2466,parameters!$A$4:$A$20,0),MATCH(A2480,parameters!$D$3:$N$3,0))</f>
        <v>1.4999999999999999E-2</v>
      </c>
    </row>
    <row r="2481" spans="1:22" hidden="1" x14ac:dyDescent="0.2">
      <c r="A2481" t="s">
        <v>43</v>
      </c>
      <c r="B2481" s="46">
        <f>INDEX(parameters!$D$4:$N$20,MATCH(B2464&amp;B2466,parameters!$A$4:$A$20,0),MATCH(A2481,parameters!$D$3:$N$3,0))</f>
        <v>0</v>
      </c>
    </row>
    <row r="2482" spans="1:22" hidden="1" x14ac:dyDescent="0.2">
      <c r="A2482" t="s">
        <v>44</v>
      </c>
      <c r="B2482" s="46">
        <f>INDEX(parameters!$D$4:$N$20,MATCH(B2464&amp;B2466,parameters!$A$4:$A$20,0),MATCH(A2482,parameters!$D$3:$N$3,0))</f>
        <v>0</v>
      </c>
    </row>
    <row r="2483" spans="1:22" hidden="1" x14ac:dyDescent="0.2">
      <c r="A2483" t="s">
        <v>634</v>
      </c>
      <c r="B2483" s="50">
        <f>INDEX(parameters!$D$4:$Y$20,MATCH(B2464&amp;B2466,parameters!$A$4:$A$20,0),MATCH(A2483,parameters!$D$3:$Y$3,0))</f>
        <v>225</v>
      </c>
      <c r="D2483" s="8"/>
    </row>
    <row r="2484" spans="1:22" hidden="1" x14ac:dyDescent="0.2">
      <c r="A2484" t="s">
        <v>82</v>
      </c>
      <c r="B2484" s="46">
        <f>IF(B2475&lt;&gt;0,VLOOKUP(B2475,parameters!A1635:B1637,2,0),0)</f>
        <v>0</v>
      </c>
    </row>
    <row r="2485" spans="1:22" hidden="1" x14ac:dyDescent="0.2">
      <c r="A2485" t="s">
        <v>548</v>
      </c>
      <c r="B2485" s="50">
        <f>INDEX(parameters!$D$4:$P$20,MATCH(B2464&amp;B2466,parameters!$A$4:$A$20,0),MATCH(A2485,parameters!$D$3:$P$3,0))</f>
        <v>100</v>
      </c>
    </row>
    <row r="2486" spans="1:22" hidden="1" x14ac:dyDescent="0.2">
      <c r="A2486" t="s">
        <v>547</v>
      </c>
      <c r="B2486" s="51">
        <f>INDEX(parameters!$D$4:$P$20,MATCH(B2464&amp;B2466,parameters!$A$4:$A$20,0),MATCH(A2486,parameters!$D$3:$P$3,0))</f>
        <v>6</v>
      </c>
    </row>
    <row r="2487" spans="1:22" hidden="1" x14ac:dyDescent="0.2">
      <c r="A2487" t="s">
        <v>630</v>
      </c>
      <c r="B2487" s="51">
        <f>INDEX(parameters!$D$4:$T$20,MATCH(B2464&amp;B2466,parameters!$A$4:$A$20,0),MATCH(A2487,parameters!$D$3:$T$3,0))</f>
        <v>4100</v>
      </c>
    </row>
    <row r="2488" spans="1:22" hidden="1" x14ac:dyDescent="0.2">
      <c r="A2488" t="s">
        <v>1005</v>
      </c>
      <c r="B2488" s="50">
        <f>IF(B2460="megajoule",SUMIFS(allocation!$I$4:$I$30,allocation!$B$4:$B$30,B2466,allocation!$C$4:$C$30,B2467),SUMIFS(allocation!$J$4:$J$30,allocation!$B$4:$B$30,B2466,allocation!$C$4:$C$30,B2467))</f>
        <v>0.13587506510399097</v>
      </c>
    </row>
    <row r="2489" spans="1:22" hidden="1" x14ac:dyDescent="0.2">
      <c r="A2489" t="s">
        <v>1050</v>
      </c>
      <c r="B2489" s="51">
        <f>INDEX(parameters!$D$4:$AB$20,MATCH(B2464&amp;B2466,parameters!$A$4:$A$20,0),MATCH(A2489,parameters!$D$3:$AB$3,0))</f>
        <v>1153.1249999999998</v>
      </c>
    </row>
    <row r="2490" spans="1:22" hidden="1" x14ac:dyDescent="0.2"/>
    <row r="2491" spans="1:22" hidden="1" x14ac:dyDescent="0.2">
      <c r="A2491" s="3" t="s">
        <v>57</v>
      </c>
    </row>
    <row r="2492" spans="1:22" hidden="1" x14ac:dyDescent="0.2">
      <c r="A2492" s="2" t="s">
        <v>58</v>
      </c>
      <c r="B2492" s="44" t="s">
        <v>59</v>
      </c>
      <c r="C2492" s="2" t="s">
        <v>55</v>
      </c>
      <c r="D2492" s="2" t="s">
        <v>60</v>
      </c>
      <c r="E2492" s="2" t="s">
        <v>52</v>
      </c>
      <c r="F2492" s="2" t="s">
        <v>61</v>
      </c>
      <c r="G2492" s="2" t="s">
        <v>54</v>
      </c>
      <c r="H2492" s="2" t="s">
        <v>87</v>
      </c>
      <c r="I2492" s="2" t="s">
        <v>51</v>
      </c>
      <c r="J2492" s="2" t="s">
        <v>138</v>
      </c>
      <c r="K2492" s="2" t="s">
        <v>136</v>
      </c>
      <c r="L2492" s="2" t="s">
        <v>221</v>
      </c>
      <c r="M2492" s="2" t="s">
        <v>379</v>
      </c>
      <c r="N2492" s="2" t="s">
        <v>1059</v>
      </c>
      <c r="O2492" s="2" t="s">
        <v>1060</v>
      </c>
      <c r="P2492" s="2" t="s">
        <v>1061</v>
      </c>
      <c r="Q2492" s="2" t="s">
        <v>1062</v>
      </c>
      <c r="R2492" s="2" t="s">
        <v>1063</v>
      </c>
      <c r="S2492" s="2" t="s">
        <v>1064</v>
      </c>
      <c r="T2492" s="2" t="s">
        <v>1065</v>
      </c>
      <c r="U2492" s="2" t="s">
        <v>380</v>
      </c>
      <c r="V2492" s="2" t="s">
        <v>1128</v>
      </c>
    </row>
    <row r="2493" spans="1:22" x14ac:dyDescent="0.2">
      <c r="A2493" t="str">
        <f>B2454</f>
        <v>heat, residential, by conversion of hydrogen using fuel cell, SOFC, allocated by exergy, transported by truck, produced by Steam Methane Reforming, with CCS using natural gas from Russia</v>
      </c>
      <c r="B2493" s="45">
        <v>1</v>
      </c>
      <c r="C2493" t="str">
        <f>B2460</f>
        <v>megajoule</v>
      </c>
      <c r="E2493" t="str">
        <f>B2457</f>
        <v>CH</v>
      </c>
      <c r="F2493" t="s">
        <v>62</v>
      </c>
      <c r="G2493" t="str">
        <f>B2459</f>
        <v>heat, from residential heating system</v>
      </c>
      <c r="K2493" t="str">
        <f>B2454</f>
        <v>heat, residential, by conversion of hydrogen using fuel cell, SOFC, allocated by exergy, transported by truck, produced by Steam Methane Reforming, with CCS using natural gas from Russia</v>
      </c>
    </row>
    <row r="2494" spans="1:22" hidden="1" x14ac:dyDescent="0.2">
      <c r="A2494" t="str">
        <f>VLOOKUP(J2494,'dataset mapping'!$A$4:$E$69,2,0)</f>
        <v>fuel cell production, stack solid oxide, 125kW electrical, future</v>
      </c>
      <c r="B2494" s="52">
        <f>1/(62*1000000)/B2476*SUMIFS(allocation!$I$4:$I$30,allocation!$B$4:$B$30,B2466,allocation!$C$4:$C$30,B2467)</f>
        <v>4.1349685059035601E-9</v>
      </c>
      <c r="C2494" t="str">
        <f>VLOOKUP(J2494,'dataset mapping'!$A$4:$E$69,5,0)</f>
        <v>unit</v>
      </c>
      <c r="E2494" t="str">
        <f>VLOOKUP(J2494,'dataset mapping'!$A$4:$E$69,4,0)</f>
        <v>CH</v>
      </c>
      <c r="F2494" t="s">
        <v>86</v>
      </c>
      <c r="G2494" t="str">
        <f>VLOOKUP(J2494,'dataset mapping'!$A$4:$E$69,3,0)</f>
        <v>fuel cell, stack solid oxide, 125kW electrical, future</v>
      </c>
      <c r="H2494" t="s">
        <v>88</v>
      </c>
      <c r="I2494" t="s">
        <v>277</v>
      </c>
      <c r="J2494" t="s">
        <v>274</v>
      </c>
      <c r="K2494" t="str">
        <f>B2454</f>
        <v>heat, residential, by conversion of hydrogen using fuel cell, SOFC, allocated by exergy, transported by truck, produced by Steam Methane Reforming, with CCS using natural gas from Russia</v>
      </c>
      <c r="L2494">
        <f t="shared" ref="L2494:L2500" si="158">IF(OR(B2494&lt;0,B2494=0),1,2)</f>
        <v>2</v>
      </c>
      <c r="M2494">
        <f t="shared" ref="M2494:M2500" si="159">IF(L2494=2,LN(B2494),"")</f>
        <v>-19.303786124968067</v>
      </c>
      <c r="N2494">
        <v>1</v>
      </c>
      <c r="O2494" s="15">
        <v>1.2</v>
      </c>
      <c r="P2494">
        <v>1</v>
      </c>
      <c r="Q2494">
        <v>1.01</v>
      </c>
      <c r="R2494">
        <v>1.2</v>
      </c>
      <c r="S2494">
        <v>1.2</v>
      </c>
      <c r="T2494">
        <v>3</v>
      </c>
      <c r="U2494">
        <f t="shared" ref="U2494:U2500" si="160">LN(SQRT(EXP(
SQRT(
+POWER(LN(N2494),2)
+POWER(LN(O2494),2)
+POWER(LN(P2494),2)
+POWER(LN(Q2494),2)
+POWER(LN(R2494),2)
+POWER(LN(S2494),2)
+POWER(LN(T2494),2)
)
)))</f>
        <v>0.57157051623399524</v>
      </c>
    </row>
    <row r="2495" spans="1:22" hidden="1" x14ac:dyDescent="0.2">
      <c r="A2495" t="s">
        <v>283</v>
      </c>
      <c r="B2495" s="52">
        <f>0.000000145/B2476*SUMIFS(allocation!$I$4:$I$30,allocation!$B$4:$B$30,B2466,allocation!$C$4:$C$30,B2467)</f>
        <v>3.7173366868072996E-8</v>
      </c>
      <c r="C2495" t="s">
        <v>55</v>
      </c>
      <c r="E2495" t="s">
        <v>64</v>
      </c>
      <c r="F2495" t="s">
        <v>86</v>
      </c>
      <c r="G2495" t="s">
        <v>284</v>
      </c>
      <c r="H2495" t="s">
        <v>88</v>
      </c>
      <c r="I2495" t="s">
        <v>277</v>
      </c>
      <c r="K2495" t="str">
        <f>B2454</f>
        <v>heat, residential, by conversion of hydrogen using fuel cell, SOFC, allocated by exergy, transported by truck, produced by Steam Methane Reforming, with CCS using natural gas from Russia</v>
      </c>
      <c r="L2495">
        <f t="shared" si="158"/>
        <v>2</v>
      </c>
      <c r="M2495">
        <f t="shared" si="159"/>
        <v>-17.107673276484537</v>
      </c>
      <c r="N2495">
        <v>1</v>
      </c>
      <c r="O2495" s="15">
        <v>1.2</v>
      </c>
      <c r="P2495">
        <v>1</v>
      </c>
      <c r="Q2495">
        <v>1.01</v>
      </c>
      <c r="R2495">
        <v>1.2</v>
      </c>
      <c r="S2495">
        <v>1.2</v>
      </c>
      <c r="T2495">
        <v>3</v>
      </c>
      <c r="U2495">
        <f t="shared" si="160"/>
        <v>0.57157051623399524</v>
      </c>
    </row>
    <row r="2496" spans="1:22" hidden="1" x14ac:dyDescent="0.2">
      <c r="A2496" t="s">
        <v>285</v>
      </c>
      <c r="B2496" s="52">
        <f>0.0000000115/B2476*SUMIFS(allocation!$I$4:$I$30,allocation!$B$4:$B$30,B2466,allocation!$C$4:$C$30,B2467)</f>
        <v>2.9482325447092381E-9</v>
      </c>
      <c r="C2496" t="s">
        <v>55</v>
      </c>
      <c r="E2496" t="s">
        <v>90</v>
      </c>
      <c r="F2496" t="s">
        <v>86</v>
      </c>
      <c r="G2496" t="s">
        <v>286</v>
      </c>
      <c r="H2496" t="s">
        <v>88</v>
      </c>
      <c r="K2496" t="str">
        <f>B2454</f>
        <v>heat, residential, by conversion of hydrogen using fuel cell, SOFC, allocated by exergy, transported by truck, produced by Steam Methane Reforming, with CCS using natural gas from Russia</v>
      </c>
      <c r="L2496">
        <f t="shared" si="158"/>
        <v>2</v>
      </c>
      <c r="M2496">
        <f t="shared" si="159"/>
        <v>-19.642059983535908</v>
      </c>
      <c r="N2496">
        <v>1</v>
      </c>
      <c r="O2496" s="15">
        <v>1.2</v>
      </c>
      <c r="P2496">
        <v>1</v>
      </c>
      <c r="Q2496">
        <v>1.01</v>
      </c>
      <c r="R2496">
        <v>1.2</v>
      </c>
      <c r="S2496">
        <v>1.2</v>
      </c>
      <c r="T2496">
        <v>3</v>
      </c>
      <c r="U2496">
        <f t="shared" si="160"/>
        <v>0.57157051623399524</v>
      </c>
    </row>
    <row r="2497" spans="1:21" hidden="1" x14ac:dyDescent="0.2">
      <c r="A2497" t="s">
        <v>288</v>
      </c>
      <c r="B2497" s="52">
        <f>0.000024/B2476*SUMIFS(allocation!$I$4:$I$30,allocation!$B$4:$B$30,B2466,allocation!$C$4:$C$30,B2467)</f>
        <v>6.152833136784497E-6</v>
      </c>
      <c r="C2497" t="s">
        <v>56</v>
      </c>
      <c r="E2497" t="s">
        <v>64</v>
      </c>
      <c r="F2497" t="s">
        <v>86</v>
      </c>
      <c r="G2497" t="s">
        <v>287</v>
      </c>
      <c r="H2497" t="s">
        <v>88</v>
      </c>
      <c r="K2497" t="str">
        <f>B2454</f>
        <v>heat, residential, by conversion of hydrogen using fuel cell, SOFC, allocated by exergy, transported by truck, produced by Steam Methane Reforming, with CCS using natural gas from Russia</v>
      </c>
      <c r="L2497">
        <f t="shared" si="158"/>
        <v>2</v>
      </c>
      <c r="M2497">
        <f t="shared" si="159"/>
        <v>-11.998597909575029</v>
      </c>
      <c r="N2497">
        <v>1</v>
      </c>
      <c r="O2497" s="15">
        <v>1.2</v>
      </c>
      <c r="P2497">
        <v>1</v>
      </c>
      <c r="Q2497">
        <v>1.01</v>
      </c>
      <c r="R2497">
        <v>1.2</v>
      </c>
      <c r="S2497">
        <v>1.2</v>
      </c>
      <c r="T2497">
        <v>1.05</v>
      </c>
      <c r="U2497">
        <f t="shared" si="160"/>
        <v>0.15984597228197622</v>
      </c>
    </row>
    <row r="2498" spans="1:21" hidden="1" x14ac:dyDescent="0.2">
      <c r="A2498" s="45" t="str">
        <f>"hydrogen supply, transported by "&amp;B2468&amp;", produced by "&amp;B2472&amp;" using "&amp;B2473&amp;" from "&amp;B2474</f>
        <v>hydrogen supply, transported by truck, produced by Steam Methane Reforming, with CCS using natural gas from Russia</v>
      </c>
      <c r="B2498" s="53">
        <f>(B2493/B2477)/B2476*B2488</f>
        <v>2.1364003947168392E-3</v>
      </c>
      <c r="C2498" t="s">
        <v>56</v>
      </c>
      <c r="E2498" t="s">
        <v>64</v>
      </c>
      <c r="F2498" t="s">
        <v>86</v>
      </c>
      <c r="G2498" t="s">
        <v>1137</v>
      </c>
      <c r="H2498" t="s">
        <v>76</v>
      </c>
      <c r="I2498" t="s">
        <v>1054</v>
      </c>
      <c r="J2498" t="s">
        <v>365</v>
      </c>
      <c r="K2498" t="str">
        <f>B2454</f>
        <v>heat, residential, by conversion of hydrogen using fuel cell, SOFC, allocated by exergy, transported by truck, produced by Steam Methane Reforming, with CCS using natural gas from Russia</v>
      </c>
      <c r="L2498">
        <f t="shared" si="158"/>
        <v>2</v>
      </c>
      <c r="M2498">
        <f t="shared" si="159"/>
        <v>-6.1486329247407472</v>
      </c>
      <c r="N2498">
        <v>1</v>
      </c>
      <c r="O2498" s="15">
        <v>1.2</v>
      </c>
      <c r="P2498">
        <v>1</v>
      </c>
      <c r="Q2498">
        <v>1.01</v>
      </c>
      <c r="R2498">
        <v>1.2</v>
      </c>
      <c r="S2498">
        <v>1.2</v>
      </c>
      <c r="T2498">
        <v>1.05</v>
      </c>
      <c r="U2498">
        <f t="shared" si="160"/>
        <v>0.15984597228197622</v>
      </c>
    </row>
    <row r="2499" spans="1:21" hidden="1" x14ac:dyDescent="0.2">
      <c r="A2499" t="str">
        <f>VLOOKUP(J2499,'dataset mapping'!$A$4:$E$69,2,0)</f>
        <v>high pressure hydrogen storage tank</v>
      </c>
      <c r="B2499" s="52">
        <f>((B2489/10)/(B2487*B2483*20*3.6))*IF(B2488&lt;&gt;0,B2488,1)</f>
        <v>2.3589421024998428E-7</v>
      </c>
      <c r="C2499" t="str">
        <f>VLOOKUP(J2499,'dataset mapping'!$A$4:$E$69,5,0)</f>
        <v>kilogram</v>
      </c>
      <c r="E2499" t="str">
        <f>VLOOKUP(J2499,'dataset mapping'!$A$4:$E$69,4,0)</f>
        <v>GLO</v>
      </c>
      <c r="F2499" t="s">
        <v>86</v>
      </c>
      <c r="G2499" t="str">
        <f>VLOOKUP(J2499,'dataset mapping'!$A$4:$E$69,3,0)</f>
        <v>high pressure hydrogen storage tank</v>
      </c>
      <c r="H2499" t="s">
        <v>88</v>
      </c>
      <c r="I2499" t="s">
        <v>230</v>
      </c>
      <c r="J2499" t="s">
        <v>229</v>
      </c>
      <c r="K2499" t="str">
        <f>B2454</f>
        <v>heat, residential, by conversion of hydrogen using fuel cell, SOFC, allocated by exergy, transported by truck, produced by Steam Methane Reforming, with CCS using natural gas from Russia</v>
      </c>
      <c r="L2499">
        <f t="shared" si="158"/>
        <v>2</v>
      </c>
      <c r="M2499">
        <f t="shared" si="159"/>
        <v>-15.259882394072699</v>
      </c>
      <c r="N2499">
        <v>1</v>
      </c>
      <c r="O2499" s="15">
        <v>1.2</v>
      </c>
      <c r="P2499">
        <v>1</v>
      </c>
      <c r="Q2499">
        <v>1.01</v>
      </c>
      <c r="R2499">
        <v>1.2</v>
      </c>
      <c r="S2499">
        <v>1.2</v>
      </c>
      <c r="T2499">
        <v>3</v>
      </c>
      <c r="U2499">
        <f t="shared" si="160"/>
        <v>0.57157051623399524</v>
      </c>
    </row>
    <row r="2500" spans="1:21" hidden="1" x14ac:dyDescent="0.2">
      <c r="A2500" t="s">
        <v>134</v>
      </c>
      <c r="B2500" s="45">
        <f>B2498*9</f>
        <v>1.9227603552451553E-2</v>
      </c>
      <c r="C2500" t="s">
        <v>56</v>
      </c>
      <c r="D2500" t="s">
        <v>100</v>
      </c>
      <c r="F2500" t="s">
        <v>99</v>
      </c>
      <c r="H2500" t="s">
        <v>131</v>
      </c>
      <c r="I2500" t="s">
        <v>1057</v>
      </c>
      <c r="K2500" t="str">
        <f>B2454</f>
        <v>heat, residential, by conversion of hydrogen using fuel cell, SOFC, allocated by exergy, transported by truck, produced by Steam Methane Reforming, with CCS using natural gas from Russia</v>
      </c>
      <c r="L2500">
        <f t="shared" si="158"/>
        <v>2</v>
      </c>
      <c r="M2500">
        <f t="shared" si="159"/>
        <v>-3.9514083474045276</v>
      </c>
      <c r="N2500">
        <v>1</v>
      </c>
      <c r="O2500" s="15">
        <v>1.2</v>
      </c>
      <c r="P2500">
        <v>1</v>
      </c>
      <c r="Q2500">
        <v>1.01</v>
      </c>
      <c r="R2500">
        <v>1.2</v>
      </c>
      <c r="S2500">
        <v>1.2</v>
      </c>
      <c r="T2500">
        <v>1.05</v>
      </c>
      <c r="U2500">
        <f t="shared" si="160"/>
        <v>0.15984597228197622</v>
      </c>
    </row>
    <row r="2501" spans="1:21" hidden="1" x14ac:dyDescent="0.2"/>
    <row r="2502" spans="1:21" hidden="1" x14ac:dyDescent="0.2">
      <c r="A2502" s="2" t="s">
        <v>50</v>
      </c>
      <c r="B2502" s="44" t="str">
        <f>IF(B2508="megajoule","heat","electricity")&amp;", residential, by "&amp;B2513&amp;" of "&amp;B2512&amp;" using "&amp;B2514&amp;IF(B2515&lt;&gt;0,", allocated by "&amp;B2515,"")&amp;", transported by "&amp;B2516&amp;", produced by "&amp;B2520&amp;" using "&amp;B2521&amp;" from "&amp;B2522</f>
        <v>electricity, residential, by combustion of hydrogen using CHP, allocated by exergy, transported by truck, produced by Steam Methane Reforming, with CCS using natural gas from Russia</v>
      </c>
    </row>
    <row r="2503" spans="1:21" hidden="1" x14ac:dyDescent="0.2">
      <c r="A2503" t="s">
        <v>51</v>
      </c>
      <c r="B2503" s="45" t="str">
        <f>"This dataset represents the supply of 1 "&amp;IF(B2508="megajoule","megajoule of heat","kilowatt hour of electricity")&amp;" in a residence, by "&amp;B2512&amp;" "&amp;B2513&amp;" in a "&amp;B2514&amp;". "&amp;" The hydrogen is transported by "&amp;B2516&amp;" over "&amp;B2517&amp;" km from regional storage. "&amp;" The "&amp;B2512&amp;" is produced by  "&amp;B2520&amp;", with "&amp;B2521&amp;" from "&amp;B2522&amp;" as feedstock. "&amp;A2524&amp;": "&amp;(B2524*100)&amp;"%. "&amp;A2525&amp;": "&amp;B2525&amp;". "&amp;A2526&amp;": "&amp;B2526&amp;". "&amp;A2527&amp;": "&amp;(B2527*100)&amp;"%. "&amp;A2528&amp;": "&amp;(B2528*100)&amp;"%. "&amp;A2529&amp;": "&amp;(B2529*100)&amp;"%. "&amp;A2530&amp;": "&amp;B2530&amp;". "&amp;A2531&amp;": "&amp;B2531&amp;". "&amp;A2532&amp;": "&amp;(B2532*100)&amp;"%. "&amp;A2533&amp;": "&amp;B2533&amp;". "&amp;A2534&amp;": "&amp;B2534&amp;". "&amp;A2535&amp;": "&amp;B2535&amp;". "&amp;A2536&amp;": "&amp;B2536&amp;".  For more information, refer to: "&amp;B2504</f>
        <v>This dataset represents the supply of 1 kilowatt hour of electricity in a residence, by hydrogen combustion in a CHP.  The hydrogen is transported by truck over 200 km from regional storage.  The hydrogen is produced by  Steam Methane Reforming, with CCS, with natural gas from Russia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2504" spans="1:21" hidden="1" x14ac:dyDescent="0.2">
      <c r="A2504" t="s">
        <v>63</v>
      </c>
      <c r="B2504" s="45" t="s">
        <v>660</v>
      </c>
    </row>
    <row r="2505" spans="1:21" hidden="1" x14ac:dyDescent="0.2">
      <c r="A2505" t="s">
        <v>52</v>
      </c>
      <c r="B2505" s="45" t="s">
        <v>64</v>
      </c>
    </row>
    <row r="2506" spans="1:21" hidden="1" x14ac:dyDescent="0.2">
      <c r="A2506" t="s">
        <v>48</v>
      </c>
      <c r="B2506" s="45" t="s">
        <v>994</v>
      </c>
    </row>
    <row r="2507" spans="1:21" hidden="1" x14ac:dyDescent="0.2">
      <c r="A2507" t="s">
        <v>54</v>
      </c>
      <c r="B2507" s="45" t="str">
        <f>INDEX(overview!$B$4:$R$338,MATCH(B2506,overview!$A$4:$A$338,0),MATCH(A2507,overview!$B$3:$R$3,0))</f>
        <v>electricity, from residential heating system</v>
      </c>
    </row>
    <row r="2508" spans="1:21" hidden="1" x14ac:dyDescent="0.2">
      <c r="A2508" t="s">
        <v>55</v>
      </c>
      <c r="B2508" s="45" t="str">
        <f>INDEX(overview!$B$4:$R$338,MATCH(B2506,overview!$A$4:$A$338,0),MATCH(A2508,overview!$B$3:$R$3,0))</f>
        <v>kilowatt hour</v>
      </c>
    </row>
    <row r="2509" spans="1:21" hidden="1" x14ac:dyDescent="0.2">
      <c r="A2509" t="s">
        <v>0</v>
      </c>
      <c r="B2509" s="45" t="str">
        <f>INDEX(overview!$B$4:$R$338,MATCH(B2506,overview!$A$4:$A$338,0),MATCH(A2509,overview!$B$3:$R$3,0))</f>
        <v>Switzerland</v>
      </c>
    </row>
    <row r="2510" spans="1:21" hidden="1" x14ac:dyDescent="0.2">
      <c r="A2510" t="s">
        <v>1</v>
      </c>
      <c r="B2510" s="45">
        <f>INDEX(overview!$B$4:$R$338,MATCH(B2506,overview!$A$4:$A$338,0),MATCH(A2510,overview!$B$3:$R$3,0))</f>
        <v>2020</v>
      </c>
    </row>
    <row r="2511" spans="1:21" hidden="1" x14ac:dyDescent="0.2">
      <c r="A2511" t="s">
        <v>2</v>
      </c>
      <c r="B2511" s="45" t="str">
        <f>INDEX(overview!$B$4:$R$338,MATCH(B2506,overview!$A$4:$A$338,0),MATCH(A2511,overview!$B$3:$R$3,0))</f>
        <v>1 kWh electricity</v>
      </c>
    </row>
    <row r="2512" spans="1:21" hidden="1" x14ac:dyDescent="0.2">
      <c r="A2512" t="s">
        <v>5</v>
      </c>
      <c r="B2512" s="45" t="str">
        <f>INDEX(overview!$B$4:$R$338,MATCH(B2506,overview!$A$4:$A$338,0),MATCH(A2512,overview!$B$3:$R$3,0))</f>
        <v>hydrogen</v>
      </c>
    </row>
    <row r="2513" spans="1:2" hidden="1" x14ac:dyDescent="0.2">
      <c r="A2513" t="s">
        <v>3</v>
      </c>
      <c r="B2513" s="45" t="str">
        <f>INDEX(overview!$B$4:$R$338,MATCH(B2506,overview!$A$4:$A$338,0),MATCH(A2513,overview!$B$3:$R$3,0))</f>
        <v>combustion</v>
      </c>
    </row>
    <row r="2514" spans="1:2" hidden="1" x14ac:dyDescent="0.2">
      <c r="A2514" t="s">
        <v>6</v>
      </c>
      <c r="B2514" s="45" t="str">
        <f>INDEX(overview!$B$4:$R$338,MATCH(B2506,overview!$A$4:$A$338,0),MATCH(A2514,overview!$B$3:$R$3,0))</f>
        <v>CHP</v>
      </c>
    </row>
    <row r="2515" spans="1:2" hidden="1" x14ac:dyDescent="0.2">
      <c r="A2515" t="s">
        <v>39</v>
      </c>
      <c r="B2515" s="45" t="str">
        <f>INDEX(overview!$B$4:$R$338,MATCH(B2506,overview!$A$4:$A$338,0),MATCH(A2515,overview!$B$3:$R$3,0))</f>
        <v>exergy</v>
      </c>
    </row>
    <row r="2516" spans="1:2" hidden="1" x14ac:dyDescent="0.2">
      <c r="A2516" t="s">
        <v>4</v>
      </c>
      <c r="B2516" s="45" t="str">
        <f>INDEX(overview!$B$4:$R$338,MATCH(B2506,overview!$A$4:$A$338,0),MATCH(A2516,overview!$B$3:$R$3,0))</f>
        <v>truck</v>
      </c>
    </row>
    <row r="2517" spans="1:2" hidden="1" x14ac:dyDescent="0.2">
      <c r="A2517" t="s">
        <v>38</v>
      </c>
      <c r="B2517" s="45">
        <f>INDEX(overview!$B$4:$R$338,MATCH(B2506,overview!$A$4:$A$338,0),MATCH(A2517,overview!$B$3:$R$3,0))</f>
        <v>200</v>
      </c>
    </row>
    <row r="2518" spans="1:2" hidden="1" x14ac:dyDescent="0.2">
      <c r="A2518" t="s">
        <v>12</v>
      </c>
      <c r="B2518" s="45" t="str">
        <f>INDEX(overview!$B$4:$R$338,MATCH(B2506,overview!$A$4:$A$338,0),MATCH(A2518,overview!$B$3:$R$3,0))</f>
        <v>Pressure vessel for stationary storage</v>
      </c>
    </row>
    <row r="2519" spans="1:2" hidden="1" x14ac:dyDescent="0.2">
      <c r="A2519" t="s">
        <v>34</v>
      </c>
      <c r="B2519" s="45">
        <f>INDEX(overview!$B$4:$R$338,MATCH(B2506,overview!$A$4:$A$338,0),MATCH(A2519,overview!$B$3:$R$3,0))</f>
        <v>0</v>
      </c>
    </row>
    <row r="2520" spans="1:2" hidden="1" x14ac:dyDescent="0.2">
      <c r="A2520" t="s">
        <v>15</v>
      </c>
      <c r="B2520" s="45" t="str">
        <f>INDEX(overview!$B$4:$R$338,MATCH(B2506,overview!$A$4:$A$338,0),MATCH(A2520,overview!$B$3:$R$3,0))</f>
        <v>Steam Methane Reforming, with CCS</v>
      </c>
    </row>
    <row r="2521" spans="1:2" hidden="1" x14ac:dyDescent="0.2">
      <c r="A2521" t="s">
        <v>14</v>
      </c>
      <c r="B2521" s="45" t="str">
        <f>INDEX(overview!$B$4:$R$338,MATCH(B2506,overview!$A$4:$A$338,0),MATCH(A2521,overview!$B$3:$R$3,0))</f>
        <v>natural gas</v>
      </c>
    </row>
    <row r="2522" spans="1:2" hidden="1" x14ac:dyDescent="0.2">
      <c r="A2522" t="s">
        <v>26</v>
      </c>
      <c r="B2522" s="45" t="str">
        <f>INDEX(overview!$B$4:$R$338,MATCH(B2506,overview!$A$4:$A$338,0),MATCH(A2522,overview!$B$3:$R$3,0))</f>
        <v>Russia</v>
      </c>
    </row>
    <row r="2523" spans="1:2" hidden="1" x14ac:dyDescent="0.2">
      <c r="A2523" t="s">
        <v>29</v>
      </c>
      <c r="B2523" s="45">
        <f>INDEX(overview!$B$4:$R$338,MATCH(B2506,overview!$A$4:$A$338,0),MATCH(A2523,overview!$B$3:$R$3,0))</f>
        <v>0</v>
      </c>
    </row>
    <row r="2524" spans="1:2" hidden="1" x14ac:dyDescent="0.2">
      <c r="A2524" t="str">
        <f>IF(B2508="megajoule","Heat","Electricity")&amp;" conversion efficiency [% LHV input]"</f>
        <v>Electricity conversion efficiency [% LHV input]</v>
      </c>
      <c r="B2524" s="46">
        <f>INDEX(parameters!$D$4:$N$20,MATCH(B2512&amp;B2514,parameters!$A$4:$A$20,0),MATCH(A2524,parameters!$D$3:$N$3,0))</f>
        <v>0.39400000000000002</v>
      </c>
    </row>
    <row r="2525" spans="1:2" hidden="1" x14ac:dyDescent="0.2">
      <c r="A2525" t="str">
        <f>IF(B2508="megajoule","LHV [MJ/kg]","LHV [kWh/kg]")</f>
        <v>LHV [kWh/kg]</v>
      </c>
      <c r="B2525" s="47">
        <f>INDEX(parameters!$D$4:$N$20,MATCH(B2512&amp;B2514,parameters!$A$4:$A$20,0),MATCH(A2525,parameters!$D$3:$N$3,0))</f>
        <v>33.333333333333336</v>
      </c>
    </row>
    <row r="2526" spans="1:2" hidden="1" x14ac:dyDescent="0.2">
      <c r="A2526" t="s">
        <v>41</v>
      </c>
      <c r="B2526" s="48">
        <f>INDEX(parameters!$D$4:$N$20,MATCH(B2512&amp;B2514,parameters!$A$4:$A$20,0),MATCH(A2526,parameters!$D$3:$N$3,0))</f>
        <v>2.6666666666666665E-2</v>
      </c>
    </row>
    <row r="2527" spans="1:2" hidden="1" x14ac:dyDescent="0.2">
      <c r="A2527" t="s">
        <v>45</v>
      </c>
      <c r="B2527" s="46">
        <f>INDEX(parameters!$D$4:$N$20,MATCH(B2512&amp;B2514,parameters!$A$4:$A$20,0),MATCH(A2527,parameters!$D$3:$N$3,0))</f>
        <v>0</v>
      </c>
    </row>
    <row r="2528" spans="1:2" hidden="1" x14ac:dyDescent="0.2">
      <c r="A2528" t="s">
        <v>46</v>
      </c>
      <c r="B2528" s="46">
        <f>INDEX(parameters!$D$4:$N$20,MATCH(B2512&amp;B2514,parameters!$A$4:$A$20,0),MATCH(A2528,parameters!$D$3:$N$3,0))</f>
        <v>1.4999999999999999E-2</v>
      </c>
    </row>
    <row r="2529" spans="1:22" hidden="1" x14ac:dyDescent="0.2">
      <c r="A2529" t="s">
        <v>43</v>
      </c>
      <c r="B2529" s="46">
        <f>INDEX(parameters!$D$4:$N$20,MATCH(B2512&amp;B2514,parameters!$A$4:$A$20,0),MATCH(A2529,parameters!$D$3:$N$3,0))</f>
        <v>0</v>
      </c>
    </row>
    <row r="2530" spans="1:22" hidden="1" x14ac:dyDescent="0.2">
      <c r="A2530" t="s">
        <v>44</v>
      </c>
      <c r="B2530" s="46">
        <f>INDEX(parameters!$D$4:$N$20,MATCH(B2512&amp;B2514,parameters!$A$4:$A$20,0),MATCH(A2530,parameters!$D$3:$N$3,0))</f>
        <v>0</v>
      </c>
    </row>
    <row r="2531" spans="1:22" hidden="1" x14ac:dyDescent="0.2">
      <c r="A2531" t="s">
        <v>634</v>
      </c>
      <c r="B2531" s="50">
        <f>INDEX(parameters!$D$4:$Y$20,MATCH(B2512&amp;B2514,parameters!$A$4:$A$20,0),MATCH(A2531,parameters!$D$3:$Y$3,0))</f>
        <v>351.41800246609125</v>
      </c>
    </row>
    <row r="2532" spans="1:22" hidden="1" x14ac:dyDescent="0.2">
      <c r="A2532" t="s">
        <v>82</v>
      </c>
      <c r="B2532" s="46">
        <f>IF(B2523&lt;&gt;0,VLOOKUP(B2523,parameters!A1686:B1688,2,0),0)</f>
        <v>0</v>
      </c>
    </row>
    <row r="2533" spans="1:22" hidden="1" x14ac:dyDescent="0.2">
      <c r="A2533" t="s">
        <v>548</v>
      </c>
      <c r="B2533" s="50">
        <f>INDEX(parameters!$D$4:$P$20,MATCH(B2512&amp;B2514,parameters!$A$4:$A$20,0),MATCH(A2533,parameters!$D$3:$P$3,0))</f>
        <v>125</v>
      </c>
    </row>
    <row r="2534" spans="1:22" hidden="1" x14ac:dyDescent="0.2">
      <c r="A2534" t="s">
        <v>547</v>
      </c>
      <c r="B2534" s="51">
        <f>INDEX(parameters!$D$4:$P$20,MATCH(B2512&amp;B2514,parameters!$A$4:$A$20,0),MATCH(A2534,parameters!$D$3:$P$3,0))</f>
        <v>19.512195121951219</v>
      </c>
    </row>
    <row r="2535" spans="1:22" hidden="1" x14ac:dyDescent="0.2">
      <c r="A2535" t="s">
        <v>630</v>
      </c>
      <c r="B2535" s="51">
        <f>INDEX(parameters!$D$4:$T$20,MATCH(B2512&amp;B2514,parameters!$A$4:$A$20,0),MATCH(A2535,parameters!$D$3:$T$3,0))</f>
        <v>4100</v>
      </c>
    </row>
    <row r="2536" spans="1:22" hidden="1" x14ac:dyDescent="0.2">
      <c r="A2536" t="s">
        <v>1005</v>
      </c>
      <c r="B2536" s="50">
        <f>IF(B2508="megajoule",SUMIFS(allocation!$I$4:$I$30,allocation!$B$4:$B$30,B2514,allocation!$C$4:$C$30,B2515),SUMIFS(allocation!$J$4:$J$30,allocation!$B$4:$B$30,B2514,allocation!$C$4:$C$30,B2515))</f>
        <v>0.87139957772704957</v>
      </c>
    </row>
    <row r="2537" spans="1:22" hidden="1" x14ac:dyDescent="0.2">
      <c r="A2537" t="s">
        <v>1050</v>
      </c>
      <c r="B2537" s="51">
        <f>INDEX(parameters!$D$4:$AB$20,MATCH(B2512&amp;B2514,parameters!$A$4:$A$20,0),MATCH(A2537,parameters!$D$3:$AB$3,0))</f>
        <v>2220.7364520822662</v>
      </c>
    </row>
    <row r="2538" spans="1:22" hidden="1" x14ac:dyDescent="0.2"/>
    <row r="2539" spans="1:22" hidden="1" x14ac:dyDescent="0.2">
      <c r="A2539" s="3" t="s">
        <v>57</v>
      </c>
    </row>
    <row r="2540" spans="1:22" hidden="1" x14ac:dyDescent="0.2">
      <c r="A2540" s="2" t="s">
        <v>58</v>
      </c>
      <c r="B2540" s="44" t="s">
        <v>59</v>
      </c>
      <c r="C2540" s="2" t="s">
        <v>55</v>
      </c>
      <c r="D2540" s="2" t="s">
        <v>60</v>
      </c>
      <c r="E2540" s="2" t="s">
        <v>52</v>
      </c>
      <c r="F2540" s="2" t="s">
        <v>61</v>
      </c>
      <c r="G2540" s="2" t="s">
        <v>54</v>
      </c>
      <c r="H2540" s="2" t="s">
        <v>87</v>
      </c>
      <c r="I2540" s="2" t="s">
        <v>51</v>
      </c>
      <c r="J2540" s="2" t="s">
        <v>138</v>
      </c>
      <c r="K2540" s="2" t="s">
        <v>136</v>
      </c>
      <c r="L2540" s="2" t="s">
        <v>221</v>
      </c>
      <c r="M2540" s="2" t="s">
        <v>379</v>
      </c>
      <c r="N2540" s="2" t="s">
        <v>1059</v>
      </c>
      <c r="O2540" s="2" t="s">
        <v>1060</v>
      </c>
      <c r="P2540" s="2" t="s">
        <v>1061</v>
      </c>
      <c r="Q2540" s="2" t="s">
        <v>1062</v>
      </c>
      <c r="R2540" s="2" t="s">
        <v>1063</v>
      </c>
      <c r="S2540" s="2" t="s">
        <v>1064</v>
      </c>
      <c r="T2540" s="2" t="s">
        <v>1065</v>
      </c>
      <c r="U2540" s="2" t="s">
        <v>380</v>
      </c>
      <c r="V2540" s="2" t="s">
        <v>1128</v>
      </c>
    </row>
    <row r="2541" spans="1:22" hidden="1" x14ac:dyDescent="0.2">
      <c r="A2541" t="str">
        <f>B2502</f>
        <v>electricity, residential, by combustion of hydrogen using CHP, allocated by exergy, transported by truck, produced by Steam Methane Reforming, with CCS using natural gas from Russia</v>
      </c>
      <c r="B2541" s="45">
        <v>1</v>
      </c>
      <c r="C2541" t="str">
        <f>B2508</f>
        <v>kilowatt hour</v>
      </c>
      <c r="E2541" t="str">
        <f>B2505</f>
        <v>CH</v>
      </c>
      <c r="F2541" t="s">
        <v>62</v>
      </c>
      <c r="G2541" t="str">
        <f>B2507</f>
        <v>electricity, from residential heating system</v>
      </c>
      <c r="K2541" t="str">
        <f>B2502</f>
        <v>electricity, residential, by combustion of hydrogen using CHP, allocated by exergy, transported by truck, produced by Steam Methane Reforming, with CCS using natural gas from Russia</v>
      </c>
    </row>
    <row r="2542" spans="1:22" hidden="1" x14ac:dyDescent="0.2">
      <c r="A2542" t="str">
        <f>VLOOKUP(J2542,'dataset mapping'!$A$4:$E$69,2,0)</f>
        <v>heat and power co-generation unit construction, 160kW electrical, common components for heat+electricity</v>
      </c>
      <c r="B2542" s="52">
        <f>(1/(B2531*B2535*B2534))*B2536</f>
        <v>3.0995835856870056E-8</v>
      </c>
      <c r="C2542" t="str">
        <f>VLOOKUP(J2542,'dataset mapping'!$A$4:$E$69,5,0)</f>
        <v>unit</v>
      </c>
      <c r="E2542" t="str">
        <f>VLOOKUP(J2542,'dataset mapping'!$A$4:$E$69,4,0)</f>
        <v>RER</v>
      </c>
      <c r="F2542" t="s">
        <v>86</v>
      </c>
      <c r="G2542" t="str">
        <f>VLOOKUP(J2542,'dataset mapping'!$A$4:$E$69,3,0)</f>
        <v>heat and power co-generation unit, 160kW electrical, common components for heat+electricity</v>
      </c>
      <c r="H2542" t="s">
        <v>88</v>
      </c>
      <c r="J2542" t="s">
        <v>145</v>
      </c>
      <c r="K2542" t="str">
        <f>B2502</f>
        <v>electricity, residential, by combustion of hydrogen using CHP, allocated by exergy, transported by truck, produced by Steam Methane Reforming, with CCS using natural gas from Russia</v>
      </c>
      <c r="L2542">
        <f t="shared" ref="L2542:L2550" si="161">IF(OR(B2542&lt;0,B2542=0),1,2)</f>
        <v>2</v>
      </c>
      <c r="M2542">
        <f t="shared" ref="M2542:M2550" si="162">IF(L2542=2,LN(B2542),"")</f>
        <v>-17.28941296868171</v>
      </c>
      <c r="N2542">
        <v>1.05</v>
      </c>
      <c r="O2542" s="15">
        <v>1.2</v>
      </c>
      <c r="P2542">
        <v>1</v>
      </c>
      <c r="Q2542">
        <v>1.01</v>
      </c>
      <c r="R2542">
        <v>1.2</v>
      </c>
      <c r="S2542">
        <v>1.2</v>
      </c>
      <c r="T2542">
        <v>3</v>
      </c>
      <c r="U2542">
        <f t="shared" ref="U2542:U2550" si="163">LN(SQRT(EXP(
SQRT(
+POWER(LN(N2542),2)
+POWER(LN(O2542),2)
+POWER(LN(P2542),2)
+POWER(LN(Q2542),2)
+POWER(LN(R2542),2)
+POWER(LN(S2542),2)
+POWER(LN(T2542),2)
)
)))</f>
        <v>0.57209088006881903</v>
      </c>
    </row>
    <row r="2543" spans="1:22" hidden="1" x14ac:dyDescent="0.2">
      <c r="A2543" t="str">
        <f>VLOOKUP(J2543,'dataset mapping'!$A$4:$E$69,2,0)</f>
        <v>heat and power co-generation unit construction, 160kW electrical, components for electricity only</v>
      </c>
      <c r="B2543" s="52">
        <f>(1/(B2531*B2535*B2534))*B2536</f>
        <v>3.0995835856870056E-8</v>
      </c>
      <c r="C2543" t="str">
        <f>VLOOKUP(J2543,'dataset mapping'!$A$4:$E$69,5,0)</f>
        <v>unit</v>
      </c>
      <c r="E2543" t="str">
        <f>VLOOKUP(J2543,'dataset mapping'!$A$4:$E$69,4,0)</f>
        <v>RER</v>
      </c>
      <c r="F2543" t="s">
        <v>86</v>
      </c>
      <c r="G2543" t="str">
        <f>VLOOKUP(J2543,'dataset mapping'!$A$4:$E$69,3,0)</f>
        <v>heat and power co-generation unit, 160kW electrical, components for electricity only</v>
      </c>
      <c r="H2543" t="s">
        <v>88</v>
      </c>
      <c r="J2543" t="s">
        <v>146</v>
      </c>
      <c r="K2543" t="str">
        <f>B2502</f>
        <v>electricity, residential, by combustion of hydrogen using CHP, allocated by exergy, transported by truck, produced by Steam Methane Reforming, with CCS using natural gas from Russia</v>
      </c>
      <c r="L2543">
        <f t="shared" si="161"/>
        <v>2</v>
      </c>
      <c r="M2543">
        <f t="shared" si="162"/>
        <v>-17.28941296868171</v>
      </c>
      <c r="N2543">
        <v>1.05</v>
      </c>
      <c r="O2543" s="15">
        <v>1.2</v>
      </c>
      <c r="P2543">
        <v>1</v>
      </c>
      <c r="Q2543">
        <v>1.01</v>
      </c>
      <c r="R2543">
        <v>1.2</v>
      </c>
      <c r="S2543">
        <v>1.2</v>
      </c>
      <c r="T2543">
        <v>3</v>
      </c>
      <c r="U2543">
        <f t="shared" si="163"/>
        <v>0.57209088006881903</v>
      </c>
    </row>
    <row r="2544" spans="1:22" hidden="1" x14ac:dyDescent="0.2">
      <c r="A2544" t="str">
        <f>VLOOKUP(J2544,'dataset mapping'!$A$4:$E$69,2,0)</f>
        <v>heat and power co-generation unit construction, 160kW electrical, components for heat only</v>
      </c>
      <c r="B2544" s="52">
        <f>(1/(B2531*B2535*B2534))*B2536</f>
        <v>3.0995835856870056E-8</v>
      </c>
      <c r="C2544" t="str">
        <f>VLOOKUP(J2544,'dataset mapping'!$A$4:$E$69,5,0)</f>
        <v>unit</v>
      </c>
      <c r="E2544" t="str">
        <f>VLOOKUP(J2544,'dataset mapping'!$A$4:$E$69,4,0)</f>
        <v>RER</v>
      </c>
      <c r="F2544" t="s">
        <v>86</v>
      </c>
      <c r="G2544" t="str">
        <f>VLOOKUP(J2544,'dataset mapping'!$A$4:$E$69,3,0)</f>
        <v>heat and power co-generation unit, 160kW electrical, components for heat only</v>
      </c>
      <c r="H2544" t="s">
        <v>88</v>
      </c>
      <c r="J2544" t="s">
        <v>147</v>
      </c>
      <c r="K2544" t="str">
        <f>B2502</f>
        <v>electricity, residential, by combustion of hydrogen using CHP, allocated by exergy, transported by truck, produced by Steam Methane Reforming, with CCS using natural gas from Russia</v>
      </c>
      <c r="L2544">
        <f t="shared" si="161"/>
        <v>2</v>
      </c>
      <c r="M2544">
        <f t="shared" si="162"/>
        <v>-17.28941296868171</v>
      </c>
      <c r="N2544">
        <v>1.05</v>
      </c>
      <c r="O2544" s="15">
        <v>1.2</v>
      </c>
      <c r="P2544">
        <v>1</v>
      </c>
      <c r="Q2544">
        <v>1.01</v>
      </c>
      <c r="R2544">
        <v>1.2</v>
      </c>
      <c r="S2544">
        <v>1.2</v>
      </c>
      <c r="T2544">
        <v>3</v>
      </c>
      <c r="U2544">
        <f t="shared" si="163"/>
        <v>0.57209088006881903</v>
      </c>
    </row>
    <row r="2545" spans="1:22" hidden="1" x14ac:dyDescent="0.2">
      <c r="A2545" t="s">
        <v>156</v>
      </c>
      <c r="B2545" s="52">
        <f>0.00000011366*B2536</f>
        <v>9.9043276004456456E-8</v>
      </c>
      <c r="C2545" t="s">
        <v>56</v>
      </c>
      <c r="E2545" t="s">
        <v>90</v>
      </c>
      <c r="F2545" t="s">
        <v>86</v>
      </c>
      <c r="G2545" t="s">
        <v>154</v>
      </c>
      <c r="H2545" t="s">
        <v>155</v>
      </c>
      <c r="K2545" t="str">
        <f>B2502</f>
        <v>electricity, residential, by combustion of hydrogen using CHP, allocated by exergy, transported by truck, produced by Steam Methane Reforming, with CCS using natural gas from Russia</v>
      </c>
      <c r="L2545">
        <f t="shared" si="161"/>
        <v>2</v>
      </c>
      <c r="M2545">
        <f t="shared" si="162"/>
        <v>-16.127708950967754</v>
      </c>
      <c r="N2545">
        <v>1.05</v>
      </c>
      <c r="O2545" s="15">
        <v>1.2</v>
      </c>
      <c r="P2545">
        <v>1</v>
      </c>
      <c r="Q2545">
        <v>1.01</v>
      </c>
      <c r="R2545">
        <v>1.2</v>
      </c>
      <c r="S2545">
        <v>1.2</v>
      </c>
      <c r="T2545">
        <v>1.05</v>
      </c>
      <c r="U2545">
        <f t="shared" si="163"/>
        <v>0.16169679924070957</v>
      </c>
    </row>
    <row r="2546" spans="1:22" hidden="1" x14ac:dyDescent="0.2">
      <c r="A2546" t="s">
        <v>157</v>
      </c>
      <c r="B2546" s="52">
        <f>0.00000011366*B2536*-1</f>
        <v>-9.9043276004456456E-8</v>
      </c>
      <c r="C2546" t="s">
        <v>56</v>
      </c>
      <c r="E2546" t="s">
        <v>64</v>
      </c>
      <c r="F2546" t="s">
        <v>86</v>
      </c>
      <c r="G2546" t="s">
        <v>158</v>
      </c>
      <c r="H2546" t="s">
        <v>155</v>
      </c>
      <c r="K2546" t="str">
        <f>B2502</f>
        <v>electricity, residential, by combustion of hydrogen using CHP, allocated by exergy, transported by truck, produced by Steam Methane Reforming, with CCS using natural gas from Russia</v>
      </c>
      <c r="L2546">
        <v>2</v>
      </c>
      <c r="M2546">
        <f>IF(L2546=2,LN(B2546*-1),"")</f>
        <v>-16.127708950967754</v>
      </c>
      <c r="N2546">
        <v>1.05</v>
      </c>
      <c r="O2546" s="15">
        <v>1.2</v>
      </c>
      <c r="P2546">
        <v>1</v>
      </c>
      <c r="Q2546">
        <v>1.01</v>
      </c>
      <c r="R2546">
        <v>1.2</v>
      </c>
      <c r="S2546">
        <v>1.2</v>
      </c>
      <c r="T2546">
        <v>3</v>
      </c>
      <c r="U2546">
        <f>LN(SQRT(EXP(
SQRT(
+POWER(LN(N2546),2)
+POWER(LN(O2546),2)
+POWER(LN(P2546),2)
+POWER(LN(Q2546),2)
+POWER(LN(R2546),2)
+POWER(LN(S2546),2)
+POWER(LN(T2546),2)
)
)))</f>
        <v>0.57209088006881903</v>
      </c>
      <c r="V2546" t="b">
        <v>1</v>
      </c>
    </row>
    <row r="2547" spans="1:22" hidden="1" x14ac:dyDescent="0.2">
      <c r="A2547" s="45" t="str">
        <f>"hydrogen supply, transported by "&amp;B2516&amp;", produced by "&amp;B2520&amp;" using "&amp;B2521&amp;" from "&amp;B2522</f>
        <v>hydrogen supply, transported by truck, produced by Steam Methane Reforming, with CCS using natural gas from Russia</v>
      </c>
      <c r="B2547" s="53">
        <f>(B2541/B2525)/B2524*B2536</f>
        <v>6.6350221654343872E-2</v>
      </c>
      <c r="C2547" t="s">
        <v>56</v>
      </c>
      <c r="E2547" t="s">
        <v>64</v>
      </c>
      <c r="F2547" t="s">
        <v>86</v>
      </c>
      <c r="G2547" t="s">
        <v>1137</v>
      </c>
      <c r="H2547" t="s">
        <v>76</v>
      </c>
      <c r="I2547" t="s">
        <v>1054</v>
      </c>
      <c r="J2547" t="s">
        <v>365</v>
      </c>
      <c r="K2547" t="str">
        <f>B2502</f>
        <v>electricity, residential, by combustion of hydrogen using CHP, allocated by exergy, transported by truck, produced by Steam Methane Reforming, with CCS using natural gas from Russia</v>
      </c>
      <c r="L2547">
        <f t="shared" si="161"/>
        <v>2</v>
      </c>
      <c r="M2547">
        <f t="shared" si="162"/>
        <v>-2.7128081775260964</v>
      </c>
      <c r="N2547">
        <v>1.05</v>
      </c>
      <c r="O2547" s="15">
        <v>1.2</v>
      </c>
      <c r="P2547">
        <v>1</v>
      </c>
      <c r="Q2547">
        <v>1.01</v>
      </c>
      <c r="R2547">
        <v>1.2</v>
      </c>
      <c r="S2547">
        <v>1.2</v>
      </c>
      <c r="T2547">
        <v>1.05</v>
      </c>
      <c r="U2547">
        <f t="shared" si="163"/>
        <v>0.16169679924070957</v>
      </c>
    </row>
    <row r="2548" spans="1:22" hidden="1" x14ac:dyDescent="0.2">
      <c r="A2548" t="str">
        <f>VLOOKUP(J2548,'dataset mapping'!$A$4:$E$69,2,0)</f>
        <v>high pressure hydrogen storage tank</v>
      </c>
      <c r="B2548" s="52">
        <f>((B2537/10)/(B2535*B2531*20))*IF(B2536&lt;&gt;0,B2536,1)</f>
        <v>6.7154714683034044E-6</v>
      </c>
      <c r="C2548" t="str">
        <f>VLOOKUP(J2548,'dataset mapping'!$A$4:$E$69,5,0)</f>
        <v>kilogram</v>
      </c>
      <c r="E2548" t="str">
        <f>VLOOKUP(J2548,'dataset mapping'!$A$4:$E$69,4,0)</f>
        <v>GLO</v>
      </c>
      <c r="F2548" t="s">
        <v>86</v>
      </c>
      <c r="G2548" t="str">
        <f>VLOOKUP(J2548,'dataset mapping'!$A$4:$E$69,3,0)</f>
        <v>high pressure hydrogen storage tank</v>
      </c>
      <c r="H2548" t="s">
        <v>88</v>
      </c>
      <c r="I2548" t="s">
        <v>279</v>
      </c>
      <c r="J2548" t="s">
        <v>229</v>
      </c>
      <c r="K2548" t="str">
        <f>B2502</f>
        <v>electricity, residential, by combustion of hydrogen using CHP, allocated by exergy, transported by truck, produced by Steam Methane Reforming, with CCS using natural gas from Russia</v>
      </c>
      <c r="L2548">
        <f t="shared" si="161"/>
        <v>2</v>
      </c>
      <c r="M2548">
        <f t="shared" si="162"/>
        <v>-11.911096519239557</v>
      </c>
      <c r="N2548">
        <v>1.05</v>
      </c>
      <c r="O2548" s="15">
        <v>1.2</v>
      </c>
      <c r="P2548">
        <v>1</v>
      </c>
      <c r="Q2548">
        <v>1.01</v>
      </c>
      <c r="R2548">
        <v>1.2</v>
      </c>
      <c r="S2548">
        <v>1.2</v>
      </c>
      <c r="T2548">
        <v>3</v>
      </c>
      <c r="U2548">
        <f t="shared" si="163"/>
        <v>0.57209088006881903</v>
      </c>
    </row>
    <row r="2549" spans="1:22" hidden="1" x14ac:dyDescent="0.2">
      <c r="A2549" t="s">
        <v>134</v>
      </c>
      <c r="B2549" s="45">
        <f>B2547*9</f>
        <v>0.59715199488909487</v>
      </c>
      <c r="C2549" t="s">
        <v>56</v>
      </c>
      <c r="D2549" t="s">
        <v>100</v>
      </c>
      <c r="F2549" t="s">
        <v>99</v>
      </c>
      <c r="H2549" t="s">
        <v>131</v>
      </c>
      <c r="I2549" t="s">
        <v>1058</v>
      </c>
      <c r="K2549" t="str">
        <f>B2502</f>
        <v>electricity, residential, by combustion of hydrogen using CHP, allocated by exergy, transported by truck, produced by Steam Methane Reforming, with CCS using natural gas from Russia</v>
      </c>
      <c r="L2549">
        <f t="shared" si="161"/>
        <v>2</v>
      </c>
      <c r="M2549">
        <f t="shared" si="162"/>
        <v>-0.51558360018987692</v>
      </c>
      <c r="N2549">
        <v>1.05</v>
      </c>
      <c r="O2549" s="15">
        <v>1.2</v>
      </c>
      <c r="P2549">
        <v>1</v>
      </c>
      <c r="Q2549">
        <v>1.01</v>
      </c>
      <c r="R2549">
        <v>1.2</v>
      </c>
      <c r="S2549">
        <v>1.2</v>
      </c>
      <c r="T2549">
        <v>1.05</v>
      </c>
      <c r="U2549">
        <f t="shared" si="163"/>
        <v>0.16169679924070957</v>
      </c>
    </row>
    <row r="2550" spans="1:22" hidden="1" x14ac:dyDescent="0.2">
      <c r="A2550" t="s">
        <v>135</v>
      </c>
      <c r="B2550" s="45">
        <f>912.5/1000000*B2547</f>
        <v>6.0544577259588785E-5</v>
      </c>
      <c r="C2550" t="s">
        <v>56</v>
      </c>
      <c r="D2550" t="s">
        <v>100</v>
      </c>
      <c r="F2550" t="s">
        <v>99</v>
      </c>
      <c r="H2550" t="s">
        <v>131</v>
      </c>
      <c r="I2550" t="s">
        <v>1217</v>
      </c>
      <c r="K2550" t="str">
        <f>B2502</f>
        <v>electricity, residential, by combustion of hydrogen using CHP, allocated by exergy, transported by truck, produced by Steam Methane Reforming, with CCS using natural gas from Russia</v>
      </c>
      <c r="L2550">
        <f t="shared" si="161"/>
        <v>2</v>
      </c>
      <c r="M2550">
        <f t="shared" si="162"/>
        <v>-9.712130650033723</v>
      </c>
      <c r="N2550">
        <v>1.05</v>
      </c>
      <c r="O2550" s="15">
        <v>1.2</v>
      </c>
      <c r="P2550">
        <v>1</v>
      </c>
      <c r="Q2550">
        <v>1.01</v>
      </c>
      <c r="R2550">
        <v>1.2</v>
      </c>
      <c r="S2550">
        <v>1.2</v>
      </c>
      <c r="T2550">
        <v>1.5</v>
      </c>
      <c r="U2550">
        <f t="shared" si="163"/>
        <v>0.25816898211842121</v>
      </c>
    </row>
    <row r="2551" spans="1:22" hidden="1" x14ac:dyDescent="0.2"/>
    <row r="2552" spans="1:22" hidden="1" x14ac:dyDescent="0.2">
      <c r="A2552" s="2" t="s">
        <v>50</v>
      </c>
      <c r="B2552" s="44" t="str">
        <f>IF(B2558="megajoule","heat","electricity")&amp;", residential, by "&amp;B2563&amp;" of "&amp;B2562&amp;" using "&amp;B2564&amp;IF(B2565&lt;&gt;0,", allocated by "&amp;B2565,"")&amp;", transported by "&amp;B2566&amp;", produced by "&amp;B2570&amp;" using "&amp;B2571&amp;" from "&amp;B2572</f>
        <v>electricity, residential, by conversion of hydrogen using fuel cell, PEM, allocated by exergy, transported by truck, produced by Steam Methane Reforming, with CCS using natural gas from Russia</v>
      </c>
    </row>
    <row r="2553" spans="1:22" hidden="1" x14ac:dyDescent="0.2">
      <c r="A2553" t="s">
        <v>51</v>
      </c>
      <c r="B2553" s="45" t="str">
        <f>"This dataset represents the supply of 1 "&amp;IF(B2558="megajoule","megajoule of heat","kilowatt hour of electricity")&amp;" in a residence, by "&amp;B2562&amp;" "&amp;B2563&amp;" in a "&amp;B2564&amp;". "&amp;" The hydrogen is transported by "&amp;B2566&amp;" over "&amp;B2567&amp;" km from regional storage. "&amp;" The "&amp;B2562&amp;" is produced by  "&amp;B2570&amp;", with "&amp;B2571&amp;" from "&amp;B2572&amp;" as feedstock. "&amp;A2574&amp;": "&amp;(B2574*100)&amp;"%. "&amp;A2575&amp;": "&amp;B2575&amp;". "&amp;A2576&amp;": "&amp;B2576&amp;". "&amp;A2577&amp;": "&amp;(B2577*100)&amp;"%. "&amp;A2578&amp;": "&amp;(B2578*100)&amp;"%. "&amp;A2579&amp;": "&amp;(B2579*100)&amp;"%. "&amp;A2580&amp;": "&amp;B2580&amp;". "&amp;A2581&amp;": "&amp;B2581&amp;". "&amp;A2582&amp;": "&amp;(B2582*100)&amp;"%. "&amp;A2583&amp;": "&amp;B2583&amp;". "&amp;A2584&amp;": "&amp;B2584&amp;". "&amp;A2585&amp;": "&amp;B2585&amp;". "&amp;A2586&amp;": "&amp;B2586&amp;".  For more information, refer to: "&amp;B2554</f>
        <v>This dataset represents the supply of 1 kilowatt hour of electricity in a residence, by hydrogen conversion in a fuel cell, PEM.  The hydrogen is transported by truck over 200 km from regional storage.  The hydrogen is produced by  Steam Methane Reforming, with CCS, with natural gas from Russia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2554" spans="1:22" hidden="1" x14ac:dyDescent="0.2">
      <c r="A2554" t="s">
        <v>63</v>
      </c>
      <c r="B2554" s="45" t="s">
        <v>660</v>
      </c>
    </row>
    <row r="2555" spans="1:22" hidden="1" x14ac:dyDescent="0.2">
      <c r="A2555" t="s">
        <v>52</v>
      </c>
      <c r="B2555" s="45" t="s">
        <v>64</v>
      </c>
    </row>
    <row r="2556" spans="1:22" hidden="1" x14ac:dyDescent="0.2">
      <c r="A2556" t="s">
        <v>48</v>
      </c>
      <c r="B2556" s="45" t="s">
        <v>995</v>
      </c>
    </row>
    <row r="2557" spans="1:22" hidden="1" x14ac:dyDescent="0.2">
      <c r="A2557" t="s">
        <v>54</v>
      </c>
      <c r="B2557" s="45" t="str">
        <f>INDEX(overview!$B$4:$R$338,MATCH(B2556,overview!$A$4:$A$338,0),MATCH(A2557,overview!$B$3:$R$3,0))</f>
        <v>electricity, from residential heating system</v>
      </c>
    </row>
    <row r="2558" spans="1:22" hidden="1" x14ac:dyDescent="0.2">
      <c r="A2558" t="s">
        <v>55</v>
      </c>
      <c r="B2558" s="45" t="str">
        <f>INDEX(overview!$B$4:$R$338,MATCH(B2556,overview!$A$4:$A$338,0),MATCH(A2558,overview!$B$3:$R$3,0))</f>
        <v>kilowatt hour</v>
      </c>
    </row>
    <row r="2559" spans="1:22" hidden="1" x14ac:dyDescent="0.2">
      <c r="A2559" t="s">
        <v>0</v>
      </c>
      <c r="B2559" s="45" t="str">
        <f>INDEX(overview!$B$4:$R$338,MATCH(B2556,overview!$A$4:$A$338,0),MATCH(A2559,overview!$B$3:$R$3,0))</f>
        <v>Switzerland</v>
      </c>
    </row>
    <row r="2560" spans="1:22" hidden="1" x14ac:dyDescent="0.2">
      <c r="A2560" t="s">
        <v>1</v>
      </c>
      <c r="B2560" s="45">
        <f>INDEX(overview!$B$4:$R$338,MATCH(B2556,overview!$A$4:$A$338,0),MATCH(A2560,overview!$B$3:$R$3,0))</f>
        <v>2020</v>
      </c>
    </row>
    <row r="2561" spans="1:2" hidden="1" x14ac:dyDescent="0.2">
      <c r="A2561" t="s">
        <v>2</v>
      </c>
      <c r="B2561" s="45" t="str">
        <f>INDEX(overview!$B$4:$R$338,MATCH(B2556,overview!$A$4:$A$338,0),MATCH(A2561,overview!$B$3:$R$3,0))</f>
        <v>1 kWh electricity</v>
      </c>
    </row>
    <row r="2562" spans="1:2" hidden="1" x14ac:dyDescent="0.2">
      <c r="A2562" t="s">
        <v>5</v>
      </c>
      <c r="B2562" s="45" t="str">
        <f>INDEX(overview!$B$4:$R$338,MATCH(B2556,overview!$A$4:$A$338,0),MATCH(A2562,overview!$B$3:$R$3,0))</f>
        <v>hydrogen</v>
      </c>
    </row>
    <row r="2563" spans="1:2" hidden="1" x14ac:dyDescent="0.2">
      <c r="A2563" t="s">
        <v>3</v>
      </c>
      <c r="B2563" s="45" t="str">
        <f>INDEX(overview!$B$4:$R$338,MATCH(B2556,overview!$A$4:$A$338,0),MATCH(A2563,overview!$B$3:$R$3,0))</f>
        <v>conversion</v>
      </c>
    </row>
    <row r="2564" spans="1:2" hidden="1" x14ac:dyDescent="0.2">
      <c r="A2564" t="s">
        <v>6</v>
      </c>
      <c r="B2564" s="45" t="str">
        <f>INDEX(overview!$B$4:$R$338,MATCH(B2556,overview!$A$4:$A$338,0),MATCH(A2564,overview!$B$3:$R$3,0))</f>
        <v>fuel cell, PEM</v>
      </c>
    </row>
    <row r="2565" spans="1:2" hidden="1" x14ac:dyDescent="0.2">
      <c r="A2565" t="s">
        <v>39</v>
      </c>
      <c r="B2565" s="45" t="str">
        <f>INDEX(overview!$B$4:$R$338,MATCH(B2556,overview!$A$4:$A$338,0),MATCH(A2565,overview!$B$3:$R$3,0))</f>
        <v>exergy</v>
      </c>
    </row>
    <row r="2566" spans="1:2" hidden="1" x14ac:dyDescent="0.2">
      <c r="A2566" t="s">
        <v>4</v>
      </c>
      <c r="B2566" s="45" t="str">
        <f>INDEX(overview!$B$4:$R$338,MATCH(B2556,overview!$A$4:$A$338,0),MATCH(A2566,overview!$B$3:$R$3,0))</f>
        <v>truck</v>
      </c>
    </row>
    <row r="2567" spans="1:2" hidden="1" x14ac:dyDescent="0.2">
      <c r="A2567" t="s">
        <v>38</v>
      </c>
      <c r="B2567" s="45">
        <f>INDEX(overview!$B$4:$R$338,MATCH(B2556,overview!$A$4:$A$338,0),MATCH(A2567,overview!$B$3:$R$3,0))</f>
        <v>200</v>
      </c>
    </row>
    <row r="2568" spans="1:2" hidden="1" x14ac:dyDescent="0.2">
      <c r="A2568" t="s">
        <v>12</v>
      </c>
      <c r="B2568" s="45" t="str">
        <f>INDEX(overview!$B$4:$R$338,MATCH(B2556,overview!$A$4:$A$338,0),MATCH(A2568,overview!$B$3:$R$3,0))</f>
        <v>Pressure vessel for stationary storage</v>
      </c>
    </row>
    <row r="2569" spans="1:2" hidden="1" x14ac:dyDescent="0.2">
      <c r="A2569" t="s">
        <v>34</v>
      </c>
      <c r="B2569" s="45">
        <f>INDEX(overview!$B$4:$R$338,MATCH(B2556,overview!$A$4:$A$338,0),MATCH(A2569,overview!$B$3:$R$3,0))</f>
        <v>0</v>
      </c>
    </row>
    <row r="2570" spans="1:2" hidden="1" x14ac:dyDescent="0.2">
      <c r="A2570" t="s">
        <v>15</v>
      </c>
      <c r="B2570" s="45" t="str">
        <f>INDEX(overview!$B$4:$R$338,MATCH(B2556,overview!$A$4:$A$338,0),MATCH(A2570,overview!$B$3:$R$3,0))</f>
        <v>Steam Methane Reforming, with CCS</v>
      </c>
    </row>
    <row r="2571" spans="1:2" hidden="1" x14ac:dyDescent="0.2">
      <c r="A2571" t="s">
        <v>14</v>
      </c>
      <c r="B2571" s="45" t="str">
        <f>INDEX(overview!$B$4:$R$338,MATCH(B2556,overview!$A$4:$A$338,0),MATCH(A2571,overview!$B$3:$R$3,0))</f>
        <v>natural gas</v>
      </c>
    </row>
    <row r="2572" spans="1:2" hidden="1" x14ac:dyDescent="0.2">
      <c r="A2572" t="s">
        <v>26</v>
      </c>
      <c r="B2572" s="45" t="str">
        <f>INDEX(overview!$B$4:$R$338,MATCH(B2556,overview!$A$4:$A$338,0),MATCH(A2572,overview!$B$3:$R$3,0))</f>
        <v>Russia</v>
      </c>
    </row>
    <row r="2573" spans="1:2" hidden="1" x14ac:dyDescent="0.2">
      <c r="A2573" t="s">
        <v>29</v>
      </c>
      <c r="B2573" s="45">
        <f>INDEX(overview!$B$4:$R$338,MATCH(B2556,overview!$A$4:$A$338,0),MATCH(A2573,overview!$B$3:$R$3,0))</f>
        <v>0</v>
      </c>
    </row>
    <row r="2574" spans="1:2" hidden="1" x14ac:dyDescent="0.2">
      <c r="A2574" t="str">
        <f>IF(B2558="megajoule","Heat","Electricity")&amp;" conversion efficiency [% LHV input]"</f>
        <v>Electricity conversion efficiency [% LHV input]</v>
      </c>
      <c r="B2574" s="46">
        <f>INDEX(parameters!$D$4:$N$20,MATCH(B2562&amp;B2564,parameters!$A$4:$A$20,0),MATCH(A2574,parameters!$D$3:$N$3,0))</f>
        <v>0.45</v>
      </c>
    </row>
    <row r="2575" spans="1:2" hidden="1" x14ac:dyDescent="0.2">
      <c r="A2575" t="str">
        <f>IF(B2558="megajoule","LHV [MJ/kg]","LHV [kWh/kg]")</f>
        <v>LHV [kWh/kg]</v>
      </c>
      <c r="B2575" s="47">
        <f>INDEX(parameters!$D$4:$N$20,MATCH(B2562&amp;B2564,parameters!$A$4:$A$20,0),MATCH(A2575,parameters!$D$3:$N$3,0))</f>
        <v>33.333333333333336</v>
      </c>
    </row>
    <row r="2576" spans="1:2" hidden="1" x14ac:dyDescent="0.2">
      <c r="A2576" t="s">
        <v>41</v>
      </c>
      <c r="B2576" s="48">
        <f>INDEX(parameters!$D$4:$N$20,MATCH(B2562&amp;B2564,parameters!$A$4:$A$20,0),MATCH(A2576,parameters!$D$3:$N$3,0))</f>
        <v>2.6666666666666665E-2</v>
      </c>
    </row>
    <row r="2577" spans="1:22" hidden="1" x14ac:dyDescent="0.2">
      <c r="A2577" t="s">
        <v>45</v>
      </c>
      <c r="B2577" s="46">
        <f>INDEX(parameters!$D$4:$N$20,MATCH(B2562&amp;B2564,parameters!$A$4:$A$20,0),MATCH(A2577,parameters!$D$3:$N$3,0))</f>
        <v>0</v>
      </c>
    </row>
    <row r="2578" spans="1:22" hidden="1" x14ac:dyDescent="0.2">
      <c r="A2578" t="s">
        <v>46</v>
      </c>
      <c r="B2578" s="46">
        <f>INDEX(parameters!$D$4:$N$20,MATCH(B2562&amp;B2564,parameters!$A$4:$A$20,0),MATCH(A2578,parameters!$D$3:$N$3,0))</f>
        <v>1.4999999999999999E-2</v>
      </c>
    </row>
    <row r="2579" spans="1:22" hidden="1" x14ac:dyDescent="0.2">
      <c r="A2579" t="s">
        <v>43</v>
      </c>
      <c r="B2579" s="46">
        <f>INDEX(parameters!$D$4:$N$20,MATCH(B2562&amp;B2564,parameters!$A$4:$A$20,0),MATCH(A2579,parameters!$D$3:$N$3,0))</f>
        <v>0</v>
      </c>
    </row>
    <row r="2580" spans="1:22" hidden="1" x14ac:dyDescent="0.2">
      <c r="A2580" t="s">
        <v>44</v>
      </c>
      <c r="B2580" s="46">
        <f>INDEX(parameters!$D$4:$N$20,MATCH(B2562&amp;B2564,parameters!$A$4:$A$20,0),MATCH(A2580,parameters!$D$3:$N$3,0))</f>
        <v>0</v>
      </c>
    </row>
    <row r="2581" spans="1:22" hidden="1" x14ac:dyDescent="0.2">
      <c r="A2581" t="s">
        <v>634</v>
      </c>
      <c r="B2581" s="50">
        <f>INDEX(parameters!$D$4:$Y$20,MATCH(B2562&amp;B2564,parameters!$A$4:$A$20,0),MATCH(A2581,parameters!$D$3:$Y$3,0))</f>
        <v>1.8947368421052633</v>
      </c>
    </row>
    <row r="2582" spans="1:22" hidden="1" x14ac:dyDescent="0.2">
      <c r="A2582" t="s">
        <v>82</v>
      </c>
      <c r="B2582" s="46">
        <f>IF(B2573&lt;&gt;0,VLOOKUP(B2573,parameters!A1739:B1741,2,0),0)</f>
        <v>0</v>
      </c>
    </row>
    <row r="2583" spans="1:22" hidden="1" x14ac:dyDescent="0.2">
      <c r="A2583" t="s">
        <v>548</v>
      </c>
      <c r="B2583" s="50">
        <f>INDEX(parameters!$D$4:$P$20,MATCH(B2562&amp;B2564,parameters!$A$4:$A$20,0),MATCH(A2583,parameters!$D$3:$P$3,0))</f>
        <v>0.8</v>
      </c>
    </row>
    <row r="2584" spans="1:22" hidden="1" x14ac:dyDescent="0.2">
      <c r="A2584" t="s">
        <v>547</v>
      </c>
      <c r="B2584" s="51">
        <f>INDEX(parameters!$D$4:$P$20,MATCH(B2562&amp;B2564,parameters!$A$4:$A$20,0),MATCH(A2584,parameters!$D$3:$P$3,0))</f>
        <v>4.8780487804878048</v>
      </c>
    </row>
    <row r="2585" spans="1:22" hidden="1" x14ac:dyDescent="0.2">
      <c r="A2585" t="s">
        <v>630</v>
      </c>
      <c r="B2585" s="51">
        <f>INDEX(parameters!$D$4:$T$20,MATCH(B2562&amp;B2564,parameters!$A$4:$A$20,0),MATCH(A2585,parameters!$D$3:$T$3,0))</f>
        <v>4100</v>
      </c>
    </row>
    <row r="2586" spans="1:22" hidden="1" x14ac:dyDescent="0.2">
      <c r="A2586" t="s">
        <v>1005</v>
      </c>
      <c r="B2586" s="50">
        <f>IF(B2558="megajoule",SUMIFS(allocation!$I$4:$I$30,allocation!$B$4:$B$30,B2564,allocation!$C$4:$C$30,B2565),SUMIFS(allocation!$J$4:$J$30,allocation!$B$4:$B$30,B2564,allocation!$C$4:$C$30,B2565))</f>
        <v>0.86066019201025545</v>
      </c>
    </row>
    <row r="2587" spans="1:22" hidden="1" x14ac:dyDescent="0.2">
      <c r="A2587" t="s">
        <v>1050</v>
      </c>
      <c r="B2587" s="51">
        <f>INDEX(parameters!$D$4:$AB$20,MATCH(B2562&amp;B2564,parameters!$A$4:$A$20,0),MATCH(A2587,parameters!$D$3:$AB$3,0))</f>
        <v>10.221606648199446</v>
      </c>
    </row>
    <row r="2588" spans="1:22" hidden="1" x14ac:dyDescent="0.2"/>
    <row r="2589" spans="1:22" hidden="1" x14ac:dyDescent="0.2">
      <c r="A2589" s="3" t="s">
        <v>57</v>
      </c>
    </row>
    <row r="2590" spans="1:22" hidden="1" x14ac:dyDescent="0.2">
      <c r="A2590" s="2" t="s">
        <v>58</v>
      </c>
      <c r="B2590" s="44" t="s">
        <v>59</v>
      </c>
      <c r="C2590" s="2" t="s">
        <v>55</v>
      </c>
      <c r="D2590" s="2" t="s">
        <v>60</v>
      </c>
      <c r="E2590" s="2" t="s">
        <v>52</v>
      </c>
      <c r="F2590" s="2" t="s">
        <v>61</v>
      </c>
      <c r="G2590" s="2" t="s">
        <v>54</v>
      </c>
      <c r="H2590" s="2" t="s">
        <v>87</v>
      </c>
      <c r="I2590" s="2" t="s">
        <v>51</v>
      </c>
      <c r="J2590" s="2" t="s">
        <v>138</v>
      </c>
      <c r="K2590" s="2" t="s">
        <v>136</v>
      </c>
      <c r="L2590" s="2" t="s">
        <v>221</v>
      </c>
      <c r="M2590" s="2" t="s">
        <v>379</v>
      </c>
      <c r="N2590" s="2" t="s">
        <v>1059</v>
      </c>
      <c r="O2590" s="2" t="s">
        <v>1060</v>
      </c>
      <c r="P2590" s="2" t="s">
        <v>1061</v>
      </c>
      <c r="Q2590" s="2" t="s">
        <v>1062</v>
      </c>
      <c r="R2590" s="2" t="s">
        <v>1063</v>
      </c>
      <c r="S2590" s="2" t="s">
        <v>1064</v>
      </c>
      <c r="T2590" s="2" t="s">
        <v>1065</v>
      </c>
      <c r="U2590" s="2" t="s">
        <v>380</v>
      </c>
      <c r="V2590" s="2" t="s">
        <v>1128</v>
      </c>
    </row>
    <row r="2591" spans="1:22" x14ac:dyDescent="0.2">
      <c r="A2591" t="str">
        <f>B2552</f>
        <v>electricity, residential, by conversion of hydrogen using fuel cell, PEM, allocated by exergy, transported by truck, produced by Steam Methane Reforming, with CCS using natural gas from Russia</v>
      </c>
      <c r="B2591" s="45">
        <v>1</v>
      </c>
      <c r="C2591" t="str">
        <f>B2558</f>
        <v>kilowatt hour</v>
      </c>
      <c r="E2591" t="str">
        <f>B2555</f>
        <v>CH</v>
      </c>
      <c r="F2591" t="s">
        <v>62</v>
      </c>
      <c r="G2591" t="str">
        <f>B2557</f>
        <v>electricity, from residential heating system</v>
      </c>
      <c r="K2591" t="str">
        <f>B2552</f>
        <v>electricity, residential, by conversion of hydrogen using fuel cell, PEM, allocated by exergy, transported by truck, produced by Steam Methane Reforming, with CCS using natural gas from Russia</v>
      </c>
    </row>
    <row r="2592" spans="1:22" hidden="1" x14ac:dyDescent="0.2">
      <c r="A2592" t="str">
        <f>VLOOKUP(J2592,'dataset mapping'!$A$4:$E$69,2,0)</f>
        <v>fuel cell system assembly, 1 kWe, proton exchange membrane (PEM)</v>
      </c>
      <c r="B2592" s="52">
        <f>(1/(B2581*B2585*B2584))*B2586</f>
        <v>2.2711866178048405E-5</v>
      </c>
      <c r="C2592" t="str">
        <f>VLOOKUP(J2592,'dataset mapping'!$A$4:$E$69,5,0)</f>
        <v>unit</v>
      </c>
      <c r="E2592" t="str">
        <f>VLOOKUP(J2592,'dataset mapping'!$A$4:$E$69,4,0)</f>
        <v>GLO</v>
      </c>
      <c r="F2592" t="s">
        <v>86</v>
      </c>
      <c r="G2592" t="str">
        <f>VLOOKUP(J2592,'dataset mapping'!$A$4:$E$69,3,0)</f>
        <v>fuel cell system, 1 kWe, proton exchange membrane (PEM)</v>
      </c>
      <c r="H2592" t="s">
        <v>88</v>
      </c>
      <c r="I2592" t="s">
        <v>272</v>
      </c>
      <c r="J2592" t="s">
        <v>273</v>
      </c>
      <c r="K2592" t="str">
        <f>B2552</f>
        <v>electricity, residential, by conversion of hydrogen using fuel cell, PEM, allocated by exergy, transported by truck, produced by Steam Methane Reforming, with CCS using natural gas from Russia</v>
      </c>
      <c r="L2592">
        <f t="shared" ref="L2592:L2595" si="164">IF(OR(B2592&lt;0,B2592=0),1,2)</f>
        <v>2</v>
      </c>
      <c r="M2592">
        <f t="shared" ref="M2592:M2595" si="165">IF(L2592=2,LN(B2592),"")</f>
        <v>-10.692623030936341</v>
      </c>
      <c r="N2592">
        <v>1</v>
      </c>
      <c r="O2592" s="15">
        <v>1.2</v>
      </c>
      <c r="P2592">
        <v>1</v>
      </c>
      <c r="Q2592">
        <v>1.01</v>
      </c>
      <c r="R2592">
        <v>1.2</v>
      </c>
      <c r="S2592">
        <v>1.2</v>
      </c>
      <c r="T2592">
        <v>3</v>
      </c>
      <c r="U2592">
        <f t="shared" ref="U2592:U2595" si="166">LN(SQRT(EXP(
SQRT(
+POWER(LN(N2592),2)
+POWER(LN(O2592),2)
+POWER(LN(P2592),2)
+POWER(LN(Q2592),2)
+POWER(LN(R2592),2)
+POWER(LN(S2592),2)
+POWER(LN(T2592),2)
)
)))</f>
        <v>0.57157051623399524</v>
      </c>
    </row>
    <row r="2593" spans="1:21" hidden="1" x14ac:dyDescent="0.2">
      <c r="A2593" s="45" t="str">
        <f>"hydrogen supply, transported by "&amp;B2566&amp;", produced by "&amp;B2570&amp;" using "&amp;B2571&amp;" from "&amp;B2572</f>
        <v>hydrogen supply, transported by truck, produced by Steam Methane Reforming, with CCS using natural gas from Russia</v>
      </c>
      <c r="B2593" s="53">
        <f>(B2591/B2575)/B2574*B2586</f>
        <v>5.7377346134017029E-2</v>
      </c>
      <c r="C2593" t="s">
        <v>56</v>
      </c>
      <c r="E2593" t="s">
        <v>64</v>
      </c>
      <c r="F2593" t="s">
        <v>86</v>
      </c>
      <c r="G2593" t="s">
        <v>1137</v>
      </c>
      <c r="H2593" t="s">
        <v>76</v>
      </c>
      <c r="I2593" t="s">
        <v>1054</v>
      </c>
      <c r="J2593" t="s">
        <v>365</v>
      </c>
      <c r="K2593" t="str">
        <f>B2552</f>
        <v>electricity, residential, by conversion of hydrogen using fuel cell, PEM, allocated by exergy, transported by truck, produced by Steam Methane Reforming, with CCS using natural gas from Russia</v>
      </c>
      <c r="L2593">
        <f t="shared" si="164"/>
        <v>2</v>
      </c>
      <c r="M2593">
        <f t="shared" si="165"/>
        <v>-2.8581057202127536</v>
      </c>
      <c r="N2593">
        <v>1</v>
      </c>
      <c r="O2593" s="15">
        <v>1.2</v>
      </c>
      <c r="P2593">
        <v>1</v>
      </c>
      <c r="Q2593">
        <v>1.01</v>
      </c>
      <c r="R2593">
        <v>1.2</v>
      </c>
      <c r="S2593">
        <v>1.2</v>
      </c>
      <c r="T2593">
        <v>1.05</v>
      </c>
      <c r="U2593">
        <f t="shared" si="166"/>
        <v>0.15984597228197622</v>
      </c>
    </row>
    <row r="2594" spans="1:21" hidden="1" x14ac:dyDescent="0.2">
      <c r="A2594" t="str">
        <f>VLOOKUP(J2594,'dataset mapping'!$A$4:$E$69,2,0)</f>
        <v>high pressure hydrogen storage tank</v>
      </c>
      <c r="B2594" s="52">
        <f>((B2587/10)/(B2585*B2581*20))*IF(B2586&lt;&gt;0,B2586,1)</f>
        <v>5.6622381053306285E-6</v>
      </c>
      <c r="C2594" t="str">
        <f>VLOOKUP(J2594,'dataset mapping'!$A$4:$E$69,5,0)</f>
        <v>kilogram</v>
      </c>
      <c r="E2594" t="str">
        <f>VLOOKUP(J2594,'dataset mapping'!$A$4:$E$69,4,0)</f>
        <v>GLO</v>
      </c>
      <c r="F2594" t="s">
        <v>86</v>
      </c>
      <c r="G2594" t="str">
        <f>VLOOKUP(J2594,'dataset mapping'!$A$4:$E$69,3,0)</f>
        <v>high pressure hydrogen storage tank</v>
      </c>
      <c r="H2594" t="s">
        <v>88</v>
      </c>
      <c r="I2594" t="s">
        <v>280</v>
      </c>
      <c r="J2594" t="s">
        <v>229</v>
      </c>
      <c r="K2594" t="str">
        <f>B2552</f>
        <v>electricity, residential, by conversion of hydrogen using fuel cell, PEM, allocated by exergy, transported by truck, produced by Steam Methane Reforming, with CCS using natural gas from Russia</v>
      </c>
      <c r="L2594">
        <f t="shared" si="164"/>
        <v>2</v>
      </c>
      <c r="M2594">
        <f t="shared" si="165"/>
        <v>-12.081691318938956</v>
      </c>
      <c r="N2594">
        <v>1</v>
      </c>
      <c r="O2594" s="15">
        <v>1.2</v>
      </c>
      <c r="P2594">
        <v>1</v>
      </c>
      <c r="Q2594">
        <v>1.01</v>
      </c>
      <c r="R2594">
        <v>1.2</v>
      </c>
      <c r="S2594">
        <v>1.2</v>
      </c>
      <c r="T2594">
        <v>3</v>
      </c>
      <c r="U2594">
        <f t="shared" si="166"/>
        <v>0.57157051623399524</v>
      </c>
    </row>
    <row r="2595" spans="1:21" hidden="1" x14ac:dyDescent="0.2">
      <c r="A2595" t="s">
        <v>134</v>
      </c>
      <c r="B2595" s="45">
        <f>B2593*9</f>
        <v>0.51639611520615325</v>
      </c>
      <c r="C2595" t="s">
        <v>56</v>
      </c>
      <c r="D2595" t="s">
        <v>100</v>
      </c>
      <c r="F2595" t="s">
        <v>99</v>
      </c>
      <c r="H2595" t="s">
        <v>131</v>
      </c>
      <c r="I2595" t="s">
        <v>1057</v>
      </c>
      <c r="K2595" t="str">
        <f>B2552</f>
        <v>electricity, residential, by conversion of hydrogen using fuel cell, PEM, allocated by exergy, transported by truck, produced by Steam Methane Reforming, with CCS using natural gas from Russia</v>
      </c>
      <c r="L2595">
        <f t="shared" si="164"/>
        <v>2</v>
      </c>
      <c r="M2595">
        <f t="shared" si="165"/>
        <v>-0.6608811428765341</v>
      </c>
      <c r="N2595">
        <v>1</v>
      </c>
      <c r="O2595" s="15">
        <v>1.2</v>
      </c>
      <c r="P2595">
        <v>1</v>
      </c>
      <c r="Q2595">
        <v>1.01</v>
      </c>
      <c r="R2595">
        <v>1.2</v>
      </c>
      <c r="S2595">
        <v>1.2</v>
      </c>
      <c r="T2595">
        <v>1.05</v>
      </c>
      <c r="U2595">
        <f t="shared" si="166"/>
        <v>0.15984597228197622</v>
      </c>
    </row>
    <row r="2596" spans="1:21" hidden="1" x14ac:dyDescent="0.2"/>
    <row r="2597" spans="1:21" hidden="1" x14ac:dyDescent="0.2">
      <c r="A2597" s="2" t="s">
        <v>50</v>
      </c>
      <c r="B2597" s="44" t="str">
        <f>IF(B2603="megajoule","heat","electricity")&amp;", residential, by "&amp;B2608&amp;" of "&amp;B2607&amp;" using "&amp;B2609&amp;IF(B2610&lt;&gt;0,", allocated by "&amp;B2610,"")&amp;", transported by "&amp;B2611&amp;", produced by "&amp;B2615&amp;" using "&amp;B2616&amp;" from "&amp;B2617</f>
        <v>electricity, residential, by conversion of hydrogen using fuel cell, SOFC, allocated by exergy, transported by truck, produced by Steam Methane Reforming, with CCS using natural gas from Russia</v>
      </c>
    </row>
    <row r="2598" spans="1:21" hidden="1" x14ac:dyDescent="0.2">
      <c r="A2598" t="s">
        <v>51</v>
      </c>
      <c r="B2598" s="45" t="str">
        <f>"This dataset represents the supply of 1 "&amp;IF(B2603="megajoule","megajoule of heat","kilowatt hour of electricity")&amp;" in a residence, by "&amp;B2607&amp;" "&amp;B2608&amp;" in a "&amp;B2609&amp;". "&amp;" The hydrogen is transported by "&amp;B2611&amp;" over "&amp;B2612&amp;" km from regional storage. "&amp;" The "&amp;B2607&amp;" is produced by  "&amp;B2615&amp;", with "&amp;B2616&amp;" from "&amp;B2617&amp;" as feedstock. "&amp;A2619&amp;": "&amp;(B2619*100)&amp;"%. "&amp;A2620&amp;": "&amp;B2620&amp;". "&amp;A2621&amp;": "&amp;B2621&amp;". "&amp;A2622&amp;": "&amp;(B2622*100)&amp;"%. "&amp;A2623&amp;": "&amp;(B2623*100)&amp;"%. "&amp;A2624&amp;": "&amp;(B2624*100)&amp;"%. "&amp;A2625&amp;": "&amp;B2625&amp;". "&amp;A2626&amp;": "&amp;B2626&amp;". "&amp;A2627&amp;": "&amp;(B2627*100)&amp;"%. "&amp;A2628&amp;": "&amp;B2628&amp;". "&amp;A2629&amp;": "&amp;B2629&amp;". "&amp;A2630&amp;": "&amp;B2630&amp;". "&amp;A2631&amp;": "&amp;B2631&amp;".  For more information, refer to: "&amp;B2599</f>
        <v>This dataset represents the supply of 1 kilowatt hour of electricity in a residence, by hydrogen conversion in a fuel cell, SOFC.  The hydrogen is transported by truck over 200 km from regional storage.  The hydrogen is produced by  Steam Methane Reforming, with CCS, with natural gas from Russia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2599" spans="1:21" hidden="1" x14ac:dyDescent="0.2">
      <c r="A2599" t="s">
        <v>63</v>
      </c>
      <c r="B2599" s="45" t="s">
        <v>660</v>
      </c>
    </row>
    <row r="2600" spans="1:21" hidden="1" x14ac:dyDescent="0.2">
      <c r="A2600" t="s">
        <v>52</v>
      </c>
      <c r="B2600" s="45" t="s">
        <v>64</v>
      </c>
    </row>
    <row r="2601" spans="1:21" hidden="1" x14ac:dyDescent="0.2">
      <c r="A2601" t="s">
        <v>48</v>
      </c>
      <c r="B2601" s="45" t="s">
        <v>996</v>
      </c>
    </row>
    <row r="2602" spans="1:21" hidden="1" x14ac:dyDescent="0.2">
      <c r="A2602" t="s">
        <v>54</v>
      </c>
      <c r="B2602" s="45" t="str">
        <f>INDEX(overview!$B$4:$R$338,MATCH(B2601,overview!$A$4:$A$338,0),MATCH(A2602,overview!$B$3:$R$3,0))</f>
        <v>electricity, from residential heating system</v>
      </c>
    </row>
    <row r="2603" spans="1:21" hidden="1" x14ac:dyDescent="0.2">
      <c r="A2603" t="s">
        <v>55</v>
      </c>
      <c r="B2603" s="45" t="str">
        <f>INDEX(overview!$B$4:$R$338,MATCH(B2601,overview!$A$4:$A$338,0),MATCH(A2603,overview!$B$3:$R$3,0))</f>
        <v>kilowatt hour</v>
      </c>
    </row>
    <row r="2604" spans="1:21" hidden="1" x14ac:dyDescent="0.2">
      <c r="A2604" t="s">
        <v>0</v>
      </c>
      <c r="B2604" s="45" t="str">
        <f>INDEX(overview!$B$4:$R$338,MATCH(B2601,overview!$A$4:$A$338,0),MATCH(A2604,overview!$B$3:$R$3,0))</f>
        <v>Switzerland</v>
      </c>
    </row>
    <row r="2605" spans="1:21" hidden="1" x14ac:dyDescent="0.2">
      <c r="A2605" t="s">
        <v>1</v>
      </c>
      <c r="B2605" s="45">
        <f>INDEX(overview!$B$4:$R$338,MATCH(B2601,overview!$A$4:$A$338,0),MATCH(A2605,overview!$B$3:$R$3,0))</f>
        <v>2020</v>
      </c>
    </row>
    <row r="2606" spans="1:21" hidden="1" x14ac:dyDescent="0.2">
      <c r="A2606" t="s">
        <v>2</v>
      </c>
      <c r="B2606" s="45" t="str">
        <f>INDEX(overview!$B$4:$R$338,MATCH(B2601,overview!$A$4:$A$338,0),MATCH(A2606,overview!$B$3:$R$3,0))</f>
        <v>1 kWh electricity</v>
      </c>
    </row>
    <row r="2607" spans="1:21" hidden="1" x14ac:dyDescent="0.2">
      <c r="A2607" t="s">
        <v>5</v>
      </c>
      <c r="B2607" s="45" t="str">
        <f>INDEX(overview!$B$4:$R$338,MATCH(B2601,overview!$A$4:$A$338,0),MATCH(A2607,overview!$B$3:$R$3,0))</f>
        <v>hydrogen</v>
      </c>
    </row>
    <row r="2608" spans="1:21" hidden="1" x14ac:dyDescent="0.2">
      <c r="A2608" t="s">
        <v>3</v>
      </c>
      <c r="B2608" s="45" t="str">
        <f>INDEX(overview!$B$4:$R$338,MATCH(B2601,overview!$A$4:$A$338,0),MATCH(A2608,overview!$B$3:$R$3,0))</f>
        <v>conversion</v>
      </c>
    </row>
    <row r="2609" spans="1:2" hidden="1" x14ac:dyDescent="0.2">
      <c r="A2609" t="s">
        <v>6</v>
      </c>
      <c r="B2609" s="45" t="str">
        <f>INDEX(overview!$B$4:$R$338,MATCH(B2601,overview!$A$4:$A$338,0),MATCH(A2609,overview!$B$3:$R$3,0))</f>
        <v>fuel cell, SOFC</v>
      </c>
    </row>
    <row r="2610" spans="1:2" hidden="1" x14ac:dyDescent="0.2">
      <c r="A2610" t="s">
        <v>39</v>
      </c>
      <c r="B2610" s="45" t="str">
        <f>INDEX(overview!$B$4:$R$338,MATCH(B2601,overview!$A$4:$A$338,0),MATCH(A2610,overview!$B$3:$R$3,0))</f>
        <v>exergy</v>
      </c>
    </row>
    <row r="2611" spans="1:2" hidden="1" x14ac:dyDescent="0.2">
      <c r="A2611" t="s">
        <v>4</v>
      </c>
      <c r="B2611" s="45" t="str">
        <f>INDEX(overview!$B$4:$R$338,MATCH(B2601,overview!$A$4:$A$338,0),MATCH(A2611,overview!$B$3:$R$3,0))</f>
        <v>truck</v>
      </c>
    </row>
    <row r="2612" spans="1:2" hidden="1" x14ac:dyDescent="0.2">
      <c r="A2612" t="s">
        <v>38</v>
      </c>
      <c r="B2612" s="45">
        <f>INDEX(overview!$B$4:$R$338,MATCH(B2601,overview!$A$4:$A$338,0),MATCH(A2612,overview!$B$3:$R$3,0))</f>
        <v>200</v>
      </c>
    </row>
    <row r="2613" spans="1:2" hidden="1" x14ac:dyDescent="0.2">
      <c r="A2613" t="s">
        <v>12</v>
      </c>
      <c r="B2613" s="45" t="str">
        <f>INDEX(overview!$B$4:$R$338,MATCH(B2601,overview!$A$4:$A$338,0),MATCH(A2613,overview!$B$3:$R$3,0))</f>
        <v>Pressure vessel for stationary storage</v>
      </c>
    </row>
    <row r="2614" spans="1:2" hidden="1" x14ac:dyDescent="0.2">
      <c r="A2614" t="s">
        <v>34</v>
      </c>
      <c r="B2614" s="45">
        <f>INDEX(overview!$B$4:$R$338,MATCH(B2601,overview!$A$4:$A$338,0),MATCH(A2614,overview!$B$3:$R$3,0))</f>
        <v>0</v>
      </c>
    </row>
    <row r="2615" spans="1:2" hidden="1" x14ac:dyDescent="0.2">
      <c r="A2615" t="s">
        <v>15</v>
      </c>
      <c r="B2615" s="45" t="str">
        <f>INDEX(overview!$B$4:$R$338,MATCH(B2601,overview!$A$4:$A$338,0),MATCH(A2615,overview!$B$3:$R$3,0))</f>
        <v>Steam Methane Reforming, with CCS</v>
      </c>
    </row>
    <row r="2616" spans="1:2" hidden="1" x14ac:dyDescent="0.2">
      <c r="A2616" t="s">
        <v>14</v>
      </c>
      <c r="B2616" s="45" t="str">
        <f>INDEX(overview!$B$4:$R$338,MATCH(B2601,overview!$A$4:$A$338,0),MATCH(A2616,overview!$B$3:$R$3,0))</f>
        <v>natural gas</v>
      </c>
    </row>
    <row r="2617" spans="1:2" hidden="1" x14ac:dyDescent="0.2">
      <c r="A2617" t="s">
        <v>26</v>
      </c>
      <c r="B2617" s="45" t="str">
        <f>INDEX(overview!$B$4:$R$338,MATCH(B2601,overview!$A$4:$A$338,0),MATCH(A2617,overview!$B$3:$R$3,0))</f>
        <v>Russia</v>
      </c>
    </row>
    <row r="2618" spans="1:2" hidden="1" x14ac:dyDescent="0.2">
      <c r="A2618" t="s">
        <v>29</v>
      </c>
      <c r="B2618" s="45">
        <f>INDEX(overview!$B$4:$R$338,MATCH(B2601,overview!$A$4:$A$338,0),MATCH(A2618,overview!$B$3:$R$3,0))</f>
        <v>0</v>
      </c>
    </row>
    <row r="2619" spans="1:2" hidden="1" x14ac:dyDescent="0.2">
      <c r="A2619" t="str">
        <f>IF(B2603="megajoule","Heat","Electricity")&amp;" conversion efficiency [% LHV input]"</f>
        <v>Electricity conversion efficiency [% LHV input]</v>
      </c>
      <c r="B2619" s="46">
        <f>INDEX(parameters!$D$4:$N$20,MATCH(B2607&amp;B2609,parameters!$A$4:$A$20,0),MATCH(A2619,parameters!$D$3:$N$3,0))</f>
        <v>0.47</v>
      </c>
    </row>
    <row r="2620" spans="1:2" hidden="1" x14ac:dyDescent="0.2">
      <c r="A2620" t="str">
        <f>IF(B2603="megajoule","LHV [MJ/kg]","LHV [kWh/kg]")</f>
        <v>LHV [kWh/kg]</v>
      </c>
      <c r="B2620" s="47">
        <f>INDEX(parameters!$D$4:$N$20,MATCH(B2607&amp;B2609,parameters!$A$4:$A$20,0),MATCH(A2620,parameters!$D$3:$N$3,0))</f>
        <v>33.333333333333336</v>
      </c>
    </row>
    <row r="2621" spans="1:2" hidden="1" x14ac:dyDescent="0.2">
      <c r="A2621" t="s">
        <v>41</v>
      </c>
      <c r="B2621" s="48">
        <f>INDEX(parameters!$D$4:$N$20,MATCH(B2607&amp;B2609,parameters!$A$4:$A$20,0),MATCH(A2621,parameters!$D$3:$N$3,0))</f>
        <v>2.6666666666666665E-2</v>
      </c>
    </row>
    <row r="2622" spans="1:2" hidden="1" x14ac:dyDescent="0.2">
      <c r="A2622" t="s">
        <v>45</v>
      </c>
      <c r="B2622" s="46">
        <f>INDEX(parameters!$D$4:$N$20,MATCH(B2607&amp;B2609,parameters!$A$4:$A$20,0),MATCH(A2622,parameters!$D$3:$N$3,0))</f>
        <v>0</v>
      </c>
    </row>
    <row r="2623" spans="1:2" hidden="1" x14ac:dyDescent="0.2">
      <c r="A2623" t="s">
        <v>46</v>
      </c>
      <c r="B2623" s="46">
        <f>INDEX(parameters!$D$4:$N$20,MATCH(B2607&amp;B2609,parameters!$A$4:$A$20,0),MATCH(A2623,parameters!$D$3:$N$3,0))</f>
        <v>1.4999999999999999E-2</v>
      </c>
    </row>
    <row r="2624" spans="1:2" hidden="1" x14ac:dyDescent="0.2">
      <c r="A2624" t="s">
        <v>43</v>
      </c>
      <c r="B2624" s="46">
        <f>INDEX(parameters!$D$4:$N$20,MATCH(B2607&amp;B2609,parameters!$A$4:$A$20,0),MATCH(A2624,parameters!$D$3:$N$3,0))</f>
        <v>0</v>
      </c>
    </row>
    <row r="2625" spans="1:22" hidden="1" x14ac:dyDescent="0.2">
      <c r="A2625" t="s">
        <v>44</v>
      </c>
      <c r="B2625" s="46">
        <f>INDEX(parameters!$D$4:$N$20,MATCH(B2607&amp;B2609,parameters!$A$4:$A$20,0),MATCH(A2625,parameters!$D$3:$N$3,0))</f>
        <v>0</v>
      </c>
    </row>
    <row r="2626" spans="1:22" hidden="1" x14ac:dyDescent="0.2">
      <c r="A2626" t="s">
        <v>634</v>
      </c>
      <c r="B2626" s="50">
        <f>INDEX(parameters!$D$4:$Y$20,MATCH(B2607&amp;B2609,parameters!$A$4:$A$20,0),MATCH(A2626,parameters!$D$3:$Y$3,0))</f>
        <v>225</v>
      </c>
      <c r="D2626" s="8"/>
    </row>
    <row r="2627" spans="1:22" hidden="1" x14ac:dyDescent="0.2">
      <c r="A2627" t="s">
        <v>82</v>
      </c>
      <c r="B2627" s="46">
        <f>IF(B2618&lt;&gt;0,VLOOKUP(B2618,parameters!A1787:B1789,2,0),0)</f>
        <v>0</v>
      </c>
    </row>
    <row r="2628" spans="1:22" hidden="1" x14ac:dyDescent="0.2">
      <c r="A2628" t="s">
        <v>548</v>
      </c>
      <c r="B2628" s="50">
        <f>INDEX(parameters!$D$4:$P$20,MATCH(B2607&amp;B2609,parameters!$A$4:$A$20,0),MATCH(A2628,parameters!$D$3:$P$3,0))</f>
        <v>100</v>
      </c>
    </row>
    <row r="2629" spans="1:22" hidden="1" x14ac:dyDescent="0.2">
      <c r="A2629" t="s">
        <v>547</v>
      </c>
      <c r="B2629" s="51">
        <f>INDEX(parameters!$D$4:$P$20,MATCH(B2607&amp;B2609,parameters!$A$4:$A$20,0),MATCH(A2629,parameters!$D$3:$P$3,0))</f>
        <v>6</v>
      </c>
    </row>
    <row r="2630" spans="1:22" hidden="1" x14ac:dyDescent="0.2">
      <c r="A2630" t="s">
        <v>630</v>
      </c>
      <c r="B2630" s="51">
        <f>INDEX(parameters!$D$4:$T$20,MATCH(B2607&amp;B2609,parameters!$A$4:$A$20,0),MATCH(A2630,parameters!$D$3:$T$3,0))</f>
        <v>4100</v>
      </c>
    </row>
    <row r="2631" spans="1:22" hidden="1" x14ac:dyDescent="0.2">
      <c r="A2631" t="s">
        <v>1005</v>
      </c>
      <c r="B2631" s="50">
        <f>IF(B2603="megajoule",SUMIFS(allocation!$I$4:$I$30,allocation!$B$4:$B$30,B2609,allocation!$C$4:$C$30,B2610),SUMIFS(allocation!$J$4:$J$30,allocation!$B$4:$B$30,B2609,allocation!$C$4:$C$30,B2610))</f>
        <v>0.86412493489600906</v>
      </c>
    </row>
    <row r="2632" spans="1:22" hidden="1" x14ac:dyDescent="0.2">
      <c r="A2632" t="s">
        <v>1050</v>
      </c>
      <c r="B2632" s="51">
        <f>INDEX(parameters!$D$4:$AB$20,MATCH(B2607&amp;B2609,parameters!$A$4:$A$20,0),MATCH(A2632,parameters!$D$3:$AB$3,0))</f>
        <v>1153.1249999999998</v>
      </c>
    </row>
    <row r="2633" spans="1:22" hidden="1" x14ac:dyDescent="0.2"/>
    <row r="2634" spans="1:22" hidden="1" x14ac:dyDescent="0.2">
      <c r="A2634" s="3" t="s">
        <v>57</v>
      </c>
    </row>
    <row r="2635" spans="1:22" hidden="1" x14ac:dyDescent="0.2">
      <c r="A2635" s="2" t="s">
        <v>58</v>
      </c>
      <c r="B2635" s="44" t="s">
        <v>59</v>
      </c>
      <c r="C2635" s="2" t="s">
        <v>55</v>
      </c>
      <c r="D2635" s="2" t="s">
        <v>60</v>
      </c>
      <c r="E2635" s="2" t="s">
        <v>52</v>
      </c>
      <c r="F2635" s="2" t="s">
        <v>61</v>
      </c>
      <c r="G2635" s="2" t="s">
        <v>54</v>
      </c>
      <c r="H2635" s="2" t="s">
        <v>87</v>
      </c>
      <c r="I2635" s="2" t="s">
        <v>51</v>
      </c>
      <c r="J2635" s="2" t="s">
        <v>138</v>
      </c>
      <c r="K2635" s="2" t="s">
        <v>136</v>
      </c>
      <c r="L2635" s="2" t="s">
        <v>221</v>
      </c>
      <c r="M2635" s="2" t="s">
        <v>379</v>
      </c>
      <c r="N2635" s="2" t="s">
        <v>1059</v>
      </c>
      <c r="O2635" s="2" t="s">
        <v>1060</v>
      </c>
      <c r="P2635" s="2" t="s">
        <v>1061</v>
      </c>
      <c r="Q2635" s="2" t="s">
        <v>1062</v>
      </c>
      <c r="R2635" s="2" t="s">
        <v>1063</v>
      </c>
      <c r="S2635" s="2" t="s">
        <v>1064</v>
      </c>
      <c r="T2635" s="2" t="s">
        <v>1065</v>
      </c>
      <c r="U2635" s="2" t="s">
        <v>380</v>
      </c>
      <c r="V2635" s="2" t="s">
        <v>1128</v>
      </c>
    </row>
    <row r="2636" spans="1:22" x14ac:dyDescent="0.2">
      <c r="A2636" t="str">
        <f>B2597</f>
        <v>electricity, residential, by conversion of hydrogen using fuel cell, SOFC, allocated by exergy, transported by truck, produced by Steam Methane Reforming, with CCS using natural gas from Russia</v>
      </c>
      <c r="B2636" s="45">
        <v>1</v>
      </c>
      <c r="C2636" t="str">
        <f>B2603</f>
        <v>kilowatt hour</v>
      </c>
      <c r="E2636" t="str">
        <f>B2600</f>
        <v>CH</v>
      </c>
      <c r="F2636" t="s">
        <v>62</v>
      </c>
      <c r="G2636" t="str">
        <f>B2602</f>
        <v>electricity, from residential heating system</v>
      </c>
      <c r="K2636" t="str">
        <f>B2597</f>
        <v>electricity, residential, by conversion of hydrogen using fuel cell, SOFC, allocated by exergy, transported by truck, produced by Steam Methane Reforming, with CCS using natural gas from Russia</v>
      </c>
    </row>
    <row r="2637" spans="1:22" hidden="1" x14ac:dyDescent="0.2">
      <c r="A2637" t="str">
        <f>VLOOKUP(J2637,'dataset mapping'!$A$4:$E$69,2,0)</f>
        <v>fuel cell production, stack solid oxide, 125kW electrical, future</v>
      </c>
      <c r="B2637" s="52">
        <f>1/(62*1000000)/B2619*SUMIFS(allocation!$I$4:$I$30,allocation!$B$4:$B$30,B2609,allocation!$C$4:$C$30,B2610)</f>
        <v>4.6628368258061427E-9</v>
      </c>
      <c r="C2637" t="str">
        <f>VLOOKUP(J2637,'dataset mapping'!$A$4:$E$69,5,0)</f>
        <v>unit</v>
      </c>
      <c r="E2637" t="str">
        <f>VLOOKUP(J2637,'dataset mapping'!$A$4:$E$69,4,0)</f>
        <v>CH</v>
      </c>
      <c r="F2637" t="s">
        <v>86</v>
      </c>
      <c r="G2637" t="str">
        <f>VLOOKUP(J2637,'dataset mapping'!$A$4:$E$69,3,0)</f>
        <v>fuel cell, stack solid oxide, 125kW electrical, future</v>
      </c>
      <c r="H2637" t="s">
        <v>88</v>
      </c>
      <c r="I2637" t="s">
        <v>277</v>
      </c>
      <c r="J2637" t="s">
        <v>274</v>
      </c>
      <c r="K2637" t="str">
        <f>B2597</f>
        <v>electricity, residential, by conversion of hydrogen using fuel cell, SOFC, allocated by exergy, transported by truck, produced by Steam Methane Reforming, with CCS using natural gas from Russia</v>
      </c>
      <c r="L2637">
        <f t="shared" ref="L2637:L2643" si="167">IF(OR(B2637&lt;0,B2637=0),1,2)</f>
        <v>2</v>
      </c>
      <c r="M2637">
        <f t="shared" ref="M2637:M2643" si="168">IF(L2637=2,LN(B2637),"")</f>
        <v>-19.183641813126002</v>
      </c>
      <c r="N2637">
        <v>1</v>
      </c>
      <c r="O2637" s="15">
        <v>1.2</v>
      </c>
      <c r="P2637">
        <v>1</v>
      </c>
      <c r="Q2637">
        <v>1.01</v>
      </c>
      <c r="R2637">
        <v>1.2</v>
      </c>
      <c r="S2637">
        <v>1.2</v>
      </c>
      <c r="T2637">
        <v>3</v>
      </c>
      <c r="U2637">
        <f t="shared" ref="U2637:U2643" si="169">LN(SQRT(EXP(
SQRT(
+POWER(LN(N2637),2)
+POWER(LN(O2637),2)
+POWER(LN(P2637),2)
+POWER(LN(Q2637),2)
+POWER(LN(R2637),2)
+POWER(LN(S2637),2)
+POWER(LN(T2637),2)
)
)))</f>
        <v>0.57157051623399524</v>
      </c>
    </row>
    <row r="2638" spans="1:22" hidden="1" x14ac:dyDescent="0.2">
      <c r="A2638" t="s">
        <v>283</v>
      </c>
      <c r="B2638" s="52">
        <f>0.000000145/B2619*SUMIFS(allocation!$I$4:$I$30,allocation!$B$4:$B$30,B2609,allocation!$C$4:$C$30,B2610)</f>
        <v>4.1918903063997216E-8</v>
      </c>
      <c r="C2638" t="s">
        <v>55</v>
      </c>
      <c r="E2638" t="s">
        <v>64</v>
      </c>
      <c r="F2638" t="s">
        <v>86</v>
      </c>
      <c r="G2638" t="s">
        <v>284</v>
      </c>
      <c r="H2638" t="s">
        <v>88</v>
      </c>
      <c r="I2638" t="s">
        <v>277</v>
      </c>
      <c r="K2638" t="str">
        <f>B2597</f>
        <v>electricity, residential, by conversion of hydrogen using fuel cell, SOFC, allocated by exergy, transported by truck, produced by Steam Methane Reforming, with CCS using natural gas from Russia</v>
      </c>
      <c r="L2638">
        <f t="shared" si="167"/>
        <v>2</v>
      </c>
      <c r="M2638">
        <f t="shared" si="168"/>
        <v>-16.987528964642475</v>
      </c>
      <c r="N2638">
        <v>1</v>
      </c>
      <c r="O2638" s="15">
        <v>1.2</v>
      </c>
      <c r="P2638">
        <v>1</v>
      </c>
      <c r="Q2638">
        <v>1.01</v>
      </c>
      <c r="R2638">
        <v>1.2</v>
      </c>
      <c r="S2638">
        <v>1.2</v>
      </c>
      <c r="T2638">
        <v>3</v>
      </c>
      <c r="U2638">
        <f t="shared" si="169"/>
        <v>0.57157051623399524</v>
      </c>
    </row>
    <row r="2639" spans="1:22" hidden="1" x14ac:dyDescent="0.2">
      <c r="A2639" t="s">
        <v>285</v>
      </c>
      <c r="B2639" s="52">
        <f>0.0000000115/B2619*SUMIFS(allocation!$I$4:$I$30,allocation!$B$4:$B$30,B2609,allocation!$C$4:$C$30,B2610)</f>
        <v>3.3246026567997794E-9</v>
      </c>
      <c r="C2639" t="s">
        <v>55</v>
      </c>
      <c r="E2639" t="s">
        <v>90</v>
      </c>
      <c r="F2639" t="s">
        <v>86</v>
      </c>
      <c r="G2639" t="s">
        <v>286</v>
      </c>
      <c r="H2639" t="s">
        <v>88</v>
      </c>
      <c r="K2639" t="str">
        <f>B2597</f>
        <v>electricity, residential, by conversion of hydrogen using fuel cell, SOFC, allocated by exergy, transported by truck, produced by Steam Methane Reforming, with CCS using natural gas from Russia</v>
      </c>
      <c r="L2639">
        <f t="shared" si="167"/>
        <v>2</v>
      </c>
      <c r="M2639">
        <f t="shared" si="168"/>
        <v>-19.521915671693844</v>
      </c>
      <c r="N2639">
        <v>1</v>
      </c>
      <c r="O2639" s="15">
        <v>1.2</v>
      </c>
      <c r="P2639">
        <v>1</v>
      </c>
      <c r="Q2639">
        <v>1.01</v>
      </c>
      <c r="R2639">
        <v>1.2</v>
      </c>
      <c r="S2639">
        <v>1.2</v>
      </c>
      <c r="T2639">
        <v>3</v>
      </c>
      <c r="U2639">
        <f t="shared" si="169"/>
        <v>0.57157051623399524</v>
      </c>
    </row>
    <row r="2640" spans="1:22" hidden="1" x14ac:dyDescent="0.2">
      <c r="A2640" t="s">
        <v>288</v>
      </c>
      <c r="B2640" s="52">
        <f>0.000024/B2619*SUMIFS(allocation!$I$4:$I$30,allocation!$B$4:$B$30,B2609,allocation!$C$4:$C$30,B2610)</f>
        <v>6.9383011967995388E-6</v>
      </c>
      <c r="C2640" t="s">
        <v>56</v>
      </c>
      <c r="E2640" t="s">
        <v>64</v>
      </c>
      <c r="F2640" t="s">
        <v>86</v>
      </c>
      <c r="G2640" t="s">
        <v>287</v>
      </c>
      <c r="H2640" t="s">
        <v>88</v>
      </c>
      <c r="K2640" t="str">
        <f>B2597</f>
        <v>electricity, residential, by conversion of hydrogen using fuel cell, SOFC, allocated by exergy, transported by truck, produced by Steam Methane Reforming, with CCS using natural gas from Russia</v>
      </c>
      <c r="L2640">
        <f t="shared" si="167"/>
        <v>2</v>
      </c>
      <c r="M2640">
        <f t="shared" si="168"/>
        <v>-11.878453597732966</v>
      </c>
      <c r="N2640">
        <v>1</v>
      </c>
      <c r="O2640" s="15">
        <v>1.2</v>
      </c>
      <c r="P2640">
        <v>1</v>
      </c>
      <c r="Q2640">
        <v>1.01</v>
      </c>
      <c r="R2640">
        <v>1.2</v>
      </c>
      <c r="S2640">
        <v>1.2</v>
      </c>
      <c r="T2640">
        <v>1.05</v>
      </c>
      <c r="U2640">
        <f t="shared" si="169"/>
        <v>0.15984597228197622</v>
      </c>
    </row>
    <row r="2641" spans="1:21" hidden="1" x14ac:dyDescent="0.2">
      <c r="A2641" s="45" t="str">
        <f>"hydrogen supply, transported by "&amp;B2611&amp;", produced by "&amp;B2615&amp;" using "&amp;B2616&amp;" from "&amp;B2617</f>
        <v>hydrogen supply, transported by truck, produced by Steam Methane Reforming, with CCS using natural gas from Russia</v>
      </c>
      <c r="B2641" s="53">
        <f>(B2636/B2620)/B2619*B2631</f>
        <v>5.515691073804313E-2</v>
      </c>
      <c r="C2641" t="s">
        <v>56</v>
      </c>
      <c r="E2641" t="s">
        <v>64</v>
      </c>
      <c r="F2641" t="s">
        <v>86</v>
      </c>
      <c r="G2641" t="s">
        <v>1137</v>
      </c>
      <c r="H2641" t="s">
        <v>76</v>
      </c>
      <c r="I2641" t="s">
        <v>1054</v>
      </c>
      <c r="J2641" t="s">
        <v>365</v>
      </c>
      <c r="K2641" t="str">
        <f>B2597</f>
        <v>electricity, residential, by conversion of hydrogen using fuel cell, SOFC, allocated by exergy, transported by truck, produced by Steam Methane Reforming, with CCS using natural gas from Russia</v>
      </c>
      <c r="L2641">
        <f t="shared" si="167"/>
        <v>2</v>
      </c>
      <c r="M2641">
        <f t="shared" si="168"/>
        <v>-2.8975732330996009</v>
      </c>
      <c r="N2641">
        <v>1</v>
      </c>
      <c r="O2641" s="15">
        <v>1.2</v>
      </c>
      <c r="P2641">
        <v>1</v>
      </c>
      <c r="Q2641">
        <v>1.01</v>
      </c>
      <c r="R2641">
        <v>1.2</v>
      </c>
      <c r="S2641">
        <v>1.2</v>
      </c>
      <c r="T2641">
        <v>1.05</v>
      </c>
      <c r="U2641">
        <f t="shared" si="169"/>
        <v>0.15984597228197622</v>
      </c>
    </row>
    <row r="2642" spans="1:21" hidden="1" x14ac:dyDescent="0.2">
      <c r="A2642" t="str">
        <f>VLOOKUP(J2642,'dataset mapping'!$A$4:$E$69,2,0)</f>
        <v>high pressure hydrogen storage tank</v>
      </c>
      <c r="B2642" s="52">
        <f>((B2632/10)/(B2630*B2626*20))*IF(B2631&lt;&gt;0,B2631,1)</f>
        <v>5.400780843100055E-6</v>
      </c>
      <c r="C2642" t="str">
        <f>VLOOKUP(J2642,'dataset mapping'!$A$4:$E$69,5,0)</f>
        <v>kilogram</v>
      </c>
      <c r="E2642" t="str">
        <f>VLOOKUP(J2642,'dataset mapping'!$A$4:$E$69,4,0)</f>
        <v>GLO</v>
      </c>
      <c r="F2642" t="s">
        <v>86</v>
      </c>
      <c r="G2642" t="str">
        <f>VLOOKUP(J2642,'dataset mapping'!$A$4:$E$69,3,0)</f>
        <v>high pressure hydrogen storage tank</v>
      </c>
      <c r="H2642" t="s">
        <v>88</v>
      </c>
      <c r="I2642" t="s">
        <v>230</v>
      </c>
      <c r="J2642" t="s">
        <v>229</v>
      </c>
      <c r="K2642" t="str">
        <f>B2597</f>
        <v>electricity, residential, by conversion of hydrogen using fuel cell, SOFC, allocated by exergy, transported by truck, produced by Steam Methane Reforming, with CCS using natural gas from Russia</v>
      </c>
      <c r="L2642">
        <f t="shared" si="167"/>
        <v>2</v>
      </c>
      <c r="M2642">
        <f t="shared" si="168"/>
        <v>-12.128967014273616</v>
      </c>
      <c r="N2642">
        <v>1</v>
      </c>
      <c r="O2642" s="15">
        <v>1.2</v>
      </c>
      <c r="P2642">
        <v>1</v>
      </c>
      <c r="Q2642">
        <v>1.01</v>
      </c>
      <c r="R2642">
        <v>1.2</v>
      </c>
      <c r="S2642">
        <v>1.2</v>
      </c>
      <c r="T2642">
        <v>3</v>
      </c>
      <c r="U2642">
        <f t="shared" si="169"/>
        <v>0.57157051623399524</v>
      </c>
    </row>
    <row r="2643" spans="1:21" hidden="1" x14ac:dyDescent="0.2">
      <c r="A2643" t="s">
        <v>134</v>
      </c>
      <c r="B2643" s="45">
        <f>B2641*9</f>
        <v>0.49641219664238817</v>
      </c>
      <c r="C2643" t="s">
        <v>56</v>
      </c>
      <c r="D2643" t="s">
        <v>100</v>
      </c>
      <c r="F2643" t="s">
        <v>99</v>
      </c>
      <c r="H2643" t="s">
        <v>131</v>
      </c>
      <c r="I2643" t="s">
        <v>1057</v>
      </c>
      <c r="K2643" t="str">
        <f>B2597</f>
        <v>electricity, residential, by conversion of hydrogen using fuel cell, SOFC, allocated by exergy, transported by truck, produced by Steam Methane Reforming, with CCS using natural gas from Russia</v>
      </c>
      <c r="L2643">
        <f t="shared" si="167"/>
        <v>2</v>
      </c>
      <c r="M2643">
        <f t="shared" si="168"/>
        <v>-0.70034865576338168</v>
      </c>
      <c r="N2643">
        <v>1</v>
      </c>
      <c r="O2643" s="15">
        <v>1.2</v>
      </c>
      <c r="P2643">
        <v>1</v>
      </c>
      <c r="Q2643">
        <v>1.01</v>
      </c>
      <c r="R2643">
        <v>1.2</v>
      </c>
      <c r="S2643">
        <v>1.2</v>
      </c>
      <c r="T2643">
        <v>1.05</v>
      </c>
      <c r="U2643">
        <f t="shared" si="169"/>
        <v>0.15984597228197622</v>
      </c>
    </row>
  </sheetData>
  <autoFilter ref="A1:U2643" xr:uid="{587BA531-3531-5649-ADEB-6E378E7801CE}">
    <filterColumn colId="5">
      <filters>
        <filter val="production"/>
      </filters>
    </filterColumn>
    <filterColumn colId="10">
      <filters>
        <filter val="electricity, residential, by conversion of hydrogen using fuel cell, PEM, allocated by exergy, transported by pipeline, produced by Steam Methane Reforming using natural gas from Russia"/>
        <filter val="electricity, residential, by conversion of hydrogen using fuel cell, PEM, allocated by exergy, transported by pipeline, produced by Steam Methane Reforming using natural gas from Switzerland"/>
        <filter val="electricity, residential, by conversion of hydrogen using fuel cell, PEM, allocated by exergy, transported by pipeline, produced by Steam Methane Reforming, with CCS using natural gas from Russia"/>
        <filter val="electricity, residential, by conversion of hydrogen using fuel cell, PEM, allocated by exergy, transported by pipeline, produced by Steam Methane Reforming, with CCS using natural gas from Switzerland"/>
        <filter val="electricity, residential, by conversion of hydrogen using fuel cell, PEM, allocated by exergy, transported by truck, produced by Steam Methane Reforming using natural gas from Russia"/>
        <filter val="electricity, residential, by conversion of hydrogen using fuel cell, PEM, allocated by exergy, transported by truck, produced by Steam Methane Reforming using natural gas from Switzerland"/>
        <filter val="electricity, residential, by conversion of hydrogen using fuel cell, PEM, allocated by exergy, transported by truck, produced by Steam Methane Reforming, with CCS using natural gas from Russia"/>
        <filter val="electricity, residential, by conversion of hydrogen using fuel cell, PEM, allocated by exergy, transported by truck, produced by Steam Methane Reforming, with CCS using natural gas from Switzerland"/>
        <filter val="electricity, residential, by conversion of hydrogen using fuel cell, SOFC, allocated by exergy, transported by pipeline, produced by Steam Methane Reforming using natural gas from Russia"/>
        <filter val="electricity, residential, by conversion of hydrogen using fuel cell, SOFC, allocated by exergy, transported by pipeline, produced by Steam Methane Reforming using natural gas from Switzerland"/>
        <filter val="electricity, residential, by conversion of hydrogen using fuel cell, SOFC, allocated by exergy, transported by pipeline, produced by Steam Methane Reforming, with CCS using natural gas from Russia"/>
        <filter val="electricity, residential, by conversion of hydrogen using fuel cell, SOFC, allocated by exergy, transported by pipeline, produced by Steam Methane Reforming, with CCS using natural gas from Switzerland"/>
        <filter val="electricity, residential, by conversion of hydrogen using fuel cell, SOFC, allocated by exergy, transported by truck, produced by Steam Methane Reforming using natural gas from Russia"/>
        <filter val="electricity, residential, by conversion of hydrogen using fuel cell, SOFC, allocated by exergy, transported by truck, produced by Steam Methane Reforming using natural gas from Switzerland"/>
        <filter val="electricity, residential, by conversion of hydrogen using fuel cell, SOFC, allocated by exergy, transported by truck, produced by Steam Methane Reforming, with CCS using natural gas from Russia"/>
        <filter val="electricity, residential, by conversion of hydrogen using fuel cell, SOFC, allocated by exergy, transported by truck, produced by Steam Methane Reforming, with CCS using natural gas from Switzerland"/>
        <filter val="heat, residential, by conversion of hydrogen using fuel cell, PEM, allocated by exergy, transported by pipeline, produced by Steam Methane Reforming using natural gas from Russia"/>
        <filter val="heat, residential, by conversion of hydrogen using fuel cell, PEM, allocated by exergy, transported by pipeline, produced by Steam Methane Reforming using natural gas from Switzerland"/>
        <filter val="heat, residential, by conversion of hydrogen using fuel cell, PEM, allocated by exergy, transported by pipeline, produced by Steam Methane Reforming, with CCS using natural gas from Russia"/>
        <filter val="heat, residential, by conversion of hydrogen using fuel cell, PEM, allocated by exergy, transported by pipeline, produced by Steam Methane Reforming, with CCS using natural gas from Switzerland"/>
        <filter val="heat, residential, by conversion of hydrogen using fuel cell, PEM, allocated by exergy, transported by truck, produced by Steam Methane Reforming using natural gas from Russia"/>
        <filter val="heat, residential, by conversion of hydrogen using fuel cell, PEM, allocated by exergy, transported by truck, produced by Steam Methane Reforming using natural gas from Switzerland"/>
        <filter val="heat, residential, by conversion of hydrogen using fuel cell, PEM, allocated by exergy, transported by truck, produced by Steam Methane Reforming, with CCS using natural gas from Russia"/>
        <filter val="heat, residential, by conversion of hydrogen using fuel cell, PEM, allocated by exergy, transported by truck, produced by Steam Methane Reforming, with CCS using natural gas from Switzerland"/>
        <filter val="heat, residential, by conversion of hydrogen using fuel cell, SOFC, allocated by exergy, transported by pipeline, produced by Steam Methane Reforming using natural gas from Russia"/>
        <filter val="heat, residential, by conversion of hydrogen using fuel cell, SOFC, allocated by exergy, transported by pipeline, produced by Steam Methane Reforming using natural gas from Switzerland"/>
        <filter val="heat, residential, by conversion of hydrogen using fuel cell, SOFC, allocated by exergy, transported by pipeline, produced by Steam Methane Reforming, with CCS using natural gas from Russia"/>
        <filter val="heat, residential, by conversion of hydrogen using fuel cell, SOFC, allocated by exergy, transported by pipeline, produced by Steam Methane Reforming, with CCS using natural gas from Switzerland"/>
        <filter val="heat, residential, by conversion of hydrogen using fuel cell, SOFC, allocated by exergy, transported by truck, produced by Steam Methane Reforming using natural gas from Russia"/>
        <filter val="heat, residential, by conversion of hydrogen using fuel cell, SOFC, allocated by exergy, transported by truck, produced by Steam Methane Reforming using natural gas from Switzerland"/>
        <filter val="heat, residential, by conversion of hydrogen using fuel cell, SOFC, allocated by exergy, transported by truck, produced by Steam Methane Reforming, with CCS using natural gas from Russia"/>
        <filter val="heat, residential, by conversion of hydrogen using fuel cell, SOFC, allocated by exergy, transported by truck, produced by Steam Methane Reforming, with CCS using natural gas from Switzerland"/>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952E0-7401-B54B-B2A1-0E2D4FECF22B}">
  <sheetPr filterMode="1"/>
  <dimension ref="A1:V1433"/>
  <sheetViews>
    <sheetView workbookViewId="0">
      <selection activeCell="A136" sqref="A136:A1314"/>
    </sheetView>
  </sheetViews>
  <sheetFormatPr baseColWidth="10" defaultRowHeight="16" x14ac:dyDescent="0.2"/>
  <cols>
    <col min="1" max="1" width="64.5" customWidth="1"/>
    <col min="2" max="2" width="12.1640625" style="45" bestFit="1" customWidth="1"/>
    <col min="10" max="10" width="5.6640625" customWidth="1"/>
    <col min="11" max="11" width="10.83203125" customWidth="1"/>
  </cols>
  <sheetData>
    <row r="1" spans="1:2" x14ac:dyDescent="0.2">
      <c r="A1" s="2" t="s">
        <v>50</v>
      </c>
      <c r="B1" s="44" t="str">
        <f>IF(B7="megajoule","heat","electricity")&amp;", residential, by "&amp;B12&amp;" of "&amp;B11&amp;" using "&amp;B13&amp;IF(B14&lt;&gt;0,", allocated by "&amp;B14,"")&amp;", transported by "&amp;B15&amp;", produced by "&amp;B19&amp;" using "&amp;B20&amp;" from "&amp;B21</f>
        <v>heat, residential, by combustion of hydrogen using boiler, transported by pipeline, produced by Auto-thermal reforming using natural gas from Switzerland</v>
      </c>
    </row>
    <row r="2" spans="1:2" hidden="1" x14ac:dyDescent="0.2">
      <c r="A2" t="s">
        <v>51</v>
      </c>
      <c r="B2" s="45" t="str">
        <f>"This dataset represents the supply of 1 "&amp;IF(B7="megajoule","megajoule of heat","kilowatt hour of electricity")&amp;" in a residence, by "&amp;B11&amp;" "&amp;B12&amp;" in a "&amp;B13&amp;". "&amp;" The hydrogen is transported by "&amp;B15&amp;" over "&amp;B16&amp;" km from regional storage. "&amp;" The "&amp;B11&amp;" is produced by  "&amp;B19&amp;", with "&amp;B20&amp;" from "&amp;B21&amp;" as feedstock.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hydrogen combustion in a boiler.  The hydrogen is transported by pipeline over 500 km from regional storage.  The hydrogen is produced by  Auto-thermal reforming,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 spans="1:2" hidden="1" x14ac:dyDescent="0.2">
      <c r="A3" t="s">
        <v>63</v>
      </c>
      <c r="B3" s="45" t="s">
        <v>660</v>
      </c>
    </row>
    <row r="4" spans="1:2" hidden="1" x14ac:dyDescent="0.2">
      <c r="A4" t="s">
        <v>52</v>
      </c>
      <c r="B4" s="45" t="s">
        <v>64</v>
      </c>
    </row>
    <row r="5" spans="1:2" hidden="1" x14ac:dyDescent="0.2">
      <c r="A5" t="s">
        <v>48</v>
      </c>
      <c r="B5" s="45">
        <v>129</v>
      </c>
    </row>
    <row r="6" spans="1:2" hidden="1" x14ac:dyDescent="0.2">
      <c r="A6" t="s">
        <v>54</v>
      </c>
      <c r="B6" s="45" t="str">
        <f>INDEX(overview!$B$4:$R$338,MATCH(B5,overview!$A$4:$A$338,0),MATCH(A6,overview!$B$3:$R$3,0))</f>
        <v>heat, from residential heating system</v>
      </c>
    </row>
    <row r="7" spans="1:2" hidden="1" x14ac:dyDescent="0.2">
      <c r="A7" t="s">
        <v>55</v>
      </c>
      <c r="B7" s="45" t="str">
        <f>INDEX(overview!$B$4:$R$338,MATCH(B5,overview!$A$4:$A$338,0),MATCH(A7,overview!$B$3:$R$3,0))</f>
        <v>megajoule</v>
      </c>
    </row>
    <row r="8" spans="1:2" hidden="1" x14ac:dyDescent="0.2">
      <c r="A8" t="s">
        <v>0</v>
      </c>
      <c r="B8" s="45" t="str">
        <f>INDEX(overview!$B$4:$R$338,MATCH(B5,overview!$A$4:$A$338,0),MATCH(A8,overview!$B$3:$R$3,0))</f>
        <v>Switzerland</v>
      </c>
    </row>
    <row r="9" spans="1:2" hidden="1" x14ac:dyDescent="0.2">
      <c r="A9" t="s">
        <v>1</v>
      </c>
      <c r="B9" s="45">
        <f>INDEX(overview!$B$4:$R$338,MATCH(B5,overview!$A$4:$A$338,0),MATCH(A9,overview!$B$3:$R$3,0))</f>
        <v>2020</v>
      </c>
    </row>
    <row r="10" spans="1:2" hidden="1" x14ac:dyDescent="0.2">
      <c r="A10" t="s">
        <v>2</v>
      </c>
      <c r="B10" s="45" t="str">
        <f>INDEX(overview!$B$4:$R$338,MATCH(B5,overview!$A$4:$A$338,0),MATCH(A10,overview!$B$3:$R$3,0))</f>
        <v>1 MJ heat</v>
      </c>
    </row>
    <row r="11" spans="1:2" hidden="1" x14ac:dyDescent="0.2">
      <c r="A11" t="s">
        <v>5</v>
      </c>
      <c r="B11" s="45" t="str">
        <f>INDEX(overview!$B$4:$R$338,MATCH(B5,overview!$A$4:$A$338,0),MATCH(A11,overview!$B$3:$R$3,0))</f>
        <v>hydrogen</v>
      </c>
    </row>
    <row r="12" spans="1:2" hidden="1" x14ac:dyDescent="0.2">
      <c r="A12" t="s">
        <v>3</v>
      </c>
      <c r="B12" s="45" t="str">
        <f>INDEX(overview!$B$4:$R$338,MATCH(B5,overview!$A$4:$A$338,0),MATCH(A12,overview!$B$3:$R$3,0))</f>
        <v>combustion</v>
      </c>
    </row>
    <row r="13" spans="1:2" hidden="1" x14ac:dyDescent="0.2">
      <c r="A13" t="s">
        <v>6</v>
      </c>
      <c r="B13" s="45" t="str">
        <f>INDEX(overview!$B$4:$R$338,MATCH(B5,overview!$A$4:$A$338,0),MATCH(A13,overview!$B$3:$R$3,0))</f>
        <v>boiler</v>
      </c>
    </row>
    <row r="14" spans="1:2" hidden="1" x14ac:dyDescent="0.2">
      <c r="A14" t="s">
        <v>39</v>
      </c>
      <c r="B14" s="45">
        <f>INDEX(overview!$B$4:$R$338,MATCH(B5,overview!$A$4:$A$338,0),MATCH(A14,overview!$B$3:$R$3,0))</f>
        <v>0</v>
      </c>
    </row>
    <row r="15" spans="1:2" hidden="1" x14ac:dyDescent="0.2">
      <c r="A15" t="s">
        <v>4</v>
      </c>
      <c r="B15" s="45" t="str">
        <f>INDEX(overview!$B$4:$R$338,MATCH(B5,overview!$A$4:$A$338,0),MATCH(A15,overview!$B$3:$R$3,0))</f>
        <v>pipeline</v>
      </c>
    </row>
    <row r="16" spans="1:2" hidden="1" x14ac:dyDescent="0.2">
      <c r="A16" t="s">
        <v>38</v>
      </c>
      <c r="B16" s="45">
        <f>INDEX(overview!$B$4:$R$338,MATCH(B5,overview!$A$4:$A$338,0),MATCH(A16,overview!$B$3:$R$3,0))</f>
        <v>500</v>
      </c>
    </row>
    <row r="17" spans="1:2" hidden="1" x14ac:dyDescent="0.2">
      <c r="A17" t="s">
        <v>12</v>
      </c>
      <c r="B17" s="45" t="str">
        <f>INDEX(overview!$B$4:$R$338,MATCH(B5,overview!$A$4:$A$338,0),MATCH(A17,overview!$B$3:$R$3,0))</f>
        <v>Pressure vessel for stationary storage</v>
      </c>
    </row>
    <row r="18" spans="1:2" hidden="1" x14ac:dyDescent="0.2">
      <c r="A18" t="s">
        <v>34</v>
      </c>
      <c r="B18" s="45">
        <f>INDEX(overview!$B$4:$R$338,MATCH(B5,overview!$A$4:$A$338,0),MATCH(A18,overview!$B$3:$R$3,0))</f>
        <v>0</v>
      </c>
    </row>
    <row r="19" spans="1:2" hidden="1" x14ac:dyDescent="0.2">
      <c r="A19" t="s">
        <v>15</v>
      </c>
      <c r="B19" s="45" t="str">
        <f>INDEX(overview!$B$4:$R$338,MATCH(B5,overview!$A$4:$A$338,0),MATCH(A19,overview!$B$3:$R$3,0))</f>
        <v>Auto-thermal reforming</v>
      </c>
    </row>
    <row r="20" spans="1:2" hidden="1" x14ac:dyDescent="0.2">
      <c r="A20" t="s">
        <v>14</v>
      </c>
      <c r="B20" s="45" t="str">
        <f>INDEX(overview!$B$4:$R$338,MATCH(B5,overview!$A$4:$A$338,0),MATCH(A20,overview!$B$3:$R$3,0))</f>
        <v>natural gas</v>
      </c>
    </row>
    <row r="21" spans="1:2" hidden="1" x14ac:dyDescent="0.2">
      <c r="A21" t="s">
        <v>26</v>
      </c>
      <c r="B21" s="45" t="str">
        <f>INDEX(overview!$B$4:$R$338,MATCH(B5,overview!$A$4:$A$338,0),MATCH(A21,overview!$B$3:$R$3,0))</f>
        <v>Switzerland</v>
      </c>
    </row>
    <row r="22" spans="1:2" hidden="1" x14ac:dyDescent="0.2">
      <c r="A22" t="s">
        <v>29</v>
      </c>
      <c r="B22" s="45">
        <f>INDEX(overview!$B$4:$R$338,MATCH(B5,overview!$A$4:$A$338,0),MATCH(A22,overview!$B$3:$R$3,0))</f>
        <v>0</v>
      </c>
    </row>
    <row r="23" spans="1:2" hidden="1" x14ac:dyDescent="0.2">
      <c r="A23" t="str">
        <f>IF(B7="megajoule","Heat","Electricity")&amp;" conversion efficiency [% LHV input]"</f>
        <v>Heat conversion efficiency [% LHV input]</v>
      </c>
      <c r="B23" s="46">
        <f>INDEX(parameters!$D$4:$N$20,MATCH(B11&amp;B13,parameters!$A$4:$A$20,0),MATCH(A23,parameters!$D$3:$N$3,0))</f>
        <v>0.94</v>
      </c>
    </row>
    <row r="24" spans="1:2" hidden="1" x14ac:dyDescent="0.2">
      <c r="A24" t="str">
        <f>IF(B7="megajoule","LHV [MJ/kg]","LHV [kWh/kg]")</f>
        <v>LHV [MJ/kg]</v>
      </c>
      <c r="B24" s="47">
        <f>INDEX(parameters!$D$4:$N$20,MATCH(B11&amp;B13,parameters!$A$4:$A$20,0),MATCH(A24,parameters!$D$3:$N$3,0))</f>
        <v>120</v>
      </c>
    </row>
    <row r="25" spans="1:2" hidden="1" x14ac:dyDescent="0.2">
      <c r="A25" t="s">
        <v>41</v>
      </c>
      <c r="B25" s="48">
        <f>INDEX(parameters!$D$4:$N$20,MATCH(B11&amp;B13,parameters!$A$4:$A$20,0),MATCH(A25,parameters!$D$3:$N$3,0))</f>
        <v>2.6666666666666665E-2</v>
      </c>
    </row>
    <row r="26" spans="1:2" hidden="1" x14ac:dyDescent="0.2">
      <c r="A26" t="s">
        <v>45</v>
      </c>
      <c r="B26" s="49">
        <f>INDEX(parameters!$D$4:$N$20,MATCH(B11&amp;B13,parameters!$A$4:$A$20,0),MATCH(A26,parameters!$D$3:$N$3,0))</f>
        <v>0</v>
      </c>
    </row>
    <row r="27" spans="1:2" hidden="1" x14ac:dyDescent="0.2">
      <c r="A27" t="s">
        <v>46</v>
      </c>
      <c r="B27" s="49">
        <f>INDEX(parameters!$D$4:$N$20,MATCH(B11&amp;B13,parameters!$A$4:$A$20,0),MATCH(A27,parameters!$D$3:$N$3,0))</f>
        <v>1.4999999999999999E-2</v>
      </c>
    </row>
    <row r="28" spans="1:2" hidden="1" x14ac:dyDescent="0.2">
      <c r="A28" t="s">
        <v>43</v>
      </c>
      <c r="B28" s="49">
        <f>INDEX(parameters!$D$4:$N$20,MATCH(B11&amp;B13,parameters!$A$4:$A$20,0),MATCH(A28,parameters!$D$3:$N$3,0))</f>
        <v>0</v>
      </c>
    </row>
    <row r="29" spans="1:2" hidden="1" x14ac:dyDescent="0.2">
      <c r="A29" t="s">
        <v>44</v>
      </c>
      <c r="B29" s="49">
        <f>INDEX(parameters!$D$4:$N$20,MATCH(B11&amp;B13,parameters!$A$4:$A$20,0),MATCH(A29,parameters!$D$3:$N$3,0))</f>
        <v>0</v>
      </c>
    </row>
    <row r="30" spans="1:2" hidden="1" x14ac:dyDescent="0.2">
      <c r="A30" t="s">
        <v>634</v>
      </c>
      <c r="B30" s="47">
        <f>INDEX(parameters!$D$4:$Y$20,MATCH(B11&amp;B13,parameters!$A$4:$A$20,0),MATCH(A30,parameters!$D$3:$Y$3,0))</f>
        <v>15.957446808510639</v>
      </c>
    </row>
    <row r="31" spans="1:2" hidden="1" x14ac:dyDescent="0.2">
      <c r="A31" t="s">
        <v>82</v>
      </c>
      <c r="B31" s="46">
        <f>IF(B22&lt;&gt;0,VLOOKUP(B22,parameters!A26:B28,2,0),0)</f>
        <v>0</v>
      </c>
    </row>
    <row r="32" spans="1:2" hidden="1" x14ac:dyDescent="0.2">
      <c r="A32" t="s">
        <v>548</v>
      </c>
      <c r="B32" s="50">
        <f>INDEX(parameters!$D$4:$P$20,MATCH(B11&amp;B13,parameters!$A$4:$A$20,0),MATCH(A32,parameters!$D$3:$P$3,0))</f>
        <v>15</v>
      </c>
    </row>
    <row r="33" spans="1:22" hidden="1" x14ac:dyDescent="0.2">
      <c r="A33" t="s">
        <v>547</v>
      </c>
      <c r="B33" s="51">
        <f>INDEX(parameters!$D$4:$P$20,MATCH(B11&amp;B13,parameters!$A$4:$A$20,0),MATCH(A33,parameters!$D$3:$P$3,0))</f>
        <v>20</v>
      </c>
    </row>
    <row r="34" spans="1:22" hidden="1" x14ac:dyDescent="0.2">
      <c r="A34" t="s">
        <v>630</v>
      </c>
      <c r="B34" s="51">
        <f>INDEX(parameters!$D$4:$T$20,MATCH(B11&amp;B13,parameters!$A$4:$A$20,0),MATCH(A34,parameters!$D$3:$T$3,0))</f>
        <v>2100</v>
      </c>
    </row>
    <row r="35" spans="1:22" hidden="1" x14ac:dyDescent="0.2">
      <c r="A35" t="s">
        <v>1005</v>
      </c>
      <c r="B35" s="50">
        <f>IF(B7="megajoule",SUMIFS(allocation!$I$4:$I$30,allocation!$B$4:$B$30,B13,allocation!$C$4:$C$30,B14),SUMIFS(allocation!$J$4:$J$30,allocation!$B$4:$B$30,B13,allocation!$C$4:$C$30,B14))</f>
        <v>0</v>
      </c>
    </row>
    <row r="36" spans="1:22" hidden="1" x14ac:dyDescent="0.2">
      <c r="A36" t="s">
        <v>1050</v>
      </c>
      <c r="B36" s="51">
        <f>INDEX(parameters!$D$4:$AB$20,MATCH(B11&amp;B13,parameters!$A$4:$A$20,0),MATCH(A36,parameters!$D$3:$AB$3,0))</f>
        <v>44.562019013128115</v>
      </c>
    </row>
    <row r="37" spans="1:22" hidden="1" x14ac:dyDescent="0.2"/>
    <row r="38" spans="1:22" hidden="1" x14ac:dyDescent="0.2">
      <c r="A38" s="3" t="s">
        <v>57</v>
      </c>
    </row>
    <row r="39" spans="1:22" hidden="1" x14ac:dyDescent="0.2">
      <c r="A39" s="2" t="s">
        <v>58</v>
      </c>
      <c r="B39" s="44" t="s">
        <v>59</v>
      </c>
      <c r="C39" s="2" t="s">
        <v>55</v>
      </c>
      <c r="D39" s="2" t="s">
        <v>60</v>
      </c>
      <c r="E39" s="2" t="s">
        <v>52</v>
      </c>
      <c r="F39" s="2" t="s">
        <v>61</v>
      </c>
      <c r="G39" s="2" t="s">
        <v>54</v>
      </c>
      <c r="H39" s="2" t="s">
        <v>87</v>
      </c>
      <c r="I39" s="2" t="s">
        <v>51</v>
      </c>
      <c r="J39" s="2" t="s">
        <v>138</v>
      </c>
      <c r="K39" s="2" t="s">
        <v>136</v>
      </c>
      <c r="L39" s="2" t="s">
        <v>221</v>
      </c>
      <c r="M39" s="2" t="s">
        <v>379</v>
      </c>
      <c r="N39" s="2" t="s">
        <v>1059</v>
      </c>
      <c r="O39" s="2" t="s">
        <v>1060</v>
      </c>
      <c r="P39" s="2" t="s">
        <v>1061</v>
      </c>
      <c r="Q39" s="2" t="s">
        <v>1062</v>
      </c>
      <c r="R39" s="2" t="s">
        <v>1063</v>
      </c>
      <c r="S39" s="2" t="s">
        <v>1064</v>
      </c>
      <c r="T39" s="2" t="s">
        <v>1065</v>
      </c>
      <c r="U39" s="2" t="s">
        <v>380</v>
      </c>
      <c r="V39" s="2" t="s">
        <v>1128</v>
      </c>
    </row>
    <row r="40" spans="1:22" hidden="1" x14ac:dyDescent="0.2">
      <c r="A40" t="str">
        <f>B1</f>
        <v>heat, residential, by combustion of hydrogen using boiler, transported by pipeline, produced by Auto-thermal reforming using natural gas from Switzerland</v>
      </c>
      <c r="B40" s="45">
        <v>1</v>
      </c>
      <c r="C40" t="str">
        <f>B7</f>
        <v>megajoule</v>
      </c>
      <c r="E40" t="str">
        <f>B4</f>
        <v>CH</v>
      </c>
      <c r="F40" t="s">
        <v>62</v>
      </c>
      <c r="G40" t="str">
        <f>B6</f>
        <v>heat, from residential heating system</v>
      </c>
      <c r="K40" t="str">
        <f>B1</f>
        <v>heat, residential, by combustion of hydrogen using boiler, transported by pipeline, produced by Auto-thermal reforming using natural gas from Switzerland</v>
      </c>
    </row>
    <row r="41" spans="1:22" hidden="1" x14ac:dyDescent="0.2">
      <c r="A41" t="s">
        <v>83</v>
      </c>
      <c r="B41" s="52">
        <f>1/(B32*B34*B33*3.6)</f>
        <v>4.4091710758377425E-7</v>
      </c>
      <c r="C41" t="s">
        <v>55</v>
      </c>
      <c r="E41" t="s">
        <v>85</v>
      </c>
      <c r="F41" t="s">
        <v>86</v>
      </c>
      <c r="G41" t="s">
        <v>84</v>
      </c>
      <c r="H41" t="s">
        <v>88</v>
      </c>
      <c r="K41" t="str">
        <f>B1</f>
        <v>heat, residential, by combustion of hydrogen using boiler, transported by pipeline, produced by Auto-thermal reforming using natural gas from Switzerland</v>
      </c>
      <c r="L41">
        <f t="shared" ref="L41" si="0">IF(OR(B41&lt;0,B41=0),1,2)</f>
        <v>2</v>
      </c>
      <c r="M41">
        <f t="shared" ref="M41" si="1">IF(L41=2,LN(B41),"")</f>
        <v>-14.634408943829779</v>
      </c>
      <c r="N41">
        <v>1.05</v>
      </c>
      <c r="O41">
        <v>1.2</v>
      </c>
      <c r="P41">
        <v>1</v>
      </c>
      <c r="Q41">
        <v>1.01</v>
      </c>
      <c r="R41">
        <v>1.2</v>
      </c>
      <c r="S41">
        <v>1.2</v>
      </c>
      <c r="T41">
        <v>3</v>
      </c>
      <c r="U41">
        <f>LN(SQRT(EXP(
SQRT(
+POWER(LN(N41),2)
+POWER(LN(O41),2)
+POWER(LN(P41),2)
+POWER(LN(Q41),2)
+POWER(LN(R41),2)
+POWER(LN(S41),2)
+POWER(LN(T41),2)
)
)))</f>
        <v>0.57209088006881903</v>
      </c>
    </row>
    <row r="42" spans="1:22" hidden="1" x14ac:dyDescent="0.2">
      <c r="A42" t="s">
        <v>500</v>
      </c>
      <c r="B42" s="52">
        <f>B41*2</f>
        <v>8.8183421516754851E-7</v>
      </c>
      <c r="C42" t="s">
        <v>267</v>
      </c>
      <c r="E42" t="s">
        <v>85</v>
      </c>
      <c r="F42" t="s">
        <v>86</v>
      </c>
      <c r="G42" t="s">
        <v>501</v>
      </c>
      <c r="H42" t="s">
        <v>88</v>
      </c>
      <c r="I42" t="s">
        <v>621</v>
      </c>
      <c r="K42" t="str">
        <f>B1</f>
        <v>heat, residential, by combustion of hydrogen using boiler, transported by pipeline, produced by Auto-thermal reforming using natural gas from Switzerland</v>
      </c>
      <c r="L42">
        <f t="shared" ref="L42:L46" si="2">IF(OR(B42&lt;0,B42=0),1,2)</f>
        <v>2</v>
      </c>
      <c r="M42">
        <f t="shared" ref="M42:M46" si="3">IF(L42=2,LN(B42),"")</f>
        <v>-13.941261763269834</v>
      </c>
      <c r="N42">
        <v>1.05</v>
      </c>
      <c r="O42">
        <v>1.2</v>
      </c>
      <c r="P42">
        <v>1</v>
      </c>
      <c r="Q42">
        <v>1.01</v>
      </c>
      <c r="R42">
        <v>1.2</v>
      </c>
      <c r="S42">
        <v>1.2</v>
      </c>
      <c r="T42">
        <v>3</v>
      </c>
      <c r="U42">
        <f t="shared" ref="U42:U46" si="4">LN(SQRT(EXP(
SQRT(
+POWER(LN(N42),2)
+POWER(LN(O42),2)
+POWER(LN(P42),2)
+POWER(LN(Q42),2)
+POWER(LN(R42),2)
+POWER(LN(S42),2)
+POWER(LN(T42),2)
)
)))</f>
        <v>0.57209088006881903</v>
      </c>
    </row>
    <row r="43" spans="1:22" hidden="1" x14ac:dyDescent="0.2">
      <c r="A43" t="s">
        <v>130</v>
      </c>
      <c r="B43" s="52">
        <v>2.64E-3</v>
      </c>
      <c r="C43" t="s">
        <v>92</v>
      </c>
      <c r="E43" t="s">
        <v>64</v>
      </c>
      <c r="F43" t="s">
        <v>86</v>
      </c>
      <c r="G43" t="s">
        <v>93</v>
      </c>
      <c r="H43" t="s">
        <v>78</v>
      </c>
      <c r="I43" t="s">
        <v>270</v>
      </c>
      <c r="J43" t="s">
        <v>67</v>
      </c>
      <c r="K43" t="str">
        <f>B1</f>
        <v>heat, residential, by combustion of hydrogen using boiler, transported by pipeline, produced by Auto-thermal reforming using natural gas from Switzerland</v>
      </c>
      <c r="L43">
        <f t="shared" si="2"/>
        <v>2</v>
      </c>
      <c r="M43">
        <f t="shared" si="3"/>
        <v>-5.9369763618239126</v>
      </c>
      <c r="N43">
        <v>1.05</v>
      </c>
      <c r="O43">
        <v>1.2</v>
      </c>
      <c r="P43">
        <v>1</v>
      </c>
      <c r="Q43">
        <v>1.01</v>
      </c>
      <c r="R43">
        <v>1.2</v>
      </c>
      <c r="S43">
        <v>1.2</v>
      </c>
      <c r="T43">
        <v>1.05</v>
      </c>
      <c r="U43">
        <f t="shared" si="4"/>
        <v>0.16169679924070957</v>
      </c>
    </row>
    <row r="44" spans="1:22" hidden="1" x14ac:dyDescent="0.2">
      <c r="A44" s="45" t="str">
        <f>"hydrogen supply, transported by "&amp;B15&amp;", produced by "&amp;B19&amp;" using "&amp;B20&amp;" from "&amp;B21</f>
        <v>hydrogen supply, transported by pipeline, produced by Auto-thermal reforming using natural gas from Switzerland</v>
      </c>
      <c r="B44" s="53">
        <f>(B40/B24)/B23</f>
        <v>8.8652482269503553E-3</v>
      </c>
      <c r="C44" t="s">
        <v>56</v>
      </c>
      <c r="E44" t="s">
        <v>64</v>
      </c>
      <c r="F44" t="s">
        <v>86</v>
      </c>
      <c r="G44" t="s">
        <v>1129</v>
      </c>
      <c r="H44" t="s">
        <v>76</v>
      </c>
      <c r="I44" t="s">
        <v>1054</v>
      </c>
      <c r="J44" t="s">
        <v>307</v>
      </c>
      <c r="K44" t="str">
        <f>B1</f>
        <v>heat, residential, by combustion of hydrogen using boiler, transported by pipeline, produced by Auto-thermal reforming using natural gas from Switzerland</v>
      </c>
      <c r="L44">
        <f t="shared" si="2"/>
        <v>2</v>
      </c>
      <c r="M44">
        <f t="shared" si="3"/>
        <v>-4.7256163390639587</v>
      </c>
      <c r="N44">
        <v>1.05</v>
      </c>
      <c r="O44">
        <v>1.2</v>
      </c>
      <c r="P44">
        <v>1</v>
      </c>
      <c r="Q44">
        <v>1.01</v>
      </c>
      <c r="R44">
        <v>1.2</v>
      </c>
      <c r="S44">
        <v>1.2</v>
      </c>
      <c r="T44">
        <v>1.05</v>
      </c>
      <c r="U44">
        <f t="shared" si="4"/>
        <v>0.16169679924070957</v>
      </c>
    </row>
    <row r="45" spans="1:22" hidden="1" x14ac:dyDescent="0.2">
      <c r="A45" t="s">
        <v>134</v>
      </c>
      <c r="B45" s="45">
        <f>B44*9</f>
        <v>7.9787234042553196E-2</v>
      </c>
      <c r="C45" t="s">
        <v>56</v>
      </c>
      <c r="D45" t="s">
        <v>100</v>
      </c>
      <c r="F45" t="s">
        <v>99</v>
      </c>
      <c r="H45" t="s">
        <v>131</v>
      </c>
      <c r="K45" t="str">
        <f>B1</f>
        <v>heat, residential, by combustion of hydrogen using boiler, transported by pipeline, produced by Auto-thermal reforming using natural gas from Switzerland</v>
      </c>
      <c r="L45">
        <f t="shared" si="2"/>
        <v>2</v>
      </c>
      <c r="M45">
        <f t="shared" si="3"/>
        <v>-2.5283917617277392</v>
      </c>
      <c r="N45">
        <v>1.05</v>
      </c>
      <c r="O45">
        <v>1.2</v>
      </c>
      <c r="P45">
        <v>1</v>
      </c>
      <c r="Q45">
        <v>1.01</v>
      </c>
      <c r="R45">
        <v>1.2</v>
      </c>
      <c r="S45">
        <v>1.2</v>
      </c>
      <c r="T45">
        <v>1.05</v>
      </c>
      <c r="U45">
        <f t="shared" si="4"/>
        <v>0.16169679924070957</v>
      </c>
    </row>
    <row r="46" spans="1:22" hidden="1" x14ac:dyDescent="0.2">
      <c r="A46" t="s">
        <v>135</v>
      </c>
      <c r="B46" s="45">
        <f>912.5/1000000*B44</f>
        <v>8.0895390070921995E-6</v>
      </c>
      <c r="C46" t="s">
        <v>56</v>
      </c>
      <c r="D46" t="s">
        <v>100</v>
      </c>
      <c r="F46" t="s">
        <v>99</v>
      </c>
      <c r="H46" t="s">
        <v>131</v>
      </c>
      <c r="I46" t="s">
        <v>1217</v>
      </c>
      <c r="K46" t="str">
        <f>B1</f>
        <v>heat, residential, by combustion of hydrogen using boiler, transported by pipeline, produced by Auto-thermal reforming using natural gas from Switzerland</v>
      </c>
      <c r="L46">
        <f t="shared" si="2"/>
        <v>2</v>
      </c>
      <c r="M46">
        <f t="shared" si="3"/>
        <v>-11.724938811571587</v>
      </c>
      <c r="N46">
        <v>1.05</v>
      </c>
      <c r="O46">
        <v>1.2</v>
      </c>
      <c r="P46">
        <v>1</v>
      </c>
      <c r="Q46">
        <v>1.01</v>
      </c>
      <c r="R46">
        <v>1.2</v>
      </c>
      <c r="S46">
        <v>1.2</v>
      </c>
      <c r="T46">
        <v>1.5</v>
      </c>
      <c r="U46">
        <f t="shared" si="4"/>
        <v>0.25816898211842121</v>
      </c>
    </row>
    <row r="47" spans="1:22" hidden="1" x14ac:dyDescent="0.2"/>
    <row r="48" spans="1:22" hidden="1" x14ac:dyDescent="0.2">
      <c r="A48" s="2" t="s">
        <v>50</v>
      </c>
      <c r="B48" s="44" t="str">
        <f>IF(B54="megajoule","heat","electricity")&amp;", residential, by "&amp;B59&amp;" of "&amp;B58&amp;" using "&amp;B60&amp;IF(B61&lt;&gt;0,", allocated by "&amp;B61,"")&amp;", transported by "&amp;B62&amp;", produced by "&amp;B66&amp;" using "&amp;B67&amp;" from "&amp;B68</f>
        <v>heat, residential, by combustion of hydrogen using CHP, allocated by exergy, transported by pipeline, produced by Auto-thermal reforming using natural gas from Switzerland</v>
      </c>
    </row>
    <row r="49" spans="1:2" hidden="1" x14ac:dyDescent="0.2">
      <c r="A49" t="s">
        <v>51</v>
      </c>
      <c r="B49" s="45" t="str">
        <f>"This dataset represents the supply of 1 "&amp;IF(B54="megajoule","megajoule of heat","kilowatt hour of electricity")&amp;" in a residence, by "&amp;B58&amp;" "&amp;B59&amp;" in a "&amp;B60&amp;". "&amp;" The hydrogen is transported by "&amp;B62&amp;" over "&amp;B63&amp;" km from regional storage. "&amp;" The "&amp;B58&amp;" is produced by  "&amp;B66&amp;", with "&amp;B67&amp;" from "&amp;B68&amp;" as feedstock. "&amp;A70&amp;": "&amp;(B70*100)&amp;"%. "&amp;A71&amp;": "&amp;B71&amp;". "&amp;A72&amp;": "&amp;B72&amp;". "&amp;A73&amp;": "&amp;(B73*100)&amp;"%. "&amp;A74&amp;": "&amp;(B74*100)&amp;"%. "&amp;A75&amp;": "&amp;(B75*100)&amp;"%. "&amp;A76&amp;": "&amp;B76&amp;". "&amp;A77&amp;": "&amp;B77&amp;". "&amp;A78&amp;": "&amp;(B78*100)&amp;"%. "&amp;A79&amp;": "&amp;B79&amp;". "&amp;A80&amp;": "&amp;B80&amp;". "&amp;A81&amp;": "&amp;B81&amp;". "&amp;A82&amp;": "&amp;B82&amp;".  For more information, refer to: "&amp;B50</f>
        <v>This dataset represents the supply of 1 megajoule of heat in a residence, by hydrogen combustion in a CHP.  The hydrogen is transported by pipeline over 500 km from regional storage.  The hydrogen is produced by  Auto-thermal reforming,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50" spans="1:2" hidden="1" x14ac:dyDescent="0.2">
      <c r="A50" t="s">
        <v>63</v>
      </c>
      <c r="B50" s="45" t="s">
        <v>660</v>
      </c>
    </row>
    <row r="51" spans="1:2" hidden="1" x14ac:dyDescent="0.2">
      <c r="A51" t="s">
        <v>52</v>
      </c>
      <c r="B51" s="45" t="s">
        <v>64</v>
      </c>
    </row>
    <row r="52" spans="1:2" hidden="1" x14ac:dyDescent="0.2">
      <c r="A52" t="s">
        <v>48</v>
      </c>
      <c r="B52" s="45">
        <v>130</v>
      </c>
    </row>
    <row r="53" spans="1:2" hidden="1" x14ac:dyDescent="0.2">
      <c r="A53" t="s">
        <v>54</v>
      </c>
      <c r="B53" s="45" t="str">
        <f>INDEX(overview!$B$4:$R$338,MATCH(B52,overview!$A$4:$A$338,0),MATCH(A53,overview!$B$3:$R$3,0))</f>
        <v>heat, from residential heating system</v>
      </c>
    </row>
    <row r="54" spans="1:2" hidden="1" x14ac:dyDescent="0.2">
      <c r="A54" t="s">
        <v>55</v>
      </c>
      <c r="B54" s="45" t="str">
        <f>INDEX(overview!$B$4:$R$338,MATCH(B52,overview!$A$4:$A$338,0),MATCH(A54,overview!$B$3:$R$3,0))</f>
        <v>megajoule</v>
      </c>
    </row>
    <row r="55" spans="1:2" hidden="1" x14ac:dyDescent="0.2">
      <c r="A55" t="s">
        <v>0</v>
      </c>
      <c r="B55" s="45" t="str">
        <f>INDEX(overview!$B$4:$R$338,MATCH(B52,overview!$A$4:$A$338,0),MATCH(A55,overview!$B$3:$R$3,0))</f>
        <v>Switzerland</v>
      </c>
    </row>
    <row r="56" spans="1:2" hidden="1" x14ac:dyDescent="0.2">
      <c r="A56" t="s">
        <v>1</v>
      </c>
      <c r="B56" s="45">
        <f>INDEX(overview!$B$4:$R$338,MATCH(B52,overview!$A$4:$A$338,0),MATCH(A56,overview!$B$3:$R$3,0))</f>
        <v>2020</v>
      </c>
    </row>
    <row r="57" spans="1:2" hidden="1" x14ac:dyDescent="0.2">
      <c r="A57" t="s">
        <v>2</v>
      </c>
      <c r="B57" s="45" t="str">
        <f>INDEX(overview!$B$4:$R$338,MATCH(B52,overview!$A$4:$A$338,0),MATCH(A57,overview!$B$3:$R$3,0))</f>
        <v>1 MJ heat</v>
      </c>
    </row>
    <row r="58" spans="1:2" hidden="1" x14ac:dyDescent="0.2">
      <c r="A58" t="s">
        <v>5</v>
      </c>
      <c r="B58" s="45" t="str">
        <f>INDEX(overview!$B$4:$R$338,MATCH(B52,overview!$A$4:$A$338,0),MATCH(A58,overview!$B$3:$R$3,0))</f>
        <v>hydrogen</v>
      </c>
    </row>
    <row r="59" spans="1:2" hidden="1" x14ac:dyDescent="0.2">
      <c r="A59" t="s">
        <v>3</v>
      </c>
      <c r="B59" s="45" t="str">
        <f>INDEX(overview!$B$4:$R$338,MATCH(B52,overview!$A$4:$A$338,0),MATCH(A59,overview!$B$3:$R$3,0))</f>
        <v>combustion</v>
      </c>
    </row>
    <row r="60" spans="1:2" hidden="1" x14ac:dyDescent="0.2">
      <c r="A60" t="s">
        <v>6</v>
      </c>
      <c r="B60" s="45" t="str">
        <f>INDEX(overview!$B$4:$R$338,MATCH(B52,overview!$A$4:$A$338,0),MATCH(A60,overview!$B$3:$R$3,0))</f>
        <v>CHP</v>
      </c>
    </row>
    <row r="61" spans="1:2" hidden="1" x14ac:dyDescent="0.2">
      <c r="A61" t="s">
        <v>39</v>
      </c>
      <c r="B61" s="45" t="str">
        <f>INDEX(overview!$B$4:$R$338,MATCH(B52,overview!$A$4:$A$338,0),MATCH(A61,overview!$B$3:$R$3,0))</f>
        <v>exergy</v>
      </c>
    </row>
    <row r="62" spans="1:2" hidden="1" x14ac:dyDescent="0.2">
      <c r="A62" t="s">
        <v>4</v>
      </c>
      <c r="B62" s="45" t="str">
        <f>INDEX(overview!$B$4:$R$338,MATCH(B52,overview!$A$4:$A$338,0),MATCH(A62,overview!$B$3:$R$3,0))</f>
        <v>pipeline</v>
      </c>
    </row>
    <row r="63" spans="1:2" hidden="1" x14ac:dyDescent="0.2">
      <c r="A63" t="s">
        <v>38</v>
      </c>
      <c r="B63" s="45">
        <f>INDEX(overview!$B$4:$R$338,MATCH(B52,overview!$A$4:$A$338,0),MATCH(A63,overview!$B$3:$R$3,0))</f>
        <v>500</v>
      </c>
    </row>
    <row r="64" spans="1:2" hidden="1" x14ac:dyDescent="0.2">
      <c r="A64" t="s">
        <v>12</v>
      </c>
      <c r="B64" s="45" t="str">
        <f>INDEX(overview!$B$4:$R$338,MATCH(B52,overview!$A$4:$A$338,0),MATCH(A64,overview!$B$3:$R$3,0))</f>
        <v>Pressure vessel for stationary storage</v>
      </c>
    </row>
    <row r="65" spans="1:2" hidden="1" x14ac:dyDescent="0.2">
      <c r="A65" t="s">
        <v>34</v>
      </c>
      <c r="B65" s="45">
        <f>INDEX(overview!$B$4:$R$338,MATCH(B52,overview!$A$4:$A$338,0),MATCH(A65,overview!$B$3:$R$3,0))</f>
        <v>0</v>
      </c>
    </row>
    <row r="66" spans="1:2" hidden="1" x14ac:dyDescent="0.2">
      <c r="A66" t="s">
        <v>15</v>
      </c>
      <c r="B66" s="45" t="str">
        <f>INDEX(overview!$B$4:$R$338,MATCH(B52,overview!$A$4:$A$338,0),MATCH(A66,overview!$B$3:$R$3,0))</f>
        <v>Auto-thermal reforming</v>
      </c>
    </row>
    <row r="67" spans="1:2" hidden="1" x14ac:dyDescent="0.2">
      <c r="A67" t="s">
        <v>14</v>
      </c>
      <c r="B67" s="45" t="str">
        <f>INDEX(overview!$B$4:$R$338,MATCH(B52,overview!$A$4:$A$338,0),MATCH(A67,overview!$B$3:$R$3,0))</f>
        <v>natural gas</v>
      </c>
    </row>
    <row r="68" spans="1:2" hidden="1" x14ac:dyDescent="0.2">
      <c r="A68" t="s">
        <v>26</v>
      </c>
      <c r="B68" s="45" t="str">
        <f>INDEX(overview!$B$4:$R$338,MATCH(B52,overview!$A$4:$A$338,0),MATCH(A68,overview!$B$3:$R$3,0))</f>
        <v>Switzerland</v>
      </c>
    </row>
    <row r="69" spans="1:2" hidden="1" x14ac:dyDescent="0.2">
      <c r="A69" t="s">
        <v>29</v>
      </c>
      <c r="B69" s="45">
        <f>INDEX(overview!$B$4:$R$338,MATCH(B52,overview!$A$4:$A$338,0),MATCH(A69,overview!$B$3:$R$3,0))</f>
        <v>0</v>
      </c>
    </row>
    <row r="70" spans="1:2" hidden="1" x14ac:dyDescent="0.2">
      <c r="A70" t="str">
        <f>IF(B54="megajoule","Heat","Electricity")&amp;" conversion efficiency [% LHV input]"</f>
        <v>Heat conversion efficiency [% LHV input]</v>
      </c>
      <c r="B70" s="46">
        <f>INDEX(parameters!$D$4:$N$20,MATCH(B58&amp;B60,parameters!$A$4:$A$20,0),MATCH(A70,parameters!$D$3:$N$3,0))</f>
        <v>0.41699999999999998</v>
      </c>
    </row>
    <row r="71" spans="1:2" hidden="1" x14ac:dyDescent="0.2">
      <c r="A71" t="str">
        <f>IF(B54="megajoule","LHV [MJ/kg]","LHV [kWh/kg]")</f>
        <v>LHV [MJ/kg]</v>
      </c>
      <c r="B71" s="47">
        <f>INDEX(parameters!$D$4:$N$20,MATCH(B58&amp;B60,parameters!$A$4:$A$20,0),MATCH(A71,parameters!$D$3:$N$3,0))</f>
        <v>120</v>
      </c>
    </row>
    <row r="72" spans="1:2" hidden="1" x14ac:dyDescent="0.2">
      <c r="A72" t="s">
        <v>41</v>
      </c>
      <c r="B72" s="48">
        <f>INDEX(parameters!$D$4:$N$20,MATCH(B58&amp;B60,parameters!$A$4:$A$20,0),MATCH(A72,parameters!$D$3:$N$3,0))</f>
        <v>2.6666666666666665E-2</v>
      </c>
    </row>
    <row r="73" spans="1:2" hidden="1" x14ac:dyDescent="0.2">
      <c r="A73" t="s">
        <v>45</v>
      </c>
      <c r="B73" s="46">
        <f>INDEX(parameters!$D$4:$N$20,MATCH(B58&amp;B60,parameters!$A$4:$A$20,0),MATCH(A73,parameters!$D$3:$N$3,0))</f>
        <v>0</v>
      </c>
    </row>
    <row r="74" spans="1:2" hidden="1" x14ac:dyDescent="0.2">
      <c r="A74" t="s">
        <v>46</v>
      </c>
      <c r="B74" s="46">
        <f>INDEX(parameters!$D$4:$N$20,MATCH(B58&amp;B60,parameters!$A$4:$A$20,0),MATCH(A74,parameters!$D$3:$N$3,0))</f>
        <v>1.4999999999999999E-2</v>
      </c>
    </row>
    <row r="75" spans="1:2" hidden="1" x14ac:dyDescent="0.2">
      <c r="A75" t="s">
        <v>43</v>
      </c>
      <c r="B75" s="46">
        <f>INDEX(parameters!$D$4:$N$20,MATCH(B58&amp;B60,parameters!$A$4:$A$20,0),MATCH(A75,parameters!$D$3:$N$3,0))</f>
        <v>0</v>
      </c>
    </row>
    <row r="76" spans="1:2" hidden="1" x14ac:dyDescent="0.2">
      <c r="A76" t="s">
        <v>44</v>
      </c>
      <c r="B76" s="46">
        <f>INDEX(parameters!$D$4:$N$20,MATCH(B58&amp;B60,parameters!$A$4:$A$20,0),MATCH(A76,parameters!$D$3:$N$3,0))</f>
        <v>0</v>
      </c>
    </row>
    <row r="77" spans="1:2" hidden="1" x14ac:dyDescent="0.2">
      <c r="A77" t="s">
        <v>634</v>
      </c>
      <c r="B77" s="47">
        <f>INDEX(parameters!$D$4:$Y$20,MATCH(B58&amp;B60,parameters!$A$4:$A$20,0),MATCH(A77,parameters!$D$3:$Y$3,0))</f>
        <v>351.41800246609125</v>
      </c>
    </row>
    <row r="78" spans="1:2" hidden="1" x14ac:dyDescent="0.2">
      <c r="A78" t="s">
        <v>82</v>
      </c>
      <c r="B78" s="46">
        <f>IF(B69&lt;&gt;0,VLOOKUP(B69,parameters!A98:B100,2,0),0)</f>
        <v>0</v>
      </c>
    </row>
    <row r="79" spans="1:2" hidden="1" x14ac:dyDescent="0.2">
      <c r="A79" t="s">
        <v>548</v>
      </c>
      <c r="B79" s="50">
        <f>INDEX(parameters!$D$4:$P$20,MATCH(B58&amp;B60,parameters!$A$4:$A$20,0),MATCH(A79,parameters!$D$3:$P$3,0))</f>
        <v>125</v>
      </c>
    </row>
    <row r="80" spans="1:2" hidden="1" x14ac:dyDescent="0.2">
      <c r="A80" t="s">
        <v>547</v>
      </c>
      <c r="B80" s="51">
        <f>INDEX(parameters!$D$4:$P$20,MATCH(B58&amp;B60,parameters!$A$4:$A$20,0),MATCH(A80,parameters!$D$3:$P$3,0))</f>
        <v>19.512195121951219</v>
      </c>
    </row>
    <row r="81" spans="1:22" hidden="1" x14ac:dyDescent="0.2">
      <c r="A81" t="s">
        <v>630</v>
      </c>
      <c r="B81" s="51">
        <f>INDEX(parameters!$D$4:$T$20,MATCH(B58&amp;B60,parameters!$A$4:$A$20,0),MATCH(A81,parameters!$D$3:$T$3,0))</f>
        <v>4100</v>
      </c>
    </row>
    <row r="82" spans="1:22" hidden="1" x14ac:dyDescent="0.2">
      <c r="A82" t="s">
        <v>1005</v>
      </c>
      <c r="B82" s="50">
        <f>IF(B54="megajoule",SUMIFS(allocation!$I$4:$I$30,allocation!$B$4:$B$30,B60,allocation!$C$4:$C$30,B61),SUMIFS(allocation!$J$4:$J$30,allocation!$B$4:$B$30,B60,allocation!$C$4:$C$30,B61))</f>
        <v>0.12860042227295038</v>
      </c>
    </row>
    <row r="83" spans="1:22" hidden="1" x14ac:dyDescent="0.2">
      <c r="A83" t="s">
        <v>1050</v>
      </c>
      <c r="B83" s="51">
        <f>INDEX(parameters!$D$4:$AB$20,MATCH(B58&amp;B60,parameters!$A$4:$A$20,0),MATCH(A83,parameters!$D$3:$AB$3,0))</f>
        <v>2220.7364520822662</v>
      </c>
    </row>
    <row r="84" spans="1:22" hidden="1" x14ac:dyDescent="0.2"/>
    <row r="85" spans="1:22" hidden="1" x14ac:dyDescent="0.2">
      <c r="A85" s="3" t="s">
        <v>57</v>
      </c>
    </row>
    <row r="86" spans="1:22" hidden="1" x14ac:dyDescent="0.2">
      <c r="A86" s="2" t="s">
        <v>58</v>
      </c>
      <c r="B86" s="44" t="s">
        <v>59</v>
      </c>
      <c r="C86" s="2" t="s">
        <v>55</v>
      </c>
      <c r="D86" s="2" t="s">
        <v>60</v>
      </c>
      <c r="E86" s="2" t="s">
        <v>52</v>
      </c>
      <c r="F86" s="2" t="s">
        <v>61</v>
      </c>
      <c r="G86" s="2" t="s">
        <v>54</v>
      </c>
      <c r="H86" s="2" t="s">
        <v>87</v>
      </c>
      <c r="I86" s="2" t="s">
        <v>51</v>
      </c>
      <c r="J86" s="2" t="s">
        <v>138</v>
      </c>
      <c r="K86" s="2" t="s">
        <v>136</v>
      </c>
      <c r="L86" s="2" t="s">
        <v>221</v>
      </c>
      <c r="M86" s="2" t="s">
        <v>379</v>
      </c>
      <c r="N86" s="2" t="s">
        <v>1059</v>
      </c>
      <c r="O86" s="2" t="s">
        <v>1060</v>
      </c>
      <c r="P86" s="2" t="s">
        <v>1061</v>
      </c>
      <c r="Q86" s="2" t="s">
        <v>1062</v>
      </c>
      <c r="R86" s="2" t="s">
        <v>1063</v>
      </c>
      <c r="S86" s="2" t="s">
        <v>1064</v>
      </c>
      <c r="T86" s="2" t="s">
        <v>1065</v>
      </c>
      <c r="U86" s="2" t="s">
        <v>380</v>
      </c>
      <c r="V86" s="2" t="s">
        <v>1128</v>
      </c>
    </row>
    <row r="87" spans="1:22" hidden="1" x14ac:dyDescent="0.2">
      <c r="A87" t="str">
        <f>B48</f>
        <v>heat, residential, by combustion of hydrogen using CHP, allocated by exergy, transported by pipeline, produced by Auto-thermal reforming using natural gas from Switzerland</v>
      </c>
      <c r="B87" s="45">
        <v>1</v>
      </c>
      <c r="C87" t="str">
        <f>B54</f>
        <v>megajoule</v>
      </c>
      <c r="E87" t="str">
        <f>B51</f>
        <v>CH</v>
      </c>
      <c r="F87" t="s">
        <v>62</v>
      </c>
      <c r="G87" t="str">
        <f>B53</f>
        <v>heat, from residential heating system</v>
      </c>
      <c r="K87" t="str">
        <f>B48</f>
        <v>heat, residential, by combustion of hydrogen using CHP, allocated by exergy, transported by pipeline, produced by Auto-thermal reforming using natural gas from Switzerland</v>
      </c>
    </row>
    <row r="88" spans="1:22" hidden="1" x14ac:dyDescent="0.2">
      <c r="A88" t="str">
        <f>VLOOKUP(J88,'dataset mapping'!$A$4:$E$69,2,0)</f>
        <v>heat and power co-generation unit construction, 160kW electrical, common components for heat+electricity</v>
      </c>
      <c r="B88" s="52">
        <f>(1/(B77*B81*B80*3.6))*B82</f>
        <v>1.270649883812899E-9</v>
      </c>
      <c r="C88" t="str">
        <f>VLOOKUP(J88,'dataset mapping'!$A$4:$E$69,5,0)</f>
        <v>unit</v>
      </c>
      <c r="E88" t="str">
        <f>VLOOKUP(J88,'dataset mapping'!$A$4:$E$69,4,0)</f>
        <v>RER</v>
      </c>
      <c r="F88" t="s">
        <v>86</v>
      </c>
      <c r="G88" t="str">
        <f>VLOOKUP(J88,'dataset mapping'!$A$4:$E$69,3,0)</f>
        <v>heat and power co-generation unit, 160kW electrical, common components for heat+electricity</v>
      </c>
      <c r="H88" t="s">
        <v>88</v>
      </c>
      <c r="J88" t="s">
        <v>145</v>
      </c>
      <c r="K88" t="str">
        <f>B48</f>
        <v>heat, residential, by combustion of hydrogen using CHP, allocated by exergy, transported by pipeline, produced by Auto-thermal reforming using natural gas from Switzerland</v>
      </c>
      <c r="L88">
        <f t="shared" ref="L88:L95" si="5">IF(OR(B88&lt;0,B88=0),1,2)</f>
        <v>2</v>
      </c>
      <c r="M88">
        <f t="shared" ref="M88:M95" si="6">IF(L88=2,LN(B88),"")</f>
        <v>-20.48373734782199</v>
      </c>
      <c r="N88">
        <v>1.05</v>
      </c>
      <c r="O88">
        <v>1.2</v>
      </c>
      <c r="P88">
        <v>1</v>
      </c>
      <c r="Q88">
        <v>1.01</v>
      </c>
      <c r="R88">
        <v>1.2</v>
      </c>
      <c r="S88">
        <v>1.2</v>
      </c>
      <c r="T88">
        <v>3</v>
      </c>
      <c r="U88">
        <f t="shared" ref="U88:U95" si="7">LN(SQRT(EXP(
SQRT(
+POWER(LN(N88),2)
+POWER(LN(O88),2)
+POWER(LN(P88),2)
+POWER(LN(Q88),2)
+POWER(LN(R88),2)
+POWER(LN(S88),2)
+POWER(LN(T88),2)
)
)))</f>
        <v>0.57209088006881903</v>
      </c>
    </row>
    <row r="89" spans="1:22" hidden="1" x14ac:dyDescent="0.2">
      <c r="A89" t="str">
        <f>VLOOKUP(J89,'dataset mapping'!$A$4:$E$69,2,0)</f>
        <v>heat and power co-generation unit construction, 160kW electrical, components for electricity only</v>
      </c>
      <c r="B89" s="52">
        <f>(1/(B77*B81*B80*3.6))*B82</f>
        <v>1.270649883812899E-9</v>
      </c>
      <c r="C89" t="str">
        <f>VLOOKUP(J89,'dataset mapping'!$A$4:$E$69,5,0)</f>
        <v>unit</v>
      </c>
      <c r="E89" t="str">
        <f>VLOOKUP(J89,'dataset mapping'!$A$4:$E$69,4,0)</f>
        <v>RER</v>
      </c>
      <c r="F89" t="s">
        <v>86</v>
      </c>
      <c r="G89" t="str">
        <f>VLOOKUP(J89,'dataset mapping'!$A$4:$E$69,3,0)</f>
        <v>heat and power co-generation unit, 160kW electrical, components for electricity only</v>
      </c>
      <c r="H89" t="s">
        <v>88</v>
      </c>
      <c r="J89" t="s">
        <v>146</v>
      </c>
      <c r="K89" t="str">
        <f>B48</f>
        <v>heat, residential, by combustion of hydrogen using CHP, allocated by exergy, transported by pipeline, produced by Auto-thermal reforming using natural gas from Switzerland</v>
      </c>
      <c r="L89">
        <f t="shared" si="5"/>
        <v>2</v>
      </c>
      <c r="M89">
        <f t="shared" si="6"/>
        <v>-20.48373734782199</v>
      </c>
      <c r="N89">
        <v>1.05</v>
      </c>
      <c r="O89">
        <v>1.2</v>
      </c>
      <c r="P89">
        <v>1</v>
      </c>
      <c r="Q89">
        <v>1.01</v>
      </c>
      <c r="R89">
        <v>1.2</v>
      </c>
      <c r="S89">
        <v>1.2</v>
      </c>
      <c r="T89">
        <v>3</v>
      </c>
      <c r="U89">
        <f t="shared" si="7"/>
        <v>0.57209088006881903</v>
      </c>
    </row>
    <row r="90" spans="1:22" hidden="1" x14ac:dyDescent="0.2">
      <c r="A90" t="str">
        <f>VLOOKUP(J90,'dataset mapping'!$A$4:$E$69,2,0)</f>
        <v>heat and power co-generation unit construction, 160kW electrical, components for heat only</v>
      </c>
      <c r="B90" s="52">
        <f>(1/(B77*B81*B80*3.6))*B82</f>
        <v>1.270649883812899E-9</v>
      </c>
      <c r="C90" t="str">
        <f>VLOOKUP(J90,'dataset mapping'!$A$4:$E$69,5,0)</f>
        <v>unit</v>
      </c>
      <c r="E90" t="str">
        <f>VLOOKUP(J90,'dataset mapping'!$A$4:$E$69,4,0)</f>
        <v>RER</v>
      </c>
      <c r="F90" t="s">
        <v>86</v>
      </c>
      <c r="G90" t="str">
        <f>VLOOKUP(J90,'dataset mapping'!$A$4:$E$69,3,0)</f>
        <v>heat and power co-generation unit, 160kW electrical, components for heat only</v>
      </c>
      <c r="H90" t="s">
        <v>88</v>
      </c>
      <c r="J90" t="s">
        <v>147</v>
      </c>
      <c r="K90" t="str">
        <f>B48</f>
        <v>heat, residential, by combustion of hydrogen using CHP, allocated by exergy, transported by pipeline, produced by Auto-thermal reforming using natural gas from Switzerland</v>
      </c>
      <c r="L90">
        <f t="shared" si="5"/>
        <v>2</v>
      </c>
      <c r="M90">
        <f t="shared" si="6"/>
        <v>-20.48373734782199</v>
      </c>
      <c r="N90">
        <v>1.05</v>
      </c>
      <c r="O90">
        <v>1.2</v>
      </c>
      <c r="P90">
        <v>1</v>
      </c>
      <c r="Q90">
        <v>1.01</v>
      </c>
      <c r="R90">
        <v>1.2</v>
      </c>
      <c r="S90">
        <v>1.2</v>
      </c>
      <c r="T90">
        <v>3</v>
      </c>
      <c r="U90">
        <f t="shared" si="7"/>
        <v>0.57209088006881903</v>
      </c>
    </row>
    <row r="91" spans="1:22" hidden="1" x14ac:dyDescent="0.2">
      <c r="A91" t="s">
        <v>156</v>
      </c>
      <c r="B91" s="52">
        <f>0.00000011366*B82</f>
        <v>1.461672399554354E-8</v>
      </c>
      <c r="C91" t="s">
        <v>56</v>
      </c>
      <c r="E91" t="s">
        <v>90</v>
      </c>
      <c r="F91" t="s">
        <v>86</v>
      </c>
      <c r="G91" t="s">
        <v>154</v>
      </c>
      <c r="H91" t="s">
        <v>155</v>
      </c>
      <c r="K91" t="str">
        <f>B48</f>
        <v>heat, residential, by combustion of hydrogen using CHP, allocated by exergy, transported by pipeline, produced by Auto-thermal reforming using natural gas from Switzerland</v>
      </c>
      <c r="L91">
        <f t="shared" si="5"/>
        <v>2</v>
      </c>
      <c r="M91">
        <f t="shared" si="6"/>
        <v>-18.041099484645969</v>
      </c>
      <c r="N91">
        <v>1.05</v>
      </c>
      <c r="O91">
        <v>1.2</v>
      </c>
      <c r="P91">
        <v>1</v>
      </c>
      <c r="Q91">
        <v>1.01</v>
      </c>
      <c r="R91">
        <v>1.2</v>
      </c>
      <c r="S91">
        <v>1.2</v>
      </c>
      <c r="T91">
        <v>1.05</v>
      </c>
      <c r="U91">
        <f t="shared" si="7"/>
        <v>0.16169679924070957</v>
      </c>
    </row>
    <row r="92" spans="1:22" hidden="1" x14ac:dyDescent="0.2">
      <c r="A92" t="s">
        <v>157</v>
      </c>
      <c r="B92" s="52">
        <f>0.00000011366*B82*-1</f>
        <v>-1.461672399554354E-8</v>
      </c>
      <c r="C92" t="s">
        <v>56</v>
      </c>
      <c r="E92" t="s">
        <v>64</v>
      </c>
      <c r="F92" t="s">
        <v>86</v>
      </c>
      <c r="G92" t="s">
        <v>158</v>
      </c>
      <c r="H92" t="s">
        <v>155</v>
      </c>
      <c r="K92" t="str">
        <f>B48</f>
        <v>heat, residential, by combustion of hydrogen using CHP, allocated by exergy, transported by pipeline, produced by Auto-thermal reforming using natural gas from Switzerland</v>
      </c>
      <c r="L92">
        <v>2</v>
      </c>
      <c r="M92">
        <f>IF(L92=2,LN(B92*-1),"")</f>
        <v>-18.041099484645969</v>
      </c>
      <c r="N92">
        <v>1.05</v>
      </c>
      <c r="O92">
        <v>1.2</v>
      </c>
      <c r="P92">
        <v>1</v>
      </c>
      <c r="Q92">
        <v>1.01</v>
      </c>
      <c r="R92">
        <v>1.2</v>
      </c>
      <c r="S92">
        <v>1.2</v>
      </c>
      <c r="T92">
        <v>3</v>
      </c>
      <c r="U92">
        <f>LN(SQRT(EXP(
SQRT(
+POWER(LN(N92),2)
+POWER(LN(O92),2)
+POWER(LN(P92),2)
+POWER(LN(Q92),2)
+POWER(LN(R92),2)
+POWER(LN(S92),2)
+POWER(LN(T92),2)
)
)))</f>
        <v>0.57209088006881903</v>
      </c>
      <c r="V92" t="b">
        <v>1</v>
      </c>
    </row>
    <row r="93" spans="1:22" hidden="1" x14ac:dyDescent="0.2">
      <c r="A93" s="45" t="str">
        <f>"hydrogen supply, transported by "&amp;B62&amp;", produced by "&amp;B66&amp;" using "&amp;B67&amp;" from "&amp;B68</f>
        <v>hydrogen supply, transported by pipeline, produced by Auto-thermal reforming using natural gas from Switzerland</v>
      </c>
      <c r="B93" s="53">
        <f>(B87/B71)/B70*B82</f>
        <v>2.56995248347223E-3</v>
      </c>
      <c r="C93" t="s">
        <v>56</v>
      </c>
      <c r="E93" t="s">
        <v>64</v>
      </c>
      <c r="F93" t="s">
        <v>86</v>
      </c>
      <c r="G93" t="s">
        <v>1129</v>
      </c>
      <c r="H93" t="s">
        <v>76</v>
      </c>
      <c r="I93" t="s">
        <v>1054</v>
      </c>
      <c r="J93" t="s">
        <v>307</v>
      </c>
      <c r="K93" t="str">
        <f>B48</f>
        <v>heat, residential, by combustion of hydrogen using CHP, allocated by exergy, transported by pipeline, produced by Auto-thermal reforming using natural gas from Switzerland</v>
      </c>
      <c r="L93">
        <f t="shared" si="5"/>
        <v>2</v>
      </c>
      <c r="M93">
        <f t="shared" si="6"/>
        <v>-5.9638678691672418</v>
      </c>
      <c r="N93">
        <v>1.05</v>
      </c>
      <c r="O93">
        <v>1.2</v>
      </c>
      <c r="P93">
        <v>1</v>
      </c>
      <c r="Q93">
        <v>1.01</v>
      </c>
      <c r="R93">
        <v>1.2</v>
      </c>
      <c r="S93">
        <v>1.2</v>
      </c>
      <c r="T93">
        <v>1.05</v>
      </c>
      <c r="U93">
        <f t="shared" si="7"/>
        <v>0.16169679924070957</v>
      </c>
    </row>
    <row r="94" spans="1:22" hidden="1" x14ac:dyDescent="0.2">
      <c r="A94" t="s">
        <v>134</v>
      </c>
      <c r="B94" s="45">
        <f>B93*9</f>
        <v>2.3129572351250072E-2</v>
      </c>
      <c r="C94" t="s">
        <v>56</v>
      </c>
      <c r="D94" t="s">
        <v>100</v>
      </c>
      <c r="F94" t="s">
        <v>99</v>
      </c>
      <c r="H94" t="s">
        <v>131</v>
      </c>
      <c r="K94" t="str">
        <f>B48</f>
        <v>heat, residential, by combustion of hydrogen using CHP, allocated by exergy, transported by pipeline, produced by Auto-thermal reforming using natural gas from Switzerland</v>
      </c>
      <c r="L94">
        <f t="shared" si="5"/>
        <v>2</v>
      </c>
      <c r="M94">
        <f t="shared" si="6"/>
        <v>-3.7666432918310226</v>
      </c>
      <c r="N94">
        <v>1.05</v>
      </c>
      <c r="O94">
        <v>1.2</v>
      </c>
      <c r="P94">
        <v>1</v>
      </c>
      <c r="Q94">
        <v>1.01</v>
      </c>
      <c r="R94">
        <v>1.2</v>
      </c>
      <c r="S94">
        <v>1.2</v>
      </c>
      <c r="T94">
        <v>1.05</v>
      </c>
      <c r="U94">
        <f t="shared" si="7"/>
        <v>0.16169679924070957</v>
      </c>
    </row>
    <row r="95" spans="1:22" hidden="1" x14ac:dyDescent="0.2">
      <c r="A95" t="s">
        <v>135</v>
      </c>
      <c r="B95" s="45">
        <f>912.5/1000000*B93</f>
        <v>2.3450816411684101E-6</v>
      </c>
      <c r="C95" t="s">
        <v>56</v>
      </c>
      <c r="D95" t="s">
        <v>100</v>
      </c>
      <c r="F95" t="s">
        <v>99</v>
      </c>
      <c r="H95" t="s">
        <v>131</v>
      </c>
      <c r="I95" t="s">
        <v>1217</v>
      </c>
      <c r="K95" t="str">
        <f>B48</f>
        <v>heat, residential, by combustion of hydrogen using CHP, allocated by exergy, transported by pipeline, produced by Auto-thermal reforming using natural gas from Switzerland</v>
      </c>
      <c r="L95">
        <f t="shared" si="5"/>
        <v>2</v>
      </c>
      <c r="M95">
        <f t="shared" si="6"/>
        <v>-12.963190341674869</v>
      </c>
      <c r="N95">
        <v>1.05</v>
      </c>
      <c r="O95">
        <v>1.2</v>
      </c>
      <c r="P95">
        <v>1</v>
      </c>
      <c r="Q95">
        <v>1.01</v>
      </c>
      <c r="R95">
        <v>1.2</v>
      </c>
      <c r="S95">
        <v>1.2</v>
      </c>
      <c r="T95">
        <v>1.5</v>
      </c>
      <c r="U95">
        <f t="shared" si="7"/>
        <v>0.25816898211842121</v>
      </c>
    </row>
    <row r="96" spans="1:22" hidden="1" x14ac:dyDescent="0.2"/>
    <row r="97" spans="1:2" hidden="1" x14ac:dyDescent="0.2">
      <c r="A97" s="2" t="s">
        <v>50</v>
      </c>
      <c r="B97" s="44" t="str">
        <f>IF(B103="megajoule","heat","electricity")&amp;", residential, by "&amp;B108&amp;" of "&amp;B107&amp;" using "&amp;B109&amp;IF(B110&lt;&gt;0,", allocated by "&amp;B110,"")&amp;", transported by "&amp;B111&amp;", produced by "&amp;B115&amp;" using "&amp;B116&amp;" from "&amp;B117</f>
        <v>heat, residential, by conversion of hydrogen using fuel cell, PEM, allocated by exergy, transported by pipeline, produced by Auto-thermal reforming using natural gas from Switzerland</v>
      </c>
    </row>
    <row r="98" spans="1:2" hidden="1" x14ac:dyDescent="0.2">
      <c r="A98" t="s">
        <v>51</v>
      </c>
      <c r="B98" s="45" t="e">
        <f>"This dataset represents the supply of 1 "&amp;IF(B103="megajoule","megajoule of heat","kilowatt hour of electricity")&amp;" in a residence, by "&amp;B107/3*40&amp;": "&amp;B128&amp;". "&amp;A129&amp;": "&amp;B129&amp;". "&amp;A130&amp;": "&amp;B130&amp;". "&amp;A131&amp;": "&amp;B131&amp;".  For more information, refer to: "&amp;B99</f>
        <v>#VALUE!</v>
      </c>
    </row>
    <row r="99" spans="1:2" hidden="1" x14ac:dyDescent="0.2">
      <c r="A99" t="s">
        <v>63</v>
      </c>
      <c r="B99" s="45" t="s">
        <v>660</v>
      </c>
    </row>
    <row r="100" spans="1:2" hidden="1" x14ac:dyDescent="0.2">
      <c r="A100" t="s">
        <v>52</v>
      </c>
      <c r="B100" s="45" t="s">
        <v>64</v>
      </c>
    </row>
    <row r="101" spans="1:2" hidden="1" x14ac:dyDescent="0.2">
      <c r="A101" t="s">
        <v>48</v>
      </c>
      <c r="B101" s="45">
        <v>131</v>
      </c>
    </row>
    <row r="102" spans="1:2" hidden="1" x14ac:dyDescent="0.2">
      <c r="A102" t="s">
        <v>54</v>
      </c>
      <c r="B102" s="45" t="str">
        <f>INDEX(overview!$B$4:$R$338,MATCH(B101,overview!$A$4:$A$338,0),MATCH(A102,overview!$B$3:$R$3,0))</f>
        <v>heat, from residential heating system</v>
      </c>
    </row>
    <row r="103" spans="1:2" hidden="1" x14ac:dyDescent="0.2">
      <c r="A103" t="s">
        <v>55</v>
      </c>
      <c r="B103" s="45" t="str">
        <f>INDEX(overview!$B$4:$R$338,MATCH(B101,overview!$A$4:$A$338,0),MATCH(A103,overview!$B$3:$R$3,0))</f>
        <v>megajoule</v>
      </c>
    </row>
    <row r="104" spans="1:2" hidden="1" x14ac:dyDescent="0.2">
      <c r="A104" t="s">
        <v>0</v>
      </c>
      <c r="B104" s="45" t="str">
        <f>INDEX(overview!$B$4:$R$338,MATCH(B101,overview!$A$4:$A$338,0),MATCH(A104,overview!$B$3:$R$3,0))</f>
        <v>Switzerland</v>
      </c>
    </row>
    <row r="105" spans="1:2" hidden="1" x14ac:dyDescent="0.2">
      <c r="A105" t="s">
        <v>1</v>
      </c>
      <c r="B105" s="45">
        <f>INDEX(overview!$B$4:$R$338,MATCH(B101,overview!$A$4:$A$338,0),MATCH(A105,overview!$B$3:$R$3,0))</f>
        <v>2020</v>
      </c>
    </row>
    <row r="106" spans="1:2" hidden="1" x14ac:dyDescent="0.2">
      <c r="A106" t="s">
        <v>2</v>
      </c>
      <c r="B106" s="45" t="str">
        <f>INDEX(overview!$B$4:$R$338,MATCH(B101,overview!$A$4:$A$338,0),MATCH(A106,overview!$B$3:$R$3,0))</f>
        <v>1 MJ heat</v>
      </c>
    </row>
    <row r="107" spans="1:2" hidden="1" x14ac:dyDescent="0.2">
      <c r="A107" t="s">
        <v>5</v>
      </c>
      <c r="B107" s="45" t="str">
        <f>INDEX(overview!$B$4:$R$338,MATCH(B101,overview!$A$4:$A$338,0),MATCH(A107,overview!$B$3:$R$3,0))</f>
        <v>hydrogen</v>
      </c>
    </row>
    <row r="108" spans="1:2" hidden="1" x14ac:dyDescent="0.2">
      <c r="A108" t="s">
        <v>3</v>
      </c>
      <c r="B108" s="45" t="str">
        <f>INDEX(overview!$B$4:$R$338,MATCH(B101,overview!$A$4:$A$338,0),MATCH(A108,overview!$B$3:$R$3,0))</f>
        <v>conversion</v>
      </c>
    </row>
    <row r="109" spans="1:2" hidden="1" x14ac:dyDescent="0.2">
      <c r="A109" t="s">
        <v>6</v>
      </c>
      <c r="B109" s="45" t="str">
        <f>INDEX(overview!$B$4:$R$338,MATCH(B101,overview!$A$4:$A$338,0),MATCH(A109,overview!$B$3:$R$3,0))</f>
        <v>fuel cell, PEM</v>
      </c>
    </row>
    <row r="110" spans="1:2" hidden="1" x14ac:dyDescent="0.2">
      <c r="A110" t="s">
        <v>39</v>
      </c>
      <c r="B110" s="45" t="str">
        <f>INDEX(overview!$B$4:$R$338,MATCH(B101,overview!$A$4:$A$338,0),MATCH(A110,overview!$B$3:$R$3,0))</f>
        <v>exergy</v>
      </c>
    </row>
    <row r="111" spans="1:2" hidden="1" x14ac:dyDescent="0.2">
      <c r="A111" t="s">
        <v>4</v>
      </c>
      <c r="B111" s="45" t="str">
        <f>INDEX(overview!$B$4:$R$338,MATCH(B101,overview!$A$4:$A$338,0),MATCH(A111,overview!$B$3:$R$3,0))</f>
        <v>pipeline</v>
      </c>
    </row>
    <row r="112" spans="1:2" hidden="1" x14ac:dyDescent="0.2">
      <c r="A112" t="s">
        <v>38</v>
      </c>
      <c r="B112" s="45">
        <f>INDEX(overview!$B$4:$R$338,MATCH(B101,overview!$A$4:$A$338,0),MATCH(A112,overview!$B$3:$R$3,0))</f>
        <v>500</v>
      </c>
    </row>
    <row r="113" spans="1:2" hidden="1" x14ac:dyDescent="0.2">
      <c r="A113" t="s">
        <v>12</v>
      </c>
      <c r="B113" s="45" t="str">
        <f>INDEX(overview!$B$4:$R$338,MATCH(B101,overview!$A$4:$A$338,0),MATCH(A113,overview!$B$3:$R$3,0))</f>
        <v>Pressure vessel for stationary storage</v>
      </c>
    </row>
    <row r="114" spans="1:2" hidden="1" x14ac:dyDescent="0.2">
      <c r="A114" t="s">
        <v>34</v>
      </c>
      <c r="B114" s="45">
        <f>INDEX(overview!$B$4:$R$338,MATCH(B101,overview!$A$4:$A$338,0),MATCH(A114,overview!$B$3:$R$3,0))</f>
        <v>0</v>
      </c>
    </row>
    <row r="115" spans="1:2" hidden="1" x14ac:dyDescent="0.2">
      <c r="A115" t="s">
        <v>15</v>
      </c>
      <c r="B115" s="45" t="str">
        <f>INDEX(overview!$B$4:$R$338,MATCH(B101,overview!$A$4:$A$338,0),MATCH(A115,overview!$B$3:$R$3,0))</f>
        <v>Auto-thermal reforming</v>
      </c>
    </row>
    <row r="116" spans="1:2" hidden="1" x14ac:dyDescent="0.2">
      <c r="A116" t="s">
        <v>14</v>
      </c>
      <c r="B116" s="45" t="str">
        <f>INDEX(overview!$B$4:$R$338,MATCH(B101,overview!$A$4:$A$338,0),MATCH(A116,overview!$B$3:$R$3,0))</f>
        <v>natural gas</v>
      </c>
    </row>
    <row r="117" spans="1:2" hidden="1" x14ac:dyDescent="0.2">
      <c r="A117" t="s">
        <v>26</v>
      </c>
      <c r="B117" s="45" t="str">
        <f>INDEX(overview!$B$4:$R$338,MATCH(B101,overview!$A$4:$A$338,0),MATCH(A117,overview!$B$3:$R$3,0))</f>
        <v>Switzerland</v>
      </c>
    </row>
    <row r="118" spans="1:2" hidden="1" x14ac:dyDescent="0.2">
      <c r="A118" t="s">
        <v>29</v>
      </c>
      <c r="B118" s="45">
        <f>INDEX(overview!$B$4:$R$338,MATCH(B101,overview!$A$4:$A$338,0),MATCH(A118,overview!$B$3:$R$3,0))</f>
        <v>0</v>
      </c>
    </row>
    <row r="119" spans="1:2" hidden="1" x14ac:dyDescent="0.2">
      <c r="A119" t="str">
        <f>IF(B103="megajoule","Heat","Electricity")&amp;" conversion efficiency [% LHV input]"</f>
        <v>Heat conversion efficiency [% LHV input]</v>
      </c>
      <c r="B119" s="46">
        <f>INDEX(parameters!$D$4:$N$20,MATCH(B107&amp;B109,parameters!$A$4:$A$20,0),MATCH(A119,parameters!$D$3:$N$3,0))</f>
        <v>0.5</v>
      </c>
    </row>
    <row r="120" spans="1:2" hidden="1" x14ac:dyDescent="0.2">
      <c r="A120" t="str">
        <f>IF(B103="megajoule","LHV [MJ/kg]","LHV [kWh/kg]")</f>
        <v>LHV [MJ/kg]</v>
      </c>
      <c r="B120" s="47">
        <f>INDEX(parameters!$D$4:$N$20,MATCH(B107&amp;B109,parameters!$A$4:$A$20,0),MATCH(A120,parameters!$D$3:$N$3,0))</f>
        <v>120</v>
      </c>
    </row>
    <row r="121" spans="1:2" hidden="1" x14ac:dyDescent="0.2">
      <c r="A121" t="s">
        <v>41</v>
      </c>
      <c r="B121" s="48">
        <f>INDEX(parameters!$D$4:$N$20,MATCH(B107&amp;B109,parameters!$A$4:$A$20,0),MATCH(A121,parameters!$D$3:$N$3,0))</f>
        <v>2.6666666666666665E-2</v>
      </c>
    </row>
    <row r="122" spans="1:2" hidden="1" x14ac:dyDescent="0.2">
      <c r="A122" t="s">
        <v>45</v>
      </c>
      <c r="B122" s="46">
        <f>INDEX(parameters!$D$4:$N$20,MATCH(B107&amp;B109,parameters!$A$4:$A$20,0),MATCH(A122,parameters!$D$3:$N$3,0))</f>
        <v>0</v>
      </c>
    </row>
    <row r="123" spans="1:2" hidden="1" x14ac:dyDescent="0.2">
      <c r="A123" t="s">
        <v>46</v>
      </c>
      <c r="B123" s="46">
        <f>INDEX(parameters!$D$4:$N$20,MATCH(B107&amp;B109,parameters!$A$4:$A$20,0),MATCH(A123,parameters!$D$3:$N$3,0))</f>
        <v>1.4999999999999999E-2</v>
      </c>
    </row>
    <row r="124" spans="1:2" hidden="1" x14ac:dyDescent="0.2">
      <c r="A124" t="s">
        <v>43</v>
      </c>
      <c r="B124" s="46">
        <f>INDEX(parameters!$D$4:$N$20,MATCH(B107&amp;B109,parameters!$A$4:$A$20,0),MATCH(A124,parameters!$D$3:$N$3,0))</f>
        <v>0</v>
      </c>
    </row>
    <row r="125" spans="1:2" hidden="1" x14ac:dyDescent="0.2">
      <c r="A125" t="s">
        <v>44</v>
      </c>
      <c r="B125" s="46">
        <f>INDEX(parameters!$D$4:$N$20,MATCH(B107&amp;B109,parameters!$A$4:$A$20,0),MATCH(A125,parameters!$D$3:$N$3,0))</f>
        <v>0</v>
      </c>
    </row>
    <row r="126" spans="1:2" hidden="1" x14ac:dyDescent="0.2">
      <c r="A126" t="s">
        <v>634</v>
      </c>
      <c r="B126" s="47">
        <f>INDEX(parameters!$D$4:$Y$20,MATCH(B107&amp;B109,parameters!$A$4:$A$20,0),MATCH(A126,parameters!$D$3:$Y$3,0))</f>
        <v>1.8947368421052633</v>
      </c>
    </row>
    <row r="127" spans="1:2" hidden="1" x14ac:dyDescent="0.2">
      <c r="A127" t="s">
        <v>82</v>
      </c>
      <c r="B127" s="46">
        <f>IF(B118&lt;&gt;0,VLOOKUP(B118,parameters!A152:B154,2,0),0)</f>
        <v>0</v>
      </c>
    </row>
    <row r="128" spans="1:2" hidden="1" x14ac:dyDescent="0.2">
      <c r="A128" t="s">
        <v>548</v>
      </c>
      <c r="B128" s="50" t="e">
        <f>INDEX(parameters!$D$4:$P$20,MATCH(B107/3*40,parameters!$D$3:$P$3,0))</f>
        <v>#VALUE!</v>
      </c>
    </row>
    <row r="129" spans="1:22" hidden="1" x14ac:dyDescent="0.2">
      <c r="A129" t="s">
        <v>547</v>
      </c>
      <c r="B129" s="51">
        <f>INDEX(parameters!$D$4:$P$20,MATCH(B107&amp;B109,parameters!$A$4:$A$20,0),MATCH(A129,parameters!$D$3:$P$3,0))</f>
        <v>4.8780487804878048</v>
      </c>
    </row>
    <row r="130" spans="1:22" hidden="1" x14ac:dyDescent="0.2">
      <c r="A130" t="s">
        <v>630</v>
      </c>
      <c r="B130" s="51">
        <f>INDEX(parameters!$D$4:$T$20,MATCH(B107&amp;B109,parameters!$A$4:$A$20,0),MATCH(A130,parameters!$D$3:$T$3,0))</f>
        <v>4100</v>
      </c>
    </row>
    <row r="131" spans="1:22" hidden="1" x14ac:dyDescent="0.2">
      <c r="A131" t="s">
        <v>1005</v>
      </c>
      <c r="B131" s="50">
        <f>IF(B103="megajoule",SUMIFS(allocation!$I$4:$I$30,allocation!$B$4:$B$30,B109,allocation!$C$4:$C$30,B110),SUMIFS(allocation!$J$4:$J$30,allocation!$B$4:$B$30,B109,allocation!$C$4:$C$30,B110))</f>
        <v>0.13933980798974457</v>
      </c>
    </row>
    <row r="132" spans="1:22" hidden="1" x14ac:dyDescent="0.2">
      <c r="A132" t="s">
        <v>1050</v>
      </c>
      <c r="B132" s="51">
        <f>INDEX(parameters!$D$4:$AB$20,MATCH(B107&amp;B109,parameters!$A$4:$A$20,0),MATCH(A132,parameters!$D$3:$AB$3,0))</f>
        <v>10.221606648199446</v>
      </c>
    </row>
    <row r="133" spans="1:22" hidden="1" x14ac:dyDescent="0.2"/>
    <row r="134" spans="1:22" hidden="1" x14ac:dyDescent="0.2">
      <c r="A134" s="3" t="s">
        <v>57</v>
      </c>
    </row>
    <row r="135" spans="1:22" hidden="1" x14ac:dyDescent="0.2">
      <c r="A135" s="2" t="s">
        <v>58</v>
      </c>
      <c r="B135" s="44" t="s">
        <v>59</v>
      </c>
      <c r="C135" s="2" t="s">
        <v>55</v>
      </c>
      <c r="D135" s="2" t="s">
        <v>60</v>
      </c>
      <c r="E135" s="2" t="s">
        <v>52</v>
      </c>
      <c r="F135" s="2" t="s">
        <v>61</v>
      </c>
      <c r="G135" s="2" t="s">
        <v>54</v>
      </c>
      <c r="H135" s="2" t="s">
        <v>87</v>
      </c>
      <c r="I135" s="2" t="s">
        <v>51</v>
      </c>
      <c r="J135" s="2" t="s">
        <v>138</v>
      </c>
      <c r="K135" s="2" t="s">
        <v>136</v>
      </c>
      <c r="L135" s="2" t="s">
        <v>221</v>
      </c>
      <c r="M135" s="2" t="s">
        <v>379</v>
      </c>
      <c r="N135" s="2" t="s">
        <v>1059</v>
      </c>
      <c r="O135" s="2" t="s">
        <v>1060</v>
      </c>
      <c r="P135" s="2" t="s">
        <v>1061</v>
      </c>
      <c r="Q135" s="2" t="s">
        <v>1062</v>
      </c>
      <c r="R135" s="2" t="s">
        <v>1063</v>
      </c>
      <c r="S135" s="2" t="s">
        <v>1064</v>
      </c>
      <c r="T135" s="2" t="s">
        <v>1065</v>
      </c>
      <c r="U135" s="2" t="s">
        <v>380</v>
      </c>
      <c r="V135" s="2" t="s">
        <v>1128</v>
      </c>
    </row>
    <row r="136" spans="1:22" x14ac:dyDescent="0.2">
      <c r="A136" t="str">
        <f>B97</f>
        <v>heat, residential, by conversion of hydrogen using fuel cell, PEM, allocated by exergy, transported by pipeline, produced by Auto-thermal reforming using natural gas from Switzerland</v>
      </c>
      <c r="B136" s="45">
        <v>1</v>
      </c>
      <c r="C136" t="str">
        <f>B103</f>
        <v>megajoule</v>
      </c>
      <c r="E136" t="str">
        <f>B100</f>
        <v>CH</v>
      </c>
      <c r="F136" t="s">
        <v>62</v>
      </c>
      <c r="G136" t="str">
        <f>B102</f>
        <v>heat, from residential heating system</v>
      </c>
      <c r="K136" t="str">
        <f>B97</f>
        <v>heat, residential, by conversion of hydrogen using fuel cell, PEM, allocated by exergy, transported by pipeline, produced by Auto-thermal reforming using natural gas from Switzerland</v>
      </c>
    </row>
    <row r="137" spans="1:22" hidden="1" x14ac:dyDescent="0.2">
      <c r="A137" t="str">
        <f>VLOOKUP(J137,'dataset mapping'!$A$4:$E$69,2,0)</f>
        <v>fuel cell system assembly, 1 kWe, proton exchange membrane (PEM)</v>
      </c>
      <c r="B137" s="52">
        <f>(1/(B126*B130*B129*3.6))*B131</f>
        <v>1.0213951974556892E-6</v>
      </c>
      <c r="C137" t="str">
        <f>VLOOKUP(J137,'dataset mapping'!$A$4:$E$69,5,0)</f>
        <v>unit</v>
      </c>
      <c r="E137" t="str">
        <f>VLOOKUP(J137,'dataset mapping'!$A$4:$E$69,4,0)</f>
        <v>GLO</v>
      </c>
      <c r="F137" t="s">
        <v>86</v>
      </c>
      <c r="G137" t="str">
        <f>VLOOKUP(J137,'dataset mapping'!$A$4:$E$69,3,0)</f>
        <v>fuel cell system, 1 kWe, proton exchange membrane (PEM)</v>
      </c>
      <c r="H137" t="s">
        <v>88</v>
      </c>
      <c r="I137" t="s">
        <v>272</v>
      </c>
      <c r="J137" t="s">
        <v>273</v>
      </c>
      <c r="K137" t="str">
        <f>B97</f>
        <v>heat, residential, by conversion of hydrogen using fuel cell, PEM, allocated by exergy, transported by pipeline, produced by Auto-thermal reforming using natural gas from Switzerland</v>
      </c>
      <c r="L137">
        <f t="shared" ref="L137:L139" si="8">IF(OR(B137&lt;0,B137=0),1,2)</f>
        <v>2</v>
      </c>
      <c r="M137">
        <f t="shared" ref="M137:M139" si="9">IF(L137=2,LN(B137),"")</f>
        <v>-13.794341024667077</v>
      </c>
      <c r="N137">
        <v>1</v>
      </c>
      <c r="O137">
        <v>1.2</v>
      </c>
      <c r="P137">
        <v>1</v>
      </c>
      <c r="Q137">
        <v>1.01</v>
      </c>
      <c r="R137">
        <v>1.2</v>
      </c>
      <c r="S137">
        <v>1.2</v>
      </c>
      <c r="T137">
        <v>3</v>
      </c>
      <c r="U137">
        <f t="shared" ref="U137:U139" si="10">LN(SQRT(EXP(
SQRT(
+POWER(LN(N137),2)
+POWER(LN(O137),2)
+POWER(LN(P137),2)
+POWER(LN(Q137),2)
+POWER(LN(R137),2)
+POWER(LN(S137),2)
+POWER(LN(T137),2)
)
)))</f>
        <v>0.57157051623399524</v>
      </c>
    </row>
    <row r="138" spans="1:22" hidden="1" x14ac:dyDescent="0.2">
      <c r="A138" s="45" t="str">
        <f>"hydrogen supply, transported by "&amp;B111&amp;", produced by "&amp;B115&amp;" using "&amp;B116&amp;" from "&amp;B117</f>
        <v>hydrogen supply, transported by pipeline, produced by Auto-thermal reforming using natural gas from Switzerland</v>
      </c>
      <c r="B138" s="53">
        <f>(B136/B120)/B119*B131</f>
        <v>2.3223301331624095E-3</v>
      </c>
      <c r="C138" t="s">
        <v>56</v>
      </c>
      <c r="E138" t="s">
        <v>64</v>
      </c>
      <c r="F138" t="s">
        <v>86</v>
      </c>
      <c r="G138" t="s">
        <v>1129</v>
      </c>
      <c r="H138" t="s">
        <v>76</v>
      </c>
      <c r="I138" t="s">
        <v>1054</v>
      </c>
      <c r="J138" t="s">
        <v>307</v>
      </c>
      <c r="K138" t="str">
        <f>B97</f>
        <v>heat, residential, by conversion of hydrogen using fuel cell, PEM, allocated by exergy, transported by pipeline, produced by Auto-thermal reforming using natural gas from Switzerland</v>
      </c>
      <c r="L138">
        <f t="shared" si="8"/>
        <v>2</v>
      </c>
      <c r="M138">
        <f t="shared" si="9"/>
        <v>-6.0651842296013152</v>
      </c>
      <c r="N138">
        <v>1</v>
      </c>
      <c r="O138">
        <v>1.2</v>
      </c>
      <c r="P138">
        <v>1</v>
      </c>
      <c r="Q138">
        <v>1.01</v>
      </c>
      <c r="R138">
        <v>1.2</v>
      </c>
      <c r="S138">
        <v>1.2</v>
      </c>
      <c r="T138">
        <v>1.05</v>
      </c>
      <c r="U138">
        <f t="shared" si="10"/>
        <v>0.15984597228197622</v>
      </c>
    </row>
    <row r="139" spans="1:22" hidden="1" x14ac:dyDescent="0.2">
      <c r="A139" t="s">
        <v>134</v>
      </c>
      <c r="B139" s="53">
        <f>B138*9</f>
        <v>2.0900971198461685E-2</v>
      </c>
      <c r="C139" t="s">
        <v>56</v>
      </c>
      <c r="D139" t="s">
        <v>100</v>
      </c>
      <c r="F139" t="s">
        <v>99</v>
      </c>
      <c r="H139" t="s">
        <v>131</v>
      </c>
      <c r="I139" t="s">
        <v>289</v>
      </c>
      <c r="K139" t="str">
        <f>B97</f>
        <v>heat, residential, by conversion of hydrogen using fuel cell, PEM, allocated by exergy, transported by pipeline, produced by Auto-thermal reforming using natural gas from Switzerland</v>
      </c>
      <c r="L139">
        <f t="shared" si="8"/>
        <v>2</v>
      </c>
      <c r="M139">
        <f t="shared" si="9"/>
        <v>-3.8679596522650961</v>
      </c>
      <c r="N139">
        <v>1</v>
      </c>
      <c r="O139">
        <v>1.2</v>
      </c>
      <c r="P139">
        <v>1</v>
      </c>
      <c r="Q139">
        <v>1.01</v>
      </c>
      <c r="R139">
        <v>1.2</v>
      </c>
      <c r="S139">
        <v>1.2</v>
      </c>
      <c r="T139">
        <v>1.05</v>
      </c>
      <c r="U139">
        <f t="shared" si="10"/>
        <v>0.15984597228197622</v>
      </c>
    </row>
    <row r="140" spans="1:22" hidden="1" x14ac:dyDescent="0.2"/>
    <row r="141" spans="1:22" hidden="1" x14ac:dyDescent="0.2">
      <c r="A141" s="2" t="s">
        <v>50</v>
      </c>
      <c r="B141" s="44" t="str">
        <f>IF(B147="megajoule","heat","electricity")&amp;", residential, by "&amp;B152&amp;" of "&amp;B151&amp;" using "&amp;B153&amp;IF(B154&lt;&gt;0,", allocated by "&amp;B154,"")&amp;", transported by "&amp;B155&amp;", produced by "&amp;B159&amp;" using "&amp;B160&amp;" from "&amp;B161</f>
        <v>heat, residential, by conversion of hydrogen using fuel cell, SOFC, allocated by exergy, transported by pipeline, produced by Auto-thermal reforming using natural gas from Switzerland</v>
      </c>
    </row>
    <row r="142" spans="1:22" hidden="1" x14ac:dyDescent="0.2">
      <c r="A142" t="s">
        <v>51</v>
      </c>
      <c r="B142" s="45" t="str">
        <f>"This dataset represents the supply of 1 "&amp;IF(B147="megajoule","megajoule of heat","kilowatt hour of electricity")&amp;" in a residence, by "&amp;B151&amp;" "&amp;B152&amp;" in a "&amp;B153&amp;". "&amp;" The hydrogen is transported by "&amp;B155&amp;" over "&amp;B156&amp;" km from regional storage. "&amp;" The "&amp;B151&amp;" is produced by  "&amp;B159&amp;", with "&amp;B160&amp;" from "&amp;B161&amp;" as feedstock. "&amp;A163&amp;": "&amp;(B163*100)&amp;"%. "&amp;A164&amp;": "&amp;B164&amp;". "&amp;A165&amp;": "&amp;B165&amp;". "&amp;A166&amp;": "&amp;(B166*100)&amp;"%. "&amp;A167&amp;": "&amp;(B167*100)&amp;"%. "&amp;A168&amp;": "&amp;(B168*100)&amp;"%. "&amp;A169&amp;": "&amp;B169&amp;". "&amp;A170&amp;": "&amp;B170&amp;". "&amp;A171&amp;": "&amp;(B171*100)&amp;"%. "&amp;A172&amp;": "&amp;B172&amp;". "&amp;A173&amp;": "&amp;B173&amp;". "&amp;A174&amp;": "&amp;B174&amp;". "&amp;A175&amp;": "&amp;B175&amp;".  For more information, refer to: "&amp;B143</f>
        <v>This dataset represents the supply of 1 megajoule of heat in a residence, by hydrogen conversion in a fuel cell, SOFC.  The hydrogen is transported by pipeline over 500 km from regional storage.  The hydrogen is produced by  Auto-thermal reforming,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43" spans="1:22" hidden="1" x14ac:dyDescent="0.2">
      <c r="A143" t="s">
        <v>63</v>
      </c>
      <c r="B143" s="45" t="s">
        <v>660</v>
      </c>
    </row>
    <row r="144" spans="1:22" hidden="1" x14ac:dyDescent="0.2">
      <c r="A144" t="s">
        <v>52</v>
      </c>
      <c r="B144" s="45" t="s">
        <v>64</v>
      </c>
    </row>
    <row r="145" spans="1:2" hidden="1" x14ac:dyDescent="0.2">
      <c r="A145" t="s">
        <v>48</v>
      </c>
      <c r="B145" s="45">
        <v>132</v>
      </c>
    </row>
    <row r="146" spans="1:2" hidden="1" x14ac:dyDescent="0.2">
      <c r="A146" t="s">
        <v>54</v>
      </c>
      <c r="B146" s="45" t="str">
        <f>INDEX(overview!$B$4:$R$338,MATCH(B145,overview!$A$4:$A$338,0),MATCH(A146,overview!$B$3:$R$3,0))</f>
        <v>heat, from residential heating system</v>
      </c>
    </row>
    <row r="147" spans="1:2" hidden="1" x14ac:dyDescent="0.2">
      <c r="A147" t="s">
        <v>55</v>
      </c>
      <c r="B147" s="45" t="str">
        <f>INDEX(overview!$B$4:$R$338,MATCH(B145,overview!$A$4:$A$338,0),MATCH(A147,overview!$B$3:$R$3,0))</f>
        <v>megajoule</v>
      </c>
    </row>
    <row r="148" spans="1:2" hidden="1" x14ac:dyDescent="0.2">
      <c r="A148" t="s">
        <v>0</v>
      </c>
      <c r="B148" s="45" t="str">
        <f>INDEX(overview!$B$4:$R$338,MATCH(B145,overview!$A$4:$A$338,0),MATCH(A148,overview!$B$3:$R$3,0))</f>
        <v>Switzerland</v>
      </c>
    </row>
    <row r="149" spans="1:2" hidden="1" x14ac:dyDescent="0.2">
      <c r="A149" t="s">
        <v>1</v>
      </c>
      <c r="B149" s="45">
        <f>INDEX(overview!$B$4:$R$338,MATCH(B145,overview!$A$4:$A$338,0),MATCH(A149,overview!$B$3:$R$3,0))</f>
        <v>2020</v>
      </c>
    </row>
    <row r="150" spans="1:2" hidden="1" x14ac:dyDescent="0.2">
      <c r="A150" t="s">
        <v>2</v>
      </c>
      <c r="B150" s="45" t="str">
        <f>INDEX(overview!$B$4:$R$338,MATCH(B145,overview!$A$4:$A$338,0),MATCH(A150,overview!$B$3:$R$3,0))</f>
        <v>1 MJ heat</v>
      </c>
    </row>
    <row r="151" spans="1:2" hidden="1" x14ac:dyDescent="0.2">
      <c r="A151" t="s">
        <v>5</v>
      </c>
      <c r="B151" s="45" t="str">
        <f>INDEX(overview!$B$4:$R$338,MATCH(B145,overview!$A$4:$A$338,0),MATCH(A151,overview!$B$3:$R$3,0))</f>
        <v>hydrogen</v>
      </c>
    </row>
    <row r="152" spans="1:2" hidden="1" x14ac:dyDescent="0.2">
      <c r="A152" t="s">
        <v>3</v>
      </c>
      <c r="B152" s="45" t="str">
        <f>INDEX(overview!$B$4:$R$338,MATCH(B145,overview!$A$4:$A$338,0),MATCH(A152,overview!$B$3:$R$3,0))</f>
        <v>conversion</v>
      </c>
    </row>
    <row r="153" spans="1:2" hidden="1" x14ac:dyDescent="0.2">
      <c r="A153" t="s">
        <v>6</v>
      </c>
      <c r="B153" s="45" t="str">
        <f>INDEX(overview!$B$4:$R$338,MATCH(B145,overview!$A$4:$A$338,0),MATCH(A153,overview!$B$3:$R$3,0))</f>
        <v>fuel cell, SOFC</v>
      </c>
    </row>
    <row r="154" spans="1:2" hidden="1" x14ac:dyDescent="0.2">
      <c r="A154" t="s">
        <v>39</v>
      </c>
      <c r="B154" s="45" t="str">
        <f>INDEX(overview!$B$4:$R$338,MATCH(B145,overview!$A$4:$A$338,0),MATCH(A154,overview!$B$3:$R$3,0))</f>
        <v>exergy</v>
      </c>
    </row>
    <row r="155" spans="1:2" hidden="1" x14ac:dyDescent="0.2">
      <c r="A155" t="s">
        <v>4</v>
      </c>
      <c r="B155" s="45" t="str">
        <f>INDEX(overview!$B$4:$R$338,MATCH(B145,overview!$A$4:$A$338,0),MATCH(A155,overview!$B$3:$R$3,0))</f>
        <v>pipeline</v>
      </c>
    </row>
    <row r="156" spans="1:2" hidden="1" x14ac:dyDescent="0.2">
      <c r="A156" t="s">
        <v>38</v>
      </c>
      <c r="B156" s="45">
        <f>INDEX(overview!$B$4:$R$338,MATCH(B145,overview!$A$4:$A$338,0),MATCH(A156,overview!$B$3:$R$3,0))</f>
        <v>500</v>
      </c>
    </row>
    <row r="157" spans="1:2" hidden="1" x14ac:dyDescent="0.2">
      <c r="A157" t="s">
        <v>12</v>
      </c>
      <c r="B157" s="45" t="str">
        <f>INDEX(overview!$B$4:$R$338,MATCH(B145,overview!$A$4:$A$338,0),MATCH(A157,overview!$B$3:$R$3,0))</f>
        <v>Pressure vessel for stationary storage</v>
      </c>
    </row>
    <row r="158" spans="1:2" hidden="1" x14ac:dyDescent="0.2">
      <c r="A158" t="s">
        <v>34</v>
      </c>
      <c r="B158" s="45">
        <f>INDEX(overview!$B$4:$R$338,MATCH(B145,overview!$A$4:$A$338,0),MATCH(A158,overview!$B$3:$R$3,0))</f>
        <v>0</v>
      </c>
    </row>
    <row r="159" spans="1:2" hidden="1" x14ac:dyDescent="0.2">
      <c r="A159" t="s">
        <v>15</v>
      </c>
      <c r="B159" s="45" t="str">
        <f>INDEX(overview!$B$4:$R$338,MATCH(B145,overview!$A$4:$A$338,0),MATCH(A159,overview!$B$3:$R$3,0))</f>
        <v>Auto-thermal reforming</v>
      </c>
    </row>
    <row r="160" spans="1:2" hidden="1" x14ac:dyDescent="0.2">
      <c r="A160" t="s">
        <v>14</v>
      </c>
      <c r="B160" s="45" t="str">
        <f>INDEX(overview!$B$4:$R$338,MATCH(B145,overview!$A$4:$A$338,0),MATCH(A160,overview!$B$3:$R$3,0))</f>
        <v>natural gas</v>
      </c>
    </row>
    <row r="161" spans="1:4" hidden="1" x14ac:dyDescent="0.2">
      <c r="A161" t="s">
        <v>26</v>
      </c>
      <c r="B161" s="45" t="str">
        <f>INDEX(overview!$B$4:$R$338,MATCH(B145,overview!$A$4:$A$338,0),MATCH(A161,overview!$B$3:$R$3,0))</f>
        <v>Switzerland</v>
      </c>
    </row>
    <row r="162" spans="1:4" hidden="1" x14ac:dyDescent="0.2">
      <c r="A162" t="s">
        <v>29</v>
      </c>
      <c r="B162" s="45">
        <f>INDEX(overview!$B$4:$R$338,MATCH(B145,overview!$A$4:$A$338,0),MATCH(A162,overview!$B$3:$R$3,0))</f>
        <v>0</v>
      </c>
    </row>
    <row r="163" spans="1:4" hidden="1" x14ac:dyDescent="0.2">
      <c r="A163" t="str">
        <f>IF(B147="megajoule","Heat","Electricity")&amp;" conversion efficiency [% LHV input]"</f>
        <v>Heat conversion efficiency [% LHV input]</v>
      </c>
      <c r="B163" s="46">
        <f>INDEX(parameters!$D$4:$N$20,MATCH(B151&amp;B153,parameters!$A$4:$A$20,0),MATCH(A163,parameters!$D$3:$N$3,0))</f>
        <v>0.53</v>
      </c>
    </row>
    <row r="164" spans="1:4" hidden="1" x14ac:dyDescent="0.2">
      <c r="A164" t="str">
        <f>IF(B147="megajoule","LHV [MJ/kg]","LHV [kWh/kg]")</f>
        <v>LHV [MJ/kg]</v>
      </c>
      <c r="B164" s="47">
        <f>INDEX(parameters!$D$4:$N$20,MATCH(B151&amp;B153,parameters!$A$4:$A$20,0),MATCH(A164,parameters!$D$3:$N$3,0))</f>
        <v>120</v>
      </c>
    </row>
    <row r="165" spans="1:4" hidden="1" x14ac:dyDescent="0.2">
      <c r="A165" t="s">
        <v>41</v>
      </c>
      <c r="B165" s="48">
        <f>INDEX(parameters!$D$4:$N$20,MATCH(B151&amp;B153,parameters!$A$4:$A$20,0),MATCH(A165,parameters!$D$3:$N$3,0))</f>
        <v>2.6666666666666665E-2</v>
      </c>
    </row>
    <row r="166" spans="1:4" hidden="1" x14ac:dyDescent="0.2">
      <c r="A166" t="s">
        <v>45</v>
      </c>
      <c r="B166" s="46">
        <f>INDEX(parameters!$D$4:$N$20,MATCH(B151&amp;B153,parameters!$A$4:$A$20,0),MATCH(A166,parameters!$D$3:$N$3,0))</f>
        <v>0</v>
      </c>
    </row>
    <row r="167" spans="1:4" hidden="1" x14ac:dyDescent="0.2">
      <c r="A167" t="s">
        <v>46</v>
      </c>
      <c r="B167" s="46">
        <f>INDEX(parameters!$D$4:$N$20,MATCH(B151&amp;B153,parameters!$A$4:$A$20,0),MATCH(A167,parameters!$D$3:$N$3,0))</f>
        <v>1.4999999999999999E-2</v>
      </c>
    </row>
    <row r="168" spans="1:4" hidden="1" x14ac:dyDescent="0.2">
      <c r="A168" t="s">
        <v>43</v>
      </c>
      <c r="B168" s="46">
        <f>INDEX(parameters!$D$4:$N$20,MATCH(B151&amp;B153,parameters!$A$4:$A$20,0),MATCH(A168,parameters!$D$3:$N$3,0))</f>
        <v>0</v>
      </c>
    </row>
    <row r="169" spans="1:4" hidden="1" x14ac:dyDescent="0.2">
      <c r="A169" t="s">
        <v>44</v>
      </c>
      <c r="B169" s="46">
        <f>INDEX(parameters!$D$4:$N$20,MATCH(B151&amp;B153,parameters!$A$4:$A$20,0),MATCH(A169,parameters!$D$3:$N$3,0))</f>
        <v>0</v>
      </c>
    </row>
    <row r="170" spans="1:4" hidden="1" x14ac:dyDescent="0.2">
      <c r="A170" t="s">
        <v>634</v>
      </c>
      <c r="B170" s="47">
        <f>INDEX(parameters!$D$4:$Y$20,MATCH(B151&amp;B153,parameters!$A$4:$A$20,0),MATCH(A170,parameters!$D$3:$Y$3,0))</f>
        <v>225</v>
      </c>
      <c r="D170" s="8"/>
    </row>
    <row r="171" spans="1:4" hidden="1" x14ac:dyDescent="0.2">
      <c r="A171" t="s">
        <v>82</v>
      </c>
      <c r="B171" s="46">
        <f>IF(B162&lt;&gt;0,VLOOKUP(B162,parameters!A201:B203,2,0),0)</f>
        <v>0</v>
      </c>
    </row>
    <row r="172" spans="1:4" hidden="1" x14ac:dyDescent="0.2">
      <c r="A172" t="s">
        <v>548</v>
      </c>
      <c r="B172" s="50">
        <f>INDEX(parameters!$D$4:$P$20,MATCH(B151&amp;B153,parameters!$A$4:$A$20,0),MATCH(A172,parameters!$D$3:$P$3,0))</f>
        <v>100</v>
      </c>
    </row>
    <row r="173" spans="1:4" hidden="1" x14ac:dyDescent="0.2">
      <c r="A173" t="s">
        <v>547</v>
      </c>
      <c r="B173" s="51">
        <f>INDEX(parameters!$D$4:$P$20,MATCH(B151&amp;B153,parameters!$A$4:$A$20,0),MATCH(A173,parameters!$D$3:$P$3,0))</f>
        <v>6</v>
      </c>
    </row>
    <row r="174" spans="1:4" hidden="1" x14ac:dyDescent="0.2">
      <c r="A174" t="s">
        <v>630</v>
      </c>
      <c r="B174" s="51">
        <f>INDEX(parameters!$D$4:$T$20,MATCH(B151&amp;B153,parameters!$A$4:$A$20,0),MATCH(A174,parameters!$D$3:$T$3,0))</f>
        <v>4100</v>
      </c>
    </row>
    <row r="175" spans="1:4" hidden="1" x14ac:dyDescent="0.2">
      <c r="A175" t="s">
        <v>1005</v>
      </c>
      <c r="B175" s="50">
        <f>IF(B147="megajoule",SUMIFS(allocation!$I$4:$I$30,allocation!$B$4:$B$30,B153,allocation!$C$4:$C$30,B154),SUMIFS(allocation!$J$4:$J$30,allocation!$B$4:$B$30,B153,allocation!$C$4:$C$30,B154))</f>
        <v>0.13587506510399097</v>
      </c>
    </row>
    <row r="176" spans="1:4" hidden="1" x14ac:dyDescent="0.2">
      <c r="A176" t="s">
        <v>1050</v>
      </c>
      <c r="B176" s="51">
        <f>INDEX(parameters!$D$4:$AB$20,MATCH(B151&amp;B153,parameters!$A$4:$A$20,0),MATCH(A176,parameters!$D$3:$AB$3,0))</f>
        <v>1153.1249999999998</v>
      </c>
    </row>
    <row r="177" spans="1:22" hidden="1" x14ac:dyDescent="0.2"/>
    <row r="178" spans="1:22" hidden="1" x14ac:dyDescent="0.2">
      <c r="A178" s="3" t="s">
        <v>57</v>
      </c>
    </row>
    <row r="179" spans="1:22" hidden="1" x14ac:dyDescent="0.2">
      <c r="A179" s="2" t="s">
        <v>58</v>
      </c>
      <c r="B179" s="44" t="s">
        <v>59</v>
      </c>
      <c r="C179" s="2" t="s">
        <v>55</v>
      </c>
      <c r="D179" s="2" t="s">
        <v>60</v>
      </c>
      <c r="E179" s="2" t="s">
        <v>52</v>
      </c>
      <c r="F179" s="2" t="s">
        <v>61</v>
      </c>
      <c r="G179" s="2" t="s">
        <v>54</v>
      </c>
      <c r="H179" s="2" t="s">
        <v>87</v>
      </c>
      <c r="I179" s="2" t="s">
        <v>51</v>
      </c>
      <c r="J179" s="2" t="s">
        <v>138</v>
      </c>
      <c r="K179" s="2" t="s">
        <v>136</v>
      </c>
      <c r="L179" s="2" t="s">
        <v>221</v>
      </c>
      <c r="M179" s="2" t="s">
        <v>379</v>
      </c>
      <c r="N179" s="2" t="s">
        <v>1059</v>
      </c>
      <c r="O179" s="2" t="s">
        <v>1060</v>
      </c>
      <c r="P179" s="2" t="s">
        <v>1061</v>
      </c>
      <c r="Q179" s="2" t="s">
        <v>1062</v>
      </c>
      <c r="R179" s="2" t="s">
        <v>1063</v>
      </c>
      <c r="S179" s="2" t="s">
        <v>1064</v>
      </c>
      <c r="T179" s="2" t="s">
        <v>1065</v>
      </c>
      <c r="U179" s="2" t="s">
        <v>380</v>
      </c>
      <c r="V179" s="2" t="s">
        <v>1128</v>
      </c>
    </row>
    <row r="180" spans="1:22" x14ac:dyDescent="0.2">
      <c r="A180" t="str">
        <f>B141</f>
        <v>heat, residential, by conversion of hydrogen using fuel cell, SOFC, allocated by exergy, transported by pipeline, produced by Auto-thermal reforming using natural gas from Switzerland</v>
      </c>
      <c r="B180" s="45">
        <v>1</v>
      </c>
      <c r="C180" t="str">
        <f>B147</f>
        <v>megajoule</v>
      </c>
      <c r="E180" t="str">
        <f>B144</f>
        <v>CH</v>
      </c>
      <c r="F180" t="s">
        <v>62</v>
      </c>
      <c r="G180" t="str">
        <f>B146</f>
        <v>heat, from residential heating system</v>
      </c>
      <c r="K180" t="str">
        <f>B141</f>
        <v>heat, residential, by conversion of hydrogen using fuel cell, SOFC, allocated by exergy, transported by pipeline, produced by Auto-thermal reforming using natural gas from Switzerland</v>
      </c>
    </row>
    <row r="181" spans="1:22" hidden="1" x14ac:dyDescent="0.2">
      <c r="A181" t="str">
        <f>VLOOKUP(J181,'dataset mapping'!$A$4:$E$69,2,0)</f>
        <v>fuel cell production, stack solid oxide, 125kW electrical, future</v>
      </c>
      <c r="B181" s="52">
        <f>1/(62*1000000)/B163*SUMIFS(allocation!$I$4:$I$30,allocation!$B$4:$B$30,B153,allocation!$C$4:$C$30,B154)</f>
        <v>4.1349685059035601E-9</v>
      </c>
      <c r="C181" t="str">
        <f>VLOOKUP(J181,'dataset mapping'!$A$4:$E$69,5,0)</f>
        <v>unit</v>
      </c>
      <c r="E181" t="str">
        <f>VLOOKUP(J181,'dataset mapping'!$A$4:$E$69,4,0)</f>
        <v>CH</v>
      </c>
      <c r="F181" t="s">
        <v>86</v>
      </c>
      <c r="G181" t="str">
        <f>VLOOKUP(J181,'dataset mapping'!$A$4:$E$69,3,0)</f>
        <v>fuel cell, stack solid oxide, 125kW electrical, future</v>
      </c>
      <c r="H181" t="s">
        <v>88</v>
      </c>
      <c r="I181" t="s">
        <v>277</v>
      </c>
      <c r="J181" t="s">
        <v>274</v>
      </c>
      <c r="K181" t="str">
        <f>B141</f>
        <v>heat, residential, by conversion of hydrogen using fuel cell, SOFC, allocated by exergy, transported by pipeline, produced by Auto-thermal reforming using natural gas from Switzerland</v>
      </c>
      <c r="L181">
        <f t="shared" ref="L181:L186" si="11">IF(OR(B181&lt;0,B181=0),1,2)</f>
        <v>2</v>
      </c>
      <c r="M181">
        <f t="shared" ref="M181:M186" si="12">IF(L181=2,LN(B181),"")</f>
        <v>-19.303786124968067</v>
      </c>
      <c r="N181">
        <v>1</v>
      </c>
      <c r="O181">
        <v>1.2</v>
      </c>
      <c r="P181">
        <v>1</v>
      </c>
      <c r="Q181">
        <v>1.01</v>
      </c>
      <c r="R181">
        <v>1.2</v>
      </c>
      <c r="S181">
        <v>1.2</v>
      </c>
      <c r="T181">
        <v>3</v>
      </c>
      <c r="U181">
        <f t="shared" ref="U181:U186" si="13">LN(SQRT(EXP(
SQRT(
+POWER(LN(N181),2)
+POWER(LN(O181),2)
+POWER(LN(P181),2)
+POWER(LN(Q181),2)
+POWER(LN(R181),2)
+POWER(LN(S181),2)
+POWER(LN(T181),2)
)
)))</f>
        <v>0.57157051623399524</v>
      </c>
    </row>
    <row r="182" spans="1:22" hidden="1" x14ac:dyDescent="0.2">
      <c r="A182" t="s">
        <v>283</v>
      </c>
      <c r="B182" s="52">
        <f>0.000000145/B163*SUMIFS(allocation!$I$4:$I$30,allocation!$B$4:$B$30,B153,allocation!$C$4:$C$30,B154)</f>
        <v>3.7173366868072996E-8</v>
      </c>
      <c r="C182" t="s">
        <v>55</v>
      </c>
      <c r="E182" t="s">
        <v>64</v>
      </c>
      <c r="F182" t="s">
        <v>86</v>
      </c>
      <c r="G182" t="s">
        <v>284</v>
      </c>
      <c r="H182" t="s">
        <v>88</v>
      </c>
      <c r="I182" t="s">
        <v>277</v>
      </c>
      <c r="K182" t="str">
        <f>B141</f>
        <v>heat, residential, by conversion of hydrogen using fuel cell, SOFC, allocated by exergy, transported by pipeline, produced by Auto-thermal reforming using natural gas from Switzerland</v>
      </c>
      <c r="L182">
        <f t="shared" si="11"/>
        <v>2</v>
      </c>
      <c r="M182">
        <f t="shared" si="12"/>
        <v>-17.107673276484537</v>
      </c>
      <c r="N182">
        <v>1</v>
      </c>
      <c r="O182">
        <v>1.2</v>
      </c>
      <c r="P182">
        <v>1</v>
      </c>
      <c r="Q182">
        <v>1.01</v>
      </c>
      <c r="R182">
        <v>1.2</v>
      </c>
      <c r="S182">
        <v>1.2</v>
      </c>
      <c r="T182">
        <v>3</v>
      </c>
      <c r="U182">
        <f t="shared" si="13"/>
        <v>0.57157051623399524</v>
      </c>
    </row>
    <row r="183" spans="1:22" hidden="1" x14ac:dyDescent="0.2">
      <c r="A183" t="s">
        <v>285</v>
      </c>
      <c r="B183" s="52">
        <f>0.0000000115/B163*SUMIFS(allocation!$I$4:$I$30,allocation!$B$4:$B$30,B153,allocation!$C$4:$C$30,B154)</f>
        <v>2.9482325447092381E-9</v>
      </c>
      <c r="C183" t="s">
        <v>55</v>
      </c>
      <c r="E183" t="s">
        <v>90</v>
      </c>
      <c r="F183" t="s">
        <v>86</v>
      </c>
      <c r="G183" t="s">
        <v>286</v>
      </c>
      <c r="H183" t="s">
        <v>88</v>
      </c>
      <c r="K183" t="str">
        <f>B141</f>
        <v>heat, residential, by conversion of hydrogen using fuel cell, SOFC, allocated by exergy, transported by pipeline, produced by Auto-thermal reforming using natural gas from Switzerland</v>
      </c>
      <c r="L183">
        <f t="shared" si="11"/>
        <v>2</v>
      </c>
      <c r="M183">
        <f t="shared" si="12"/>
        <v>-19.642059983535908</v>
      </c>
      <c r="N183">
        <v>1</v>
      </c>
      <c r="O183">
        <v>1.2</v>
      </c>
      <c r="P183">
        <v>1</v>
      </c>
      <c r="Q183">
        <v>1.01</v>
      </c>
      <c r="R183">
        <v>1.2</v>
      </c>
      <c r="S183">
        <v>1.2</v>
      </c>
      <c r="T183">
        <v>3</v>
      </c>
      <c r="U183">
        <f t="shared" si="13"/>
        <v>0.57157051623399524</v>
      </c>
    </row>
    <row r="184" spans="1:22" hidden="1" x14ac:dyDescent="0.2">
      <c r="A184" t="s">
        <v>288</v>
      </c>
      <c r="B184" s="52">
        <f>0.000024/B163*SUMIFS(allocation!$I$4:$I$30,allocation!$B$4:$B$30,B153,allocation!$C$4:$C$30,B154)</f>
        <v>6.152833136784497E-6</v>
      </c>
      <c r="C184" t="s">
        <v>56</v>
      </c>
      <c r="E184" t="s">
        <v>64</v>
      </c>
      <c r="F184" t="s">
        <v>86</v>
      </c>
      <c r="G184" t="s">
        <v>287</v>
      </c>
      <c r="H184" t="s">
        <v>88</v>
      </c>
      <c r="K184" t="str">
        <f>B141</f>
        <v>heat, residential, by conversion of hydrogen using fuel cell, SOFC, allocated by exergy, transported by pipeline, produced by Auto-thermal reforming using natural gas from Switzerland</v>
      </c>
      <c r="L184">
        <f t="shared" si="11"/>
        <v>2</v>
      </c>
      <c r="M184">
        <f t="shared" si="12"/>
        <v>-11.998597909575029</v>
      </c>
      <c r="N184">
        <v>1</v>
      </c>
      <c r="O184">
        <v>1.2</v>
      </c>
      <c r="P184">
        <v>1</v>
      </c>
      <c r="Q184">
        <v>1.01</v>
      </c>
      <c r="R184">
        <v>1.2</v>
      </c>
      <c r="S184">
        <v>1.2</v>
      </c>
      <c r="T184">
        <v>1.05</v>
      </c>
      <c r="U184">
        <f t="shared" si="13"/>
        <v>0.15984597228197622</v>
      </c>
    </row>
    <row r="185" spans="1:22" hidden="1" x14ac:dyDescent="0.2">
      <c r="A185" s="45" t="str">
        <f>"hydrogen supply, transported by "&amp;B155&amp;", produced by "&amp;B159&amp;" using "&amp;B160&amp;" from "&amp;B161</f>
        <v>hydrogen supply, transported by pipeline, produced by Auto-thermal reforming using natural gas from Switzerland</v>
      </c>
      <c r="B185" s="53">
        <f>(B180/B164)/B163*B175</f>
        <v>2.1364003947168392E-3</v>
      </c>
      <c r="C185" t="s">
        <v>56</v>
      </c>
      <c r="E185" t="s">
        <v>64</v>
      </c>
      <c r="F185" t="s">
        <v>86</v>
      </c>
      <c r="G185" t="s">
        <v>1129</v>
      </c>
      <c r="H185" t="s">
        <v>76</v>
      </c>
      <c r="I185" t="s">
        <v>1054</v>
      </c>
      <c r="J185" t="s">
        <v>307</v>
      </c>
      <c r="K185" t="str">
        <f>B141</f>
        <v>heat, residential, by conversion of hydrogen using fuel cell, SOFC, allocated by exergy, transported by pipeline, produced by Auto-thermal reforming using natural gas from Switzerland</v>
      </c>
      <c r="L185">
        <f t="shared" si="11"/>
        <v>2</v>
      </c>
      <c r="M185">
        <f t="shared" si="12"/>
        <v>-6.1486329247407472</v>
      </c>
      <c r="N185">
        <v>1</v>
      </c>
      <c r="O185">
        <v>1.2</v>
      </c>
      <c r="P185">
        <v>1</v>
      </c>
      <c r="Q185">
        <v>1.01</v>
      </c>
      <c r="R185">
        <v>1.2</v>
      </c>
      <c r="S185">
        <v>1.2</v>
      </c>
      <c r="T185">
        <v>1.05</v>
      </c>
      <c r="U185">
        <f t="shared" si="13"/>
        <v>0.15984597228197622</v>
      </c>
    </row>
    <row r="186" spans="1:22" hidden="1" x14ac:dyDescent="0.2">
      <c r="A186" t="s">
        <v>134</v>
      </c>
      <c r="B186" s="45">
        <f>B185*9</f>
        <v>1.9227603552451553E-2</v>
      </c>
      <c r="C186" t="s">
        <v>56</v>
      </c>
      <c r="D186" t="s">
        <v>100</v>
      </c>
      <c r="F186" t="s">
        <v>99</v>
      </c>
      <c r="H186" t="s">
        <v>131</v>
      </c>
      <c r="I186" t="s">
        <v>289</v>
      </c>
      <c r="K186" t="str">
        <f>B141</f>
        <v>heat, residential, by conversion of hydrogen using fuel cell, SOFC, allocated by exergy, transported by pipeline, produced by Auto-thermal reforming using natural gas from Switzerland</v>
      </c>
      <c r="L186">
        <f t="shared" si="11"/>
        <v>2</v>
      </c>
      <c r="M186">
        <f t="shared" si="12"/>
        <v>-3.9514083474045276</v>
      </c>
      <c r="N186">
        <v>1</v>
      </c>
      <c r="O186">
        <v>1.2</v>
      </c>
      <c r="P186">
        <v>1</v>
      </c>
      <c r="Q186">
        <v>1.01</v>
      </c>
      <c r="R186">
        <v>1.2</v>
      </c>
      <c r="S186">
        <v>1.2</v>
      </c>
      <c r="T186">
        <v>1.05</v>
      </c>
      <c r="U186">
        <f t="shared" si="13"/>
        <v>0.15984597228197622</v>
      </c>
    </row>
    <row r="187" spans="1:22" hidden="1" x14ac:dyDescent="0.2"/>
    <row r="188" spans="1:22" hidden="1" x14ac:dyDescent="0.2">
      <c r="A188" s="2" t="s">
        <v>50</v>
      </c>
      <c r="B188" s="44" t="str">
        <f>IF(B194="megajoule","heat","electricity")&amp;", residential, by "&amp;B199&amp;" of "&amp;B198&amp;" using "&amp;B200&amp;IF(B201&lt;&gt;0,", allocated by "&amp;B201,"")&amp;", transported by "&amp;B202&amp;", produced by "&amp;B206&amp;" using "&amp;B207&amp;" from "&amp;B208</f>
        <v>electricity, residential, by combustion of hydrogen using CHP, allocated by exergy, transported by pipeline, produced by Auto-thermal reforming using natural gas from Switzerland</v>
      </c>
    </row>
    <row r="189" spans="1:22" hidden="1" x14ac:dyDescent="0.2">
      <c r="A189" t="s">
        <v>51</v>
      </c>
      <c r="B189" s="45" t="str">
        <f>"This dataset represents the supply of 1 "&amp;IF(B194="megajoule","megajoule of heat","kilowatt hour of electricity")&amp;" in a residence, by "&amp;B198&amp;" "&amp;B199&amp;" in a "&amp;B200&amp;". "&amp;" The hydrogen is transported by "&amp;B202&amp;" over "&amp;B203&amp;" km from regional storage. "&amp;" The "&amp;B198&amp;" is produced by  "&amp;B206&amp;", with "&amp;B207&amp;" from "&amp;B208&amp;" as feedstock. "&amp;A210&amp;": "&amp;(B210*100)&amp;"%. "&amp;A211&amp;": "&amp;B211&amp;". "&amp;A212&amp;": "&amp;B212&amp;". "&amp;A213&amp;": "&amp;(B213*100)&amp;"%. "&amp;A214&amp;": "&amp;(B214*100)&amp;"%. "&amp;A215&amp;": "&amp;(B215*100)&amp;"%. "&amp;A216&amp;": "&amp;B216&amp;". "&amp;A217&amp;": "&amp;B217&amp;". "&amp;A218&amp;": "&amp;(B218*100)&amp;"%. "&amp;A219&amp;": "&amp;B219&amp;". "&amp;A220&amp;": "&amp;B220&amp;". "&amp;A221&amp;": "&amp;B221&amp;". "&amp;A222&amp;": "&amp;B222&amp;".  For more information, refer to: "&amp;B190</f>
        <v>This dataset represents the supply of 1 kilowatt hour of electricity in a residence, by hydrogen combustion in a CHP.  The hydrogen is transported by pipeline over 500 km from regional storage.  The hydrogen is produced by  Auto-thermal reforming,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90" spans="1:22" hidden="1" x14ac:dyDescent="0.2">
      <c r="A190" t="s">
        <v>63</v>
      </c>
      <c r="B190" s="45" t="s">
        <v>660</v>
      </c>
    </row>
    <row r="191" spans="1:22" hidden="1" x14ac:dyDescent="0.2">
      <c r="A191" t="s">
        <v>52</v>
      </c>
      <c r="B191" s="45" t="s">
        <v>64</v>
      </c>
    </row>
    <row r="192" spans="1:22" hidden="1" x14ac:dyDescent="0.2">
      <c r="A192" t="s">
        <v>48</v>
      </c>
      <c r="B192" s="45" t="s">
        <v>961</v>
      </c>
    </row>
    <row r="193" spans="1:2" hidden="1" x14ac:dyDescent="0.2">
      <c r="A193" t="s">
        <v>54</v>
      </c>
      <c r="B193" s="45" t="str">
        <f>INDEX(overview!$B$4:$R$338,MATCH(B192,overview!$A$4:$A$338,0),MATCH(A193,overview!$B$3:$R$3,0))</f>
        <v>electricity, from residential heating system</v>
      </c>
    </row>
    <row r="194" spans="1:2" hidden="1" x14ac:dyDescent="0.2">
      <c r="A194" t="s">
        <v>55</v>
      </c>
      <c r="B194" s="45" t="str">
        <f>INDEX(overview!$B$4:$R$338,MATCH(B192,overview!$A$4:$A$338,0),MATCH(A194,overview!$B$3:$R$3,0))</f>
        <v>kilowatt hour</v>
      </c>
    </row>
    <row r="195" spans="1:2" hidden="1" x14ac:dyDescent="0.2">
      <c r="A195" t="s">
        <v>0</v>
      </c>
      <c r="B195" s="45" t="str">
        <f>INDEX(overview!$B$4:$R$338,MATCH(B192,overview!$A$4:$A$338,0),MATCH(A195,overview!$B$3:$R$3,0))</f>
        <v>Switzerland</v>
      </c>
    </row>
    <row r="196" spans="1:2" hidden="1" x14ac:dyDescent="0.2">
      <c r="A196" t="s">
        <v>1</v>
      </c>
      <c r="B196" s="45">
        <f>INDEX(overview!$B$4:$R$338,MATCH(B192,overview!$A$4:$A$338,0),MATCH(A196,overview!$B$3:$R$3,0))</f>
        <v>2020</v>
      </c>
    </row>
    <row r="197" spans="1:2" hidden="1" x14ac:dyDescent="0.2">
      <c r="A197" t="s">
        <v>2</v>
      </c>
      <c r="B197" s="45" t="str">
        <f>INDEX(overview!$B$4:$R$338,MATCH(B192,overview!$A$4:$A$338,0),MATCH(A197,overview!$B$3:$R$3,0))</f>
        <v>1 kWh electricity</v>
      </c>
    </row>
    <row r="198" spans="1:2" hidden="1" x14ac:dyDescent="0.2">
      <c r="A198" t="s">
        <v>5</v>
      </c>
      <c r="B198" s="45" t="str">
        <f>INDEX(overview!$B$4:$R$338,MATCH(B192,overview!$A$4:$A$338,0),MATCH(A198,overview!$B$3:$R$3,0))</f>
        <v>hydrogen</v>
      </c>
    </row>
    <row r="199" spans="1:2" hidden="1" x14ac:dyDescent="0.2">
      <c r="A199" t="s">
        <v>3</v>
      </c>
      <c r="B199" s="45" t="str">
        <f>INDEX(overview!$B$4:$R$338,MATCH(B192,overview!$A$4:$A$338,0),MATCH(A199,overview!$B$3:$R$3,0))</f>
        <v>combustion</v>
      </c>
    </row>
    <row r="200" spans="1:2" hidden="1" x14ac:dyDescent="0.2">
      <c r="A200" t="s">
        <v>6</v>
      </c>
      <c r="B200" s="45" t="str">
        <f>INDEX(overview!$B$4:$R$338,MATCH(B192,overview!$A$4:$A$338,0),MATCH(A200,overview!$B$3:$R$3,0))</f>
        <v>CHP</v>
      </c>
    </row>
    <row r="201" spans="1:2" hidden="1" x14ac:dyDescent="0.2">
      <c r="A201" t="s">
        <v>39</v>
      </c>
      <c r="B201" s="45" t="str">
        <f>INDEX(overview!$B$4:$R$338,MATCH(B192,overview!$A$4:$A$338,0),MATCH(A201,overview!$B$3:$R$3,0))</f>
        <v>exergy</v>
      </c>
    </row>
    <row r="202" spans="1:2" hidden="1" x14ac:dyDescent="0.2">
      <c r="A202" t="s">
        <v>4</v>
      </c>
      <c r="B202" s="45" t="str">
        <f>INDEX(overview!$B$4:$R$338,MATCH(B192,overview!$A$4:$A$338,0),MATCH(A202,overview!$B$3:$R$3,0))</f>
        <v>pipeline</v>
      </c>
    </row>
    <row r="203" spans="1:2" hidden="1" x14ac:dyDescent="0.2">
      <c r="A203" t="s">
        <v>38</v>
      </c>
      <c r="B203" s="45">
        <f>INDEX(overview!$B$4:$R$338,MATCH(B192,overview!$A$4:$A$338,0),MATCH(A203,overview!$B$3:$R$3,0))</f>
        <v>500</v>
      </c>
    </row>
    <row r="204" spans="1:2" hidden="1" x14ac:dyDescent="0.2">
      <c r="A204" t="s">
        <v>12</v>
      </c>
      <c r="B204" s="45" t="str">
        <f>INDEX(overview!$B$4:$R$338,MATCH(B192,overview!$A$4:$A$338,0),MATCH(A204,overview!$B$3:$R$3,0))</f>
        <v>Pressure vessel for stationary storage</v>
      </c>
    </row>
    <row r="205" spans="1:2" hidden="1" x14ac:dyDescent="0.2">
      <c r="A205" t="s">
        <v>34</v>
      </c>
      <c r="B205" s="45">
        <f>INDEX(overview!$B$4:$R$338,MATCH(B192,overview!$A$4:$A$338,0),MATCH(A205,overview!$B$3:$R$3,0))</f>
        <v>0</v>
      </c>
    </row>
    <row r="206" spans="1:2" hidden="1" x14ac:dyDescent="0.2">
      <c r="A206" t="s">
        <v>15</v>
      </c>
      <c r="B206" s="45" t="str">
        <f>INDEX(overview!$B$4:$R$338,MATCH(B192,overview!$A$4:$A$338,0),MATCH(A206,overview!$B$3:$R$3,0))</f>
        <v>Auto-thermal reforming</v>
      </c>
    </row>
    <row r="207" spans="1:2" hidden="1" x14ac:dyDescent="0.2">
      <c r="A207" t="s">
        <v>14</v>
      </c>
      <c r="B207" s="45" t="str">
        <f>INDEX(overview!$B$4:$R$338,MATCH(B192,overview!$A$4:$A$338,0),MATCH(A207,overview!$B$3:$R$3,0))</f>
        <v>natural gas</v>
      </c>
    </row>
    <row r="208" spans="1:2" hidden="1" x14ac:dyDescent="0.2">
      <c r="A208" t="s">
        <v>26</v>
      </c>
      <c r="B208" s="45" t="str">
        <f>INDEX(overview!$B$4:$R$338,MATCH(B192,overview!$A$4:$A$338,0),MATCH(A208,overview!$B$3:$R$3,0))</f>
        <v>Switzerland</v>
      </c>
    </row>
    <row r="209" spans="1:2" hidden="1" x14ac:dyDescent="0.2">
      <c r="A209" t="s">
        <v>29</v>
      </c>
      <c r="B209" s="45">
        <f>INDEX(overview!$B$4:$R$338,MATCH(B192,overview!$A$4:$A$338,0),MATCH(A209,overview!$B$3:$R$3,0))</f>
        <v>0</v>
      </c>
    </row>
    <row r="210" spans="1:2" hidden="1" x14ac:dyDescent="0.2">
      <c r="A210" t="str">
        <f>IF(B194="megajoule","Heat","Electricity")&amp;" conversion efficiency [% LHV input]"</f>
        <v>Electricity conversion efficiency [% LHV input]</v>
      </c>
      <c r="B210" s="46">
        <f>INDEX(parameters!$D$4:$N$20,MATCH(B198&amp;B200,parameters!$A$4:$A$20,0),MATCH(A210,parameters!$D$3:$N$3,0))</f>
        <v>0.39400000000000002</v>
      </c>
    </row>
    <row r="211" spans="1:2" hidden="1" x14ac:dyDescent="0.2">
      <c r="A211" t="str">
        <f>IF(B194="megajoule","LHV [MJ/kg]","LHV [kWh/kg]")</f>
        <v>LHV [kWh/kg]</v>
      </c>
      <c r="B211" s="47">
        <f>INDEX(parameters!$D$4:$N$20,MATCH(B198&amp;B200,parameters!$A$4:$A$20,0),MATCH(A211,parameters!$D$3:$N$3,0))</f>
        <v>33.333333333333336</v>
      </c>
    </row>
    <row r="212" spans="1:2" hidden="1" x14ac:dyDescent="0.2">
      <c r="A212" t="s">
        <v>41</v>
      </c>
      <c r="B212" s="48">
        <f>INDEX(parameters!$D$4:$N$20,MATCH(B198&amp;B200,parameters!$A$4:$A$20,0),MATCH(A212,parameters!$D$3:$N$3,0))</f>
        <v>2.6666666666666665E-2</v>
      </c>
    </row>
    <row r="213" spans="1:2" hidden="1" x14ac:dyDescent="0.2">
      <c r="A213" t="s">
        <v>45</v>
      </c>
      <c r="B213" s="46">
        <f>INDEX(parameters!$D$4:$N$20,MATCH(B198&amp;B200,parameters!$A$4:$A$20,0),MATCH(A213,parameters!$D$3:$N$3,0))</f>
        <v>0</v>
      </c>
    </row>
    <row r="214" spans="1:2" hidden="1" x14ac:dyDescent="0.2">
      <c r="A214" t="s">
        <v>46</v>
      </c>
      <c r="B214" s="46">
        <f>INDEX(parameters!$D$4:$N$20,MATCH(B198&amp;B200,parameters!$A$4:$A$20,0),MATCH(A214,parameters!$D$3:$N$3,0))</f>
        <v>1.4999999999999999E-2</v>
      </c>
    </row>
    <row r="215" spans="1:2" hidden="1" x14ac:dyDescent="0.2">
      <c r="A215" t="s">
        <v>43</v>
      </c>
      <c r="B215" s="46">
        <f>INDEX(parameters!$D$4:$N$20,MATCH(B198&amp;B200,parameters!$A$4:$A$20,0),MATCH(A215,parameters!$D$3:$N$3,0))</f>
        <v>0</v>
      </c>
    </row>
    <row r="216" spans="1:2" hidden="1" x14ac:dyDescent="0.2">
      <c r="A216" t="s">
        <v>44</v>
      </c>
      <c r="B216" s="46">
        <f>INDEX(parameters!$D$4:$N$20,MATCH(B198&amp;B200,parameters!$A$4:$A$20,0),MATCH(A216,parameters!$D$3:$N$3,0))</f>
        <v>0</v>
      </c>
    </row>
    <row r="217" spans="1:2" hidden="1" x14ac:dyDescent="0.2">
      <c r="A217" t="s">
        <v>634</v>
      </c>
      <c r="B217" s="47">
        <f>INDEX(parameters!$D$4:$Y$20,MATCH(B198&amp;B200,parameters!$A$4:$A$20,0),MATCH(A217,parameters!$D$3:$Y$3,0))</f>
        <v>351.41800246609125</v>
      </c>
    </row>
    <row r="218" spans="1:2" hidden="1" x14ac:dyDescent="0.2">
      <c r="A218" t="s">
        <v>82</v>
      </c>
      <c r="B218" s="46">
        <f>IF(B209&lt;&gt;0,VLOOKUP(B209,parameters!A253:B255,2,0),0)</f>
        <v>0</v>
      </c>
    </row>
    <row r="219" spans="1:2" hidden="1" x14ac:dyDescent="0.2">
      <c r="A219" t="s">
        <v>548</v>
      </c>
      <c r="B219" s="50">
        <f>INDEX(parameters!$D$4:$P$20,MATCH(B198&amp;B200,parameters!$A$4:$A$20,0),MATCH(A219,parameters!$D$3:$P$3,0))</f>
        <v>125</v>
      </c>
    </row>
    <row r="220" spans="1:2" hidden="1" x14ac:dyDescent="0.2">
      <c r="A220" t="s">
        <v>547</v>
      </c>
      <c r="B220" s="51">
        <f>INDEX(parameters!$D$4:$P$20,MATCH(B198&amp;B200,parameters!$A$4:$A$20,0),MATCH(A220,parameters!$D$3:$P$3,0))</f>
        <v>19.512195121951219</v>
      </c>
    </row>
    <row r="221" spans="1:2" hidden="1" x14ac:dyDescent="0.2">
      <c r="A221" t="s">
        <v>630</v>
      </c>
      <c r="B221" s="51">
        <f>INDEX(parameters!$D$4:$T$20,MATCH(B198&amp;B200,parameters!$A$4:$A$20,0),MATCH(A221,parameters!$D$3:$T$3,0))</f>
        <v>4100</v>
      </c>
    </row>
    <row r="222" spans="1:2" hidden="1" x14ac:dyDescent="0.2">
      <c r="A222" t="s">
        <v>1005</v>
      </c>
      <c r="B222" s="50">
        <f>IF(B194="megajoule",SUMIFS(allocation!$I$4:$I$30,allocation!$B$4:$B$30,B200,allocation!$C$4:$C$30,B201),SUMIFS(allocation!$J$4:$J$30,allocation!$B$4:$B$30,B200,allocation!$C$4:$C$30,B201))</f>
        <v>0.87139957772704957</v>
      </c>
    </row>
    <row r="223" spans="1:2" hidden="1" x14ac:dyDescent="0.2">
      <c r="A223" t="s">
        <v>1050</v>
      </c>
      <c r="B223" s="51">
        <f>INDEX(parameters!$D$4:$AB$20,MATCH(B198&amp;B200,parameters!$A$4:$A$20,0),MATCH(A223,parameters!$D$3:$AB$3,0))</f>
        <v>2220.7364520822662</v>
      </c>
    </row>
    <row r="224" spans="1:2" hidden="1" x14ac:dyDescent="0.2"/>
    <row r="225" spans="1:22" hidden="1" x14ac:dyDescent="0.2">
      <c r="A225" s="3" t="s">
        <v>57</v>
      </c>
    </row>
    <row r="226" spans="1:22" hidden="1" x14ac:dyDescent="0.2">
      <c r="A226" s="2" t="s">
        <v>58</v>
      </c>
      <c r="B226" s="44" t="s">
        <v>59</v>
      </c>
      <c r="C226" s="2" t="s">
        <v>55</v>
      </c>
      <c r="D226" s="2" t="s">
        <v>60</v>
      </c>
      <c r="E226" s="2" t="s">
        <v>52</v>
      </c>
      <c r="F226" s="2" t="s">
        <v>61</v>
      </c>
      <c r="G226" s="2" t="s">
        <v>54</v>
      </c>
      <c r="H226" s="2" t="s">
        <v>87</v>
      </c>
      <c r="I226" s="2" t="s">
        <v>51</v>
      </c>
      <c r="J226" s="2" t="s">
        <v>138</v>
      </c>
      <c r="K226" s="2" t="s">
        <v>136</v>
      </c>
      <c r="L226" s="2" t="s">
        <v>221</v>
      </c>
      <c r="M226" s="2" t="s">
        <v>379</v>
      </c>
      <c r="N226" s="2" t="s">
        <v>1059</v>
      </c>
      <c r="O226" s="2" t="s">
        <v>1060</v>
      </c>
      <c r="P226" s="2" t="s">
        <v>1061</v>
      </c>
      <c r="Q226" s="2" t="s">
        <v>1062</v>
      </c>
      <c r="R226" s="2" t="s">
        <v>1063</v>
      </c>
      <c r="S226" s="2" t="s">
        <v>1064</v>
      </c>
      <c r="T226" s="2" t="s">
        <v>1065</v>
      </c>
      <c r="U226" s="2" t="s">
        <v>380</v>
      </c>
      <c r="V226" s="2" t="s">
        <v>1128</v>
      </c>
    </row>
    <row r="227" spans="1:22" hidden="1" x14ac:dyDescent="0.2">
      <c r="A227" t="str">
        <f>B188</f>
        <v>electricity, residential, by combustion of hydrogen using CHP, allocated by exergy, transported by pipeline, produced by Auto-thermal reforming using natural gas from Switzerland</v>
      </c>
      <c r="B227" s="45">
        <v>1</v>
      </c>
      <c r="C227" t="str">
        <f>B194</f>
        <v>kilowatt hour</v>
      </c>
      <c r="E227" t="str">
        <f>B191</f>
        <v>CH</v>
      </c>
      <c r="F227" t="s">
        <v>62</v>
      </c>
      <c r="G227" t="str">
        <f>B193</f>
        <v>electricity, from residential heating system</v>
      </c>
      <c r="K227" t="str">
        <f>B188</f>
        <v>electricity, residential, by combustion of hydrogen using CHP, allocated by exergy, transported by pipeline, produced by Auto-thermal reforming using natural gas from Switzerland</v>
      </c>
    </row>
    <row r="228" spans="1:22" hidden="1" x14ac:dyDescent="0.2">
      <c r="A228" t="str">
        <f>VLOOKUP(J228,'dataset mapping'!$A$4:$E$69,2,0)</f>
        <v>heat and power co-generation unit construction, 160kW electrical, common components for heat+electricity</v>
      </c>
      <c r="B228" s="52">
        <f>(1/(B217*B221*B220))*B222</f>
        <v>3.0995835856870056E-8</v>
      </c>
      <c r="C228" t="str">
        <f>VLOOKUP(J228,'dataset mapping'!$A$4:$E$69,5,0)</f>
        <v>unit</v>
      </c>
      <c r="E228" t="str">
        <f>VLOOKUP(J228,'dataset mapping'!$A$4:$E$69,4,0)</f>
        <v>RER</v>
      </c>
      <c r="F228" t="s">
        <v>86</v>
      </c>
      <c r="G228" t="str">
        <f>VLOOKUP(J228,'dataset mapping'!$A$4:$E$69,3,0)</f>
        <v>heat and power co-generation unit, 160kW electrical, common components for heat+electricity</v>
      </c>
      <c r="H228" t="s">
        <v>88</v>
      </c>
      <c r="J228" t="s">
        <v>145</v>
      </c>
      <c r="K228" t="str">
        <f>B188</f>
        <v>electricity, residential, by combustion of hydrogen using CHP, allocated by exergy, transported by pipeline, produced by Auto-thermal reforming using natural gas from Switzerland</v>
      </c>
      <c r="L228">
        <f t="shared" ref="L228:L235" si="14">IF(OR(B228&lt;0,B228=0),1,2)</f>
        <v>2</v>
      </c>
      <c r="M228">
        <f t="shared" ref="M228:M235" si="15">IF(L228=2,LN(B228),"")</f>
        <v>-17.28941296868171</v>
      </c>
      <c r="N228">
        <v>1.05</v>
      </c>
      <c r="O228">
        <v>1.2</v>
      </c>
      <c r="P228">
        <v>1</v>
      </c>
      <c r="Q228">
        <v>1.01</v>
      </c>
      <c r="R228">
        <v>1.2</v>
      </c>
      <c r="S228">
        <v>1.2</v>
      </c>
      <c r="T228">
        <v>3</v>
      </c>
      <c r="U228">
        <f t="shared" ref="U228:U235" si="16">LN(SQRT(EXP(
SQRT(
+POWER(LN(N228),2)
+POWER(LN(O228),2)
+POWER(LN(P228),2)
+POWER(LN(Q228),2)
+POWER(LN(R228),2)
+POWER(LN(S228),2)
+POWER(LN(T228),2)
)
)))</f>
        <v>0.57209088006881903</v>
      </c>
    </row>
    <row r="229" spans="1:22" hidden="1" x14ac:dyDescent="0.2">
      <c r="A229" t="str">
        <f>VLOOKUP(J229,'dataset mapping'!$A$4:$E$69,2,0)</f>
        <v>heat and power co-generation unit construction, 160kW electrical, components for electricity only</v>
      </c>
      <c r="B229" s="52">
        <f>(1/(B217*B221*B220))*B222</f>
        <v>3.0995835856870056E-8</v>
      </c>
      <c r="C229" t="str">
        <f>VLOOKUP(J229,'dataset mapping'!$A$4:$E$69,5,0)</f>
        <v>unit</v>
      </c>
      <c r="E229" t="str">
        <f>VLOOKUP(J229,'dataset mapping'!$A$4:$E$69,4,0)</f>
        <v>RER</v>
      </c>
      <c r="F229" t="s">
        <v>86</v>
      </c>
      <c r="G229" t="str">
        <f>VLOOKUP(J229,'dataset mapping'!$A$4:$E$69,3,0)</f>
        <v>heat and power co-generation unit, 160kW electrical, components for electricity only</v>
      </c>
      <c r="H229" t="s">
        <v>88</v>
      </c>
      <c r="J229" t="s">
        <v>146</v>
      </c>
      <c r="K229" t="str">
        <f>B188</f>
        <v>electricity, residential, by combustion of hydrogen using CHP, allocated by exergy, transported by pipeline, produced by Auto-thermal reforming using natural gas from Switzerland</v>
      </c>
      <c r="L229">
        <f t="shared" si="14"/>
        <v>2</v>
      </c>
      <c r="M229">
        <f t="shared" si="15"/>
        <v>-17.28941296868171</v>
      </c>
      <c r="N229">
        <v>1.05</v>
      </c>
      <c r="O229">
        <v>1.2</v>
      </c>
      <c r="P229">
        <v>1</v>
      </c>
      <c r="Q229">
        <v>1.01</v>
      </c>
      <c r="R229">
        <v>1.2</v>
      </c>
      <c r="S229">
        <v>1.2</v>
      </c>
      <c r="T229">
        <v>3</v>
      </c>
      <c r="U229">
        <f t="shared" si="16"/>
        <v>0.57209088006881903</v>
      </c>
    </row>
    <row r="230" spans="1:22" hidden="1" x14ac:dyDescent="0.2">
      <c r="A230" t="str">
        <f>VLOOKUP(J230,'dataset mapping'!$A$4:$E$69,2,0)</f>
        <v>heat and power co-generation unit construction, 160kW electrical, components for heat only</v>
      </c>
      <c r="B230" s="52">
        <f>(1/(B217*B221*B220))*B222</f>
        <v>3.0995835856870056E-8</v>
      </c>
      <c r="C230" t="str">
        <f>VLOOKUP(J230,'dataset mapping'!$A$4:$E$69,5,0)</f>
        <v>unit</v>
      </c>
      <c r="E230" t="str">
        <f>VLOOKUP(J230,'dataset mapping'!$A$4:$E$69,4,0)</f>
        <v>RER</v>
      </c>
      <c r="F230" t="s">
        <v>86</v>
      </c>
      <c r="G230" t="str">
        <f>VLOOKUP(J230,'dataset mapping'!$A$4:$E$69,3,0)</f>
        <v>heat and power co-generation unit, 160kW electrical, components for heat only</v>
      </c>
      <c r="H230" t="s">
        <v>88</v>
      </c>
      <c r="J230" t="s">
        <v>147</v>
      </c>
      <c r="K230" t="str">
        <f>B188</f>
        <v>electricity, residential, by combustion of hydrogen using CHP, allocated by exergy, transported by pipeline, produced by Auto-thermal reforming using natural gas from Switzerland</v>
      </c>
      <c r="L230">
        <f t="shared" si="14"/>
        <v>2</v>
      </c>
      <c r="M230">
        <f t="shared" si="15"/>
        <v>-17.28941296868171</v>
      </c>
      <c r="N230">
        <v>1.05</v>
      </c>
      <c r="O230">
        <v>1.2</v>
      </c>
      <c r="P230">
        <v>1</v>
      </c>
      <c r="Q230">
        <v>1.01</v>
      </c>
      <c r="R230">
        <v>1.2</v>
      </c>
      <c r="S230">
        <v>1.2</v>
      </c>
      <c r="T230">
        <v>3</v>
      </c>
      <c r="U230">
        <f t="shared" si="16"/>
        <v>0.57209088006881903</v>
      </c>
    </row>
    <row r="231" spans="1:22" hidden="1" x14ac:dyDescent="0.2">
      <c r="A231" t="s">
        <v>156</v>
      </c>
      <c r="B231" s="52">
        <f>0.00000011366*B222</f>
        <v>9.9043276004456456E-8</v>
      </c>
      <c r="C231" t="s">
        <v>56</v>
      </c>
      <c r="E231" t="s">
        <v>90</v>
      </c>
      <c r="F231" t="s">
        <v>86</v>
      </c>
      <c r="G231" t="s">
        <v>154</v>
      </c>
      <c r="H231" t="s">
        <v>155</v>
      </c>
      <c r="K231" t="str">
        <f>B188</f>
        <v>electricity, residential, by combustion of hydrogen using CHP, allocated by exergy, transported by pipeline, produced by Auto-thermal reforming using natural gas from Switzerland</v>
      </c>
      <c r="L231">
        <f t="shared" si="14"/>
        <v>2</v>
      </c>
      <c r="M231">
        <f t="shared" si="15"/>
        <v>-16.127708950967754</v>
      </c>
      <c r="N231">
        <v>1.05</v>
      </c>
      <c r="O231">
        <v>1.2</v>
      </c>
      <c r="P231">
        <v>1</v>
      </c>
      <c r="Q231">
        <v>1.01</v>
      </c>
      <c r="R231">
        <v>1.2</v>
      </c>
      <c r="S231">
        <v>1.2</v>
      </c>
      <c r="T231">
        <v>1.05</v>
      </c>
      <c r="U231">
        <f t="shared" si="16"/>
        <v>0.16169679924070957</v>
      </c>
    </row>
    <row r="232" spans="1:22" hidden="1" x14ac:dyDescent="0.2">
      <c r="A232" t="s">
        <v>157</v>
      </c>
      <c r="B232" s="52">
        <f>0.00000011366*B222*-1</f>
        <v>-9.9043276004456456E-8</v>
      </c>
      <c r="C232" t="s">
        <v>56</v>
      </c>
      <c r="E232" t="s">
        <v>64</v>
      </c>
      <c r="F232" t="s">
        <v>86</v>
      </c>
      <c r="G232" t="s">
        <v>158</v>
      </c>
      <c r="H232" t="s">
        <v>155</v>
      </c>
      <c r="K232" t="str">
        <f>B188</f>
        <v>electricity, residential, by combustion of hydrogen using CHP, allocated by exergy, transported by pipeline, produced by Auto-thermal reforming using natural gas from Switzerland</v>
      </c>
      <c r="L232">
        <v>2</v>
      </c>
      <c r="M232">
        <f>IF(L232=2,LN(B232*-1),"")</f>
        <v>-16.127708950967754</v>
      </c>
      <c r="N232">
        <v>1.05</v>
      </c>
      <c r="O232">
        <v>1.2</v>
      </c>
      <c r="P232">
        <v>1</v>
      </c>
      <c r="Q232">
        <v>1.01</v>
      </c>
      <c r="R232">
        <v>1.2</v>
      </c>
      <c r="S232">
        <v>1.2</v>
      </c>
      <c r="T232">
        <v>3</v>
      </c>
      <c r="U232">
        <f>LN(SQRT(EXP(
SQRT(
+POWER(LN(N232),2)
+POWER(LN(O232),2)
+POWER(LN(P232),2)
+POWER(LN(Q232),2)
+POWER(LN(R232),2)
+POWER(LN(S232),2)
+POWER(LN(T232),2)
)
)))</f>
        <v>0.57209088006881903</v>
      </c>
      <c r="V232" t="b">
        <v>1</v>
      </c>
    </row>
    <row r="233" spans="1:22" hidden="1" x14ac:dyDescent="0.2">
      <c r="A233" s="45" t="str">
        <f>"hydrogen supply, transported by "&amp;B202&amp;", produced by "&amp;B206&amp;" using "&amp;B207&amp;" from "&amp;B208</f>
        <v>hydrogen supply, transported by pipeline, produced by Auto-thermal reforming using natural gas from Switzerland</v>
      </c>
      <c r="B233" s="53">
        <f>(B227/B211)/B210*B222</f>
        <v>6.6350221654343872E-2</v>
      </c>
      <c r="C233" t="s">
        <v>56</v>
      </c>
      <c r="E233" t="s">
        <v>64</v>
      </c>
      <c r="F233" t="s">
        <v>86</v>
      </c>
      <c r="G233" t="s">
        <v>1129</v>
      </c>
      <c r="H233" t="s">
        <v>76</v>
      </c>
      <c r="I233" t="s">
        <v>1054</v>
      </c>
      <c r="J233" t="s">
        <v>307</v>
      </c>
      <c r="K233" t="str">
        <f>B188</f>
        <v>electricity, residential, by combustion of hydrogen using CHP, allocated by exergy, transported by pipeline, produced by Auto-thermal reforming using natural gas from Switzerland</v>
      </c>
      <c r="L233">
        <f t="shared" si="14"/>
        <v>2</v>
      </c>
      <c r="M233">
        <f t="shared" si="15"/>
        <v>-2.7128081775260964</v>
      </c>
      <c r="N233">
        <v>1.05</v>
      </c>
      <c r="O233">
        <v>1.2</v>
      </c>
      <c r="P233">
        <v>1</v>
      </c>
      <c r="Q233">
        <v>1.01</v>
      </c>
      <c r="R233">
        <v>1.2</v>
      </c>
      <c r="S233">
        <v>1.2</v>
      </c>
      <c r="T233">
        <v>1.05</v>
      </c>
      <c r="U233">
        <f t="shared" si="16"/>
        <v>0.16169679924070957</v>
      </c>
    </row>
    <row r="234" spans="1:22" hidden="1" x14ac:dyDescent="0.2">
      <c r="A234" t="s">
        <v>134</v>
      </c>
      <c r="B234" s="45">
        <f>B233*9</f>
        <v>0.59715199488909487</v>
      </c>
      <c r="C234" t="s">
        <v>56</v>
      </c>
      <c r="D234" t="s">
        <v>100</v>
      </c>
      <c r="F234" t="s">
        <v>99</v>
      </c>
      <c r="H234" t="s">
        <v>131</v>
      </c>
      <c r="K234" t="str">
        <f>B188</f>
        <v>electricity, residential, by combustion of hydrogen using CHP, allocated by exergy, transported by pipeline, produced by Auto-thermal reforming using natural gas from Switzerland</v>
      </c>
      <c r="L234">
        <f t="shared" si="14"/>
        <v>2</v>
      </c>
      <c r="M234">
        <f t="shared" si="15"/>
        <v>-0.51558360018987692</v>
      </c>
      <c r="N234">
        <v>1.05</v>
      </c>
      <c r="O234">
        <v>1.2</v>
      </c>
      <c r="P234">
        <v>1</v>
      </c>
      <c r="Q234">
        <v>1.01</v>
      </c>
      <c r="R234">
        <v>1.2</v>
      </c>
      <c r="S234">
        <v>1.2</v>
      </c>
      <c r="T234">
        <v>1.05</v>
      </c>
      <c r="U234">
        <f t="shared" si="16"/>
        <v>0.16169679924070957</v>
      </c>
    </row>
    <row r="235" spans="1:22" hidden="1" x14ac:dyDescent="0.2">
      <c r="A235" t="s">
        <v>135</v>
      </c>
      <c r="B235" s="45">
        <f>912.5/1000000*B233</f>
        <v>6.0544577259588785E-5</v>
      </c>
      <c r="C235" t="s">
        <v>56</v>
      </c>
      <c r="D235" t="s">
        <v>100</v>
      </c>
      <c r="F235" t="s">
        <v>99</v>
      </c>
      <c r="H235" t="s">
        <v>131</v>
      </c>
      <c r="I235" t="s">
        <v>1217</v>
      </c>
      <c r="K235" t="str">
        <f>B188</f>
        <v>electricity, residential, by combustion of hydrogen using CHP, allocated by exergy, transported by pipeline, produced by Auto-thermal reforming using natural gas from Switzerland</v>
      </c>
      <c r="L235">
        <f t="shared" si="14"/>
        <v>2</v>
      </c>
      <c r="M235">
        <f t="shared" si="15"/>
        <v>-9.712130650033723</v>
      </c>
      <c r="N235">
        <v>1.05</v>
      </c>
      <c r="O235">
        <v>1.2</v>
      </c>
      <c r="P235">
        <v>1</v>
      </c>
      <c r="Q235">
        <v>1.01</v>
      </c>
      <c r="R235">
        <v>1.2</v>
      </c>
      <c r="S235">
        <v>1.2</v>
      </c>
      <c r="T235">
        <v>1.5</v>
      </c>
      <c r="U235">
        <f t="shared" si="16"/>
        <v>0.25816898211842121</v>
      </c>
    </row>
    <row r="236" spans="1:22" hidden="1" x14ac:dyDescent="0.2"/>
    <row r="237" spans="1:22" hidden="1" x14ac:dyDescent="0.2">
      <c r="A237" s="2" t="s">
        <v>50</v>
      </c>
      <c r="B237" s="44" t="str">
        <f>IF(B243="megajoule","heat","electricity")&amp;", residential, by "&amp;B248&amp;" of "&amp;B247&amp;" using "&amp;B249&amp;IF(B250&lt;&gt;0,", allocated by "&amp;B250,"")&amp;", transported by "&amp;B251&amp;", produced by "&amp;B255&amp;" using "&amp;B256&amp;" from "&amp;B257</f>
        <v>electricity, residential, by conversion of hydrogen using fuel cell, PEM, allocated by exergy, transported by pipeline, produced by Auto-thermal reforming using natural gas from Switzerland</v>
      </c>
    </row>
    <row r="238" spans="1:22" hidden="1" x14ac:dyDescent="0.2">
      <c r="A238" t="s">
        <v>51</v>
      </c>
      <c r="B238" s="45" t="str">
        <f>"This dataset represents the supply of 1 "&amp;IF(B243="megajoule","megajoule of heat","kilowatt hour of electricity")&amp;" in a residence, by "&amp;B247&amp;" "&amp;B248&amp;" in a "&amp;B249&amp;". "&amp;" The hydrogen is transported by "&amp;B251&amp;" over "&amp;B252&amp;" km from regional storage. "&amp;" The "&amp;B247&amp;" is produced by  "&amp;B255&amp;", with "&amp;B256&amp;" from "&amp;B257&amp;" as feedstock. "&amp;A259&amp;": "&amp;(B259*100)&amp;"%. "&amp;A260&amp;": "&amp;B260&amp;". "&amp;A261&amp;": "&amp;B261&amp;". "&amp;A262&amp;": "&amp;(B262*100)&amp;"%. "&amp;A263&amp;": "&amp;(B263*100)&amp;"%. "&amp;A264&amp;": "&amp;(B264*100)&amp;"%. "&amp;A265&amp;": "&amp;B265&amp;". "&amp;A266&amp;": "&amp;B266&amp;". "&amp;A267&amp;": "&amp;(B267*100)&amp;"%. "&amp;A268&amp;": "&amp;B268&amp;". "&amp;A269&amp;": "&amp;B269&amp;". "&amp;A270&amp;": "&amp;B270&amp;". "&amp;A271&amp;": "&amp;B271&amp;".  For more information, refer to: "&amp;B239</f>
        <v>This dataset represents the supply of 1 kilowatt hour of electricity in a residence, by hydrogen conversion in a fuel cell, PEM.  The hydrogen is transported by pipeline over 500 km from regional storage.  The hydrogen is produced by  Auto-thermal reforming,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239" spans="1:22" hidden="1" x14ac:dyDescent="0.2">
      <c r="A239" t="s">
        <v>63</v>
      </c>
      <c r="B239" s="45" t="s">
        <v>660</v>
      </c>
    </row>
    <row r="240" spans="1:22" hidden="1" x14ac:dyDescent="0.2">
      <c r="A240" t="s">
        <v>52</v>
      </c>
      <c r="B240" s="45" t="s">
        <v>64</v>
      </c>
    </row>
    <row r="241" spans="1:2" hidden="1" x14ac:dyDescent="0.2">
      <c r="A241" t="s">
        <v>48</v>
      </c>
      <c r="B241" s="45" t="s">
        <v>962</v>
      </c>
    </row>
    <row r="242" spans="1:2" hidden="1" x14ac:dyDescent="0.2">
      <c r="A242" t="s">
        <v>54</v>
      </c>
      <c r="B242" s="45" t="str">
        <f>INDEX(overview!$B$4:$R$338,MATCH(B241,overview!$A$4:$A$338,0),MATCH(A242,overview!$B$3:$R$3,0))</f>
        <v>electricity, from residential heating system</v>
      </c>
    </row>
    <row r="243" spans="1:2" hidden="1" x14ac:dyDescent="0.2">
      <c r="A243" t="s">
        <v>55</v>
      </c>
      <c r="B243" s="45" t="str">
        <f>INDEX(overview!$B$4:$R$338,MATCH(B241,overview!$A$4:$A$338,0),MATCH(A243,overview!$B$3:$R$3,0))</f>
        <v>kilowatt hour</v>
      </c>
    </row>
    <row r="244" spans="1:2" hidden="1" x14ac:dyDescent="0.2">
      <c r="A244" t="s">
        <v>0</v>
      </c>
      <c r="B244" s="45" t="str">
        <f>INDEX(overview!$B$4:$R$338,MATCH(B241,overview!$A$4:$A$338,0),MATCH(A244,overview!$B$3:$R$3,0))</f>
        <v>Switzerland</v>
      </c>
    </row>
    <row r="245" spans="1:2" hidden="1" x14ac:dyDescent="0.2">
      <c r="A245" t="s">
        <v>1</v>
      </c>
      <c r="B245" s="45">
        <f>INDEX(overview!$B$4:$R$338,MATCH(B241,overview!$A$4:$A$338,0),MATCH(A245,overview!$B$3:$R$3,0))</f>
        <v>2020</v>
      </c>
    </row>
    <row r="246" spans="1:2" hidden="1" x14ac:dyDescent="0.2">
      <c r="A246" t="s">
        <v>2</v>
      </c>
      <c r="B246" s="45" t="str">
        <f>INDEX(overview!$B$4:$R$338,MATCH(B241,overview!$A$4:$A$338,0),MATCH(A246,overview!$B$3:$R$3,0))</f>
        <v>1 kWh electricity</v>
      </c>
    </row>
    <row r="247" spans="1:2" hidden="1" x14ac:dyDescent="0.2">
      <c r="A247" t="s">
        <v>5</v>
      </c>
      <c r="B247" s="45" t="str">
        <f>INDEX(overview!$B$4:$R$338,MATCH(B241,overview!$A$4:$A$338,0),MATCH(A247,overview!$B$3:$R$3,0))</f>
        <v>hydrogen</v>
      </c>
    </row>
    <row r="248" spans="1:2" hidden="1" x14ac:dyDescent="0.2">
      <c r="A248" t="s">
        <v>3</v>
      </c>
      <c r="B248" s="45" t="str">
        <f>INDEX(overview!$B$4:$R$338,MATCH(B241,overview!$A$4:$A$338,0),MATCH(A248,overview!$B$3:$R$3,0))</f>
        <v>conversion</v>
      </c>
    </row>
    <row r="249" spans="1:2" hidden="1" x14ac:dyDescent="0.2">
      <c r="A249" t="s">
        <v>6</v>
      </c>
      <c r="B249" s="45" t="str">
        <f>INDEX(overview!$B$4:$R$338,MATCH(B241,overview!$A$4:$A$338,0),MATCH(A249,overview!$B$3:$R$3,0))</f>
        <v>fuel cell, PEM</v>
      </c>
    </row>
    <row r="250" spans="1:2" hidden="1" x14ac:dyDescent="0.2">
      <c r="A250" t="s">
        <v>39</v>
      </c>
      <c r="B250" s="45" t="str">
        <f>INDEX(overview!$B$4:$R$338,MATCH(B241,overview!$A$4:$A$338,0),MATCH(A250,overview!$B$3:$R$3,0))</f>
        <v>exergy</v>
      </c>
    </row>
    <row r="251" spans="1:2" hidden="1" x14ac:dyDescent="0.2">
      <c r="A251" t="s">
        <v>4</v>
      </c>
      <c r="B251" s="45" t="str">
        <f>INDEX(overview!$B$4:$R$338,MATCH(B241,overview!$A$4:$A$338,0),MATCH(A251,overview!$B$3:$R$3,0))</f>
        <v>pipeline</v>
      </c>
    </row>
    <row r="252" spans="1:2" hidden="1" x14ac:dyDescent="0.2">
      <c r="A252" t="s">
        <v>38</v>
      </c>
      <c r="B252" s="45">
        <f>INDEX(overview!$B$4:$R$338,MATCH(B241,overview!$A$4:$A$338,0),MATCH(A252,overview!$B$3:$R$3,0))</f>
        <v>500</v>
      </c>
    </row>
    <row r="253" spans="1:2" hidden="1" x14ac:dyDescent="0.2">
      <c r="A253" t="s">
        <v>12</v>
      </c>
      <c r="B253" s="45" t="str">
        <f>INDEX(overview!$B$4:$R$338,MATCH(B241,overview!$A$4:$A$338,0),MATCH(A253,overview!$B$3:$R$3,0))</f>
        <v>Pressure vessel for stationary storage</v>
      </c>
    </row>
    <row r="254" spans="1:2" hidden="1" x14ac:dyDescent="0.2">
      <c r="A254" t="s">
        <v>34</v>
      </c>
      <c r="B254" s="45">
        <f>INDEX(overview!$B$4:$R$338,MATCH(B241,overview!$A$4:$A$338,0),MATCH(A254,overview!$B$3:$R$3,0))</f>
        <v>0</v>
      </c>
    </row>
    <row r="255" spans="1:2" hidden="1" x14ac:dyDescent="0.2">
      <c r="A255" t="s">
        <v>15</v>
      </c>
      <c r="B255" s="45" t="str">
        <f>INDEX(overview!$B$4:$R$338,MATCH(B241,overview!$A$4:$A$338,0),MATCH(A255,overview!$B$3:$R$3,0))</f>
        <v>Auto-thermal reforming</v>
      </c>
    </row>
    <row r="256" spans="1:2" hidden="1" x14ac:dyDescent="0.2">
      <c r="A256" t="s">
        <v>14</v>
      </c>
      <c r="B256" s="45" t="str">
        <f>INDEX(overview!$B$4:$R$338,MATCH(B241,overview!$A$4:$A$338,0),MATCH(A256,overview!$B$3:$R$3,0))</f>
        <v>natural gas</v>
      </c>
    </row>
    <row r="257" spans="1:2" hidden="1" x14ac:dyDescent="0.2">
      <c r="A257" t="s">
        <v>26</v>
      </c>
      <c r="B257" s="45" t="str">
        <f>INDEX(overview!$B$4:$R$338,MATCH(B241,overview!$A$4:$A$338,0),MATCH(A257,overview!$B$3:$R$3,0))</f>
        <v>Switzerland</v>
      </c>
    </row>
    <row r="258" spans="1:2" hidden="1" x14ac:dyDescent="0.2">
      <c r="A258" t="s">
        <v>29</v>
      </c>
      <c r="B258" s="45">
        <f>INDEX(overview!$B$4:$R$338,MATCH(B241,overview!$A$4:$A$338,0),MATCH(A258,overview!$B$3:$R$3,0))</f>
        <v>0</v>
      </c>
    </row>
    <row r="259" spans="1:2" hidden="1" x14ac:dyDescent="0.2">
      <c r="A259" t="str">
        <f>IF(B243="megajoule","Heat","Electricity")&amp;" conversion efficiency [% LHV input]"</f>
        <v>Electricity conversion efficiency [% LHV input]</v>
      </c>
      <c r="B259" s="46">
        <f>INDEX(parameters!$D$4:$N$20,MATCH(B247&amp;B249,parameters!$A$4:$A$20,0),MATCH(A259,parameters!$D$3:$N$3,0))</f>
        <v>0.45</v>
      </c>
    </row>
    <row r="260" spans="1:2" hidden="1" x14ac:dyDescent="0.2">
      <c r="A260" t="str">
        <f>IF(B243="megajoule","LHV [MJ/kg]","LHV [kWh/kg]")</f>
        <v>LHV [kWh/kg]</v>
      </c>
      <c r="B260" s="47">
        <f>INDEX(parameters!$D$4:$N$20,MATCH(B247&amp;B249,parameters!$A$4:$A$20,0),MATCH(A260,parameters!$D$3:$N$3,0))</f>
        <v>33.333333333333336</v>
      </c>
    </row>
    <row r="261" spans="1:2" hidden="1" x14ac:dyDescent="0.2">
      <c r="A261" t="s">
        <v>41</v>
      </c>
      <c r="B261" s="48">
        <f>INDEX(parameters!$D$4:$N$20,MATCH(B247&amp;B249,parameters!$A$4:$A$20,0),MATCH(A261,parameters!$D$3:$N$3,0))</f>
        <v>2.6666666666666665E-2</v>
      </c>
    </row>
    <row r="262" spans="1:2" hidden="1" x14ac:dyDescent="0.2">
      <c r="A262" t="s">
        <v>45</v>
      </c>
      <c r="B262" s="46">
        <f>INDEX(parameters!$D$4:$N$20,MATCH(B247&amp;B249,parameters!$A$4:$A$20,0),MATCH(A262,parameters!$D$3:$N$3,0))</f>
        <v>0</v>
      </c>
    </row>
    <row r="263" spans="1:2" hidden="1" x14ac:dyDescent="0.2">
      <c r="A263" t="s">
        <v>46</v>
      </c>
      <c r="B263" s="46">
        <f>INDEX(parameters!$D$4:$N$20,MATCH(B247&amp;B249,parameters!$A$4:$A$20,0),MATCH(A263,parameters!$D$3:$N$3,0))</f>
        <v>1.4999999999999999E-2</v>
      </c>
    </row>
    <row r="264" spans="1:2" hidden="1" x14ac:dyDescent="0.2">
      <c r="A264" t="s">
        <v>43</v>
      </c>
      <c r="B264" s="46">
        <f>INDEX(parameters!$D$4:$N$20,MATCH(B247&amp;B249,parameters!$A$4:$A$20,0),MATCH(A264,parameters!$D$3:$N$3,0))</f>
        <v>0</v>
      </c>
    </row>
    <row r="265" spans="1:2" hidden="1" x14ac:dyDescent="0.2">
      <c r="A265" t="s">
        <v>44</v>
      </c>
      <c r="B265" s="46">
        <f>INDEX(parameters!$D$4:$N$20,MATCH(B247&amp;B249,parameters!$A$4:$A$20,0),MATCH(A265,parameters!$D$3:$N$3,0))</f>
        <v>0</v>
      </c>
    </row>
    <row r="266" spans="1:2" hidden="1" x14ac:dyDescent="0.2">
      <c r="A266" t="s">
        <v>634</v>
      </c>
      <c r="B266" s="47">
        <f>INDEX(parameters!$D$4:$Y$20,MATCH(B247&amp;B249,parameters!$A$4:$A$20,0),MATCH(A266,parameters!$D$3:$Y$3,0))</f>
        <v>1.8947368421052633</v>
      </c>
    </row>
    <row r="267" spans="1:2" hidden="1" x14ac:dyDescent="0.2">
      <c r="A267" t="s">
        <v>82</v>
      </c>
      <c r="B267" s="46">
        <f>IF(B258&lt;&gt;0,VLOOKUP(B258,parameters!A307:B309,2,0),0)</f>
        <v>0</v>
      </c>
    </row>
    <row r="268" spans="1:2" hidden="1" x14ac:dyDescent="0.2">
      <c r="A268" t="s">
        <v>548</v>
      </c>
      <c r="B268" s="50">
        <f>INDEX(parameters!$D$4:$P$20,MATCH(B247&amp;B249,parameters!$A$4:$A$20,0),MATCH(A268,parameters!$D$3:$P$3,0))</f>
        <v>0.8</v>
      </c>
    </row>
    <row r="269" spans="1:2" hidden="1" x14ac:dyDescent="0.2">
      <c r="A269" t="s">
        <v>547</v>
      </c>
      <c r="B269" s="51">
        <f>INDEX(parameters!$D$4:$P$20,MATCH(B247&amp;B249,parameters!$A$4:$A$20,0),MATCH(A269,parameters!$D$3:$P$3,0))</f>
        <v>4.8780487804878048</v>
      </c>
    </row>
    <row r="270" spans="1:2" hidden="1" x14ac:dyDescent="0.2">
      <c r="A270" t="s">
        <v>630</v>
      </c>
      <c r="B270" s="51">
        <f>INDEX(parameters!$D$4:$T$20,MATCH(B247&amp;B249,parameters!$A$4:$A$20,0),MATCH(A270,parameters!$D$3:$T$3,0))</f>
        <v>4100</v>
      </c>
    </row>
    <row r="271" spans="1:2" hidden="1" x14ac:dyDescent="0.2">
      <c r="A271" t="s">
        <v>1005</v>
      </c>
      <c r="B271" s="50">
        <f>IF(B243="megajoule",SUMIFS(allocation!$I$4:$I$30,allocation!$B$4:$B$30,B249,allocation!$C$4:$C$30,B250),SUMIFS(allocation!$J$4:$J$30,allocation!$B$4:$B$30,B249,allocation!$C$4:$C$30,B250))</f>
        <v>0.86066019201025545</v>
      </c>
    </row>
    <row r="272" spans="1:2" hidden="1" x14ac:dyDescent="0.2">
      <c r="A272" t="s">
        <v>1050</v>
      </c>
      <c r="B272" s="51">
        <f>INDEX(parameters!$D$4:$AB$20,MATCH(B247&amp;B249,parameters!$A$4:$A$20,0),MATCH(A272,parameters!$D$3:$AB$3,0))</f>
        <v>10.221606648199446</v>
      </c>
    </row>
    <row r="273" spans="1:22" hidden="1" x14ac:dyDescent="0.2"/>
    <row r="274" spans="1:22" hidden="1" x14ac:dyDescent="0.2">
      <c r="A274" s="3" t="s">
        <v>57</v>
      </c>
    </row>
    <row r="275" spans="1:22" hidden="1" x14ac:dyDescent="0.2">
      <c r="A275" s="2" t="s">
        <v>58</v>
      </c>
      <c r="B275" s="44" t="s">
        <v>59</v>
      </c>
      <c r="C275" s="2" t="s">
        <v>55</v>
      </c>
      <c r="D275" s="2" t="s">
        <v>60</v>
      </c>
      <c r="E275" s="2" t="s">
        <v>52</v>
      </c>
      <c r="F275" s="2" t="s">
        <v>61</v>
      </c>
      <c r="G275" s="2" t="s">
        <v>54</v>
      </c>
      <c r="H275" s="2" t="s">
        <v>87</v>
      </c>
      <c r="I275" s="2" t="s">
        <v>51</v>
      </c>
      <c r="J275" s="2" t="s">
        <v>138</v>
      </c>
      <c r="K275" s="2" t="s">
        <v>136</v>
      </c>
      <c r="L275" s="2" t="s">
        <v>221</v>
      </c>
      <c r="M275" s="2" t="s">
        <v>379</v>
      </c>
      <c r="N275" s="2" t="s">
        <v>1059</v>
      </c>
      <c r="O275" s="2" t="s">
        <v>1060</v>
      </c>
      <c r="P275" s="2" t="s">
        <v>1061</v>
      </c>
      <c r="Q275" s="2" t="s">
        <v>1062</v>
      </c>
      <c r="R275" s="2" t="s">
        <v>1063</v>
      </c>
      <c r="S275" s="2" t="s">
        <v>1064</v>
      </c>
      <c r="T275" s="2" t="s">
        <v>1065</v>
      </c>
      <c r="U275" s="2" t="s">
        <v>380</v>
      </c>
      <c r="V275" s="2" t="s">
        <v>1128</v>
      </c>
    </row>
    <row r="276" spans="1:22" x14ac:dyDescent="0.2">
      <c r="A276" t="str">
        <f>B237</f>
        <v>electricity, residential, by conversion of hydrogen using fuel cell, PEM, allocated by exergy, transported by pipeline, produced by Auto-thermal reforming using natural gas from Switzerland</v>
      </c>
      <c r="B276" s="45">
        <v>1</v>
      </c>
      <c r="C276" t="str">
        <f>B243</f>
        <v>kilowatt hour</v>
      </c>
      <c r="E276" t="str">
        <f>B240</f>
        <v>CH</v>
      </c>
      <c r="F276" t="s">
        <v>62</v>
      </c>
      <c r="G276" t="str">
        <f>B242</f>
        <v>electricity, from residential heating system</v>
      </c>
      <c r="K276" t="str">
        <f>B237</f>
        <v>electricity, residential, by conversion of hydrogen using fuel cell, PEM, allocated by exergy, transported by pipeline, produced by Auto-thermal reforming using natural gas from Switzerland</v>
      </c>
    </row>
    <row r="277" spans="1:22" hidden="1" x14ac:dyDescent="0.2">
      <c r="A277" t="str">
        <f>VLOOKUP(J277,'dataset mapping'!$A$4:$E$69,2,0)</f>
        <v>fuel cell system assembly, 1 kWe, proton exchange membrane (PEM)</v>
      </c>
      <c r="B277" s="52">
        <f>(1/(B266*B270*B269))*B271</f>
        <v>2.2711866178048405E-5</v>
      </c>
      <c r="C277" t="str">
        <f>VLOOKUP(J277,'dataset mapping'!$A$4:$E$69,5,0)</f>
        <v>unit</v>
      </c>
      <c r="E277" t="str">
        <f>VLOOKUP(J277,'dataset mapping'!$A$4:$E$69,4,0)</f>
        <v>GLO</v>
      </c>
      <c r="F277" t="s">
        <v>86</v>
      </c>
      <c r="G277" t="str">
        <f>VLOOKUP(J277,'dataset mapping'!$A$4:$E$69,3,0)</f>
        <v>fuel cell system, 1 kWe, proton exchange membrane (PEM)</v>
      </c>
      <c r="H277" t="s">
        <v>88</v>
      </c>
      <c r="I277" t="s">
        <v>272</v>
      </c>
      <c r="J277" t="s">
        <v>273</v>
      </c>
      <c r="K277" t="str">
        <f>B237</f>
        <v>electricity, residential, by conversion of hydrogen using fuel cell, PEM, allocated by exergy, transported by pipeline, produced by Auto-thermal reforming using natural gas from Switzerland</v>
      </c>
      <c r="L277">
        <f t="shared" ref="L277:L279" si="17">IF(OR(B277&lt;0,B277=0),1,2)</f>
        <v>2</v>
      </c>
      <c r="M277">
        <f t="shared" ref="M277:M279" si="18">IF(L277=2,LN(B277),"")</f>
        <v>-10.692623030936341</v>
      </c>
      <c r="N277">
        <v>1</v>
      </c>
      <c r="O277">
        <v>1.2</v>
      </c>
      <c r="P277">
        <v>1</v>
      </c>
      <c r="Q277">
        <v>1.01</v>
      </c>
      <c r="R277">
        <v>1.2</v>
      </c>
      <c r="S277">
        <v>1.2</v>
      </c>
      <c r="T277">
        <v>3</v>
      </c>
      <c r="U277">
        <f t="shared" ref="U277:U279" si="19">LN(SQRT(EXP(
SQRT(
+POWER(LN(N277),2)
+POWER(LN(O277),2)
+POWER(LN(P277),2)
+POWER(LN(Q277),2)
+POWER(LN(R277),2)
+POWER(LN(S277),2)
+POWER(LN(T277),2)
)
)))</f>
        <v>0.57157051623399524</v>
      </c>
    </row>
    <row r="278" spans="1:22" hidden="1" x14ac:dyDescent="0.2">
      <c r="A278" s="45" t="str">
        <f>"hydrogen supply, transported by "&amp;B251&amp;", produced by "&amp;B255&amp;" using "&amp;B256&amp;" from "&amp;B257</f>
        <v>hydrogen supply, transported by pipeline, produced by Auto-thermal reforming using natural gas from Switzerland</v>
      </c>
      <c r="B278" s="53">
        <f>(B276/B260)/B259*B271</f>
        <v>5.7377346134017029E-2</v>
      </c>
      <c r="C278" t="s">
        <v>56</v>
      </c>
      <c r="E278" t="s">
        <v>64</v>
      </c>
      <c r="F278" t="s">
        <v>86</v>
      </c>
      <c r="G278" t="s">
        <v>1129</v>
      </c>
      <c r="H278" t="s">
        <v>76</v>
      </c>
      <c r="I278" t="s">
        <v>1054</v>
      </c>
      <c r="J278" t="s">
        <v>307</v>
      </c>
      <c r="K278" t="str">
        <f>B237</f>
        <v>electricity, residential, by conversion of hydrogen using fuel cell, PEM, allocated by exergy, transported by pipeline, produced by Auto-thermal reforming using natural gas from Switzerland</v>
      </c>
      <c r="L278">
        <f t="shared" si="17"/>
        <v>2</v>
      </c>
      <c r="M278">
        <f t="shared" si="18"/>
        <v>-2.8581057202127536</v>
      </c>
      <c r="N278">
        <v>1</v>
      </c>
      <c r="O278">
        <v>1.2</v>
      </c>
      <c r="P278">
        <v>1</v>
      </c>
      <c r="Q278">
        <v>1.01</v>
      </c>
      <c r="R278">
        <v>1.2</v>
      </c>
      <c r="S278">
        <v>1.2</v>
      </c>
      <c r="T278">
        <v>1.05</v>
      </c>
      <c r="U278">
        <f t="shared" si="19"/>
        <v>0.15984597228197622</v>
      </c>
    </row>
    <row r="279" spans="1:22" hidden="1" x14ac:dyDescent="0.2">
      <c r="A279" t="s">
        <v>134</v>
      </c>
      <c r="B279" s="53">
        <f>B278*9</f>
        <v>0.51639611520615325</v>
      </c>
      <c r="C279" t="s">
        <v>56</v>
      </c>
      <c r="D279" t="s">
        <v>100</v>
      </c>
      <c r="F279" t="s">
        <v>99</v>
      </c>
      <c r="H279" t="s">
        <v>131</v>
      </c>
      <c r="I279" t="s">
        <v>289</v>
      </c>
      <c r="K279" t="str">
        <f>B237</f>
        <v>electricity, residential, by conversion of hydrogen using fuel cell, PEM, allocated by exergy, transported by pipeline, produced by Auto-thermal reforming using natural gas from Switzerland</v>
      </c>
      <c r="L279">
        <f t="shared" si="17"/>
        <v>2</v>
      </c>
      <c r="M279">
        <f t="shared" si="18"/>
        <v>-0.6608811428765341</v>
      </c>
      <c r="N279">
        <v>1</v>
      </c>
      <c r="O279">
        <v>1.2</v>
      </c>
      <c r="P279">
        <v>1</v>
      </c>
      <c r="Q279">
        <v>1.01</v>
      </c>
      <c r="R279">
        <v>1.2</v>
      </c>
      <c r="S279">
        <v>1.2</v>
      </c>
      <c r="T279">
        <v>1.05</v>
      </c>
      <c r="U279">
        <f t="shared" si="19"/>
        <v>0.15984597228197622</v>
      </c>
    </row>
    <row r="280" spans="1:22" hidden="1" x14ac:dyDescent="0.2"/>
    <row r="281" spans="1:22" hidden="1" x14ac:dyDescent="0.2">
      <c r="A281" s="2" t="s">
        <v>50</v>
      </c>
      <c r="B281" s="44" t="str">
        <f>IF(B287="megajoule","heat","electricity")&amp;", residential, by "&amp;B292&amp;" of "&amp;B291&amp;" using "&amp;B293&amp;IF(B294&lt;&gt;0,", allocated by "&amp;B294,"")&amp;", transported by "&amp;B295&amp;", produced by "&amp;B299&amp;" using "&amp;B300&amp;" from "&amp;B301</f>
        <v>electricity, residential, by conversion of hydrogen using fuel cell, SOFC, allocated by exergy, transported by pipeline, produced by Auto-thermal reforming using natural gas from Switzerland</v>
      </c>
    </row>
    <row r="282" spans="1:22" hidden="1" x14ac:dyDescent="0.2">
      <c r="A282" t="s">
        <v>51</v>
      </c>
      <c r="B282" s="45" t="str">
        <f>"This dataset represents the supply of 1 "&amp;IF(B287="megajoule","megajoule of heat","kilowatt hour of electricity")&amp;" in a residence, by "&amp;B291&amp;" "&amp;B292&amp;" in a "&amp;B293&amp;". "&amp;" The hydrogen is transported by "&amp;B295&amp;" over "&amp;B296&amp;" km from regional storage. "&amp;" The "&amp;B291&amp;" is produced by  "&amp;B299&amp;", with "&amp;B300&amp;" from "&amp;B301&amp;" as feedstock. "&amp;A303&amp;": "&amp;(B303*100)&amp;"%. "&amp;A304&amp;": "&amp;B304&amp;". "&amp;A305&amp;": "&amp;B305&amp;". "&amp;A306&amp;": "&amp;(B306*100)&amp;"%. "&amp;A307&amp;": "&amp;(B307*100)&amp;"%. "&amp;A308&amp;": "&amp;(B308*100)&amp;"%. "&amp;A309&amp;": "&amp;B309&amp;". "&amp;A310&amp;": "&amp;B310&amp;". "&amp;A311&amp;": "&amp;(B311*100)&amp;"%. "&amp;A312&amp;": "&amp;B312&amp;". "&amp;A313&amp;": "&amp;B313&amp;". "&amp;A314&amp;": "&amp;B314&amp;". "&amp;A315&amp;": "&amp;B315&amp;".  For more information, refer to: "&amp;B283</f>
        <v>This dataset represents the supply of 1 kilowatt hour of electricity in a residence, by hydrogen conversion in a fuel cell, SOFC.  The hydrogen is transported by pipeline over 500 km from regional storage.  The hydrogen is produced by  Auto-thermal reforming,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283" spans="1:22" hidden="1" x14ac:dyDescent="0.2">
      <c r="A283" t="s">
        <v>63</v>
      </c>
      <c r="B283" s="45" t="s">
        <v>660</v>
      </c>
    </row>
    <row r="284" spans="1:22" hidden="1" x14ac:dyDescent="0.2">
      <c r="A284" t="s">
        <v>52</v>
      </c>
      <c r="B284" s="45" t="s">
        <v>64</v>
      </c>
    </row>
    <row r="285" spans="1:22" hidden="1" x14ac:dyDescent="0.2">
      <c r="A285" t="s">
        <v>48</v>
      </c>
      <c r="B285" s="45" t="s">
        <v>963</v>
      </c>
    </row>
    <row r="286" spans="1:22" hidden="1" x14ac:dyDescent="0.2">
      <c r="A286" t="s">
        <v>54</v>
      </c>
      <c r="B286" s="45" t="str">
        <f>INDEX(overview!$B$4:$R$338,MATCH(B285,overview!$A$4:$A$338,0),MATCH(A286,overview!$B$3:$R$3,0))</f>
        <v>electricity, from residential heating system</v>
      </c>
    </row>
    <row r="287" spans="1:22" hidden="1" x14ac:dyDescent="0.2">
      <c r="A287" t="s">
        <v>55</v>
      </c>
      <c r="B287" s="45" t="str">
        <f>INDEX(overview!$B$4:$R$338,MATCH(B285,overview!$A$4:$A$338,0),MATCH(A287,overview!$B$3:$R$3,0))</f>
        <v>kilowatt hour</v>
      </c>
    </row>
    <row r="288" spans="1:22" hidden="1" x14ac:dyDescent="0.2">
      <c r="A288" t="s">
        <v>0</v>
      </c>
      <c r="B288" s="45" t="str">
        <f>INDEX(overview!$B$4:$R$338,MATCH(B285,overview!$A$4:$A$338,0),MATCH(A288,overview!$B$3:$R$3,0))</f>
        <v>Switzerland</v>
      </c>
    </row>
    <row r="289" spans="1:2" hidden="1" x14ac:dyDescent="0.2">
      <c r="A289" t="s">
        <v>1</v>
      </c>
      <c r="B289" s="45">
        <f>INDEX(overview!$B$4:$R$338,MATCH(B285,overview!$A$4:$A$338,0),MATCH(A289,overview!$B$3:$R$3,0))</f>
        <v>2020</v>
      </c>
    </row>
    <row r="290" spans="1:2" hidden="1" x14ac:dyDescent="0.2">
      <c r="A290" t="s">
        <v>2</v>
      </c>
      <c r="B290" s="45" t="str">
        <f>INDEX(overview!$B$4:$R$338,MATCH(B285,overview!$A$4:$A$338,0),MATCH(A290,overview!$B$3:$R$3,0))</f>
        <v>1 kWh electricity</v>
      </c>
    </row>
    <row r="291" spans="1:2" hidden="1" x14ac:dyDescent="0.2">
      <c r="A291" t="s">
        <v>5</v>
      </c>
      <c r="B291" s="45" t="str">
        <f>INDEX(overview!$B$4:$R$338,MATCH(B285,overview!$A$4:$A$338,0),MATCH(A291,overview!$B$3:$R$3,0))</f>
        <v>hydrogen</v>
      </c>
    </row>
    <row r="292" spans="1:2" hidden="1" x14ac:dyDescent="0.2">
      <c r="A292" t="s">
        <v>3</v>
      </c>
      <c r="B292" s="45" t="str">
        <f>INDEX(overview!$B$4:$R$338,MATCH(B285,overview!$A$4:$A$338,0),MATCH(A292,overview!$B$3:$R$3,0))</f>
        <v>conversion</v>
      </c>
    </row>
    <row r="293" spans="1:2" hidden="1" x14ac:dyDescent="0.2">
      <c r="A293" t="s">
        <v>6</v>
      </c>
      <c r="B293" s="45" t="str">
        <f>INDEX(overview!$B$4:$R$338,MATCH(B285,overview!$A$4:$A$338,0),MATCH(A293,overview!$B$3:$R$3,0))</f>
        <v>fuel cell, SOFC</v>
      </c>
    </row>
    <row r="294" spans="1:2" hidden="1" x14ac:dyDescent="0.2">
      <c r="A294" t="s">
        <v>39</v>
      </c>
      <c r="B294" s="45" t="str">
        <f>INDEX(overview!$B$4:$R$338,MATCH(B285,overview!$A$4:$A$338,0),MATCH(A294,overview!$B$3:$R$3,0))</f>
        <v>exergy</v>
      </c>
    </row>
    <row r="295" spans="1:2" hidden="1" x14ac:dyDescent="0.2">
      <c r="A295" t="s">
        <v>4</v>
      </c>
      <c r="B295" s="45" t="str">
        <f>INDEX(overview!$B$4:$R$338,MATCH(B285,overview!$A$4:$A$338,0),MATCH(A295,overview!$B$3:$R$3,0))</f>
        <v>pipeline</v>
      </c>
    </row>
    <row r="296" spans="1:2" hidden="1" x14ac:dyDescent="0.2">
      <c r="A296" t="s">
        <v>38</v>
      </c>
      <c r="B296" s="45">
        <f>INDEX(overview!$B$4:$R$338,MATCH(B285,overview!$A$4:$A$338,0),MATCH(A296,overview!$B$3:$R$3,0))</f>
        <v>500</v>
      </c>
    </row>
    <row r="297" spans="1:2" hidden="1" x14ac:dyDescent="0.2">
      <c r="A297" t="s">
        <v>12</v>
      </c>
      <c r="B297" s="45" t="str">
        <f>INDEX(overview!$B$4:$R$338,MATCH(B285,overview!$A$4:$A$338,0),MATCH(A297,overview!$B$3:$R$3,0))</f>
        <v>Pressure vessel for stationary storage</v>
      </c>
    </row>
    <row r="298" spans="1:2" hidden="1" x14ac:dyDescent="0.2">
      <c r="A298" t="s">
        <v>34</v>
      </c>
      <c r="B298" s="45">
        <f>INDEX(overview!$B$4:$R$338,MATCH(B285,overview!$A$4:$A$338,0),MATCH(A298,overview!$B$3:$R$3,0))</f>
        <v>0</v>
      </c>
    </row>
    <row r="299" spans="1:2" hidden="1" x14ac:dyDescent="0.2">
      <c r="A299" t="s">
        <v>15</v>
      </c>
      <c r="B299" s="45" t="str">
        <f>INDEX(overview!$B$4:$R$338,MATCH(B285,overview!$A$4:$A$338,0),MATCH(A299,overview!$B$3:$R$3,0))</f>
        <v>Auto-thermal reforming</v>
      </c>
    </row>
    <row r="300" spans="1:2" hidden="1" x14ac:dyDescent="0.2">
      <c r="A300" t="s">
        <v>14</v>
      </c>
      <c r="B300" s="45" t="str">
        <f>INDEX(overview!$B$4:$R$338,MATCH(B285,overview!$A$4:$A$338,0),MATCH(A300,overview!$B$3:$R$3,0))</f>
        <v>natural gas</v>
      </c>
    </row>
    <row r="301" spans="1:2" hidden="1" x14ac:dyDescent="0.2">
      <c r="A301" t="s">
        <v>26</v>
      </c>
      <c r="B301" s="45" t="str">
        <f>INDEX(overview!$B$4:$R$338,MATCH(B285,overview!$A$4:$A$338,0),MATCH(A301,overview!$B$3:$R$3,0))</f>
        <v>Switzerland</v>
      </c>
    </row>
    <row r="302" spans="1:2" hidden="1" x14ac:dyDescent="0.2">
      <c r="A302" t="s">
        <v>29</v>
      </c>
      <c r="B302" s="45">
        <f>INDEX(overview!$B$4:$R$338,MATCH(B285,overview!$A$4:$A$338,0),MATCH(A302,overview!$B$3:$R$3,0))</f>
        <v>0</v>
      </c>
    </row>
    <row r="303" spans="1:2" hidden="1" x14ac:dyDescent="0.2">
      <c r="A303" t="str">
        <f>IF(B287="megajoule","Heat","Electricity")&amp;" conversion efficiency [% LHV input]"</f>
        <v>Electricity conversion efficiency [% LHV input]</v>
      </c>
      <c r="B303" s="46">
        <f>INDEX(parameters!$D$4:$N$20,MATCH(B291&amp;B293,parameters!$A$4:$A$20,0),MATCH(A303,parameters!$D$3:$N$3,0))</f>
        <v>0.47</v>
      </c>
    </row>
    <row r="304" spans="1:2" hidden="1" x14ac:dyDescent="0.2">
      <c r="A304" t="str">
        <f>IF(B287="megajoule","LHV [MJ/kg]","LHV [kWh/kg]")</f>
        <v>LHV [kWh/kg]</v>
      </c>
      <c r="B304" s="47">
        <f>INDEX(parameters!$D$4:$N$20,MATCH(B291&amp;B293,parameters!$A$4:$A$20,0),MATCH(A304,parameters!$D$3:$N$3,0))</f>
        <v>33.333333333333336</v>
      </c>
    </row>
    <row r="305" spans="1:22" hidden="1" x14ac:dyDescent="0.2">
      <c r="A305" t="s">
        <v>41</v>
      </c>
      <c r="B305" s="48">
        <f>INDEX(parameters!$D$4:$N$20,MATCH(B291&amp;B293,parameters!$A$4:$A$20,0),MATCH(A305,parameters!$D$3:$N$3,0))</f>
        <v>2.6666666666666665E-2</v>
      </c>
    </row>
    <row r="306" spans="1:22" hidden="1" x14ac:dyDescent="0.2">
      <c r="A306" t="s">
        <v>45</v>
      </c>
      <c r="B306" s="46">
        <f>INDEX(parameters!$D$4:$N$20,MATCH(B291&amp;B293,parameters!$A$4:$A$20,0),MATCH(A306,parameters!$D$3:$N$3,0))</f>
        <v>0</v>
      </c>
    </row>
    <row r="307" spans="1:22" hidden="1" x14ac:dyDescent="0.2">
      <c r="A307" t="s">
        <v>46</v>
      </c>
      <c r="B307" s="46">
        <f>INDEX(parameters!$D$4:$N$20,MATCH(B291&amp;B293,parameters!$A$4:$A$20,0),MATCH(A307,parameters!$D$3:$N$3,0))</f>
        <v>1.4999999999999999E-2</v>
      </c>
    </row>
    <row r="308" spans="1:22" hidden="1" x14ac:dyDescent="0.2">
      <c r="A308" t="s">
        <v>43</v>
      </c>
      <c r="B308" s="46">
        <f>INDEX(parameters!$D$4:$N$20,MATCH(B291&amp;B293,parameters!$A$4:$A$20,0),MATCH(A308,parameters!$D$3:$N$3,0))</f>
        <v>0</v>
      </c>
    </row>
    <row r="309" spans="1:22" hidden="1" x14ac:dyDescent="0.2">
      <c r="A309" t="s">
        <v>44</v>
      </c>
      <c r="B309" s="46">
        <f>INDEX(parameters!$D$4:$N$20,MATCH(B291&amp;B293,parameters!$A$4:$A$20,0),MATCH(A309,parameters!$D$3:$N$3,0))</f>
        <v>0</v>
      </c>
    </row>
    <row r="310" spans="1:22" hidden="1" x14ac:dyDescent="0.2">
      <c r="A310" t="s">
        <v>634</v>
      </c>
      <c r="B310" s="47">
        <f>INDEX(parameters!$D$4:$Y$20,MATCH(B291&amp;B293,parameters!$A$4:$A$20,0),MATCH(A310,parameters!$D$3:$Y$3,0))</f>
        <v>225</v>
      </c>
      <c r="D310" s="8"/>
    </row>
    <row r="311" spans="1:22" hidden="1" x14ac:dyDescent="0.2">
      <c r="A311" t="s">
        <v>82</v>
      </c>
      <c r="B311" s="46">
        <f>IF(B302&lt;&gt;0,VLOOKUP(B302,parameters!A356:B358,2,0),0)</f>
        <v>0</v>
      </c>
    </row>
    <row r="312" spans="1:22" hidden="1" x14ac:dyDescent="0.2">
      <c r="A312" t="s">
        <v>548</v>
      </c>
      <c r="B312" s="50">
        <f>INDEX(parameters!$D$4:$P$20,MATCH(B291&amp;B293,parameters!$A$4:$A$20,0),MATCH(A312,parameters!$D$3:$P$3,0))</f>
        <v>100</v>
      </c>
    </row>
    <row r="313" spans="1:22" hidden="1" x14ac:dyDescent="0.2">
      <c r="A313" t="s">
        <v>547</v>
      </c>
      <c r="B313" s="51">
        <f>INDEX(parameters!$D$4:$P$20,MATCH(B291&amp;B293,parameters!$A$4:$A$20,0),MATCH(A313,parameters!$D$3:$P$3,0))</f>
        <v>6</v>
      </c>
    </row>
    <row r="314" spans="1:22" hidden="1" x14ac:dyDescent="0.2">
      <c r="A314" t="s">
        <v>630</v>
      </c>
      <c r="B314" s="51">
        <f>INDEX(parameters!$D$4:$T$20,MATCH(B291&amp;B293,parameters!$A$4:$A$20,0),MATCH(A314,parameters!$D$3:$T$3,0))</f>
        <v>4100</v>
      </c>
    </row>
    <row r="315" spans="1:22" hidden="1" x14ac:dyDescent="0.2">
      <c r="A315" t="s">
        <v>1005</v>
      </c>
      <c r="B315" s="50">
        <f>IF(B287="megajoule",SUMIFS(allocation!$I$4:$I$30,allocation!$B$4:$B$30,B293,allocation!$C$4:$C$30,B294),SUMIFS(allocation!$J$4:$J$30,allocation!$B$4:$B$30,B293,allocation!$C$4:$C$30,B294))</f>
        <v>0.86412493489600906</v>
      </c>
    </row>
    <row r="316" spans="1:22" hidden="1" x14ac:dyDescent="0.2">
      <c r="A316" t="s">
        <v>1050</v>
      </c>
      <c r="B316" s="51">
        <f>INDEX(parameters!$D$4:$AB$20,MATCH(B291&amp;B293,parameters!$A$4:$A$20,0),MATCH(A316,parameters!$D$3:$AB$3,0))</f>
        <v>1153.1249999999998</v>
      </c>
    </row>
    <row r="317" spans="1:22" hidden="1" x14ac:dyDescent="0.2"/>
    <row r="318" spans="1:22" hidden="1" x14ac:dyDescent="0.2">
      <c r="A318" s="3" t="s">
        <v>57</v>
      </c>
    </row>
    <row r="319" spans="1:22" hidden="1" x14ac:dyDescent="0.2">
      <c r="A319" s="2" t="s">
        <v>58</v>
      </c>
      <c r="B319" s="44" t="s">
        <v>59</v>
      </c>
      <c r="C319" s="2" t="s">
        <v>55</v>
      </c>
      <c r="D319" s="2" t="s">
        <v>60</v>
      </c>
      <c r="E319" s="2" t="s">
        <v>52</v>
      </c>
      <c r="F319" s="2" t="s">
        <v>61</v>
      </c>
      <c r="G319" s="2" t="s">
        <v>54</v>
      </c>
      <c r="H319" s="2" t="s">
        <v>87</v>
      </c>
      <c r="I319" s="2" t="s">
        <v>51</v>
      </c>
      <c r="J319" s="2" t="s">
        <v>138</v>
      </c>
      <c r="K319" s="2" t="s">
        <v>136</v>
      </c>
      <c r="L319" s="2" t="s">
        <v>221</v>
      </c>
      <c r="M319" s="2" t="s">
        <v>379</v>
      </c>
      <c r="N319" s="2" t="s">
        <v>1059</v>
      </c>
      <c r="O319" s="2" t="s">
        <v>1060</v>
      </c>
      <c r="P319" s="2" t="s">
        <v>1061</v>
      </c>
      <c r="Q319" s="2" t="s">
        <v>1062</v>
      </c>
      <c r="R319" s="2" t="s">
        <v>1063</v>
      </c>
      <c r="S319" s="2" t="s">
        <v>1064</v>
      </c>
      <c r="T319" s="2" t="s">
        <v>1065</v>
      </c>
      <c r="U319" s="2" t="s">
        <v>380</v>
      </c>
      <c r="V319" s="2" t="s">
        <v>1128</v>
      </c>
    </row>
    <row r="320" spans="1:22" x14ac:dyDescent="0.2">
      <c r="A320" t="str">
        <f>B281</f>
        <v>electricity, residential, by conversion of hydrogen using fuel cell, SOFC, allocated by exergy, transported by pipeline, produced by Auto-thermal reforming using natural gas from Switzerland</v>
      </c>
      <c r="B320" s="45">
        <v>1</v>
      </c>
      <c r="C320" t="str">
        <f>B287</f>
        <v>kilowatt hour</v>
      </c>
      <c r="E320" t="str">
        <f>B284</f>
        <v>CH</v>
      </c>
      <c r="F320" t="s">
        <v>62</v>
      </c>
      <c r="G320" t="str">
        <f>B286</f>
        <v>electricity, from residential heating system</v>
      </c>
      <c r="K320" t="str">
        <f>B281</f>
        <v>electricity, residential, by conversion of hydrogen using fuel cell, SOFC, allocated by exergy, transported by pipeline, produced by Auto-thermal reforming using natural gas from Switzerland</v>
      </c>
    </row>
    <row r="321" spans="1:21" hidden="1" x14ac:dyDescent="0.2">
      <c r="A321" t="str">
        <f>VLOOKUP(J321,'dataset mapping'!$A$4:$E$69,2,0)</f>
        <v>fuel cell production, stack solid oxide, 125kW electrical, future</v>
      </c>
      <c r="B321" s="52">
        <f>1/(62*1000000)/B303*SUMIFS(allocation!$I$4:$I$30,allocation!$B$4:$B$30,B293,allocation!$C$4:$C$30,B294)</f>
        <v>4.6628368258061427E-9</v>
      </c>
      <c r="C321" t="str">
        <f>VLOOKUP(J321,'dataset mapping'!$A$4:$E$69,5,0)</f>
        <v>unit</v>
      </c>
      <c r="E321" t="str">
        <f>VLOOKUP(J321,'dataset mapping'!$A$4:$E$69,4,0)</f>
        <v>CH</v>
      </c>
      <c r="F321" t="s">
        <v>86</v>
      </c>
      <c r="G321" t="str">
        <f>VLOOKUP(J321,'dataset mapping'!$A$4:$E$69,3,0)</f>
        <v>fuel cell, stack solid oxide, 125kW electrical, future</v>
      </c>
      <c r="H321" t="s">
        <v>88</v>
      </c>
      <c r="I321" t="s">
        <v>277</v>
      </c>
      <c r="J321" t="s">
        <v>274</v>
      </c>
      <c r="K321" t="str">
        <f>B281</f>
        <v>electricity, residential, by conversion of hydrogen using fuel cell, SOFC, allocated by exergy, transported by pipeline, produced by Auto-thermal reforming using natural gas from Switzerland</v>
      </c>
      <c r="L321">
        <f t="shared" ref="L321:L326" si="20">IF(OR(B321&lt;0,B321=0),1,2)</f>
        <v>2</v>
      </c>
      <c r="M321">
        <f t="shared" ref="M321:M326" si="21">IF(L321=2,LN(B321),"")</f>
        <v>-19.183641813126002</v>
      </c>
      <c r="N321">
        <v>1</v>
      </c>
      <c r="O321">
        <v>1.2</v>
      </c>
      <c r="P321">
        <v>1</v>
      </c>
      <c r="Q321">
        <v>1.01</v>
      </c>
      <c r="R321">
        <v>1.2</v>
      </c>
      <c r="S321">
        <v>1.2</v>
      </c>
      <c r="T321">
        <v>3</v>
      </c>
      <c r="U321">
        <f t="shared" ref="U321:U326" si="22">LN(SQRT(EXP(
SQRT(
+POWER(LN(N321),2)
+POWER(LN(O321),2)
+POWER(LN(P321),2)
+POWER(LN(Q321),2)
+POWER(LN(R321),2)
+POWER(LN(S321),2)
+POWER(LN(T321),2)
)
)))</f>
        <v>0.57157051623399524</v>
      </c>
    </row>
    <row r="322" spans="1:21" hidden="1" x14ac:dyDescent="0.2">
      <c r="A322" t="s">
        <v>283</v>
      </c>
      <c r="B322" s="52">
        <f>0.000000145/B303*SUMIFS(allocation!$I$4:$I$30,allocation!$B$4:$B$30,B293,allocation!$C$4:$C$30,B294)</f>
        <v>4.1918903063997216E-8</v>
      </c>
      <c r="C322" t="s">
        <v>55</v>
      </c>
      <c r="E322" t="s">
        <v>64</v>
      </c>
      <c r="F322" t="s">
        <v>86</v>
      </c>
      <c r="G322" t="s">
        <v>284</v>
      </c>
      <c r="H322" t="s">
        <v>88</v>
      </c>
      <c r="I322" t="s">
        <v>277</v>
      </c>
      <c r="K322" t="str">
        <f>B281</f>
        <v>electricity, residential, by conversion of hydrogen using fuel cell, SOFC, allocated by exergy, transported by pipeline, produced by Auto-thermal reforming using natural gas from Switzerland</v>
      </c>
      <c r="L322">
        <f t="shared" si="20"/>
        <v>2</v>
      </c>
      <c r="M322">
        <f t="shared" si="21"/>
        <v>-16.987528964642475</v>
      </c>
      <c r="N322">
        <v>1</v>
      </c>
      <c r="O322">
        <v>1.2</v>
      </c>
      <c r="P322">
        <v>1</v>
      </c>
      <c r="Q322">
        <v>1.01</v>
      </c>
      <c r="R322">
        <v>1.2</v>
      </c>
      <c r="S322">
        <v>1.2</v>
      </c>
      <c r="T322">
        <v>3</v>
      </c>
      <c r="U322">
        <f t="shared" si="22"/>
        <v>0.57157051623399524</v>
      </c>
    </row>
    <row r="323" spans="1:21" hidden="1" x14ac:dyDescent="0.2">
      <c r="A323" t="s">
        <v>285</v>
      </c>
      <c r="B323" s="52">
        <f>0.0000000115/B303*SUMIFS(allocation!$I$4:$I$30,allocation!$B$4:$B$30,B293,allocation!$C$4:$C$30,B294)</f>
        <v>3.3246026567997794E-9</v>
      </c>
      <c r="C323" t="s">
        <v>55</v>
      </c>
      <c r="E323" t="s">
        <v>90</v>
      </c>
      <c r="F323" t="s">
        <v>86</v>
      </c>
      <c r="G323" t="s">
        <v>286</v>
      </c>
      <c r="H323" t="s">
        <v>88</v>
      </c>
      <c r="K323" t="str">
        <f>B281</f>
        <v>electricity, residential, by conversion of hydrogen using fuel cell, SOFC, allocated by exergy, transported by pipeline, produced by Auto-thermal reforming using natural gas from Switzerland</v>
      </c>
      <c r="L323">
        <f t="shared" si="20"/>
        <v>2</v>
      </c>
      <c r="M323">
        <f t="shared" si="21"/>
        <v>-19.521915671693844</v>
      </c>
      <c r="N323">
        <v>1</v>
      </c>
      <c r="O323">
        <v>1.2</v>
      </c>
      <c r="P323">
        <v>1</v>
      </c>
      <c r="Q323">
        <v>1.01</v>
      </c>
      <c r="R323">
        <v>1.2</v>
      </c>
      <c r="S323">
        <v>1.2</v>
      </c>
      <c r="T323">
        <v>3</v>
      </c>
      <c r="U323">
        <f t="shared" si="22"/>
        <v>0.57157051623399524</v>
      </c>
    </row>
    <row r="324" spans="1:21" hidden="1" x14ac:dyDescent="0.2">
      <c r="A324" t="s">
        <v>288</v>
      </c>
      <c r="B324" s="52">
        <f>0.000024/B303*SUMIFS(allocation!$I$4:$I$30,allocation!$B$4:$B$30,B293,allocation!$C$4:$C$30,B294)</f>
        <v>6.9383011967995388E-6</v>
      </c>
      <c r="C324" t="s">
        <v>56</v>
      </c>
      <c r="E324" t="s">
        <v>64</v>
      </c>
      <c r="F324" t="s">
        <v>86</v>
      </c>
      <c r="G324" t="s">
        <v>287</v>
      </c>
      <c r="H324" t="s">
        <v>88</v>
      </c>
      <c r="K324" t="str">
        <f>B281</f>
        <v>electricity, residential, by conversion of hydrogen using fuel cell, SOFC, allocated by exergy, transported by pipeline, produced by Auto-thermal reforming using natural gas from Switzerland</v>
      </c>
      <c r="L324">
        <f t="shared" si="20"/>
        <v>2</v>
      </c>
      <c r="M324">
        <f t="shared" si="21"/>
        <v>-11.878453597732966</v>
      </c>
      <c r="N324">
        <v>1</v>
      </c>
      <c r="O324">
        <v>1.2</v>
      </c>
      <c r="P324">
        <v>1</v>
      </c>
      <c r="Q324">
        <v>1.01</v>
      </c>
      <c r="R324">
        <v>1.2</v>
      </c>
      <c r="S324">
        <v>1.2</v>
      </c>
      <c r="T324">
        <v>1.05</v>
      </c>
      <c r="U324">
        <f t="shared" si="22"/>
        <v>0.15984597228197622</v>
      </c>
    </row>
    <row r="325" spans="1:21" hidden="1" x14ac:dyDescent="0.2">
      <c r="A325" s="45" t="str">
        <f>"hydrogen supply, transported by "&amp;B295&amp;", produced by "&amp;B299&amp;" using "&amp;B300&amp;" from "&amp;B301</f>
        <v>hydrogen supply, transported by pipeline, produced by Auto-thermal reforming using natural gas from Switzerland</v>
      </c>
      <c r="B325" s="53">
        <f>(B320/B304)/B303*B315</f>
        <v>5.515691073804313E-2</v>
      </c>
      <c r="C325" t="s">
        <v>56</v>
      </c>
      <c r="E325" t="s">
        <v>64</v>
      </c>
      <c r="F325" t="s">
        <v>86</v>
      </c>
      <c r="G325" t="s">
        <v>1129</v>
      </c>
      <c r="H325" t="s">
        <v>76</v>
      </c>
      <c r="I325" t="s">
        <v>1054</v>
      </c>
      <c r="J325" t="s">
        <v>307</v>
      </c>
      <c r="K325" t="str">
        <f>B281</f>
        <v>electricity, residential, by conversion of hydrogen using fuel cell, SOFC, allocated by exergy, transported by pipeline, produced by Auto-thermal reforming using natural gas from Switzerland</v>
      </c>
      <c r="L325">
        <f t="shared" si="20"/>
        <v>2</v>
      </c>
      <c r="M325">
        <f t="shared" si="21"/>
        <v>-2.8975732330996009</v>
      </c>
      <c r="N325">
        <v>1</v>
      </c>
      <c r="O325">
        <v>1.2</v>
      </c>
      <c r="P325">
        <v>1</v>
      </c>
      <c r="Q325">
        <v>1.01</v>
      </c>
      <c r="R325">
        <v>1.2</v>
      </c>
      <c r="S325">
        <v>1.2</v>
      </c>
      <c r="T325">
        <v>1.05</v>
      </c>
      <c r="U325">
        <f t="shared" si="22"/>
        <v>0.15984597228197622</v>
      </c>
    </row>
    <row r="326" spans="1:21" hidden="1" x14ac:dyDescent="0.2">
      <c r="A326" t="s">
        <v>134</v>
      </c>
      <c r="B326" s="45">
        <f>B325*9</f>
        <v>0.49641219664238817</v>
      </c>
      <c r="C326" t="s">
        <v>56</v>
      </c>
      <c r="D326" t="s">
        <v>100</v>
      </c>
      <c r="F326" t="s">
        <v>99</v>
      </c>
      <c r="H326" t="s">
        <v>131</v>
      </c>
      <c r="I326" t="s">
        <v>289</v>
      </c>
      <c r="K326" t="str">
        <f>B281</f>
        <v>electricity, residential, by conversion of hydrogen using fuel cell, SOFC, allocated by exergy, transported by pipeline, produced by Auto-thermal reforming using natural gas from Switzerland</v>
      </c>
      <c r="L326">
        <f t="shared" si="20"/>
        <v>2</v>
      </c>
      <c r="M326">
        <f t="shared" si="21"/>
        <v>-0.70034865576338168</v>
      </c>
      <c r="N326">
        <v>1</v>
      </c>
      <c r="O326">
        <v>1.2</v>
      </c>
      <c r="P326">
        <v>1</v>
      </c>
      <c r="Q326">
        <v>1.01</v>
      </c>
      <c r="R326">
        <v>1.2</v>
      </c>
      <c r="S326">
        <v>1.2</v>
      </c>
      <c r="T326">
        <v>1.05</v>
      </c>
      <c r="U326">
        <f t="shared" si="22"/>
        <v>0.15984597228197622</v>
      </c>
    </row>
    <row r="327" spans="1:21" hidden="1" x14ac:dyDescent="0.2"/>
    <row r="328" spans="1:21" hidden="1" x14ac:dyDescent="0.2">
      <c r="A328" s="2" t="s">
        <v>50</v>
      </c>
      <c r="B328" s="44" t="str">
        <f>IF(B334="megajoule","heat","electricity")&amp;", residential, by "&amp;B339&amp;" of "&amp;B338&amp;" using "&amp;B340&amp;IF(B341&lt;&gt;0,", allocated by "&amp;B341,"")&amp;", transported by "&amp;B342&amp;", produced by "&amp;B346&amp;" using "&amp;B347&amp;" from "&amp;B348</f>
        <v>heat, residential, by combustion of hydrogen using boiler, transported by truck, produced by Auto-thermal reforming using natural gas from Switzerland</v>
      </c>
    </row>
    <row r="329" spans="1:21" hidden="1" x14ac:dyDescent="0.2">
      <c r="A329" t="s">
        <v>51</v>
      </c>
      <c r="B329" s="45" t="str">
        <f>"This dataset represents the supply of 1 "&amp;IF(B334="megajoule","megajoule of heat","kilowatt hour of electricity")&amp;" in a residence, by "&amp;B338&amp;" "&amp;B339&amp;" in a "&amp;B340&amp;". "&amp;" The hydrogen is transported by "&amp;B342&amp;" over "&amp;B343&amp;" km from regional storage. "&amp;" The "&amp;B338&amp;" is produced by  "&amp;B346&amp;", with "&amp;B347&amp;" from "&amp;B348&amp;" as feedstock. "&amp;A350&amp;": "&amp;(B350*100)&amp;"%. "&amp;A351&amp;": "&amp;B351&amp;". "&amp;A352&amp;": "&amp;B352&amp;". "&amp;A353&amp;": "&amp;(B353*100)&amp;"%. "&amp;A354&amp;": "&amp;(B354*100)&amp;"%. "&amp;A355&amp;": "&amp;(B355*100)&amp;"%. "&amp;A356&amp;": "&amp;B356&amp;". "&amp;A357&amp;": "&amp;B357&amp;". "&amp;A358&amp;": "&amp;(B358*100)&amp;"%. "&amp;A359&amp;": "&amp;B359&amp;". "&amp;A360&amp;": "&amp;B360&amp;". "&amp;A361&amp;": "&amp;B361&amp;". "&amp;A362&amp;": "&amp;B362&amp;".  For more information, refer to: "&amp;B330</f>
        <v>This dataset represents the supply of 1 megajoule of heat in a residence, by hydrogen combustion in a boiler.  The hydrogen is transported by truck over 200 km from regional storage.  The hydrogen is produced by  Auto-thermal reforming,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30" spans="1:21" hidden="1" x14ac:dyDescent="0.2">
      <c r="A330" t="s">
        <v>63</v>
      </c>
      <c r="B330" s="45" t="s">
        <v>660</v>
      </c>
    </row>
    <row r="331" spans="1:21" hidden="1" x14ac:dyDescent="0.2">
      <c r="A331" t="s">
        <v>52</v>
      </c>
      <c r="B331" s="45" t="s">
        <v>64</v>
      </c>
    </row>
    <row r="332" spans="1:21" hidden="1" x14ac:dyDescent="0.2">
      <c r="A332" t="s">
        <v>48</v>
      </c>
      <c r="B332" s="45">
        <v>133</v>
      </c>
    </row>
    <row r="333" spans="1:21" hidden="1" x14ac:dyDescent="0.2">
      <c r="A333" t="s">
        <v>54</v>
      </c>
      <c r="B333" s="45" t="str">
        <f>INDEX(overview!$B$4:$R$338,MATCH(B332,overview!$A$4:$A$338,0),MATCH(A333,overview!$B$3:$R$3,0))</f>
        <v>heat, from residential heating system</v>
      </c>
    </row>
    <row r="334" spans="1:21" hidden="1" x14ac:dyDescent="0.2">
      <c r="A334" t="s">
        <v>55</v>
      </c>
      <c r="B334" s="45" t="str">
        <f>INDEX(overview!$B$4:$R$338,MATCH(B332,overview!$A$4:$A$338,0),MATCH(A334,overview!$B$3:$R$3,0))</f>
        <v>megajoule</v>
      </c>
    </row>
    <row r="335" spans="1:21" hidden="1" x14ac:dyDescent="0.2">
      <c r="A335" t="s">
        <v>0</v>
      </c>
      <c r="B335" s="45" t="str">
        <f>INDEX(overview!$B$4:$R$338,MATCH(B332,overview!$A$4:$A$338,0),MATCH(A335,overview!$B$3:$R$3,0))</f>
        <v>Switzerland</v>
      </c>
    </row>
    <row r="336" spans="1:21" hidden="1" x14ac:dyDescent="0.2">
      <c r="A336" t="s">
        <v>1</v>
      </c>
      <c r="B336" s="45">
        <f>INDEX(overview!$B$4:$R$338,MATCH(B332,overview!$A$4:$A$338,0),MATCH(A336,overview!$B$3:$R$3,0))</f>
        <v>2020</v>
      </c>
    </row>
    <row r="337" spans="1:2" hidden="1" x14ac:dyDescent="0.2">
      <c r="A337" t="s">
        <v>2</v>
      </c>
      <c r="B337" s="45" t="str">
        <f>INDEX(overview!$B$4:$R$338,MATCH(B332,overview!$A$4:$A$338,0),MATCH(A337,overview!$B$3:$R$3,0))</f>
        <v>1 MJ heat</v>
      </c>
    </row>
    <row r="338" spans="1:2" hidden="1" x14ac:dyDescent="0.2">
      <c r="A338" t="s">
        <v>5</v>
      </c>
      <c r="B338" s="45" t="str">
        <f>INDEX(overview!$B$4:$R$338,MATCH(B332,overview!$A$4:$A$338,0),MATCH(A338,overview!$B$3:$R$3,0))</f>
        <v>hydrogen</v>
      </c>
    </row>
    <row r="339" spans="1:2" hidden="1" x14ac:dyDescent="0.2">
      <c r="A339" t="s">
        <v>3</v>
      </c>
      <c r="B339" s="45" t="str">
        <f>INDEX(overview!$B$4:$R$338,MATCH(B332,overview!$A$4:$A$338,0),MATCH(A339,overview!$B$3:$R$3,0))</f>
        <v>combustion</v>
      </c>
    </row>
    <row r="340" spans="1:2" hidden="1" x14ac:dyDescent="0.2">
      <c r="A340" t="s">
        <v>6</v>
      </c>
      <c r="B340" s="45" t="str">
        <f>INDEX(overview!$B$4:$R$338,MATCH(B332,overview!$A$4:$A$338,0),MATCH(A340,overview!$B$3:$R$3,0))</f>
        <v>boiler</v>
      </c>
    </row>
    <row r="341" spans="1:2" hidden="1" x14ac:dyDescent="0.2">
      <c r="A341" t="s">
        <v>39</v>
      </c>
      <c r="B341" s="45">
        <f>INDEX(overview!$B$4:$R$338,MATCH(B332,overview!$A$4:$A$338,0),MATCH(A341,overview!$B$3:$R$3,0))</f>
        <v>0</v>
      </c>
    </row>
    <row r="342" spans="1:2" hidden="1" x14ac:dyDescent="0.2">
      <c r="A342" t="s">
        <v>4</v>
      </c>
      <c r="B342" s="45" t="str">
        <f>INDEX(overview!$B$4:$R$338,MATCH(B332,overview!$A$4:$A$338,0),MATCH(A342,overview!$B$3:$R$3,0))</f>
        <v>truck</v>
      </c>
    </row>
    <row r="343" spans="1:2" hidden="1" x14ac:dyDescent="0.2">
      <c r="A343" t="s">
        <v>38</v>
      </c>
      <c r="B343" s="45">
        <f>INDEX(overview!$B$4:$R$338,MATCH(B332,overview!$A$4:$A$338,0),MATCH(A343,overview!$B$3:$R$3,0))</f>
        <v>200</v>
      </c>
    </row>
    <row r="344" spans="1:2" hidden="1" x14ac:dyDescent="0.2">
      <c r="A344" t="s">
        <v>12</v>
      </c>
      <c r="B344" s="45" t="str">
        <f>INDEX(overview!$B$4:$R$338,MATCH(B332,overview!$A$4:$A$338,0),MATCH(A344,overview!$B$3:$R$3,0))</f>
        <v>Pressure vessel for stationary storage</v>
      </c>
    </row>
    <row r="345" spans="1:2" hidden="1" x14ac:dyDescent="0.2">
      <c r="A345" t="s">
        <v>34</v>
      </c>
      <c r="B345" s="45">
        <f>INDEX(overview!$B$4:$R$338,MATCH(B332,overview!$A$4:$A$338,0),MATCH(A345,overview!$B$3:$R$3,0))</f>
        <v>0</v>
      </c>
    </row>
    <row r="346" spans="1:2" hidden="1" x14ac:dyDescent="0.2">
      <c r="A346" t="s">
        <v>15</v>
      </c>
      <c r="B346" s="45" t="str">
        <f>INDEX(overview!$B$4:$R$338,MATCH(B332,overview!$A$4:$A$338,0),MATCH(A346,overview!$B$3:$R$3,0))</f>
        <v>Auto-thermal reforming</v>
      </c>
    </row>
    <row r="347" spans="1:2" hidden="1" x14ac:dyDescent="0.2">
      <c r="A347" t="s">
        <v>14</v>
      </c>
      <c r="B347" s="45" t="str">
        <f>INDEX(overview!$B$4:$R$338,MATCH(B332,overview!$A$4:$A$338,0),MATCH(A347,overview!$B$3:$R$3,0))</f>
        <v>natural gas</v>
      </c>
    </row>
    <row r="348" spans="1:2" hidden="1" x14ac:dyDescent="0.2">
      <c r="A348" t="s">
        <v>26</v>
      </c>
      <c r="B348" s="45" t="str">
        <f>INDEX(overview!$B$4:$R$338,MATCH(B332,overview!$A$4:$A$338,0),MATCH(A348,overview!$B$3:$R$3,0))</f>
        <v>Switzerland</v>
      </c>
    </row>
    <row r="349" spans="1:2" hidden="1" x14ac:dyDescent="0.2">
      <c r="A349" t="s">
        <v>29</v>
      </c>
      <c r="B349" s="45">
        <f>INDEX(overview!$B$4:$R$338,MATCH(B332,overview!$A$4:$A$338,0),MATCH(A349,overview!$B$3:$R$3,0))</f>
        <v>0</v>
      </c>
    </row>
    <row r="350" spans="1:2" hidden="1" x14ac:dyDescent="0.2">
      <c r="A350" t="str">
        <f>IF(B334="megajoule","Heat","Electricity")&amp;" conversion efficiency [% LHV input]"</f>
        <v>Heat conversion efficiency [% LHV input]</v>
      </c>
      <c r="B350" s="46">
        <f>INDEX(parameters!$D$4:$N$20,MATCH(B338&amp;B340,parameters!$A$4:$A$20,0),MATCH(A350,parameters!$D$3:$N$3,0))</f>
        <v>0.94</v>
      </c>
    </row>
    <row r="351" spans="1:2" hidden="1" x14ac:dyDescent="0.2">
      <c r="A351" t="str">
        <f>IF(B334="megajoule","LHV [MJ/kg]","LHV [kWh/kg]")</f>
        <v>LHV [MJ/kg]</v>
      </c>
      <c r="B351" s="47">
        <f>INDEX(parameters!$D$4:$N$20,MATCH(B338&amp;B340,parameters!$A$4:$A$20,0),MATCH(A351,parameters!$D$3:$N$3,0))</f>
        <v>120</v>
      </c>
    </row>
    <row r="352" spans="1:2" hidden="1" x14ac:dyDescent="0.2">
      <c r="A352" t="s">
        <v>41</v>
      </c>
      <c r="B352" s="48">
        <f>INDEX(parameters!$D$4:$N$20,MATCH(B338&amp;B340,parameters!$A$4:$A$20,0),MATCH(A352,parameters!$D$3:$N$3,0))</f>
        <v>2.6666666666666665E-2</v>
      </c>
    </row>
    <row r="353" spans="1:22" hidden="1" x14ac:dyDescent="0.2">
      <c r="A353" t="s">
        <v>45</v>
      </c>
      <c r="B353" s="49">
        <f>INDEX(parameters!$D$4:$N$20,MATCH(B338&amp;B340,parameters!$A$4:$A$20,0),MATCH(A353,parameters!$D$3:$N$3,0))</f>
        <v>0</v>
      </c>
    </row>
    <row r="354" spans="1:22" hidden="1" x14ac:dyDescent="0.2">
      <c r="A354" t="s">
        <v>46</v>
      </c>
      <c r="B354" s="49">
        <f>INDEX(parameters!$D$4:$N$20,MATCH(B338&amp;B340,parameters!$A$4:$A$20,0),MATCH(A354,parameters!$D$3:$N$3,0))</f>
        <v>1.4999999999999999E-2</v>
      </c>
    </row>
    <row r="355" spans="1:22" hidden="1" x14ac:dyDescent="0.2">
      <c r="A355" t="s">
        <v>43</v>
      </c>
      <c r="B355" s="49">
        <f>INDEX(parameters!$D$4:$N$20,MATCH(B338&amp;B340,parameters!$A$4:$A$20,0),MATCH(A355,parameters!$D$3:$N$3,0))</f>
        <v>0</v>
      </c>
    </row>
    <row r="356" spans="1:22" hidden="1" x14ac:dyDescent="0.2">
      <c r="A356" t="s">
        <v>44</v>
      </c>
      <c r="B356" s="49">
        <f>INDEX(parameters!$D$4:$N$20,MATCH(B338&amp;B340,parameters!$A$4:$A$20,0),MATCH(A356,parameters!$D$3:$N$3,0))</f>
        <v>0</v>
      </c>
    </row>
    <row r="357" spans="1:22" hidden="1" x14ac:dyDescent="0.2">
      <c r="A357" t="s">
        <v>634</v>
      </c>
      <c r="B357" s="47">
        <f>INDEX(parameters!$D$4:$Y$20,MATCH(B338&amp;B340,parameters!$A$4:$A$20,0),MATCH(A357,parameters!$D$3:$Y$3,0))</f>
        <v>15.957446808510639</v>
      </c>
    </row>
    <row r="358" spans="1:22" hidden="1" x14ac:dyDescent="0.2">
      <c r="A358" t="s">
        <v>82</v>
      </c>
      <c r="B358" s="46">
        <f>IF(B349&lt;&gt;0,VLOOKUP(B349,parameters!A253:B255,2,0),0)</f>
        <v>0</v>
      </c>
    </row>
    <row r="359" spans="1:22" hidden="1" x14ac:dyDescent="0.2">
      <c r="A359" t="s">
        <v>548</v>
      </c>
      <c r="B359" s="50">
        <f>INDEX(parameters!$D$4:$P$20,MATCH(B338&amp;B340,parameters!$A$4:$A$20,0),MATCH(A359,parameters!$D$3:$P$3,0))</f>
        <v>15</v>
      </c>
    </row>
    <row r="360" spans="1:22" hidden="1" x14ac:dyDescent="0.2">
      <c r="A360" t="s">
        <v>547</v>
      </c>
      <c r="B360" s="51">
        <f>INDEX(parameters!$D$4:$P$20,MATCH(B338&amp;B340,parameters!$A$4:$A$20,0),MATCH(A360,parameters!$D$3:$P$3,0))</f>
        <v>20</v>
      </c>
    </row>
    <row r="361" spans="1:22" hidden="1" x14ac:dyDescent="0.2">
      <c r="A361" t="s">
        <v>630</v>
      </c>
      <c r="B361" s="51">
        <f>INDEX(parameters!$D$4:$T$20,MATCH(B338&amp;B340,parameters!$A$4:$A$20,0),MATCH(A361,parameters!$D$3:$T$3,0))</f>
        <v>2100</v>
      </c>
    </row>
    <row r="362" spans="1:22" hidden="1" x14ac:dyDescent="0.2">
      <c r="A362" t="s">
        <v>1005</v>
      </c>
      <c r="B362" s="50">
        <f>IF(B334="megajoule",SUMIFS(allocation!$I$4:$I$30,allocation!$B$4:$B$30,B340,allocation!$C$4:$C$30,B341),SUMIFS(allocation!$J$4:$J$30,allocation!$B$4:$B$30,B340,allocation!$C$4:$C$30,B341))</f>
        <v>0</v>
      </c>
    </row>
    <row r="363" spans="1:22" hidden="1" x14ac:dyDescent="0.2">
      <c r="A363" t="s">
        <v>1050</v>
      </c>
      <c r="B363" s="51">
        <f>INDEX(parameters!$D$4:$AB$20,MATCH(B338&amp;B340,parameters!$A$4:$A$20,0),MATCH(A363,parameters!$D$3:$AB$3,0))</f>
        <v>44.562019013128115</v>
      </c>
    </row>
    <row r="364" spans="1:22" hidden="1" x14ac:dyDescent="0.2"/>
    <row r="365" spans="1:22" hidden="1" x14ac:dyDescent="0.2">
      <c r="A365" s="3" t="s">
        <v>57</v>
      </c>
    </row>
    <row r="366" spans="1:22" hidden="1" x14ac:dyDescent="0.2">
      <c r="A366" s="2" t="s">
        <v>58</v>
      </c>
      <c r="B366" s="44" t="s">
        <v>59</v>
      </c>
      <c r="C366" s="2" t="s">
        <v>55</v>
      </c>
      <c r="D366" s="2" t="s">
        <v>60</v>
      </c>
      <c r="E366" s="2" t="s">
        <v>52</v>
      </c>
      <c r="F366" s="2" t="s">
        <v>61</v>
      </c>
      <c r="G366" s="2" t="s">
        <v>54</v>
      </c>
      <c r="H366" s="2" t="s">
        <v>87</v>
      </c>
      <c r="I366" s="2" t="s">
        <v>51</v>
      </c>
      <c r="J366" s="2" t="s">
        <v>138</v>
      </c>
      <c r="K366" s="2" t="s">
        <v>136</v>
      </c>
      <c r="L366" s="2" t="s">
        <v>221</v>
      </c>
      <c r="M366" s="2" t="s">
        <v>379</v>
      </c>
      <c r="N366" s="2" t="s">
        <v>1059</v>
      </c>
      <c r="O366" s="2" t="s">
        <v>1060</v>
      </c>
      <c r="P366" s="2" t="s">
        <v>1061</v>
      </c>
      <c r="Q366" s="2" t="s">
        <v>1062</v>
      </c>
      <c r="R366" s="2" t="s">
        <v>1063</v>
      </c>
      <c r="S366" s="2" t="s">
        <v>1064</v>
      </c>
      <c r="T366" s="2" t="s">
        <v>1065</v>
      </c>
      <c r="U366" s="2" t="s">
        <v>380</v>
      </c>
      <c r="V366" s="2" t="s">
        <v>1128</v>
      </c>
    </row>
    <row r="367" spans="1:22" hidden="1" x14ac:dyDescent="0.2">
      <c r="A367" t="str">
        <f>B328</f>
        <v>heat, residential, by combustion of hydrogen using boiler, transported by truck, produced by Auto-thermal reforming using natural gas from Switzerland</v>
      </c>
      <c r="B367" s="45">
        <v>1</v>
      </c>
      <c r="C367" t="str">
        <f>B334</f>
        <v>megajoule</v>
      </c>
      <c r="E367" t="str">
        <f>B331</f>
        <v>CH</v>
      </c>
      <c r="F367" t="s">
        <v>62</v>
      </c>
      <c r="G367" t="str">
        <f>B333</f>
        <v>heat, from residential heating system</v>
      </c>
      <c r="K367" t="str">
        <f>B328</f>
        <v>heat, residential, by combustion of hydrogen using boiler, transported by truck, produced by Auto-thermal reforming using natural gas from Switzerland</v>
      </c>
    </row>
    <row r="368" spans="1:22" hidden="1" x14ac:dyDescent="0.2">
      <c r="A368" t="s">
        <v>83</v>
      </c>
      <c r="B368" s="52">
        <f>1/(B359*B361*B360*3.6)</f>
        <v>4.4091710758377425E-7</v>
      </c>
      <c r="C368" t="s">
        <v>55</v>
      </c>
      <c r="E368" t="s">
        <v>85</v>
      </c>
      <c r="F368" t="s">
        <v>86</v>
      </c>
      <c r="G368" t="s">
        <v>84</v>
      </c>
      <c r="H368" t="s">
        <v>88</v>
      </c>
      <c r="K368" t="str">
        <f>B328</f>
        <v>heat, residential, by combustion of hydrogen using boiler, transported by truck, produced by Auto-thermal reforming using natural gas from Switzerland</v>
      </c>
      <c r="L368">
        <f t="shared" ref="L368:L374" si="23">IF(OR(B368&lt;0,B368=0),1,2)</f>
        <v>2</v>
      </c>
      <c r="M368">
        <f t="shared" ref="M368:M374" si="24">IF(L368=2,LN(B368),"")</f>
        <v>-14.634408943829779</v>
      </c>
      <c r="N368">
        <v>1.05</v>
      </c>
      <c r="O368">
        <v>1.2</v>
      </c>
      <c r="P368">
        <v>1</v>
      </c>
      <c r="Q368">
        <v>1.01</v>
      </c>
      <c r="R368">
        <v>1.2</v>
      </c>
      <c r="S368">
        <v>1.2</v>
      </c>
      <c r="T368">
        <v>3</v>
      </c>
      <c r="U368">
        <f t="shared" ref="U368:U374" si="25">LN(SQRT(EXP(
SQRT(
+POWER(LN(N368),2)
+POWER(LN(O368),2)
+POWER(LN(P368),2)
+POWER(LN(Q368),2)
+POWER(LN(R368),2)
+POWER(LN(S368),2)
+POWER(LN(T368),2)
)
)))</f>
        <v>0.57209088006881903</v>
      </c>
    </row>
    <row r="369" spans="1:21" hidden="1" x14ac:dyDescent="0.2">
      <c r="A369" t="s">
        <v>500</v>
      </c>
      <c r="B369" s="52">
        <f>B368*2</f>
        <v>8.8183421516754851E-7</v>
      </c>
      <c r="C369" t="s">
        <v>267</v>
      </c>
      <c r="E369" t="s">
        <v>85</v>
      </c>
      <c r="F369" t="s">
        <v>86</v>
      </c>
      <c r="G369" t="s">
        <v>501</v>
      </c>
      <c r="H369" t="s">
        <v>88</v>
      </c>
      <c r="I369" t="s">
        <v>621</v>
      </c>
      <c r="K369" t="str">
        <f>B328</f>
        <v>heat, residential, by combustion of hydrogen using boiler, transported by truck, produced by Auto-thermal reforming using natural gas from Switzerland</v>
      </c>
      <c r="L369">
        <f t="shared" si="23"/>
        <v>2</v>
      </c>
      <c r="M369">
        <f t="shared" si="24"/>
        <v>-13.941261763269834</v>
      </c>
      <c r="N369">
        <v>1.05</v>
      </c>
      <c r="O369">
        <v>1.2</v>
      </c>
      <c r="P369">
        <v>1</v>
      </c>
      <c r="Q369">
        <v>1.01</v>
      </c>
      <c r="R369">
        <v>1.2</v>
      </c>
      <c r="S369">
        <v>1.2</v>
      </c>
      <c r="T369">
        <v>3</v>
      </c>
      <c r="U369">
        <f t="shared" si="25"/>
        <v>0.57209088006881903</v>
      </c>
    </row>
    <row r="370" spans="1:21" hidden="1" x14ac:dyDescent="0.2">
      <c r="A370" t="s">
        <v>130</v>
      </c>
      <c r="B370" s="52">
        <v>2.64E-3</v>
      </c>
      <c r="C370" t="s">
        <v>92</v>
      </c>
      <c r="E370" t="s">
        <v>64</v>
      </c>
      <c r="F370" t="s">
        <v>86</v>
      </c>
      <c r="G370" t="s">
        <v>93</v>
      </c>
      <c r="H370" t="s">
        <v>78</v>
      </c>
      <c r="I370" t="s">
        <v>270</v>
      </c>
      <c r="J370" t="s">
        <v>67</v>
      </c>
      <c r="K370" t="str">
        <f>B328</f>
        <v>heat, residential, by combustion of hydrogen using boiler, transported by truck, produced by Auto-thermal reforming using natural gas from Switzerland</v>
      </c>
      <c r="L370">
        <f t="shared" si="23"/>
        <v>2</v>
      </c>
      <c r="M370">
        <f t="shared" si="24"/>
        <v>-5.9369763618239126</v>
      </c>
      <c r="N370">
        <v>1.05</v>
      </c>
      <c r="O370">
        <v>1.2</v>
      </c>
      <c r="P370">
        <v>1</v>
      </c>
      <c r="Q370">
        <v>1.01</v>
      </c>
      <c r="R370">
        <v>1.2</v>
      </c>
      <c r="S370">
        <v>1.2</v>
      </c>
      <c r="T370">
        <v>1.05</v>
      </c>
      <c r="U370">
        <f t="shared" si="25"/>
        <v>0.16169679924070957</v>
      </c>
    </row>
    <row r="371" spans="1:21" hidden="1" x14ac:dyDescent="0.2">
      <c r="A371" s="45" t="str">
        <f>"hydrogen supply, transported by "&amp;B342&amp;", produced by "&amp;B346&amp;" using "&amp;B347&amp;" from "&amp;B348</f>
        <v>hydrogen supply, transported by truck, produced by Auto-thermal reforming using natural gas from Switzerland</v>
      </c>
      <c r="B371" s="53">
        <f>(B367/B351)/B350</f>
        <v>8.8652482269503553E-3</v>
      </c>
      <c r="C371" t="s">
        <v>56</v>
      </c>
      <c r="E371" t="s">
        <v>64</v>
      </c>
      <c r="F371" t="s">
        <v>86</v>
      </c>
      <c r="G371" t="s">
        <v>1137</v>
      </c>
      <c r="H371" t="s">
        <v>76</v>
      </c>
      <c r="I371" t="s">
        <v>1054</v>
      </c>
      <c r="J371" t="s">
        <v>307</v>
      </c>
      <c r="K371" t="str">
        <f>B328</f>
        <v>heat, residential, by combustion of hydrogen using boiler, transported by truck, produced by Auto-thermal reforming using natural gas from Switzerland</v>
      </c>
      <c r="L371">
        <f t="shared" si="23"/>
        <v>2</v>
      </c>
      <c r="M371">
        <f t="shared" si="24"/>
        <v>-4.7256163390639587</v>
      </c>
      <c r="N371">
        <v>1.05</v>
      </c>
      <c r="O371">
        <v>1.2</v>
      </c>
      <c r="P371">
        <v>1</v>
      </c>
      <c r="Q371">
        <v>1.01</v>
      </c>
      <c r="R371">
        <v>1.2</v>
      </c>
      <c r="S371">
        <v>1.2</v>
      </c>
      <c r="T371">
        <v>1.05</v>
      </c>
      <c r="U371">
        <f t="shared" si="25"/>
        <v>0.16169679924070957</v>
      </c>
    </row>
    <row r="372" spans="1:21" hidden="1" x14ac:dyDescent="0.2">
      <c r="A372" t="str">
        <f>VLOOKUP(J372,'dataset mapping'!$A$4:$E$69,2,0)</f>
        <v>high pressure hydrogen storage tank</v>
      </c>
      <c r="B372" s="52">
        <f>((B363/10)/(B361*B357*20*3.6))*IF(B362&lt;&gt;0,B362,1)</f>
        <v>1.8469267139479905E-6</v>
      </c>
      <c r="C372" t="str">
        <f>VLOOKUP(J372,'dataset mapping'!$A$4:$E$69,5,0)</f>
        <v>kilogram</v>
      </c>
      <c r="E372" t="str">
        <f>VLOOKUP(J372,'dataset mapping'!$A$4:$E$69,4,0)</f>
        <v>GLO</v>
      </c>
      <c r="F372" t="s">
        <v>86</v>
      </c>
      <c r="G372" t="str">
        <f>VLOOKUP(J372,'dataset mapping'!$A$4:$E$69,3,0)</f>
        <v>high pressure hydrogen storage tank</v>
      </c>
      <c r="H372" t="s">
        <v>88</v>
      </c>
      <c r="I372" t="s">
        <v>230</v>
      </c>
      <c r="J372" t="s">
        <v>229</v>
      </c>
      <c r="K372" t="str">
        <f>B328</f>
        <v>heat, residential, by combustion of hydrogen using boiler, transported by truck, produced by Auto-thermal reforming using natural gas from Switzerland</v>
      </c>
      <c r="L372">
        <f t="shared" si="23"/>
        <v>2</v>
      </c>
      <c r="M372">
        <f t="shared" si="24"/>
        <v>-13.20198753595994</v>
      </c>
      <c r="N372">
        <v>1.05</v>
      </c>
      <c r="O372">
        <v>1.2</v>
      </c>
      <c r="P372">
        <v>1</v>
      </c>
      <c r="Q372">
        <v>1.01</v>
      </c>
      <c r="R372">
        <v>1.2</v>
      </c>
      <c r="S372">
        <v>1.2</v>
      </c>
      <c r="T372">
        <v>3</v>
      </c>
      <c r="U372">
        <f t="shared" si="25"/>
        <v>0.57209088006881903</v>
      </c>
    </row>
    <row r="373" spans="1:21" hidden="1" x14ac:dyDescent="0.2">
      <c r="A373" t="s">
        <v>134</v>
      </c>
      <c r="B373" s="45">
        <f>B371*9</f>
        <v>7.9787234042553196E-2</v>
      </c>
      <c r="C373" t="s">
        <v>56</v>
      </c>
      <c r="D373" t="s">
        <v>100</v>
      </c>
      <c r="F373" t="s">
        <v>99</v>
      </c>
      <c r="H373" t="s">
        <v>131</v>
      </c>
      <c r="K373" t="str">
        <f>B328</f>
        <v>heat, residential, by combustion of hydrogen using boiler, transported by truck, produced by Auto-thermal reforming using natural gas from Switzerland</v>
      </c>
      <c r="L373">
        <f t="shared" si="23"/>
        <v>2</v>
      </c>
      <c r="M373">
        <f t="shared" si="24"/>
        <v>-2.5283917617277392</v>
      </c>
      <c r="N373">
        <v>1.05</v>
      </c>
      <c r="O373">
        <v>1.2</v>
      </c>
      <c r="P373">
        <v>1</v>
      </c>
      <c r="Q373">
        <v>1.01</v>
      </c>
      <c r="R373">
        <v>1.2</v>
      </c>
      <c r="S373">
        <v>1.2</v>
      </c>
      <c r="T373">
        <v>1.05</v>
      </c>
      <c r="U373">
        <f t="shared" si="25"/>
        <v>0.16169679924070957</v>
      </c>
    </row>
    <row r="374" spans="1:21" hidden="1" x14ac:dyDescent="0.2">
      <c r="A374" t="s">
        <v>135</v>
      </c>
      <c r="B374" s="45">
        <f>912.5/1000000*B371</f>
        <v>8.0895390070921995E-6</v>
      </c>
      <c r="C374" t="s">
        <v>56</v>
      </c>
      <c r="D374" t="s">
        <v>100</v>
      </c>
      <c r="F374" t="s">
        <v>99</v>
      </c>
      <c r="H374" t="s">
        <v>131</v>
      </c>
      <c r="I374" t="s">
        <v>1217</v>
      </c>
      <c r="K374" t="str">
        <f>B328</f>
        <v>heat, residential, by combustion of hydrogen using boiler, transported by truck, produced by Auto-thermal reforming using natural gas from Switzerland</v>
      </c>
      <c r="L374">
        <f t="shared" si="23"/>
        <v>2</v>
      </c>
      <c r="M374">
        <f t="shared" si="24"/>
        <v>-11.724938811571587</v>
      </c>
      <c r="N374">
        <v>1.05</v>
      </c>
      <c r="O374">
        <v>1.2</v>
      </c>
      <c r="P374">
        <v>1</v>
      </c>
      <c r="Q374">
        <v>1.01</v>
      </c>
      <c r="R374">
        <v>1.2</v>
      </c>
      <c r="S374">
        <v>1.2</v>
      </c>
      <c r="T374">
        <v>1.5</v>
      </c>
      <c r="U374">
        <f t="shared" si="25"/>
        <v>0.25816898211842121</v>
      </c>
    </row>
    <row r="375" spans="1:21" hidden="1" x14ac:dyDescent="0.2"/>
    <row r="376" spans="1:21" hidden="1" x14ac:dyDescent="0.2">
      <c r="A376" s="2" t="s">
        <v>50</v>
      </c>
      <c r="B376" s="44" t="str">
        <f>IF(B382="megajoule","heat","electricity")&amp;", residential, by "&amp;B387&amp;" of "&amp;B386&amp;" using "&amp;B388&amp;IF(B389&lt;&gt;0,", allocated by "&amp;B389,"")&amp;", transported by "&amp;B390&amp;", produced by "&amp;B394&amp;" using "&amp;B395&amp;" from "&amp;B396</f>
        <v>heat, residential, by combustion of hydrogen using CHP, allocated by exergy, transported by truck, produced by Auto-thermal reforming using natural gas from Switzerland</v>
      </c>
    </row>
    <row r="377" spans="1:21" hidden="1" x14ac:dyDescent="0.2">
      <c r="A377" t="s">
        <v>51</v>
      </c>
      <c r="B377" s="45" t="str">
        <f>"This dataset represents the supply of 1 "&amp;IF(B382="megajoule","megajoule of heat","kilowatt hour of electricity")&amp;" in a residence, by "&amp;B386&amp;" "&amp;B387&amp;" in a "&amp;B388&amp;". "&amp;" The hydrogen is transported by "&amp;B390&amp;" over "&amp;B391&amp;" km from regional storage. "&amp;" The "&amp;B386&amp;" is produced by  "&amp;B394&amp;", with "&amp;B395&amp;" from "&amp;B396&amp;" as feedstock. "&amp;A398&amp;": "&amp;(B398*100)&amp;"%. "&amp;A399&amp;": "&amp;B399&amp;". "&amp;A400&amp;": "&amp;B400&amp;". "&amp;A401&amp;": "&amp;(B401*100)&amp;"%. "&amp;A402&amp;": "&amp;(B402*100)&amp;"%. "&amp;A403&amp;": "&amp;(B403*100)&amp;"%. "&amp;A404&amp;": "&amp;B404&amp;". "&amp;A405&amp;": "&amp;B405&amp;". "&amp;A406&amp;": "&amp;(B406*100)&amp;"%. "&amp;A407&amp;": "&amp;B407&amp;". "&amp;A408&amp;": "&amp;B408&amp;". "&amp;A409&amp;": "&amp;B409&amp;". "&amp;A410&amp;": "&amp;B410&amp;".  For more information, refer to: "&amp;B378</f>
        <v>This dataset represents the supply of 1 megajoule of heat in a residence, by hydrogen combustion in a CHP.  The hydrogen is transported by truck over 200 km from regional storage.  The hydrogen is produced by  Auto-thermal reforming,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378" spans="1:21" hidden="1" x14ac:dyDescent="0.2">
      <c r="A378" t="s">
        <v>63</v>
      </c>
      <c r="B378" s="45" t="s">
        <v>660</v>
      </c>
    </row>
    <row r="379" spans="1:21" hidden="1" x14ac:dyDescent="0.2">
      <c r="A379" t="s">
        <v>52</v>
      </c>
      <c r="B379" s="45" t="s">
        <v>64</v>
      </c>
    </row>
    <row r="380" spans="1:21" hidden="1" x14ac:dyDescent="0.2">
      <c r="A380" t="s">
        <v>48</v>
      </c>
      <c r="B380" s="45">
        <v>134</v>
      </c>
    </row>
    <row r="381" spans="1:21" hidden="1" x14ac:dyDescent="0.2">
      <c r="A381" t="s">
        <v>54</v>
      </c>
      <c r="B381" s="45" t="str">
        <f>INDEX(overview!$B$4:$R$338,MATCH(B380,overview!$A$4:$A$338,0),MATCH(A381,overview!$B$3:$R$3,0))</f>
        <v>heat, from residential heating system</v>
      </c>
    </row>
    <row r="382" spans="1:21" hidden="1" x14ac:dyDescent="0.2">
      <c r="A382" t="s">
        <v>55</v>
      </c>
      <c r="B382" s="45" t="str">
        <f>INDEX(overview!$B$4:$R$338,MATCH(B380,overview!$A$4:$A$338,0),MATCH(A382,overview!$B$3:$R$3,0))</f>
        <v>megajoule</v>
      </c>
    </row>
    <row r="383" spans="1:21" hidden="1" x14ac:dyDescent="0.2">
      <c r="A383" t="s">
        <v>0</v>
      </c>
      <c r="B383" s="45" t="str">
        <f>INDEX(overview!$B$4:$R$338,MATCH(B380,overview!$A$4:$A$338,0),MATCH(A383,overview!$B$3:$R$3,0))</f>
        <v>Switzerland</v>
      </c>
    </row>
    <row r="384" spans="1:21" hidden="1" x14ac:dyDescent="0.2">
      <c r="A384" t="s">
        <v>1</v>
      </c>
      <c r="B384" s="45">
        <f>INDEX(overview!$B$4:$R$338,MATCH(B380,overview!$A$4:$A$338,0),MATCH(A384,overview!$B$3:$R$3,0))</f>
        <v>2020</v>
      </c>
    </row>
    <row r="385" spans="1:2" hidden="1" x14ac:dyDescent="0.2">
      <c r="A385" t="s">
        <v>2</v>
      </c>
      <c r="B385" s="45" t="str">
        <f>INDEX(overview!$B$4:$R$338,MATCH(B380,overview!$A$4:$A$338,0),MATCH(A385,overview!$B$3:$R$3,0))</f>
        <v>1 MJ heat</v>
      </c>
    </row>
    <row r="386" spans="1:2" hidden="1" x14ac:dyDescent="0.2">
      <c r="A386" t="s">
        <v>5</v>
      </c>
      <c r="B386" s="45" t="str">
        <f>INDEX(overview!$B$4:$R$338,MATCH(B380,overview!$A$4:$A$338,0),MATCH(A386,overview!$B$3:$R$3,0))</f>
        <v>hydrogen</v>
      </c>
    </row>
    <row r="387" spans="1:2" hidden="1" x14ac:dyDescent="0.2">
      <c r="A387" t="s">
        <v>3</v>
      </c>
      <c r="B387" s="45" t="str">
        <f>INDEX(overview!$B$4:$R$338,MATCH(B380,overview!$A$4:$A$338,0),MATCH(A387,overview!$B$3:$R$3,0))</f>
        <v>combustion</v>
      </c>
    </row>
    <row r="388" spans="1:2" hidden="1" x14ac:dyDescent="0.2">
      <c r="A388" t="s">
        <v>6</v>
      </c>
      <c r="B388" s="45" t="str">
        <f>INDEX(overview!$B$4:$R$338,MATCH(B380,overview!$A$4:$A$338,0),MATCH(A388,overview!$B$3:$R$3,0))</f>
        <v>CHP</v>
      </c>
    </row>
    <row r="389" spans="1:2" hidden="1" x14ac:dyDescent="0.2">
      <c r="A389" t="s">
        <v>39</v>
      </c>
      <c r="B389" s="45" t="str">
        <f>INDEX(overview!$B$4:$R$338,MATCH(B380,overview!$A$4:$A$338,0),MATCH(A389,overview!$B$3:$R$3,0))</f>
        <v>exergy</v>
      </c>
    </row>
    <row r="390" spans="1:2" hidden="1" x14ac:dyDescent="0.2">
      <c r="A390" t="s">
        <v>4</v>
      </c>
      <c r="B390" s="45" t="str">
        <f>INDEX(overview!$B$4:$R$338,MATCH(B380,overview!$A$4:$A$338,0),MATCH(A390,overview!$B$3:$R$3,0))</f>
        <v>truck</v>
      </c>
    </row>
    <row r="391" spans="1:2" hidden="1" x14ac:dyDescent="0.2">
      <c r="A391" t="s">
        <v>38</v>
      </c>
      <c r="B391" s="45">
        <f>INDEX(overview!$B$4:$R$338,MATCH(B380,overview!$A$4:$A$338,0),MATCH(A391,overview!$B$3:$R$3,0))</f>
        <v>200</v>
      </c>
    </row>
    <row r="392" spans="1:2" hidden="1" x14ac:dyDescent="0.2">
      <c r="A392" t="s">
        <v>12</v>
      </c>
      <c r="B392" s="45" t="str">
        <f>INDEX(overview!$B$4:$R$338,MATCH(B380,overview!$A$4:$A$338,0),MATCH(A392,overview!$B$3:$R$3,0))</f>
        <v>Pressure vessel for stationary storage</v>
      </c>
    </row>
    <row r="393" spans="1:2" hidden="1" x14ac:dyDescent="0.2">
      <c r="A393" t="s">
        <v>34</v>
      </c>
      <c r="B393" s="45">
        <f>INDEX(overview!$B$4:$R$338,MATCH(B380,overview!$A$4:$A$338,0),MATCH(A393,overview!$B$3:$R$3,0))</f>
        <v>0</v>
      </c>
    </row>
    <row r="394" spans="1:2" hidden="1" x14ac:dyDescent="0.2">
      <c r="A394" t="s">
        <v>15</v>
      </c>
      <c r="B394" s="45" t="str">
        <f>INDEX(overview!$B$4:$R$338,MATCH(B380,overview!$A$4:$A$338,0),MATCH(A394,overview!$B$3:$R$3,0))</f>
        <v>Auto-thermal reforming</v>
      </c>
    </row>
    <row r="395" spans="1:2" hidden="1" x14ac:dyDescent="0.2">
      <c r="A395" t="s">
        <v>14</v>
      </c>
      <c r="B395" s="45" t="str">
        <f>INDEX(overview!$B$4:$R$338,MATCH(B380,overview!$A$4:$A$338,0),MATCH(A395,overview!$B$3:$R$3,0))</f>
        <v>natural gas</v>
      </c>
    </row>
    <row r="396" spans="1:2" hidden="1" x14ac:dyDescent="0.2">
      <c r="A396" t="s">
        <v>26</v>
      </c>
      <c r="B396" s="45" t="str">
        <f>INDEX(overview!$B$4:$R$338,MATCH(B380,overview!$A$4:$A$338,0),MATCH(A396,overview!$B$3:$R$3,0))</f>
        <v>Switzerland</v>
      </c>
    </row>
    <row r="397" spans="1:2" hidden="1" x14ac:dyDescent="0.2">
      <c r="A397" t="s">
        <v>29</v>
      </c>
      <c r="B397" s="45">
        <f>INDEX(overview!$B$4:$R$338,MATCH(B380,overview!$A$4:$A$338,0),MATCH(A397,overview!$B$3:$R$3,0))</f>
        <v>0</v>
      </c>
    </row>
    <row r="398" spans="1:2" hidden="1" x14ac:dyDescent="0.2">
      <c r="A398" t="str">
        <f>IF(B382="megajoule","Heat","Electricity")&amp;" conversion efficiency [% LHV input]"</f>
        <v>Heat conversion efficiency [% LHV input]</v>
      </c>
      <c r="B398" s="46">
        <f>INDEX(parameters!$D$4:$N$20,MATCH(B386&amp;B388,parameters!$A$4:$A$20,0),MATCH(A398,parameters!$D$3:$N$3,0))</f>
        <v>0.41699999999999998</v>
      </c>
    </row>
    <row r="399" spans="1:2" hidden="1" x14ac:dyDescent="0.2">
      <c r="A399" t="str">
        <f>IF(B382="megajoule","LHV [MJ/kg]","LHV [kWh/kg]")</f>
        <v>LHV [MJ/kg]</v>
      </c>
      <c r="B399" s="47">
        <f>INDEX(parameters!$D$4:$N$20,MATCH(B386&amp;B388,parameters!$A$4:$A$20,0),MATCH(A399,parameters!$D$3:$N$3,0))</f>
        <v>120</v>
      </c>
    </row>
    <row r="400" spans="1:2" hidden="1" x14ac:dyDescent="0.2">
      <c r="A400" t="s">
        <v>41</v>
      </c>
      <c r="B400" s="48">
        <f>INDEX(parameters!$D$4:$N$20,MATCH(B386&amp;B388,parameters!$A$4:$A$20,0),MATCH(A400,parameters!$D$3:$N$3,0))</f>
        <v>2.6666666666666665E-2</v>
      </c>
    </row>
    <row r="401" spans="1:22" hidden="1" x14ac:dyDescent="0.2">
      <c r="A401" t="s">
        <v>45</v>
      </c>
      <c r="B401" s="46">
        <f>INDEX(parameters!$D$4:$N$20,MATCH(B386&amp;B388,parameters!$A$4:$A$20,0),MATCH(A401,parameters!$D$3:$N$3,0))</f>
        <v>0</v>
      </c>
    </row>
    <row r="402" spans="1:22" hidden="1" x14ac:dyDescent="0.2">
      <c r="A402" t="s">
        <v>46</v>
      </c>
      <c r="B402" s="46">
        <f>INDEX(parameters!$D$4:$N$20,MATCH(B386&amp;B388,parameters!$A$4:$A$20,0),MATCH(A402,parameters!$D$3:$N$3,0))</f>
        <v>1.4999999999999999E-2</v>
      </c>
    </row>
    <row r="403" spans="1:22" hidden="1" x14ac:dyDescent="0.2">
      <c r="A403" t="s">
        <v>43</v>
      </c>
      <c r="B403" s="46">
        <f>INDEX(parameters!$D$4:$N$20,MATCH(B386&amp;B388,parameters!$A$4:$A$20,0),MATCH(A403,parameters!$D$3:$N$3,0))</f>
        <v>0</v>
      </c>
    </row>
    <row r="404" spans="1:22" hidden="1" x14ac:dyDescent="0.2">
      <c r="A404" t="s">
        <v>44</v>
      </c>
      <c r="B404" s="46">
        <f>INDEX(parameters!$D$4:$N$20,MATCH(B386&amp;B388,parameters!$A$4:$A$20,0),MATCH(A404,parameters!$D$3:$N$3,0))</f>
        <v>0</v>
      </c>
    </row>
    <row r="405" spans="1:22" hidden="1" x14ac:dyDescent="0.2">
      <c r="A405" t="s">
        <v>634</v>
      </c>
      <c r="B405" s="47">
        <f>INDEX(parameters!$D$4:$Y$20,MATCH(B386&amp;B388,parameters!$A$4:$A$20,0),MATCH(A405,parameters!$D$3:$Y$3,0))</f>
        <v>351.41800246609125</v>
      </c>
    </row>
    <row r="406" spans="1:22" hidden="1" x14ac:dyDescent="0.2">
      <c r="A406" t="s">
        <v>82</v>
      </c>
      <c r="B406" s="46">
        <f>IF(B397&lt;&gt;0,VLOOKUP(B397,parameters!A304:B306,2,0),0)</f>
        <v>0</v>
      </c>
    </row>
    <row r="407" spans="1:22" hidden="1" x14ac:dyDescent="0.2">
      <c r="A407" t="s">
        <v>548</v>
      </c>
      <c r="B407" s="50">
        <f>INDEX(parameters!$D$4:$P$20,MATCH(B386&amp;B388,parameters!$A$4:$A$20,0),MATCH(A407,parameters!$D$3:$P$3,0))</f>
        <v>125</v>
      </c>
    </row>
    <row r="408" spans="1:22" hidden="1" x14ac:dyDescent="0.2">
      <c r="A408" t="s">
        <v>547</v>
      </c>
      <c r="B408" s="51">
        <f>INDEX(parameters!$D$4:$P$20,MATCH(B386&amp;B388,parameters!$A$4:$A$20,0),MATCH(A408,parameters!$D$3:$P$3,0))</f>
        <v>19.512195121951219</v>
      </c>
    </row>
    <row r="409" spans="1:22" hidden="1" x14ac:dyDescent="0.2">
      <c r="A409" t="s">
        <v>630</v>
      </c>
      <c r="B409" s="51">
        <f>INDEX(parameters!$D$4:$T$20,MATCH(B386&amp;B388,parameters!$A$4:$A$20,0),MATCH(A409,parameters!$D$3:$T$3,0))</f>
        <v>4100</v>
      </c>
    </row>
    <row r="410" spans="1:22" hidden="1" x14ac:dyDescent="0.2">
      <c r="A410" t="s">
        <v>1005</v>
      </c>
      <c r="B410" s="50">
        <f>IF(B382="megajoule",SUMIFS(allocation!$I$4:$I$30,allocation!$B$4:$B$30,B388,allocation!$C$4:$C$30,B389),SUMIFS(allocation!$J$4:$J$30,allocation!$B$4:$B$30,B388,allocation!$C$4:$C$30,B389))</f>
        <v>0.12860042227295038</v>
      </c>
    </row>
    <row r="411" spans="1:22" hidden="1" x14ac:dyDescent="0.2">
      <c r="A411" t="s">
        <v>1050</v>
      </c>
      <c r="B411" s="51">
        <f>INDEX(parameters!$D$4:$AB$20,MATCH(B386&amp;B388,parameters!$A$4:$A$20,0),MATCH(A411,parameters!$D$3:$AB$3,0))</f>
        <v>2220.7364520822662</v>
      </c>
    </row>
    <row r="412" spans="1:22" hidden="1" x14ac:dyDescent="0.2"/>
    <row r="413" spans="1:22" hidden="1" x14ac:dyDescent="0.2">
      <c r="A413" s="3" t="s">
        <v>57</v>
      </c>
    </row>
    <row r="414" spans="1:22" hidden="1" x14ac:dyDescent="0.2">
      <c r="A414" s="2" t="s">
        <v>58</v>
      </c>
      <c r="B414" s="44" t="s">
        <v>59</v>
      </c>
      <c r="C414" s="2" t="s">
        <v>55</v>
      </c>
      <c r="D414" s="2" t="s">
        <v>60</v>
      </c>
      <c r="E414" s="2" t="s">
        <v>52</v>
      </c>
      <c r="F414" s="2" t="s">
        <v>61</v>
      </c>
      <c r="G414" s="2" t="s">
        <v>54</v>
      </c>
      <c r="H414" s="2" t="s">
        <v>87</v>
      </c>
      <c r="I414" s="2" t="s">
        <v>51</v>
      </c>
      <c r="J414" s="2" t="s">
        <v>138</v>
      </c>
      <c r="K414" s="2" t="s">
        <v>136</v>
      </c>
      <c r="L414" s="2" t="s">
        <v>221</v>
      </c>
      <c r="M414" s="2" t="s">
        <v>379</v>
      </c>
      <c r="N414" s="2" t="s">
        <v>1059</v>
      </c>
      <c r="O414" s="2" t="s">
        <v>1060</v>
      </c>
      <c r="P414" s="2" t="s">
        <v>1061</v>
      </c>
      <c r="Q414" s="2" t="s">
        <v>1062</v>
      </c>
      <c r="R414" s="2" t="s">
        <v>1063</v>
      </c>
      <c r="S414" s="2" t="s">
        <v>1064</v>
      </c>
      <c r="T414" s="2" t="s">
        <v>1065</v>
      </c>
      <c r="U414" s="2" t="s">
        <v>380</v>
      </c>
      <c r="V414" s="2" t="s">
        <v>1128</v>
      </c>
    </row>
    <row r="415" spans="1:22" hidden="1" x14ac:dyDescent="0.2">
      <c r="A415" t="str">
        <f>B376</f>
        <v>heat, residential, by combustion of hydrogen using CHP, allocated by exergy, transported by truck, produced by Auto-thermal reforming using natural gas from Switzerland</v>
      </c>
      <c r="B415" s="45">
        <v>1</v>
      </c>
      <c r="C415" t="str">
        <f>B382</f>
        <v>megajoule</v>
      </c>
      <c r="E415" t="str">
        <f>B379</f>
        <v>CH</v>
      </c>
      <c r="F415" t="s">
        <v>62</v>
      </c>
      <c r="G415" t="str">
        <f>B381</f>
        <v>heat, from residential heating system</v>
      </c>
      <c r="K415" t="str">
        <f>B376</f>
        <v>heat, residential, by combustion of hydrogen using CHP, allocated by exergy, transported by truck, produced by Auto-thermal reforming using natural gas from Switzerland</v>
      </c>
    </row>
    <row r="416" spans="1:22" hidden="1" x14ac:dyDescent="0.2">
      <c r="A416" t="str">
        <f>VLOOKUP(J416,'dataset mapping'!$A$4:$E$69,2,0)</f>
        <v>heat and power co-generation unit construction, 160kW electrical, common components for heat+electricity</v>
      </c>
      <c r="B416" s="52">
        <f>(1/(B405*B409*B408*3.6))*B410</f>
        <v>1.270649883812899E-9</v>
      </c>
      <c r="C416" t="str">
        <f>VLOOKUP(J416,'dataset mapping'!$A$4:$E$69,5,0)</f>
        <v>unit</v>
      </c>
      <c r="E416" t="str">
        <f>VLOOKUP(J416,'dataset mapping'!$A$4:$E$69,4,0)</f>
        <v>RER</v>
      </c>
      <c r="F416" t="s">
        <v>86</v>
      </c>
      <c r="G416" t="str">
        <f>VLOOKUP(J416,'dataset mapping'!$A$4:$E$69,3,0)</f>
        <v>heat and power co-generation unit, 160kW electrical, common components for heat+electricity</v>
      </c>
      <c r="H416" t="s">
        <v>88</v>
      </c>
      <c r="J416" t="s">
        <v>145</v>
      </c>
      <c r="K416" t="str">
        <f>B376</f>
        <v>heat, residential, by combustion of hydrogen using CHP, allocated by exergy, transported by truck, produced by Auto-thermal reforming using natural gas from Switzerland</v>
      </c>
      <c r="L416">
        <f t="shared" ref="L416:L424" si="26">IF(OR(B416&lt;0,B416=0),1,2)</f>
        <v>2</v>
      </c>
      <c r="M416">
        <f t="shared" ref="M416:M424" si="27">IF(L416=2,LN(B416),"")</f>
        <v>-20.48373734782199</v>
      </c>
      <c r="N416">
        <v>1.05</v>
      </c>
      <c r="O416">
        <v>1.2</v>
      </c>
      <c r="P416">
        <v>1</v>
      </c>
      <c r="Q416">
        <v>1.01</v>
      </c>
      <c r="R416">
        <v>1.2</v>
      </c>
      <c r="S416">
        <v>1.2</v>
      </c>
      <c r="T416">
        <v>3</v>
      </c>
      <c r="U416">
        <f t="shared" ref="U416:U424" si="28">LN(SQRT(EXP(
SQRT(
+POWER(LN(N416),2)
+POWER(LN(O416),2)
+POWER(LN(P416),2)
+POWER(LN(Q416),2)
+POWER(LN(R416),2)
+POWER(LN(S416),2)
+POWER(LN(T416),2)
)
)))</f>
        <v>0.57209088006881903</v>
      </c>
    </row>
    <row r="417" spans="1:22" hidden="1" x14ac:dyDescent="0.2">
      <c r="A417" t="str">
        <f>VLOOKUP(J417,'dataset mapping'!$A$4:$E$69,2,0)</f>
        <v>heat and power co-generation unit construction, 160kW electrical, components for electricity only</v>
      </c>
      <c r="B417" s="52">
        <f>(1/(B405*B409*B408*3.6))*B410</f>
        <v>1.270649883812899E-9</v>
      </c>
      <c r="C417" t="str">
        <f>VLOOKUP(J417,'dataset mapping'!$A$4:$E$69,5,0)</f>
        <v>unit</v>
      </c>
      <c r="E417" t="str">
        <f>VLOOKUP(J417,'dataset mapping'!$A$4:$E$69,4,0)</f>
        <v>RER</v>
      </c>
      <c r="F417" t="s">
        <v>86</v>
      </c>
      <c r="G417" t="str">
        <f>VLOOKUP(J417,'dataset mapping'!$A$4:$E$69,3,0)</f>
        <v>heat and power co-generation unit, 160kW electrical, components for electricity only</v>
      </c>
      <c r="H417" t="s">
        <v>88</v>
      </c>
      <c r="J417" t="s">
        <v>146</v>
      </c>
      <c r="K417" t="str">
        <f>B376</f>
        <v>heat, residential, by combustion of hydrogen using CHP, allocated by exergy, transported by truck, produced by Auto-thermal reforming using natural gas from Switzerland</v>
      </c>
      <c r="L417">
        <f t="shared" si="26"/>
        <v>2</v>
      </c>
      <c r="M417">
        <f t="shared" si="27"/>
        <v>-20.48373734782199</v>
      </c>
      <c r="N417">
        <v>1.05</v>
      </c>
      <c r="O417">
        <v>1.2</v>
      </c>
      <c r="P417">
        <v>1</v>
      </c>
      <c r="Q417">
        <v>1.01</v>
      </c>
      <c r="R417">
        <v>1.2</v>
      </c>
      <c r="S417">
        <v>1.2</v>
      </c>
      <c r="T417">
        <v>3</v>
      </c>
      <c r="U417">
        <f t="shared" si="28"/>
        <v>0.57209088006881903</v>
      </c>
    </row>
    <row r="418" spans="1:22" hidden="1" x14ac:dyDescent="0.2">
      <c r="A418" t="str">
        <f>VLOOKUP(J418,'dataset mapping'!$A$4:$E$69,2,0)</f>
        <v>heat and power co-generation unit construction, 160kW electrical, components for heat only</v>
      </c>
      <c r="B418" s="52">
        <f>(1/(B405*B409*B408*3.6))*B410</f>
        <v>1.270649883812899E-9</v>
      </c>
      <c r="C418" t="str">
        <f>VLOOKUP(J418,'dataset mapping'!$A$4:$E$69,5,0)</f>
        <v>unit</v>
      </c>
      <c r="E418" t="str">
        <f>VLOOKUP(J418,'dataset mapping'!$A$4:$E$69,4,0)</f>
        <v>RER</v>
      </c>
      <c r="F418" t="s">
        <v>86</v>
      </c>
      <c r="G418" t="str">
        <f>VLOOKUP(J418,'dataset mapping'!$A$4:$E$69,3,0)</f>
        <v>heat and power co-generation unit, 160kW electrical, components for heat only</v>
      </c>
      <c r="H418" t="s">
        <v>88</v>
      </c>
      <c r="J418" t="s">
        <v>147</v>
      </c>
      <c r="K418" t="str">
        <f>B376</f>
        <v>heat, residential, by combustion of hydrogen using CHP, allocated by exergy, transported by truck, produced by Auto-thermal reforming using natural gas from Switzerland</v>
      </c>
      <c r="L418">
        <f t="shared" si="26"/>
        <v>2</v>
      </c>
      <c r="M418">
        <f t="shared" si="27"/>
        <v>-20.48373734782199</v>
      </c>
      <c r="N418">
        <v>1.05</v>
      </c>
      <c r="O418">
        <v>1.2</v>
      </c>
      <c r="P418">
        <v>1</v>
      </c>
      <c r="Q418">
        <v>1.01</v>
      </c>
      <c r="R418">
        <v>1.2</v>
      </c>
      <c r="S418">
        <v>1.2</v>
      </c>
      <c r="T418">
        <v>3</v>
      </c>
      <c r="U418">
        <f t="shared" si="28"/>
        <v>0.57209088006881903</v>
      </c>
    </row>
    <row r="419" spans="1:22" hidden="1" x14ac:dyDescent="0.2">
      <c r="A419" t="s">
        <v>156</v>
      </c>
      <c r="B419" s="52">
        <f>0.00000011366*B410</f>
        <v>1.461672399554354E-8</v>
      </c>
      <c r="C419" t="s">
        <v>56</v>
      </c>
      <c r="E419" t="s">
        <v>90</v>
      </c>
      <c r="F419" t="s">
        <v>86</v>
      </c>
      <c r="G419" t="s">
        <v>154</v>
      </c>
      <c r="H419" t="s">
        <v>155</v>
      </c>
      <c r="K419" t="str">
        <f>B376</f>
        <v>heat, residential, by combustion of hydrogen using CHP, allocated by exergy, transported by truck, produced by Auto-thermal reforming using natural gas from Switzerland</v>
      </c>
      <c r="L419">
        <f t="shared" si="26"/>
        <v>2</v>
      </c>
      <c r="M419">
        <f t="shared" si="27"/>
        <v>-18.041099484645969</v>
      </c>
      <c r="N419">
        <v>1.05</v>
      </c>
      <c r="O419">
        <v>1.2</v>
      </c>
      <c r="P419">
        <v>1</v>
      </c>
      <c r="Q419">
        <v>1.01</v>
      </c>
      <c r="R419">
        <v>1.2</v>
      </c>
      <c r="S419">
        <v>1.2</v>
      </c>
      <c r="T419">
        <v>1.05</v>
      </c>
      <c r="U419">
        <f t="shared" si="28"/>
        <v>0.16169679924070957</v>
      </c>
    </row>
    <row r="420" spans="1:22" hidden="1" x14ac:dyDescent="0.2">
      <c r="A420" t="s">
        <v>157</v>
      </c>
      <c r="B420" s="52">
        <f>0.00000011366*B410*-1</f>
        <v>-1.461672399554354E-8</v>
      </c>
      <c r="C420" t="s">
        <v>56</v>
      </c>
      <c r="E420" t="s">
        <v>64</v>
      </c>
      <c r="F420" t="s">
        <v>86</v>
      </c>
      <c r="G420" t="s">
        <v>158</v>
      </c>
      <c r="H420" t="s">
        <v>155</v>
      </c>
      <c r="K420" t="str">
        <f>B376</f>
        <v>heat, residential, by combustion of hydrogen using CHP, allocated by exergy, transported by truck, produced by Auto-thermal reforming using natural gas from Switzerland</v>
      </c>
      <c r="L420">
        <v>2</v>
      </c>
      <c r="M420">
        <f>IF(L420=2,LN(B420*-1),"")</f>
        <v>-18.041099484645969</v>
      </c>
      <c r="N420">
        <v>1.05</v>
      </c>
      <c r="O420">
        <v>1.2</v>
      </c>
      <c r="P420">
        <v>1</v>
      </c>
      <c r="Q420">
        <v>1.01</v>
      </c>
      <c r="R420">
        <v>1.2</v>
      </c>
      <c r="S420">
        <v>1.2</v>
      </c>
      <c r="T420">
        <v>3</v>
      </c>
      <c r="U420">
        <f>LN(SQRT(EXP(
SQRT(
+POWER(LN(N420),2)
+POWER(LN(O420),2)
+POWER(LN(P420),2)
+POWER(LN(Q420),2)
+POWER(LN(R420),2)
+POWER(LN(S420),2)
+POWER(LN(T420),2)
)
)))</f>
        <v>0.57209088006881903</v>
      </c>
      <c r="V420" t="b">
        <v>1</v>
      </c>
    </row>
    <row r="421" spans="1:22" hidden="1" x14ac:dyDescent="0.2">
      <c r="A421" s="45" t="str">
        <f>"hydrogen supply, transported by "&amp;B390&amp;", produced by "&amp;B394&amp;" using "&amp;B395&amp;" from "&amp;B396</f>
        <v>hydrogen supply, transported by truck, produced by Auto-thermal reforming using natural gas from Switzerland</v>
      </c>
      <c r="B421" s="53">
        <f>(B415/B399)/B398*B410</f>
        <v>2.56995248347223E-3</v>
      </c>
      <c r="C421" t="s">
        <v>56</v>
      </c>
      <c r="E421" t="s">
        <v>64</v>
      </c>
      <c r="F421" t="s">
        <v>86</v>
      </c>
      <c r="G421" t="s">
        <v>1137</v>
      </c>
      <c r="H421" t="s">
        <v>76</v>
      </c>
      <c r="I421" t="s">
        <v>1054</v>
      </c>
      <c r="J421" t="s">
        <v>307</v>
      </c>
      <c r="K421" t="str">
        <f>B376</f>
        <v>heat, residential, by combustion of hydrogen using CHP, allocated by exergy, transported by truck, produced by Auto-thermal reforming using natural gas from Switzerland</v>
      </c>
      <c r="L421">
        <f t="shared" si="26"/>
        <v>2</v>
      </c>
      <c r="M421">
        <f t="shared" si="27"/>
        <v>-5.9638678691672418</v>
      </c>
      <c r="N421">
        <v>1.05</v>
      </c>
      <c r="O421">
        <v>1.2</v>
      </c>
      <c r="P421">
        <v>1</v>
      </c>
      <c r="Q421">
        <v>1.01</v>
      </c>
      <c r="R421">
        <v>1.2</v>
      </c>
      <c r="S421">
        <v>1.2</v>
      </c>
      <c r="T421">
        <v>1.05</v>
      </c>
      <c r="U421">
        <f t="shared" si="28"/>
        <v>0.16169679924070957</v>
      </c>
    </row>
    <row r="422" spans="1:22" hidden="1" x14ac:dyDescent="0.2">
      <c r="A422" t="str">
        <f>VLOOKUP(J422,'dataset mapping'!$A$4:$E$69,2,0)</f>
        <v>high pressure hydrogen storage tank</v>
      </c>
      <c r="B422" s="52">
        <f>((B411/10)/(B409*B405*20*3.6))*IF(B410&lt;&gt;0,B410,1)</f>
        <v>2.7529546486023421E-7</v>
      </c>
      <c r="C422" t="str">
        <f>VLOOKUP(J422,'dataset mapping'!$A$4:$E$69,5,0)</f>
        <v>kilogram</v>
      </c>
      <c r="E422" t="str">
        <f>VLOOKUP(J422,'dataset mapping'!$A$4:$E$69,4,0)</f>
        <v>GLO</v>
      </c>
      <c r="F422" t="s">
        <v>86</v>
      </c>
      <c r="G422" t="str">
        <f>VLOOKUP(J422,'dataset mapping'!$A$4:$E$69,3,0)</f>
        <v>high pressure hydrogen storage tank</v>
      </c>
      <c r="H422" t="s">
        <v>88</v>
      </c>
      <c r="I422" t="s">
        <v>279</v>
      </c>
      <c r="J422" t="s">
        <v>229</v>
      </c>
      <c r="K422" t="str">
        <f>B376</f>
        <v>heat, residential, by combustion of hydrogen using CHP, allocated by exergy, transported by truck, produced by Auto-thermal reforming using natural gas from Switzerland</v>
      </c>
      <c r="L422">
        <f t="shared" si="26"/>
        <v>2</v>
      </c>
      <c r="M422">
        <f t="shared" si="27"/>
        <v>-15.105420898379837</v>
      </c>
      <c r="N422">
        <v>1.05</v>
      </c>
      <c r="O422">
        <v>1.2</v>
      </c>
      <c r="P422">
        <v>1</v>
      </c>
      <c r="Q422">
        <v>1.01</v>
      </c>
      <c r="R422">
        <v>1.2</v>
      </c>
      <c r="S422">
        <v>1.2</v>
      </c>
      <c r="T422">
        <v>3</v>
      </c>
      <c r="U422">
        <f t="shared" si="28"/>
        <v>0.57209088006881903</v>
      </c>
    </row>
    <row r="423" spans="1:22" hidden="1" x14ac:dyDescent="0.2">
      <c r="A423" t="s">
        <v>134</v>
      </c>
      <c r="B423" s="45">
        <f>B421*9</f>
        <v>2.3129572351250072E-2</v>
      </c>
      <c r="C423" t="s">
        <v>56</v>
      </c>
      <c r="D423" t="s">
        <v>100</v>
      </c>
      <c r="F423" t="s">
        <v>99</v>
      </c>
      <c r="H423" t="s">
        <v>131</v>
      </c>
      <c r="K423" t="str">
        <f>B376</f>
        <v>heat, residential, by combustion of hydrogen using CHP, allocated by exergy, transported by truck, produced by Auto-thermal reforming using natural gas from Switzerland</v>
      </c>
      <c r="L423">
        <f t="shared" si="26"/>
        <v>2</v>
      </c>
      <c r="M423">
        <f t="shared" si="27"/>
        <v>-3.7666432918310226</v>
      </c>
      <c r="N423">
        <v>1.05</v>
      </c>
      <c r="O423">
        <v>1.2</v>
      </c>
      <c r="P423">
        <v>1</v>
      </c>
      <c r="Q423">
        <v>1.01</v>
      </c>
      <c r="R423">
        <v>1.2</v>
      </c>
      <c r="S423">
        <v>1.2</v>
      </c>
      <c r="T423">
        <v>1.05</v>
      </c>
      <c r="U423">
        <f t="shared" si="28"/>
        <v>0.16169679924070957</v>
      </c>
    </row>
    <row r="424" spans="1:22" hidden="1" x14ac:dyDescent="0.2">
      <c r="A424" t="s">
        <v>135</v>
      </c>
      <c r="B424" s="45">
        <f>912.5/1000000*B421</f>
        <v>2.3450816411684101E-6</v>
      </c>
      <c r="C424" t="s">
        <v>56</v>
      </c>
      <c r="D424" t="s">
        <v>100</v>
      </c>
      <c r="F424" t="s">
        <v>99</v>
      </c>
      <c r="H424" t="s">
        <v>131</v>
      </c>
      <c r="I424" t="s">
        <v>1217</v>
      </c>
      <c r="K424" t="str">
        <f>B376</f>
        <v>heat, residential, by combustion of hydrogen using CHP, allocated by exergy, transported by truck, produced by Auto-thermal reforming using natural gas from Switzerland</v>
      </c>
      <c r="L424">
        <f t="shared" si="26"/>
        <v>2</v>
      </c>
      <c r="M424">
        <f t="shared" si="27"/>
        <v>-12.963190341674869</v>
      </c>
      <c r="N424">
        <v>1.05</v>
      </c>
      <c r="O424">
        <v>1.2</v>
      </c>
      <c r="P424">
        <v>1</v>
      </c>
      <c r="Q424">
        <v>1.01</v>
      </c>
      <c r="R424">
        <v>1.2</v>
      </c>
      <c r="S424">
        <v>1.2</v>
      </c>
      <c r="T424">
        <v>1.5</v>
      </c>
      <c r="U424">
        <f t="shared" si="28"/>
        <v>0.25816898211842121</v>
      </c>
    </row>
    <row r="425" spans="1:22" hidden="1" x14ac:dyDescent="0.2"/>
    <row r="426" spans="1:22" hidden="1" x14ac:dyDescent="0.2">
      <c r="A426" s="2" t="s">
        <v>50</v>
      </c>
      <c r="B426" s="44" t="str">
        <f>IF(B432="megajoule","heat","electricity")&amp;", residential, by "&amp;B437&amp;" of "&amp;B436&amp;" using "&amp;B438&amp;IF(B439&lt;&gt;0,", allocated by "&amp;B439,"")&amp;", transported by "&amp;B440&amp;", produced by "&amp;B444&amp;" using "&amp;B445&amp;" from "&amp;B446</f>
        <v>heat, residential, by conversion of hydrogen using fuel cell, PEM, allocated by exergy, transported by truck, produced by Auto-thermal reforming using natural gas from Switzerland</v>
      </c>
    </row>
    <row r="427" spans="1:22" hidden="1" x14ac:dyDescent="0.2">
      <c r="A427" t="s">
        <v>51</v>
      </c>
      <c r="B427" s="45" t="str">
        <f>"This dataset represents the supply of 1 "&amp;IF(B432="megajoule","megajoule of heat","kilowatt hour of electricity")&amp;" in a residence, by "&amp;B436&amp;" "&amp;B437&amp;" in a "&amp;B438&amp;". "&amp;" The hydrogen is transported by "&amp;B440&amp;" over "&amp;B441&amp;" km from regional storage. "&amp;" The "&amp;B436&amp;" is produced by  "&amp;B444&amp;", with "&amp;B445&amp;" from "&amp;B446&amp;" as feedstock. "&amp;A448&amp;": "&amp;(B448*100)&amp;"%. "&amp;A449&amp;": "&amp;B449&amp;". "&amp;A450&amp;": "&amp;B450&amp;". "&amp;A451&amp;": "&amp;(B451*100)&amp;"%. "&amp;A452&amp;": "&amp;(B452*100)&amp;"%. "&amp;A453&amp;": "&amp;(B453*100)&amp;"%. "&amp;A454&amp;": "&amp;B454&amp;". "&amp;A455&amp;": "&amp;B455&amp;". "&amp;A456&amp;": "&amp;(B456*100)&amp;"%. "&amp;A457&amp;": "&amp;B457&amp;". "&amp;A458&amp;": "&amp;B458&amp;". "&amp;A459&amp;": "&amp;B459&amp;". "&amp;A460&amp;": "&amp;B460&amp;".  For more information, refer to: "&amp;B428</f>
        <v>This dataset represents the supply of 1 megajoule of heat in a residence, by hydrogen conversion in a fuel cell, PEM.  The hydrogen is transported by truck over 200 km from regional storage.  The hydrogen is produced by  Auto-thermal reforming,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428" spans="1:22" hidden="1" x14ac:dyDescent="0.2">
      <c r="A428" t="s">
        <v>63</v>
      </c>
      <c r="B428" s="45" t="s">
        <v>660</v>
      </c>
    </row>
    <row r="429" spans="1:22" hidden="1" x14ac:dyDescent="0.2">
      <c r="A429" t="s">
        <v>52</v>
      </c>
      <c r="B429" s="45" t="s">
        <v>64</v>
      </c>
    </row>
    <row r="430" spans="1:22" hidden="1" x14ac:dyDescent="0.2">
      <c r="A430" t="s">
        <v>48</v>
      </c>
      <c r="B430" s="45">
        <v>135</v>
      </c>
    </row>
    <row r="431" spans="1:22" hidden="1" x14ac:dyDescent="0.2">
      <c r="A431" t="s">
        <v>54</v>
      </c>
      <c r="B431" s="45" t="str">
        <f>INDEX(overview!$B$4:$R$338,MATCH(B430,overview!$A$4:$A$338,0),MATCH(A431,overview!$B$3:$R$3,0))</f>
        <v>heat, from residential heating system</v>
      </c>
    </row>
    <row r="432" spans="1:22" hidden="1" x14ac:dyDescent="0.2">
      <c r="A432" t="s">
        <v>55</v>
      </c>
      <c r="B432" s="45" t="str">
        <f>INDEX(overview!$B$4:$R$338,MATCH(B430,overview!$A$4:$A$338,0),MATCH(A432,overview!$B$3:$R$3,0))</f>
        <v>megajoule</v>
      </c>
    </row>
    <row r="433" spans="1:2" hidden="1" x14ac:dyDescent="0.2">
      <c r="A433" t="s">
        <v>0</v>
      </c>
      <c r="B433" s="45" t="str">
        <f>INDEX(overview!$B$4:$R$338,MATCH(B430,overview!$A$4:$A$338,0),MATCH(A433,overview!$B$3:$R$3,0))</f>
        <v>Switzerland</v>
      </c>
    </row>
    <row r="434" spans="1:2" hidden="1" x14ac:dyDescent="0.2">
      <c r="A434" t="s">
        <v>1</v>
      </c>
      <c r="B434" s="45">
        <f>INDEX(overview!$B$4:$R$338,MATCH(B430,overview!$A$4:$A$338,0),MATCH(A434,overview!$B$3:$R$3,0))</f>
        <v>2020</v>
      </c>
    </row>
    <row r="435" spans="1:2" hidden="1" x14ac:dyDescent="0.2">
      <c r="A435" t="s">
        <v>2</v>
      </c>
      <c r="B435" s="45" t="str">
        <f>INDEX(overview!$B$4:$R$338,MATCH(B430,overview!$A$4:$A$338,0),MATCH(A435,overview!$B$3:$R$3,0))</f>
        <v>1 MJ heat</v>
      </c>
    </row>
    <row r="436" spans="1:2" hidden="1" x14ac:dyDescent="0.2">
      <c r="A436" t="s">
        <v>5</v>
      </c>
      <c r="B436" s="45" t="str">
        <f>INDEX(overview!$B$4:$R$338,MATCH(B430,overview!$A$4:$A$338,0),MATCH(A436,overview!$B$3:$R$3,0))</f>
        <v>hydrogen</v>
      </c>
    </row>
    <row r="437" spans="1:2" hidden="1" x14ac:dyDescent="0.2">
      <c r="A437" t="s">
        <v>3</v>
      </c>
      <c r="B437" s="45" t="str">
        <f>INDEX(overview!$B$4:$R$338,MATCH(B430,overview!$A$4:$A$338,0),MATCH(A437,overview!$B$3:$R$3,0))</f>
        <v>conversion</v>
      </c>
    </row>
    <row r="438" spans="1:2" hidden="1" x14ac:dyDescent="0.2">
      <c r="A438" t="s">
        <v>6</v>
      </c>
      <c r="B438" s="45" t="str">
        <f>INDEX(overview!$B$4:$R$338,MATCH(B430,overview!$A$4:$A$338,0),MATCH(A438,overview!$B$3:$R$3,0))</f>
        <v>fuel cell, PEM</v>
      </c>
    </row>
    <row r="439" spans="1:2" hidden="1" x14ac:dyDescent="0.2">
      <c r="A439" t="s">
        <v>39</v>
      </c>
      <c r="B439" s="45" t="str">
        <f>INDEX(overview!$B$4:$R$338,MATCH(B430,overview!$A$4:$A$338,0),MATCH(A439,overview!$B$3:$R$3,0))</f>
        <v>exergy</v>
      </c>
    </row>
    <row r="440" spans="1:2" hidden="1" x14ac:dyDescent="0.2">
      <c r="A440" t="s">
        <v>4</v>
      </c>
      <c r="B440" s="45" t="str">
        <f>INDEX(overview!$B$4:$R$338,MATCH(B430,overview!$A$4:$A$338,0),MATCH(A440,overview!$B$3:$R$3,0))</f>
        <v>truck</v>
      </c>
    </row>
    <row r="441" spans="1:2" hidden="1" x14ac:dyDescent="0.2">
      <c r="A441" t="s">
        <v>38</v>
      </c>
      <c r="B441" s="45">
        <f>INDEX(overview!$B$4:$R$338,MATCH(B430,overview!$A$4:$A$338,0),MATCH(A441,overview!$B$3:$R$3,0))</f>
        <v>200</v>
      </c>
    </row>
    <row r="442" spans="1:2" hidden="1" x14ac:dyDescent="0.2">
      <c r="A442" t="s">
        <v>12</v>
      </c>
      <c r="B442" s="45" t="str">
        <f>INDEX(overview!$B$4:$R$338,MATCH(B430,overview!$A$4:$A$338,0),MATCH(A442,overview!$B$3:$R$3,0))</f>
        <v>Pressure vessel for stationary storage</v>
      </c>
    </row>
    <row r="443" spans="1:2" hidden="1" x14ac:dyDescent="0.2">
      <c r="A443" t="s">
        <v>34</v>
      </c>
      <c r="B443" s="45">
        <f>INDEX(overview!$B$4:$R$338,MATCH(B430,overview!$A$4:$A$338,0),MATCH(A443,overview!$B$3:$R$3,0))</f>
        <v>0</v>
      </c>
    </row>
    <row r="444" spans="1:2" hidden="1" x14ac:dyDescent="0.2">
      <c r="A444" t="s">
        <v>15</v>
      </c>
      <c r="B444" s="45" t="str">
        <f>INDEX(overview!$B$4:$R$338,MATCH(B430,overview!$A$4:$A$338,0),MATCH(A444,overview!$B$3:$R$3,0))</f>
        <v>Auto-thermal reforming</v>
      </c>
    </row>
    <row r="445" spans="1:2" hidden="1" x14ac:dyDescent="0.2">
      <c r="A445" t="s">
        <v>14</v>
      </c>
      <c r="B445" s="45" t="str">
        <f>INDEX(overview!$B$4:$R$338,MATCH(B430,overview!$A$4:$A$338,0),MATCH(A445,overview!$B$3:$R$3,0))</f>
        <v>natural gas</v>
      </c>
    </row>
    <row r="446" spans="1:2" hidden="1" x14ac:dyDescent="0.2">
      <c r="A446" t="s">
        <v>26</v>
      </c>
      <c r="B446" s="45" t="str">
        <f>INDEX(overview!$B$4:$R$338,MATCH(B430,overview!$A$4:$A$338,0),MATCH(A446,overview!$B$3:$R$3,0))</f>
        <v>Switzerland</v>
      </c>
    </row>
    <row r="447" spans="1:2" hidden="1" x14ac:dyDescent="0.2">
      <c r="A447" t="s">
        <v>29</v>
      </c>
      <c r="B447" s="45">
        <f>INDEX(overview!$B$4:$R$338,MATCH(B430,overview!$A$4:$A$338,0),MATCH(A447,overview!$B$3:$R$3,0))</f>
        <v>0</v>
      </c>
    </row>
    <row r="448" spans="1:2" hidden="1" x14ac:dyDescent="0.2">
      <c r="A448" t="str">
        <f>IF(B432="megajoule","Heat","Electricity")&amp;" conversion efficiency [% LHV input]"</f>
        <v>Heat conversion efficiency [% LHV input]</v>
      </c>
      <c r="B448" s="46">
        <f>INDEX(parameters!$D$4:$N$20,MATCH(B436&amp;B438,parameters!$A$4:$A$20,0),MATCH(A448,parameters!$D$3:$N$3,0))</f>
        <v>0.5</v>
      </c>
    </row>
    <row r="449" spans="1:22" hidden="1" x14ac:dyDescent="0.2">
      <c r="A449" t="str">
        <f>IF(B432="megajoule","LHV [MJ/kg]","LHV [kWh/kg]")</f>
        <v>LHV [MJ/kg]</v>
      </c>
      <c r="B449" s="47">
        <f>INDEX(parameters!$D$4:$N$20,MATCH(B436&amp;B438,parameters!$A$4:$A$20,0),MATCH(A449,parameters!$D$3:$N$3,0))</f>
        <v>120</v>
      </c>
    </row>
    <row r="450" spans="1:22" hidden="1" x14ac:dyDescent="0.2">
      <c r="A450" t="s">
        <v>41</v>
      </c>
      <c r="B450" s="48">
        <f>INDEX(parameters!$D$4:$N$20,MATCH(B436&amp;B438,parameters!$A$4:$A$20,0),MATCH(A450,parameters!$D$3:$N$3,0))</f>
        <v>2.6666666666666665E-2</v>
      </c>
    </row>
    <row r="451" spans="1:22" hidden="1" x14ac:dyDescent="0.2">
      <c r="A451" t="s">
        <v>45</v>
      </c>
      <c r="B451" s="46">
        <f>INDEX(parameters!$D$4:$N$20,MATCH(B436&amp;B438,parameters!$A$4:$A$20,0),MATCH(A451,parameters!$D$3:$N$3,0))</f>
        <v>0</v>
      </c>
    </row>
    <row r="452" spans="1:22" hidden="1" x14ac:dyDescent="0.2">
      <c r="A452" t="s">
        <v>46</v>
      </c>
      <c r="B452" s="46">
        <f>INDEX(parameters!$D$4:$N$20,MATCH(B436&amp;B438,parameters!$A$4:$A$20,0),MATCH(A452,parameters!$D$3:$N$3,0))</f>
        <v>1.4999999999999999E-2</v>
      </c>
    </row>
    <row r="453" spans="1:22" hidden="1" x14ac:dyDescent="0.2">
      <c r="A453" t="s">
        <v>43</v>
      </c>
      <c r="B453" s="46">
        <f>INDEX(parameters!$D$4:$N$20,MATCH(B436&amp;B438,parameters!$A$4:$A$20,0),MATCH(A453,parameters!$D$3:$N$3,0))</f>
        <v>0</v>
      </c>
    </row>
    <row r="454" spans="1:22" hidden="1" x14ac:dyDescent="0.2">
      <c r="A454" t="s">
        <v>44</v>
      </c>
      <c r="B454" s="46">
        <f>INDEX(parameters!$D$4:$N$20,MATCH(B436&amp;B438,parameters!$A$4:$A$20,0),MATCH(A454,parameters!$D$3:$N$3,0))</f>
        <v>0</v>
      </c>
    </row>
    <row r="455" spans="1:22" hidden="1" x14ac:dyDescent="0.2">
      <c r="A455" t="s">
        <v>634</v>
      </c>
      <c r="B455" s="47">
        <f>INDEX(parameters!$D$4:$Y$20,MATCH(B436&amp;B438,parameters!$A$4:$A$20,0),MATCH(A455,parameters!$D$3:$Y$3,0))</f>
        <v>1.8947368421052633</v>
      </c>
    </row>
    <row r="456" spans="1:22" hidden="1" x14ac:dyDescent="0.2">
      <c r="A456" t="s">
        <v>82</v>
      </c>
      <c r="B456" s="46">
        <f>IF(B447&lt;&gt;0,VLOOKUP(B447,parameters!A357:B359,2,0),0)</f>
        <v>0</v>
      </c>
    </row>
    <row r="457" spans="1:22" hidden="1" x14ac:dyDescent="0.2">
      <c r="A457" t="s">
        <v>548</v>
      </c>
      <c r="B457" s="50">
        <f>INDEX(parameters!$D$4:$P$20,MATCH(B436&amp;B438,parameters!$A$4:$A$20,0),MATCH(A457,parameters!$D$3:$P$3,0))</f>
        <v>0.8</v>
      </c>
    </row>
    <row r="458" spans="1:22" hidden="1" x14ac:dyDescent="0.2">
      <c r="A458" t="s">
        <v>547</v>
      </c>
      <c r="B458" s="51">
        <f>INDEX(parameters!$D$4:$P$20,MATCH(B436&amp;B438,parameters!$A$4:$A$20,0),MATCH(A458,parameters!$D$3:$P$3,0))</f>
        <v>4.8780487804878048</v>
      </c>
    </row>
    <row r="459" spans="1:22" hidden="1" x14ac:dyDescent="0.2">
      <c r="A459" t="s">
        <v>630</v>
      </c>
      <c r="B459" s="51">
        <f>INDEX(parameters!$D$4:$T$20,MATCH(B436&amp;B438,parameters!$A$4:$A$20,0),MATCH(A459,parameters!$D$3:$T$3,0))</f>
        <v>4100</v>
      </c>
    </row>
    <row r="460" spans="1:22" hidden="1" x14ac:dyDescent="0.2">
      <c r="A460" t="s">
        <v>1005</v>
      </c>
      <c r="B460" s="50">
        <f>IF(B432="megajoule",SUMIFS(allocation!$I$4:$I$30,allocation!$B$4:$B$30,B438,allocation!$C$4:$C$30,B439),SUMIFS(allocation!$J$4:$J$30,allocation!$B$4:$B$30,B438,allocation!$C$4:$C$30,B439))</f>
        <v>0.13933980798974457</v>
      </c>
    </row>
    <row r="461" spans="1:22" hidden="1" x14ac:dyDescent="0.2">
      <c r="A461" t="s">
        <v>1050</v>
      </c>
      <c r="B461" s="51">
        <f>INDEX(parameters!$D$4:$AB$20,MATCH(B436&amp;B438,parameters!$A$4:$A$20,0),MATCH(A461,parameters!$D$3:$AB$3,0))</f>
        <v>10.221606648199446</v>
      </c>
    </row>
    <row r="462" spans="1:22" hidden="1" x14ac:dyDescent="0.2"/>
    <row r="463" spans="1:22" hidden="1" x14ac:dyDescent="0.2">
      <c r="A463" s="3" t="s">
        <v>57</v>
      </c>
    </row>
    <row r="464" spans="1:22" hidden="1" x14ac:dyDescent="0.2">
      <c r="A464" s="2" t="s">
        <v>58</v>
      </c>
      <c r="B464" s="44" t="s">
        <v>59</v>
      </c>
      <c r="C464" s="2" t="s">
        <v>55</v>
      </c>
      <c r="D464" s="2" t="s">
        <v>60</v>
      </c>
      <c r="E464" s="2" t="s">
        <v>52</v>
      </c>
      <c r="F464" s="2" t="s">
        <v>61</v>
      </c>
      <c r="G464" s="2" t="s">
        <v>54</v>
      </c>
      <c r="H464" s="2" t="s">
        <v>87</v>
      </c>
      <c r="I464" s="2" t="s">
        <v>51</v>
      </c>
      <c r="J464" s="2" t="s">
        <v>138</v>
      </c>
      <c r="K464" s="2" t="s">
        <v>136</v>
      </c>
      <c r="L464" s="2" t="s">
        <v>221</v>
      </c>
      <c r="M464" s="2" t="s">
        <v>379</v>
      </c>
      <c r="N464" s="2" t="s">
        <v>1059</v>
      </c>
      <c r="O464" s="2" t="s">
        <v>1060</v>
      </c>
      <c r="P464" s="2" t="s">
        <v>1061</v>
      </c>
      <c r="Q464" s="2" t="s">
        <v>1062</v>
      </c>
      <c r="R464" s="2" t="s">
        <v>1063</v>
      </c>
      <c r="S464" s="2" t="s">
        <v>1064</v>
      </c>
      <c r="T464" s="2" t="s">
        <v>1065</v>
      </c>
      <c r="U464" s="2" t="s">
        <v>380</v>
      </c>
      <c r="V464" s="2" t="s">
        <v>1128</v>
      </c>
    </row>
    <row r="465" spans="1:21" x14ac:dyDescent="0.2">
      <c r="A465" t="str">
        <f>B426</f>
        <v>heat, residential, by conversion of hydrogen using fuel cell, PEM, allocated by exergy, transported by truck, produced by Auto-thermal reforming using natural gas from Switzerland</v>
      </c>
      <c r="B465" s="45">
        <v>1</v>
      </c>
      <c r="C465" t="str">
        <f>B432</f>
        <v>megajoule</v>
      </c>
      <c r="E465" t="str">
        <f>B429</f>
        <v>CH</v>
      </c>
      <c r="F465" t="s">
        <v>62</v>
      </c>
      <c r="G465" t="str">
        <f>B431</f>
        <v>heat, from residential heating system</v>
      </c>
      <c r="K465" t="str">
        <f>B426</f>
        <v>heat, residential, by conversion of hydrogen using fuel cell, PEM, allocated by exergy, transported by truck, produced by Auto-thermal reforming using natural gas from Switzerland</v>
      </c>
    </row>
    <row r="466" spans="1:21" hidden="1" x14ac:dyDescent="0.2">
      <c r="A466" t="str">
        <f>VLOOKUP(J466,'dataset mapping'!$A$4:$E$69,2,0)</f>
        <v>fuel cell system assembly, 1 kWe, proton exchange membrane (PEM)</v>
      </c>
      <c r="B466" s="52">
        <f>(1/(B455*B459*B458*3.6))*B460</f>
        <v>1.0213951974556892E-6</v>
      </c>
      <c r="C466" t="str">
        <f>VLOOKUP(J466,'dataset mapping'!$A$4:$E$69,5,0)</f>
        <v>unit</v>
      </c>
      <c r="E466" t="str">
        <f>VLOOKUP(J466,'dataset mapping'!$A$4:$E$69,4,0)</f>
        <v>GLO</v>
      </c>
      <c r="F466" t="s">
        <v>86</v>
      </c>
      <c r="G466" t="str">
        <f>VLOOKUP(J466,'dataset mapping'!$A$4:$E$69,3,0)</f>
        <v>fuel cell system, 1 kWe, proton exchange membrane (PEM)</v>
      </c>
      <c r="H466" t="s">
        <v>88</v>
      </c>
      <c r="I466" t="s">
        <v>272</v>
      </c>
      <c r="J466" t="s">
        <v>273</v>
      </c>
      <c r="K466" t="str">
        <f>B426</f>
        <v>heat, residential, by conversion of hydrogen using fuel cell, PEM, allocated by exergy, transported by truck, produced by Auto-thermal reforming using natural gas from Switzerland</v>
      </c>
      <c r="L466">
        <f t="shared" ref="L466:L469" si="29">IF(OR(B466&lt;0,B466=0),1,2)</f>
        <v>2</v>
      </c>
      <c r="M466">
        <f t="shared" ref="M466:M469" si="30">IF(L466=2,LN(B466),"")</f>
        <v>-13.794341024667077</v>
      </c>
      <c r="N466">
        <v>1</v>
      </c>
      <c r="O466">
        <v>1.2</v>
      </c>
      <c r="P466">
        <v>1</v>
      </c>
      <c r="Q466">
        <v>1.01</v>
      </c>
      <c r="R466">
        <v>1.2</v>
      </c>
      <c r="S466">
        <v>1.2</v>
      </c>
      <c r="T466">
        <v>3</v>
      </c>
      <c r="U466">
        <f t="shared" ref="U466:U469" si="31">LN(SQRT(EXP(
SQRT(
+POWER(LN(N466),2)
+POWER(LN(O466),2)
+POWER(LN(P466),2)
+POWER(LN(Q466),2)
+POWER(LN(R466),2)
+POWER(LN(S466),2)
+POWER(LN(T466),2)
)
)))</f>
        <v>0.57157051623399524</v>
      </c>
    </row>
    <row r="467" spans="1:21" hidden="1" x14ac:dyDescent="0.2">
      <c r="A467" s="45" t="str">
        <f>"hydrogen supply, transported by "&amp;B440&amp;", produced by "&amp;B444&amp;" using "&amp;B445&amp;" from "&amp;B446</f>
        <v>hydrogen supply, transported by truck, produced by Auto-thermal reforming using natural gas from Switzerland</v>
      </c>
      <c r="B467" s="53">
        <f>(B465/B449)/B448*B460</f>
        <v>2.3223301331624095E-3</v>
      </c>
      <c r="C467" t="s">
        <v>56</v>
      </c>
      <c r="E467" t="s">
        <v>64</v>
      </c>
      <c r="F467" t="s">
        <v>86</v>
      </c>
      <c r="G467" t="s">
        <v>1137</v>
      </c>
      <c r="H467" t="s">
        <v>76</v>
      </c>
      <c r="I467" t="s">
        <v>1054</v>
      </c>
      <c r="J467" t="s">
        <v>307</v>
      </c>
      <c r="K467" t="str">
        <f>B426</f>
        <v>heat, residential, by conversion of hydrogen using fuel cell, PEM, allocated by exergy, transported by truck, produced by Auto-thermal reforming using natural gas from Switzerland</v>
      </c>
      <c r="L467">
        <f t="shared" si="29"/>
        <v>2</v>
      </c>
      <c r="M467">
        <f t="shared" si="30"/>
        <v>-6.0651842296013152</v>
      </c>
      <c r="N467">
        <v>1</v>
      </c>
      <c r="O467">
        <v>1.2</v>
      </c>
      <c r="P467">
        <v>1</v>
      </c>
      <c r="Q467">
        <v>1.01</v>
      </c>
      <c r="R467">
        <v>1.2</v>
      </c>
      <c r="S467">
        <v>1.2</v>
      </c>
      <c r="T467">
        <v>1.05</v>
      </c>
      <c r="U467">
        <f t="shared" si="31"/>
        <v>0.15984597228197622</v>
      </c>
    </row>
    <row r="468" spans="1:21" hidden="1" x14ac:dyDescent="0.2">
      <c r="A468" t="str">
        <f>VLOOKUP(J468,'dataset mapping'!$A$4:$E$69,2,0)</f>
        <v>high pressure hydrogen storage tank</v>
      </c>
      <c r="B468" s="52">
        <f>((B461/10)/(B459*B455*20*3.6))*IF(B460&lt;&gt;0,B460,1)</f>
        <v>2.5464146196956242E-7</v>
      </c>
      <c r="C468" t="str">
        <f>VLOOKUP(J468,'dataset mapping'!$A$4:$E$69,5,0)</f>
        <v>kilogram</v>
      </c>
      <c r="E468" t="str">
        <f>VLOOKUP(J468,'dataset mapping'!$A$4:$E$69,4,0)</f>
        <v>GLO</v>
      </c>
      <c r="F468" t="s">
        <v>86</v>
      </c>
      <c r="G468" t="str">
        <f>VLOOKUP(J468,'dataset mapping'!$A$4:$E$69,3,0)</f>
        <v>high pressure hydrogen storage tank</v>
      </c>
      <c r="H468" t="s">
        <v>88</v>
      </c>
      <c r="I468" t="s">
        <v>280</v>
      </c>
      <c r="J468" t="s">
        <v>229</v>
      </c>
      <c r="K468" t="str">
        <f>B426</f>
        <v>heat, residential, by conversion of hydrogen using fuel cell, PEM, allocated by exergy, transported by truck, produced by Auto-thermal reforming using natural gas from Switzerland</v>
      </c>
      <c r="L468">
        <f t="shared" si="29"/>
        <v>2</v>
      </c>
      <c r="M468">
        <f t="shared" si="30"/>
        <v>-15.183409312669692</v>
      </c>
      <c r="N468">
        <v>1</v>
      </c>
      <c r="O468">
        <v>1.2</v>
      </c>
      <c r="P468">
        <v>1</v>
      </c>
      <c r="Q468">
        <v>1.01</v>
      </c>
      <c r="R468">
        <v>1.2</v>
      </c>
      <c r="S468">
        <v>1.2</v>
      </c>
      <c r="T468">
        <v>3</v>
      </c>
      <c r="U468">
        <f t="shared" si="31"/>
        <v>0.57157051623399524</v>
      </c>
    </row>
    <row r="469" spans="1:21" hidden="1" x14ac:dyDescent="0.2">
      <c r="A469" t="s">
        <v>134</v>
      </c>
      <c r="B469" s="45">
        <f>B467*9</f>
        <v>2.0900971198461685E-2</v>
      </c>
      <c r="C469" t="s">
        <v>56</v>
      </c>
      <c r="D469" t="s">
        <v>100</v>
      </c>
      <c r="F469" t="s">
        <v>99</v>
      </c>
      <c r="H469" t="s">
        <v>131</v>
      </c>
      <c r="I469" t="s">
        <v>289</v>
      </c>
      <c r="K469" t="str">
        <f>B426</f>
        <v>heat, residential, by conversion of hydrogen using fuel cell, PEM, allocated by exergy, transported by truck, produced by Auto-thermal reforming using natural gas from Switzerland</v>
      </c>
      <c r="L469">
        <f t="shared" si="29"/>
        <v>2</v>
      </c>
      <c r="M469">
        <f t="shared" si="30"/>
        <v>-3.8679596522650961</v>
      </c>
      <c r="N469">
        <v>1</v>
      </c>
      <c r="O469">
        <v>1.2</v>
      </c>
      <c r="P469">
        <v>1</v>
      </c>
      <c r="Q469">
        <v>1.01</v>
      </c>
      <c r="R469">
        <v>1.2</v>
      </c>
      <c r="S469">
        <v>1.2</v>
      </c>
      <c r="T469">
        <v>1.05</v>
      </c>
      <c r="U469">
        <f t="shared" si="31"/>
        <v>0.15984597228197622</v>
      </c>
    </row>
    <row r="470" spans="1:21" hidden="1" x14ac:dyDescent="0.2"/>
    <row r="471" spans="1:21" hidden="1" x14ac:dyDescent="0.2">
      <c r="A471" s="2" t="s">
        <v>50</v>
      </c>
      <c r="B471" s="44" t="str">
        <f>IF(B477="megajoule","heat","electricity")&amp;", residential, by "&amp;B482&amp;" of "&amp;B481&amp;" using "&amp;B483&amp;IF(B484&lt;&gt;0,", allocated by "&amp;B484,"")&amp;", transported by "&amp;B485&amp;", produced by "&amp;B489&amp;" using "&amp;B490&amp;" from "&amp;B491</f>
        <v>heat, residential, by conversion of hydrogen using fuel cell, SOFC, allocated by exergy, transported by truck, produced by Auto-thermal reforming using natural gas from Switzerland</v>
      </c>
    </row>
    <row r="472" spans="1:21" hidden="1" x14ac:dyDescent="0.2">
      <c r="A472" t="s">
        <v>51</v>
      </c>
      <c r="B472" s="45" t="str">
        <f>"This dataset represents the supply of 1 "&amp;IF(B477="megajoule","megajoule of heat","kilowatt hour of electricity")&amp;" in a residence, by "&amp;B481&amp;" "&amp;B482&amp;" in a "&amp;B483&amp;". "&amp;" The hydrogen is transported by "&amp;B485&amp;" over "&amp;B486&amp;" km from regional storage. "&amp;" The "&amp;B481&amp;" is produced by  "&amp;B489&amp;", with "&amp;B490&amp;" from "&amp;B491&amp;" as feedstock. "&amp;A493&amp;": "&amp;(B493*100)&amp;"%. "&amp;A494&amp;": "&amp;B494&amp;". "&amp;A495&amp;": "&amp;B495&amp;". "&amp;A496&amp;": "&amp;(B496*100)&amp;"%. "&amp;A497&amp;": "&amp;(B497*100)&amp;"%. "&amp;A498&amp;": "&amp;(B498*100)&amp;"%. "&amp;A499&amp;": "&amp;B499&amp;". "&amp;A500&amp;": "&amp;B500&amp;". "&amp;A501&amp;": "&amp;(B501*100)&amp;"%. "&amp;A502&amp;": "&amp;B502&amp;". "&amp;A503&amp;": "&amp;B503&amp;". "&amp;A504&amp;": "&amp;B504&amp;". "&amp;A505&amp;": "&amp;B505&amp;".  For more information, refer to: "&amp;B473</f>
        <v>This dataset represents the supply of 1 megajoule of heat in a residence, by hydrogen conversion in a fuel cell, SOFC.  The hydrogen is transported by truck over 200 km from regional storage.  The hydrogen is produced by  Auto-thermal reforming,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473" spans="1:21" hidden="1" x14ac:dyDescent="0.2">
      <c r="A473" t="s">
        <v>63</v>
      </c>
      <c r="B473" s="45" t="s">
        <v>660</v>
      </c>
    </row>
    <row r="474" spans="1:21" hidden="1" x14ac:dyDescent="0.2">
      <c r="A474" t="s">
        <v>52</v>
      </c>
      <c r="B474" s="45" t="s">
        <v>64</v>
      </c>
    </row>
    <row r="475" spans="1:21" hidden="1" x14ac:dyDescent="0.2">
      <c r="A475" t="s">
        <v>48</v>
      </c>
      <c r="B475" s="45">
        <v>136</v>
      </c>
    </row>
    <row r="476" spans="1:21" hidden="1" x14ac:dyDescent="0.2">
      <c r="A476" t="s">
        <v>54</v>
      </c>
      <c r="B476" s="45" t="str">
        <f>INDEX(overview!$B$4:$R$338,MATCH(B475,overview!$A$4:$A$338,0),MATCH(A476,overview!$B$3:$R$3,0))</f>
        <v>heat, from residential heating system</v>
      </c>
    </row>
    <row r="477" spans="1:21" hidden="1" x14ac:dyDescent="0.2">
      <c r="A477" t="s">
        <v>55</v>
      </c>
      <c r="B477" s="45" t="str">
        <f>INDEX(overview!$B$4:$R$338,MATCH(B475,overview!$A$4:$A$338,0),MATCH(A477,overview!$B$3:$R$3,0))</f>
        <v>megajoule</v>
      </c>
    </row>
    <row r="478" spans="1:21" hidden="1" x14ac:dyDescent="0.2">
      <c r="A478" t="s">
        <v>0</v>
      </c>
      <c r="B478" s="45" t="str">
        <f>INDEX(overview!$B$4:$R$338,MATCH(B475,overview!$A$4:$A$338,0),MATCH(A478,overview!$B$3:$R$3,0))</f>
        <v>Switzerland</v>
      </c>
    </row>
    <row r="479" spans="1:21" hidden="1" x14ac:dyDescent="0.2">
      <c r="A479" t="s">
        <v>1</v>
      </c>
      <c r="B479" s="45">
        <f>INDEX(overview!$B$4:$R$338,MATCH(B475,overview!$A$4:$A$338,0),MATCH(A479,overview!$B$3:$R$3,0))</f>
        <v>2020</v>
      </c>
    </row>
    <row r="480" spans="1:21" hidden="1" x14ac:dyDescent="0.2">
      <c r="A480" t="s">
        <v>2</v>
      </c>
      <c r="B480" s="45" t="str">
        <f>INDEX(overview!$B$4:$R$338,MATCH(B475,overview!$A$4:$A$338,0),MATCH(A480,overview!$B$3:$R$3,0))</f>
        <v>1 MJ heat</v>
      </c>
    </row>
    <row r="481" spans="1:2" hidden="1" x14ac:dyDescent="0.2">
      <c r="A481" t="s">
        <v>5</v>
      </c>
      <c r="B481" s="45" t="str">
        <f>INDEX(overview!$B$4:$R$338,MATCH(B475,overview!$A$4:$A$338,0),MATCH(A481,overview!$B$3:$R$3,0))</f>
        <v>hydrogen</v>
      </c>
    </row>
    <row r="482" spans="1:2" hidden="1" x14ac:dyDescent="0.2">
      <c r="A482" t="s">
        <v>3</v>
      </c>
      <c r="B482" s="45" t="str">
        <f>INDEX(overview!$B$4:$R$338,MATCH(B475,overview!$A$4:$A$338,0),MATCH(A482,overview!$B$3:$R$3,0))</f>
        <v>conversion</v>
      </c>
    </row>
    <row r="483" spans="1:2" hidden="1" x14ac:dyDescent="0.2">
      <c r="A483" t="s">
        <v>6</v>
      </c>
      <c r="B483" s="45" t="str">
        <f>INDEX(overview!$B$4:$R$338,MATCH(B475,overview!$A$4:$A$338,0),MATCH(A483,overview!$B$3:$R$3,0))</f>
        <v>fuel cell, SOFC</v>
      </c>
    </row>
    <row r="484" spans="1:2" hidden="1" x14ac:dyDescent="0.2">
      <c r="A484" t="s">
        <v>39</v>
      </c>
      <c r="B484" s="45" t="str">
        <f>INDEX(overview!$B$4:$R$338,MATCH(B475,overview!$A$4:$A$338,0),MATCH(A484,overview!$B$3:$R$3,0))</f>
        <v>exergy</v>
      </c>
    </row>
    <row r="485" spans="1:2" hidden="1" x14ac:dyDescent="0.2">
      <c r="A485" t="s">
        <v>4</v>
      </c>
      <c r="B485" s="45" t="str">
        <f>INDEX(overview!$B$4:$R$338,MATCH(B475,overview!$A$4:$A$338,0),MATCH(A485,overview!$B$3:$R$3,0))</f>
        <v>truck</v>
      </c>
    </row>
    <row r="486" spans="1:2" hidden="1" x14ac:dyDescent="0.2">
      <c r="A486" t="s">
        <v>38</v>
      </c>
      <c r="B486" s="45">
        <f>INDEX(overview!$B$4:$R$338,MATCH(B475,overview!$A$4:$A$338,0),MATCH(A486,overview!$B$3:$R$3,0))</f>
        <v>200</v>
      </c>
    </row>
    <row r="487" spans="1:2" hidden="1" x14ac:dyDescent="0.2">
      <c r="A487" t="s">
        <v>12</v>
      </c>
      <c r="B487" s="45" t="str">
        <f>INDEX(overview!$B$4:$R$338,MATCH(B475,overview!$A$4:$A$338,0),MATCH(A487,overview!$B$3:$R$3,0))</f>
        <v>Pressure vessel for stationary storage</v>
      </c>
    </row>
    <row r="488" spans="1:2" hidden="1" x14ac:dyDescent="0.2">
      <c r="A488" t="s">
        <v>34</v>
      </c>
      <c r="B488" s="45">
        <f>INDEX(overview!$B$4:$R$338,MATCH(B475,overview!$A$4:$A$338,0),MATCH(A488,overview!$B$3:$R$3,0))</f>
        <v>0</v>
      </c>
    </row>
    <row r="489" spans="1:2" hidden="1" x14ac:dyDescent="0.2">
      <c r="A489" t="s">
        <v>15</v>
      </c>
      <c r="B489" s="45" t="str">
        <f>INDEX(overview!$B$4:$R$338,MATCH(B475,overview!$A$4:$A$338,0),MATCH(A489,overview!$B$3:$R$3,0))</f>
        <v>Auto-thermal reforming</v>
      </c>
    </row>
    <row r="490" spans="1:2" hidden="1" x14ac:dyDescent="0.2">
      <c r="A490" t="s">
        <v>14</v>
      </c>
      <c r="B490" s="45" t="str">
        <f>INDEX(overview!$B$4:$R$338,MATCH(B475,overview!$A$4:$A$338,0),MATCH(A490,overview!$B$3:$R$3,0))</f>
        <v>natural gas</v>
      </c>
    </row>
    <row r="491" spans="1:2" hidden="1" x14ac:dyDescent="0.2">
      <c r="A491" t="s">
        <v>26</v>
      </c>
      <c r="B491" s="45" t="str">
        <f>INDEX(overview!$B$4:$R$338,MATCH(B475,overview!$A$4:$A$338,0),MATCH(A491,overview!$B$3:$R$3,0))</f>
        <v>Switzerland</v>
      </c>
    </row>
    <row r="492" spans="1:2" hidden="1" x14ac:dyDescent="0.2">
      <c r="A492" t="s">
        <v>29</v>
      </c>
      <c r="B492" s="45">
        <f>INDEX(overview!$B$4:$R$338,MATCH(B475,overview!$A$4:$A$338,0),MATCH(A492,overview!$B$3:$R$3,0))</f>
        <v>0</v>
      </c>
    </row>
    <row r="493" spans="1:2" hidden="1" x14ac:dyDescent="0.2">
      <c r="A493" t="str">
        <f>IF(B477="megajoule","Heat","Electricity")&amp;" conversion efficiency [% LHV input]"</f>
        <v>Heat conversion efficiency [% LHV input]</v>
      </c>
      <c r="B493" s="46">
        <f>INDEX(parameters!$D$4:$N$20,MATCH(B481&amp;B483,parameters!$A$4:$A$20,0),MATCH(A493,parameters!$D$3:$N$3,0))</f>
        <v>0.53</v>
      </c>
    </row>
    <row r="494" spans="1:2" hidden="1" x14ac:dyDescent="0.2">
      <c r="A494" t="str">
        <f>IF(B477="megajoule","LHV [MJ/kg]","LHV [kWh/kg]")</f>
        <v>LHV [MJ/kg]</v>
      </c>
      <c r="B494" s="47">
        <f>INDEX(parameters!$D$4:$N$20,MATCH(B481&amp;B483,parameters!$A$4:$A$20,0),MATCH(A494,parameters!$D$3:$N$3,0))</f>
        <v>120</v>
      </c>
    </row>
    <row r="495" spans="1:2" hidden="1" x14ac:dyDescent="0.2">
      <c r="A495" t="s">
        <v>41</v>
      </c>
      <c r="B495" s="48">
        <f>INDEX(parameters!$D$4:$N$20,MATCH(B481&amp;B483,parameters!$A$4:$A$20,0),MATCH(A495,parameters!$D$3:$N$3,0))</f>
        <v>2.6666666666666665E-2</v>
      </c>
    </row>
    <row r="496" spans="1:2" hidden="1" x14ac:dyDescent="0.2">
      <c r="A496" t="s">
        <v>45</v>
      </c>
      <c r="B496" s="46">
        <f>INDEX(parameters!$D$4:$N$20,MATCH(B481&amp;B483,parameters!$A$4:$A$20,0),MATCH(A496,parameters!$D$3:$N$3,0))</f>
        <v>0</v>
      </c>
    </row>
    <row r="497" spans="1:22" hidden="1" x14ac:dyDescent="0.2">
      <c r="A497" t="s">
        <v>46</v>
      </c>
      <c r="B497" s="46">
        <f>INDEX(parameters!$D$4:$N$20,MATCH(B481&amp;B483,parameters!$A$4:$A$20,0),MATCH(A497,parameters!$D$3:$N$3,0))</f>
        <v>1.4999999999999999E-2</v>
      </c>
    </row>
    <row r="498" spans="1:22" hidden="1" x14ac:dyDescent="0.2">
      <c r="A498" t="s">
        <v>43</v>
      </c>
      <c r="B498" s="46">
        <f>INDEX(parameters!$D$4:$N$20,MATCH(B481&amp;B483,parameters!$A$4:$A$20,0),MATCH(A498,parameters!$D$3:$N$3,0))</f>
        <v>0</v>
      </c>
    </row>
    <row r="499" spans="1:22" hidden="1" x14ac:dyDescent="0.2">
      <c r="A499" t="s">
        <v>44</v>
      </c>
      <c r="B499" s="46">
        <f>INDEX(parameters!$D$4:$N$20,MATCH(B481&amp;B483,parameters!$A$4:$A$20,0),MATCH(A499,parameters!$D$3:$N$3,0))</f>
        <v>0</v>
      </c>
    </row>
    <row r="500" spans="1:22" hidden="1" x14ac:dyDescent="0.2">
      <c r="A500" t="s">
        <v>634</v>
      </c>
      <c r="B500" s="47">
        <f>INDEX(parameters!$D$4:$Y$20,MATCH(B481&amp;B483,parameters!$A$4:$A$20,0),MATCH(A500,parameters!$D$3:$Y$3,0))</f>
        <v>225</v>
      </c>
      <c r="D500" s="8"/>
    </row>
    <row r="501" spans="1:22" hidden="1" x14ac:dyDescent="0.2">
      <c r="A501" t="s">
        <v>82</v>
      </c>
      <c r="B501" s="46">
        <f>IF(B492&lt;&gt;0,VLOOKUP(B492,parameters!A405:B407,2,0),0)</f>
        <v>0</v>
      </c>
    </row>
    <row r="502" spans="1:22" hidden="1" x14ac:dyDescent="0.2">
      <c r="A502" t="s">
        <v>548</v>
      </c>
      <c r="B502" s="50">
        <f>INDEX(parameters!$D$4:$P$20,MATCH(B481&amp;B483,parameters!$A$4:$A$20,0),MATCH(A502,parameters!$D$3:$P$3,0))</f>
        <v>100</v>
      </c>
    </row>
    <row r="503" spans="1:22" hidden="1" x14ac:dyDescent="0.2">
      <c r="A503" t="s">
        <v>547</v>
      </c>
      <c r="B503" s="51">
        <f>INDEX(parameters!$D$4:$P$20,MATCH(B481&amp;B483,parameters!$A$4:$A$20,0),MATCH(A503,parameters!$D$3:$P$3,0))</f>
        <v>6</v>
      </c>
    </row>
    <row r="504" spans="1:22" hidden="1" x14ac:dyDescent="0.2">
      <c r="A504" t="s">
        <v>630</v>
      </c>
      <c r="B504" s="51">
        <f>INDEX(parameters!$D$4:$T$20,MATCH(B481&amp;B483,parameters!$A$4:$A$20,0),MATCH(A504,parameters!$D$3:$T$3,0))</f>
        <v>4100</v>
      </c>
    </row>
    <row r="505" spans="1:22" hidden="1" x14ac:dyDescent="0.2">
      <c r="A505" t="s">
        <v>1005</v>
      </c>
      <c r="B505" s="50">
        <f>IF(B477="megajoule",SUMIFS(allocation!$I$4:$I$30,allocation!$B$4:$B$30,B483,allocation!$C$4:$C$30,B484),SUMIFS(allocation!$J$4:$J$30,allocation!$B$4:$B$30,B483,allocation!$C$4:$C$30,B484))</f>
        <v>0.13587506510399097</v>
      </c>
    </row>
    <row r="506" spans="1:22" hidden="1" x14ac:dyDescent="0.2">
      <c r="A506" t="s">
        <v>1050</v>
      </c>
      <c r="B506" s="51">
        <f>INDEX(parameters!$D$4:$AB$20,MATCH(B481&amp;B483,parameters!$A$4:$A$20,0),MATCH(A506,parameters!$D$3:$AB$3,0))</f>
        <v>1153.1249999999998</v>
      </c>
    </row>
    <row r="507" spans="1:22" hidden="1" x14ac:dyDescent="0.2"/>
    <row r="508" spans="1:22" hidden="1" x14ac:dyDescent="0.2">
      <c r="A508" s="3" t="s">
        <v>57</v>
      </c>
    </row>
    <row r="509" spans="1:22" hidden="1" x14ac:dyDescent="0.2">
      <c r="A509" s="2" t="s">
        <v>58</v>
      </c>
      <c r="B509" s="44" t="s">
        <v>59</v>
      </c>
      <c r="C509" s="2" t="s">
        <v>55</v>
      </c>
      <c r="D509" s="2" t="s">
        <v>60</v>
      </c>
      <c r="E509" s="2" t="s">
        <v>52</v>
      </c>
      <c r="F509" s="2" t="s">
        <v>61</v>
      </c>
      <c r="G509" s="2" t="s">
        <v>54</v>
      </c>
      <c r="H509" s="2" t="s">
        <v>87</v>
      </c>
      <c r="I509" s="2" t="s">
        <v>51</v>
      </c>
      <c r="J509" s="2" t="s">
        <v>138</v>
      </c>
      <c r="K509" s="2" t="s">
        <v>136</v>
      </c>
      <c r="L509" s="2" t="s">
        <v>221</v>
      </c>
      <c r="M509" s="2" t="s">
        <v>379</v>
      </c>
      <c r="N509" s="2" t="s">
        <v>1059</v>
      </c>
      <c r="O509" s="2" t="s">
        <v>1060</v>
      </c>
      <c r="P509" s="2" t="s">
        <v>1061</v>
      </c>
      <c r="Q509" s="2" t="s">
        <v>1062</v>
      </c>
      <c r="R509" s="2" t="s">
        <v>1063</v>
      </c>
      <c r="S509" s="2" t="s">
        <v>1064</v>
      </c>
      <c r="T509" s="2" t="s">
        <v>1065</v>
      </c>
      <c r="U509" s="2" t="s">
        <v>380</v>
      </c>
      <c r="V509" s="2" t="s">
        <v>1128</v>
      </c>
    </row>
    <row r="510" spans="1:22" x14ac:dyDescent="0.2">
      <c r="A510" t="str">
        <f>B471</f>
        <v>heat, residential, by conversion of hydrogen using fuel cell, SOFC, allocated by exergy, transported by truck, produced by Auto-thermal reforming using natural gas from Switzerland</v>
      </c>
      <c r="B510" s="45">
        <v>1</v>
      </c>
      <c r="C510" t="str">
        <f>B477</f>
        <v>megajoule</v>
      </c>
      <c r="E510" t="str">
        <f>B474</f>
        <v>CH</v>
      </c>
      <c r="F510" t="s">
        <v>62</v>
      </c>
      <c r="G510" t="str">
        <f>B476</f>
        <v>heat, from residential heating system</v>
      </c>
      <c r="K510" t="str">
        <f>B471</f>
        <v>heat, residential, by conversion of hydrogen using fuel cell, SOFC, allocated by exergy, transported by truck, produced by Auto-thermal reforming using natural gas from Switzerland</v>
      </c>
    </row>
    <row r="511" spans="1:22" hidden="1" x14ac:dyDescent="0.2">
      <c r="A511" t="str">
        <f>VLOOKUP(J511,'dataset mapping'!$A$4:$E$69,2,0)</f>
        <v>fuel cell production, stack solid oxide, 125kW electrical, future</v>
      </c>
      <c r="B511" s="52">
        <f>1/(62*1000000)/B493*SUMIFS(allocation!$I$4:$I$30,allocation!$B$4:$B$30,B483,allocation!$C$4:$C$30,B484)</f>
        <v>4.1349685059035601E-9</v>
      </c>
      <c r="C511" t="str">
        <f>VLOOKUP(J511,'dataset mapping'!$A$4:$E$69,5,0)</f>
        <v>unit</v>
      </c>
      <c r="E511" t="str">
        <f>VLOOKUP(J511,'dataset mapping'!$A$4:$E$69,4,0)</f>
        <v>CH</v>
      </c>
      <c r="F511" t="s">
        <v>86</v>
      </c>
      <c r="G511" t="str">
        <f>VLOOKUP(J511,'dataset mapping'!$A$4:$E$69,3,0)</f>
        <v>fuel cell, stack solid oxide, 125kW electrical, future</v>
      </c>
      <c r="H511" t="s">
        <v>88</v>
      </c>
      <c r="I511" t="s">
        <v>277</v>
      </c>
      <c r="J511" t="s">
        <v>274</v>
      </c>
      <c r="K511" t="str">
        <f>B471</f>
        <v>heat, residential, by conversion of hydrogen using fuel cell, SOFC, allocated by exergy, transported by truck, produced by Auto-thermal reforming using natural gas from Switzerland</v>
      </c>
      <c r="L511">
        <f t="shared" ref="L511:L517" si="32">IF(OR(B511&lt;0,B511=0),1,2)</f>
        <v>2</v>
      </c>
      <c r="M511">
        <f t="shared" ref="M511:M517" si="33">IF(L511=2,LN(B511),"")</f>
        <v>-19.303786124968067</v>
      </c>
      <c r="N511">
        <v>1</v>
      </c>
      <c r="O511">
        <v>1.2</v>
      </c>
      <c r="P511">
        <v>1</v>
      </c>
      <c r="Q511">
        <v>1.01</v>
      </c>
      <c r="R511">
        <v>1.2</v>
      </c>
      <c r="S511">
        <v>1.2</v>
      </c>
      <c r="T511">
        <v>3</v>
      </c>
      <c r="U511">
        <f t="shared" ref="U511:U517" si="34">LN(SQRT(EXP(
SQRT(
+POWER(LN(N511),2)
+POWER(LN(O511),2)
+POWER(LN(P511),2)
+POWER(LN(Q511),2)
+POWER(LN(R511),2)
+POWER(LN(S511),2)
+POWER(LN(T511),2)
)
)))</f>
        <v>0.57157051623399524</v>
      </c>
    </row>
    <row r="512" spans="1:22" hidden="1" x14ac:dyDescent="0.2">
      <c r="A512" t="s">
        <v>283</v>
      </c>
      <c r="B512" s="52">
        <f>0.000000145/B493*SUMIFS(allocation!$I$4:$I$30,allocation!$B$4:$B$30,B483,allocation!$C$4:$C$30,B484)</f>
        <v>3.7173366868072996E-8</v>
      </c>
      <c r="C512" t="s">
        <v>55</v>
      </c>
      <c r="E512" t="s">
        <v>64</v>
      </c>
      <c r="F512" t="s">
        <v>86</v>
      </c>
      <c r="G512" t="s">
        <v>284</v>
      </c>
      <c r="H512" t="s">
        <v>88</v>
      </c>
      <c r="I512" t="s">
        <v>277</v>
      </c>
      <c r="K512" t="str">
        <f>B471</f>
        <v>heat, residential, by conversion of hydrogen using fuel cell, SOFC, allocated by exergy, transported by truck, produced by Auto-thermal reforming using natural gas from Switzerland</v>
      </c>
      <c r="L512">
        <f t="shared" si="32"/>
        <v>2</v>
      </c>
      <c r="M512">
        <f t="shared" si="33"/>
        <v>-17.107673276484537</v>
      </c>
      <c r="N512">
        <v>1</v>
      </c>
      <c r="O512">
        <v>1.2</v>
      </c>
      <c r="P512">
        <v>1</v>
      </c>
      <c r="Q512">
        <v>1.01</v>
      </c>
      <c r="R512">
        <v>1.2</v>
      </c>
      <c r="S512">
        <v>1.2</v>
      </c>
      <c r="T512">
        <v>3</v>
      </c>
      <c r="U512">
        <f t="shared" si="34"/>
        <v>0.57157051623399524</v>
      </c>
    </row>
    <row r="513" spans="1:21" hidden="1" x14ac:dyDescent="0.2">
      <c r="A513" t="s">
        <v>285</v>
      </c>
      <c r="B513" s="52">
        <f>0.0000000115/B493*SUMIFS(allocation!$I$4:$I$30,allocation!$B$4:$B$30,B483,allocation!$C$4:$C$30,B484)</f>
        <v>2.9482325447092381E-9</v>
      </c>
      <c r="C513" t="s">
        <v>55</v>
      </c>
      <c r="E513" t="s">
        <v>90</v>
      </c>
      <c r="F513" t="s">
        <v>86</v>
      </c>
      <c r="G513" t="s">
        <v>286</v>
      </c>
      <c r="H513" t="s">
        <v>88</v>
      </c>
      <c r="K513" t="str">
        <f>B471</f>
        <v>heat, residential, by conversion of hydrogen using fuel cell, SOFC, allocated by exergy, transported by truck, produced by Auto-thermal reforming using natural gas from Switzerland</v>
      </c>
      <c r="L513">
        <f t="shared" si="32"/>
        <v>2</v>
      </c>
      <c r="M513">
        <f t="shared" si="33"/>
        <v>-19.642059983535908</v>
      </c>
      <c r="N513">
        <v>1</v>
      </c>
      <c r="O513">
        <v>1.2</v>
      </c>
      <c r="P513">
        <v>1</v>
      </c>
      <c r="Q513">
        <v>1.01</v>
      </c>
      <c r="R513">
        <v>1.2</v>
      </c>
      <c r="S513">
        <v>1.2</v>
      </c>
      <c r="T513">
        <v>3</v>
      </c>
      <c r="U513">
        <f t="shared" si="34"/>
        <v>0.57157051623399524</v>
      </c>
    </row>
    <row r="514" spans="1:21" hidden="1" x14ac:dyDescent="0.2">
      <c r="A514" t="s">
        <v>288</v>
      </c>
      <c r="B514" s="52">
        <f>0.000024/B493*SUMIFS(allocation!$I$4:$I$30,allocation!$B$4:$B$30,B483,allocation!$C$4:$C$30,B484)</f>
        <v>6.152833136784497E-6</v>
      </c>
      <c r="C514" t="s">
        <v>56</v>
      </c>
      <c r="E514" t="s">
        <v>64</v>
      </c>
      <c r="F514" t="s">
        <v>86</v>
      </c>
      <c r="G514" t="s">
        <v>287</v>
      </c>
      <c r="H514" t="s">
        <v>88</v>
      </c>
      <c r="K514" t="str">
        <f>B471</f>
        <v>heat, residential, by conversion of hydrogen using fuel cell, SOFC, allocated by exergy, transported by truck, produced by Auto-thermal reforming using natural gas from Switzerland</v>
      </c>
      <c r="L514">
        <f t="shared" si="32"/>
        <v>2</v>
      </c>
      <c r="M514">
        <f t="shared" si="33"/>
        <v>-11.998597909575029</v>
      </c>
      <c r="N514">
        <v>1</v>
      </c>
      <c r="O514">
        <v>1.2</v>
      </c>
      <c r="P514">
        <v>1</v>
      </c>
      <c r="Q514">
        <v>1.01</v>
      </c>
      <c r="R514">
        <v>1.2</v>
      </c>
      <c r="S514">
        <v>1.2</v>
      </c>
      <c r="T514">
        <v>1.05</v>
      </c>
      <c r="U514">
        <f t="shared" si="34"/>
        <v>0.15984597228197622</v>
      </c>
    </row>
    <row r="515" spans="1:21" hidden="1" x14ac:dyDescent="0.2">
      <c r="A515" s="45" t="str">
        <f>"hydrogen supply, transported by "&amp;B485&amp;", produced by "&amp;B489&amp;" using "&amp;B490&amp;" from "&amp;B491</f>
        <v>hydrogen supply, transported by truck, produced by Auto-thermal reforming using natural gas from Switzerland</v>
      </c>
      <c r="B515" s="53">
        <f>(B510/B494)/B493*B505</f>
        <v>2.1364003947168392E-3</v>
      </c>
      <c r="C515" t="s">
        <v>56</v>
      </c>
      <c r="E515" t="s">
        <v>64</v>
      </c>
      <c r="F515" t="s">
        <v>86</v>
      </c>
      <c r="G515" t="s">
        <v>1137</v>
      </c>
      <c r="H515" t="s">
        <v>76</v>
      </c>
      <c r="I515" t="s">
        <v>1054</v>
      </c>
      <c r="J515" t="s">
        <v>307</v>
      </c>
      <c r="K515" t="str">
        <f>B471</f>
        <v>heat, residential, by conversion of hydrogen using fuel cell, SOFC, allocated by exergy, transported by truck, produced by Auto-thermal reforming using natural gas from Switzerland</v>
      </c>
      <c r="L515">
        <f t="shared" si="32"/>
        <v>2</v>
      </c>
      <c r="M515">
        <f t="shared" si="33"/>
        <v>-6.1486329247407472</v>
      </c>
      <c r="N515">
        <v>1</v>
      </c>
      <c r="O515">
        <v>1.2</v>
      </c>
      <c r="P515">
        <v>1</v>
      </c>
      <c r="Q515">
        <v>1.01</v>
      </c>
      <c r="R515">
        <v>1.2</v>
      </c>
      <c r="S515">
        <v>1.2</v>
      </c>
      <c r="T515">
        <v>1.05</v>
      </c>
      <c r="U515">
        <f t="shared" si="34"/>
        <v>0.15984597228197622</v>
      </c>
    </row>
    <row r="516" spans="1:21" hidden="1" x14ac:dyDescent="0.2">
      <c r="A516" t="str">
        <f>VLOOKUP(J516,'dataset mapping'!$A$4:$E$69,2,0)</f>
        <v>high pressure hydrogen storage tank</v>
      </c>
      <c r="B516" s="52">
        <f>((B506/10)/(B504*B500*20*3.6))*IF(B505&lt;&gt;0,B505,1)</f>
        <v>2.3589421024998428E-7</v>
      </c>
      <c r="C516" t="str">
        <f>VLOOKUP(J516,'dataset mapping'!$A$4:$E$69,5,0)</f>
        <v>kilogram</v>
      </c>
      <c r="E516" t="str">
        <f>VLOOKUP(J516,'dataset mapping'!$A$4:$E$69,4,0)</f>
        <v>GLO</v>
      </c>
      <c r="F516" t="s">
        <v>86</v>
      </c>
      <c r="G516" t="str">
        <f>VLOOKUP(J516,'dataset mapping'!$A$4:$E$69,3,0)</f>
        <v>high pressure hydrogen storage tank</v>
      </c>
      <c r="H516" t="s">
        <v>88</v>
      </c>
      <c r="I516" t="s">
        <v>230</v>
      </c>
      <c r="J516" t="s">
        <v>229</v>
      </c>
      <c r="K516" t="str">
        <f>B471</f>
        <v>heat, residential, by conversion of hydrogen using fuel cell, SOFC, allocated by exergy, transported by truck, produced by Auto-thermal reforming using natural gas from Switzerland</v>
      </c>
      <c r="L516">
        <f t="shared" si="32"/>
        <v>2</v>
      </c>
      <c r="M516">
        <f t="shared" si="33"/>
        <v>-15.259882394072699</v>
      </c>
      <c r="N516">
        <v>1</v>
      </c>
      <c r="O516">
        <v>1.2</v>
      </c>
      <c r="P516">
        <v>1</v>
      </c>
      <c r="Q516">
        <v>1.01</v>
      </c>
      <c r="R516">
        <v>1.2</v>
      </c>
      <c r="S516">
        <v>1.2</v>
      </c>
      <c r="T516">
        <v>3</v>
      </c>
      <c r="U516">
        <f t="shared" si="34"/>
        <v>0.57157051623399524</v>
      </c>
    </row>
    <row r="517" spans="1:21" hidden="1" x14ac:dyDescent="0.2">
      <c r="A517" t="s">
        <v>134</v>
      </c>
      <c r="B517" s="45">
        <f>B515*9</f>
        <v>1.9227603552451553E-2</v>
      </c>
      <c r="C517" t="s">
        <v>56</v>
      </c>
      <c r="D517" t="s">
        <v>100</v>
      </c>
      <c r="F517" t="s">
        <v>99</v>
      </c>
      <c r="H517" t="s">
        <v>131</v>
      </c>
      <c r="I517" t="s">
        <v>289</v>
      </c>
      <c r="K517" t="str">
        <f>B471</f>
        <v>heat, residential, by conversion of hydrogen using fuel cell, SOFC, allocated by exergy, transported by truck, produced by Auto-thermal reforming using natural gas from Switzerland</v>
      </c>
      <c r="L517">
        <f t="shared" si="32"/>
        <v>2</v>
      </c>
      <c r="M517">
        <f t="shared" si="33"/>
        <v>-3.9514083474045276</v>
      </c>
      <c r="N517">
        <v>1</v>
      </c>
      <c r="O517">
        <v>1.2</v>
      </c>
      <c r="P517">
        <v>1</v>
      </c>
      <c r="Q517">
        <v>1.01</v>
      </c>
      <c r="R517">
        <v>1.2</v>
      </c>
      <c r="S517">
        <v>1.2</v>
      </c>
      <c r="T517">
        <v>1.05</v>
      </c>
      <c r="U517">
        <f t="shared" si="34"/>
        <v>0.15984597228197622</v>
      </c>
    </row>
    <row r="518" spans="1:21" hidden="1" x14ac:dyDescent="0.2"/>
    <row r="519" spans="1:21" hidden="1" x14ac:dyDescent="0.2">
      <c r="A519" s="2" t="s">
        <v>50</v>
      </c>
      <c r="B519" s="44" t="str">
        <f>IF(B525="megajoule","heat","electricity")&amp;", residential, by "&amp;B530&amp;" of "&amp;B529&amp;" using "&amp;B531&amp;IF(B532&lt;&gt;0,", allocated by "&amp;B532,"")&amp;", transported by "&amp;B533&amp;", produced by "&amp;B537&amp;" using "&amp;B538&amp;" from "&amp;B539</f>
        <v>electricity, residential, by combustion of hydrogen using CHP, allocated by exergy, transported by truck, produced by Auto-thermal reforming using natural gas from Switzerland</v>
      </c>
    </row>
    <row r="520" spans="1:21" hidden="1" x14ac:dyDescent="0.2">
      <c r="A520" t="s">
        <v>51</v>
      </c>
      <c r="B520" s="45" t="str">
        <f>"This dataset represents the supply of 1 "&amp;IF(B525="megajoule","megajoule of heat","kilowatt hour of electricity")&amp;" in a residence, by "&amp;B529&amp;" "&amp;B530&amp;" in a "&amp;B531&amp;". "&amp;" The hydrogen is transported by "&amp;B533&amp;" over "&amp;B534&amp;" km from regional storage. "&amp;" The "&amp;B529&amp;" is produced by  "&amp;B537&amp;", with "&amp;B538&amp;" from "&amp;B539&amp;" as feedstock. "&amp;A541&amp;": "&amp;(B541*100)&amp;"%. "&amp;A542&amp;": "&amp;B542&amp;". "&amp;A543&amp;": "&amp;B543&amp;". "&amp;A544&amp;": "&amp;(B544*100)&amp;"%. "&amp;A545&amp;": "&amp;(B545*100)&amp;"%. "&amp;A546&amp;": "&amp;(B546*100)&amp;"%. "&amp;A547&amp;": "&amp;B547&amp;". "&amp;A548&amp;": "&amp;B548&amp;". "&amp;A549&amp;": "&amp;(B549*100)&amp;"%. "&amp;A550&amp;": "&amp;B550&amp;". "&amp;A551&amp;": "&amp;B551&amp;". "&amp;A552&amp;": "&amp;B552&amp;". "&amp;A553&amp;": "&amp;B553&amp;".  For more information, refer to: "&amp;B521</f>
        <v>This dataset represents the supply of 1 kilowatt hour of electricity in a residence, by hydrogen combustion in a CHP.  The hydrogen is transported by truck over 200 km from regional storage.  The hydrogen is produced by  Auto-thermal reforming,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521" spans="1:21" hidden="1" x14ac:dyDescent="0.2">
      <c r="A521" t="s">
        <v>63</v>
      </c>
      <c r="B521" s="45" t="s">
        <v>660</v>
      </c>
    </row>
    <row r="522" spans="1:21" hidden="1" x14ac:dyDescent="0.2">
      <c r="A522" t="s">
        <v>52</v>
      </c>
      <c r="B522" s="45" t="s">
        <v>64</v>
      </c>
    </row>
    <row r="523" spans="1:21" hidden="1" x14ac:dyDescent="0.2">
      <c r="A523" t="s">
        <v>48</v>
      </c>
      <c r="B523" s="45" t="s">
        <v>964</v>
      </c>
    </row>
    <row r="524" spans="1:21" hidden="1" x14ac:dyDescent="0.2">
      <c r="A524" t="s">
        <v>54</v>
      </c>
      <c r="B524" s="45" t="str">
        <f>INDEX(overview!$B$4:$R$338,MATCH(B523,overview!$A$4:$A$338,0),MATCH(A524,overview!$B$3:$R$3,0))</f>
        <v>electricity, from residential heating system</v>
      </c>
    </row>
    <row r="525" spans="1:21" hidden="1" x14ac:dyDescent="0.2">
      <c r="A525" t="s">
        <v>55</v>
      </c>
      <c r="B525" s="45" t="str">
        <f>INDEX(overview!$B$4:$R$338,MATCH(B523,overview!$A$4:$A$338,0),MATCH(A525,overview!$B$3:$R$3,0))</f>
        <v>kilowatt hour</v>
      </c>
    </row>
    <row r="526" spans="1:21" hidden="1" x14ac:dyDescent="0.2">
      <c r="A526" t="s">
        <v>0</v>
      </c>
      <c r="B526" s="45" t="str">
        <f>INDEX(overview!$B$4:$R$338,MATCH(B523,overview!$A$4:$A$338,0),MATCH(A526,overview!$B$3:$R$3,0))</f>
        <v>Switzerland</v>
      </c>
    </row>
    <row r="527" spans="1:21" hidden="1" x14ac:dyDescent="0.2">
      <c r="A527" t="s">
        <v>1</v>
      </c>
      <c r="B527" s="45">
        <f>INDEX(overview!$B$4:$R$338,MATCH(B523,overview!$A$4:$A$338,0),MATCH(A527,overview!$B$3:$R$3,0))</f>
        <v>2020</v>
      </c>
    </row>
    <row r="528" spans="1:21" hidden="1" x14ac:dyDescent="0.2">
      <c r="A528" t="s">
        <v>2</v>
      </c>
      <c r="B528" s="45" t="str">
        <f>INDEX(overview!$B$4:$R$338,MATCH(B523,overview!$A$4:$A$338,0),MATCH(A528,overview!$B$3:$R$3,0))</f>
        <v>1 kWh electricity</v>
      </c>
    </row>
    <row r="529" spans="1:2" hidden="1" x14ac:dyDescent="0.2">
      <c r="A529" t="s">
        <v>5</v>
      </c>
      <c r="B529" s="45" t="str">
        <f>INDEX(overview!$B$4:$R$338,MATCH(B523,overview!$A$4:$A$338,0),MATCH(A529,overview!$B$3:$R$3,0))</f>
        <v>hydrogen</v>
      </c>
    </row>
    <row r="530" spans="1:2" hidden="1" x14ac:dyDescent="0.2">
      <c r="A530" t="s">
        <v>3</v>
      </c>
      <c r="B530" s="45" t="str">
        <f>INDEX(overview!$B$4:$R$338,MATCH(B523,overview!$A$4:$A$338,0),MATCH(A530,overview!$B$3:$R$3,0))</f>
        <v>combustion</v>
      </c>
    </row>
    <row r="531" spans="1:2" hidden="1" x14ac:dyDescent="0.2">
      <c r="A531" t="s">
        <v>6</v>
      </c>
      <c r="B531" s="45" t="str">
        <f>INDEX(overview!$B$4:$R$338,MATCH(B523,overview!$A$4:$A$338,0),MATCH(A531,overview!$B$3:$R$3,0))</f>
        <v>CHP</v>
      </c>
    </row>
    <row r="532" spans="1:2" hidden="1" x14ac:dyDescent="0.2">
      <c r="A532" t="s">
        <v>39</v>
      </c>
      <c r="B532" s="45" t="str">
        <f>INDEX(overview!$B$4:$R$338,MATCH(B523,overview!$A$4:$A$338,0),MATCH(A532,overview!$B$3:$R$3,0))</f>
        <v>exergy</v>
      </c>
    </row>
    <row r="533" spans="1:2" hidden="1" x14ac:dyDescent="0.2">
      <c r="A533" t="s">
        <v>4</v>
      </c>
      <c r="B533" s="45" t="str">
        <f>INDEX(overview!$B$4:$R$338,MATCH(B523,overview!$A$4:$A$338,0),MATCH(A533,overview!$B$3:$R$3,0))</f>
        <v>truck</v>
      </c>
    </row>
    <row r="534" spans="1:2" hidden="1" x14ac:dyDescent="0.2">
      <c r="A534" t="s">
        <v>38</v>
      </c>
      <c r="B534" s="45">
        <f>INDEX(overview!$B$4:$R$338,MATCH(B523,overview!$A$4:$A$338,0),MATCH(A534,overview!$B$3:$R$3,0))</f>
        <v>200</v>
      </c>
    </row>
    <row r="535" spans="1:2" hidden="1" x14ac:dyDescent="0.2">
      <c r="A535" t="s">
        <v>12</v>
      </c>
      <c r="B535" s="45" t="str">
        <f>INDEX(overview!$B$4:$R$338,MATCH(B523,overview!$A$4:$A$338,0),MATCH(A535,overview!$B$3:$R$3,0))</f>
        <v>Pressure vessel for stationary storage</v>
      </c>
    </row>
    <row r="536" spans="1:2" hidden="1" x14ac:dyDescent="0.2">
      <c r="A536" t="s">
        <v>34</v>
      </c>
      <c r="B536" s="45">
        <f>INDEX(overview!$B$4:$R$338,MATCH(B523,overview!$A$4:$A$338,0),MATCH(A536,overview!$B$3:$R$3,0))</f>
        <v>0</v>
      </c>
    </row>
    <row r="537" spans="1:2" hidden="1" x14ac:dyDescent="0.2">
      <c r="A537" t="s">
        <v>15</v>
      </c>
      <c r="B537" s="45" t="str">
        <f>INDEX(overview!$B$4:$R$338,MATCH(B523,overview!$A$4:$A$338,0),MATCH(A537,overview!$B$3:$R$3,0))</f>
        <v>Auto-thermal reforming</v>
      </c>
    </row>
    <row r="538" spans="1:2" hidden="1" x14ac:dyDescent="0.2">
      <c r="A538" t="s">
        <v>14</v>
      </c>
      <c r="B538" s="45" t="str">
        <f>INDEX(overview!$B$4:$R$338,MATCH(B523,overview!$A$4:$A$338,0),MATCH(A538,overview!$B$3:$R$3,0))</f>
        <v>natural gas</v>
      </c>
    </row>
    <row r="539" spans="1:2" hidden="1" x14ac:dyDescent="0.2">
      <c r="A539" t="s">
        <v>26</v>
      </c>
      <c r="B539" s="45" t="str">
        <f>INDEX(overview!$B$4:$R$338,MATCH(B523,overview!$A$4:$A$338,0),MATCH(A539,overview!$B$3:$R$3,0))</f>
        <v>Switzerland</v>
      </c>
    </row>
    <row r="540" spans="1:2" hidden="1" x14ac:dyDescent="0.2">
      <c r="A540" t="s">
        <v>29</v>
      </c>
      <c r="B540" s="45">
        <f>INDEX(overview!$B$4:$R$338,MATCH(B523,overview!$A$4:$A$338,0),MATCH(A540,overview!$B$3:$R$3,0))</f>
        <v>0</v>
      </c>
    </row>
    <row r="541" spans="1:2" hidden="1" x14ac:dyDescent="0.2">
      <c r="A541" t="str">
        <f>IF(B525="megajoule","Heat","Electricity")&amp;" conversion efficiency [% LHV input]"</f>
        <v>Electricity conversion efficiency [% LHV input]</v>
      </c>
      <c r="B541" s="46">
        <f>INDEX(parameters!$D$4:$N$20,MATCH(B529&amp;B531,parameters!$A$4:$A$20,0),MATCH(A541,parameters!$D$3:$N$3,0))</f>
        <v>0.39400000000000002</v>
      </c>
    </row>
    <row r="542" spans="1:2" hidden="1" x14ac:dyDescent="0.2">
      <c r="A542" t="str">
        <f>IF(B525="megajoule","LHV [MJ/kg]","LHV [kWh/kg]")</f>
        <v>LHV [kWh/kg]</v>
      </c>
      <c r="B542" s="47">
        <f>INDEX(parameters!$D$4:$N$20,MATCH(B529&amp;B531,parameters!$A$4:$A$20,0),MATCH(A542,parameters!$D$3:$N$3,0))</f>
        <v>33.333333333333336</v>
      </c>
    </row>
    <row r="543" spans="1:2" hidden="1" x14ac:dyDescent="0.2">
      <c r="A543" t="s">
        <v>41</v>
      </c>
      <c r="B543" s="48">
        <f>INDEX(parameters!$D$4:$N$20,MATCH(B529&amp;B531,parameters!$A$4:$A$20,0),MATCH(A543,parameters!$D$3:$N$3,0))</f>
        <v>2.6666666666666665E-2</v>
      </c>
    </row>
    <row r="544" spans="1:2" hidden="1" x14ac:dyDescent="0.2">
      <c r="A544" t="s">
        <v>45</v>
      </c>
      <c r="B544" s="46">
        <f>INDEX(parameters!$D$4:$N$20,MATCH(B529&amp;B531,parameters!$A$4:$A$20,0),MATCH(A544,parameters!$D$3:$N$3,0))</f>
        <v>0</v>
      </c>
    </row>
    <row r="545" spans="1:22" hidden="1" x14ac:dyDescent="0.2">
      <c r="A545" t="s">
        <v>46</v>
      </c>
      <c r="B545" s="46">
        <f>INDEX(parameters!$D$4:$N$20,MATCH(B529&amp;B531,parameters!$A$4:$A$20,0),MATCH(A545,parameters!$D$3:$N$3,0))</f>
        <v>1.4999999999999999E-2</v>
      </c>
    </row>
    <row r="546" spans="1:22" hidden="1" x14ac:dyDescent="0.2">
      <c r="A546" t="s">
        <v>43</v>
      </c>
      <c r="B546" s="46">
        <f>INDEX(parameters!$D$4:$N$20,MATCH(B529&amp;B531,parameters!$A$4:$A$20,0),MATCH(A546,parameters!$D$3:$N$3,0))</f>
        <v>0</v>
      </c>
    </row>
    <row r="547" spans="1:22" hidden="1" x14ac:dyDescent="0.2">
      <c r="A547" t="s">
        <v>44</v>
      </c>
      <c r="B547" s="46">
        <f>INDEX(parameters!$D$4:$N$20,MATCH(B529&amp;B531,parameters!$A$4:$A$20,0),MATCH(A547,parameters!$D$3:$N$3,0))</f>
        <v>0</v>
      </c>
    </row>
    <row r="548" spans="1:22" hidden="1" x14ac:dyDescent="0.2">
      <c r="A548" t="s">
        <v>634</v>
      </c>
      <c r="B548" s="47">
        <f>INDEX(parameters!$D$4:$Y$20,MATCH(B529&amp;B531,parameters!$A$4:$A$20,0),MATCH(A548,parameters!$D$3:$Y$3,0))</f>
        <v>351.41800246609125</v>
      </c>
    </row>
    <row r="549" spans="1:22" hidden="1" x14ac:dyDescent="0.2">
      <c r="A549" t="s">
        <v>82</v>
      </c>
      <c r="B549" s="46">
        <f>IF(B540&lt;&gt;0,VLOOKUP(B540,parameters!A456:B458,2,0),0)</f>
        <v>0</v>
      </c>
    </row>
    <row r="550" spans="1:22" hidden="1" x14ac:dyDescent="0.2">
      <c r="A550" t="s">
        <v>548</v>
      </c>
      <c r="B550" s="50">
        <f>INDEX(parameters!$D$4:$P$20,MATCH(B529&amp;B531,parameters!$A$4:$A$20,0),MATCH(A550,parameters!$D$3:$P$3,0))</f>
        <v>125</v>
      </c>
    </row>
    <row r="551" spans="1:22" hidden="1" x14ac:dyDescent="0.2">
      <c r="A551" t="s">
        <v>547</v>
      </c>
      <c r="B551" s="51">
        <f>INDEX(parameters!$D$4:$P$20,MATCH(B529&amp;B531,parameters!$A$4:$A$20,0),MATCH(A551,parameters!$D$3:$P$3,0))</f>
        <v>19.512195121951219</v>
      </c>
    </row>
    <row r="552" spans="1:22" hidden="1" x14ac:dyDescent="0.2">
      <c r="A552" t="s">
        <v>630</v>
      </c>
      <c r="B552" s="51">
        <f>INDEX(parameters!$D$4:$T$20,MATCH(B529&amp;B531,parameters!$A$4:$A$20,0),MATCH(A552,parameters!$D$3:$T$3,0))</f>
        <v>4100</v>
      </c>
    </row>
    <row r="553" spans="1:22" hidden="1" x14ac:dyDescent="0.2">
      <c r="A553" t="s">
        <v>1005</v>
      </c>
      <c r="B553" s="50">
        <f>IF(B525="megajoule",SUMIFS(allocation!$I$4:$I$30,allocation!$B$4:$B$30,B531,allocation!$C$4:$C$30,B532),SUMIFS(allocation!$J$4:$J$30,allocation!$B$4:$B$30,B531,allocation!$C$4:$C$30,B532))</f>
        <v>0.87139957772704957</v>
      </c>
    </row>
    <row r="554" spans="1:22" hidden="1" x14ac:dyDescent="0.2">
      <c r="A554" t="s">
        <v>1050</v>
      </c>
      <c r="B554" s="51">
        <f>INDEX(parameters!$D$4:$AB$20,MATCH(B529&amp;B531,parameters!$A$4:$A$20,0),MATCH(A554,parameters!$D$3:$AB$3,0))</f>
        <v>2220.7364520822662</v>
      </c>
    </row>
    <row r="555" spans="1:22" hidden="1" x14ac:dyDescent="0.2"/>
    <row r="556" spans="1:22" hidden="1" x14ac:dyDescent="0.2">
      <c r="A556" s="3" t="s">
        <v>57</v>
      </c>
    </row>
    <row r="557" spans="1:22" hidden="1" x14ac:dyDescent="0.2">
      <c r="A557" s="2" t="s">
        <v>58</v>
      </c>
      <c r="B557" s="44" t="s">
        <v>59</v>
      </c>
      <c r="C557" s="2" t="s">
        <v>55</v>
      </c>
      <c r="D557" s="2" t="s">
        <v>60</v>
      </c>
      <c r="E557" s="2" t="s">
        <v>52</v>
      </c>
      <c r="F557" s="2" t="s">
        <v>61</v>
      </c>
      <c r="G557" s="2" t="s">
        <v>54</v>
      </c>
      <c r="H557" s="2" t="s">
        <v>87</v>
      </c>
      <c r="I557" s="2" t="s">
        <v>51</v>
      </c>
      <c r="J557" s="2" t="s">
        <v>138</v>
      </c>
      <c r="K557" s="2" t="s">
        <v>136</v>
      </c>
      <c r="L557" s="2" t="s">
        <v>221</v>
      </c>
      <c r="M557" s="2" t="s">
        <v>379</v>
      </c>
      <c r="N557" s="2" t="s">
        <v>1059</v>
      </c>
      <c r="O557" s="2" t="s">
        <v>1060</v>
      </c>
      <c r="P557" s="2" t="s">
        <v>1061</v>
      </c>
      <c r="Q557" s="2" t="s">
        <v>1062</v>
      </c>
      <c r="R557" s="2" t="s">
        <v>1063</v>
      </c>
      <c r="S557" s="2" t="s">
        <v>1064</v>
      </c>
      <c r="T557" s="2" t="s">
        <v>1065</v>
      </c>
      <c r="U557" s="2" t="s">
        <v>380</v>
      </c>
      <c r="V557" s="2" t="s">
        <v>1128</v>
      </c>
    </row>
    <row r="558" spans="1:22" hidden="1" x14ac:dyDescent="0.2">
      <c r="A558" t="str">
        <f>B519</f>
        <v>electricity, residential, by combustion of hydrogen using CHP, allocated by exergy, transported by truck, produced by Auto-thermal reforming using natural gas from Switzerland</v>
      </c>
      <c r="B558" s="45">
        <v>1</v>
      </c>
      <c r="C558" t="str">
        <f>B525</f>
        <v>kilowatt hour</v>
      </c>
      <c r="E558" t="str">
        <f>B522</f>
        <v>CH</v>
      </c>
      <c r="F558" t="s">
        <v>62</v>
      </c>
      <c r="G558" t="str">
        <f>B524</f>
        <v>electricity, from residential heating system</v>
      </c>
      <c r="K558" t="str">
        <f>B519</f>
        <v>electricity, residential, by combustion of hydrogen using CHP, allocated by exergy, transported by truck, produced by Auto-thermal reforming using natural gas from Switzerland</v>
      </c>
    </row>
    <row r="559" spans="1:22" hidden="1" x14ac:dyDescent="0.2">
      <c r="A559" t="str">
        <f>VLOOKUP(J559,'dataset mapping'!$A$4:$E$69,2,0)</f>
        <v>heat and power co-generation unit construction, 160kW electrical, common components for heat+electricity</v>
      </c>
      <c r="B559" s="52">
        <f>(1/(B548*B552*B551))*B553</f>
        <v>3.0995835856870056E-8</v>
      </c>
      <c r="C559" t="str">
        <f>VLOOKUP(J559,'dataset mapping'!$A$4:$E$69,5,0)</f>
        <v>unit</v>
      </c>
      <c r="E559" t="str">
        <f>VLOOKUP(J559,'dataset mapping'!$A$4:$E$69,4,0)</f>
        <v>RER</v>
      </c>
      <c r="F559" t="s">
        <v>86</v>
      </c>
      <c r="G559" t="str">
        <f>VLOOKUP(J559,'dataset mapping'!$A$4:$E$69,3,0)</f>
        <v>heat and power co-generation unit, 160kW electrical, common components for heat+electricity</v>
      </c>
      <c r="H559" t="s">
        <v>88</v>
      </c>
      <c r="J559" t="s">
        <v>145</v>
      </c>
      <c r="K559" t="str">
        <f>B519</f>
        <v>electricity, residential, by combustion of hydrogen using CHP, allocated by exergy, transported by truck, produced by Auto-thermal reforming using natural gas from Switzerland</v>
      </c>
      <c r="L559">
        <f t="shared" ref="L559:L567" si="35">IF(OR(B559&lt;0,B559=0),1,2)</f>
        <v>2</v>
      </c>
      <c r="M559">
        <f t="shared" ref="M559:M567" si="36">IF(L559=2,LN(B559),"")</f>
        <v>-17.28941296868171</v>
      </c>
      <c r="N559">
        <v>1.05</v>
      </c>
      <c r="O559">
        <v>1.2</v>
      </c>
      <c r="P559">
        <v>1</v>
      </c>
      <c r="Q559">
        <v>1.01</v>
      </c>
      <c r="R559">
        <v>1.2</v>
      </c>
      <c r="S559">
        <v>1.2</v>
      </c>
      <c r="T559">
        <v>3</v>
      </c>
      <c r="U559">
        <f t="shared" ref="U559:U567" si="37">LN(SQRT(EXP(
SQRT(
+POWER(LN(N559),2)
+POWER(LN(O559),2)
+POWER(LN(P559),2)
+POWER(LN(Q559),2)
+POWER(LN(R559),2)
+POWER(LN(S559),2)
+POWER(LN(T559),2)
)
)))</f>
        <v>0.57209088006881903</v>
      </c>
    </row>
    <row r="560" spans="1:22" hidden="1" x14ac:dyDescent="0.2">
      <c r="A560" t="str">
        <f>VLOOKUP(J560,'dataset mapping'!$A$4:$E$69,2,0)</f>
        <v>heat and power co-generation unit construction, 160kW electrical, components for electricity only</v>
      </c>
      <c r="B560" s="52">
        <f>(1/(B548*B552*B551))*B553</f>
        <v>3.0995835856870056E-8</v>
      </c>
      <c r="C560" t="str">
        <f>VLOOKUP(J560,'dataset mapping'!$A$4:$E$69,5,0)</f>
        <v>unit</v>
      </c>
      <c r="E560" t="str">
        <f>VLOOKUP(J560,'dataset mapping'!$A$4:$E$69,4,0)</f>
        <v>RER</v>
      </c>
      <c r="F560" t="s">
        <v>86</v>
      </c>
      <c r="G560" t="str">
        <f>VLOOKUP(J560,'dataset mapping'!$A$4:$E$69,3,0)</f>
        <v>heat and power co-generation unit, 160kW electrical, components for electricity only</v>
      </c>
      <c r="H560" t="s">
        <v>88</v>
      </c>
      <c r="J560" t="s">
        <v>146</v>
      </c>
      <c r="K560" t="str">
        <f>B519</f>
        <v>electricity, residential, by combustion of hydrogen using CHP, allocated by exergy, transported by truck, produced by Auto-thermal reforming using natural gas from Switzerland</v>
      </c>
      <c r="L560">
        <f t="shared" si="35"/>
        <v>2</v>
      </c>
      <c r="M560">
        <f t="shared" si="36"/>
        <v>-17.28941296868171</v>
      </c>
      <c r="N560">
        <v>1.05</v>
      </c>
      <c r="O560">
        <v>1.2</v>
      </c>
      <c r="P560">
        <v>1</v>
      </c>
      <c r="Q560">
        <v>1.01</v>
      </c>
      <c r="R560">
        <v>1.2</v>
      </c>
      <c r="S560">
        <v>1.2</v>
      </c>
      <c r="T560">
        <v>3</v>
      </c>
      <c r="U560">
        <f t="shared" si="37"/>
        <v>0.57209088006881903</v>
      </c>
    </row>
    <row r="561" spans="1:22" hidden="1" x14ac:dyDescent="0.2">
      <c r="A561" t="str">
        <f>VLOOKUP(J561,'dataset mapping'!$A$4:$E$69,2,0)</f>
        <v>heat and power co-generation unit construction, 160kW electrical, components for heat only</v>
      </c>
      <c r="B561" s="52">
        <f>(1/(B548*B552*B551))*B553</f>
        <v>3.0995835856870056E-8</v>
      </c>
      <c r="C561" t="str">
        <f>VLOOKUP(J561,'dataset mapping'!$A$4:$E$69,5,0)</f>
        <v>unit</v>
      </c>
      <c r="E561" t="str">
        <f>VLOOKUP(J561,'dataset mapping'!$A$4:$E$69,4,0)</f>
        <v>RER</v>
      </c>
      <c r="F561" t="s">
        <v>86</v>
      </c>
      <c r="G561" t="str">
        <f>VLOOKUP(J561,'dataset mapping'!$A$4:$E$69,3,0)</f>
        <v>heat and power co-generation unit, 160kW electrical, components for heat only</v>
      </c>
      <c r="H561" t="s">
        <v>88</v>
      </c>
      <c r="J561" t="s">
        <v>147</v>
      </c>
      <c r="K561" t="str">
        <f>B519</f>
        <v>electricity, residential, by combustion of hydrogen using CHP, allocated by exergy, transported by truck, produced by Auto-thermal reforming using natural gas from Switzerland</v>
      </c>
      <c r="L561">
        <f t="shared" si="35"/>
        <v>2</v>
      </c>
      <c r="M561">
        <f t="shared" si="36"/>
        <v>-17.28941296868171</v>
      </c>
      <c r="N561">
        <v>1.05</v>
      </c>
      <c r="O561">
        <v>1.2</v>
      </c>
      <c r="P561">
        <v>1</v>
      </c>
      <c r="Q561">
        <v>1.01</v>
      </c>
      <c r="R561">
        <v>1.2</v>
      </c>
      <c r="S561">
        <v>1.2</v>
      </c>
      <c r="T561">
        <v>3</v>
      </c>
      <c r="U561">
        <f t="shared" si="37"/>
        <v>0.57209088006881903</v>
      </c>
    </row>
    <row r="562" spans="1:22" hidden="1" x14ac:dyDescent="0.2">
      <c r="A562" t="s">
        <v>156</v>
      </c>
      <c r="B562" s="52">
        <f>0.00000011366*B553</f>
        <v>9.9043276004456456E-8</v>
      </c>
      <c r="C562" t="s">
        <v>56</v>
      </c>
      <c r="E562" t="s">
        <v>90</v>
      </c>
      <c r="F562" t="s">
        <v>86</v>
      </c>
      <c r="G562" t="s">
        <v>154</v>
      </c>
      <c r="H562" t="s">
        <v>155</v>
      </c>
      <c r="K562" t="str">
        <f>B519</f>
        <v>electricity, residential, by combustion of hydrogen using CHP, allocated by exergy, transported by truck, produced by Auto-thermal reforming using natural gas from Switzerland</v>
      </c>
      <c r="L562">
        <f t="shared" si="35"/>
        <v>2</v>
      </c>
      <c r="M562">
        <f t="shared" si="36"/>
        <v>-16.127708950967754</v>
      </c>
      <c r="N562">
        <v>1.05</v>
      </c>
      <c r="O562">
        <v>1.2</v>
      </c>
      <c r="P562">
        <v>1</v>
      </c>
      <c r="Q562">
        <v>1.01</v>
      </c>
      <c r="R562">
        <v>1.2</v>
      </c>
      <c r="S562">
        <v>1.2</v>
      </c>
      <c r="T562">
        <v>1.05</v>
      </c>
      <c r="U562">
        <f t="shared" si="37"/>
        <v>0.16169679924070957</v>
      </c>
    </row>
    <row r="563" spans="1:22" hidden="1" x14ac:dyDescent="0.2">
      <c r="A563" t="s">
        <v>157</v>
      </c>
      <c r="B563" s="52">
        <f>0.00000011366*B553*-1</f>
        <v>-9.9043276004456456E-8</v>
      </c>
      <c r="C563" t="s">
        <v>56</v>
      </c>
      <c r="E563" t="s">
        <v>64</v>
      </c>
      <c r="F563" t="s">
        <v>86</v>
      </c>
      <c r="G563" t="s">
        <v>158</v>
      </c>
      <c r="H563" t="s">
        <v>155</v>
      </c>
      <c r="K563" t="str">
        <f>B519</f>
        <v>electricity, residential, by combustion of hydrogen using CHP, allocated by exergy, transported by truck, produced by Auto-thermal reforming using natural gas from Switzerland</v>
      </c>
      <c r="L563">
        <v>2</v>
      </c>
      <c r="M563">
        <f>IF(L563=2,LN(B563*-1),"")</f>
        <v>-16.127708950967754</v>
      </c>
      <c r="N563">
        <v>1.05</v>
      </c>
      <c r="O563">
        <v>1.2</v>
      </c>
      <c r="P563">
        <v>1</v>
      </c>
      <c r="Q563">
        <v>1.01</v>
      </c>
      <c r="R563">
        <v>1.2</v>
      </c>
      <c r="S563">
        <v>1.2</v>
      </c>
      <c r="T563">
        <v>3</v>
      </c>
      <c r="U563">
        <f>LN(SQRT(EXP(
SQRT(
+POWER(LN(N563),2)
+POWER(LN(O563),2)
+POWER(LN(P563),2)
+POWER(LN(Q563),2)
+POWER(LN(R563),2)
+POWER(LN(S563),2)
+POWER(LN(T563),2)
)
)))</f>
        <v>0.57209088006881903</v>
      </c>
      <c r="V563" t="b">
        <v>1</v>
      </c>
    </row>
    <row r="564" spans="1:22" hidden="1" x14ac:dyDescent="0.2">
      <c r="A564" s="45" t="str">
        <f>"hydrogen supply, transported by "&amp;B533&amp;", produced by "&amp;B537&amp;" using "&amp;B538&amp;" from "&amp;B539</f>
        <v>hydrogen supply, transported by truck, produced by Auto-thermal reforming using natural gas from Switzerland</v>
      </c>
      <c r="B564" s="53">
        <f>(B558/B542)/B541*B553</f>
        <v>6.6350221654343872E-2</v>
      </c>
      <c r="C564" t="s">
        <v>56</v>
      </c>
      <c r="E564" t="s">
        <v>64</v>
      </c>
      <c r="F564" t="s">
        <v>86</v>
      </c>
      <c r="G564" t="s">
        <v>1137</v>
      </c>
      <c r="H564" t="s">
        <v>76</v>
      </c>
      <c r="I564" t="s">
        <v>1054</v>
      </c>
      <c r="J564" t="s">
        <v>307</v>
      </c>
      <c r="K564" t="str">
        <f>B519</f>
        <v>electricity, residential, by combustion of hydrogen using CHP, allocated by exergy, transported by truck, produced by Auto-thermal reforming using natural gas from Switzerland</v>
      </c>
      <c r="L564">
        <f t="shared" si="35"/>
        <v>2</v>
      </c>
      <c r="M564">
        <f t="shared" si="36"/>
        <v>-2.7128081775260964</v>
      </c>
      <c r="N564">
        <v>1.05</v>
      </c>
      <c r="O564">
        <v>1.2</v>
      </c>
      <c r="P564">
        <v>1</v>
      </c>
      <c r="Q564">
        <v>1.01</v>
      </c>
      <c r="R564">
        <v>1.2</v>
      </c>
      <c r="S564">
        <v>1.2</v>
      </c>
      <c r="T564">
        <v>1.05</v>
      </c>
      <c r="U564">
        <f t="shared" si="37"/>
        <v>0.16169679924070957</v>
      </c>
    </row>
    <row r="565" spans="1:22" hidden="1" x14ac:dyDescent="0.2">
      <c r="A565" t="str">
        <f>VLOOKUP(J565,'dataset mapping'!$A$4:$E$69,2,0)</f>
        <v>high pressure hydrogen storage tank</v>
      </c>
      <c r="B565" s="52">
        <f>((B554/10)/(B552*B548*20))*IF(B553&lt;&gt;0,B553,1)</f>
        <v>6.7154714683034044E-6</v>
      </c>
      <c r="C565" t="str">
        <f>VLOOKUP(J565,'dataset mapping'!$A$4:$E$69,5,0)</f>
        <v>kilogram</v>
      </c>
      <c r="E565" t="str">
        <f>VLOOKUP(J565,'dataset mapping'!$A$4:$E$69,4,0)</f>
        <v>GLO</v>
      </c>
      <c r="F565" t="s">
        <v>86</v>
      </c>
      <c r="G565" t="str">
        <f>VLOOKUP(J565,'dataset mapping'!$A$4:$E$69,3,0)</f>
        <v>high pressure hydrogen storage tank</v>
      </c>
      <c r="H565" t="s">
        <v>88</v>
      </c>
      <c r="I565" t="s">
        <v>279</v>
      </c>
      <c r="J565" t="s">
        <v>229</v>
      </c>
      <c r="K565" t="str">
        <f>B519</f>
        <v>electricity, residential, by combustion of hydrogen using CHP, allocated by exergy, transported by truck, produced by Auto-thermal reforming using natural gas from Switzerland</v>
      </c>
      <c r="L565">
        <f t="shared" si="35"/>
        <v>2</v>
      </c>
      <c r="M565">
        <f t="shared" si="36"/>
        <v>-11.911096519239557</v>
      </c>
      <c r="N565">
        <v>1.05</v>
      </c>
      <c r="O565">
        <v>1.2</v>
      </c>
      <c r="P565">
        <v>1</v>
      </c>
      <c r="Q565">
        <v>1.01</v>
      </c>
      <c r="R565">
        <v>1.2</v>
      </c>
      <c r="S565">
        <v>1.2</v>
      </c>
      <c r="T565">
        <v>3</v>
      </c>
      <c r="U565">
        <f t="shared" si="37"/>
        <v>0.57209088006881903</v>
      </c>
    </row>
    <row r="566" spans="1:22" hidden="1" x14ac:dyDescent="0.2">
      <c r="A566" t="s">
        <v>134</v>
      </c>
      <c r="B566" s="45">
        <f>B564*9</f>
        <v>0.59715199488909487</v>
      </c>
      <c r="C566" t="s">
        <v>56</v>
      </c>
      <c r="D566" t="s">
        <v>100</v>
      </c>
      <c r="F566" t="s">
        <v>99</v>
      </c>
      <c r="H566" t="s">
        <v>131</v>
      </c>
      <c r="K566" t="str">
        <f>B519</f>
        <v>electricity, residential, by combustion of hydrogen using CHP, allocated by exergy, transported by truck, produced by Auto-thermal reforming using natural gas from Switzerland</v>
      </c>
      <c r="L566">
        <f t="shared" si="35"/>
        <v>2</v>
      </c>
      <c r="M566">
        <f t="shared" si="36"/>
        <v>-0.51558360018987692</v>
      </c>
      <c r="N566">
        <v>1.05</v>
      </c>
      <c r="O566">
        <v>1.2</v>
      </c>
      <c r="P566">
        <v>1</v>
      </c>
      <c r="Q566">
        <v>1.01</v>
      </c>
      <c r="R566">
        <v>1.2</v>
      </c>
      <c r="S566">
        <v>1.2</v>
      </c>
      <c r="T566">
        <v>1.05</v>
      </c>
      <c r="U566">
        <f t="shared" si="37"/>
        <v>0.16169679924070957</v>
      </c>
    </row>
    <row r="567" spans="1:22" hidden="1" x14ac:dyDescent="0.2">
      <c r="A567" t="s">
        <v>135</v>
      </c>
      <c r="B567" s="45">
        <f>912.5/1000000*B564</f>
        <v>6.0544577259588785E-5</v>
      </c>
      <c r="C567" t="s">
        <v>56</v>
      </c>
      <c r="D567" t="s">
        <v>100</v>
      </c>
      <c r="F567" t="s">
        <v>99</v>
      </c>
      <c r="H567" t="s">
        <v>131</v>
      </c>
      <c r="I567" t="s">
        <v>1217</v>
      </c>
      <c r="K567" t="str">
        <f>B519</f>
        <v>electricity, residential, by combustion of hydrogen using CHP, allocated by exergy, transported by truck, produced by Auto-thermal reforming using natural gas from Switzerland</v>
      </c>
      <c r="L567">
        <f t="shared" si="35"/>
        <v>2</v>
      </c>
      <c r="M567">
        <f t="shared" si="36"/>
        <v>-9.712130650033723</v>
      </c>
      <c r="N567">
        <v>1.05</v>
      </c>
      <c r="O567">
        <v>1.2</v>
      </c>
      <c r="P567">
        <v>1</v>
      </c>
      <c r="Q567">
        <v>1.01</v>
      </c>
      <c r="R567">
        <v>1.2</v>
      </c>
      <c r="S567">
        <v>1.2</v>
      </c>
      <c r="T567">
        <v>1.5</v>
      </c>
      <c r="U567">
        <f t="shared" si="37"/>
        <v>0.25816898211842121</v>
      </c>
    </row>
    <row r="568" spans="1:22" hidden="1" x14ac:dyDescent="0.2"/>
    <row r="569" spans="1:22" hidden="1" x14ac:dyDescent="0.2">
      <c r="A569" s="2" t="s">
        <v>50</v>
      </c>
      <c r="B569" s="44" t="str">
        <f>IF(B575="megajoule","heat","electricity")&amp;", residential, by "&amp;B580&amp;" of "&amp;B579&amp;" using "&amp;B581&amp;IF(B582&lt;&gt;0,", allocated by "&amp;B582,"")&amp;", transported by "&amp;B583&amp;", produced by "&amp;B587&amp;" using "&amp;B588&amp;" from "&amp;B589</f>
        <v>electricity, residential, by conversion of hydrogen using fuel cell, PEM, allocated by exergy, transported by truck, produced by Auto-thermal reforming using natural gas from Switzerland</v>
      </c>
    </row>
    <row r="570" spans="1:22" hidden="1" x14ac:dyDescent="0.2">
      <c r="A570" t="s">
        <v>51</v>
      </c>
      <c r="B570" s="45" t="str">
        <f>"This dataset represents the supply of 1 "&amp;IF(B575="megajoule","megajoule of heat","kilowatt hour of electricity")&amp;" in a residence, by "&amp;B579&amp;" "&amp;B580&amp;" in a "&amp;B581&amp;". "&amp;" The hydrogen is transported by "&amp;B583&amp;" over "&amp;B584&amp;" km from regional storage. "&amp;" The "&amp;B579&amp;" is produced by  "&amp;B587&amp;", with "&amp;B588&amp;" from "&amp;B589&amp;" as feedstock. "&amp;A591&amp;": "&amp;(B591*100)&amp;"%. "&amp;A592&amp;": "&amp;B592&amp;". "&amp;A593&amp;": "&amp;B593&amp;". "&amp;A594&amp;": "&amp;(B594*100)&amp;"%. "&amp;A595&amp;": "&amp;(B595*100)&amp;"%. "&amp;A596&amp;": "&amp;(B596*100)&amp;"%. "&amp;A597&amp;": "&amp;B597&amp;". "&amp;A598&amp;": "&amp;B598&amp;". "&amp;A599&amp;": "&amp;(B599*100)&amp;"%. "&amp;A600&amp;": "&amp;B600&amp;". "&amp;A601&amp;": "&amp;B601&amp;". "&amp;A602&amp;": "&amp;B602&amp;". "&amp;A603&amp;": "&amp;B603&amp;".  For more information, refer to: "&amp;B571</f>
        <v>This dataset represents the supply of 1 kilowatt hour of electricity in a residence, by hydrogen conversion in a fuel cell, PEM.  The hydrogen is transported by truck over 200 km from regional storage.  The hydrogen is produced by  Auto-thermal reforming,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571" spans="1:22" hidden="1" x14ac:dyDescent="0.2">
      <c r="A571" t="s">
        <v>63</v>
      </c>
      <c r="B571" s="45" t="s">
        <v>660</v>
      </c>
    </row>
    <row r="572" spans="1:22" hidden="1" x14ac:dyDescent="0.2">
      <c r="A572" t="s">
        <v>52</v>
      </c>
      <c r="B572" s="45" t="s">
        <v>64</v>
      </c>
    </row>
    <row r="573" spans="1:22" hidden="1" x14ac:dyDescent="0.2">
      <c r="A573" t="s">
        <v>48</v>
      </c>
      <c r="B573" s="45" t="s">
        <v>965</v>
      </c>
    </row>
    <row r="574" spans="1:22" hidden="1" x14ac:dyDescent="0.2">
      <c r="A574" t="s">
        <v>54</v>
      </c>
      <c r="B574" s="45" t="str">
        <f>INDEX(overview!$B$4:$R$338,MATCH(B573,overview!$A$4:$A$338,0),MATCH(A574,overview!$B$3:$R$3,0))</f>
        <v>electricity, from residential heating system</v>
      </c>
    </row>
    <row r="575" spans="1:22" hidden="1" x14ac:dyDescent="0.2">
      <c r="A575" t="s">
        <v>55</v>
      </c>
      <c r="B575" s="45" t="str">
        <f>INDEX(overview!$B$4:$R$338,MATCH(B573,overview!$A$4:$A$338,0),MATCH(A575,overview!$B$3:$R$3,0))</f>
        <v>kilowatt hour</v>
      </c>
    </row>
    <row r="576" spans="1:22" hidden="1" x14ac:dyDescent="0.2">
      <c r="A576" t="s">
        <v>0</v>
      </c>
      <c r="B576" s="45" t="str">
        <f>INDEX(overview!$B$4:$R$338,MATCH(B573,overview!$A$4:$A$338,0),MATCH(A576,overview!$B$3:$R$3,0))</f>
        <v>Switzerland</v>
      </c>
    </row>
    <row r="577" spans="1:2" hidden="1" x14ac:dyDescent="0.2">
      <c r="A577" t="s">
        <v>1</v>
      </c>
      <c r="B577" s="45">
        <f>INDEX(overview!$B$4:$R$338,MATCH(B573,overview!$A$4:$A$338,0),MATCH(A577,overview!$B$3:$R$3,0))</f>
        <v>2020</v>
      </c>
    </row>
    <row r="578" spans="1:2" hidden="1" x14ac:dyDescent="0.2">
      <c r="A578" t="s">
        <v>2</v>
      </c>
      <c r="B578" s="45" t="str">
        <f>INDEX(overview!$B$4:$R$338,MATCH(B573,overview!$A$4:$A$338,0),MATCH(A578,overview!$B$3:$R$3,0))</f>
        <v>1 kWh electricity</v>
      </c>
    </row>
    <row r="579" spans="1:2" hidden="1" x14ac:dyDescent="0.2">
      <c r="A579" t="s">
        <v>5</v>
      </c>
      <c r="B579" s="45" t="str">
        <f>INDEX(overview!$B$4:$R$338,MATCH(B573,overview!$A$4:$A$338,0),MATCH(A579,overview!$B$3:$R$3,0))</f>
        <v>hydrogen</v>
      </c>
    </row>
    <row r="580" spans="1:2" hidden="1" x14ac:dyDescent="0.2">
      <c r="A580" t="s">
        <v>3</v>
      </c>
      <c r="B580" s="45" t="str">
        <f>INDEX(overview!$B$4:$R$338,MATCH(B573,overview!$A$4:$A$338,0),MATCH(A580,overview!$B$3:$R$3,0))</f>
        <v>conversion</v>
      </c>
    </row>
    <row r="581" spans="1:2" hidden="1" x14ac:dyDescent="0.2">
      <c r="A581" t="s">
        <v>6</v>
      </c>
      <c r="B581" s="45" t="str">
        <f>INDEX(overview!$B$4:$R$338,MATCH(B573,overview!$A$4:$A$338,0),MATCH(A581,overview!$B$3:$R$3,0))</f>
        <v>fuel cell, PEM</v>
      </c>
    </row>
    <row r="582" spans="1:2" hidden="1" x14ac:dyDescent="0.2">
      <c r="A582" t="s">
        <v>39</v>
      </c>
      <c r="B582" s="45" t="str">
        <f>INDEX(overview!$B$4:$R$338,MATCH(B573,overview!$A$4:$A$338,0),MATCH(A582,overview!$B$3:$R$3,0))</f>
        <v>exergy</v>
      </c>
    </row>
    <row r="583" spans="1:2" hidden="1" x14ac:dyDescent="0.2">
      <c r="A583" t="s">
        <v>4</v>
      </c>
      <c r="B583" s="45" t="str">
        <f>INDEX(overview!$B$4:$R$338,MATCH(B573,overview!$A$4:$A$338,0),MATCH(A583,overview!$B$3:$R$3,0))</f>
        <v>truck</v>
      </c>
    </row>
    <row r="584" spans="1:2" hidden="1" x14ac:dyDescent="0.2">
      <c r="A584" t="s">
        <v>38</v>
      </c>
      <c r="B584" s="45">
        <f>INDEX(overview!$B$4:$R$338,MATCH(B573,overview!$A$4:$A$338,0),MATCH(A584,overview!$B$3:$R$3,0))</f>
        <v>200</v>
      </c>
    </row>
    <row r="585" spans="1:2" hidden="1" x14ac:dyDescent="0.2">
      <c r="A585" t="s">
        <v>12</v>
      </c>
      <c r="B585" s="45" t="str">
        <f>INDEX(overview!$B$4:$R$338,MATCH(B573,overview!$A$4:$A$338,0),MATCH(A585,overview!$B$3:$R$3,0))</f>
        <v>Pressure vessel for stationary storage</v>
      </c>
    </row>
    <row r="586" spans="1:2" hidden="1" x14ac:dyDescent="0.2">
      <c r="A586" t="s">
        <v>34</v>
      </c>
      <c r="B586" s="45">
        <f>INDEX(overview!$B$4:$R$338,MATCH(B573,overview!$A$4:$A$338,0),MATCH(A586,overview!$B$3:$R$3,0))</f>
        <v>0</v>
      </c>
    </row>
    <row r="587" spans="1:2" hidden="1" x14ac:dyDescent="0.2">
      <c r="A587" t="s">
        <v>15</v>
      </c>
      <c r="B587" s="45" t="str">
        <f>INDEX(overview!$B$4:$R$338,MATCH(B573,overview!$A$4:$A$338,0),MATCH(A587,overview!$B$3:$R$3,0))</f>
        <v>Auto-thermal reforming</v>
      </c>
    </row>
    <row r="588" spans="1:2" hidden="1" x14ac:dyDescent="0.2">
      <c r="A588" t="s">
        <v>14</v>
      </c>
      <c r="B588" s="45" t="str">
        <f>INDEX(overview!$B$4:$R$338,MATCH(B573,overview!$A$4:$A$338,0),MATCH(A588,overview!$B$3:$R$3,0))</f>
        <v>natural gas</v>
      </c>
    </row>
    <row r="589" spans="1:2" hidden="1" x14ac:dyDescent="0.2">
      <c r="A589" t="s">
        <v>26</v>
      </c>
      <c r="B589" s="45" t="str">
        <f>INDEX(overview!$B$4:$R$338,MATCH(B573,overview!$A$4:$A$338,0),MATCH(A589,overview!$B$3:$R$3,0))</f>
        <v>Switzerland</v>
      </c>
    </row>
    <row r="590" spans="1:2" hidden="1" x14ac:dyDescent="0.2">
      <c r="A590" t="s">
        <v>29</v>
      </c>
      <c r="B590" s="45">
        <f>INDEX(overview!$B$4:$R$338,MATCH(B573,overview!$A$4:$A$338,0),MATCH(A590,overview!$B$3:$R$3,0))</f>
        <v>0</v>
      </c>
    </row>
    <row r="591" spans="1:2" hidden="1" x14ac:dyDescent="0.2">
      <c r="A591" t="str">
        <f>IF(B575="megajoule","Heat","Electricity")&amp;" conversion efficiency [% LHV input]"</f>
        <v>Electricity conversion efficiency [% LHV input]</v>
      </c>
      <c r="B591" s="46">
        <f>INDEX(parameters!$D$4:$N$20,MATCH(B579&amp;B581,parameters!$A$4:$A$20,0),MATCH(A591,parameters!$D$3:$N$3,0))</f>
        <v>0.45</v>
      </c>
    </row>
    <row r="592" spans="1:2" hidden="1" x14ac:dyDescent="0.2">
      <c r="A592" t="str">
        <f>IF(B575="megajoule","LHV [MJ/kg]","LHV [kWh/kg]")</f>
        <v>LHV [kWh/kg]</v>
      </c>
      <c r="B592" s="47">
        <f>INDEX(parameters!$D$4:$N$20,MATCH(B579&amp;B581,parameters!$A$4:$A$20,0),MATCH(A592,parameters!$D$3:$N$3,0))</f>
        <v>33.333333333333336</v>
      </c>
    </row>
    <row r="593" spans="1:22" hidden="1" x14ac:dyDescent="0.2">
      <c r="A593" t="s">
        <v>41</v>
      </c>
      <c r="B593" s="48">
        <f>INDEX(parameters!$D$4:$N$20,MATCH(B579&amp;B581,parameters!$A$4:$A$20,0),MATCH(A593,parameters!$D$3:$N$3,0))</f>
        <v>2.6666666666666665E-2</v>
      </c>
    </row>
    <row r="594" spans="1:22" hidden="1" x14ac:dyDescent="0.2">
      <c r="A594" t="s">
        <v>45</v>
      </c>
      <c r="B594" s="46">
        <f>INDEX(parameters!$D$4:$N$20,MATCH(B579&amp;B581,parameters!$A$4:$A$20,0),MATCH(A594,parameters!$D$3:$N$3,0))</f>
        <v>0</v>
      </c>
    </row>
    <row r="595" spans="1:22" hidden="1" x14ac:dyDescent="0.2">
      <c r="A595" t="s">
        <v>46</v>
      </c>
      <c r="B595" s="46">
        <f>INDEX(parameters!$D$4:$N$20,MATCH(B579&amp;B581,parameters!$A$4:$A$20,0),MATCH(A595,parameters!$D$3:$N$3,0))</f>
        <v>1.4999999999999999E-2</v>
      </c>
    </row>
    <row r="596" spans="1:22" hidden="1" x14ac:dyDescent="0.2">
      <c r="A596" t="s">
        <v>43</v>
      </c>
      <c r="B596" s="46">
        <f>INDEX(parameters!$D$4:$N$20,MATCH(B579&amp;B581,parameters!$A$4:$A$20,0),MATCH(A596,parameters!$D$3:$N$3,0))</f>
        <v>0</v>
      </c>
    </row>
    <row r="597" spans="1:22" hidden="1" x14ac:dyDescent="0.2">
      <c r="A597" t="s">
        <v>44</v>
      </c>
      <c r="B597" s="46">
        <f>INDEX(parameters!$D$4:$N$20,MATCH(B579&amp;B581,parameters!$A$4:$A$20,0),MATCH(A597,parameters!$D$3:$N$3,0))</f>
        <v>0</v>
      </c>
    </row>
    <row r="598" spans="1:22" hidden="1" x14ac:dyDescent="0.2">
      <c r="A598" t="s">
        <v>634</v>
      </c>
      <c r="B598" s="47">
        <f>INDEX(parameters!$D$4:$Y$20,MATCH(B579&amp;B581,parameters!$A$4:$A$20,0),MATCH(A598,parameters!$D$3:$Y$3,0))</f>
        <v>1.8947368421052633</v>
      </c>
    </row>
    <row r="599" spans="1:22" hidden="1" x14ac:dyDescent="0.2">
      <c r="A599" t="s">
        <v>82</v>
      </c>
      <c r="B599" s="46">
        <f>IF(B590&lt;&gt;0,VLOOKUP(B590,parameters!A509:B511,2,0),0)</f>
        <v>0</v>
      </c>
    </row>
    <row r="600" spans="1:22" hidden="1" x14ac:dyDescent="0.2">
      <c r="A600" t="s">
        <v>548</v>
      </c>
      <c r="B600" s="50">
        <f>INDEX(parameters!$D$4:$P$20,MATCH(B579&amp;B581,parameters!$A$4:$A$20,0),MATCH(A600,parameters!$D$3:$P$3,0))</f>
        <v>0.8</v>
      </c>
    </row>
    <row r="601" spans="1:22" hidden="1" x14ac:dyDescent="0.2">
      <c r="A601" t="s">
        <v>547</v>
      </c>
      <c r="B601" s="51">
        <f>INDEX(parameters!$D$4:$P$20,MATCH(B579&amp;B581,parameters!$A$4:$A$20,0),MATCH(A601,parameters!$D$3:$P$3,0))</f>
        <v>4.8780487804878048</v>
      </c>
    </row>
    <row r="602" spans="1:22" hidden="1" x14ac:dyDescent="0.2">
      <c r="A602" t="s">
        <v>630</v>
      </c>
      <c r="B602" s="51">
        <f>INDEX(parameters!$D$4:$T$20,MATCH(B579&amp;B581,parameters!$A$4:$A$20,0),MATCH(A602,parameters!$D$3:$T$3,0))</f>
        <v>4100</v>
      </c>
    </row>
    <row r="603" spans="1:22" hidden="1" x14ac:dyDescent="0.2">
      <c r="A603" t="s">
        <v>1005</v>
      </c>
      <c r="B603" s="50">
        <f>IF(B575="megajoule",SUMIFS(allocation!$I$4:$I$30,allocation!$B$4:$B$30,B581,allocation!$C$4:$C$30,B582),SUMIFS(allocation!$J$4:$J$30,allocation!$B$4:$B$30,B581,allocation!$C$4:$C$30,B582))</f>
        <v>0.86066019201025545</v>
      </c>
    </row>
    <row r="604" spans="1:22" hidden="1" x14ac:dyDescent="0.2">
      <c r="A604" t="s">
        <v>1050</v>
      </c>
      <c r="B604" s="51">
        <f>INDEX(parameters!$D$4:$AB$20,MATCH(B579&amp;B581,parameters!$A$4:$A$20,0),MATCH(A604,parameters!$D$3:$AB$3,0))</f>
        <v>10.221606648199446</v>
      </c>
    </row>
    <row r="605" spans="1:22" hidden="1" x14ac:dyDescent="0.2"/>
    <row r="606" spans="1:22" hidden="1" x14ac:dyDescent="0.2">
      <c r="A606" s="3" t="s">
        <v>57</v>
      </c>
    </row>
    <row r="607" spans="1:22" hidden="1" x14ac:dyDescent="0.2">
      <c r="A607" s="2" t="s">
        <v>58</v>
      </c>
      <c r="B607" s="44" t="s">
        <v>59</v>
      </c>
      <c r="C607" s="2" t="s">
        <v>55</v>
      </c>
      <c r="D607" s="2" t="s">
        <v>60</v>
      </c>
      <c r="E607" s="2" t="s">
        <v>52</v>
      </c>
      <c r="F607" s="2" t="s">
        <v>61</v>
      </c>
      <c r="G607" s="2" t="s">
        <v>54</v>
      </c>
      <c r="H607" s="2" t="s">
        <v>87</v>
      </c>
      <c r="I607" s="2" t="s">
        <v>51</v>
      </c>
      <c r="J607" s="2" t="s">
        <v>138</v>
      </c>
      <c r="K607" s="2" t="s">
        <v>136</v>
      </c>
      <c r="L607" s="2" t="s">
        <v>221</v>
      </c>
      <c r="M607" s="2" t="s">
        <v>379</v>
      </c>
      <c r="N607" s="2" t="s">
        <v>1059</v>
      </c>
      <c r="O607" s="2" t="s">
        <v>1060</v>
      </c>
      <c r="P607" s="2" t="s">
        <v>1061</v>
      </c>
      <c r="Q607" s="2" t="s">
        <v>1062</v>
      </c>
      <c r="R607" s="2" t="s">
        <v>1063</v>
      </c>
      <c r="S607" s="2" t="s">
        <v>1064</v>
      </c>
      <c r="T607" s="2" t="s">
        <v>1065</v>
      </c>
      <c r="U607" s="2" t="s">
        <v>380</v>
      </c>
      <c r="V607" s="2" t="s">
        <v>1128</v>
      </c>
    </row>
    <row r="608" spans="1:22" x14ac:dyDescent="0.2">
      <c r="A608" t="str">
        <f>B569</f>
        <v>electricity, residential, by conversion of hydrogen using fuel cell, PEM, allocated by exergy, transported by truck, produced by Auto-thermal reforming using natural gas from Switzerland</v>
      </c>
      <c r="B608" s="45">
        <v>1</v>
      </c>
      <c r="C608" t="str">
        <f>B575</f>
        <v>kilowatt hour</v>
      </c>
      <c r="E608" t="str">
        <f>B572</f>
        <v>CH</v>
      </c>
      <c r="F608" t="s">
        <v>62</v>
      </c>
      <c r="G608" t="str">
        <f>B574</f>
        <v>electricity, from residential heating system</v>
      </c>
      <c r="K608" t="str">
        <f>B569</f>
        <v>electricity, residential, by conversion of hydrogen using fuel cell, PEM, allocated by exergy, transported by truck, produced by Auto-thermal reforming using natural gas from Switzerland</v>
      </c>
    </row>
    <row r="609" spans="1:21" hidden="1" x14ac:dyDescent="0.2">
      <c r="A609" t="str">
        <f>VLOOKUP(J609,'dataset mapping'!$A$4:$E$69,2,0)</f>
        <v>fuel cell system assembly, 1 kWe, proton exchange membrane (PEM)</v>
      </c>
      <c r="B609" s="52">
        <f>(1/(B598*B602*B601))*B603</f>
        <v>2.2711866178048405E-5</v>
      </c>
      <c r="C609" t="str">
        <f>VLOOKUP(J609,'dataset mapping'!$A$4:$E$69,5,0)</f>
        <v>unit</v>
      </c>
      <c r="E609" t="str">
        <f>VLOOKUP(J609,'dataset mapping'!$A$4:$E$69,4,0)</f>
        <v>GLO</v>
      </c>
      <c r="F609" t="s">
        <v>86</v>
      </c>
      <c r="G609" t="str">
        <f>VLOOKUP(J609,'dataset mapping'!$A$4:$E$69,3,0)</f>
        <v>fuel cell system, 1 kWe, proton exchange membrane (PEM)</v>
      </c>
      <c r="H609" t="s">
        <v>88</v>
      </c>
      <c r="I609" t="s">
        <v>272</v>
      </c>
      <c r="J609" t="s">
        <v>273</v>
      </c>
      <c r="K609" t="str">
        <f>B569</f>
        <v>electricity, residential, by conversion of hydrogen using fuel cell, PEM, allocated by exergy, transported by truck, produced by Auto-thermal reforming using natural gas from Switzerland</v>
      </c>
      <c r="L609">
        <f t="shared" ref="L609:L612" si="38">IF(OR(B609&lt;0,B609=0),1,2)</f>
        <v>2</v>
      </c>
      <c r="M609">
        <f t="shared" ref="M609:M612" si="39">IF(L609=2,LN(B609),"")</f>
        <v>-10.692623030936341</v>
      </c>
      <c r="N609">
        <v>1</v>
      </c>
      <c r="O609">
        <v>1.2</v>
      </c>
      <c r="P609">
        <v>1</v>
      </c>
      <c r="Q609">
        <v>1.01</v>
      </c>
      <c r="R609">
        <v>1.2</v>
      </c>
      <c r="S609">
        <v>1.2</v>
      </c>
      <c r="T609">
        <v>3</v>
      </c>
      <c r="U609">
        <f t="shared" ref="U609:U612" si="40">LN(SQRT(EXP(
SQRT(
+POWER(LN(N609),2)
+POWER(LN(O609),2)
+POWER(LN(P609),2)
+POWER(LN(Q609),2)
+POWER(LN(R609),2)
+POWER(LN(S609),2)
+POWER(LN(T609),2)
)
)))</f>
        <v>0.57157051623399524</v>
      </c>
    </row>
    <row r="610" spans="1:21" hidden="1" x14ac:dyDescent="0.2">
      <c r="A610" s="45" t="str">
        <f>"hydrogen supply, transported by "&amp;B583&amp;", produced by "&amp;B587&amp;" using "&amp;B588&amp;" from "&amp;B589</f>
        <v>hydrogen supply, transported by truck, produced by Auto-thermal reforming using natural gas from Switzerland</v>
      </c>
      <c r="B610" s="53">
        <f>(B608/B592)/B591*B603</f>
        <v>5.7377346134017029E-2</v>
      </c>
      <c r="C610" t="s">
        <v>56</v>
      </c>
      <c r="E610" t="s">
        <v>64</v>
      </c>
      <c r="F610" t="s">
        <v>86</v>
      </c>
      <c r="G610" t="s">
        <v>1137</v>
      </c>
      <c r="H610" t="s">
        <v>76</v>
      </c>
      <c r="I610" t="s">
        <v>1054</v>
      </c>
      <c r="J610" t="s">
        <v>307</v>
      </c>
      <c r="K610" t="str">
        <f>B569</f>
        <v>electricity, residential, by conversion of hydrogen using fuel cell, PEM, allocated by exergy, transported by truck, produced by Auto-thermal reforming using natural gas from Switzerland</v>
      </c>
      <c r="L610">
        <f t="shared" si="38"/>
        <v>2</v>
      </c>
      <c r="M610">
        <f t="shared" si="39"/>
        <v>-2.8581057202127536</v>
      </c>
      <c r="N610">
        <v>1</v>
      </c>
      <c r="O610">
        <v>1.2</v>
      </c>
      <c r="P610">
        <v>1</v>
      </c>
      <c r="Q610">
        <v>1.01</v>
      </c>
      <c r="R610">
        <v>1.2</v>
      </c>
      <c r="S610">
        <v>1.2</v>
      </c>
      <c r="T610">
        <v>1.05</v>
      </c>
      <c r="U610">
        <f t="shared" si="40"/>
        <v>0.15984597228197622</v>
      </c>
    </row>
    <row r="611" spans="1:21" hidden="1" x14ac:dyDescent="0.2">
      <c r="A611" t="str">
        <f>VLOOKUP(J611,'dataset mapping'!$A$4:$E$69,2,0)</f>
        <v>high pressure hydrogen storage tank</v>
      </c>
      <c r="B611" s="52">
        <f>((B604/10)/(B602*B598*20))*IF(B603&lt;&gt;0,B603,1)</f>
        <v>5.6622381053306285E-6</v>
      </c>
      <c r="C611" t="str">
        <f>VLOOKUP(J611,'dataset mapping'!$A$4:$E$69,5,0)</f>
        <v>kilogram</v>
      </c>
      <c r="E611" t="str">
        <f>VLOOKUP(J611,'dataset mapping'!$A$4:$E$69,4,0)</f>
        <v>GLO</v>
      </c>
      <c r="F611" t="s">
        <v>86</v>
      </c>
      <c r="G611" t="str">
        <f>VLOOKUP(J611,'dataset mapping'!$A$4:$E$69,3,0)</f>
        <v>high pressure hydrogen storage tank</v>
      </c>
      <c r="H611" t="s">
        <v>88</v>
      </c>
      <c r="I611" t="s">
        <v>280</v>
      </c>
      <c r="J611" t="s">
        <v>229</v>
      </c>
      <c r="K611" t="str">
        <f>B569</f>
        <v>electricity, residential, by conversion of hydrogen using fuel cell, PEM, allocated by exergy, transported by truck, produced by Auto-thermal reforming using natural gas from Switzerland</v>
      </c>
      <c r="L611">
        <f t="shared" si="38"/>
        <v>2</v>
      </c>
      <c r="M611">
        <f t="shared" si="39"/>
        <v>-12.081691318938956</v>
      </c>
      <c r="N611">
        <v>1</v>
      </c>
      <c r="O611">
        <v>1.2</v>
      </c>
      <c r="P611">
        <v>1</v>
      </c>
      <c r="Q611">
        <v>1.01</v>
      </c>
      <c r="R611">
        <v>1.2</v>
      </c>
      <c r="S611">
        <v>1.2</v>
      </c>
      <c r="T611">
        <v>3</v>
      </c>
      <c r="U611">
        <f t="shared" si="40"/>
        <v>0.57157051623399524</v>
      </c>
    </row>
    <row r="612" spans="1:21" hidden="1" x14ac:dyDescent="0.2">
      <c r="A612" t="s">
        <v>134</v>
      </c>
      <c r="B612" s="45">
        <f>B610*9</f>
        <v>0.51639611520615325</v>
      </c>
      <c r="C612" t="s">
        <v>56</v>
      </c>
      <c r="D612" t="s">
        <v>100</v>
      </c>
      <c r="F612" t="s">
        <v>99</v>
      </c>
      <c r="H612" t="s">
        <v>131</v>
      </c>
      <c r="I612" t="s">
        <v>289</v>
      </c>
      <c r="K612" t="str">
        <f>B569</f>
        <v>electricity, residential, by conversion of hydrogen using fuel cell, PEM, allocated by exergy, transported by truck, produced by Auto-thermal reforming using natural gas from Switzerland</v>
      </c>
      <c r="L612">
        <f t="shared" si="38"/>
        <v>2</v>
      </c>
      <c r="M612">
        <f t="shared" si="39"/>
        <v>-0.6608811428765341</v>
      </c>
      <c r="N612">
        <v>1</v>
      </c>
      <c r="O612">
        <v>1.2</v>
      </c>
      <c r="P612">
        <v>1</v>
      </c>
      <c r="Q612">
        <v>1.01</v>
      </c>
      <c r="R612">
        <v>1.2</v>
      </c>
      <c r="S612">
        <v>1.2</v>
      </c>
      <c r="T612">
        <v>1.05</v>
      </c>
      <c r="U612">
        <f t="shared" si="40"/>
        <v>0.15984597228197622</v>
      </c>
    </row>
    <row r="613" spans="1:21" hidden="1" x14ac:dyDescent="0.2"/>
    <row r="614" spans="1:21" hidden="1" x14ac:dyDescent="0.2">
      <c r="A614" s="2" t="s">
        <v>50</v>
      </c>
      <c r="B614" s="44" t="str">
        <f>IF(B620="megajoule","heat","electricity")&amp;", residential, by "&amp;B625&amp;" of "&amp;B624&amp;" using "&amp;B626&amp;IF(B627&lt;&gt;0,", allocated by "&amp;B627,"")&amp;", transported by "&amp;B628&amp;", produced by "&amp;B632&amp;" using "&amp;B633&amp;" from "&amp;B634</f>
        <v>electricity, residential, by conversion of hydrogen using fuel cell, SOFC, allocated by exergy, transported by truck, produced by Auto-thermal reforming using natural gas from Switzerland</v>
      </c>
    </row>
    <row r="615" spans="1:21" hidden="1" x14ac:dyDescent="0.2">
      <c r="A615" t="s">
        <v>51</v>
      </c>
      <c r="B615" s="45" t="str">
        <f>"This dataset represents the supply of 1 "&amp;IF(B620="megajoule","megajoule of heat","kilowatt hour of electricity")&amp;" in a residence, by "&amp;B624&amp;" "&amp;B625&amp;" in a "&amp;B626&amp;". "&amp;" The hydrogen is transported by "&amp;B628&amp;" over "&amp;B629&amp;" km from regional storage. "&amp;" The "&amp;B624&amp;" is produced by  "&amp;B632&amp;", with "&amp;B633&amp;" from "&amp;B634&amp;" as feedstock. "&amp;A636&amp;": "&amp;(B636*100)&amp;"%. "&amp;A637&amp;": "&amp;B637&amp;". "&amp;A638&amp;": "&amp;B638&amp;". "&amp;A639&amp;": "&amp;(B639*100)&amp;"%. "&amp;A640&amp;": "&amp;(B640*100)&amp;"%. "&amp;A641&amp;": "&amp;(B641*100)&amp;"%. "&amp;A642&amp;": "&amp;B642&amp;". "&amp;A643&amp;": "&amp;B643&amp;". "&amp;A644&amp;": "&amp;(B644*100)&amp;"%. "&amp;A645&amp;": "&amp;B645&amp;". "&amp;A646&amp;": "&amp;B646&amp;". "&amp;A647&amp;": "&amp;B647&amp;". "&amp;A648&amp;": "&amp;B648&amp;".  For more information, refer to: "&amp;B616</f>
        <v>This dataset represents the supply of 1 kilowatt hour of electricity in a residence, by hydrogen conversion in a fuel cell, SOFC.  The hydrogen is transported by truck over 200 km from regional storage.  The hydrogen is produced by  Auto-thermal reforming,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616" spans="1:21" hidden="1" x14ac:dyDescent="0.2">
      <c r="A616" t="s">
        <v>63</v>
      </c>
      <c r="B616" s="45" t="s">
        <v>660</v>
      </c>
    </row>
    <row r="617" spans="1:21" hidden="1" x14ac:dyDescent="0.2">
      <c r="A617" t="s">
        <v>52</v>
      </c>
      <c r="B617" s="45" t="s">
        <v>64</v>
      </c>
    </row>
    <row r="618" spans="1:21" hidden="1" x14ac:dyDescent="0.2">
      <c r="A618" t="s">
        <v>48</v>
      </c>
      <c r="B618" s="45" t="s">
        <v>966</v>
      </c>
    </row>
    <row r="619" spans="1:21" hidden="1" x14ac:dyDescent="0.2">
      <c r="A619" t="s">
        <v>54</v>
      </c>
      <c r="B619" s="45" t="str">
        <f>INDEX(overview!$B$4:$R$338,MATCH(B618,overview!$A$4:$A$338,0),MATCH(A619,overview!$B$3:$R$3,0))</f>
        <v>electricity, from residential heating system</v>
      </c>
    </row>
    <row r="620" spans="1:21" hidden="1" x14ac:dyDescent="0.2">
      <c r="A620" t="s">
        <v>55</v>
      </c>
      <c r="B620" s="45" t="str">
        <f>INDEX(overview!$B$4:$R$338,MATCH(B618,overview!$A$4:$A$338,0),MATCH(A620,overview!$B$3:$R$3,0))</f>
        <v>kilowatt hour</v>
      </c>
    </row>
    <row r="621" spans="1:21" hidden="1" x14ac:dyDescent="0.2">
      <c r="A621" t="s">
        <v>0</v>
      </c>
      <c r="B621" s="45" t="str">
        <f>INDEX(overview!$B$4:$R$338,MATCH(B618,overview!$A$4:$A$338,0),MATCH(A621,overview!$B$3:$R$3,0))</f>
        <v>Switzerland</v>
      </c>
    </row>
    <row r="622" spans="1:21" hidden="1" x14ac:dyDescent="0.2">
      <c r="A622" t="s">
        <v>1</v>
      </c>
      <c r="B622" s="45">
        <f>INDEX(overview!$B$4:$R$338,MATCH(B618,overview!$A$4:$A$338,0),MATCH(A622,overview!$B$3:$R$3,0))</f>
        <v>2020</v>
      </c>
    </row>
    <row r="623" spans="1:21" hidden="1" x14ac:dyDescent="0.2">
      <c r="A623" t="s">
        <v>2</v>
      </c>
      <c r="B623" s="45" t="str">
        <f>INDEX(overview!$B$4:$R$338,MATCH(B618,overview!$A$4:$A$338,0),MATCH(A623,overview!$B$3:$R$3,0))</f>
        <v>1 kWh electricity</v>
      </c>
    </row>
    <row r="624" spans="1:21" hidden="1" x14ac:dyDescent="0.2">
      <c r="A624" t="s">
        <v>5</v>
      </c>
      <c r="B624" s="45" t="str">
        <f>INDEX(overview!$B$4:$R$338,MATCH(B618,overview!$A$4:$A$338,0),MATCH(A624,overview!$B$3:$R$3,0))</f>
        <v>hydrogen</v>
      </c>
    </row>
    <row r="625" spans="1:2" hidden="1" x14ac:dyDescent="0.2">
      <c r="A625" t="s">
        <v>3</v>
      </c>
      <c r="B625" s="45" t="str">
        <f>INDEX(overview!$B$4:$R$338,MATCH(B618,overview!$A$4:$A$338,0),MATCH(A625,overview!$B$3:$R$3,0))</f>
        <v>conversion</v>
      </c>
    </row>
    <row r="626" spans="1:2" hidden="1" x14ac:dyDescent="0.2">
      <c r="A626" t="s">
        <v>6</v>
      </c>
      <c r="B626" s="45" t="str">
        <f>INDEX(overview!$B$4:$R$338,MATCH(B618,overview!$A$4:$A$338,0),MATCH(A626,overview!$B$3:$R$3,0))</f>
        <v>fuel cell, SOFC</v>
      </c>
    </row>
    <row r="627" spans="1:2" hidden="1" x14ac:dyDescent="0.2">
      <c r="A627" t="s">
        <v>39</v>
      </c>
      <c r="B627" s="45" t="str">
        <f>INDEX(overview!$B$4:$R$338,MATCH(B618,overview!$A$4:$A$338,0),MATCH(A627,overview!$B$3:$R$3,0))</f>
        <v>exergy</v>
      </c>
    </row>
    <row r="628" spans="1:2" hidden="1" x14ac:dyDescent="0.2">
      <c r="A628" t="s">
        <v>4</v>
      </c>
      <c r="B628" s="45" t="str">
        <f>INDEX(overview!$B$4:$R$338,MATCH(B618,overview!$A$4:$A$338,0),MATCH(A628,overview!$B$3:$R$3,0))</f>
        <v>truck</v>
      </c>
    </row>
    <row r="629" spans="1:2" hidden="1" x14ac:dyDescent="0.2">
      <c r="A629" t="s">
        <v>38</v>
      </c>
      <c r="B629" s="45">
        <f>INDEX(overview!$B$4:$R$338,MATCH(B618,overview!$A$4:$A$338,0),MATCH(A629,overview!$B$3:$R$3,0))</f>
        <v>200</v>
      </c>
    </row>
    <row r="630" spans="1:2" hidden="1" x14ac:dyDescent="0.2">
      <c r="A630" t="s">
        <v>12</v>
      </c>
      <c r="B630" s="45" t="str">
        <f>INDEX(overview!$B$4:$R$338,MATCH(B618,overview!$A$4:$A$338,0),MATCH(A630,overview!$B$3:$R$3,0))</f>
        <v>Pressure vessel for stationary storage</v>
      </c>
    </row>
    <row r="631" spans="1:2" hidden="1" x14ac:dyDescent="0.2">
      <c r="A631" t="s">
        <v>34</v>
      </c>
      <c r="B631" s="45">
        <f>INDEX(overview!$B$4:$R$338,MATCH(B618,overview!$A$4:$A$338,0),MATCH(A631,overview!$B$3:$R$3,0))</f>
        <v>0</v>
      </c>
    </row>
    <row r="632" spans="1:2" hidden="1" x14ac:dyDescent="0.2">
      <c r="A632" t="s">
        <v>15</v>
      </c>
      <c r="B632" s="45" t="str">
        <f>INDEX(overview!$B$4:$R$338,MATCH(B618,overview!$A$4:$A$338,0),MATCH(A632,overview!$B$3:$R$3,0))</f>
        <v>Auto-thermal reforming</v>
      </c>
    </row>
    <row r="633" spans="1:2" hidden="1" x14ac:dyDescent="0.2">
      <c r="A633" t="s">
        <v>14</v>
      </c>
      <c r="B633" s="45" t="str">
        <f>INDEX(overview!$B$4:$R$338,MATCH(B618,overview!$A$4:$A$338,0),MATCH(A633,overview!$B$3:$R$3,0))</f>
        <v>natural gas</v>
      </c>
    </row>
    <row r="634" spans="1:2" hidden="1" x14ac:dyDescent="0.2">
      <c r="A634" t="s">
        <v>26</v>
      </c>
      <c r="B634" s="45" t="str">
        <f>INDEX(overview!$B$4:$R$338,MATCH(B618,overview!$A$4:$A$338,0),MATCH(A634,overview!$B$3:$R$3,0))</f>
        <v>Switzerland</v>
      </c>
    </row>
    <row r="635" spans="1:2" hidden="1" x14ac:dyDescent="0.2">
      <c r="A635" t="s">
        <v>29</v>
      </c>
      <c r="B635" s="45">
        <f>INDEX(overview!$B$4:$R$338,MATCH(B618,overview!$A$4:$A$338,0),MATCH(A635,overview!$B$3:$R$3,0))</f>
        <v>0</v>
      </c>
    </row>
    <row r="636" spans="1:2" hidden="1" x14ac:dyDescent="0.2">
      <c r="A636" t="str">
        <f>IF(B620="megajoule","Heat","Electricity")&amp;" conversion efficiency [% LHV input]"</f>
        <v>Electricity conversion efficiency [% LHV input]</v>
      </c>
      <c r="B636" s="46">
        <f>INDEX(parameters!$D$4:$N$20,MATCH(B624&amp;B626,parameters!$A$4:$A$20,0),MATCH(A636,parameters!$D$3:$N$3,0))</f>
        <v>0.47</v>
      </c>
    </row>
    <row r="637" spans="1:2" hidden="1" x14ac:dyDescent="0.2">
      <c r="A637" t="str">
        <f>IF(B620="megajoule","LHV [MJ/kg]","LHV [kWh/kg]")</f>
        <v>LHV [kWh/kg]</v>
      </c>
      <c r="B637" s="47">
        <f>INDEX(parameters!$D$4:$N$20,MATCH(B624&amp;B626,parameters!$A$4:$A$20,0),MATCH(A637,parameters!$D$3:$N$3,0))</f>
        <v>33.333333333333336</v>
      </c>
    </row>
    <row r="638" spans="1:2" hidden="1" x14ac:dyDescent="0.2">
      <c r="A638" t="s">
        <v>41</v>
      </c>
      <c r="B638" s="48">
        <f>INDEX(parameters!$D$4:$N$20,MATCH(B624&amp;B626,parameters!$A$4:$A$20,0),MATCH(A638,parameters!$D$3:$N$3,0))</f>
        <v>2.6666666666666665E-2</v>
      </c>
    </row>
    <row r="639" spans="1:2" hidden="1" x14ac:dyDescent="0.2">
      <c r="A639" t="s">
        <v>45</v>
      </c>
      <c r="B639" s="46">
        <f>INDEX(parameters!$D$4:$N$20,MATCH(B624&amp;B626,parameters!$A$4:$A$20,0),MATCH(A639,parameters!$D$3:$N$3,0))</f>
        <v>0</v>
      </c>
    </row>
    <row r="640" spans="1:2" hidden="1" x14ac:dyDescent="0.2">
      <c r="A640" t="s">
        <v>46</v>
      </c>
      <c r="B640" s="46">
        <f>INDEX(parameters!$D$4:$N$20,MATCH(B624&amp;B626,parameters!$A$4:$A$20,0),MATCH(A640,parameters!$D$3:$N$3,0))</f>
        <v>1.4999999999999999E-2</v>
      </c>
    </row>
    <row r="641" spans="1:22" hidden="1" x14ac:dyDescent="0.2">
      <c r="A641" t="s">
        <v>43</v>
      </c>
      <c r="B641" s="46">
        <f>INDEX(parameters!$D$4:$N$20,MATCH(B624&amp;B626,parameters!$A$4:$A$20,0),MATCH(A641,parameters!$D$3:$N$3,0))</f>
        <v>0</v>
      </c>
    </row>
    <row r="642" spans="1:22" hidden="1" x14ac:dyDescent="0.2">
      <c r="A642" t="s">
        <v>44</v>
      </c>
      <c r="B642" s="46">
        <f>INDEX(parameters!$D$4:$N$20,MATCH(B624&amp;B626,parameters!$A$4:$A$20,0),MATCH(A642,parameters!$D$3:$N$3,0))</f>
        <v>0</v>
      </c>
    </row>
    <row r="643" spans="1:22" hidden="1" x14ac:dyDescent="0.2">
      <c r="A643" t="s">
        <v>634</v>
      </c>
      <c r="B643" s="47">
        <f>INDEX(parameters!$D$4:$Y$20,MATCH(B624&amp;B626,parameters!$A$4:$A$20,0),MATCH(A643,parameters!$D$3:$Y$3,0))</f>
        <v>225</v>
      </c>
      <c r="D643" s="8"/>
    </row>
    <row r="644" spans="1:22" hidden="1" x14ac:dyDescent="0.2">
      <c r="A644" t="s">
        <v>82</v>
      </c>
      <c r="B644" s="46">
        <f>IF(B635&lt;&gt;0,VLOOKUP(B635,parameters!A557:B559,2,0),0)</f>
        <v>0</v>
      </c>
    </row>
    <row r="645" spans="1:22" hidden="1" x14ac:dyDescent="0.2">
      <c r="A645" t="s">
        <v>548</v>
      </c>
      <c r="B645" s="50">
        <f>INDEX(parameters!$D$4:$P$20,MATCH(B624&amp;B626,parameters!$A$4:$A$20,0),MATCH(A645,parameters!$D$3:$P$3,0))</f>
        <v>100</v>
      </c>
    </row>
    <row r="646" spans="1:22" hidden="1" x14ac:dyDescent="0.2">
      <c r="A646" t="s">
        <v>547</v>
      </c>
      <c r="B646" s="51">
        <f>INDEX(parameters!$D$4:$P$20,MATCH(B624&amp;B626,parameters!$A$4:$A$20,0),MATCH(A646,parameters!$D$3:$P$3,0))</f>
        <v>6</v>
      </c>
    </row>
    <row r="647" spans="1:22" hidden="1" x14ac:dyDescent="0.2">
      <c r="A647" t="s">
        <v>630</v>
      </c>
      <c r="B647" s="51">
        <f>INDEX(parameters!$D$4:$T$20,MATCH(B624&amp;B626,parameters!$A$4:$A$20,0),MATCH(A647,parameters!$D$3:$T$3,0))</f>
        <v>4100</v>
      </c>
    </row>
    <row r="648" spans="1:22" hidden="1" x14ac:dyDescent="0.2">
      <c r="A648" t="s">
        <v>1005</v>
      </c>
      <c r="B648" s="50">
        <f>IF(B620="megajoule",SUMIFS(allocation!$I$4:$I$30,allocation!$B$4:$B$30,B626,allocation!$C$4:$C$30,B627),SUMIFS(allocation!$J$4:$J$30,allocation!$B$4:$B$30,B626,allocation!$C$4:$C$30,B627))</f>
        <v>0.86412493489600906</v>
      </c>
    </row>
    <row r="649" spans="1:22" hidden="1" x14ac:dyDescent="0.2">
      <c r="A649" t="s">
        <v>1050</v>
      </c>
      <c r="B649" s="51">
        <f>INDEX(parameters!$D$4:$AB$20,MATCH(B624&amp;B626,parameters!$A$4:$A$20,0),MATCH(A649,parameters!$D$3:$AB$3,0))</f>
        <v>1153.1249999999998</v>
      </c>
    </row>
    <row r="650" spans="1:22" hidden="1" x14ac:dyDescent="0.2"/>
    <row r="651" spans="1:22" hidden="1" x14ac:dyDescent="0.2">
      <c r="A651" s="3" t="s">
        <v>57</v>
      </c>
    </row>
    <row r="652" spans="1:22" hidden="1" x14ac:dyDescent="0.2">
      <c r="A652" s="2" t="s">
        <v>58</v>
      </c>
      <c r="B652" s="44" t="s">
        <v>59</v>
      </c>
      <c r="C652" s="2" t="s">
        <v>55</v>
      </c>
      <c r="D652" s="2" t="s">
        <v>60</v>
      </c>
      <c r="E652" s="2" t="s">
        <v>52</v>
      </c>
      <c r="F652" s="2" t="s">
        <v>61</v>
      </c>
      <c r="G652" s="2" t="s">
        <v>54</v>
      </c>
      <c r="H652" s="2" t="s">
        <v>87</v>
      </c>
      <c r="I652" s="2" t="s">
        <v>51</v>
      </c>
      <c r="J652" s="2" t="s">
        <v>138</v>
      </c>
      <c r="K652" s="2" t="s">
        <v>136</v>
      </c>
      <c r="L652" s="2" t="s">
        <v>221</v>
      </c>
      <c r="M652" s="2" t="s">
        <v>379</v>
      </c>
      <c r="N652" s="2" t="s">
        <v>1059</v>
      </c>
      <c r="O652" s="2" t="s">
        <v>1060</v>
      </c>
      <c r="P652" s="2" t="s">
        <v>1061</v>
      </c>
      <c r="Q652" s="2" t="s">
        <v>1062</v>
      </c>
      <c r="R652" s="2" t="s">
        <v>1063</v>
      </c>
      <c r="S652" s="2" t="s">
        <v>1064</v>
      </c>
      <c r="T652" s="2" t="s">
        <v>1065</v>
      </c>
      <c r="U652" s="2" t="s">
        <v>380</v>
      </c>
      <c r="V652" s="2" t="s">
        <v>1128</v>
      </c>
    </row>
    <row r="653" spans="1:22" x14ac:dyDescent="0.2">
      <c r="A653" t="str">
        <f>B614</f>
        <v>electricity, residential, by conversion of hydrogen using fuel cell, SOFC, allocated by exergy, transported by truck, produced by Auto-thermal reforming using natural gas from Switzerland</v>
      </c>
      <c r="B653" s="45">
        <v>1</v>
      </c>
      <c r="C653" t="str">
        <f>B620</f>
        <v>kilowatt hour</v>
      </c>
      <c r="E653" t="str">
        <f>B617</f>
        <v>CH</v>
      </c>
      <c r="F653" t="s">
        <v>62</v>
      </c>
      <c r="G653" t="str">
        <f>B619</f>
        <v>electricity, from residential heating system</v>
      </c>
      <c r="K653" t="str">
        <f>B614</f>
        <v>electricity, residential, by conversion of hydrogen using fuel cell, SOFC, allocated by exergy, transported by truck, produced by Auto-thermal reforming using natural gas from Switzerland</v>
      </c>
    </row>
    <row r="654" spans="1:22" hidden="1" x14ac:dyDescent="0.2">
      <c r="A654" t="str">
        <f>VLOOKUP(J654,'dataset mapping'!$A$4:$E$69,2,0)</f>
        <v>fuel cell production, stack solid oxide, 125kW electrical, future</v>
      </c>
      <c r="B654" s="52">
        <f>1/(62*1000000)/B636*SUMIFS(allocation!$I$4:$I$30,allocation!$B$4:$B$30,B626,allocation!$C$4:$C$30,B627)</f>
        <v>4.6628368258061427E-9</v>
      </c>
      <c r="C654" t="str">
        <f>VLOOKUP(J654,'dataset mapping'!$A$4:$E$69,5,0)</f>
        <v>unit</v>
      </c>
      <c r="E654" t="str">
        <f>VLOOKUP(J654,'dataset mapping'!$A$4:$E$69,4,0)</f>
        <v>CH</v>
      </c>
      <c r="F654" t="s">
        <v>86</v>
      </c>
      <c r="G654" t="str">
        <f>VLOOKUP(J654,'dataset mapping'!$A$4:$E$69,3,0)</f>
        <v>fuel cell, stack solid oxide, 125kW electrical, future</v>
      </c>
      <c r="H654" t="s">
        <v>88</v>
      </c>
      <c r="I654" t="s">
        <v>277</v>
      </c>
      <c r="J654" t="s">
        <v>274</v>
      </c>
      <c r="K654" t="str">
        <f>B614</f>
        <v>electricity, residential, by conversion of hydrogen using fuel cell, SOFC, allocated by exergy, transported by truck, produced by Auto-thermal reforming using natural gas from Switzerland</v>
      </c>
      <c r="L654">
        <f t="shared" ref="L654:L660" si="41">IF(OR(B654&lt;0,B654=0),1,2)</f>
        <v>2</v>
      </c>
      <c r="M654">
        <f t="shared" ref="M654:M660" si="42">IF(L654=2,LN(B654),"")</f>
        <v>-19.183641813126002</v>
      </c>
      <c r="N654">
        <v>1</v>
      </c>
      <c r="O654">
        <v>1.2</v>
      </c>
      <c r="P654">
        <v>1</v>
      </c>
      <c r="Q654">
        <v>1.01</v>
      </c>
      <c r="R654">
        <v>1.2</v>
      </c>
      <c r="S654">
        <v>1.2</v>
      </c>
      <c r="T654">
        <v>3</v>
      </c>
      <c r="U654">
        <f t="shared" ref="U654:U660" si="43">LN(SQRT(EXP(
SQRT(
+POWER(LN(N654),2)
+POWER(LN(O654),2)
+POWER(LN(P654),2)
+POWER(LN(Q654),2)
+POWER(LN(R654),2)
+POWER(LN(S654),2)
+POWER(LN(T654),2)
)
)))</f>
        <v>0.57157051623399524</v>
      </c>
    </row>
    <row r="655" spans="1:22" hidden="1" x14ac:dyDescent="0.2">
      <c r="A655" t="s">
        <v>283</v>
      </c>
      <c r="B655" s="52">
        <f>0.000000145/B636*SUMIFS(allocation!$I$4:$I$30,allocation!$B$4:$B$30,B626,allocation!$C$4:$C$30,B627)</f>
        <v>4.1918903063997216E-8</v>
      </c>
      <c r="C655" t="s">
        <v>55</v>
      </c>
      <c r="E655" t="s">
        <v>64</v>
      </c>
      <c r="F655" t="s">
        <v>86</v>
      </c>
      <c r="G655" t="s">
        <v>284</v>
      </c>
      <c r="H655" t="s">
        <v>88</v>
      </c>
      <c r="I655" t="s">
        <v>277</v>
      </c>
      <c r="K655" t="str">
        <f>B614</f>
        <v>electricity, residential, by conversion of hydrogen using fuel cell, SOFC, allocated by exergy, transported by truck, produced by Auto-thermal reforming using natural gas from Switzerland</v>
      </c>
      <c r="L655">
        <f t="shared" si="41"/>
        <v>2</v>
      </c>
      <c r="M655">
        <f t="shared" si="42"/>
        <v>-16.987528964642475</v>
      </c>
      <c r="N655">
        <v>1</v>
      </c>
      <c r="O655">
        <v>1.2</v>
      </c>
      <c r="P655">
        <v>1</v>
      </c>
      <c r="Q655">
        <v>1.01</v>
      </c>
      <c r="R655">
        <v>1.2</v>
      </c>
      <c r="S655">
        <v>1.2</v>
      </c>
      <c r="T655">
        <v>3</v>
      </c>
      <c r="U655">
        <f t="shared" si="43"/>
        <v>0.57157051623399524</v>
      </c>
    </row>
    <row r="656" spans="1:22" hidden="1" x14ac:dyDescent="0.2">
      <c r="A656" t="s">
        <v>285</v>
      </c>
      <c r="B656" s="52">
        <f>0.0000000115/B636*SUMIFS(allocation!$I$4:$I$30,allocation!$B$4:$B$30,B626,allocation!$C$4:$C$30,B627)</f>
        <v>3.3246026567997794E-9</v>
      </c>
      <c r="C656" t="s">
        <v>55</v>
      </c>
      <c r="E656" t="s">
        <v>90</v>
      </c>
      <c r="F656" t="s">
        <v>86</v>
      </c>
      <c r="G656" t="s">
        <v>286</v>
      </c>
      <c r="H656" t="s">
        <v>88</v>
      </c>
      <c r="K656" t="str">
        <f>B614</f>
        <v>electricity, residential, by conversion of hydrogen using fuel cell, SOFC, allocated by exergy, transported by truck, produced by Auto-thermal reforming using natural gas from Switzerland</v>
      </c>
      <c r="L656">
        <f t="shared" si="41"/>
        <v>2</v>
      </c>
      <c r="M656">
        <f t="shared" si="42"/>
        <v>-19.521915671693844</v>
      </c>
      <c r="N656">
        <v>1</v>
      </c>
      <c r="O656">
        <v>1.2</v>
      </c>
      <c r="P656">
        <v>1</v>
      </c>
      <c r="Q656">
        <v>1.01</v>
      </c>
      <c r="R656">
        <v>1.2</v>
      </c>
      <c r="S656">
        <v>1.2</v>
      </c>
      <c r="T656">
        <v>3</v>
      </c>
      <c r="U656">
        <f t="shared" si="43"/>
        <v>0.57157051623399524</v>
      </c>
    </row>
    <row r="657" spans="1:21" hidden="1" x14ac:dyDescent="0.2">
      <c r="A657" t="s">
        <v>288</v>
      </c>
      <c r="B657" s="52">
        <f>0.000024/B636*SUMIFS(allocation!$I$4:$I$30,allocation!$B$4:$B$30,B626,allocation!$C$4:$C$30,B627)</f>
        <v>6.9383011967995388E-6</v>
      </c>
      <c r="C657" t="s">
        <v>56</v>
      </c>
      <c r="E657" t="s">
        <v>64</v>
      </c>
      <c r="F657" t="s">
        <v>86</v>
      </c>
      <c r="G657" t="s">
        <v>287</v>
      </c>
      <c r="H657" t="s">
        <v>88</v>
      </c>
      <c r="K657" t="str">
        <f>B614</f>
        <v>electricity, residential, by conversion of hydrogen using fuel cell, SOFC, allocated by exergy, transported by truck, produced by Auto-thermal reforming using natural gas from Switzerland</v>
      </c>
      <c r="L657">
        <f t="shared" si="41"/>
        <v>2</v>
      </c>
      <c r="M657">
        <f t="shared" si="42"/>
        <v>-11.878453597732966</v>
      </c>
      <c r="N657">
        <v>1</v>
      </c>
      <c r="O657">
        <v>1.2</v>
      </c>
      <c r="P657">
        <v>1</v>
      </c>
      <c r="Q657">
        <v>1.01</v>
      </c>
      <c r="R657">
        <v>1.2</v>
      </c>
      <c r="S657">
        <v>1.2</v>
      </c>
      <c r="T657">
        <v>1.05</v>
      </c>
      <c r="U657">
        <f t="shared" si="43"/>
        <v>0.15984597228197622</v>
      </c>
    </row>
    <row r="658" spans="1:21" hidden="1" x14ac:dyDescent="0.2">
      <c r="A658" s="45" t="str">
        <f>"hydrogen supply, transported by "&amp;B628&amp;", produced by "&amp;B632&amp;" using "&amp;B633&amp;" from "&amp;B634</f>
        <v>hydrogen supply, transported by truck, produced by Auto-thermal reforming using natural gas from Switzerland</v>
      </c>
      <c r="B658" s="53">
        <f>(B653/B637)/B636*B648</f>
        <v>5.515691073804313E-2</v>
      </c>
      <c r="C658" t="s">
        <v>56</v>
      </c>
      <c r="E658" t="s">
        <v>64</v>
      </c>
      <c r="F658" t="s">
        <v>86</v>
      </c>
      <c r="G658" t="s">
        <v>1137</v>
      </c>
      <c r="H658" t="s">
        <v>76</v>
      </c>
      <c r="I658" t="s">
        <v>1054</v>
      </c>
      <c r="J658" t="s">
        <v>307</v>
      </c>
      <c r="K658" t="str">
        <f>B614</f>
        <v>electricity, residential, by conversion of hydrogen using fuel cell, SOFC, allocated by exergy, transported by truck, produced by Auto-thermal reforming using natural gas from Switzerland</v>
      </c>
      <c r="L658">
        <f t="shared" si="41"/>
        <v>2</v>
      </c>
      <c r="M658">
        <f t="shared" si="42"/>
        <v>-2.8975732330996009</v>
      </c>
      <c r="N658">
        <v>1</v>
      </c>
      <c r="O658">
        <v>1.2</v>
      </c>
      <c r="P658">
        <v>1</v>
      </c>
      <c r="Q658">
        <v>1.01</v>
      </c>
      <c r="R658">
        <v>1.2</v>
      </c>
      <c r="S658">
        <v>1.2</v>
      </c>
      <c r="T658">
        <v>1.05</v>
      </c>
      <c r="U658">
        <f t="shared" si="43"/>
        <v>0.15984597228197622</v>
      </c>
    </row>
    <row r="659" spans="1:21" hidden="1" x14ac:dyDescent="0.2">
      <c r="A659" t="str">
        <f>VLOOKUP(J659,'dataset mapping'!$A$4:$E$69,2,0)</f>
        <v>high pressure hydrogen storage tank</v>
      </c>
      <c r="B659" s="52">
        <f>((B649/10)/(B647*B643*20))*IF(B648&lt;&gt;0,B648,1)</f>
        <v>5.400780843100055E-6</v>
      </c>
      <c r="C659" t="str">
        <f>VLOOKUP(J659,'dataset mapping'!$A$4:$E$69,5,0)</f>
        <v>kilogram</v>
      </c>
      <c r="E659" t="str">
        <f>VLOOKUP(J659,'dataset mapping'!$A$4:$E$69,4,0)</f>
        <v>GLO</v>
      </c>
      <c r="F659" t="s">
        <v>86</v>
      </c>
      <c r="G659" t="str">
        <f>VLOOKUP(J659,'dataset mapping'!$A$4:$E$69,3,0)</f>
        <v>high pressure hydrogen storage tank</v>
      </c>
      <c r="H659" t="s">
        <v>88</v>
      </c>
      <c r="I659" t="s">
        <v>230</v>
      </c>
      <c r="J659" t="s">
        <v>229</v>
      </c>
      <c r="K659" t="str">
        <f>B614</f>
        <v>electricity, residential, by conversion of hydrogen using fuel cell, SOFC, allocated by exergy, transported by truck, produced by Auto-thermal reforming using natural gas from Switzerland</v>
      </c>
      <c r="L659">
        <f t="shared" si="41"/>
        <v>2</v>
      </c>
      <c r="M659">
        <f t="shared" si="42"/>
        <v>-12.128967014273616</v>
      </c>
      <c r="N659">
        <v>1</v>
      </c>
      <c r="O659">
        <v>1.2</v>
      </c>
      <c r="P659">
        <v>1</v>
      </c>
      <c r="Q659">
        <v>1.01</v>
      </c>
      <c r="R659">
        <v>1.2</v>
      </c>
      <c r="S659">
        <v>1.2</v>
      </c>
      <c r="T659">
        <v>3</v>
      </c>
      <c r="U659">
        <f t="shared" si="43"/>
        <v>0.57157051623399524</v>
      </c>
    </row>
    <row r="660" spans="1:21" hidden="1" x14ac:dyDescent="0.2">
      <c r="A660" t="s">
        <v>134</v>
      </c>
      <c r="B660" s="45">
        <f>B658*9</f>
        <v>0.49641219664238817</v>
      </c>
      <c r="C660" t="s">
        <v>56</v>
      </c>
      <c r="D660" t="s">
        <v>100</v>
      </c>
      <c r="F660" t="s">
        <v>99</v>
      </c>
      <c r="H660" t="s">
        <v>131</v>
      </c>
      <c r="I660" t="s">
        <v>289</v>
      </c>
      <c r="K660" t="str">
        <f>B614</f>
        <v>electricity, residential, by conversion of hydrogen using fuel cell, SOFC, allocated by exergy, transported by truck, produced by Auto-thermal reforming using natural gas from Switzerland</v>
      </c>
      <c r="L660">
        <f t="shared" si="41"/>
        <v>2</v>
      </c>
      <c r="M660">
        <f t="shared" si="42"/>
        <v>-0.70034865576338168</v>
      </c>
      <c r="N660">
        <v>1</v>
      </c>
      <c r="O660">
        <v>1.2</v>
      </c>
      <c r="P660">
        <v>1</v>
      </c>
      <c r="Q660">
        <v>1.01</v>
      </c>
      <c r="R660">
        <v>1.2</v>
      </c>
      <c r="S660">
        <v>1.2</v>
      </c>
      <c r="T660">
        <v>1.05</v>
      </c>
      <c r="U660">
        <f t="shared" si="43"/>
        <v>0.15984597228197622</v>
      </c>
    </row>
    <row r="661" spans="1:21" hidden="1" x14ac:dyDescent="0.2"/>
    <row r="662" spans="1:21" hidden="1" x14ac:dyDescent="0.2">
      <c r="A662" s="2" t="s">
        <v>50</v>
      </c>
      <c r="B662" s="44" t="str">
        <f>IF(B668="megajoule","heat","electricity")&amp;", residential, by "&amp;B673&amp;" of "&amp;B672&amp;" using "&amp;B674&amp;IF(B675&lt;&gt;0,", allocated by "&amp;B675,"")&amp;", transported by "&amp;B676&amp;", produced by "&amp;B680&amp;" using "&amp;B681&amp;" from "&amp;B682</f>
        <v>heat, residential, by combustion of hydrogen using boiler, transported by pipeline, produced by Auto-thermal reforming, with CCS using natural gas from Switzerland</v>
      </c>
    </row>
    <row r="663" spans="1:21" hidden="1" x14ac:dyDescent="0.2">
      <c r="A663" t="s">
        <v>51</v>
      </c>
      <c r="B663" s="45" t="str">
        <f>"This dataset represents the supply of 1 "&amp;IF(B668="megajoule","megajoule of heat","kilowatt hour of electricity")&amp;" in a residence, by "&amp;B672&amp;" "&amp;B673&amp;" in a "&amp;B674&amp;". "&amp;" The hydrogen is transported by "&amp;B676&amp;" over "&amp;B677&amp;" km from regional storage. "&amp;" The "&amp;B672&amp;" is produced by  "&amp;B680&amp;", with "&amp;B681&amp;" from "&amp;B682&amp;" as feedstock. "&amp;A684&amp;": "&amp;(B684*100)&amp;"%. "&amp;A685&amp;": "&amp;B685&amp;". "&amp;A686&amp;": "&amp;B686&amp;". "&amp;A687&amp;": "&amp;(B687*100)&amp;"%. "&amp;A688&amp;": "&amp;(B688*100)&amp;"%. "&amp;A689&amp;": "&amp;(B689*100)&amp;"%. "&amp;A690&amp;": "&amp;B690&amp;". "&amp;A691&amp;": "&amp;B691&amp;". "&amp;A692&amp;": "&amp;(B692*100)&amp;"%. "&amp;A693&amp;": "&amp;B693&amp;". "&amp;A694&amp;": "&amp;B694&amp;". "&amp;A695&amp;": "&amp;B695&amp;". "&amp;A696&amp;": "&amp;B696&amp;".  For more information, refer to: "&amp;B664</f>
        <v>This dataset represents the supply of 1 megajoule of heat in a residence, by hydrogen combustion in a boiler.  The hydrogen is transported by pipeline over 500 km from regional storage.  The hydrogen is produced by  Auto-thermal reforming, with CCS,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664" spans="1:21" hidden="1" x14ac:dyDescent="0.2">
      <c r="A664" t="s">
        <v>63</v>
      </c>
      <c r="B664" s="45" t="s">
        <v>660</v>
      </c>
    </row>
    <row r="665" spans="1:21" hidden="1" x14ac:dyDescent="0.2">
      <c r="A665" t="s">
        <v>52</v>
      </c>
      <c r="B665" s="45" t="s">
        <v>64</v>
      </c>
    </row>
    <row r="666" spans="1:21" hidden="1" x14ac:dyDescent="0.2">
      <c r="A666" t="s">
        <v>48</v>
      </c>
      <c r="B666" s="45">
        <v>145</v>
      </c>
    </row>
    <row r="667" spans="1:21" hidden="1" x14ac:dyDescent="0.2">
      <c r="A667" t="s">
        <v>54</v>
      </c>
      <c r="B667" s="45" t="str">
        <f>INDEX(overview!$B$4:$R$338,MATCH(B666,overview!$A$4:$A$338,0),MATCH(A667,overview!$B$3:$R$3,0))</f>
        <v>heat, from residential heating system</v>
      </c>
    </row>
    <row r="668" spans="1:21" hidden="1" x14ac:dyDescent="0.2">
      <c r="A668" t="s">
        <v>55</v>
      </c>
      <c r="B668" s="45" t="str">
        <f>INDEX(overview!$B$4:$R$338,MATCH(B666,overview!$A$4:$A$338,0),MATCH(A668,overview!$B$3:$R$3,0))</f>
        <v>megajoule</v>
      </c>
    </row>
    <row r="669" spans="1:21" hidden="1" x14ac:dyDescent="0.2">
      <c r="A669" t="s">
        <v>0</v>
      </c>
      <c r="B669" s="45" t="str">
        <f>INDEX(overview!$B$4:$R$338,MATCH(B666,overview!$A$4:$A$338,0),MATCH(A669,overview!$B$3:$R$3,0))</f>
        <v>Switzerland</v>
      </c>
    </row>
    <row r="670" spans="1:21" hidden="1" x14ac:dyDescent="0.2">
      <c r="A670" t="s">
        <v>1</v>
      </c>
      <c r="B670" s="45">
        <f>INDEX(overview!$B$4:$R$338,MATCH(B666,overview!$A$4:$A$338,0),MATCH(A670,overview!$B$3:$R$3,0))</f>
        <v>2020</v>
      </c>
    </row>
    <row r="671" spans="1:21" hidden="1" x14ac:dyDescent="0.2">
      <c r="A671" t="s">
        <v>2</v>
      </c>
      <c r="B671" s="45" t="str">
        <f>INDEX(overview!$B$4:$R$338,MATCH(B666,overview!$A$4:$A$338,0),MATCH(A671,overview!$B$3:$R$3,0))</f>
        <v>1 MJ heat</v>
      </c>
    </row>
    <row r="672" spans="1:21" hidden="1" x14ac:dyDescent="0.2">
      <c r="A672" t="s">
        <v>5</v>
      </c>
      <c r="B672" s="45" t="str">
        <f>INDEX(overview!$B$4:$R$338,MATCH(B666,overview!$A$4:$A$338,0),MATCH(A672,overview!$B$3:$R$3,0))</f>
        <v>hydrogen</v>
      </c>
    </row>
    <row r="673" spans="1:2" hidden="1" x14ac:dyDescent="0.2">
      <c r="A673" t="s">
        <v>3</v>
      </c>
      <c r="B673" s="45" t="str">
        <f>INDEX(overview!$B$4:$R$338,MATCH(B666,overview!$A$4:$A$338,0),MATCH(A673,overview!$B$3:$R$3,0))</f>
        <v>combustion</v>
      </c>
    </row>
    <row r="674" spans="1:2" hidden="1" x14ac:dyDescent="0.2">
      <c r="A674" t="s">
        <v>6</v>
      </c>
      <c r="B674" s="45" t="str">
        <f>INDEX(overview!$B$4:$R$338,MATCH(B666,overview!$A$4:$A$338,0),MATCH(A674,overview!$B$3:$R$3,0))</f>
        <v>boiler</v>
      </c>
    </row>
    <row r="675" spans="1:2" hidden="1" x14ac:dyDescent="0.2">
      <c r="A675" t="s">
        <v>39</v>
      </c>
      <c r="B675" s="45">
        <f>INDEX(overview!$B$4:$R$338,MATCH(B666,overview!$A$4:$A$338,0),MATCH(A675,overview!$B$3:$R$3,0))</f>
        <v>0</v>
      </c>
    </row>
    <row r="676" spans="1:2" hidden="1" x14ac:dyDescent="0.2">
      <c r="A676" t="s">
        <v>4</v>
      </c>
      <c r="B676" s="45" t="str">
        <f>INDEX(overview!$B$4:$R$338,MATCH(B666,overview!$A$4:$A$338,0),MATCH(A676,overview!$B$3:$R$3,0))</f>
        <v>pipeline</v>
      </c>
    </row>
    <row r="677" spans="1:2" hidden="1" x14ac:dyDescent="0.2">
      <c r="A677" t="s">
        <v>38</v>
      </c>
      <c r="B677" s="45">
        <f>INDEX(overview!$B$4:$R$338,MATCH(B666,overview!$A$4:$A$338,0),MATCH(A677,overview!$B$3:$R$3,0))</f>
        <v>500</v>
      </c>
    </row>
    <row r="678" spans="1:2" hidden="1" x14ac:dyDescent="0.2">
      <c r="A678" t="s">
        <v>12</v>
      </c>
      <c r="B678" s="45" t="str">
        <f>INDEX(overview!$B$4:$R$338,MATCH(B666,overview!$A$4:$A$338,0),MATCH(A678,overview!$B$3:$R$3,0))</f>
        <v>Pressure vessel for stationary storage</v>
      </c>
    </row>
    <row r="679" spans="1:2" hidden="1" x14ac:dyDescent="0.2">
      <c r="A679" t="s">
        <v>34</v>
      </c>
      <c r="B679" s="45">
        <f>INDEX(overview!$B$4:$R$338,MATCH(B666,overview!$A$4:$A$338,0),MATCH(A679,overview!$B$3:$R$3,0))</f>
        <v>0</v>
      </c>
    </row>
    <row r="680" spans="1:2" hidden="1" x14ac:dyDescent="0.2">
      <c r="A680" t="s">
        <v>15</v>
      </c>
      <c r="B680" s="45" t="str">
        <f>INDEX(overview!$B$4:$R$338,MATCH(B666,overview!$A$4:$A$338,0),MATCH(A680,overview!$B$3:$R$3,0))</f>
        <v>Auto-thermal reforming, with CCS</v>
      </c>
    </row>
    <row r="681" spans="1:2" hidden="1" x14ac:dyDescent="0.2">
      <c r="A681" t="s">
        <v>14</v>
      </c>
      <c r="B681" s="45" t="str">
        <f>INDEX(overview!$B$4:$R$338,MATCH(B666,overview!$A$4:$A$338,0),MATCH(A681,overview!$B$3:$R$3,0))</f>
        <v>natural gas</v>
      </c>
    </row>
    <row r="682" spans="1:2" hidden="1" x14ac:dyDescent="0.2">
      <c r="A682" t="s">
        <v>26</v>
      </c>
      <c r="B682" s="45" t="str">
        <f>INDEX(overview!$B$4:$R$338,MATCH(B666,overview!$A$4:$A$338,0),MATCH(A682,overview!$B$3:$R$3,0))</f>
        <v>Switzerland</v>
      </c>
    </row>
    <row r="683" spans="1:2" hidden="1" x14ac:dyDescent="0.2">
      <c r="A683" t="s">
        <v>29</v>
      </c>
      <c r="B683" s="45">
        <f>INDEX(overview!$B$4:$R$338,MATCH(B666,overview!$A$4:$A$338,0),MATCH(A683,overview!$B$3:$R$3,0))</f>
        <v>0</v>
      </c>
    </row>
    <row r="684" spans="1:2" hidden="1" x14ac:dyDescent="0.2">
      <c r="A684" t="str">
        <f>IF(B668="megajoule","Heat","Electricity")&amp;" conversion efficiency [% LHV input]"</f>
        <v>Heat conversion efficiency [% LHV input]</v>
      </c>
      <c r="B684" s="46">
        <f>INDEX(parameters!$D$4:$N$20,MATCH(B672&amp;B674,parameters!$A$4:$A$20,0),MATCH(A684,parameters!$D$3:$N$3,0))</f>
        <v>0.94</v>
      </c>
    </row>
    <row r="685" spans="1:2" hidden="1" x14ac:dyDescent="0.2">
      <c r="A685" t="str">
        <f>IF(B668="megajoule","LHV [MJ/kg]","LHV [kWh/kg]")</f>
        <v>LHV [MJ/kg]</v>
      </c>
      <c r="B685" s="47">
        <f>INDEX(parameters!$D$4:$N$20,MATCH(B672&amp;B674,parameters!$A$4:$A$20,0),MATCH(A685,parameters!$D$3:$N$3,0))</f>
        <v>120</v>
      </c>
    </row>
    <row r="686" spans="1:2" hidden="1" x14ac:dyDescent="0.2">
      <c r="A686" t="s">
        <v>41</v>
      </c>
      <c r="B686" s="48">
        <f>INDEX(parameters!$D$4:$N$20,MATCH(B672&amp;B674,parameters!$A$4:$A$20,0),MATCH(A686,parameters!$D$3:$N$3,0))</f>
        <v>2.6666666666666665E-2</v>
      </c>
    </row>
    <row r="687" spans="1:2" hidden="1" x14ac:dyDescent="0.2">
      <c r="A687" t="s">
        <v>45</v>
      </c>
      <c r="B687" s="49">
        <f>INDEX(parameters!$D$4:$N$20,MATCH(B672&amp;B674,parameters!$A$4:$A$20,0),MATCH(A687,parameters!$D$3:$N$3,0))</f>
        <v>0</v>
      </c>
    </row>
    <row r="688" spans="1:2" hidden="1" x14ac:dyDescent="0.2">
      <c r="A688" t="s">
        <v>46</v>
      </c>
      <c r="B688" s="49">
        <f>INDEX(parameters!$D$4:$N$20,MATCH(B672&amp;B674,parameters!$A$4:$A$20,0),MATCH(A688,parameters!$D$3:$N$3,0))</f>
        <v>1.4999999999999999E-2</v>
      </c>
    </row>
    <row r="689" spans="1:22" hidden="1" x14ac:dyDescent="0.2">
      <c r="A689" t="s">
        <v>43</v>
      </c>
      <c r="B689" s="49">
        <f>INDEX(parameters!$D$4:$N$20,MATCH(B672&amp;B674,parameters!$A$4:$A$20,0),MATCH(A689,parameters!$D$3:$N$3,0))</f>
        <v>0</v>
      </c>
    </row>
    <row r="690" spans="1:22" hidden="1" x14ac:dyDescent="0.2">
      <c r="A690" t="s">
        <v>44</v>
      </c>
      <c r="B690" s="49">
        <f>INDEX(parameters!$D$4:$N$20,MATCH(B672&amp;B674,parameters!$A$4:$A$20,0),MATCH(A690,parameters!$D$3:$N$3,0))</f>
        <v>0</v>
      </c>
    </row>
    <row r="691" spans="1:22" hidden="1" x14ac:dyDescent="0.2">
      <c r="A691" t="s">
        <v>634</v>
      </c>
      <c r="B691" s="47">
        <f>INDEX(parameters!$D$4:$Y$20,MATCH(B672&amp;B674,parameters!$A$4:$A$20,0),MATCH(A691,parameters!$D$3:$Y$3,0))</f>
        <v>15.957446808510639</v>
      </c>
    </row>
    <row r="692" spans="1:22" hidden="1" x14ac:dyDescent="0.2">
      <c r="A692" t="s">
        <v>82</v>
      </c>
      <c r="B692" s="46">
        <f>IF(B683&lt;&gt;0,VLOOKUP(B683,parameters!A456:B458,2,0),0)</f>
        <v>0</v>
      </c>
    </row>
    <row r="693" spans="1:22" hidden="1" x14ac:dyDescent="0.2">
      <c r="A693" t="s">
        <v>548</v>
      </c>
      <c r="B693" s="50">
        <f>INDEX(parameters!$D$4:$P$20,MATCH(B672&amp;B674,parameters!$A$4:$A$20,0),MATCH(A693,parameters!$D$3:$P$3,0))</f>
        <v>15</v>
      </c>
    </row>
    <row r="694" spans="1:22" hidden="1" x14ac:dyDescent="0.2">
      <c r="A694" t="s">
        <v>547</v>
      </c>
      <c r="B694" s="51">
        <f>INDEX(parameters!$D$4:$P$20,MATCH(B672&amp;B674,parameters!$A$4:$A$20,0),MATCH(A694,parameters!$D$3:$P$3,0))</f>
        <v>20</v>
      </c>
    </row>
    <row r="695" spans="1:22" hidden="1" x14ac:dyDescent="0.2">
      <c r="A695" t="s">
        <v>630</v>
      </c>
      <c r="B695" s="51">
        <f>INDEX(parameters!$D$4:$T$20,MATCH(B672&amp;B674,parameters!$A$4:$A$20,0),MATCH(A695,parameters!$D$3:$T$3,0))</f>
        <v>2100</v>
      </c>
    </row>
    <row r="696" spans="1:22" hidden="1" x14ac:dyDescent="0.2">
      <c r="A696" t="s">
        <v>1005</v>
      </c>
      <c r="B696" s="50">
        <f>IF(B668="megajoule",SUMIFS(allocation!$I$4:$I$30,allocation!$B$4:$B$30,B674,allocation!$C$4:$C$30,B675),SUMIFS(allocation!$J$4:$J$30,allocation!$B$4:$B$30,B674,allocation!$C$4:$C$30,B675))</f>
        <v>0</v>
      </c>
    </row>
    <row r="697" spans="1:22" hidden="1" x14ac:dyDescent="0.2">
      <c r="A697" t="s">
        <v>1050</v>
      </c>
      <c r="B697" s="51">
        <f>INDEX(parameters!$D$4:$AB$20,MATCH(B672&amp;B674,parameters!$A$4:$A$20,0),MATCH(A697,parameters!$D$3:$AB$3,0))</f>
        <v>44.562019013128115</v>
      </c>
    </row>
    <row r="698" spans="1:22" hidden="1" x14ac:dyDescent="0.2"/>
    <row r="699" spans="1:22" hidden="1" x14ac:dyDescent="0.2">
      <c r="A699" s="3" t="s">
        <v>57</v>
      </c>
    </row>
    <row r="700" spans="1:22" hidden="1" x14ac:dyDescent="0.2">
      <c r="A700" s="2" t="s">
        <v>58</v>
      </c>
      <c r="B700" s="44" t="s">
        <v>59</v>
      </c>
      <c r="C700" s="2" t="s">
        <v>55</v>
      </c>
      <c r="D700" s="2" t="s">
        <v>60</v>
      </c>
      <c r="E700" s="2" t="s">
        <v>52</v>
      </c>
      <c r="F700" s="2" t="s">
        <v>61</v>
      </c>
      <c r="G700" s="2" t="s">
        <v>54</v>
      </c>
      <c r="H700" s="2" t="s">
        <v>87</v>
      </c>
      <c r="I700" s="2" t="s">
        <v>51</v>
      </c>
      <c r="J700" s="2" t="s">
        <v>138</v>
      </c>
      <c r="K700" s="2" t="s">
        <v>136</v>
      </c>
      <c r="L700" s="2" t="s">
        <v>221</v>
      </c>
      <c r="M700" s="2" t="s">
        <v>379</v>
      </c>
      <c r="N700" s="2" t="s">
        <v>1059</v>
      </c>
      <c r="O700" s="2" t="s">
        <v>1060</v>
      </c>
      <c r="P700" s="2" t="s">
        <v>1061</v>
      </c>
      <c r="Q700" s="2" t="s">
        <v>1062</v>
      </c>
      <c r="R700" s="2" t="s">
        <v>1063</v>
      </c>
      <c r="S700" s="2" t="s">
        <v>1064</v>
      </c>
      <c r="T700" s="2" t="s">
        <v>1065</v>
      </c>
      <c r="U700" s="2" t="s">
        <v>380</v>
      </c>
      <c r="V700" s="2" t="s">
        <v>1128</v>
      </c>
    </row>
    <row r="701" spans="1:22" hidden="1" x14ac:dyDescent="0.2">
      <c r="A701" t="str">
        <f>B662</f>
        <v>heat, residential, by combustion of hydrogen using boiler, transported by pipeline, produced by Auto-thermal reforming, with CCS using natural gas from Switzerland</v>
      </c>
      <c r="B701" s="45">
        <v>1</v>
      </c>
      <c r="C701" t="str">
        <f>B668</f>
        <v>megajoule</v>
      </c>
      <c r="E701" t="str">
        <f>B665</f>
        <v>CH</v>
      </c>
      <c r="F701" t="s">
        <v>62</v>
      </c>
      <c r="G701" t="str">
        <f>B667</f>
        <v>heat, from residential heating system</v>
      </c>
      <c r="K701" t="str">
        <f>B662</f>
        <v>heat, residential, by combustion of hydrogen using boiler, transported by pipeline, produced by Auto-thermal reforming, with CCS using natural gas from Switzerland</v>
      </c>
    </row>
    <row r="702" spans="1:22" hidden="1" x14ac:dyDescent="0.2">
      <c r="A702" t="s">
        <v>83</v>
      </c>
      <c r="B702" s="52">
        <f>1/(B693*B695*B694*3.6)</f>
        <v>4.4091710758377425E-7</v>
      </c>
      <c r="C702" t="s">
        <v>55</v>
      </c>
      <c r="E702" t="s">
        <v>85</v>
      </c>
      <c r="F702" t="s">
        <v>86</v>
      </c>
      <c r="G702" t="s">
        <v>84</v>
      </c>
      <c r="H702" t="s">
        <v>88</v>
      </c>
      <c r="K702" t="str">
        <f>B662</f>
        <v>heat, residential, by combustion of hydrogen using boiler, transported by pipeline, produced by Auto-thermal reforming, with CCS using natural gas from Switzerland</v>
      </c>
      <c r="L702">
        <f t="shared" ref="L702:L707" si="44">IF(OR(B702&lt;0,B702=0),1,2)</f>
        <v>2</v>
      </c>
      <c r="M702">
        <f t="shared" ref="M702:M707" si="45">IF(L702=2,LN(B702),"")</f>
        <v>-14.634408943829779</v>
      </c>
      <c r="N702">
        <v>1.05</v>
      </c>
      <c r="O702">
        <v>1.2</v>
      </c>
      <c r="P702">
        <v>1</v>
      </c>
      <c r="Q702">
        <v>1.01</v>
      </c>
      <c r="R702">
        <v>1.2</v>
      </c>
      <c r="S702">
        <v>1.2</v>
      </c>
      <c r="T702">
        <v>3</v>
      </c>
      <c r="U702">
        <f t="shared" ref="U702:U707" si="46">LN(SQRT(EXP(
SQRT(
+POWER(LN(N702),2)
+POWER(LN(O702),2)
+POWER(LN(P702),2)
+POWER(LN(Q702),2)
+POWER(LN(R702),2)
+POWER(LN(S702),2)
+POWER(LN(T702),2)
)
)))</f>
        <v>0.57209088006881903</v>
      </c>
    </row>
    <row r="703" spans="1:22" hidden="1" x14ac:dyDescent="0.2">
      <c r="A703" t="s">
        <v>500</v>
      </c>
      <c r="B703" s="52">
        <f>B702*2</f>
        <v>8.8183421516754851E-7</v>
      </c>
      <c r="C703" t="s">
        <v>267</v>
      </c>
      <c r="E703" t="s">
        <v>85</v>
      </c>
      <c r="F703" t="s">
        <v>86</v>
      </c>
      <c r="G703" t="s">
        <v>501</v>
      </c>
      <c r="H703" t="s">
        <v>88</v>
      </c>
      <c r="I703" t="s">
        <v>621</v>
      </c>
      <c r="K703" t="str">
        <f>B662</f>
        <v>heat, residential, by combustion of hydrogen using boiler, transported by pipeline, produced by Auto-thermal reforming, with CCS using natural gas from Switzerland</v>
      </c>
      <c r="L703">
        <f t="shared" si="44"/>
        <v>2</v>
      </c>
      <c r="M703">
        <f t="shared" si="45"/>
        <v>-13.941261763269834</v>
      </c>
      <c r="N703">
        <v>1.05</v>
      </c>
      <c r="O703">
        <v>1.2</v>
      </c>
      <c r="P703">
        <v>1</v>
      </c>
      <c r="Q703">
        <v>1.01</v>
      </c>
      <c r="R703">
        <v>1.2</v>
      </c>
      <c r="S703">
        <v>1.2</v>
      </c>
      <c r="T703">
        <v>3</v>
      </c>
      <c r="U703">
        <f t="shared" si="46"/>
        <v>0.57209088006881903</v>
      </c>
    </row>
    <row r="704" spans="1:22" hidden="1" x14ac:dyDescent="0.2">
      <c r="A704" t="s">
        <v>130</v>
      </c>
      <c r="B704" s="52">
        <v>2.64E-3</v>
      </c>
      <c r="C704" t="s">
        <v>92</v>
      </c>
      <c r="E704" t="s">
        <v>64</v>
      </c>
      <c r="F704" t="s">
        <v>86</v>
      </c>
      <c r="G704" t="s">
        <v>93</v>
      </c>
      <c r="H704" t="s">
        <v>78</v>
      </c>
      <c r="I704" t="s">
        <v>270</v>
      </c>
      <c r="J704" t="s">
        <v>67</v>
      </c>
      <c r="K704" t="str">
        <f>B662</f>
        <v>heat, residential, by combustion of hydrogen using boiler, transported by pipeline, produced by Auto-thermal reforming, with CCS using natural gas from Switzerland</v>
      </c>
      <c r="L704">
        <f t="shared" si="44"/>
        <v>2</v>
      </c>
      <c r="M704">
        <f t="shared" si="45"/>
        <v>-5.9369763618239126</v>
      </c>
      <c r="N704">
        <v>1.05</v>
      </c>
      <c r="O704">
        <v>1.2</v>
      </c>
      <c r="P704">
        <v>1</v>
      </c>
      <c r="Q704">
        <v>1.01</v>
      </c>
      <c r="R704">
        <v>1.2</v>
      </c>
      <c r="S704">
        <v>1.2</v>
      </c>
      <c r="T704">
        <v>1.05</v>
      </c>
      <c r="U704">
        <f t="shared" si="46"/>
        <v>0.16169679924070957</v>
      </c>
    </row>
    <row r="705" spans="1:21" hidden="1" x14ac:dyDescent="0.2">
      <c r="A705" s="45" t="str">
        <f>"hydrogen supply, transported by "&amp;B676&amp;", produced by "&amp;B680&amp;" using "&amp;B681&amp;" from "&amp;B682</f>
        <v>hydrogen supply, transported by pipeline, produced by Auto-thermal reforming, with CCS using natural gas from Switzerland</v>
      </c>
      <c r="B705" s="53">
        <f>(B701/B685)/B684</f>
        <v>8.8652482269503553E-3</v>
      </c>
      <c r="C705" t="s">
        <v>56</v>
      </c>
      <c r="E705" t="s">
        <v>64</v>
      </c>
      <c r="F705" t="s">
        <v>86</v>
      </c>
      <c r="G705" t="s">
        <v>1129</v>
      </c>
      <c r="H705" t="s">
        <v>76</v>
      </c>
      <c r="I705" t="s">
        <v>1054</v>
      </c>
      <c r="J705" t="s">
        <v>308</v>
      </c>
      <c r="K705" t="str">
        <f>B662</f>
        <v>heat, residential, by combustion of hydrogen using boiler, transported by pipeline, produced by Auto-thermal reforming, with CCS using natural gas from Switzerland</v>
      </c>
      <c r="L705">
        <f t="shared" si="44"/>
        <v>2</v>
      </c>
      <c r="M705">
        <f t="shared" si="45"/>
        <v>-4.7256163390639587</v>
      </c>
      <c r="N705">
        <v>1.05</v>
      </c>
      <c r="O705">
        <v>1.2</v>
      </c>
      <c r="P705">
        <v>1</v>
      </c>
      <c r="Q705">
        <v>1.01</v>
      </c>
      <c r="R705">
        <v>1.2</v>
      </c>
      <c r="S705">
        <v>1.2</v>
      </c>
      <c r="T705">
        <v>1.05</v>
      </c>
      <c r="U705">
        <f t="shared" si="46"/>
        <v>0.16169679924070957</v>
      </c>
    </row>
    <row r="706" spans="1:21" hidden="1" x14ac:dyDescent="0.2">
      <c r="A706" t="s">
        <v>134</v>
      </c>
      <c r="B706" s="45">
        <f>B705*9</f>
        <v>7.9787234042553196E-2</v>
      </c>
      <c r="C706" t="s">
        <v>56</v>
      </c>
      <c r="D706" t="s">
        <v>100</v>
      </c>
      <c r="F706" t="s">
        <v>99</v>
      </c>
      <c r="H706" t="s">
        <v>131</v>
      </c>
      <c r="K706" t="str">
        <f>B662</f>
        <v>heat, residential, by combustion of hydrogen using boiler, transported by pipeline, produced by Auto-thermal reforming, with CCS using natural gas from Switzerland</v>
      </c>
      <c r="L706">
        <f t="shared" si="44"/>
        <v>2</v>
      </c>
      <c r="M706">
        <f t="shared" si="45"/>
        <v>-2.5283917617277392</v>
      </c>
      <c r="N706">
        <v>1.05</v>
      </c>
      <c r="O706">
        <v>1.2</v>
      </c>
      <c r="P706">
        <v>1</v>
      </c>
      <c r="Q706">
        <v>1.01</v>
      </c>
      <c r="R706">
        <v>1.2</v>
      </c>
      <c r="S706">
        <v>1.2</v>
      </c>
      <c r="T706">
        <v>1.05</v>
      </c>
      <c r="U706">
        <f t="shared" si="46"/>
        <v>0.16169679924070957</v>
      </c>
    </row>
    <row r="707" spans="1:21" hidden="1" x14ac:dyDescent="0.2">
      <c r="A707" t="s">
        <v>135</v>
      </c>
      <c r="B707" s="45">
        <f>912.5/1000000*B705</f>
        <v>8.0895390070921995E-6</v>
      </c>
      <c r="C707" t="s">
        <v>56</v>
      </c>
      <c r="D707" t="s">
        <v>100</v>
      </c>
      <c r="F707" t="s">
        <v>99</v>
      </c>
      <c r="H707" t="s">
        <v>131</v>
      </c>
      <c r="I707" t="s">
        <v>1217</v>
      </c>
      <c r="K707" t="str">
        <f>B662</f>
        <v>heat, residential, by combustion of hydrogen using boiler, transported by pipeline, produced by Auto-thermal reforming, with CCS using natural gas from Switzerland</v>
      </c>
      <c r="L707">
        <f t="shared" si="44"/>
        <v>2</v>
      </c>
      <c r="M707">
        <f t="shared" si="45"/>
        <v>-11.724938811571587</v>
      </c>
      <c r="N707">
        <v>1.05</v>
      </c>
      <c r="O707">
        <v>1.2</v>
      </c>
      <c r="P707">
        <v>1</v>
      </c>
      <c r="Q707">
        <v>1.01</v>
      </c>
      <c r="R707">
        <v>1.2</v>
      </c>
      <c r="S707">
        <v>1.2</v>
      </c>
      <c r="T707">
        <v>1.5</v>
      </c>
      <c r="U707">
        <f t="shared" si="46"/>
        <v>0.25816898211842121</v>
      </c>
    </row>
    <row r="708" spans="1:21" hidden="1" x14ac:dyDescent="0.2"/>
    <row r="709" spans="1:21" hidden="1" x14ac:dyDescent="0.2">
      <c r="A709" s="2" t="s">
        <v>50</v>
      </c>
      <c r="B709" s="44" t="str">
        <f>IF(B715="megajoule","heat","electricity")&amp;", residential, by "&amp;B720&amp;" of "&amp;B719&amp;" using "&amp;B721&amp;IF(B722&lt;&gt;0,", allocated by "&amp;B722,"")&amp;", transported by "&amp;B723&amp;", produced by "&amp;B727&amp;" using "&amp;B728&amp;" from "&amp;B729</f>
        <v>heat, residential, by combustion of hydrogen using CHP, allocated by exergy, transported by pipeline, produced by Auto-thermal reforming, with CCS using natural gas from Switzerland</v>
      </c>
    </row>
    <row r="710" spans="1:21" hidden="1" x14ac:dyDescent="0.2">
      <c r="A710" t="s">
        <v>51</v>
      </c>
      <c r="B710" s="45" t="str">
        <f>"This dataset represents the supply of 1 "&amp;IF(B715="megajoule","megajoule of heat","kilowatt hour of electricity")&amp;" in a residence, by "&amp;B719&amp;" "&amp;B720&amp;" in a "&amp;B721&amp;". "&amp;" The hydrogen is transported by "&amp;B723&amp;" over "&amp;B724&amp;" km from regional storage. "&amp;" The "&amp;B719&amp;" is produced by  "&amp;B727&amp;", with "&amp;B728&amp;" from "&amp;B729&amp;" as feedstock. "&amp;A731&amp;": "&amp;(B731*100)&amp;"%. "&amp;A732&amp;": "&amp;B732&amp;". "&amp;A733&amp;": "&amp;B733&amp;". "&amp;A734&amp;": "&amp;(B734*100)&amp;"%. "&amp;A735&amp;": "&amp;(B735*100)&amp;"%. "&amp;A736&amp;": "&amp;(B736*100)&amp;"%. "&amp;A737&amp;": "&amp;B737&amp;". "&amp;A738&amp;": "&amp;B738&amp;". "&amp;A739&amp;": "&amp;(B739*100)&amp;"%. "&amp;A740&amp;": "&amp;B740&amp;". "&amp;A741&amp;": "&amp;B741&amp;". "&amp;A742&amp;": "&amp;B742&amp;". "&amp;A743&amp;": "&amp;B743&amp;".  For more information, refer to: "&amp;B711</f>
        <v>This dataset represents the supply of 1 megajoule of heat in a residence, by hydrogen combustion in a CHP.  The hydrogen is transported by pipeline over 500 km from regional storage.  The hydrogen is produced by  Auto-thermal reforming, with CCS,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711" spans="1:21" hidden="1" x14ac:dyDescent="0.2">
      <c r="A711" t="s">
        <v>63</v>
      </c>
      <c r="B711" s="45" t="s">
        <v>660</v>
      </c>
    </row>
    <row r="712" spans="1:21" hidden="1" x14ac:dyDescent="0.2">
      <c r="A712" t="s">
        <v>52</v>
      </c>
      <c r="B712" s="45" t="s">
        <v>64</v>
      </c>
    </row>
    <row r="713" spans="1:21" hidden="1" x14ac:dyDescent="0.2">
      <c r="A713" t="s">
        <v>48</v>
      </c>
      <c r="B713" s="45">
        <v>146</v>
      </c>
    </row>
    <row r="714" spans="1:21" hidden="1" x14ac:dyDescent="0.2">
      <c r="A714" t="s">
        <v>54</v>
      </c>
      <c r="B714" s="45" t="str">
        <f>INDEX(overview!$B$4:$R$338,MATCH(B713,overview!$A$4:$A$338,0),MATCH(A714,overview!$B$3:$R$3,0))</f>
        <v>heat, from residential heating system</v>
      </c>
    </row>
    <row r="715" spans="1:21" hidden="1" x14ac:dyDescent="0.2">
      <c r="A715" t="s">
        <v>55</v>
      </c>
      <c r="B715" s="45" t="str">
        <f>INDEX(overview!$B$4:$R$338,MATCH(B713,overview!$A$4:$A$338,0),MATCH(A715,overview!$B$3:$R$3,0))</f>
        <v>megajoule</v>
      </c>
    </row>
    <row r="716" spans="1:21" hidden="1" x14ac:dyDescent="0.2">
      <c r="A716" t="s">
        <v>0</v>
      </c>
      <c r="B716" s="45" t="str">
        <f>INDEX(overview!$B$4:$R$338,MATCH(B713,overview!$A$4:$A$338,0),MATCH(A716,overview!$B$3:$R$3,0))</f>
        <v>Switzerland</v>
      </c>
    </row>
    <row r="717" spans="1:21" hidden="1" x14ac:dyDescent="0.2">
      <c r="A717" t="s">
        <v>1</v>
      </c>
      <c r="B717" s="45">
        <f>INDEX(overview!$B$4:$R$338,MATCH(B713,overview!$A$4:$A$338,0),MATCH(A717,overview!$B$3:$R$3,0))</f>
        <v>2020</v>
      </c>
    </row>
    <row r="718" spans="1:21" hidden="1" x14ac:dyDescent="0.2">
      <c r="A718" t="s">
        <v>2</v>
      </c>
      <c r="B718" s="45" t="str">
        <f>INDEX(overview!$B$4:$R$338,MATCH(B713,overview!$A$4:$A$338,0),MATCH(A718,overview!$B$3:$R$3,0))</f>
        <v>1 MJ heat</v>
      </c>
    </row>
    <row r="719" spans="1:21" hidden="1" x14ac:dyDescent="0.2">
      <c r="A719" t="s">
        <v>5</v>
      </c>
      <c r="B719" s="45" t="str">
        <f>INDEX(overview!$B$4:$R$338,MATCH(B713,overview!$A$4:$A$338,0),MATCH(A719,overview!$B$3:$R$3,0))</f>
        <v>hydrogen</v>
      </c>
    </row>
    <row r="720" spans="1:21" hidden="1" x14ac:dyDescent="0.2">
      <c r="A720" t="s">
        <v>3</v>
      </c>
      <c r="B720" s="45" t="str">
        <f>INDEX(overview!$B$4:$R$338,MATCH(B713,overview!$A$4:$A$338,0),MATCH(A720,overview!$B$3:$R$3,0))</f>
        <v>combustion</v>
      </c>
    </row>
    <row r="721" spans="1:2" hidden="1" x14ac:dyDescent="0.2">
      <c r="A721" t="s">
        <v>6</v>
      </c>
      <c r="B721" s="45" t="str">
        <f>INDEX(overview!$B$4:$R$338,MATCH(B713,overview!$A$4:$A$338,0),MATCH(A721,overview!$B$3:$R$3,0))</f>
        <v>CHP</v>
      </c>
    </row>
    <row r="722" spans="1:2" hidden="1" x14ac:dyDescent="0.2">
      <c r="A722" t="s">
        <v>39</v>
      </c>
      <c r="B722" s="45" t="str">
        <f>INDEX(overview!$B$4:$R$338,MATCH(B713,overview!$A$4:$A$338,0),MATCH(A722,overview!$B$3:$R$3,0))</f>
        <v>exergy</v>
      </c>
    </row>
    <row r="723" spans="1:2" hidden="1" x14ac:dyDescent="0.2">
      <c r="A723" t="s">
        <v>4</v>
      </c>
      <c r="B723" s="45" t="str">
        <f>INDEX(overview!$B$4:$R$338,MATCH(B713,overview!$A$4:$A$338,0),MATCH(A723,overview!$B$3:$R$3,0))</f>
        <v>pipeline</v>
      </c>
    </row>
    <row r="724" spans="1:2" hidden="1" x14ac:dyDescent="0.2">
      <c r="A724" t="s">
        <v>38</v>
      </c>
      <c r="B724" s="45">
        <f>INDEX(overview!$B$4:$R$338,MATCH(B713,overview!$A$4:$A$338,0),MATCH(A724,overview!$B$3:$R$3,0))</f>
        <v>500</v>
      </c>
    </row>
    <row r="725" spans="1:2" hidden="1" x14ac:dyDescent="0.2">
      <c r="A725" t="s">
        <v>12</v>
      </c>
      <c r="B725" s="45" t="str">
        <f>INDEX(overview!$B$4:$R$338,MATCH(B713,overview!$A$4:$A$338,0),MATCH(A725,overview!$B$3:$R$3,0))</f>
        <v>Pressure vessel for stationary storage</v>
      </c>
    </row>
    <row r="726" spans="1:2" hidden="1" x14ac:dyDescent="0.2">
      <c r="A726" t="s">
        <v>34</v>
      </c>
      <c r="B726" s="45">
        <f>INDEX(overview!$B$4:$R$338,MATCH(B713,overview!$A$4:$A$338,0),MATCH(A726,overview!$B$3:$R$3,0))</f>
        <v>0</v>
      </c>
    </row>
    <row r="727" spans="1:2" hidden="1" x14ac:dyDescent="0.2">
      <c r="A727" t="s">
        <v>15</v>
      </c>
      <c r="B727" s="45" t="str">
        <f>INDEX(overview!$B$4:$R$338,MATCH(B713,overview!$A$4:$A$338,0),MATCH(A727,overview!$B$3:$R$3,0))</f>
        <v>Auto-thermal reforming, with CCS</v>
      </c>
    </row>
    <row r="728" spans="1:2" hidden="1" x14ac:dyDescent="0.2">
      <c r="A728" t="s">
        <v>14</v>
      </c>
      <c r="B728" s="45" t="str">
        <f>INDEX(overview!$B$4:$R$338,MATCH(B713,overview!$A$4:$A$338,0),MATCH(A728,overview!$B$3:$R$3,0))</f>
        <v>natural gas</v>
      </c>
    </row>
    <row r="729" spans="1:2" hidden="1" x14ac:dyDescent="0.2">
      <c r="A729" t="s">
        <v>26</v>
      </c>
      <c r="B729" s="45" t="str">
        <f>INDEX(overview!$B$4:$R$338,MATCH(B713,overview!$A$4:$A$338,0),MATCH(A729,overview!$B$3:$R$3,0))</f>
        <v>Switzerland</v>
      </c>
    </row>
    <row r="730" spans="1:2" hidden="1" x14ac:dyDescent="0.2">
      <c r="A730" t="s">
        <v>29</v>
      </c>
      <c r="B730" s="45">
        <f>INDEX(overview!$B$4:$R$338,MATCH(B713,overview!$A$4:$A$338,0),MATCH(A730,overview!$B$3:$R$3,0))</f>
        <v>0</v>
      </c>
    </row>
    <row r="731" spans="1:2" hidden="1" x14ac:dyDescent="0.2">
      <c r="A731" t="str">
        <f>IF(B715="megajoule","Heat","Electricity")&amp;" conversion efficiency [% LHV input]"</f>
        <v>Heat conversion efficiency [% LHV input]</v>
      </c>
      <c r="B731" s="46">
        <f>INDEX(parameters!$D$4:$N$20,MATCH(B719&amp;B721,parameters!$A$4:$A$20,0),MATCH(A731,parameters!$D$3:$N$3,0))</f>
        <v>0.41699999999999998</v>
      </c>
    </row>
    <row r="732" spans="1:2" hidden="1" x14ac:dyDescent="0.2">
      <c r="A732" t="str">
        <f>IF(B715="megajoule","LHV [MJ/kg]","LHV [kWh/kg]")</f>
        <v>LHV [MJ/kg]</v>
      </c>
      <c r="B732" s="47">
        <f>INDEX(parameters!$D$4:$N$20,MATCH(B719&amp;B721,parameters!$A$4:$A$20,0),MATCH(A732,parameters!$D$3:$N$3,0))</f>
        <v>120</v>
      </c>
    </row>
    <row r="733" spans="1:2" hidden="1" x14ac:dyDescent="0.2">
      <c r="A733" t="s">
        <v>41</v>
      </c>
      <c r="B733" s="48">
        <f>INDEX(parameters!$D$4:$N$20,MATCH(B719&amp;B721,parameters!$A$4:$A$20,0),MATCH(A733,parameters!$D$3:$N$3,0))</f>
        <v>2.6666666666666665E-2</v>
      </c>
    </row>
    <row r="734" spans="1:2" hidden="1" x14ac:dyDescent="0.2">
      <c r="A734" t="s">
        <v>45</v>
      </c>
      <c r="B734" s="46">
        <f>INDEX(parameters!$D$4:$N$20,MATCH(B719&amp;B721,parameters!$A$4:$A$20,0),MATCH(A734,parameters!$D$3:$N$3,0))</f>
        <v>0</v>
      </c>
    </row>
    <row r="735" spans="1:2" hidden="1" x14ac:dyDescent="0.2">
      <c r="A735" t="s">
        <v>46</v>
      </c>
      <c r="B735" s="46">
        <f>INDEX(parameters!$D$4:$N$20,MATCH(B719&amp;B721,parameters!$A$4:$A$20,0),MATCH(A735,parameters!$D$3:$N$3,0))</f>
        <v>1.4999999999999999E-2</v>
      </c>
    </row>
    <row r="736" spans="1:2" hidden="1" x14ac:dyDescent="0.2">
      <c r="A736" t="s">
        <v>43</v>
      </c>
      <c r="B736" s="46">
        <f>INDEX(parameters!$D$4:$N$20,MATCH(B719&amp;B721,parameters!$A$4:$A$20,0),MATCH(A736,parameters!$D$3:$N$3,0))</f>
        <v>0</v>
      </c>
    </row>
    <row r="737" spans="1:22" hidden="1" x14ac:dyDescent="0.2">
      <c r="A737" t="s">
        <v>44</v>
      </c>
      <c r="B737" s="46">
        <f>INDEX(parameters!$D$4:$N$20,MATCH(B719&amp;B721,parameters!$A$4:$A$20,0),MATCH(A737,parameters!$D$3:$N$3,0))</f>
        <v>0</v>
      </c>
    </row>
    <row r="738" spans="1:22" hidden="1" x14ac:dyDescent="0.2">
      <c r="A738" t="s">
        <v>634</v>
      </c>
      <c r="B738" s="47">
        <f>INDEX(parameters!$D$4:$Y$20,MATCH(B719&amp;B721,parameters!$A$4:$A$20,0),MATCH(A738,parameters!$D$3:$Y$3,0))</f>
        <v>351.41800246609125</v>
      </c>
    </row>
    <row r="739" spans="1:22" hidden="1" x14ac:dyDescent="0.2">
      <c r="A739" t="s">
        <v>82</v>
      </c>
      <c r="B739" s="46">
        <f>IF(B730&lt;&gt;0,VLOOKUP(B730,parameters!A508:B510,2,0),0)</f>
        <v>0</v>
      </c>
    </row>
    <row r="740" spans="1:22" hidden="1" x14ac:dyDescent="0.2">
      <c r="A740" t="s">
        <v>548</v>
      </c>
      <c r="B740" s="50">
        <f>INDEX(parameters!$D$4:$P$20,MATCH(B719&amp;B721,parameters!$A$4:$A$20,0),MATCH(A740,parameters!$D$3:$P$3,0))</f>
        <v>125</v>
      </c>
    </row>
    <row r="741" spans="1:22" hidden="1" x14ac:dyDescent="0.2">
      <c r="A741" t="s">
        <v>547</v>
      </c>
      <c r="B741" s="51">
        <f>INDEX(parameters!$D$4:$P$20,MATCH(B719&amp;B721,parameters!$A$4:$A$20,0),MATCH(A741,parameters!$D$3:$P$3,0))</f>
        <v>19.512195121951219</v>
      </c>
    </row>
    <row r="742" spans="1:22" hidden="1" x14ac:dyDescent="0.2">
      <c r="A742" t="s">
        <v>630</v>
      </c>
      <c r="B742" s="51">
        <f>INDEX(parameters!$D$4:$T$20,MATCH(B719&amp;B721,parameters!$A$4:$A$20,0),MATCH(A742,parameters!$D$3:$T$3,0))</f>
        <v>4100</v>
      </c>
    </row>
    <row r="743" spans="1:22" hidden="1" x14ac:dyDescent="0.2">
      <c r="A743" t="s">
        <v>1005</v>
      </c>
      <c r="B743" s="50">
        <f>IF(B715="megajoule",SUMIFS(allocation!$I$4:$I$30,allocation!$B$4:$B$30,B721,allocation!$C$4:$C$30,B722),SUMIFS(allocation!$J$4:$J$30,allocation!$B$4:$B$30,B721,allocation!$C$4:$C$30,B722))</f>
        <v>0.12860042227295038</v>
      </c>
    </row>
    <row r="744" spans="1:22" hidden="1" x14ac:dyDescent="0.2">
      <c r="A744" t="s">
        <v>1050</v>
      </c>
      <c r="B744" s="51">
        <f>INDEX(parameters!$D$4:$AB$20,MATCH(B719&amp;B721,parameters!$A$4:$A$20,0),MATCH(A744,parameters!$D$3:$AB$3,0))</f>
        <v>2220.7364520822662</v>
      </c>
    </row>
    <row r="745" spans="1:22" hidden="1" x14ac:dyDescent="0.2"/>
    <row r="746" spans="1:22" hidden="1" x14ac:dyDescent="0.2">
      <c r="A746" s="3" t="s">
        <v>57</v>
      </c>
    </row>
    <row r="747" spans="1:22" hidden="1" x14ac:dyDescent="0.2">
      <c r="A747" s="2" t="s">
        <v>58</v>
      </c>
      <c r="B747" s="44" t="s">
        <v>59</v>
      </c>
      <c r="C747" s="2" t="s">
        <v>55</v>
      </c>
      <c r="D747" s="2" t="s">
        <v>60</v>
      </c>
      <c r="E747" s="2" t="s">
        <v>52</v>
      </c>
      <c r="F747" s="2" t="s">
        <v>61</v>
      </c>
      <c r="G747" s="2" t="s">
        <v>54</v>
      </c>
      <c r="H747" s="2" t="s">
        <v>87</v>
      </c>
      <c r="I747" s="2" t="s">
        <v>51</v>
      </c>
      <c r="J747" s="2" t="s">
        <v>138</v>
      </c>
      <c r="K747" s="2" t="s">
        <v>136</v>
      </c>
      <c r="L747" s="2" t="s">
        <v>221</v>
      </c>
      <c r="M747" s="2" t="s">
        <v>379</v>
      </c>
      <c r="N747" s="2" t="s">
        <v>1059</v>
      </c>
      <c r="O747" s="2" t="s">
        <v>1060</v>
      </c>
      <c r="P747" s="2" t="s">
        <v>1061</v>
      </c>
      <c r="Q747" s="2" t="s">
        <v>1062</v>
      </c>
      <c r="R747" s="2" t="s">
        <v>1063</v>
      </c>
      <c r="S747" s="2" t="s">
        <v>1064</v>
      </c>
      <c r="T747" s="2" t="s">
        <v>1065</v>
      </c>
      <c r="U747" s="2" t="s">
        <v>380</v>
      </c>
      <c r="V747" s="2" t="s">
        <v>1128</v>
      </c>
    </row>
    <row r="748" spans="1:22" hidden="1" x14ac:dyDescent="0.2">
      <c r="A748" t="str">
        <f>B709</f>
        <v>heat, residential, by combustion of hydrogen using CHP, allocated by exergy, transported by pipeline, produced by Auto-thermal reforming, with CCS using natural gas from Switzerland</v>
      </c>
      <c r="B748" s="45">
        <v>1</v>
      </c>
      <c r="C748" t="str">
        <f>B715</f>
        <v>megajoule</v>
      </c>
      <c r="E748" t="str">
        <f>B712</f>
        <v>CH</v>
      </c>
      <c r="F748" t="s">
        <v>62</v>
      </c>
      <c r="G748" t="str">
        <f>B714</f>
        <v>heat, from residential heating system</v>
      </c>
      <c r="K748" t="str">
        <f>B709</f>
        <v>heat, residential, by combustion of hydrogen using CHP, allocated by exergy, transported by pipeline, produced by Auto-thermal reforming, with CCS using natural gas from Switzerland</v>
      </c>
    </row>
    <row r="749" spans="1:22" hidden="1" x14ac:dyDescent="0.2">
      <c r="A749" t="str">
        <f>VLOOKUP(J749,'dataset mapping'!$A$4:$E$69,2,0)</f>
        <v>heat and power co-generation unit construction, 160kW electrical, common components for heat+electricity</v>
      </c>
      <c r="B749" s="52">
        <f>(1/(B738*B742*B741*3.6))*B743</f>
        <v>1.270649883812899E-9</v>
      </c>
      <c r="C749" t="str">
        <f>VLOOKUP(J749,'dataset mapping'!$A$4:$E$69,5,0)</f>
        <v>unit</v>
      </c>
      <c r="E749" t="str">
        <f>VLOOKUP(J749,'dataset mapping'!$A$4:$E$69,4,0)</f>
        <v>RER</v>
      </c>
      <c r="F749" t="s">
        <v>86</v>
      </c>
      <c r="G749" t="str">
        <f>VLOOKUP(J749,'dataset mapping'!$A$4:$E$69,3,0)</f>
        <v>heat and power co-generation unit, 160kW electrical, common components for heat+electricity</v>
      </c>
      <c r="H749" t="s">
        <v>88</v>
      </c>
      <c r="J749" t="s">
        <v>145</v>
      </c>
      <c r="K749" t="str">
        <f>B709</f>
        <v>heat, residential, by combustion of hydrogen using CHP, allocated by exergy, transported by pipeline, produced by Auto-thermal reforming, with CCS using natural gas from Switzerland</v>
      </c>
      <c r="L749">
        <f t="shared" ref="L749:L756" si="47">IF(OR(B749&lt;0,B749=0),1,2)</f>
        <v>2</v>
      </c>
      <c r="M749">
        <f t="shared" ref="M749:M756" si="48">IF(L749=2,LN(B749),"")</f>
        <v>-20.48373734782199</v>
      </c>
      <c r="N749">
        <v>1.05</v>
      </c>
      <c r="O749">
        <v>1.2</v>
      </c>
      <c r="P749">
        <v>1</v>
      </c>
      <c r="Q749">
        <v>1.01</v>
      </c>
      <c r="R749">
        <v>1.2</v>
      </c>
      <c r="S749">
        <v>1.2</v>
      </c>
      <c r="T749">
        <v>3</v>
      </c>
      <c r="U749">
        <f t="shared" ref="U749:U756" si="49">LN(SQRT(EXP(
SQRT(
+POWER(LN(N749),2)
+POWER(LN(O749),2)
+POWER(LN(P749),2)
+POWER(LN(Q749),2)
+POWER(LN(R749),2)
+POWER(LN(S749),2)
+POWER(LN(T749),2)
)
)))</f>
        <v>0.57209088006881903</v>
      </c>
    </row>
    <row r="750" spans="1:22" hidden="1" x14ac:dyDescent="0.2">
      <c r="A750" t="str">
        <f>VLOOKUP(J750,'dataset mapping'!$A$4:$E$69,2,0)</f>
        <v>heat and power co-generation unit construction, 160kW electrical, components for electricity only</v>
      </c>
      <c r="B750" s="52">
        <f>(1/(B738*B742*B741*3.6))*B743</f>
        <v>1.270649883812899E-9</v>
      </c>
      <c r="C750" t="str">
        <f>VLOOKUP(J750,'dataset mapping'!$A$4:$E$69,5,0)</f>
        <v>unit</v>
      </c>
      <c r="E750" t="str">
        <f>VLOOKUP(J750,'dataset mapping'!$A$4:$E$69,4,0)</f>
        <v>RER</v>
      </c>
      <c r="F750" t="s">
        <v>86</v>
      </c>
      <c r="G750" t="str">
        <f>VLOOKUP(J750,'dataset mapping'!$A$4:$E$69,3,0)</f>
        <v>heat and power co-generation unit, 160kW electrical, components for electricity only</v>
      </c>
      <c r="H750" t="s">
        <v>88</v>
      </c>
      <c r="J750" t="s">
        <v>146</v>
      </c>
      <c r="K750" t="str">
        <f>B709</f>
        <v>heat, residential, by combustion of hydrogen using CHP, allocated by exergy, transported by pipeline, produced by Auto-thermal reforming, with CCS using natural gas from Switzerland</v>
      </c>
      <c r="L750">
        <f t="shared" si="47"/>
        <v>2</v>
      </c>
      <c r="M750">
        <f t="shared" si="48"/>
        <v>-20.48373734782199</v>
      </c>
      <c r="N750">
        <v>1.05</v>
      </c>
      <c r="O750">
        <v>1.2</v>
      </c>
      <c r="P750">
        <v>1</v>
      </c>
      <c r="Q750">
        <v>1.01</v>
      </c>
      <c r="R750">
        <v>1.2</v>
      </c>
      <c r="S750">
        <v>1.2</v>
      </c>
      <c r="T750">
        <v>3</v>
      </c>
      <c r="U750">
        <f t="shared" si="49"/>
        <v>0.57209088006881903</v>
      </c>
    </row>
    <row r="751" spans="1:22" hidden="1" x14ac:dyDescent="0.2">
      <c r="A751" t="str">
        <f>VLOOKUP(J751,'dataset mapping'!$A$4:$E$69,2,0)</f>
        <v>heat and power co-generation unit construction, 160kW electrical, components for heat only</v>
      </c>
      <c r="B751" s="52">
        <f>(1/(B738*B742*B741*3.6))*B743</f>
        <v>1.270649883812899E-9</v>
      </c>
      <c r="C751" t="str">
        <f>VLOOKUP(J751,'dataset mapping'!$A$4:$E$69,5,0)</f>
        <v>unit</v>
      </c>
      <c r="E751" t="str">
        <f>VLOOKUP(J751,'dataset mapping'!$A$4:$E$69,4,0)</f>
        <v>RER</v>
      </c>
      <c r="F751" t="s">
        <v>86</v>
      </c>
      <c r="G751" t="str">
        <f>VLOOKUP(J751,'dataset mapping'!$A$4:$E$69,3,0)</f>
        <v>heat and power co-generation unit, 160kW electrical, components for heat only</v>
      </c>
      <c r="H751" t="s">
        <v>88</v>
      </c>
      <c r="J751" t="s">
        <v>147</v>
      </c>
      <c r="K751" t="str">
        <f>B709</f>
        <v>heat, residential, by combustion of hydrogen using CHP, allocated by exergy, transported by pipeline, produced by Auto-thermal reforming, with CCS using natural gas from Switzerland</v>
      </c>
      <c r="L751">
        <f t="shared" si="47"/>
        <v>2</v>
      </c>
      <c r="M751">
        <f t="shared" si="48"/>
        <v>-20.48373734782199</v>
      </c>
      <c r="N751">
        <v>1.05</v>
      </c>
      <c r="O751">
        <v>1.2</v>
      </c>
      <c r="P751">
        <v>1</v>
      </c>
      <c r="Q751">
        <v>1.01</v>
      </c>
      <c r="R751">
        <v>1.2</v>
      </c>
      <c r="S751">
        <v>1.2</v>
      </c>
      <c r="T751">
        <v>3</v>
      </c>
      <c r="U751">
        <f t="shared" si="49"/>
        <v>0.57209088006881903</v>
      </c>
    </row>
    <row r="752" spans="1:22" hidden="1" x14ac:dyDescent="0.2">
      <c r="A752" t="s">
        <v>156</v>
      </c>
      <c r="B752" s="52">
        <f>0.00000011366*B743</f>
        <v>1.461672399554354E-8</v>
      </c>
      <c r="C752" t="s">
        <v>56</v>
      </c>
      <c r="E752" t="s">
        <v>90</v>
      </c>
      <c r="F752" t="s">
        <v>86</v>
      </c>
      <c r="G752" t="s">
        <v>154</v>
      </c>
      <c r="H752" t="s">
        <v>155</v>
      </c>
      <c r="K752" t="str">
        <f>B709</f>
        <v>heat, residential, by combustion of hydrogen using CHP, allocated by exergy, transported by pipeline, produced by Auto-thermal reforming, with CCS using natural gas from Switzerland</v>
      </c>
      <c r="L752">
        <f t="shared" si="47"/>
        <v>2</v>
      </c>
      <c r="M752">
        <f t="shared" si="48"/>
        <v>-18.041099484645969</v>
      </c>
      <c r="N752">
        <v>1.05</v>
      </c>
      <c r="O752">
        <v>1.2</v>
      </c>
      <c r="P752">
        <v>1</v>
      </c>
      <c r="Q752">
        <v>1.01</v>
      </c>
      <c r="R752">
        <v>1.2</v>
      </c>
      <c r="S752">
        <v>1.2</v>
      </c>
      <c r="T752">
        <v>1.05</v>
      </c>
      <c r="U752">
        <f t="shared" si="49"/>
        <v>0.16169679924070957</v>
      </c>
    </row>
    <row r="753" spans="1:22" hidden="1" x14ac:dyDescent="0.2">
      <c r="A753" t="s">
        <v>157</v>
      </c>
      <c r="B753" s="52">
        <f>0.00000011366*B743*-1</f>
        <v>-1.461672399554354E-8</v>
      </c>
      <c r="C753" t="s">
        <v>56</v>
      </c>
      <c r="E753" t="s">
        <v>64</v>
      </c>
      <c r="F753" t="s">
        <v>86</v>
      </c>
      <c r="G753" t="s">
        <v>158</v>
      </c>
      <c r="H753" t="s">
        <v>155</v>
      </c>
      <c r="K753" t="str">
        <f>B709</f>
        <v>heat, residential, by combustion of hydrogen using CHP, allocated by exergy, transported by pipeline, produced by Auto-thermal reforming, with CCS using natural gas from Switzerland</v>
      </c>
      <c r="L753">
        <v>2</v>
      </c>
      <c r="M753">
        <f>IF(L753=2,LN(B753*-1),"")</f>
        <v>-18.041099484645969</v>
      </c>
      <c r="N753">
        <v>1.05</v>
      </c>
      <c r="O753">
        <v>1.2</v>
      </c>
      <c r="P753">
        <v>1</v>
      </c>
      <c r="Q753">
        <v>1.01</v>
      </c>
      <c r="R753">
        <v>1.2</v>
      </c>
      <c r="S753">
        <v>1.2</v>
      </c>
      <c r="T753">
        <v>3</v>
      </c>
      <c r="U753">
        <f>LN(SQRT(EXP(
SQRT(
+POWER(LN(N753),2)
+POWER(LN(O753),2)
+POWER(LN(P753),2)
+POWER(LN(Q753),2)
+POWER(LN(R753),2)
+POWER(LN(S753),2)
+POWER(LN(T753),2)
)
)))</f>
        <v>0.57209088006881903</v>
      </c>
      <c r="V753" t="b">
        <v>1</v>
      </c>
    </row>
    <row r="754" spans="1:22" hidden="1" x14ac:dyDescent="0.2">
      <c r="A754" s="45" t="str">
        <f>"hydrogen supply, transported by "&amp;B723&amp;", produced by "&amp;B727&amp;" using "&amp;B728&amp;" from "&amp;B729</f>
        <v>hydrogen supply, transported by pipeline, produced by Auto-thermal reforming, with CCS using natural gas from Switzerland</v>
      </c>
      <c r="B754" s="53">
        <f>(B748/B732)/B731*B743</f>
        <v>2.56995248347223E-3</v>
      </c>
      <c r="C754" t="s">
        <v>56</v>
      </c>
      <c r="E754" t="s">
        <v>64</v>
      </c>
      <c r="F754" t="s">
        <v>86</v>
      </c>
      <c r="G754" t="s">
        <v>1129</v>
      </c>
      <c r="H754" t="s">
        <v>76</v>
      </c>
      <c r="I754" t="s">
        <v>1054</v>
      </c>
      <c r="J754" t="s">
        <v>308</v>
      </c>
      <c r="K754" t="str">
        <f>B709</f>
        <v>heat, residential, by combustion of hydrogen using CHP, allocated by exergy, transported by pipeline, produced by Auto-thermal reforming, with CCS using natural gas from Switzerland</v>
      </c>
      <c r="L754">
        <f t="shared" si="47"/>
        <v>2</v>
      </c>
      <c r="M754">
        <f t="shared" si="48"/>
        <v>-5.9638678691672418</v>
      </c>
      <c r="N754">
        <v>1.05</v>
      </c>
      <c r="O754">
        <v>1.2</v>
      </c>
      <c r="P754">
        <v>1</v>
      </c>
      <c r="Q754">
        <v>1.01</v>
      </c>
      <c r="R754">
        <v>1.2</v>
      </c>
      <c r="S754">
        <v>1.2</v>
      </c>
      <c r="T754">
        <v>1.05</v>
      </c>
      <c r="U754">
        <f t="shared" si="49"/>
        <v>0.16169679924070957</v>
      </c>
    </row>
    <row r="755" spans="1:22" hidden="1" x14ac:dyDescent="0.2">
      <c r="A755" t="s">
        <v>134</v>
      </c>
      <c r="B755" s="45">
        <f>B754*9</f>
        <v>2.3129572351250072E-2</v>
      </c>
      <c r="C755" t="s">
        <v>56</v>
      </c>
      <c r="D755" t="s">
        <v>100</v>
      </c>
      <c r="F755" t="s">
        <v>99</v>
      </c>
      <c r="H755" t="s">
        <v>131</v>
      </c>
      <c r="K755" t="str">
        <f>B709</f>
        <v>heat, residential, by combustion of hydrogen using CHP, allocated by exergy, transported by pipeline, produced by Auto-thermal reforming, with CCS using natural gas from Switzerland</v>
      </c>
      <c r="L755">
        <f t="shared" si="47"/>
        <v>2</v>
      </c>
      <c r="M755">
        <f t="shared" si="48"/>
        <v>-3.7666432918310226</v>
      </c>
      <c r="N755">
        <v>1.05</v>
      </c>
      <c r="O755">
        <v>1.2</v>
      </c>
      <c r="P755">
        <v>1</v>
      </c>
      <c r="Q755">
        <v>1.01</v>
      </c>
      <c r="R755">
        <v>1.2</v>
      </c>
      <c r="S755">
        <v>1.2</v>
      </c>
      <c r="T755">
        <v>1.05</v>
      </c>
      <c r="U755">
        <f t="shared" si="49"/>
        <v>0.16169679924070957</v>
      </c>
    </row>
    <row r="756" spans="1:22" hidden="1" x14ac:dyDescent="0.2">
      <c r="A756" t="s">
        <v>135</v>
      </c>
      <c r="B756" s="45">
        <f>912.5/1000000*B754</f>
        <v>2.3450816411684101E-6</v>
      </c>
      <c r="C756" t="s">
        <v>56</v>
      </c>
      <c r="D756" t="s">
        <v>100</v>
      </c>
      <c r="F756" t="s">
        <v>99</v>
      </c>
      <c r="H756" t="s">
        <v>131</v>
      </c>
      <c r="I756" t="s">
        <v>1217</v>
      </c>
      <c r="K756" t="str">
        <f>B709</f>
        <v>heat, residential, by combustion of hydrogen using CHP, allocated by exergy, transported by pipeline, produced by Auto-thermal reforming, with CCS using natural gas from Switzerland</v>
      </c>
      <c r="L756">
        <f t="shared" si="47"/>
        <v>2</v>
      </c>
      <c r="M756">
        <f t="shared" si="48"/>
        <v>-12.963190341674869</v>
      </c>
      <c r="N756">
        <v>1.05</v>
      </c>
      <c r="O756">
        <v>1.2</v>
      </c>
      <c r="P756">
        <v>1</v>
      </c>
      <c r="Q756">
        <v>1.01</v>
      </c>
      <c r="R756">
        <v>1.2</v>
      </c>
      <c r="S756">
        <v>1.2</v>
      </c>
      <c r="T756">
        <v>1.5</v>
      </c>
      <c r="U756">
        <f t="shared" si="49"/>
        <v>0.25816898211842121</v>
      </c>
    </row>
    <row r="757" spans="1:22" hidden="1" x14ac:dyDescent="0.2"/>
    <row r="758" spans="1:22" hidden="1" x14ac:dyDescent="0.2">
      <c r="A758" s="2" t="s">
        <v>50</v>
      </c>
      <c r="B758" s="44" t="str">
        <f>IF(B764="megajoule","heat","electricity")&amp;", residential, by "&amp;B769&amp;" of "&amp;B768&amp;" using "&amp;B770&amp;IF(B771&lt;&gt;0,", allocated by "&amp;B771,"")&amp;", transported by "&amp;B772&amp;", produced by "&amp;B776&amp;" using "&amp;B777&amp;" from "&amp;B778</f>
        <v>heat, residential, by conversion of hydrogen using fuel cell, PEM, allocated by exergy, transported by pipeline, produced by Auto-thermal reforming, with CCS using natural gas from Switzerland</v>
      </c>
    </row>
    <row r="759" spans="1:22" hidden="1" x14ac:dyDescent="0.2">
      <c r="A759" t="s">
        <v>51</v>
      </c>
      <c r="B759" s="45" t="str">
        <f>"This dataset represents the supply of 1 "&amp;IF(B764="megajoule","megajoule of heat","kilowatt hour of electricity")&amp;" in a residence, by "&amp;B768&amp;" "&amp;B769&amp;" in a "&amp;B770&amp;". "&amp;" The hydrogen is transported by "&amp;B772&amp;" over "&amp;B773&amp;" km from regional storage. "&amp;" The "&amp;B768&amp;" is produced by  "&amp;B776&amp;", with "&amp;B777&amp;" from "&amp;B778&amp;" as feedstock. "&amp;A780&amp;": "&amp;(B780*100)&amp;"%. "&amp;A781&amp;": "&amp;B781&amp;". "&amp;A782&amp;": "&amp;B782&amp;". "&amp;A783&amp;": "&amp;(B783*100)&amp;"%. "&amp;A784&amp;": "&amp;(B784*100)&amp;"%. "&amp;A785&amp;": "&amp;(B785*100)&amp;"%. "&amp;A786&amp;": "&amp;B786&amp;". "&amp;A787&amp;": "&amp;B787&amp;". "&amp;A788&amp;": "&amp;(B788*100)&amp;"%. "&amp;A789&amp;": "&amp;B789&amp;". "&amp;A790&amp;": "&amp;B790&amp;". "&amp;A791&amp;": "&amp;B791&amp;". "&amp;A792&amp;": "&amp;B792&amp;".  For more information, refer to: "&amp;B760</f>
        <v>This dataset represents the supply of 1 megajoule of heat in a residence, by hydrogen conversion in a fuel cell, PEM.  The hydrogen is transported by pipeline over 500 km from regional storage.  The hydrogen is produced by  Auto-thermal reforming, with CCS,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760" spans="1:22" hidden="1" x14ac:dyDescent="0.2">
      <c r="A760" t="s">
        <v>63</v>
      </c>
      <c r="B760" s="45" t="s">
        <v>660</v>
      </c>
    </row>
    <row r="761" spans="1:22" hidden="1" x14ac:dyDescent="0.2">
      <c r="A761" t="s">
        <v>52</v>
      </c>
      <c r="B761" s="45" t="s">
        <v>64</v>
      </c>
    </row>
    <row r="762" spans="1:22" hidden="1" x14ac:dyDescent="0.2">
      <c r="A762" t="s">
        <v>48</v>
      </c>
      <c r="B762" s="45">
        <v>147</v>
      </c>
    </row>
    <row r="763" spans="1:22" hidden="1" x14ac:dyDescent="0.2">
      <c r="A763" t="s">
        <v>54</v>
      </c>
      <c r="B763" s="45" t="str">
        <f>INDEX(overview!$B$4:$R$338,MATCH(B762,overview!$A$4:$A$338,0),MATCH(A763,overview!$B$3:$R$3,0))</f>
        <v>heat, from residential heating system</v>
      </c>
    </row>
    <row r="764" spans="1:22" hidden="1" x14ac:dyDescent="0.2">
      <c r="A764" t="s">
        <v>55</v>
      </c>
      <c r="B764" s="45" t="str">
        <f>INDEX(overview!$B$4:$R$338,MATCH(B762,overview!$A$4:$A$338,0),MATCH(A764,overview!$B$3:$R$3,0))</f>
        <v>megajoule</v>
      </c>
    </row>
    <row r="765" spans="1:22" hidden="1" x14ac:dyDescent="0.2">
      <c r="A765" t="s">
        <v>0</v>
      </c>
      <c r="B765" s="45" t="str">
        <f>INDEX(overview!$B$4:$R$338,MATCH(B762,overview!$A$4:$A$338,0),MATCH(A765,overview!$B$3:$R$3,0))</f>
        <v>Switzerland</v>
      </c>
    </row>
    <row r="766" spans="1:22" hidden="1" x14ac:dyDescent="0.2">
      <c r="A766" t="s">
        <v>1</v>
      </c>
      <c r="B766" s="45">
        <f>INDEX(overview!$B$4:$R$338,MATCH(B762,overview!$A$4:$A$338,0),MATCH(A766,overview!$B$3:$R$3,0))</f>
        <v>2020</v>
      </c>
    </row>
    <row r="767" spans="1:22" hidden="1" x14ac:dyDescent="0.2">
      <c r="A767" t="s">
        <v>2</v>
      </c>
      <c r="B767" s="45" t="str">
        <f>INDEX(overview!$B$4:$R$338,MATCH(B762,overview!$A$4:$A$338,0),MATCH(A767,overview!$B$3:$R$3,0))</f>
        <v>1 MJ heat</v>
      </c>
    </row>
    <row r="768" spans="1:22" hidden="1" x14ac:dyDescent="0.2">
      <c r="A768" t="s">
        <v>5</v>
      </c>
      <c r="B768" s="45" t="str">
        <f>INDEX(overview!$B$4:$R$338,MATCH(B762,overview!$A$4:$A$338,0),MATCH(A768,overview!$B$3:$R$3,0))</f>
        <v>hydrogen</v>
      </c>
    </row>
    <row r="769" spans="1:2" hidden="1" x14ac:dyDescent="0.2">
      <c r="A769" t="s">
        <v>3</v>
      </c>
      <c r="B769" s="45" t="str">
        <f>INDEX(overview!$B$4:$R$338,MATCH(B762,overview!$A$4:$A$338,0),MATCH(A769,overview!$B$3:$R$3,0))</f>
        <v>conversion</v>
      </c>
    </row>
    <row r="770" spans="1:2" hidden="1" x14ac:dyDescent="0.2">
      <c r="A770" t="s">
        <v>6</v>
      </c>
      <c r="B770" s="45" t="str">
        <f>INDEX(overview!$B$4:$R$338,MATCH(B762,overview!$A$4:$A$338,0),MATCH(A770,overview!$B$3:$R$3,0))</f>
        <v>fuel cell, PEM</v>
      </c>
    </row>
    <row r="771" spans="1:2" hidden="1" x14ac:dyDescent="0.2">
      <c r="A771" t="s">
        <v>39</v>
      </c>
      <c r="B771" s="45" t="str">
        <f>INDEX(overview!$B$4:$R$338,MATCH(B762,overview!$A$4:$A$338,0),MATCH(A771,overview!$B$3:$R$3,0))</f>
        <v>exergy</v>
      </c>
    </row>
    <row r="772" spans="1:2" hidden="1" x14ac:dyDescent="0.2">
      <c r="A772" t="s">
        <v>4</v>
      </c>
      <c r="B772" s="45" t="str">
        <f>INDEX(overview!$B$4:$R$338,MATCH(B762,overview!$A$4:$A$338,0),MATCH(A772,overview!$B$3:$R$3,0))</f>
        <v>pipeline</v>
      </c>
    </row>
    <row r="773" spans="1:2" hidden="1" x14ac:dyDescent="0.2">
      <c r="A773" t="s">
        <v>38</v>
      </c>
      <c r="B773" s="45">
        <f>INDEX(overview!$B$4:$R$338,MATCH(B762,overview!$A$4:$A$338,0),MATCH(A773,overview!$B$3:$R$3,0))</f>
        <v>500</v>
      </c>
    </row>
    <row r="774" spans="1:2" hidden="1" x14ac:dyDescent="0.2">
      <c r="A774" t="s">
        <v>12</v>
      </c>
      <c r="B774" s="45" t="str">
        <f>INDEX(overview!$B$4:$R$338,MATCH(B762,overview!$A$4:$A$338,0),MATCH(A774,overview!$B$3:$R$3,0))</f>
        <v>Pressure vessel for stationary storage</v>
      </c>
    </row>
    <row r="775" spans="1:2" hidden="1" x14ac:dyDescent="0.2">
      <c r="A775" t="s">
        <v>34</v>
      </c>
      <c r="B775" s="45">
        <f>INDEX(overview!$B$4:$R$338,MATCH(B762,overview!$A$4:$A$338,0),MATCH(A775,overview!$B$3:$R$3,0))</f>
        <v>0</v>
      </c>
    </row>
    <row r="776" spans="1:2" hidden="1" x14ac:dyDescent="0.2">
      <c r="A776" t="s">
        <v>15</v>
      </c>
      <c r="B776" s="45" t="str">
        <f>INDEX(overview!$B$4:$R$338,MATCH(B762,overview!$A$4:$A$338,0),MATCH(A776,overview!$B$3:$R$3,0))</f>
        <v>Auto-thermal reforming, with CCS</v>
      </c>
    </row>
    <row r="777" spans="1:2" hidden="1" x14ac:dyDescent="0.2">
      <c r="A777" t="s">
        <v>14</v>
      </c>
      <c r="B777" s="45" t="str">
        <f>INDEX(overview!$B$4:$R$338,MATCH(B762,overview!$A$4:$A$338,0),MATCH(A777,overview!$B$3:$R$3,0))</f>
        <v>natural gas</v>
      </c>
    </row>
    <row r="778" spans="1:2" hidden="1" x14ac:dyDescent="0.2">
      <c r="A778" t="s">
        <v>26</v>
      </c>
      <c r="B778" s="45" t="str">
        <f>INDEX(overview!$B$4:$R$338,MATCH(B762,overview!$A$4:$A$338,0),MATCH(A778,overview!$B$3:$R$3,0))</f>
        <v>Switzerland</v>
      </c>
    </row>
    <row r="779" spans="1:2" hidden="1" x14ac:dyDescent="0.2">
      <c r="A779" t="s">
        <v>29</v>
      </c>
      <c r="B779" s="45">
        <f>INDEX(overview!$B$4:$R$338,MATCH(B762,overview!$A$4:$A$338,0),MATCH(A779,overview!$B$3:$R$3,0))</f>
        <v>0</v>
      </c>
    </row>
    <row r="780" spans="1:2" hidden="1" x14ac:dyDescent="0.2">
      <c r="A780" t="str">
        <f>IF(B764="megajoule","Heat","Electricity")&amp;" conversion efficiency [% LHV input]"</f>
        <v>Heat conversion efficiency [% LHV input]</v>
      </c>
      <c r="B780" s="46">
        <f>INDEX(parameters!$D$4:$N$20,MATCH(B768&amp;B770,parameters!$A$4:$A$20,0),MATCH(A780,parameters!$D$3:$N$3,0))</f>
        <v>0.5</v>
      </c>
    </row>
    <row r="781" spans="1:2" hidden="1" x14ac:dyDescent="0.2">
      <c r="A781" t="str">
        <f>IF(B764="megajoule","LHV [MJ/kg]","LHV [kWh/kg]")</f>
        <v>LHV [MJ/kg]</v>
      </c>
      <c r="B781" s="47">
        <f>INDEX(parameters!$D$4:$N$20,MATCH(B768&amp;B770,parameters!$A$4:$A$20,0),MATCH(A781,parameters!$D$3:$N$3,0))</f>
        <v>120</v>
      </c>
    </row>
    <row r="782" spans="1:2" hidden="1" x14ac:dyDescent="0.2">
      <c r="A782" t="s">
        <v>41</v>
      </c>
      <c r="B782" s="48">
        <f>INDEX(parameters!$D$4:$N$20,MATCH(B768&amp;B770,parameters!$A$4:$A$20,0),MATCH(A782,parameters!$D$3:$N$3,0))</f>
        <v>2.6666666666666665E-2</v>
      </c>
    </row>
    <row r="783" spans="1:2" hidden="1" x14ac:dyDescent="0.2">
      <c r="A783" t="s">
        <v>45</v>
      </c>
      <c r="B783" s="46">
        <f>INDEX(parameters!$D$4:$N$20,MATCH(B768&amp;B770,parameters!$A$4:$A$20,0),MATCH(A783,parameters!$D$3:$N$3,0))</f>
        <v>0</v>
      </c>
    </row>
    <row r="784" spans="1:2" hidden="1" x14ac:dyDescent="0.2">
      <c r="A784" t="s">
        <v>46</v>
      </c>
      <c r="B784" s="46">
        <f>INDEX(parameters!$D$4:$N$20,MATCH(B768&amp;B770,parameters!$A$4:$A$20,0),MATCH(A784,parameters!$D$3:$N$3,0))</f>
        <v>1.4999999999999999E-2</v>
      </c>
    </row>
    <row r="785" spans="1:22" hidden="1" x14ac:dyDescent="0.2">
      <c r="A785" t="s">
        <v>43</v>
      </c>
      <c r="B785" s="46">
        <f>INDEX(parameters!$D$4:$N$20,MATCH(B768&amp;B770,parameters!$A$4:$A$20,0),MATCH(A785,parameters!$D$3:$N$3,0))</f>
        <v>0</v>
      </c>
    </row>
    <row r="786" spans="1:22" hidden="1" x14ac:dyDescent="0.2">
      <c r="A786" t="s">
        <v>44</v>
      </c>
      <c r="B786" s="46">
        <f>INDEX(parameters!$D$4:$N$20,MATCH(B768&amp;B770,parameters!$A$4:$A$20,0),MATCH(A786,parameters!$D$3:$N$3,0))</f>
        <v>0</v>
      </c>
    </row>
    <row r="787" spans="1:22" hidden="1" x14ac:dyDescent="0.2">
      <c r="A787" t="s">
        <v>634</v>
      </c>
      <c r="B787" s="47">
        <f>INDEX(parameters!$D$4:$Y$20,MATCH(B768&amp;B770,parameters!$A$4:$A$20,0),MATCH(A787,parameters!$D$3:$Y$3,0))</f>
        <v>1.8947368421052633</v>
      </c>
    </row>
    <row r="788" spans="1:22" hidden="1" x14ac:dyDescent="0.2">
      <c r="A788" t="s">
        <v>82</v>
      </c>
      <c r="B788" s="46">
        <f>IF(B779&lt;&gt;0,VLOOKUP(B779,parameters!A562:B564,2,0),0)</f>
        <v>0</v>
      </c>
    </row>
    <row r="789" spans="1:22" hidden="1" x14ac:dyDescent="0.2">
      <c r="A789" t="s">
        <v>548</v>
      </c>
      <c r="B789" s="50">
        <f>INDEX(parameters!$D$4:$P$20,MATCH(B768&amp;B770,parameters!$A$4:$A$20,0),MATCH(A789,parameters!$D$3:$P$3,0))</f>
        <v>0.8</v>
      </c>
    </row>
    <row r="790" spans="1:22" hidden="1" x14ac:dyDescent="0.2">
      <c r="A790" t="s">
        <v>547</v>
      </c>
      <c r="B790" s="51">
        <f>INDEX(parameters!$D$4:$P$20,MATCH(B768&amp;B770,parameters!$A$4:$A$20,0),MATCH(A790,parameters!$D$3:$P$3,0))</f>
        <v>4.8780487804878048</v>
      </c>
    </row>
    <row r="791" spans="1:22" hidden="1" x14ac:dyDescent="0.2">
      <c r="A791" t="s">
        <v>630</v>
      </c>
      <c r="B791" s="51">
        <f>INDEX(parameters!$D$4:$T$20,MATCH(B768&amp;B770,parameters!$A$4:$A$20,0),MATCH(A791,parameters!$D$3:$T$3,0))</f>
        <v>4100</v>
      </c>
    </row>
    <row r="792" spans="1:22" hidden="1" x14ac:dyDescent="0.2">
      <c r="A792" t="s">
        <v>1005</v>
      </c>
      <c r="B792" s="50">
        <f>IF(B764="megajoule",SUMIFS(allocation!$I$4:$I$30,allocation!$B$4:$B$30,B770,allocation!$C$4:$C$30,B771),SUMIFS(allocation!$J$4:$J$30,allocation!$B$4:$B$30,B770,allocation!$C$4:$C$30,B771))</f>
        <v>0.13933980798974457</v>
      </c>
    </row>
    <row r="793" spans="1:22" hidden="1" x14ac:dyDescent="0.2">
      <c r="A793" t="s">
        <v>1050</v>
      </c>
      <c r="B793" s="51">
        <f>INDEX(parameters!$D$4:$AB$20,MATCH(B768&amp;B770,parameters!$A$4:$A$20,0),MATCH(A793,parameters!$D$3:$AB$3,0))</f>
        <v>10.221606648199446</v>
      </c>
    </row>
    <row r="794" spans="1:22" hidden="1" x14ac:dyDescent="0.2"/>
    <row r="795" spans="1:22" hidden="1" x14ac:dyDescent="0.2">
      <c r="A795" s="3" t="s">
        <v>57</v>
      </c>
    </row>
    <row r="796" spans="1:22" hidden="1" x14ac:dyDescent="0.2">
      <c r="A796" s="2" t="s">
        <v>58</v>
      </c>
      <c r="B796" s="44" t="s">
        <v>59</v>
      </c>
      <c r="C796" s="2" t="s">
        <v>55</v>
      </c>
      <c r="D796" s="2" t="s">
        <v>60</v>
      </c>
      <c r="E796" s="2" t="s">
        <v>52</v>
      </c>
      <c r="F796" s="2" t="s">
        <v>61</v>
      </c>
      <c r="G796" s="2" t="s">
        <v>54</v>
      </c>
      <c r="H796" s="2" t="s">
        <v>87</v>
      </c>
      <c r="I796" s="2" t="s">
        <v>51</v>
      </c>
      <c r="J796" s="2" t="s">
        <v>138</v>
      </c>
      <c r="K796" s="2" t="s">
        <v>136</v>
      </c>
      <c r="L796" s="2" t="s">
        <v>221</v>
      </c>
      <c r="M796" s="2" t="s">
        <v>379</v>
      </c>
      <c r="N796" s="2" t="s">
        <v>1059</v>
      </c>
      <c r="O796" s="2" t="s">
        <v>1060</v>
      </c>
      <c r="P796" s="2" t="s">
        <v>1061</v>
      </c>
      <c r="Q796" s="2" t="s">
        <v>1062</v>
      </c>
      <c r="R796" s="2" t="s">
        <v>1063</v>
      </c>
      <c r="S796" s="2" t="s">
        <v>1064</v>
      </c>
      <c r="T796" s="2" t="s">
        <v>1065</v>
      </c>
      <c r="U796" s="2" t="s">
        <v>380</v>
      </c>
      <c r="V796" s="2" t="s">
        <v>1128</v>
      </c>
    </row>
    <row r="797" spans="1:22" x14ac:dyDescent="0.2">
      <c r="A797" t="str">
        <f>B758</f>
        <v>heat, residential, by conversion of hydrogen using fuel cell, PEM, allocated by exergy, transported by pipeline, produced by Auto-thermal reforming, with CCS using natural gas from Switzerland</v>
      </c>
      <c r="B797" s="45">
        <v>1</v>
      </c>
      <c r="C797" t="str">
        <f>B764</f>
        <v>megajoule</v>
      </c>
      <c r="E797" t="str">
        <f>B761</f>
        <v>CH</v>
      </c>
      <c r="F797" t="s">
        <v>62</v>
      </c>
      <c r="G797" t="str">
        <f>B763</f>
        <v>heat, from residential heating system</v>
      </c>
      <c r="K797" t="str">
        <f>B758</f>
        <v>heat, residential, by conversion of hydrogen using fuel cell, PEM, allocated by exergy, transported by pipeline, produced by Auto-thermal reforming, with CCS using natural gas from Switzerland</v>
      </c>
    </row>
    <row r="798" spans="1:22" hidden="1" x14ac:dyDescent="0.2">
      <c r="A798" t="str">
        <f>VLOOKUP(J798,'dataset mapping'!$A$4:$E$69,2,0)</f>
        <v>fuel cell system assembly, 1 kWe, proton exchange membrane (PEM)</v>
      </c>
      <c r="B798" s="52">
        <f>(1/(B787*B791*B790*3.6))*B792</f>
        <v>1.0213951974556892E-6</v>
      </c>
      <c r="C798" t="str">
        <f>VLOOKUP(J798,'dataset mapping'!$A$4:$E$69,5,0)</f>
        <v>unit</v>
      </c>
      <c r="E798" t="str">
        <f>VLOOKUP(J798,'dataset mapping'!$A$4:$E$69,4,0)</f>
        <v>GLO</v>
      </c>
      <c r="F798" t="s">
        <v>86</v>
      </c>
      <c r="G798" t="str">
        <f>VLOOKUP(J798,'dataset mapping'!$A$4:$E$69,3,0)</f>
        <v>fuel cell system, 1 kWe, proton exchange membrane (PEM)</v>
      </c>
      <c r="H798" t="s">
        <v>88</v>
      </c>
      <c r="I798" t="s">
        <v>272</v>
      </c>
      <c r="J798" t="s">
        <v>273</v>
      </c>
      <c r="K798" t="str">
        <f>B758</f>
        <v>heat, residential, by conversion of hydrogen using fuel cell, PEM, allocated by exergy, transported by pipeline, produced by Auto-thermal reforming, with CCS using natural gas from Switzerland</v>
      </c>
      <c r="L798">
        <f t="shared" ref="L798:L800" si="50">IF(OR(B798&lt;0,B798=0),1,2)</f>
        <v>2</v>
      </c>
      <c r="M798">
        <f t="shared" ref="M798:M800" si="51">IF(L798=2,LN(B798),"")</f>
        <v>-13.794341024667077</v>
      </c>
      <c r="N798">
        <v>1</v>
      </c>
      <c r="O798">
        <v>1.2</v>
      </c>
      <c r="P798">
        <v>1</v>
      </c>
      <c r="Q798">
        <v>1.01</v>
      </c>
      <c r="R798">
        <v>1.2</v>
      </c>
      <c r="S798">
        <v>1.2</v>
      </c>
      <c r="T798">
        <v>3</v>
      </c>
      <c r="U798">
        <f t="shared" ref="U798:U800" si="52">LN(SQRT(EXP(
SQRT(
+POWER(LN(N798),2)
+POWER(LN(O798),2)
+POWER(LN(P798),2)
+POWER(LN(Q798),2)
+POWER(LN(R798),2)
+POWER(LN(S798),2)
+POWER(LN(T798),2)
)
)))</f>
        <v>0.57157051623399524</v>
      </c>
    </row>
    <row r="799" spans="1:22" hidden="1" x14ac:dyDescent="0.2">
      <c r="A799" s="45" t="str">
        <f>"hydrogen supply, transported by "&amp;B772&amp;", produced by "&amp;B776&amp;" using "&amp;B777&amp;" from "&amp;B778</f>
        <v>hydrogen supply, transported by pipeline, produced by Auto-thermal reforming, with CCS using natural gas from Switzerland</v>
      </c>
      <c r="B799" s="53">
        <f>(B797/B781)/B780*B792</f>
        <v>2.3223301331624095E-3</v>
      </c>
      <c r="C799" t="s">
        <v>56</v>
      </c>
      <c r="E799" t="s">
        <v>64</v>
      </c>
      <c r="F799" t="s">
        <v>86</v>
      </c>
      <c r="G799" t="s">
        <v>1129</v>
      </c>
      <c r="H799" t="s">
        <v>76</v>
      </c>
      <c r="I799" t="s">
        <v>1054</v>
      </c>
      <c r="J799" t="s">
        <v>308</v>
      </c>
      <c r="K799" t="str">
        <f>B758</f>
        <v>heat, residential, by conversion of hydrogen using fuel cell, PEM, allocated by exergy, transported by pipeline, produced by Auto-thermal reforming, with CCS using natural gas from Switzerland</v>
      </c>
      <c r="L799">
        <f t="shared" si="50"/>
        <v>2</v>
      </c>
      <c r="M799">
        <f t="shared" si="51"/>
        <v>-6.0651842296013152</v>
      </c>
      <c r="N799">
        <v>1</v>
      </c>
      <c r="O799">
        <v>1.2</v>
      </c>
      <c r="P799">
        <v>1</v>
      </c>
      <c r="Q799">
        <v>1.01</v>
      </c>
      <c r="R799">
        <v>1.2</v>
      </c>
      <c r="S799">
        <v>1.2</v>
      </c>
      <c r="T799">
        <v>1.05</v>
      </c>
      <c r="U799">
        <f t="shared" si="52"/>
        <v>0.15984597228197622</v>
      </c>
    </row>
    <row r="800" spans="1:22" hidden="1" x14ac:dyDescent="0.2">
      <c r="A800" t="s">
        <v>134</v>
      </c>
      <c r="B800" s="53">
        <f>B799*9</f>
        <v>2.0900971198461685E-2</v>
      </c>
      <c r="C800" t="s">
        <v>56</v>
      </c>
      <c r="D800" t="s">
        <v>100</v>
      </c>
      <c r="F800" t="s">
        <v>99</v>
      </c>
      <c r="H800" t="s">
        <v>131</v>
      </c>
      <c r="I800" t="s">
        <v>289</v>
      </c>
      <c r="K800" t="str">
        <f>B758</f>
        <v>heat, residential, by conversion of hydrogen using fuel cell, PEM, allocated by exergy, transported by pipeline, produced by Auto-thermal reforming, with CCS using natural gas from Switzerland</v>
      </c>
      <c r="L800">
        <f t="shared" si="50"/>
        <v>2</v>
      </c>
      <c r="M800">
        <f t="shared" si="51"/>
        <v>-3.8679596522650961</v>
      </c>
      <c r="N800">
        <v>1</v>
      </c>
      <c r="O800">
        <v>1.2</v>
      </c>
      <c r="P800">
        <v>1</v>
      </c>
      <c r="Q800">
        <v>1.01</v>
      </c>
      <c r="R800">
        <v>1.2</v>
      </c>
      <c r="S800">
        <v>1.2</v>
      </c>
      <c r="T800">
        <v>1.05</v>
      </c>
      <c r="U800">
        <f t="shared" si="52"/>
        <v>0.15984597228197622</v>
      </c>
    </row>
    <row r="801" spans="1:2" hidden="1" x14ac:dyDescent="0.2"/>
    <row r="802" spans="1:2" hidden="1" x14ac:dyDescent="0.2">
      <c r="A802" s="2" t="s">
        <v>50</v>
      </c>
      <c r="B802" s="44" t="str">
        <f>IF(B808="megajoule","heat","electricity")&amp;", residential, by "&amp;B813&amp;" of "&amp;B812&amp;" using "&amp;B814&amp;IF(B815&lt;&gt;0,", allocated by "&amp;B815,"")&amp;", transported by "&amp;B816&amp;", produced by "&amp;B820&amp;" using "&amp;B821&amp;" from "&amp;B822</f>
        <v>heat, residential, by conversion of hydrogen using fuel cell, SOFC, allocated by exergy, transported by pipeline, produced by Auto-thermal reforming, with CCS using natural gas from Switzerland</v>
      </c>
    </row>
    <row r="803" spans="1:2" hidden="1" x14ac:dyDescent="0.2">
      <c r="A803" t="s">
        <v>51</v>
      </c>
      <c r="B803" s="45" t="str">
        <f>"This dataset represents the supply of 1 "&amp;IF(B808="megajoule","megajoule of heat","kilowatt hour of electricity")&amp;" in a residence, by "&amp;B812&amp;" "&amp;B813&amp;" in a "&amp;B814&amp;". "&amp;" The hydrogen is transported by "&amp;B816&amp;" over "&amp;B817&amp;" km from regional storage. "&amp;" The "&amp;B812&amp;" is produced by  "&amp;B820&amp;", with "&amp;B821&amp;" from "&amp;B822&amp;" as feedstock. "&amp;A824&amp;": "&amp;(B824*100)&amp;"%. "&amp;A825&amp;": "&amp;B825&amp;". "&amp;A826&amp;": "&amp;B826&amp;". "&amp;A827&amp;": "&amp;(B827*100)&amp;"%. "&amp;A828&amp;": "&amp;(B828*100)&amp;"%. "&amp;A829&amp;": "&amp;(B829*100)&amp;"%. "&amp;A830&amp;": "&amp;B830&amp;". "&amp;A831&amp;": "&amp;B831&amp;". "&amp;A832&amp;": "&amp;(B832*100)&amp;"%. "&amp;A833&amp;": "&amp;B833&amp;". "&amp;A834&amp;": "&amp;B834&amp;". "&amp;A835&amp;": "&amp;B835&amp;". "&amp;A836&amp;": "&amp;B836&amp;".  For more information, refer to: "&amp;B804</f>
        <v>This dataset represents the supply of 1 megajoule of heat in a residence, by hydrogen conversion in a fuel cell, SOFC.  The hydrogen is transported by pipeline over 500 km from regional storage.  The hydrogen is produced by  Auto-thermal reforming, with CCS,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804" spans="1:2" hidden="1" x14ac:dyDescent="0.2">
      <c r="A804" t="s">
        <v>63</v>
      </c>
      <c r="B804" s="45" t="s">
        <v>660</v>
      </c>
    </row>
    <row r="805" spans="1:2" hidden="1" x14ac:dyDescent="0.2">
      <c r="A805" t="s">
        <v>52</v>
      </c>
      <c r="B805" s="45" t="s">
        <v>64</v>
      </c>
    </row>
    <row r="806" spans="1:2" hidden="1" x14ac:dyDescent="0.2">
      <c r="A806" t="s">
        <v>48</v>
      </c>
      <c r="B806" s="45">
        <v>148</v>
      </c>
    </row>
    <row r="807" spans="1:2" hidden="1" x14ac:dyDescent="0.2">
      <c r="A807" t="s">
        <v>54</v>
      </c>
      <c r="B807" s="45" t="str">
        <f>INDEX(overview!$B$4:$R$338,MATCH(B806,overview!$A$4:$A$338,0),MATCH(A807,overview!$B$3:$R$3,0))</f>
        <v>heat, from residential heating system</v>
      </c>
    </row>
    <row r="808" spans="1:2" hidden="1" x14ac:dyDescent="0.2">
      <c r="A808" t="s">
        <v>55</v>
      </c>
      <c r="B808" s="45" t="str">
        <f>INDEX(overview!$B$4:$R$338,MATCH(B806,overview!$A$4:$A$338,0),MATCH(A808,overview!$B$3:$R$3,0))</f>
        <v>megajoule</v>
      </c>
    </row>
    <row r="809" spans="1:2" hidden="1" x14ac:dyDescent="0.2">
      <c r="A809" t="s">
        <v>0</v>
      </c>
      <c r="B809" s="45" t="str">
        <f>INDEX(overview!$B$4:$R$338,MATCH(B806,overview!$A$4:$A$338,0),MATCH(A809,overview!$B$3:$R$3,0))</f>
        <v>Switzerland</v>
      </c>
    </row>
    <row r="810" spans="1:2" hidden="1" x14ac:dyDescent="0.2">
      <c r="A810" t="s">
        <v>1</v>
      </c>
      <c r="B810" s="45">
        <f>INDEX(overview!$B$4:$R$338,MATCH(B806,overview!$A$4:$A$338,0),MATCH(A810,overview!$B$3:$R$3,0))</f>
        <v>2020</v>
      </c>
    </row>
    <row r="811" spans="1:2" hidden="1" x14ac:dyDescent="0.2">
      <c r="A811" t="s">
        <v>2</v>
      </c>
      <c r="B811" s="45" t="str">
        <f>INDEX(overview!$B$4:$R$338,MATCH(B806,overview!$A$4:$A$338,0),MATCH(A811,overview!$B$3:$R$3,0))</f>
        <v>1 MJ heat</v>
      </c>
    </row>
    <row r="812" spans="1:2" hidden="1" x14ac:dyDescent="0.2">
      <c r="A812" t="s">
        <v>5</v>
      </c>
      <c r="B812" s="45" t="str">
        <f>INDEX(overview!$B$4:$R$338,MATCH(B806,overview!$A$4:$A$338,0),MATCH(A812,overview!$B$3:$R$3,0))</f>
        <v>hydrogen</v>
      </c>
    </row>
    <row r="813" spans="1:2" hidden="1" x14ac:dyDescent="0.2">
      <c r="A813" t="s">
        <v>3</v>
      </c>
      <c r="B813" s="45" t="str">
        <f>INDEX(overview!$B$4:$R$338,MATCH(B806,overview!$A$4:$A$338,0),MATCH(A813,overview!$B$3:$R$3,0))</f>
        <v>conversion</v>
      </c>
    </row>
    <row r="814" spans="1:2" hidden="1" x14ac:dyDescent="0.2">
      <c r="A814" t="s">
        <v>6</v>
      </c>
      <c r="B814" s="45" t="str">
        <f>INDEX(overview!$B$4:$R$338,MATCH(B806,overview!$A$4:$A$338,0),MATCH(A814,overview!$B$3:$R$3,0))</f>
        <v>fuel cell, SOFC</v>
      </c>
    </row>
    <row r="815" spans="1:2" hidden="1" x14ac:dyDescent="0.2">
      <c r="A815" t="s">
        <v>39</v>
      </c>
      <c r="B815" s="45" t="str">
        <f>INDEX(overview!$B$4:$R$338,MATCH(B806,overview!$A$4:$A$338,0),MATCH(A815,overview!$B$3:$R$3,0))</f>
        <v>exergy</v>
      </c>
    </row>
    <row r="816" spans="1:2" hidden="1" x14ac:dyDescent="0.2">
      <c r="A816" t="s">
        <v>4</v>
      </c>
      <c r="B816" s="45" t="str">
        <f>INDEX(overview!$B$4:$R$338,MATCH(B806,overview!$A$4:$A$338,0),MATCH(A816,overview!$B$3:$R$3,0))</f>
        <v>pipeline</v>
      </c>
    </row>
    <row r="817" spans="1:4" hidden="1" x14ac:dyDescent="0.2">
      <c r="A817" t="s">
        <v>38</v>
      </c>
      <c r="B817" s="45">
        <f>INDEX(overview!$B$4:$R$338,MATCH(B806,overview!$A$4:$A$338,0),MATCH(A817,overview!$B$3:$R$3,0))</f>
        <v>500</v>
      </c>
    </row>
    <row r="818" spans="1:4" hidden="1" x14ac:dyDescent="0.2">
      <c r="A818" t="s">
        <v>12</v>
      </c>
      <c r="B818" s="45" t="str">
        <f>INDEX(overview!$B$4:$R$338,MATCH(B806,overview!$A$4:$A$338,0),MATCH(A818,overview!$B$3:$R$3,0))</f>
        <v>Pressure vessel for stationary storage</v>
      </c>
    </row>
    <row r="819" spans="1:4" hidden="1" x14ac:dyDescent="0.2">
      <c r="A819" t="s">
        <v>34</v>
      </c>
      <c r="B819" s="45">
        <f>INDEX(overview!$B$4:$R$338,MATCH(B806,overview!$A$4:$A$338,0),MATCH(A819,overview!$B$3:$R$3,0))</f>
        <v>0</v>
      </c>
    </row>
    <row r="820" spans="1:4" hidden="1" x14ac:dyDescent="0.2">
      <c r="A820" t="s">
        <v>15</v>
      </c>
      <c r="B820" s="45" t="str">
        <f>INDEX(overview!$B$4:$R$338,MATCH(B806,overview!$A$4:$A$338,0),MATCH(A820,overview!$B$3:$R$3,0))</f>
        <v>Auto-thermal reforming, with CCS</v>
      </c>
    </row>
    <row r="821" spans="1:4" hidden="1" x14ac:dyDescent="0.2">
      <c r="A821" t="s">
        <v>14</v>
      </c>
      <c r="B821" s="45" t="str">
        <f>INDEX(overview!$B$4:$R$338,MATCH(B806,overview!$A$4:$A$338,0),MATCH(A821,overview!$B$3:$R$3,0))</f>
        <v>natural gas</v>
      </c>
    </row>
    <row r="822" spans="1:4" hidden="1" x14ac:dyDescent="0.2">
      <c r="A822" t="s">
        <v>26</v>
      </c>
      <c r="B822" s="45" t="str">
        <f>INDEX(overview!$B$4:$R$338,MATCH(B806,overview!$A$4:$A$338,0),MATCH(A822,overview!$B$3:$R$3,0))</f>
        <v>Switzerland</v>
      </c>
    </row>
    <row r="823" spans="1:4" hidden="1" x14ac:dyDescent="0.2">
      <c r="A823" t="s">
        <v>29</v>
      </c>
      <c r="B823" s="45">
        <f>INDEX(overview!$B$4:$R$338,MATCH(B806,overview!$A$4:$A$338,0),MATCH(A823,overview!$B$3:$R$3,0))</f>
        <v>0</v>
      </c>
    </row>
    <row r="824" spans="1:4" hidden="1" x14ac:dyDescent="0.2">
      <c r="A824" t="str">
        <f>IF(B808="megajoule","Heat","Electricity")&amp;" conversion efficiency [% LHV input]"</f>
        <v>Heat conversion efficiency [% LHV input]</v>
      </c>
      <c r="B824" s="46">
        <f>INDEX(parameters!$D$4:$N$20,MATCH(B812&amp;B814,parameters!$A$4:$A$20,0),MATCH(A824,parameters!$D$3:$N$3,0))</f>
        <v>0.53</v>
      </c>
    </row>
    <row r="825" spans="1:4" hidden="1" x14ac:dyDescent="0.2">
      <c r="A825" t="str">
        <f>IF(B808="megajoule","LHV [MJ/kg]","LHV [kWh/kg]")</f>
        <v>LHV [MJ/kg]</v>
      </c>
      <c r="B825" s="47">
        <f>INDEX(parameters!$D$4:$N$20,MATCH(B812&amp;B814,parameters!$A$4:$A$20,0),MATCH(A825,parameters!$D$3:$N$3,0))</f>
        <v>120</v>
      </c>
    </row>
    <row r="826" spans="1:4" hidden="1" x14ac:dyDescent="0.2">
      <c r="A826" t="s">
        <v>41</v>
      </c>
      <c r="B826" s="48">
        <f>INDEX(parameters!$D$4:$N$20,MATCH(B812&amp;B814,parameters!$A$4:$A$20,0),MATCH(A826,parameters!$D$3:$N$3,0))</f>
        <v>2.6666666666666665E-2</v>
      </c>
    </row>
    <row r="827" spans="1:4" hidden="1" x14ac:dyDescent="0.2">
      <c r="A827" t="s">
        <v>45</v>
      </c>
      <c r="B827" s="46">
        <f>INDEX(parameters!$D$4:$N$20,MATCH(B812&amp;B814,parameters!$A$4:$A$20,0),MATCH(A827,parameters!$D$3:$N$3,0))</f>
        <v>0</v>
      </c>
    </row>
    <row r="828" spans="1:4" hidden="1" x14ac:dyDescent="0.2">
      <c r="A828" t="s">
        <v>46</v>
      </c>
      <c r="B828" s="46">
        <f>INDEX(parameters!$D$4:$N$20,MATCH(B812&amp;B814,parameters!$A$4:$A$20,0),MATCH(A828,parameters!$D$3:$N$3,0))</f>
        <v>1.4999999999999999E-2</v>
      </c>
    </row>
    <row r="829" spans="1:4" hidden="1" x14ac:dyDescent="0.2">
      <c r="A829" t="s">
        <v>43</v>
      </c>
      <c r="B829" s="46">
        <f>INDEX(parameters!$D$4:$N$20,MATCH(B812&amp;B814,parameters!$A$4:$A$20,0),MATCH(A829,parameters!$D$3:$N$3,0))</f>
        <v>0</v>
      </c>
    </row>
    <row r="830" spans="1:4" hidden="1" x14ac:dyDescent="0.2">
      <c r="A830" t="s">
        <v>44</v>
      </c>
      <c r="B830" s="46">
        <f>INDEX(parameters!$D$4:$N$20,MATCH(B812&amp;B814,parameters!$A$4:$A$20,0),MATCH(A830,parameters!$D$3:$N$3,0))</f>
        <v>0</v>
      </c>
    </row>
    <row r="831" spans="1:4" hidden="1" x14ac:dyDescent="0.2">
      <c r="A831" t="s">
        <v>634</v>
      </c>
      <c r="B831" s="47">
        <f>INDEX(parameters!$D$4:$Y$20,MATCH(B812&amp;B814,parameters!$A$4:$A$20,0),MATCH(A831,parameters!$D$3:$Y$3,0))</f>
        <v>225</v>
      </c>
      <c r="D831" s="8"/>
    </row>
    <row r="832" spans="1:4" hidden="1" x14ac:dyDescent="0.2">
      <c r="A832" t="s">
        <v>82</v>
      </c>
      <c r="B832" s="46">
        <f>IF(B823&lt;&gt;0,VLOOKUP(B823,parameters!A611:B613,2,0),0)</f>
        <v>0</v>
      </c>
    </row>
    <row r="833" spans="1:22" hidden="1" x14ac:dyDescent="0.2">
      <c r="A833" t="s">
        <v>548</v>
      </c>
      <c r="B833" s="50">
        <f>INDEX(parameters!$D$4:$P$20,MATCH(B812&amp;B814,parameters!$A$4:$A$20,0),MATCH(A833,parameters!$D$3:$P$3,0))</f>
        <v>100</v>
      </c>
    </row>
    <row r="834" spans="1:22" hidden="1" x14ac:dyDescent="0.2">
      <c r="A834" t="s">
        <v>547</v>
      </c>
      <c r="B834" s="51">
        <f>INDEX(parameters!$D$4:$P$20,MATCH(B812&amp;B814,parameters!$A$4:$A$20,0),MATCH(A834,parameters!$D$3:$P$3,0))</f>
        <v>6</v>
      </c>
    </row>
    <row r="835" spans="1:22" hidden="1" x14ac:dyDescent="0.2">
      <c r="A835" t="s">
        <v>630</v>
      </c>
      <c r="B835" s="51">
        <f>INDEX(parameters!$D$4:$T$20,MATCH(B812&amp;B814,parameters!$A$4:$A$20,0),MATCH(A835,parameters!$D$3:$T$3,0))</f>
        <v>4100</v>
      </c>
    </row>
    <row r="836" spans="1:22" hidden="1" x14ac:dyDescent="0.2">
      <c r="A836" t="s">
        <v>1005</v>
      </c>
      <c r="B836" s="50">
        <f>IF(B808="megajoule",SUMIFS(allocation!$I$4:$I$30,allocation!$B$4:$B$30,B814,allocation!$C$4:$C$30,B815),SUMIFS(allocation!$J$4:$J$30,allocation!$B$4:$B$30,B814,allocation!$C$4:$C$30,B815))</f>
        <v>0.13587506510399097</v>
      </c>
    </row>
    <row r="837" spans="1:22" hidden="1" x14ac:dyDescent="0.2">
      <c r="A837" t="s">
        <v>1050</v>
      </c>
      <c r="B837" s="51">
        <f>INDEX(parameters!$D$4:$AB$20,MATCH(B812&amp;B814,parameters!$A$4:$A$20,0),MATCH(A837,parameters!$D$3:$AB$3,0))</f>
        <v>1153.1249999999998</v>
      </c>
    </row>
    <row r="838" spans="1:22" hidden="1" x14ac:dyDescent="0.2"/>
    <row r="839" spans="1:22" hidden="1" x14ac:dyDescent="0.2">
      <c r="A839" s="3" t="s">
        <v>57</v>
      </c>
    </row>
    <row r="840" spans="1:22" hidden="1" x14ac:dyDescent="0.2">
      <c r="A840" s="2" t="s">
        <v>58</v>
      </c>
      <c r="B840" s="44" t="s">
        <v>59</v>
      </c>
      <c r="C840" s="2" t="s">
        <v>55</v>
      </c>
      <c r="D840" s="2" t="s">
        <v>60</v>
      </c>
      <c r="E840" s="2" t="s">
        <v>52</v>
      </c>
      <c r="F840" s="2" t="s">
        <v>61</v>
      </c>
      <c r="G840" s="2" t="s">
        <v>54</v>
      </c>
      <c r="H840" s="2" t="s">
        <v>87</v>
      </c>
      <c r="I840" s="2" t="s">
        <v>51</v>
      </c>
      <c r="J840" s="2" t="s">
        <v>138</v>
      </c>
      <c r="K840" s="2" t="s">
        <v>136</v>
      </c>
      <c r="L840" s="2" t="s">
        <v>221</v>
      </c>
      <c r="M840" s="2" t="s">
        <v>379</v>
      </c>
      <c r="N840" s="2" t="s">
        <v>1059</v>
      </c>
      <c r="O840" s="2" t="s">
        <v>1060</v>
      </c>
      <c r="P840" s="2" t="s">
        <v>1061</v>
      </c>
      <c r="Q840" s="2" t="s">
        <v>1062</v>
      </c>
      <c r="R840" s="2" t="s">
        <v>1063</v>
      </c>
      <c r="S840" s="2" t="s">
        <v>1064</v>
      </c>
      <c r="T840" s="2" t="s">
        <v>1065</v>
      </c>
      <c r="U840" s="2" t="s">
        <v>380</v>
      </c>
      <c r="V840" s="2" t="s">
        <v>1128</v>
      </c>
    </row>
    <row r="841" spans="1:22" x14ac:dyDescent="0.2">
      <c r="A841" t="str">
        <f>B802</f>
        <v>heat, residential, by conversion of hydrogen using fuel cell, SOFC, allocated by exergy, transported by pipeline, produced by Auto-thermal reforming, with CCS using natural gas from Switzerland</v>
      </c>
      <c r="B841" s="45">
        <v>1</v>
      </c>
      <c r="C841" t="str">
        <f>B808</f>
        <v>megajoule</v>
      </c>
      <c r="E841" t="str">
        <f>B805</f>
        <v>CH</v>
      </c>
      <c r="F841" t="s">
        <v>62</v>
      </c>
      <c r="G841" t="str">
        <f>B807</f>
        <v>heat, from residential heating system</v>
      </c>
      <c r="K841" t="str">
        <f>B802</f>
        <v>heat, residential, by conversion of hydrogen using fuel cell, SOFC, allocated by exergy, transported by pipeline, produced by Auto-thermal reforming, with CCS using natural gas from Switzerland</v>
      </c>
    </row>
    <row r="842" spans="1:22" hidden="1" x14ac:dyDescent="0.2">
      <c r="A842" t="str">
        <f>VLOOKUP(J842,'dataset mapping'!$A$4:$E$69,2,0)</f>
        <v>fuel cell production, stack solid oxide, 125kW electrical, future</v>
      </c>
      <c r="B842" s="52">
        <f>1/(62*1000000)/B824*SUMIFS(allocation!$I$4:$I$30,allocation!$B$4:$B$30,B814,allocation!$C$4:$C$30,B815)</f>
        <v>4.1349685059035601E-9</v>
      </c>
      <c r="C842" t="str">
        <f>VLOOKUP(J842,'dataset mapping'!$A$4:$E$69,5,0)</f>
        <v>unit</v>
      </c>
      <c r="E842" t="str">
        <f>VLOOKUP(J842,'dataset mapping'!$A$4:$E$69,4,0)</f>
        <v>CH</v>
      </c>
      <c r="F842" t="s">
        <v>86</v>
      </c>
      <c r="G842" t="str">
        <f>VLOOKUP(J842,'dataset mapping'!$A$4:$E$69,3,0)</f>
        <v>fuel cell, stack solid oxide, 125kW electrical, future</v>
      </c>
      <c r="H842" t="s">
        <v>88</v>
      </c>
      <c r="I842" t="s">
        <v>277</v>
      </c>
      <c r="J842" t="s">
        <v>274</v>
      </c>
      <c r="K842" t="str">
        <f>B802</f>
        <v>heat, residential, by conversion of hydrogen using fuel cell, SOFC, allocated by exergy, transported by pipeline, produced by Auto-thermal reforming, with CCS using natural gas from Switzerland</v>
      </c>
      <c r="L842">
        <f t="shared" ref="L842:L847" si="53">IF(OR(B842&lt;0,B842=0),1,2)</f>
        <v>2</v>
      </c>
      <c r="M842">
        <f t="shared" ref="M842:M847" si="54">IF(L842=2,LN(B842),"")</f>
        <v>-19.303786124968067</v>
      </c>
      <c r="N842">
        <v>1</v>
      </c>
      <c r="O842">
        <v>1.2</v>
      </c>
      <c r="P842">
        <v>1</v>
      </c>
      <c r="Q842">
        <v>1.01</v>
      </c>
      <c r="R842">
        <v>1.2</v>
      </c>
      <c r="S842">
        <v>1.2</v>
      </c>
      <c r="T842">
        <v>3</v>
      </c>
      <c r="U842">
        <f t="shared" ref="U842:U847" si="55">LN(SQRT(EXP(
SQRT(
+POWER(LN(N842),2)
+POWER(LN(O842),2)
+POWER(LN(P842),2)
+POWER(LN(Q842),2)
+POWER(LN(R842),2)
+POWER(LN(S842),2)
+POWER(LN(T842),2)
)
)))</f>
        <v>0.57157051623399524</v>
      </c>
    </row>
    <row r="843" spans="1:22" hidden="1" x14ac:dyDescent="0.2">
      <c r="A843" t="s">
        <v>283</v>
      </c>
      <c r="B843" s="52">
        <f>0.000000145/B824*SUMIFS(allocation!$I$4:$I$30,allocation!$B$4:$B$30,B814,allocation!$C$4:$C$30,B815)</f>
        <v>3.7173366868072996E-8</v>
      </c>
      <c r="C843" t="s">
        <v>55</v>
      </c>
      <c r="E843" t="s">
        <v>64</v>
      </c>
      <c r="F843" t="s">
        <v>86</v>
      </c>
      <c r="G843" t="s">
        <v>284</v>
      </c>
      <c r="H843" t="s">
        <v>88</v>
      </c>
      <c r="I843" t="s">
        <v>277</v>
      </c>
      <c r="K843" t="str">
        <f>B802</f>
        <v>heat, residential, by conversion of hydrogen using fuel cell, SOFC, allocated by exergy, transported by pipeline, produced by Auto-thermal reforming, with CCS using natural gas from Switzerland</v>
      </c>
      <c r="L843">
        <f t="shared" si="53"/>
        <v>2</v>
      </c>
      <c r="M843">
        <f t="shared" si="54"/>
        <v>-17.107673276484537</v>
      </c>
      <c r="N843">
        <v>1</v>
      </c>
      <c r="O843">
        <v>1.2</v>
      </c>
      <c r="P843">
        <v>1</v>
      </c>
      <c r="Q843">
        <v>1.01</v>
      </c>
      <c r="R843">
        <v>1.2</v>
      </c>
      <c r="S843">
        <v>1.2</v>
      </c>
      <c r="T843">
        <v>3</v>
      </c>
      <c r="U843">
        <f t="shared" si="55"/>
        <v>0.57157051623399524</v>
      </c>
    </row>
    <row r="844" spans="1:22" hidden="1" x14ac:dyDescent="0.2">
      <c r="A844" t="s">
        <v>285</v>
      </c>
      <c r="B844" s="52">
        <f>0.0000000115/B824*SUMIFS(allocation!$I$4:$I$30,allocation!$B$4:$B$30,B814,allocation!$C$4:$C$30,B815)</f>
        <v>2.9482325447092381E-9</v>
      </c>
      <c r="C844" t="s">
        <v>55</v>
      </c>
      <c r="E844" t="s">
        <v>90</v>
      </c>
      <c r="F844" t="s">
        <v>86</v>
      </c>
      <c r="G844" t="s">
        <v>286</v>
      </c>
      <c r="H844" t="s">
        <v>88</v>
      </c>
      <c r="K844" t="str">
        <f>B802</f>
        <v>heat, residential, by conversion of hydrogen using fuel cell, SOFC, allocated by exergy, transported by pipeline, produced by Auto-thermal reforming, with CCS using natural gas from Switzerland</v>
      </c>
      <c r="L844">
        <f t="shared" si="53"/>
        <v>2</v>
      </c>
      <c r="M844">
        <f t="shared" si="54"/>
        <v>-19.642059983535908</v>
      </c>
      <c r="N844">
        <v>1</v>
      </c>
      <c r="O844">
        <v>1.2</v>
      </c>
      <c r="P844">
        <v>1</v>
      </c>
      <c r="Q844">
        <v>1.01</v>
      </c>
      <c r="R844">
        <v>1.2</v>
      </c>
      <c r="S844">
        <v>1.2</v>
      </c>
      <c r="T844">
        <v>3</v>
      </c>
      <c r="U844">
        <f t="shared" si="55"/>
        <v>0.57157051623399524</v>
      </c>
    </row>
    <row r="845" spans="1:22" hidden="1" x14ac:dyDescent="0.2">
      <c r="A845" t="s">
        <v>288</v>
      </c>
      <c r="B845" s="52">
        <f>0.000024/B824*SUMIFS(allocation!$I$4:$I$30,allocation!$B$4:$B$30,B814,allocation!$C$4:$C$30,B815)</f>
        <v>6.152833136784497E-6</v>
      </c>
      <c r="C845" t="s">
        <v>56</v>
      </c>
      <c r="E845" t="s">
        <v>64</v>
      </c>
      <c r="F845" t="s">
        <v>86</v>
      </c>
      <c r="G845" t="s">
        <v>287</v>
      </c>
      <c r="H845" t="s">
        <v>88</v>
      </c>
      <c r="K845" t="str">
        <f>B802</f>
        <v>heat, residential, by conversion of hydrogen using fuel cell, SOFC, allocated by exergy, transported by pipeline, produced by Auto-thermal reforming, with CCS using natural gas from Switzerland</v>
      </c>
      <c r="L845">
        <f t="shared" si="53"/>
        <v>2</v>
      </c>
      <c r="M845">
        <f t="shared" si="54"/>
        <v>-11.998597909575029</v>
      </c>
      <c r="N845">
        <v>1</v>
      </c>
      <c r="O845">
        <v>1.2</v>
      </c>
      <c r="P845">
        <v>1</v>
      </c>
      <c r="Q845">
        <v>1.01</v>
      </c>
      <c r="R845">
        <v>1.2</v>
      </c>
      <c r="S845">
        <v>1.2</v>
      </c>
      <c r="T845">
        <v>1.05</v>
      </c>
      <c r="U845">
        <f t="shared" si="55"/>
        <v>0.15984597228197622</v>
      </c>
    </row>
    <row r="846" spans="1:22" hidden="1" x14ac:dyDescent="0.2">
      <c r="A846" s="45" t="str">
        <f>"hydrogen supply, transported by "&amp;B816&amp;", produced by "&amp;B820&amp;" using "&amp;B821&amp;" from "&amp;B822</f>
        <v>hydrogen supply, transported by pipeline, produced by Auto-thermal reforming, with CCS using natural gas from Switzerland</v>
      </c>
      <c r="B846" s="53">
        <f>(B841/B825)/B824*B836</f>
        <v>2.1364003947168392E-3</v>
      </c>
      <c r="C846" t="s">
        <v>56</v>
      </c>
      <c r="E846" t="s">
        <v>64</v>
      </c>
      <c r="F846" t="s">
        <v>86</v>
      </c>
      <c r="G846" t="s">
        <v>1129</v>
      </c>
      <c r="H846" t="s">
        <v>76</v>
      </c>
      <c r="I846" t="s">
        <v>1054</v>
      </c>
      <c r="J846" t="s">
        <v>308</v>
      </c>
      <c r="K846" t="str">
        <f>B802</f>
        <v>heat, residential, by conversion of hydrogen using fuel cell, SOFC, allocated by exergy, transported by pipeline, produced by Auto-thermal reforming, with CCS using natural gas from Switzerland</v>
      </c>
      <c r="L846">
        <f t="shared" si="53"/>
        <v>2</v>
      </c>
      <c r="M846">
        <f t="shared" si="54"/>
        <v>-6.1486329247407472</v>
      </c>
      <c r="N846">
        <v>1</v>
      </c>
      <c r="O846">
        <v>1.2</v>
      </c>
      <c r="P846">
        <v>1</v>
      </c>
      <c r="Q846">
        <v>1.01</v>
      </c>
      <c r="R846">
        <v>1.2</v>
      </c>
      <c r="S846">
        <v>1.2</v>
      </c>
      <c r="T846">
        <v>1.05</v>
      </c>
      <c r="U846">
        <f t="shared" si="55"/>
        <v>0.15984597228197622</v>
      </c>
    </row>
    <row r="847" spans="1:22" hidden="1" x14ac:dyDescent="0.2">
      <c r="A847" t="s">
        <v>134</v>
      </c>
      <c r="B847" s="45">
        <f>B846*9</f>
        <v>1.9227603552451553E-2</v>
      </c>
      <c r="C847" t="s">
        <v>56</v>
      </c>
      <c r="D847" t="s">
        <v>100</v>
      </c>
      <c r="F847" t="s">
        <v>99</v>
      </c>
      <c r="H847" t="s">
        <v>131</v>
      </c>
      <c r="I847" t="s">
        <v>289</v>
      </c>
      <c r="K847" t="str">
        <f>B802</f>
        <v>heat, residential, by conversion of hydrogen using fuel cell, SOFC, allocated by exergy, transported by pipeline, produced by Auto-thermal reforming, with CCS using natural gas from Switzerland</v>
      </c>
      <c r="L847">
        <f t="shared" si="53"/>
        <v>2</v>
      </c>
      <c r="M847">
        <f t="shared" si="54"/>
        <v>-3.9514083474045276</v>
      </c>
      <c r="N847">
        <v>1</v>
      </c>
      <c r="O847">
        <v>1.2</v>
      </c>
      <c r="P847">
        <v>1</v>
      </c>
      <c r="Q847">
        <v>1.01</v>
      </c>
      <c r="R847">
        <v>1.2</v>
      </c>
      <c r="S847">
        <v>1.2</v>
      </c>
      <c r="T847">
        <v>1.05</v>
      </c>
      <c r="U847">
        <f t="shared" si="55"/>
        <v>0.15984597228197622</v>
      </c>
    </row>
    <row r="848" spans="1:22" hidden="1" x14ac:dyDescent="0.2"/>
    <row r="849" spans="1:2" hidden="1" x14ac:dyDescent="0.2">
      <c r="A849" s="2" t="s">
        <v>50</v>
      </c>
      <c r="B849" s="44" t="str">
        <f>IF(B855="megajoule","heat","electricity")&amp;", residential, by "&amp;B860&amp;" of "&amp;B859&amp;" using "&amp;B861&amp;IF(B862&lt;&gt;0,", allocated by "&amp;B862,"")&amp;", transported by "&amp;B863&amp;", produced by "&amp;B867&amp;" using "&amp;B868&amp;" from "&amp;B869</f>
        <v>electricity, residential, by combustion of hydrogen using CHP, allocated by exergy, transported by pipeline, produced by Auto-thermal reforming, with CCS using natural gas from Switzerland</v>
      </c>
    </row>
    <row r="850" spans="1:2" hidden="1" x14ac:dyDescent="0.2">
      <c r="A850" t="s">
        <v>51</v>
      </c>
      <c r="B850" s="45" t="str">
        <f>"This dataset represents the supply of 1 "&amp;IF(B855="megajoule","megajoule of heat","kilowatt hour of electricity")&amp;" in a residence, by "&amp;B859&amp;" "&amp;B860&amp;" in a "&amp;B861&amp;". "&amp;" The hydrogen is transported by "&amp;B863&amp;" over "&amp;B864&amp;" km from regional storage. "&amp;" The "&amp;B859&amp;" is produced by  "&amp;B867&amp;", with "&amp;B868&amp;" from "&amp;B869&amp;" as feedstock. "&amp;A871&amp;": "&amp;(B871*100)&amp;"%. "&amp;A872&amp;": "&amp;B872&amp;". "&amp;A873&amp;": "&amp;B873&amp;". "&amp;A874&amp;": "&amp;(B874*100)&amp;"%. "&amp;A875&amp;": "&amp;(B875*100)&amp;"%. "&amp;A876&amp;": "&amp;(B876*100)&amp;"%. "&amp;A877&amp;": "&amp;B877&amp;". "&amp;A878&amp;": "&amp;B878&amp;". "&amp;A879&amp;": "&amp;(B879*100)&amp;"%. "&amp;A880&amp;": "&amp;B880&amp;". "&amp;A881&amp;": "&amp;B881&amp;". "&amp;A882&amp;": "&amp;B882&amp;". "&amp;A883&amp;": "&amp;B883&amp;".  For more information, refer to: "&amp;B851</f>
        <v>This dataset represents the supply of 1 kilowatt hour of electricity in a residence, by hydrogen combustion in a CHP.  The hydrogen is transported by pipeline over 500 km from regional storage.  The hydrogen is produced by  Auto-thermal reforming, with CCS,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851" spans="1:2" hidden="1" x14ac:dyDescent="0.2">
      <c r="A851" t="s">
        <v>63</v>
      </c>
      <c r="B851" s="45" t="s">
        <v>660</v>
      </c>
    </row>
    <row r="852" spans="1:2" hidden="1" x14ac:dyDescent="0.2">
      <c r="A852" t="s">
        <v>52</v>
      </c>
      <c r="B852" s="45" t="s">
        <v>64</v>
      </c>
    </row>
    <row r="853" spans="1:2" hidden="1" x14ac:dyDescent="0.2">
      <c r="A853" t="s">
        <v>48</v>
      </c>
      <c r="B853" s="45" t="s">
        <v>973</v>
      </c>
    </row>
    <row r="854" spans="1:2" hidden="1" x14ac:dyDescent="0.2">
      <c r="A854" t="s">
        <v>54</v>
      </c>
      <c r="B854" s="45" t="str">
        <f>INDEX(overview!$B$4:$R$338,MATCH(B853,overview!$A$4:$A$338,0),MATCH(A854,overview!$B$3:$R$3,0))</f>
        <v>electricity, from residential heating system</v>
      </c>
    </row>
    <row r="855" spans="1:2" hidden="1" x14ac:dyDescent="0.2">
      <c r="A855" t="s">
        <v>55</v>
      </c>
      <c r="B855" s="45" t="str">
        <f>INDEX(overview!$B$4:$R$338,MATCH(B853,overview!$A$4:$A$338,0),MATCH(A855,overview!$B$3:$R$3,0))</f>
        <v>kilowatt hour</v>
      </c>
    </row>
    <row r="856" spans="1:2" hidden="1" x14ac:dyDescent="0.2">
      <c r="A856" t="s">
        <v>0</v>
      </c>
      <c r="B856" s="45" t="str">
        <f>INDEX(overview!$B$4:$R$338,MATCH(B853,overview!$A$4:$A$338,0),MATCH(A856,overview!$B$3:$R$3,0))</f>
        <v>Switzerland</v>
      </c>
    </row>
    <row r="857" spans="1:2" hidden="1" x14ac:dyDescent="0.2">
      <c r="A857" t="s">
        <v>1</v>
      </c>
      <c r="B857" s="45">
        <f>INDEX(overview!$B$4:$R$338,MATCH(B853,overview!$A$4:$A$338,0),MATCH(A857,overview!$B$3:$R$3,0))</f>
        <v>2020</v>
      </c>
    </row>
    <row r="858" spans="1:2" hidden="1" x14ac:dyDescent="0.2">
      <c r="A858" t="s">
        <v>2</v>
      </c>
      <c r="B858" s="45" t="str">
        <f>INDEX(overview!$B$4:$R$338,MATCH(B853,overview!$A$4:$A$338,0),MATCH(A858,overview!$B$3:$R$3,0))</f>
        <v>1 kWh electricity</v>
      </c>
    </row>
    <row r="859" spans="1:2" hidden="1" x14ac:dyDescent="0.2">
      <c r="A859" t="s">
        <v>5</v>
      </c>
      <c r="B859" s="45" t="str">
        <f>INDEX(overview!$B$4:$R$338,MATCH(B853,overview!$A$4:$A$338,0),MATCH(A859,overview!$B$3:$R$3,0))</f>
        <v>hydrogen</v>
      </c>
    </row>
    <row r="860" spans="1:2" hidden="1" x14ac:dyDescent="0.2">
      <c r="A860" t="s">
        <v>3</v>
      </c>
      <c r="B860" s="45" t="str">
        <f>INDEX(overview!$B$4:$R$338,MATCH(B853,overview!$A$4:$A$338,0),MATCH(A860,overview!$B$3:$R$3,0))</f>
        <v>combustion</v>
      </c>
    </row>
    <row r="861" spans="1:2" hidden="1" x14ac:dyDescent="0.2">
      <c r="A861" t="s">
        <v>6</v>
      </c>
      <c r="B861" s="45" t="str">
        <f>INDEX(overview!$B$4:$R$338,MATCH(B853,overview!$A$4:$A$338,0),MATCH(A861,overview!$B$3:$R$3,0))</f>
        <v>CHP</v>
      </c>
    </row>
    <row r="862" spans="1:2" hidden="1" x14ac:dyDescent="0.2">
      <c r="A862" t="s">
        <v>39</v>
      </c>
      <c r="B862" s="45" t="str">
        <f>INDEX(overview!$B$4:$R$338,MATCH(B853,overview!$A$4:$A$338,0),MATCH(A862,overview!$B$3:$R$3,0))</f>
        <v>exergy</v>
      </c>
    </row>
    <row r="863" spans="1:2" hidden="1" x14ac:dyDescent="0.2">
      <c r="A863" t="s">
        <v>4</v>
      </c>
      <c r="B863" s="45" t="str">
        <f>INDEX(overview!$B$4:$R$338,MATCH(B853,overview!$A$4:$A$338,0),MATCH(A863,overview!$B$3:$R$3,0))</f>
        <v>pipeline</v>
      </c>
    </row>
    <row r="864" spans="1:2" hidden="1" x14ac:dyDescent="0.2">
      <c r="A864" t="s">
        <v>38</v>
      </c>
      <c r="B864" s="45">
        <f>INDEX(overview!$B$4:$R$338,MATCH(B853,overview!$A$4:$A$338,0),MATCH(A864,overview!$B$3:$R$3,0))</f>
        <v>500</v>
      </c>
    </row>
    <row r="865" spans="1:2" hidden="1" x14ac:dyDescent="0.2">
      <c r="A865" t="s">
        <v>12</v>
      </c>
      <c r="B865" s="45" t="str">
        <f>INDEX(overview!$B$4:$R$338,MATCH(B853,overview!$A$4:$A$338,0),MATCH(A865,overview!$B$3:$R$3,0))</f>
        <v>Pressure vessel for stationary storage</v>
      </c>
    </row>
    <row r="866" spans="1:2" hidden="1" x14ac:dyDescent="0.2">
      <c r="A866" t="s">
        <v>34</v>
      </c>
      <c r="B866" s="45">
        <f>INDEX(overview!$B$4:$R$338,MATCH(B853,overview!$A$4:$A$338,0),MATCH(A866,overview!$B$3:$R$3,0))</f>
        <v>0</v>
      </c>
    </row>
    <row r="867" spans="1:2" hidden="1" x14ac:dyDescent="0.2">
      <c r="A867" t="s">
        <v>15</v>
      </c>
      <c r="B867" s="45" t="str">
        <f>INDEX(overview!$B$4:$R$338,MATCH(B853,overview!$A$4:$A$338,0),MATCH(A867,overview!$B$3:$R$3,0))</f>
        <v>Auto-thermal reforming, with CCS</v>
      </c>
    </row>
    <row r="868" spans="1:2" hidden="1" x14ac:dyDescent="0.2">
      <c r="A868" t="s">
        <v>14</v>
      </c>
      <c r="B868" s="45" t="str">
        <f>INDEX(overview!$B$4:$R$338,MATCH(B853,overview!$A$4:$A$338,0),MATCH(A868,overview!$B$3:$R$3,0))</f>
        <v>natural gas</v>
      </c>
    </row>
    <row r="869" spans="1:2" hidden="1" x14ac:dyDescent="0.2">
      <c r="A869" t="s">
        <v>26</v>
      </c>
      <c r="B869" s="45" t="str">
        <f>INDEX(overview!$B$4:$R$338,MATCH(B853,overview!$A$4:$A$338,0),MATCH(A869,overview!$B$3:$R$3,0))</f>
        <v>Switzerland</v>
      </c>
    </row>
    <row r="870" spans="1:2" hidden="1" x14ac:dyDescent="0.2">
      <c r="A870" t="s">
        <v>29</v>
      </c>
      <c r="B870" s="45">
        <f>INDEX(overview!$B$4:$R$338,MATCH(B853,overview!$A$4:$A$338,0),MATCH(A870,overview!$B$3:$R$3,0))</f>
        <v>0</v>
      </c>
    </row>
    <row r="871" spans="1:2" hidden="1" x14ac:dyDescent="0.2">
      <c r="A871" t="str">
        <f>IF(B855="megajoule","Heat","Electricity")&amp;" conversion efficiency [% LHV input]"</f>
        <v>Electricity conversion efficiency [% LHV input]</v>
      </c>
      <c r="B871" s="46">
        <f>INDEX(parameters!$D$4:$N$20,MATCH(B859&amp;B861,parameters!$A$4:$A$20,0),MATCH(A871,parameters!$D$3:$N$3,0))</f>
        <v>0.39400000000000002</v>
      </c>
    </row>
    <row r="872" spans="1:2" hidden="1" x14ac:dyDescent="0.2">
      <c r="A872" t="str">
        <f>IF(B855="megajoule","LHV [MJ/kg]","LHV [kWh/kg]")</f>
        <v>LHV [kWh/kg]</v>
      </c>
      <c r="B872" s="47">
        <f>INDEX(parameters!$D$4:$N$20,MATCH(B859&amp;B861,parameters!$A$4:$A$20,0),MATCH(A872,parameters!$D$3:$N$3,0))</f>
        <v>33.333333333333336</v>
      </c>
    </row>
    <row r="873" spans="1:2" hidden="1" x14ac:dyDescent="0.2">
      <c r="A873" t="s">
        <v>41</v>
      </c>
      <c r="B873" s="48">
        <f>INDEX(parameters!$D$4:$N$20,MATCH(B859&amp;B861,parameters!$A$4:$A$20,0),MATCH(A873,parameters!$D$3:$N$3,0))</f>
        <v>2.6666666666666665E-2</v>
      </c>
    </row>
    <row r="874" spans="1:2" hidden="1" x14ac:dyDescent="0.2">
      <c r="A874" t="s">
        <v>45</v>
      </c>
      <c r="B874" s="46">
        <f>INDEX(parameters!$D$4:$N$20,MATCH(B859&amp;B861,parameters!$A$4:$A$20,0),MATCH(A874,parameters!$D$3:$N$3,0))</f>
        <v>0</v>
      </c>
    </row>
    <row r="875" spans="1:2" hidden="1" x14ac:dyDescent="0.2">
      <c r="A875" t="s">
        <v>46</v>
      </c>
      <c r="B875" s="46">
        <f>INDEX(parameters!$D$4:$N$20,MATCH(B859&amp;B861,parameters!$A$4:$A$20,0),MATCH(A875,parameters!$D$3:$N$3,0))</f>
        <v>1.4999999999999999E-2</v>
      </c>
    </row>
    <row r="876" spans="1:2" hidden="1" x14ac:dyDescent="0.2">
      <c r="A876" t="s">
        <v>43</v>
      </c>
      <c r="B876" s="46">
        <f>INDEX(parameters!$D$4:$N$20,MATCH(B859&amp;B861,parameters!$A$4:$A$20,0),MATCH(A876,parameters!$D$3:$N$3,0))</f>
        <v>0</v>
      </c>
    </row>
    <row r="877" spans="1:2" hidden="1" x14ac:dyDescent="0.2">
      <c r="A877" t="s">
        <v>44</v>
      </c>
      <c r="B877" s="46">
        <f>INDEX(parameters!$D$4:$N$20,MATCH(B859&amp;B861,parameters!$A$4:$A$20,0),MATCH(A877,parameters!$D$3:$N$3,0))</f>
        <v>0</v>
      </c>
    </row>
    <row r="878" spans="1:2" hidden="1" x14ac:dyDescent="0.2">
      <c r="A878" t="s">
        <v>634</v>
      </c>
      <c r="B878" s="47">
        <f>INDEX(parameters!$D$4:$Y$20,MATCH(B859&amp;B861,parameters!$A$4:$A$20,0),MATCH(A878,parameters!$D$3:$Y$3,0))</f>
        <v>351.41800246609125</v>
      </c>
    </row>
    <row r="879" spans="1:2" hidden="1" x14ac:dyDescent="0.2">
      <c r="A879" t="s">
        <v>82</v>
      </c>
      <c r="B879" s="46">
        <f>IF(B870&lt;&gt;0,VLOOKUP(B870,parameters!A663:B665,2,0),0)</f>
        <v>0</v>
      </c>
    </row>
    <row r="880" spans="1:2" hidden="1" x14ac:dyDescent="0.2">
      <c r="A880" t="s">
        <v>548</v>
      </c>
      <c r="B880" s="50">
        <f>INDEX(parameters!$D$4:$P$20,MATCH(B859&amp;B861,parameters!$A$4:$A$20,0),MATCH(A880,parameters!$D$3:$P$3,0))</f>
        <v>125</v>
      </c>
    </row>
    <row r="881" spans="1:22" hidden="1" x14ac:dyDescent="0.2">
      <c r="A881" t="s">
        <v>547</v>
      </c>
      <c r="B881" s="51">
        <f>INDEX(parameters!$D$4:$P$20,MATCH(B859&amp;B861,parameters!$A$4:$A$20,0),MATCH(A881,parameters!$D$3:$P$3,0))</f>
        <v>19.512195121951219</v>
      </c>
    </row>
    <row r="882" spans="1:22" hidden="1" x14ac:dyDescent="0.2">
      <c r="A882" t="s">
        <v>630</v>
      </c>
      <c r="B882" s="51">
        <f>INDEX(parameters!$D$4:$T$20,MATCH(B859&amp;B861,parameters!$A$4:$A$20,0),MATCH(A882,parameters!$D$3:$T$3,0))</f>
        <v>4100</v>
      </c>
    </row>
    <row r="883" spans="1:22" hidden="1" x14ac:dyDescent="0.2">
      <c r="A883" t="s">
        <v>1005</v>
      </c>
      <c r="B883" s="50">
        <f>IF(B855="megajoule",SUMIFS(allocation!$I$4:$I$30,allocation!$B$4:$B$30,B861,allocation!$C$4:$C$30,B862),SUMIFS(allocation!$J$4:$J$30,allocation!$B$4:$B$30,B861,allocation!$C$4:$C$30,B862))</f>
        <v>0.87139957772704957</v>
      </c>
    </row>
    <row r="884" spans="1:22" hidden="1" x14ac:dyDescent="0.2">
      <c r="A884" t="s">
        <v>1050</v>
      </c>
      <c r="B884" s="51">
        <f>INDEX(parameters!$D$4:$AB$20,MATCH(B859&amp;B861,parameters!$A$4:$A$20,0),MATCH(A884,parameters!$D$3:$AB$3,0))</f>
        <v>2220.7364520822662</v>
      </c>
    </row>
    <row r="885" spans="1:22" hidden="1" x14ac:dyDescent="0.2"/>
    <row r="886" spans="1:22" hidden="1" x14ac:dyDescent="0.2">
      <c r="A886" s="3" t="s">
        <v>57</v>
      </c>
    </row>
    <row r="887" spans="1:22" hidden="1" x14ac:dyDescent="0.2">
      <c r="A887" s="2" t="s">
        <v>58</v>
      </c>
      <c r="B887" s="44" t="s">
        <v>59</v>
      </c>
      <c r="C887" s="2" t="s">
        <v>55</v>
      </c>
      <c r="D887" s="2" t="s">
        <v>60</v>
      </c>
      <c r="E887" s="2" t="s">
        <v>52</v>
      </c>
      <c r="F887" s="2" t="s">
        <v>61</v>
      </c>
      <c r="G887" s="2" t="s">
        <v>54</v>
      </c>
      <c r="H887" s="2" t="s">
        <v>87</v>
      </c>
      <c r="I887" s="2" t="s">
        <v>51</v>
      </c>
      <c r="J887" s="2" t="s">
        <v>138</v>
      </c>
      <c r="K887" s="2" t="s">
        <v>136</v>
      </c>
      <c r="L887" s="2" t="s">
        <v>221</v>
      </c>
      <c r="M887" s="2" t="s">
        <v>379</v>
      </c>
      <c r="N887" s="2" t="s">
        <v>1059</v>
      </c>
      <c r="O887" s="2" t="s">
        <v>1060</v>
      </c>
      <c r="P887" s="2" t="s">
        <v>1061</v>
      </c>
      <c r="Q887" s="2" t="s">
        <v>1062</v>
      </c>
      <c r="R887" s="2" t="s">
        <v>1063</v>
      </c>
      <c r="S887" s="2" t="s">
        <v>1064</v>
      </c>
      <c r="T887" s="2" t="s">
        <v>1065</v>
      </c>
      <c r="U887" s="2" t="s">
        <v>380</v>
      </c>
      <c r="V887" s="2" t="s">
        <v>1128</v>
      </c>
    </row>
    <row r="888" spans="1:22" hidden="1" x14ac:dyDescent="0.2">
      <c r="A888" t="str">
        <f>B849</f>
        <v>electricity, residential, by combustion of hydrogen using CHP, allocated by exergy, transported by pipeline, produced by Auto-thermal reforming, with CCS using natural gas from Switzerland</v>
      </c>
      <c r="B888" s="45">
        <v>1</v>
      </c>
      <c r="C888" t="str">
        <f>B855</f>
        <v>kilowatt hour</v>
      </c>
      <c r="E888" t="str">
        <f>B852</f>
        <v>CH</v>
      </c>
      <c r="F888" t="s">
        <v>62</v>
      </c>
      <c r="G888" t="str">
        <f>B854</f>
        <v>electricity, from residential heating system</v>
      </c>
      <c r="K888" t="str">
        <f>B849</f>
        <v>electricity, residential, by combustion of hydrogen using CHP, allocated by exergy, transported by pipeline, produced by Auto-thermal reforming, with CCS using natural gas from Switzerland</v>
      </c>
    </row>
    <row r="889" spans="1:22" hidden="1" x14ac:dyDescent="0.2">
      <c r="A889" t="str">
        <f>VLOOKUP(J889,'dataset mapping'!$A$4:$E$69,2,0)</f>
        <v>heat and power co-generation unit construction, 160kW electrical, common components for heat+electricity</v>
      </c>
      <c r="B889" s="52">
        <f>(1/(B878*B882*B881))*B883</f>
        <v>3.0995835856870056E-8</v>
      </c>
      <c r="C889" t="str">
        <f>VLOOKUP(J889,'dataset mapping'!$A$4:$E$69,5,0)</f>
        <v>unit</v>
      </c>
      <c r="E889" t="str">
        <f>VLOOKUP(J889,'dataset mapping'!$A$4:$E$69,4,0)</f>
        <v>RER</v>
      </c>
      <c r="F889" t="s">
        <v>86</v>
      </c>
      <c r="G889" t="str">
        <f>VLOOKUP(J889,'dataset mapping'!$A$4:$E$69,3,0)</f>
        <v>heat and power co-generation unit, 160kW electrical, common components for heat+electricity</v>
      </c>
      <c r="H889" t="s">
        <v>88</v>
      </c>
      <c r="J889" t="s">
        <v>145</v>
      </c>
      <c r="K889" t="str">
        <f>B849</f>
        <v>electricity, residential, by combustion of hydrogen using CHP, allocated by exergy, transported by pipeline, produced by Auto-thermal reforming, with CCS using natural gas from Switzerland</v>
      </c>
      <c r="L889">
        <f t="shared" ref="L889:L896" si="56">IF(OR(B889&lt;0,B889=0),1,2)</f>
        <v>2</v>
      </c>
      <c r="M889">
        <f t="shared" ref="M889:M896" si="57">IF(L889=2,LN(B889),"")</f>
        <v>-17.28941296868171</v>
      </c>
      <c r="N889">
        <v>1.05</v>
      </c>
      <c r="O889">
        <v>1.2</v>
      </c>
      <c r="P889">
        <v>1</v>
      </c>
      <c r="Q889">
        <v>1.01</v>
      </c>
      <c r="R889">
        <v>1.2</v>
      </c>
      <c r="S889">
        <v>1.2</v>
      </c>
      <c r="T889">
        <v>3</v>
      </c>
      <c r="U889">
        <f t="shared" ref="U889:U896" si="58">LN(SQRT(EXP(
SQRT(
+POWER(LN(N889),2)
+POWER(LN(O889),2)
+POWER(LN(P889),2)
+POWER(LN(Q889),2)
+POWER(LN(R889),2)
+POWER(LN(S889),2)
+POWER(LN(T889),2)
)
)))</f>
        <v>0.57209088006881903</v>
      </c>
    </row>
    <row r="890" spans="1:22" hidden="1" x14ac:dyDescent="0.2">
      <c r="A890" t="str">
        <f>VLOOKUP(J890,'dataset mapping'!$A$4:$E$69,2,0)</f>
        <v>heat and power co-generation unit construction, 160kW electrical, components for electricity only</v>
      </c>
      <c r="B890" s="52">
        <f>(1/(B878*B882*B881))*B883</f>
        <v>3.0995835856870056E-8</v>
      </c>
      <c r="C890" t="str">
        <f>VLOOKUP(J890,'dataset mapping'!$A$4:$E$69,5,0)</f>
        <v>unit</v>
      </c>
      <c r="E890" t="str">
        <f>VLOOKUP(J890,'dataset mapping'!$A$4:$E$69,4,0)</f>
        <v>RER</v>
      </c>
      <c r="F890" t="s">
        <v>86</v>
      </c>
      <c r="G890" t="str">
        <f>VLOOKUP(J890,'dataset mapping'!$A$4:$E$69,3,0)</f>
        <v>heat and power co-generation unit, 160kW electrical, components for electricity only</v>
      </c>
      <c r="H890" t="s">
        <v>88</v>
      </c>
      <c r="J890" t="s">
        <v>146</v>
      </c>
      <c r="K890" t="str">
        <f>B849</f>
        <v>electricity, residential, by combustion of hydrogen using CHP, allocated by exergy, transported by pipeline, produced by Auto-thermal reforming, with CCS using natural gas from Switzerland</v>
      </c>
      <c r="L890">
        <f t="shared" si="56"/>
        <v>2</v>
      </c>
      <c r="M890">
        <f t="shared" si="57"/>
        <v>-17.28941296868171</v>
      </c>
      <c r="N890">
        <v>1.05</v>
      </c>
      <c r="O890">
        <v>1.2</v>
      </c>
      <c r="P890">
        <v>1</v>
      </c>
      <c r="Q890">
        <v>1.01</v>
      </c>
      <c r="R890">
        <v>1.2</v>
      </c>
      <c r="S890">
        <v>1.2</v>
      </c>
      <c r="T890">
        <v>3</v>
      </c>
      <c r="U890">
        <f t="shared" si="58"/>
        <v>0.57209088006881903</v>
      </c>
    </row>
    <row r="891" spans="1:22" hidden="1" x14ac:dyDescent="0.2">
      <c r="A891" t="str">
        <f>VLOOKUP(J891,'dataset mapping'!$A$4:$E$69,2,0)</f>
        <v>heat and power co-generation unit construction, 160kW electrical, components for heat only</v>
      </c>
      <c r="B891" s="52">
        <f>(1/(B878*B882*B881))*B883</f>
        <v>3.0995835856870056E-8</v>
      </c>
      <c r="C891" t="str">
        <f>VLOOKUP(J891,'dataset mapping'!$A$4:$E$69,5,0)</f>
        <v>unit</v>
      </c>
      <c r="E891" t="str">
        <f>VLOOKUP(J891,'dataset mapping'!$A$4:$E$69,4,0)</f>
        <v>RER</v>
      </c>
      <c r="F891" t="s">
        <v>86</v>
      </c>
      <c r="G891" t="str">
        <f>VLOOKUP(J891,'dataset mapping'!$A$4:$E$69,3,0)</f>
        <v>heat and power co-generation unit, 160kW electrical, components for heat only</v>
      </c>
      <c r="H891" t="s">
        <v>88</v>
      </c>
      <c r="J891" t="s">
        <v>147</v>
      </c>
      <c r="K891" t="str">
        <f>B849</f>
        <v>electricity, residential, by combustion of hydrogen using CHP, allocated by exergy, transported by pipeline, produced by Auto-thermal reforming, with CCS using natural gas from Switzerland</v>
      </c>
      <c r="L891">
        <f t="shared" si="56"/>
        <v>2</v>
      </c>
      <c r="M891">
        <f t="shared" si="57"/>
        <v>-17.28941296868171</v>
      </c>
      <c r="N891">
        <v>1.05</v>
      </c>
      <c r="O891">
        <v>1.2</v>
      </c>
      <c r="P891">
        <v>1</v>
      </c>
      <c r="Q891">
        <v>1.01</v>
      </c>
      <c r="R891">
        <v>1.2</v>
      </c>
      <c r="S891">
        <v>1.2</v>
      </c>
      <c r="T891">
        <v>3</v>
      </c>
      <c r="U891">
        <f t="shared" si="58"/>
        <v>0.57209088006881903</v>
      </c>
    </row>
    <row r="892" spans="1:22" hidden="1" x14ac:dyDescent="0.2">
      <c r="A892" t="s">
        <v>156</v>
      </c>
      <c r="B892" s="52">
        <f>0.00000011366*B883</f>
        <v>9.9043276004456456E-8</v>
      </c>
      <c r="C892" t="s">
        <v>56</v>
      </c>
      <c r="E892" t="s">
        <v>90</v>
      </c>
      <c r="F892" t="s">
        <v>86</v>
      </c>
      <c r="G892" t="s">
        <v>154</v>
      </c>
      <c r="H892" t="s">
        <v>155</v>
      </c>
      <c r="K892" t="str">
        <f>B849</f>
        <v>electricity, residential, by combustion of hydrogen using CHP, allocated by exergy, transported by pipeline, produced by Auto-thermal reforming, with CCS using natural gas from Switzerland</v>
      </c>
      <c r="L892">
        <f t="shared" si="56"/>
        <v>2</v>
      </c>
      <c r="M892">
        <f t="shared" si="57"/>
        <v>-16.127708950967754</v>
      </c>
      <c r="N892">
        <v>1.05</v>
      </c>
      <c r="O892">
        <v>1.2</v>
      </c>
      <c r="P892">
        <v>1</v>
      </c>
      <c r="Q892">
        <v>1.01</v>
      </c>
      <c r="R892">
        <v>1.2</v>
      </c>
      <c r="S892">
        <v>1.2</v>
      </c>
      <c r="T892">
        <v>1.05</v>
      </c>
      <c r="U892">
        <f t="shared" si="58"/>
        <v>0.16169679924070957</v>
      </c>
    </row>
    <row r="893" spans="1:22" hidden="1" x14ac:dyDescent="0.2">
      <c r="A893" t="s">
        <v>157</v>
      </c>
      <c r="B893" s="52">
        <f>0.00000011366*B883*-1</f>
        <v>-9.9043276004456456E-8</v>
      </c>
      <c r="C893" t="s">
        <v>56</v>
      </c>
      <c r="E893" t="s">
        <v>64</v>
      </c>
      <c r="F893" t="s">
        <v>86</v>
      </c>
      <c r="G893" t="s">
        <v>158</v>
      </c>
      <c r="H893" t="s">
        <v>155</v>
      </c>
      <c r="K893" t="str">
        <f>B849</f>
        <v>electricity, residential, by combustion of hydrogen using CHP, allocated by exergy, transported by pipeline, produced by Auto-thermal reforming, with CCS using natural gas from Switzerland</v>
      </c>
      <c r="L893">
        <v>2</v>
      </c>
      <c r="M893">
        <f>IF(L893=2,LN(B893*-1),"")</f>
        <v>-16.127708950967754</v>
      </c>
      <c r="N893">
        <v>1.05</v>
      </c>
      <c r="O893">
        <v>1.2</v>
      </c>
      <c r="P893">
        <v>1</v>
      </c>
      <c r="Q893">
        <v>1.01</v>
      </c>
      <c r="R893">
        <v>1.2</v>
      </c>
      <c r="S893">
        <v>1.2</v>
      </c>
      <c r="T893">
        <v>3</v>
      </c>
      <c r="U893">
        <f>LN(SQRT(EXP(
SQRT(
+POWER(LN(N893),2)
+POWER(LN(O893),2)
+POWER(LN(P893),2)
+POWER(LN(Q893),2)
+POWER(LN(R893),2)
+POWER(LN(S893),2)
+POWER(LN(T893),2)
)
)))</f>
        <v>0.57209088006881903</v>
      </c>
      <c r="V893" t="b">
        <v>1</v>
      </c>
    </row>
    <row r="894" spans="1:22" hidden="1" x14ac:dyDescent="0.2">
      <c r="A894" s="45" t="str">
        <f>"hydrogen supply, transported by "&amp;B863&amp;", produced by "&amp;B867&amp;" using "&amp;B868&amp;" from "&amp;B869</f>
        <v>hydrogen supply, transported by pipeline, produced by Auto-thermal reforming, with CCS using natural gas from Switzerland</v>
      </c>
      <c r="B894" s="53">
        <f>(B888/B872)/B871*B883</f>
        <v>6.6350221654343872E-2</v>
      </c>
      <c r="C894" t="s">
        <v>56</v>
      </c>
      <c r="E894" t="s">
        <v>64</v>
      </c>
      <c r="F894" t="s">
        <v>86</v>
      </c>
      <c r="G894" t="s">
        <v>1129</v>
      </c>
      <c r="H894" t="s">
        <v>76</v>
      </c>
      <c r="I894" t="s">
        <v>1054</v>
      </c>
      <c r="J894" t="s">
        <v>308</v>
      </c>
      <c r="K894" t="str">
        <f>B849</f>
        <v>electricity, residential, by combustion of hydrogen using CHP, allocated by exergy, transported by pipeline, produced by Auto-thermal reforming, with CCS using natural gas from Switzerland</v>
      </c>
      <c r="L894">
        <f t="shared" si="56"/>
        <v>2</v>
      </c>
      <c r="M894">
        <f t="shared" si="57"/>
        <v>-2.7128081775260964</v>
      </c>
      <c r="N894">
        <v>1.05</v>
      </c>
      <c r="O894">
        <v>1.2</v>
      </c>
      <c r="P894">
        <v>1</v>
      </c>
      <c r="Q894">
        <v>1.01</v>
      </c>
      <c r="R894">
        <v>1.2</v>
      </c>
      <c r="S894">
        <v>1.2</v>
      </c>
      <c r="T894">
        <v>1.05</v>
      </c>
      <c r="U894">
        <f t="shared" si="58"/>
        <v>0.16169679924070957</v>
      </c>
    </row>
    <row r="895" spans="1:22" hidden="1" x14ac:dyDescent="0.2">
      <c r="A895" t="s">
        <v>134</v>
      </c>
      <c r="B895" s="45">
        <f>B894*9</f>
        <v>0.59715199488909487</v>
      </c>
      <c r="C895" t="s">
        <v>56</v>
      </c>
      <c r="D895" t="s">
        <v>100</v>
      </c>
      <c r="F895" t="s">
        <v>99</v>
      </c>
      <c r="H895" t="s">
        <v>131</v>
      </c>
      <c r="K895" t="str">
        <f>B849</f>
        <v>electricity, residential, by combustion of hydrogen using CHP, allocated by exergy, transported by pipeline, produced by Auto-thermal reforming, with CCS using natural gas from Switzerland</v>
      </c>
      <c r="L895">
        <f t="shared" si="56"/>
        <v>2</v>
      </c>
      <c r="M895">
        <f t="shared" si="57"/>
        <v>-0.51558360018987692</v>
      </c>
      <c r="N895">
        <v>1.05</v>
      </c>
      <c r="O895">
        <v>1.2</v>
      </c>
      <c r="P895">
        <v>1</v>
      </c>
      <c r="Q895">
        <v>1.01</v>
      </c>
      <c r="R895">
        <v>1.2</v>
      </c>
      <c r="S895">
        <v>1.2</v>
      </c>
      <c r="T895">
        <v>1.05</v>
      </c>
      <c r="U895">
        <f t="shared" si="58"/>
        <v>0.16169679924070957</v>
      </c>
    </row>
    <row r="896" spans="1:22" hidden="1" x14ac:dyDescent="0.2">
      <c r="A896" t="s">
        <v>135</v>
      </c>
      <c r="B896" s="45">
        <f>912.5/1000000*B894</f>
        <v>6.0544577259588785E-5</v>
      </c>
      <c r="C896" t="s">
        <v>56</v>
      </c>
      <c r="D896" t="s">
        <v>100</v>
      </c>
      <c r="F896" t="s">
        <v>99</v>
      </c>
      <c r="H896" t="s">
        <v>131</v>
      </c>
      <c r="I896" t="s">
        <v>1217</v>
      </c>
      <c r="K896" t="str">
        <f>B849</f>
        <v>electricity, residential, by combustion of hydrogen using CHP, allocated by exergy, transported by pipeline, produced by Auto-thermal reforming, with CCS using natural gas from Switzerland</v>
      </c>
      <c r="L896">
        <f t="shared" si="56"/>
        <v>2</v>
      </c>
      <c r="M896">
        <f t="shared" si="57"/>
        <v>-9.712130650033723</v>
      </c>
      <c r="N896">
        <v>1.05</v>
      </c>
      <c r="O896">
        <v>1.2</v>
      </c>
      <c r="P896">
        <v>1</v>
      </c>
      <c r="Q896">
        <v>1.01</v>
      </c>
      <c r="R896">
        <v>1.2</v>
      </c>
      <c r="S896">
        <v>1.2</v>
      </c>
      <c r="T896">
        <v>1.5</v>
      </c>
      <c r="U896">
        <f t="shared" si="58"/>
        <v>0.25816898211842121</v>
      </c>
    </row>
    <row r="897" spans="1:2" hidden="1" x14ac:dyDescent="0.2"/>
    <row r="898" spans="1:2" hidden="1" x14ac:dyDescent="0.2">
      <c r="A898" s="2" t="s">
        <v>50</v>
      </c>
      <c r="B898" s="44" t="str">
        <f>IF(B904="megajoule","heat","electricity")&amp;", residential, by "&amp;B909&amp;" of "&amp;B908&amp;" using "&amp;B910&amp;IF(B911&lt;&gt;0,", allocated by "&amp;B911,"")&amp;", transported by "&amp;B912&amp;", produced by "&amp;B916&amp;" using "&amp;B917&amp;" from "&amp;B918</f>
        <v>electricity, residential, by conversion of hydrogen using fuel cell, PEM, allocated by exergy, transported by pipeline, produced by Auto-thermal reforming, with CCS using natural gas from Switzerland</v>
      </c>
    </row>
    <row r="899" spans="1:2" hidden="1" x14ac:dyDescent="0.2">
      <c r="A899" t="s">
        <v>51</v>
      </c>
      <c r="B899" s="45" t="str">
        <f>"This dataset represents the supply of 1 "&amp;IF(B904="megajoule","megajoule of heat","kilowatt hour of electricity")&amp;" in a residence, by "&amp;B908&amp;" "&amp;B909&amp;" in a "&amp;B910&amp;". "&amp;" The hydrogen is transported by "&amp;B912&amp;" over "&amp;B913&amp;" km from regional storage. "&amp;" The "&amp;B908&amp;" is produced by  "&amp;B916&amp;", with "&amp;B917&amp;" from "&amp;B918&amp;" as feedstock. "&amp;A920&amp;": "&amp;(B920*100)&amp;"%. "&amp;A921&amp;": "&amp;B921&amp;". "&amp;A922&amp;": "&amp;B922&amp;". "&amp;A923&amp;": "&amp;(B923*100)&amp;"%. "&amp;A924&amp;": "&amp;(B924*100)&amp;"%. "&amp;A925&amp;": "&amp;(B925*100)&amp;"%. "&amp;A926&amp;": "&amp;B926&amp;". "&amp;A927&amp;": "&amp;B927&amp;". "&amp;A928&amp;": "&amp;(B928*100)&amp;"%. "&amp;A929&amp;": "&amp;B929&amp;". "&amp;A930&amp;": "&amp;B930&amp;". "&amp;A931&amp;": "&amp;B931&amp;". "&amp;A932&amp;": "&amp;B932&amp;".  For more information, refer to: "&amp;B900</f>
        <v>This dataset represents the supply of 1 kilowatt hour of electricity in a residence, by hydrogen conversion in a fuel cell, PEM.  The hydrogen is transported by pipeline over 500 km from regional storage.  The hydrogen is produced by  Auto-thermal reforming, with CCS,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900" spans="1:2" hidden="1" x14ac:dyDescent="0.2">
      <c r="A900" t="s">
        <v>63</v>
      </c>
      <c r="B900" s="45" t="s">
        <v>660</v>
      </c>
    </row>
    <row r="901" spans="1:2" hidden="1" x14ac:dyDescent="0.2">
      <c r="A901" t="s">
        <v>52</v>
      </c>
      <c r="B901" s="45" t="s">
        <v>64</v>
      </c>
    </row>
    <row r="902" spans="1:2" hidden="1" x14ac:dyDescent="0.2">
      <c r="A902" t="s">
        <v>48</v>
      </c>
      <c r="B902" s="45" t="s">
        <v>974</v>
      </c>
    </row>
    <row r="903" spans="1:2" hidden="1" x14ac:dyDescent="0.2">
      <c r="A903" t="s">
        <v>54</v>
      </c>
      <c r="B903" s="45" t="str">
        <f>INDEX(overview!$B$4:$R$338,MATCH(B902,overview!$A$4:$A$338,0),MATCH(A903,overview!$B$3:$R$3,0))</f>
        <v>electricity, from residential heating system</v>
      </c>
    </row>
    <row r="904" spans="1:2" hidden="1" x14ac:dyDescent="0.2">
      <c r="A904" t="s">
        <v>55</v>
      </c>
      <c r="B904" s="45" t="str">
        <f>INDEX(overview!$B$4:$R$338,MATCH(B902,overview!$A$4:$A$338,0),MATCH(A904,overview!$B$3:$R$3,0))</f>
        <v>kilowatt hour</v>
      </c>
    </row>
    <row r="905" spans="1:2" hidden="1" x14ac:dyDescent="0.2">
      <c r="A905" t="s">
        <v>0</v>
      </c>
      <c r="B905" s="45" t="str">
        <f>INDEX(overview!$B$4:$R$338,MATCH(B902,overview!$A$4:$A$338,0),MATCH(A905,overview!$B$3:$R$3,0))</f>
        <v>Switzerland</v>
      </c>
    </row>
    <row r="906" spans="1:2" hidden="1" x14ac:dyDescent="0.2">
      <c r="A906" t="s">
        <v>1</v>
      </c>
      <c r="B906" s="45">
        <f>INDEX(overview!$B$4:$R$338,MATCH(B902,overview!$A$4:$A$338,0),MATCH(A906,overview!$B$3:$R$3,0))</f>
        <v>2020</v>
      </c>
    </row>
    <row r="907" spans="1:2" hidden="1" x14ac:dyDescent="0.2">
      <c r="A907" t="s">
        <v>2</v>
      </c>
      <c r="B907" s="45" t="str">
        <f>INDEX(overview!$B$4:$R$338,MATCH(B902,overview!$A$4:$A$338,0),MATCH(A907,overview!$B$3:$R$3,0))</f>
        <v>1 kWh electricity</v>
      </c>
    </row>
    <row r="908" spans="1:2" hidden="1" x14ac:dyDescent="0.2">
      <c r="A908" t="s">
        <v>5</v>
      </c>
      <c r="B908" s="45" t="str">
        <f>INDEX(overview!$B$4:$R$338,MATCH(B902,overview!$A$4:$A$338,0),MATCH(A908,overview!$B$3:$R$3,0))</f>
        <v>hydrogen</v>
      </c>
    </row>
    <row r="909" spans="1:2" hidden="1" x14ac:dyDescent="0.2">
      <c r="A909" t="s">
        <v>3</v>
      </c>
      <c r="B909" s="45" t="str">
        <f>INDEX(overview!$B$4:$R$338,MATCH(B902,overview!$A$4:$A$338,0),MATCH(A909,overview!$B$3:$R$3,0))</f>
        <v>conversion</v>
      </c>
    </row>
    <row r="910" spans="1:2" hidden="1" x14ac:dyDescent="0.2">
      <c r="A910" t="s">
        <v>6</v>
      </c>
      <c r="B910" s="45" t="str">
        <f>INDEX(overview!$B$4:$R$338,MATCH(B902,overview!$A$4:$A$338,0),MATCH(A910,overview!$B$3:$R$3,0))</f>
        <v>fuel cell, PEM</v>
      </c>
    </row>
    <row r="911" spans="1:2" hidden="1" x14ac:dyDescent="0.2">
      <c r="A911" t="s">
        <v>39</v>
      </c>
      <c r="B911" s="45" t="str">
        <f>INDEX(overview!$B$4:$R$338,MATCH(B902,overview!$A$4:$A$338,0),MATCH(A911,overview!$B$3:$R$3,0))</f>
        <v>exergy</v>
      </c>
    </row>
    <row r="912" spans="1:2" hidden="1" x14ac:dyDescent="0.2">
      <c r="A912" t="s">
        <v>4</v>
      </c>
      <c r="B912" s="45" t="str">
        <f>INDEX(overview!$B$4:$R$338,MATCH(B902,overview!$A$4:$A$338,0),MATCH(A912,overview!$B$3:$R$3,0))</f>
        <v>pipeline</v>
      </c>
    </row>
    <row r="913" spans="1:2" hidden="1" x14ac:dyDescent="0.2">
      <c r="A913" t="s">
        <v>38</v>
      </c>
      <c r="B913" s="45">
        <f>INDEX(overview!$B$4:$R$338,MATCH(B902,overview!$A$4:$A$338,0),MATCH(A913,overview!$B$3:$R$3,0))</f>
        <v>500</v>
      </c>
    </row>
    <row r="914" spans="1:2" hidden="1" x14ac:dyDescent="0.2">
      <c r="A914" t="s">
        <v>12</v>
      </c>
      <c r="B914" s="45" t="str">
        <f>INDEX(overview!$B$4:$R$338,MATCH(B902,overview!$A$4:$A$338,0),MATCH(A914,overview!$B$3:$R$3,0))</f>
        <v>Pressure vessel for stationary storage</v>
      </c>
    </row>
    <row r="915" spans="1:2" hidden="1" x14ac:dyDescent="0.2">
      <c r="A915" t="s">
        <v>34</v>
      </c>
      <c r="B915" s="45">
        <f>INDEX(overview!$B$4:$R$338,MATCH(B902,overview!$A$4:$A$338,0),MATCH(A915,overview!$B$3:$R$3,0))</f>
        <v>0</v>
      </c>
    </row>
    <row r="916" spans="1:2" hidden="1" x14ac:dyDescent="0.2">
      <c r="A916" t="s">
        <v>15</v>
      </c>
      <c r="B916" s="45" t="str">
        <f>INDEX(overview!$B$4:$R$338,MATCH(B902,overview!$A$4:$A$338,0),MATCH(A916,overview!$B$3:$R$3,0))</f>
        <v>Auto-thermal reforming, with CCS</v>
      </c>
    </row>
    <row r="917" spans="1:2" hidden="1" x14ac:dyDescent="0.2">
      <c r="A917" t="s">
        <v>14</v>
      </c>
      <c r="B917" s="45" t="str">
        <f>INDEX(overview!$B$4:$R$338,MATCH(B902,overview!$A$4:$A$338,0),MATCH(A917,overview!$B$3:$R$3,0))</f>
        <v>natural gas</v>
      </c>
    </row>
    <row r="918" spans="1:2" hidden="1" x14ac:dyDescent="0.2">
      <c r="A918" t="s">
        <v>26</v>
      </c>
      <c r="B918" s="45" t="str">
        <f>INDEX(overview!$B$4:$R$338,MATCH(B902,overview!$A$4:$A$338,0),MATCH(A918,overview!$B$3:$R$3,0))</f>
        <v>Switzerland</v>
      </c>
    </row>
    <row r="919" spans="1:2" hidden="1" x14ac:dyDescent="0.2">
      <c r="A919" t="s">
        <v>29</v>
      </c>
      <c r="B919" s="45">
        <f>INDEX(overview!$B$4:$R$338,MATCH(B902,overview!$A$4:$A$338,0),MATCH(A919,overview!$B$3:$R$3,0))</f>
        <v>0</v>
      </c>
    </row>
    <row r="920" spans="1:2" hidden="1" x14ac:dyDescent="0.2">
      <c r="A920" t="str">
        <f>IF(B904="megajoule","Heat","Electricity")&amp;" conversion efficiency [% LHV input]"</f>
        <v>Electricity conversion efficiency [% LHV input]</v>
      </c>
      <c r="B920" s="46">
        <f>INDEX(parameters!$D$4:$N$20,MATCH(B908&amp;B910,parameters!$A$4:$A$20,0),MATCH(A920,parameters!$D$3:$N$3,0))</f>
        <v>0.45</v>
      </c>
    </row>
    <row r="921" spans="1:2" hidden="1" x14ac:dyDescent="0.2">
      <c r="A921" t="str">
        <f>IF(B904="megajoule","LHV [MJ/kg]","LHV [kWh/kg]")</f>
        <v>LHV [kWh/kg]</v>
      </c>
      <c r="B921" s="47">
        <f>INDEX(parameters!$D$4:$N$20,MATCH(B908&amp;B910,parameters!$A$4:$A$20,0),MATCH(A921,parameters!$D$3:$N$3,0))</f>
        <v>33.333333333333336</v>
      </c>
    </row>
    <row r="922" spans="1:2" hidden="1" x14ac:dyDescent="0.2">
      <c r="A922" t="s">
        <v>41</v>
      </c>
      <c r="B922" s="48">
        <f>INDEX(parameters!$D$4:$N$20,MATCH(B908&amp;B910,parameters!$A$4:$A$20,0),MATCH(A922,parameters!$D$3:$N$3,0))</f>
        <v>2.6666666666666665E-2</v>
      </c>
    </row>
    <row r="923" spans="1:2" hidden="1" x14ac:dyDescent="0.2">
      <c r="A923" t="s">
        <v>45</v>
      </c>
      <c r="B923" s="46">
        <f>INDEX(parameters!$D$4:$N$20,MATCH(B908&amp;B910,parameters!$A$4:$A$20,0),MATCH(A923,parameters!$D$3:$N$3,0))</f>
        <v>0</v>
      </c>
    </row>
    <row r="924" spans="1:2" hidden="1" x14ac:dyDescent="0.2">
      <c r="A924" t="s">
        <v>46</v>
      </c>
      <c r="B924" s="46">
        <f>INDEX(parameters!$D$4:$N$20,MATCH(B908&amp;B910,parameters!$A$4:$A$20,0),MATCH(A924,parameters!$D$3:$N$3,0))</f>
        <v>1.4999999999999999E-2</v>
      </c>
    </row>
    <row r="925" spans="1:2" hidden="1" x14ac:dyDescent="0.2">
      <c r="A925" t="s">
        <v>43</v>
      </c>
      <c r="B925" s="46">
        <f>INDEX(parameters!$D$4:$N$20,MATCH(B908&amp;B910,parameters!$A$4:$A$20,0),MATCH(A925,parameters!$D$3:$N$3,0))</f>
        <v>0</v>
      </c>
    </row>
    <row r="926" spans="1:2" hidden="1" x14ac:dyDescent="0.2">
      <c r="A926" t="s">
        <v>44</v>
      </c>
      <c r="B926" s="46">
        <f>INDEX(parameters!$D$4:$N$20,MATCH(B908&amp;B910,parameters!$A$4:$A$20,0),MATCH(A926,parameters!$D$3:$N$3,0))</f>
        <v>0</v>
      </c>
    </row>
    <row r="927" spans="1:2" hidden="1" x14ac:dyDescent="0.2">
      <c r="A927" t="s">
        <v>634</v>
      </c>
      <c r="B927" s="47">
        <f>INDEX(parameters!$D$4:$Y$20,MATCH(B908&amp;B910,parameters!$A$4:$A$20,0),MATCH(A927,parameters!$D$3:$Y$3,0))</f>
        <v>1.8947368421052633</v>
      </c>
    </row>
    <row r="928" spans="1:2" hidden="1" x14ac:dyDescent="0.2">
      <c r="A928" t="s">
        <v>82</v>
      </c>
      <c r="B928" s="46">
        <f>IF(B919&lt;&gt;0,VLOOKUP(B919,parameters!A717:B719,2,0),0)</f>
        <v>0</v>
      </c>
    </row>
    <row r="929" spans="1:22" hidden="1" x14ac:dyDescent="0.2">
      <c r="A929" t="s">
        <v>548</v>
      </c>
      <c r="B929" s="50">
        <f>INDEX(parameters!$D$4:$P$20,MATCH(B908&amp;B910,parameters!$A$4:$A$20,0),MATCH(A929,parameters!$D$3:$P$3,0))</f>
        <v>0.8</v>
      </c>
    </row>
    <row r="930" spans="1:22" hidden="1" x14ac:dyDescent="0.2">
      <c r="A930" t="s">
        <v>547</v>
      </c>
      <c r="B930" s="51">
        <f>INDEX(parameters!$D$4:$P$20,MATCH(B908&amp;B910,parameters!$A$4:$A$20,0),MATCH(A930,parameters!$D$3:$P$3,0))</f>
        <v>4.8780487804878048</v>
      </c>
    </row>
    <row r="931" spans="1:22" hidden="1" x14ac:dyDescent="0.2">
      <c r="A931" t="s">
        <v>630</v>
      </c>
      <c r="B931" s="51">
        <f>INDEX(parameters!$D$4:$T$20,MATCH(B908&amp;B910,parameters!$A$4:$A$20,0),MATCH(A931,parameters!$D$3:$T$3,0))</f>
        <v>4100</v>
      </c>
    </row>
    <row r="932" spans="1:22" hidden="1" x14ac:dyDescent="0.2">
      <c r="A932" t="s">
        <v>1005</v>
      </c>
      <c r="B932" s="50">
        <f>IF(B904="megajoule",SUMIFS(allocation!$I$4:$I$30,allocation!$B$4:$B$30,B910,allocation!$C$4:$C$30,B911),SUMIFS(allocation!$J$4:$J$30,allocation!$B$4:$B$30,B910,allocation!$C$4:$C$30,B911))</f>
        <v>0.86066019201025545</v>
      </c>
    </row>
    <row r="933" spans="1:22" hidden="1" x14ac:dyDescent="0.2">
      <c r="A933" t="s">
        <v>1050</v>
      </c>
      <c r="B933" s="51">
        <f>INDEX(parameters!$D$4:$AB$20,MATCH(B908&amp;B910,parameters!$A$4:$A$20,0),MATCH(A933,parameters!$D$3:$AB$3,0))</f>
        <v>10.221606648199446</v>
      </c>
    </row>
    <row r="934" spans="1:22" hidden="1" x14ac:dyDescent="0.2"/>
    <row r="935" spans="1:22" hidden="1" x14ac:dyDescent="0.2">
      <c r="A935" s="3" t="s">
        <v>57</v>
      </c>
    </row>
    <row r="936" spans="1:22" hidden="1" x14ac:dyDescent="0.2">
      <c r="A936" s="2" t="s">
        <v>58</v>
      </c>
      <c r="B936" s="44" t="s">
        <v>59</v>
      </c>
      <c r="C936" s="2" t="s">
        <v>55</v>
      </c>
      <c r="D936" s="2" t="s">
        <v>60</v>
      </c>
      <c r="E936" s="2" t="s">
        <v>52</v>
      </c>
      <c r="F936" s="2" t="s">
        <v>61</v>
      </c>
      <c r="G936" s="2" t="s">
        <v>54</v>
      </c>
      <c r="H936" s="2" t="s">
        <v>87</v>
      </c>
      <c r="I936" s="2" t="s">
        <v>51</v>
      </c>
      <c r="J936" s="2" t="s">
        <v>138</v>
      </c>
      <c r="K936" s="2" t="s">
        <v>136</v>
      </c>
      <c r="L936" s="2" t="s">
        <v>221</v>
      </c>
      <c r="M936" s="2" t="s">
        <v>379</v>
      </c>
      <c r="N936" s="2" t="s">
        <v>1059</v>
      </c>
      <c r="O936" s="2" t="s">
        <v>1060</v>
      </c>
      <c r="P936" s="2" t="s">
        <v>1061</v>
      </c>
      <c r="Q936" s="2" t="s">
        <v>1062</v>
      </c>
      <c r="R936" s="2" t="s">
        <v>1063</v>
      </c>
      <c r="S936" s="2" t="s">
        <v>1064</v>
      </c>
      <c r="T936" s="2" t="s">
        <v>1065</v>
      </c>
      <c r="U936" s="2" t="s">
        <v>380</v>
      </c>
      <c r="V936" s="2" t="s">
        <v>1128</v>
      </c>
    </row>
    <row r="937" spans="1:22" x14ac:dyDescent="0.2">
      <c r="A937" t="str">
        <f>B898</f>
        <v>electricity, residential, by conversion of hydrogen using fuel cell, PEM, allocated by exergy, transported by pipeline, produced by Auto-thermal reforming, with CCS using natural gas from Switzerland</v>
      </c>
      <c r="B937" s="45">
        <v>1</v>
      </c>
      <c r="C937" t="str">
        <f>B904</f>
        <v>kilowatt hour</v>
      </c>
      <c r="E937" t="str">
        <f>B901</f>
        <v>CH</v>
      </c>
      <c r="F937" t="s">
        <v>62</v>
      </c>
      <c r="G937" t="str">
        <f>B903</f>
        <v>electricity, from residential heating system</v>
      </c>
      <c r="K937" t="str">
        <f>B898</f>
        <v>electricity, residential, by conversion of hydrogen using fuel cell, PEM, allocated by exergy, transported by pipeline, produced by Auto-thermal reforming, with CCS using natural gas from Switzerland</v>
      </c>
    </row>
    <row r="938" spans="1:22" hidden="1" x14ac:dyDescent="0.2">
      <c r="A938" t="str">
        <f>VLOOKUP(J938,'dataset mapping'!$A$4:$E$69,2,0)</f>
        <v>fuel cell system assembly, 1 kWe, proton exchange membrane (PEM)</v>
      </c>
      <c r="B938" s="52">
        <f>(1/(B927*B931*B930))*B932</f>
        <v>2.2711866178048405E-5</v>
      </c>
      <c r="C938" t="str">
        <f>VLOOKUP(J938,'dataset mapping'!$A$4:$E$69,5,0)</f>
        <v>unit</v>
      </c>
      <c r="E938" t="str">
        <f>VLOOKUP(J938,'dataset mapping'!$A$4:$E$69,4,0)</f>
        <v>GLO</v>
      </c>
      <c r="F938" t="s">
        <v>86</v>
      </c>
      <c r="G938" t="str">
        <f>VLOOKUP(J938,'dataset mapping'!$A$4:$E$69,3,0)</f>
        <v>fuel cell system, 1 kWe, proton exchange membrane (PEM)</v>
      </c>
      <c r="H938" t="s">
        <v>88</v>
      </c>
      <c r="I938" t="s">
        <v>272</v>
      </c>
      <c r="J938" t="s">
        <v>273</v>
      </c>
      <c r="K938" t="str">
        <f>B898</f>
        <v>electricity, residential, by conversion of hydrogen using fuel cell, PEM, allocated by exergy, transported by pipeline, produced by Auto-thermal reforming, with CCS using natural gas from Switzerland</v>
      </c>
      <c r="L938">
        <f t="shared" ref="L938:L940" si="59">IF(OR(B938&lt;0,B938=0),1,2)</f>
        <v>2</v>
      </c>
      <c r="M938">
        <f t="shared" ref="M938:M940" si="60">IF(L938=2,LN(B938),"")</f>
        <v>-10.692623030936341</v>
      </c>
      <c r="N938">
        <v>1</v>
      </c>
      <c r="O938">
        <v>1.2</v>
      </c>
      <c r="P938">
        <v>1</v>
      </c>
      <c r="Q938">
        <v>1.01</v>
      </c>
      <c r="R938">
        <v>1.2</v>
      </c>
      <c r="S938">
        <v>1.2</v>
      </c>
      <c r="T938">
        <v>3</v>
      </c>
      <c r="U938">
        <f t="shared" ref="U938:U940" si="61">LN(SQRT(EXP(
SQRT(
+POWER(LN(N938),2)
+POWER(LN(O938),2)
+POWER(LN(P938),2)
+POWER(LN(Q938),2)
+POWER(LN(R938),2)
+POWER(LN(S938),2)
+POWER(LN(T938),2)
)
)))</f>
        <v>0.57157051623399524</v>
      </c>
    </row>
    <row r="939" spans="1:22" hidden="1" x14ac:dyDescent="0.2">
      <c r="A939" s="45" t="str">
        <f>"hydrogen supply, transported by "&amp;B912&amp;", produced by "&amp;B916&amp;" using "&amp;B917&amp;" from "&amp;B918</f>
        <v>hydrogen supply, transported by pipeline, produced by Auto-thermal reforming, with CCS using natural gas from Switzerland</v>
      </c>
      <c r="B939" s="53">
        <f>(B937/B921)/B920*B932</f>
        <v>5.7377346134017029E-2</v>
      </c>
      <c r="C939" t="s">
        <v>56</v>
      </c>
      <c r="E939" t="s">
        <v>64</v>
      </c>
      <c r="F939" t="s">
        <v>86</v>
      </c>
      <c r="G939" t="s">
        <v>1129</v>
      </c>
      <c r="H939" t="s">
        <v>76</v>
      </c>
      <c r="I939" t="s">
        <v>1054</v>
      </c>
      <c r="J939" t="s">
        <v>308</v>
      </c>
      <c r="K939" t="str">
        <f>B898</f>
        <v>electricity, residential, by conversion of hydrogen using fuel cell, PEM, allocated by exergy, transported by pipeline, produced by Auto-thermal reforming, with CCS using natural gas from Switzerland</v>
      </c>
      <c r="L939">
        <f t="shared" si="59"/>
        <v>2</v>
      </c>
      <c r="M939">
        <f t="shared" si="60"/>
        <v>-2.8581057202127536</v>
      </c>
      <c r="N939">
        <v>1</v>
      </c>
      <c r="O939">
        <v>1.2</v>
      </c>
      <c r="P939">
        <v>1</v>
      </c>
      <c r="Q939">
        <v>1.01</v>
      </c>
      <c r="R939">
        <v>1.2</v>
      </c>
      <c r="S939">
        <v>1.2</v>
      </c>
      <c r="T939">
        <v>1.05</v>
      </c>
      <c r="U939">
        <f t="shared" si="61"/>
        <v>0.15984597228197622</v>
      </c>
    </row>
    <row r="940" spans="1:22" hidden="1" x14ac:dyDescent="0.2">
      <c r="A940" t="s">
        <v>134</v>
      </c>
      <c r="B940" s="53">
        <f>B939*9</f>
        <v>0.51639611520615325</v>
      </c>
      <c r="C940" t="s">
        <v>56</v>
      </c>
      <c r="D940" t="s">
        <v>100</v>
      </c>
      <c r="F940" t="s">
        <v>99</v>
      </c>
      <c r="H940" t="s">
        <v>131</v>
      </c>
      <c r="I940" t="s">
        <v>289</v>
      </c>
      <c r="K940" t="str">
        <f>B898</f>
        <v>electricity, residential, by conversion of hydrogen using fuel cell, PEM, allocated by exergy, transported by pipeline, produced by Auto-thermal reforming, with CCS using natural gas from Switzerland</v>
      </c>
      <c r="L940">
        <f t="shared" si="59"/>
        <v>2</v>
      </c>
      <c r="M940">
        <f t="shared" si="60"/>
        <v>-0.6608811428765341</v>
      </c>
      <c r="N940">
        <v>1</v>
      </c>
      <c r="O940">
        <v>1.2</v>
      </c>
      <c r="P940">
        <v>1</v>
      </c>
      <c r="Q940">
        <v>1.01</v>
      </c>
      <c r="R940">
        <v>1.2</v>
      </c>
      <c r="S940">
        <v>1.2</v>
      </c>
      <c r="T940">
        <v>1.05</v>
      </c>
      <c r="U940">
        <f t="shared" si="61"/>
        <v>0.15984597228197622</v>
      </c>
    </row>
    <row r="941" spans="1:22" hidden="1" x14ac:dyDescent="0.2"/>
    <row r="942" spans="1:22" hidden="1" x14ac:dyDescent="0.2">
      <c r="A942" s="2" t="s">
        <v>50</v>
      </c>
      <c r="B942" s="44" t="str">
        <f>IF(B948="megajoule","heat","electricity")&amp;", residential, by "&amp;B953&amp;" of "&amp;B952&amp;" using "&amp;B954&amp;IF(B955&lt;&gt;0,", allocated by "&amp;B955,"")&amp;", transported by "&amp;B956&amp;", produced by "&amp;B960&amp;" using "&amp;B961&amp;" from "&amp;B962</f>
        <v>electricity, residential, by conversion of hydrogen using fuel cell, SOFC, allocated by exergy, transported by pipeline, produced by Auto-thermal reforming, with CCS using natural gas from Switzerland</v>
      </c>
    </row>
    <row r="943" spans="1:22" hidden="1" x14ac:dyDescent="0.2">
      <c r="A943" t="s">
        <v>51</v>
      </c>
      <c r="B943" s="45" t="str">
        <f>"This dataset represents the supply of 1 "&amp;IF(B948="megajoule","megajoule of heat","kilowatt hour of electricity")&amp;" in a residence, by "&amp;B952&amp;" "&amp;B953&amp;" in a "&amp;B954&amp;". "&amp;" The hydrogen is transported by "&amp;B956&amp;" over "&amp;B957&amp;" km from regional storage. "&amp;" The "&amp;B952&amp;" is produced by  "&amp;B960&amp;", with "&amp;B961&amp;" from "&amp;B962&amp;" as feedstock. "&amp;A964&amp;": "&amp;(B964*100)&amp;"%. "&amp;A965&amp;": "&amp;B965&amp;". "&amp;A966&amp;": "&amp;B966&amp;". "&amp;A967&amp;": "&amp;(B967*100)&amp;"%. "&amp;A968&amp;": "&amp;(B968*100)&amp;"%. "&amp;A969&amp;": "&amp;(B969*100)&amp;"%. "&amp;A970&amp;": "&amp;B970&amp;". "&amp;A971&amp;": "&amp;B971&amp;". "&amp;A972&amp;": "&amp;(B972*100)&amp;"%. "&amp;A973&amp;": "&amp;B973&amp;". "&amp;A974&amp;": "&amp;B974&amp;". "&amp;A975&amp;": "&amp;B975&amp;". "&amp;A976&amp;": "&amp;B976&amp;".  For more information, refer to: "&amp;B944</f>
        <v>This dataset represents the supply of 1 kilowatt hour of electricity in a residence, by hydrogen conversion in a fuel cell, SOFC.  The hydrogen is transported by pipeline over 500 km from regional storage.  The hydrogen is produced by  Auto-thermal reforming, with CCS,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944" spans="1:22" hidden="1" x14ac:dyDescent="0.2">
      <c r="A944" t="s">
        <v>63</v>
      </c>
      <c r="B944" s="45" t="s">
        <v>660</v>
      </c>
    </row>
    <row r="945" spans="1:2" hidden="1" x14ac:dyDescent="0.2">
      <c r="A945" t="s">
        <v>52</v>
      </c>
      <c r="B945" s="45" t="s">
        <v>64</v>
      </c>
    </row>
    <row r="946" spans="1:2" hidden="1" x14ac:dyDescent="0.2">
      <c r="A946" t="s">
        <v>48</v>
      </c>
      <c r="B946" s="45" t="s">
        <v>975</v>
      </c>
    </row>
    <row r="947" spans="1:2" hidden="1" x14ac:dyDescent="0.2">
      <c r="A947" t="s">
        <v>54</v>
      </c>
      <c r="B947" s="45" t="str">
        <f>INDEX(overview!$B$4:$R$338,MATCH(B946,overview!$A$4:$A$338,0),MATCH(A947,overview!$B$3:$R$3,0))</f>
        <v>electricity, from residential heating system</v>
      </c>
    </row>
    <row r="948" spans="1:2" hidden="1" x14ac:dyDescent="0.2">
      <c r="A948" t="s">
        <v>55</v>
      </c>
      <c r="B948" s="45" t="str">
        <f>INDEX(overview!$B$4:$R$338,MATCH(B946,overview!$A$4:$A$338,0),MATCH(A948,overview!$B$3:$R$3,0))</f>
        <v>kilowatt hour</v>
      </c>
    </row>
    <row r="949" spans="1:2" hidden="1" x14ac:dyDescent="0.2">
      <c r="A949" t="s">
        <v>0</v>
      </c>
      <c r="B949" s="45" t="str">
        <f>INDEX(overview!$B$4:$R$338,MATCH(B946,overview!$A$4:$A$338,0),MATCH(A949,overview!$B$3:$R$3,0))</f>
        <v>Switzerland</v>
      </c>
    </row>
    <row r="950" spans="1:2" hidden="1" x14ac:dyDescent="0.2">
      <c r="A950" t="s">
        <v>1</v>
      </c>
      <c r="B950" s="45">
        <f>INDEX(overview!$B$4:$R$338,MATCH(B946,overview!$A$4:$A$338,0),MATCH(A950,overview!$B$3:$R$3,0))</f>
        <v>2020</v>
      </c>
    </row>
    <row r="951" spans="1:2" hidden="1" x14ac:dyDescent="0.2">
      <c r="A951" t="s">
        <v>2</v>
      </c>
      <c r="B951" s="45" t="str">
        <f>INDEX(overview!$B$4:$R$338,MATCH(B946,overview!$A$4:$A$338,0),MATCH(A951,overview!$B$3:$R$3,0))</f>
        <v>1 kWh electricity</v>
      </c>
    </row>
    <row r="952" spans="1:2" hidden="1" x14ac:dyDescent="0.2">
      <c r="A952" t="s">
        <v>5</v>
      </c>
      <c r="B952" s="45" t="str">
        <f>INDEX(overview!$B$4:$R$338,MATCH(B946,overview!$A$4:$A$338,0),MATCH(A952,overview!$B$3:$R$3,0))</f>
        <v>hydrogen</v>
      </c>
    </row>
    <row r="953" spans="1:2" hidden="1" x14ac:dyDescent="0.2">
      <c r="A953" t="s">
        <v>3</v>
      </c>
      <c r="B953" s="45" t="str">
        <f>INDEX(overview!$B$4:$R$338,MATCH(B946,overview!$A$4:$A$338,0),MATCH(A953,overview!$B$3:$R$3,0))</f>
        <v>conversion</v>
      </c>
    </row>
    <row r="954" spans="1:2" hidden="1" x14ac:dyDescent="0.2">
      <c r="A954" t="s">
        <v>6</v>
      </c>
      <c r="B954" s="45" t="str">
        <f>INDEX(overview!$B$4:$R$338,MATCH(B946,overview!$A$4:$A$338,0),MATCH(A954,overview!$B$3:$R$3,0))</f>
        <v>fuel cell, SOFC</v>
      </c>
    </row>
    <row r="955" spans="1:2" hidden="1" x14ac:dyDescent="0.2">
      <c r="A955" t="s">
        <v>39</v>
      </c>
      <c r="B955" s="45" t="str">
        <f>INDEX(overview!$B$4:$R$338,MATCH(B946,overview!$A$4:$A$338,0),MATCH(A955,overview!$B$3:$R$3,0))</f>
        <v>exergy</v>
      </c>
    </row>
    <row r="956" spans="1:2" hidden="1" x14ac:dyDescent="0.2">
      <c r="A956" t="s">
        <v>4</v>
      </c>
      <c r="B956" s="45" t="str">
        <f>INDEX(overview!$B$4:$R$338,MATCH(B946,overview!$A$4:$A$338,0),MATCH(A956,overview!$B$3:$R$3,0))</f>
        <v>pipeline</v>
      </c>
    </row>
    <row r="957" spans="1:2" hidden="1" x14ac:dyDescent="0.2">
      <c r="A957" t="s">
        <v>38</v>
      </c>
      <c r="B957" s="45">
        <f>INDEX(overview!$B$4:$R$338,MATCH(B946,overview!$A$4:$A$338,0),MATCH(A957,overview!$B$3:$R$3,0))</f>
        <v>500</v>
      </c>
    </row>
    <row r="958" spans="1:2" hidden="1" x14ac:dyDescent="0.2">
      <c r="A958" t="s">
        <v>12</v>
      </c>
      <c r="B958" s="45" t="str">
        <f>INDEX(overview!$B$4:$R$338,MATCH(B946,overview!$A$4:$A$338,0),MATCH(A958,overview!$B$3:$R$3,0))</f>
        <v>Pressure vessel for stationary storage</v>
      </c>
    </row>
    <row r="959" spans="1:2" hidden="1" x14ac:dyDescent="0.2">
      <c r="A959" t="s">
        <v>34</v>
      </c>
      <c r="B959" s="45">
        <f>INDEX(overview!$B$4:$R$338,MATCH(B946,overview!$A$4:$A$338,0),MATCH(A959,overview!$B$3:$R$3,0))</f>
        <v>0</v>
      </c>
    </row>
    <row r="960" spans="1:2" hidden="1" x14ac:dyDescent="0.2">
      <c r="A960" t="s">
        <v>15</v>
      </c>
      <c r="B960" s="45" t="str">
        <f>INDEX(overview!$B$4:$R$338,MATCH(B946,overview!$A$4:$A$338,0),MATCH(A960,overview!$B$3:$R$3,0))</f>
        <v>Auto-thermal reforming, with CCS</v>
      </c>
    </row>
    <row r="961" spans="1:4" hidden="1" x14ac:dyDescent="0.2">
      <c r="A961" t="s">
        <v>14</v>
      </c>
      <c r="B961" s="45" t="str">
        <f>INDEX(overview!$B$4:$R$338,MATCH(B946,overview!$A$4:$A$338,0),MATCH(A961,overview!$B$3:$R$3,0))</f>
        <v>natural gas</v>
      </c>
    </row>
    <row r="962" spans="1:4" hidden="1" x14ac:dyDescent="0.2">
      <c r="A962" t="s">
        <v>26</v>
      </c>
      <c r="B962" s="45" t="str">
        <f>INDEX(overview!$B$4:$R$338,MATCH(B946,overview!$A$4:$A$338,0),MATCH(A962,overview!$B$3:$R$3,0))</f>
        <v>Switzerland</v>
      </c>
    </row>
    <row r="963" spans="1:4" hidden="1" x14ac:dyDescent="0.2">
      <c r="A963" t="s">
        <v>29</v>
      </c>
      <c r="B963" s="45">
        <f>INDEX(overview!$B$4:$R$338,MATCH(B946,overview!$A$4:$A$338,0),MATCH(A963,overview!$B$3:$R$3,0))</f>
        <v>0</v>
      </c>
    </row>
    <row r="964" spans="1:4" hidden="1" x14ac:dyDescent="0.2">
      <c r="A964" t="str">
        <f>IF(B948="megajoule","Heat","Electricity")&amp;" conversion efficiency [% LHV input]"</f>
        <v>Electricity conversion efficiency [% LHV input]</v>
      </c>
      <c r="B964" s="46">
        <f>INDEX(parameters!$D$4:$N$20,MATCH(B952&amp;B954,parameters!$A$4:$A$20,0),MATCH(A964,parameters!$D$3:$N$3,0))</f>
        <v>0.47</v>
      </c>
    </row>
    <row r="965" spans="1:4" hidden="1" x14ac:dyDescent="0.2">
      <c r="A965" t="str">
        <f>IF(B948="megajoule","LHV [MJ/kg]","LHV [kWh/kg]")</f>
        <v>LHV [kWh/kg]</v>
      </c>
      <c r="B965" s="47">
        <f>INDEX(parameters!$D$4:$N$20,MATCH(B952&amp;B954,parameters!$A$4:$A$20,0),MATCH(A965,parameters!$D$3:$N$3,0))</f>
        <v>33.333333333333336</v>
      </c>
    </row>
    <row r="966" spans="1:4" hidden="1" x14ac:dyDescent="0.2">
      <c r="A966" t="s">
        <v>41</v>
      </c>
      <c r="B966" s="48">
        <f>INDEX(parameters!$D$4:$N$20,MATCH(B952&amp;B954,parameters!$A$4:$A$20,0),MATCH(A966,parameters!$D$3:$N$3,0))</f>
        <v>2.6666666666666665E-2</v>
      </c>
    </row>
    <row r="967" spans="1:4" hidden="1" x14ac:dyDescent="0.2">
      <c r="A967" t="s">
        <v>45</v>
      </c>
      <c r="B967" s="46">
        <f>INDEX(parameters!$D$4:$N$20,MATCH(B952&amp;B954,parameters!$A$4:$A$20,0),MATCH(A967,parameters!$D$3:$N$3,0))</f>
        <v>0</v>
      </c>
    </row>
    <row r="968" spans="1:4" hidden="1" x14ac:dyDescent="0.2">
      <c r="A968" t="s">
        <v>46</v>
      </c>
      <c r="B968" s="46">
        <f>INDEX(parameters!$D$4:$N$20,MATCH(B952&amp;B954,parameters!$A$4:$A$20,0),MATCH(A968,parameters!$D$3:$N$3,0))</f>
        <v>1.4999999999999999E-2</v>
      </c>
    </row>
    <row r="969" spans="1:4" hidden="1" x14ac:dyDescent="0.2">
      <c r="A969" t="s">
        <v>43</v>
      </c>
      <c r="B969" s="46">
        <f>INDEX(parameters!$D$4:$N$20,MATCH(B952&amp;B954,parameters!$A$4:$A$20,0),MATCH(A969,parameters!$D$3:$N$3,0))</f>
        <v>0</v>
      </c>
    </row>
    <row r="970" spans="1:4" hidden="1" x14ac:dyDescent="0.2">
      <c r="A970" t="s">
        <v>44</v>
      </c>
      <c r="B970" s="46">
        <f>INDEX(parameters!$D$4:$N$20,MATCH(B952&amp;B954,parameters!$A$4:$A$20,0),MATCH(A970,parameters!$D$3:$N$3,0))</f>
        <v>0</v>
      </c>
    </row>
    <row r="971" spans="1:4" hidden="1" x14ac:dyDescent="0.2">
      <c r="A971" t="s">
        <v>634</v>
      </c>
      <c r="B971" s="47">
        <f>INDEX(parameters!$D$4:$Y$20,MATCH(B952&amp;B954,parameters!$A$4:$A$20,0),MATCH(A971,parameters!$D$3:$Y$3,0))</f>
        <v>225</v>
      </c>
      <c r="D971" s="8"/>
    </row>
    <row r="972" spans="1:4" hidden="1" x14ac:dyDescent="0.2">
      <c r="A972" t="s">
        <v>82</v>
      </c>
      <c r="B972" s="46">
        <f>IF(B963&lt;&gt;0,VLOOKUP(B963,parameters!A766:B768,2,0),0)</f>
        <v>0</v>
      </c>
    </row>
    <row r="973" spans="1:4" hidden="1" x14ac:dyDescent="0.2">
      <c r="A973" t="s">
        <v>548</v>
      </c>
      <c r="B973" s="50">
        <f>INDEX(parameters!$D$4:$P$20,MATCH(B952&amp;B954,parameters!$A$4:$A$20,0),MATCH(A973,parameters!$D$3:$P$3,0))</f>
        <v>100</v>
      </c>
    </row>
    <row r="974" spans="1:4" hidden="1" x14ac:dyDescent="0.2">
      <c r="A974" t="s">
        <v>547</v>
      </c>
      <c r="B974" s="51">
        <f>INDEX(parameters!$D$4:$P$20,MATCH(B952&amp;B954,parameters!$A$4:$A$20,0),MATCH(A974,parameters!$D$3:$P$3,0))</f>
        <v>6</v>
      </c>
    </row>
    <row r="975" spans="1:4" hidden="1" x14ac:dyDescent="0.2">
      <c r="A975" t="s">
        <v>630</v>
      </c>
      <c r="B975" s="51">
        <f>INDEX(parameters!$D$4:$T$20,MATCH(B952&amp;B954,parameters!$A$4:$A$20,0),MATCH(A975,parameters!$D$3:$T$3,0))</f>
        <v>4100</v>
      </c>
    </row>
    <row r="976" spans="1:4" hidden="1" x14ac:dyDescent="0.2">
      <c r="A976" t="s">
        <v>1005</v>
      </c>
      <c r="B976" s="50">
        <f>IF(B948="megajoule",SUMIFS(allocation!$I$4:$I$30,allocation!$B$4:$B$30,B954,allocation!$C$4:$C$30,B955),SUMIFS(allocation!$J$4:$J$30,allocation!$B$4:$B$30,B954,allocation!$C$4:$C$30,B955))</f>
        <v>0.86412493489600906</v>
      </c>
    </row>
    <row r="977" spans="1:22" hidden="1" x14ac:dyDescent="0.2">
      <c r="A977" t="s">
        <v>1050</v>
      </c>
      <c r="B977" s="51">
        <f>INDEX(parameters!$D$4:$AB$20,MATCH(B952&amp;B954,parameters!$A$4:$A$20,0),MATCH(A977,parameters!$D$3:$AB$3,0))</f>
        <v>1153.1249999999998</v>
      </c>
    </row>
    <row r="978" spans="1:22" hidden="1" x14ac:dyDescent="0.2"/>
    <row r="979" spans="1:22" hidden="1" x14ac:dyDescent="0.2">
      <c r="A979" s="3" t="s">
        <v>57</v>
      </c>
    </row>
    <row r="980" spans="1:22" hidden="1" x14ac:dyDescent="0.2">
      <c r="A980" s="2" t="s">
        <v>58</v>
      </c>
      <c r="B980" s="44" t="s">
        <v>59</v>
      </c>
      <c r="C980" s="2" t="s">
        <v>55</v>
      </c>
      <c r="D980" s="2" t="s">
        <v>60</v>
      </c>
      <c r="E980" s="2" t="s">
        <v>52</v>
      </c>
      <c r="F980" s="2" t="s">
        <v>61</v>
      </c>
      <c r="G980" s="2" t="s">
        <v>54</v>
      </c>
      <c r="H980" s="2" t="s">
        <v>87</v>
      </c>
      <c r="I980" s="2" t="s">
        <v>51</v>
      </c>
      <c r="J980" s="2" t="s">
        <v>138</v>
      </c>
      <c r="K980" s="2" t="s">
        <v>136</v>
      </c>
      <c r="L980" s="2" t="s">
        <v>221</v>
      </c>
      <c r="M980" s="2" t="s">
        <v>379</v>
      </c>
      <c r="N980" s="2" t="s">
        <v>1059</v>
      </c>
      <c r="O980" s="2" t="s">
        <v>1060</v>
      </c>
      <c r="P980" s="2" t="s">
        <v>1061</v>
      </c>
      <c r="Q980" s="2" t="s">
        <v>1062</v>
      </c>
      <c r="R980" s="2" t="s">
        <v>1063</v>
      </c>
      <c r="S980" s="2" t="s">
        <v>1064</v>
      </c>
      <c r="T980" s="2" t="s">
        <v>1065</v>
      </c>
      <c r="U980" s="2" t="s">
        <v>380</v>
      </c>
      <c r="V980" s="2" t="s">
        <v>1128</v>
      </c>
    </row>
    <row r="981" spans="1:22" x14ac:dyDescent="0.2">
      <c r="A981" t="str">
        <f>B942</f>
        <v>electricity, residential, by conversion of hydrogen using fuel cell, SOFC, allocated by exergy, transported by pipeline, produced by Auto-thermal reforming, with CCS using natural gas from Switzerland</v>
      </c>
      <c r="B981" s="45">
        <v>1</v>
      </c>
      <c r="C981" t="str">
        <f>B948</f>
        <v>kilowatt hour</v>
      </c>
      <c r="E981" t="str">
        <f>B945</f>
        <v>CH</v>
      </c>
      <c r="F981" t="s">
        <v>62</v>
      </c>
      <c r="G981" t="str">
        <f>B947</f>
        <v>electricity, from residential heating system</v>
      </c>
      <c r="K981" t="str">
        <f>B942</f>
        <v>electricity, residential, by conversion of hydrogen using fuel cell, SOFC, allocated by exergy, transported by pipeline, produced by Auto-thermal reforming, with CCS using natural gas from Switzerland</v>
      </c>
    </row>
    <row r="982" spans="1:22" hidden="1" x14ac:dyDescent="0.2">
      <c r="A982" t="str">
        <f>VLOOKUP(J982,'dataset mapping'!$A$4:$E$69,2,0)</f>
        <v>fuel cell production, stack solid oxide, 125kW electrical, future</v>
      </c>
      <c r="B982" s="52">
        <f>1/(62*1000000)/B964*SUMIFS(allocation!$I$4:$I$30,allocation!$B$4:$B$30,B954,allocation!$C$4:$C$30,B955)</f>
        <v>4.6628368258061427E-9</v>
      </c>
      <c r="C982" t="str">
        <f>VLOOKUP(J982,'dataset mapping'!$A$4:$E$69,5,0)</f>
        <v>unit</v>
      </c>
      <c r="E982" t="str">
        <f>VLOOKUP(J982,'dataset mapping'!$A$4:$E$69,4,0)</f>
        <v>CH</v>
      </c>
      <c r="F982" t="s">
        <v>86</v>
      </c>
      <c r="G982" t="str">
        <f>VLOOKUP(J982,'dataset mapping'!$A$4:$E$69,3,0)</f>
        <v>fuel cell, stack solid oxide, 125kW electrical, future</v>
      </c>
      <c r="H982" t="s">
        <v>88</v>
      </c>
      <c r="I982" t="s">
        <v>277</v>
      </c>
      <c r="J982" t="s">
        <v>274</v>
      </c>
      <c r="K982" t="str">
        <f>B942</f>
        <v>electricity, residential, by conversion of hydrogen using fuel cell, SOFC, allocated by exergy, transported by pipeline, produced by Auto-thermal reforming, with CCS using natural gas from Switzerland</v>
      </c>
      <c r="L982">
        <f t="shared" ref="L982:L987" si="62">IF(OR(B982&lt;0,B982=0),1,2)</f>
        <v>2</v>
      </c>
      <c r="M982">
        <f t="shared" ref="M982:M987" si="63">IF(L982=2,LN(B982),"")</f>
        <v>-19.183641813126002</v>
      </c>
      <c r="N982">
        <v>1</v>
      </c>
      <c r="O982">
        <v>1.2</v>
      </c>
      <c r="P982">
        <v>1</v>
      </c>
      <c r="Q982">
        <v>1.01</v>
      </c>
      <c r="R982">
        <v>1.2</v>
      </c>
      <c r="S982">
        <v>1.2</v>
      </c>
      <c r="T982">
        <v>3</v>
      </c>
      <c r="U982">
        <f t="shared" ref="U982:U987" si="64">LN(SQRT(EXP(
SQRT(
+POWER(LN(N982),2)
+POWER(LN(O982),2)
+POWER(LN(P982),2)
+POWER(LN(Q982),2)
+POWER(LN(R982),2)
+POWER(LN(S982),2)
+POWER(LN(T982),2)
)
)))</f>
        <v>0.57157051623399524</v>
      </c>
    </row>
    <row r="983" spans="1:22" hidden="1" x14ac:dyDescent="0.2">
      <c r="A983" t="s">
        <v>283</v>
      </c>
      <c r="B983" s="52">
        <f>0.000000145/B964*SUMIFS(allocation!$I$4:$I$30,allocation!$B$4:$B$30,B954,allocation!$C$4:$C$30,B955)</f>
        <v>4.1918903063997216E-8</v>
      </c>
      <c r="C983" t="s">
        <v>55</v>
      </c>
      <c r="E983" t="s">
        <v>64</v>
      </c>
      <c r="F983" t="s">
        <v>86</v>
      </c>
      <c r="G983" t="s">
        <v>284</v>
      </c>
      <c r="H983" t="s">
        <v>88</v>
      </c>
      <c r="I983" t="s">
        <v>277</v>
      </c>
      <c r="K983" t="str">
        <f>B942</f>
        <v>electricity, residential, by conversion of hydrogen using fuel cell, SOFC, allocated by exergy, transported by pipeline, produced by Auto-thermal reforming, with CCS using natural gas from Switzerland</v>
      </c>
      <c r="L983">
        <f t="shared" si="62"/>
        <v>2</v>
      </c>
      <c r="M983">
        <f t="shared" si="63"/>
        <v>-16.987528964642475</v>
      </c>
      <c r="N983">
        <v>1</v>
      </c>
      <c r="O983">
        <v>1.2</v>
      </c>
      <c r="P983">
        <v>1</v>
      </c>
      <c r="Q983">
        <v>1.01</v>
      </c>
      <c r="R983">
        <v>1.2</v>
      </c>
      <c r="S983">
        <v>1.2</v>
      </c>
      <c r="T983">
        <v>3</v>
      </c>
      <c r="U983">
        <f t="shared" si="64"/>
        <v>0.57157051623399524</v>
      </c>
    </row>
    <row r="984" spans="1:22" hidden="1" x14ac:dyDescent="0.2">
      <c r="A984" t="s">
        <v>285</v>
      </c>
      <c r="B984" s="52">
        <f>0.0000000115/B964*SUMIFS(allocation!$I$4:$I$30,allocation!$B$4:$B$30,B954,allocation!$C$4:$C$30,B955)</f>
        <v>3.3246026567997794E-9</v>
      </c>
      <c r="C984" t="s">
        <v>55</v>
      </c>
      <c r="E984" t="s">
        <v>90</v>
      </c>
      <c r="F984" t="s">
        <v>86</v>
      </c>
      <c r="G984" t="s">
        <v>286</v>
      </c>
      <c r="H984" t="s">
        <v>88</v>
      </c>
      <c r="K984" t="str">
        <f>B942</f>
        <v>electricity, residential, by conversion of hydrogen using fuel cell, SOFC, allocated by exergy, transported by pipeline, produced by Auto-thermal reforming, with CCS using natural gas from Switzerland</v>
      </c>
      <c r="L984">
        <f t="shared" si="62"/>
        <v>2</v>
      </c>
      <c r="M984">
        <f t="shared" si="63"/>
        <v>-19.521915671693844</v>
      </c>
      <c r="N984">
        <v>1</v>
      </c>
      <c r="O984">
        <v>1.2</v>
      </c>
      <c r="P984">
        <v>1</v>
      </c>
      <c r="Q984">
        <v>1.01</v>
      </c>
      <c r="R984">
        <v>1.2</v>
      </c>
      <c r="S984">
        <v>1.2</v>
      </c>
      <c r="T984">
        <v>3</v>
      </c>
      <c r="U984">
        <f t="shared" si="64"/>
        <v>0.57157051623399524</v>
      </c>
    </row>
    <row r="985" spans="1:22" hidden="1" x14ac:dyDescent="0.2">
      <c r="A985" t="s">
        <v>288</v>
      </c>
      <c r="B985" s="52">
        <f>0.000024/B964*SUMIFS(allocation!$I$4:$I$30,allocation!$B$4:$B$30,B954,allocation!$C$4:$C$30,B955)</f>
        <v>6.9383011967995388E-6</v>
      </c>
      <c r="C985" t="s">
        <v>56</v>
      </c>
      <c r="E985" t="s">
        <v>64</v>
      </c>
      <c r="F985" t="s">
        <v>86</v>
      </c>
      <c r="G985" t="s">
        <v>287</v>
      </c>
      <c r="H985" t="s">
        <v>88</v>
      </c>
      <c r="K985" t="str">
        <f>B942</f>
        <v>electricity, residential, by conversion of hydrogen using fuel cell, SOFC, allocated by exergy, transported by pipeline, produced by Auto-thermal reforming, with CCS using natural gas from Switzerland</v>
      </c>
      <c r="L985">
        <f t="shared" si="62"/>
        <v>2</v>
      </c>
      <c r="M985">
        <f t="shared" si="63"/>
        <v>-11.878453597732966</v>
      </c>
      <c r="N985">
        <v>1</v>
      </c>
      <c r="O985">
        <v>1.2</v>
      </c>
      <c r="P985">
        <v>1</v>
      </c>
      <c r="Q985">
        <v>1.01</v>
      </c>
      <c r="R985">
        <v>1.2</v>
      </c>
      <c r="S985">
        <v>1.2</v>
      </c>
      <c r="T985">
        <v>1.05</v>
      </c>
      <c r="U985">
        <f t="shared" si="64"/>
        <v>0.15984597228197622</v>
      </c>
    </row>
    <row r="986" spans="1:22" hidden="1" x14ac:dyDescent="0.2">
      <c r="A986" s="45" t="str">
        <f>"hydrogen supply, transported by "&amp;B956&amp;", produced by "&amp;B960&amp;" using "&amp;B961&amp;" from "&amp;B962</f>
        <v>hydrogen supply, transported by pipeline, produced by Auto-thermal reforming, with CCS using natural gas from Switzerland</v>
      </c>
      <c r="B986" s="53">
        <f>(B981/B965)/B964*B976</f>
        <v>5.515691073804313E-2</v>
      </c>
      <c r="C986" t="s">
        <v>56</v>
      </c>
      <c r="E986" t="s">
        <v>64</v>
      </c>
      <c r="F986" t="s">
        <v>86</v>
      </c>
      <c r="G986" t="s">
        <v>1129</v>
      </c>
      <c r="H986" t="s">
        <v>76</v>
      </c>
      <c r="I986" t="s">
        <v>1054</v>
      </c>
      <c r="J986" t="s">
        <v>308</v>
      </c>
      <c r="K986" t="str">
        <f>B942</f>
        <v>electricity, residential, by conversion of hydrogen using fuel cell, SOFC, allocated by exergy, transported by pipeline, produced by Auto-thermal reforming, with CCS using natural gas from Switzerland</v>
      </c>
      <c r="L986">
        <f t="shared" si="62"/>
        <v>2</v>
      </c>
      <c r="M986">
        <f t="shared" si="63"/>
        <v>-2.8975732330996009</v>
      </c>
      <c r="N986">
        <v>1</v>
      </c>
      <c r="O986">
        <v>1.2</v>
      </c>
      <c r="P986">
        <v>1</v>
      </c>
      <c r="Q986">
        <v>1.01</v>
      </c>
      <c r="R986">
        <v>1.2</v>
      </c>
      <c r="S986">
        <v>1.2</v>
      </c>
      <c r="T986">
        <v>1.05</v>
      </c>
      <c r="U986">
        <f t="shared" si="64"/>
        <v>0.15984597228197622</v>
      </c>
    </row>
    <row r="987" spans="1:22" hidden="1" x14ac:dyDescent="0.2">
      <c r="A987" t="s">
        <v>134</v>
      </c>
      <c r="B987" s="45">
        <f>B986*9</f>
        <v>0.49641219664238817</v>
      </c>
      <c r="C987" t="s">
        <v>56</v>
      </c>
      <c r="D987" t="s">
        <v>100</v>
      </c>
      <c r="F987" t="s">
        <v>99</v>
      </c>
      <c r="H987" t="s">
        <v>131</v>
      </c>
      <c r="I987" t="s">
        <v>289</v>
      </c>
      <c r="K987" t="str">
        <f>B942</f>
        <v>electricity, residential, by conversion of hydrogen using fuel cell, SOFC, allocated by exergy, transported by pipeline, produced by Auto-thermal reforming, with CCS using natural gas from Switzerland</v>
      </c>
      <c r="L987">
        <f t="shared" si="62"/>
        <v>2</v>
      </c>
      <c r="M987">
        <f t="shared" si="63"/>
        <v>-0.70034865576338168</v>
      </c>
      <c r="N987">
        <v>1</v>
      </c>
      <c r="O987">
        <v>1.2</v>
      </c>
      <c r="P987">
        <v>1</v>
      </c>
      <c r="Q987">
        <v>1.01</v>
      </c>
      <c r="R987">
        <v>1.2</v>
      </c>
      <c r="S987">
        <v>1.2</v>
      </c>
      <c r="T987">
        <v>1.05</v>
      </c>
      <c r="U987">
        <f t="shared" si="64"/>
        <v>0.15984597228197622</v>
      </c>
    </row>
    <row r="988" spans="1:22" hidden="1" x14ac:dyDescent="0.2"/>
    <row r="989" spans="1:22" hidden="1" x14ac:dyDescent="0.2">
      <c r="A989" s="2" t="s">
        <v>50</v>
      </c>
      <c r="B989" s="44" t="str">
        <f>IF(B995="megajoule","heat","electricity")&amp;", residential, by "&amp;B1000&amp;" of "&amp;B999&amp;" using "&amp;B1001&amp;IF(B1002&lt;&gt;0,", allocated by "&amp;B1002,"")&amp;", transported by "&amp;B1003&amp;", produced by "&amp;B1007&amp;" using "&amp;B1008&amp;" from "&amp;B1009</f>
        <v>heat, residential, by combustion of hydrogen using boiler, transported by truck, produced by Auto-thermal reforming, with CCS using natural gas from Switzerland</v>
      </c>
    </row>
    <row r="990" spans="1:22" hidden="1" x14ac:dyDescent="0.2">
      <c r="A990" t="s">
        <v>51</v>
      </c>
      <c r="B990" s="45" t="e">
        <f>"This dataset represents the supply of 1 "&amp;IF(B995="megajoule","megajoule of heat","kilowatt hour of electricity")&amp;" in a residence, by "&amp;B999&amp;" "&amp;B1000/3*40&amp;": "&amp;B1021&amp;". "&amp;A1022&amp;": "&amp;B1022&amp;". "&amp;A1023&amp;": "&amp;B1023&amp;".  For more information, refer to: "&amp;B991</f>
        <v>#VALUE!</v>
      </c>
    </row>
    <row r="991" spans="1:22" hidden="1" x14ac:dyDescent="0.2">
      <c r="A991" t="s">
        <v>63</v>
      </c>
      <c r="B991" s="45" t="s">
        <v>660</v>
      </c>
    </row>
    <row r="992" spans="1:22" hidden="1" x14ac:dyDescent="0.2">
      <c r="A992" t="s">
        <v>52</v>
      </c>
      <c r="B992" s="45" t="s">
        <v>64</v>
      </c>
    </row>
    <row r="993" spans="1:2" hidden="1" x14ac:dyDescent="0.2">
      <c r="A993" t="s">
        <v>48</v>
      </c>
      <c r="B993" s="45">
        <v>149</v>
      </c>
    </row>
    <row r="994" spans="1:2" hidden="1" x14ac:dyDescent="0.2">
      <c r="A994" t="s">
        <v>54</v>
      </c>
      <c r="B994" s="45" t="str">
        <f>INDEX(overview!$B$4:$R$338,MATCH(B993,overview!$A$4:$A$338,0),MATCH(A994,overview!$B$3:$R$3,0))</f>
        <v>heat, from residential heating system</v>
      </c>
    </row>
    <row r="995" spans="1:2" hidden="1" x14ac:dyDescent="0.2">
      <c r="A995" t="s">
        <v>55</v>
      </c>
      <c r="B995" s="45" t="str">
        <f>INDEX(overview!$B$4:$R$338,MATCH(B993,overview!$A$4:$A$338,0),MATCH(A995,overview!$B$3:$R$3,0))</f>
        <v>megajoule</v>
      </c>
    </row>
    <row r="996" spans="1:2" hidden="1" x14ac:dyDescent="0.2">
      <c r="A996" t="s">
        <v>0</v>
      </c>
      <c r="B996" s="45" t="str">
        <f>INDEX(overview!$B$4:$R$338,MATCH(B993,overview!$A$4:$A$338,0),MATCH(A996,overview!$B$3:$R$3,0))</f>
        <v>Switzerland</v>
      </c>
    </row>
    <row r="997" spans="1:2" hidden="1" x14ac:dyDescent="0.2">
      <c r="A997" t="s">
        <v>1</v>
      </c>
      <c r="B997" s="45">
        <f>INDEX(overview!$B$4:$R$338,MATCH(B993,overview!$A$4:$A$338,0),MATCH(A997,overview!$B$3:$R$3,0))</f>
        <v>2020</v>
      </c>
    </row>
    <row r="998" spans="1:2" hidden="1" x14ac:dyDescent="0.2">
      <c r="A998" t="s">
        <v>2</v>
      </c>
      <c r="B998" s="45" t="str">
        <f>INDEX(overview!$B$4:$R$338,MATCH(B993,overview!$A$4:$A$338,0),MATCH(A998,overview!$B$3:$R$3,0))</f>
        <v>1 MJ heat</v>
      </c>
    </row>
    <row r="999" spans="1:2" hidden="1" x14ac:dyDescent="0.2">
      <c r="A999" t="s">
        <v>5</v>
      </c>
      <c r="B999" s="45" t="str">
        <f>INDEX(overview!$B$4:$R$338,MATCH(B993,overview!$A$4:$A$338,0),MATCH(A999,overview!$B$3:$R$3,0))</f>
        <v>hydrogen</v>
      </c>
    </row>
    <row r="1000" spans="1:2" hidden="1" x14ac:dyDescent="0.2">
      <c r="A1000" t="s">
        <v>3</v>
      </c>
      <c r="B1000" s="45" t="str">
        <f>INDEX(overview!$B$4:$R$338,MATCH(B993,overview!$A$4:$A$338,0),MATCH(A1000,overview!$B$3:$R$3,0))</f>
        <v>combustion</v>
      </c>
    </row>
    <row r="1001" spans="1:2" hidden="1" x14ac:dyDescent="0.2">
      <c r="A1001" t="s">
        <v>6</v>
      </c>
      <c r="B1001" s="45" t="str">
        <f>INDEX(overview!$B$4:$R$338,MATCH(B993,overview!$A$4:$A$338,0),MATCH(A1001,overview!$B$3:$R$3,0))</f>
        <v>boiler</v>
      </c>
    </row>
    <row r="1002" spans="1:2" hidden="1" x14ac:dyDescent="0.2">
      <c r="A1002" t="s">
        <v>39</v>
      </c>
      <c r="B1002" s="45">
        <f>INDEX(overview!$B$4:$R$338,MATCH(B993,overview!$A$4:$A$338,0),MATCH(A1002,overview!$B$3:$R$3,0))</f>
        <v>0</v>
      </c>
    </row>
    <row r="1003" spans="1:2" hidden="1" x14ac:dyDescent="0.2">
      <c r="A1003" t="s">
        <v>4</v>
      </c>
      <c r="B1003" s="45" t="str">
        <f>INDEX(overview!$B$4:$R$338,MATCH(B993,overview!$A$4:$A$338,0),MATCH(A1003,overview!$B$3:$R$3,0))</f>
        <v>truck</v>
      </c>
    </row>
    <row r="1004" spans="1:2" hidden="1" x14ac:dyDescent="0.2">
      <c r="A1004" t="s">
        <v>38</v>
      </c>
      <c r="B1004" s="45">
        <f>INDEX(overview!$B$4:$R$338,MATCH(B993,overview!$A$4:$A$338,0),MATCH(A1004,overview!$B$3:$R$3,0))</f>
        <v>200</v>
      </c>
    </row>
    <row r="1005" spans="1:2" hidden="1" x14ac:dyDescent="0.2">
      <c r="A1005" t="s">
        <v>12</v>
      </c>
      <c r="B1005" s="45" t="str">
        <f>INDEX(overview!$B$4:$R$338,MATCH(B993,overview!$A$4:$A$338,0),MATCH(A1005,overview!$B$3:$R$3,0))</f>
        <v>Pressure vessel for stationary storage</v>
      </c>
    </row>
    <row r="1006" spans="1:2" hidden="1" x14ac:dyDescent="0.2">
      <c r="A1006" t="s">
        <v>34</v>
      </c>
      <c r="B1006" s="45">
        <f>INDEX(overview!$B$4:$R$338,MATCH(B993,overview!$A$4:$A$338,0),MATCH(A1006,overview!$B$3:$R$3,0))</f>
        <v>0</v>
      </c>
    </row>
    <row r="1007" spans="1:2" hidden="1" x14ac:dyDescent="0.2">
      <c r="A1007" t="s">
        <v>15</v>
      </c>
      <c r="B1007" s="45" t="str">
        <f>INDEX(overview!$B$4:$R$338,MATCH(B993,overview!$A$4:$A$338,0),MATCH(A1007,overview!$B$3:$R$3,0))</f>
        <v>Auto-thermal reforming, with CCS</v>
      </c>
    </row>
    <row r="1008" spans="1:2" hidden="1" x14ac:dyDescent="0.2">
      <c r="A1008" t="s">
        <v>14</v>
      </c>
      <c r="B1008" s="45" t="str">
        <f>INDEX(overview!$B$4:$R$338,MATCH(B993,overview!$A$4:$A$338,0),MATCH(A1008,overview!$B$3:$R$3,0))</f>
        <v>natural gas</v>
      </c>
    </row>
    <row r="1009" spans="1:2" hidden="1" x14ac:dyDescent="0.2">
      <c r="A1009" t="s">
        <v>26</v>
      </c>
      <c r="B1009" s="45" t="str">
        <f>INDEX(overview!$B$4:$R$338,MATCH(B993,overview!$A$4:$A$338,0),MATCH(A1009,overview!$B$3:$R$3,0))</f>
        <v>Switzerland</v>
      </c>
    </row>
    <row r="1010" spans="1:2" hidden="1" x14ac:dyDescent="0.2">
      <c r="A1010" t="s">
        <v>29</v>
      </c>
      <c r="B1010" s="45">
        <f>INDEX(overview!$B$4:$R$338,MATCH(B993,overview!$A$4:$A$338,0),MATCH(A1010,overview!$B$3:$R$3,0))</f>
        <v>0</v>
      </c>
    </row>
    <row r="1011" spans="1:2" hidden="1" x14ac:dyDescent="0.2">
      <c r="A1011" t="str">
        <f>IF(B995="megajoule","Heat","Electricity")&amp;" conversion efficiency [% LHV input]"</f>
        <v>Heat conversion efficiency [% LHV input]</v>
      </c>
      <c r="B1011" s="46">
        <f>INDEX(parameters!$D$4:$N$20,MATCH(B999&amp;B1001,parameters!$A$4:$A$20,0),MATCH(A1011,parameters!$D$3:$N$3,0))</f>
        <v>0.94</v>
      </c>
    </row>
    <row r="1012" spans="1:2" hidden="1" x14ac:dyDescent="0.2">
      <c r="A1012" t="str">
        <f>IF(B995="megajoule","LHV [MJ/kg]","LHV [kWh/kg]")</f>
        <v>LHV [MJ/kg]</v>
      </c>
      <c r="B1012" s="47">
        <f>INDEX(parameters!$D$4:$N$20,MATCH(B999&amp;B1001,parameters!$A$4:$A$20,0),MATCH(A1012,parameters!$D$3:$N$3,0))</f>
        <v>120</v>
      </c>
    </row>
    <row r="1013" spans="1:2" hidden="1" x14ac:dyDescent="0.2">
      <c r="A1013" t="s">
        <v>41</v>
      </c>
      <c r="B1013" s="48">
        <f>INDEX(parameters!$D$4:$N$20,MATCH(B999&amp;B1001,parameters!$A$4:$A$20,0),MATCH(A1013,parameters!$D$3:$N$3,0))</f>
        <v>2.6666666666666665E-2</v>
      </c>
    </row>
    <row r="1014" spans="1:2" hidden="1" x14ac:dyDescent="0.2">
      <c r="A1014" t="s">
        <v>45</v>
      </c>
      <c r="B1014" s="49">
        <f>INDEX(parameters!$D$4:$N$20,MATCH(B999&amp;B1001,parameters!$A$4:$A$20,0),MATCH(A1014,parameters!$D$3:$N$3,0))</f>
        <v>0</v>
      </c>
    </row>
    <row r="1015" spans="1:2" hidden="1" x14ac:dyDescent="0.2">
      <c r="A1015" t="s">
        <v>46</v>
      </c>
      <c r="B1015" s="49">
        <f>INDEX(parameters!$D$4:$N$20,MATCH(B999&amp;B1001,parameters!$A$4:$A$20,0),MATCH(A1015,parameters!$D$3:$N$3,0))</f>
        <v>1.4999999999999999E-2</v>
      </c>
    </row>
    <row r="1016" spans="1:2" hidden="1" x14ac:dyDescent="0.2">
      <c r="A1016" t="s">
        <v>43</v>
      </c>
      <c r="B1016" s="49">
        <f>INDEX(parameters!$D$4:$N$20,MATCH(B999&amp;B1001,parameters!$A$4:$A$20,0),MATCH(A1016,parameters!$D$3:$N$3,0))</f>
        <v>0</v>
      </c>
    </row>
    <row r="1017" spans="1:2" hidden="1" x14ac:dyDescent="0.2">
      <c r="A1017" t="s">
        <v>44</v>
      </c>
      <c r="B1017" s="49">
        <f>INDEX(parameters!$D$4:$N$20,MATCH(B999&amp;B1001,parameters!$A$4:$A$20,0),MATCH(A1017,parameters!$D$3:$N$3,0))</f>
        <v>0</v>
      </c>
    </row>
    <row r="1018" spans="1:2" hidden="1" x14ac:dyDescent="0.2">
      <c r="A1018" t="s">
        <v>634</v>
      </c>
      <c r="B1018" s="47">
        <f>INDEX(parameters!$D$4:$Y$20,MATCH(B999&amp;B1001,parameters!$A$4:$A$20,0),MATCH(A1018,parameters!$D$3:$Y$3,0))</f>
        <v>15.957446808510639</v>
      </c>
    </row>
    <row r="1019" spans="1:2" hidden="1" x14ac:dyDescent="0.2">
      <c r="A1019" t="s">
        <v>82</v>
      </c>
      <c r="B1019" s="46">
        <f>IF(B1010&lt;&gt;0,VLOOKUP(B1010,parameters!A663:B665,2,0),0)</f>
        <v>0</v>
      </c>
    </row>
    <row r="1020" spans="1:2" hidden="1" x14ac:dyDescent="0.2">
      <c r="A1020" t="s">
        <v>548</v>
      </c>
      <c r="B1020" s="50">
        <f>INDEX(parameters!$D$4:$P$20,MATCH(B999&amp;B1001,parameters!$A$4:$A$20,0),MATCH(A1020,parameters!$D$3:$P$3,0))</f>
        <v>15</v>
      </c>
    </row>
    <row r="1021" spans="1:2" hidden="1" x14ac:dyDescent="0.2">
      <c r="A1021" t="s">
        <v>547</v>
      </c>
      <c r="B1021" s="51">
        <f>INDEX(parameters!$D$4:$P$20,MATCH(B999&amp;B1001,parameters!$A$4:$A$20,0),MATCH(A1021,parameters!$D$3:$P$3,0))</f>
        <v>20</v>
      </c>
    </row>
    <row r="1022" spans="1:2" hidden="1" x14ac:dyDescent="0.2">
      <c r="A1022" t="s">
        <v>630</v>
      </c>
      <c r="B1022" s="51">
        <f>INDEX(parameters!$D$4:$T$20,MATCH(B999&amp;B1001,parameters!$A$4:$A$20,0),MATCH(A1022,parameters!$D$3:$T$3,0))</f>
        <v>2100</v>
      </c>
    </row>
    <row r="1023" spans="1:2" hidden="1" x14ac:dyDescent="0.2">
      <c r="A1023" t="s">
        <v>1005</v>
      </c>
      <c r="B1023" s="50">
        <f>IF(B995="megajoule",SUMIFS(allocation!$I$4:$I$30,allocation!$B$4:$B$30,B1001,allocation!$C$4:$C$30,B1002),SUMIFS(allocation!$J$4:$J$30,allocation!$B$4:$B$30,B1001,allocation!$C$4:$C$30,B1002))</f>
        <v>0</v>
      </c>
    </row>
    <row r="1024" spans="1:2" hidden="1" x14ac:dyDescent="0.2">
      <c r="A1024" t="s">
        <v>1050</v>
      </c>
      <c r="B1024" s="51">
        <f>INDEX(parameters!$D$4:$AB$20,MATCH(B999&amp;B1001,parameters!$A$4:$A$20,0),MATCH(A1024,parameters!$D$3:$AB$3,0))</f>
        <v>44.562019013128115</v>
      </c>
    </row>
    <row r="1025" spans="1:22" hidden="1" x14ac:dyDescent="0.2"/>
    <row r="1026" spans="1:22" hidden="1" x14ac:dyDescent="0.2">
      <c r="A1026" s="3" t="s">
        <v>57</v>
      </c>
    </row>
    <row r="1027" spans="1:22" hidden="1" x14ac:dyDescent="0.2">
      <c r="A1027" s="2" t="s">
        <v>58</v>
      </c>
      <c r="B1027" s="44" t="s">
        <v>59</v>
      </c>
      <c r="C1027" s="2" t="s">
        <v>55</v>
      </c>
      <c r="D1027" s="2" t="s">
        <v>60</v>
      </c>
      <c r="E1027" s="2" t="s">
        <v>52</v>
      </c>
      <c r="F1027" s="2" t="s">
        <v>61</v>
      </c>
      <c r="G1027" s="2" t="s">
        <v>54</v>
      </c>
      <c r="H1027" s="2" t="s">
        <v>87</v>
      </c>
      <c r="I1027" s="2" t="s">
        <v>51</v>
      </c>
      <c r="J1027" s="2" t="s">
        <v>138</v>
      </c>
      <c r="K1027" s="2" t="s">
        <v>136</v>
      </c>
      <c r="L1027" s="2" t="s">
        <v>221</v>
      </c>
      <c r="M1027" s="2" t="s">
        <v>379</v>
      </c>
      <c r="N1027" s="2" t="s">
        <v>1059</v>
      </c>
      <c r="O1027" s="2" t="s">
        <v>1060</v>
      </c>
      <c r="P1027" s="2" t="s">
        <v>1061</v>
      </c>
      <c r="Q1027" s="2" t="s">
        <v>1062</v>
      </c>
      <c r="R1027" s="2" t="s">
        <v>1063</v>
      </c>
      <c r="S1027" s="2" t="s">
        <v>1064</v>
      </c>
      <c r="T1027" s="2" t="s">
        <v>1065</v>
      </c>
      <c r="U1027" s="2" t="s">
        <v>380</v>
      </c>
      <c r="V1027" s="2" t="s">
        <v>1128</v>
      </c>
    </row>
    <row r="1028" spans="1:22" hidden="1" x14ac:dyDescent="0.2">
      <c r="A1028" t="str">
        <f>B989</f>
        <v>heat, residential, by combustion of hydrogen using boiler, transported by truck, produced by Auto-thermal reforming, with CCS using natural gas from Switzerland</v>
      </c>
      <c r="B1028" s="45">
        <v>1</v>
      </c>
      <c r="C1028" t="str">
        <f>B995</f>
        <v>megajoule</v>
      </c>
      <c r="E1028" t="str">
        <f>B992</f>
        <v>CH</v>
      </c>
      <c r="F1028" t="s">
        <v>62</v>
      </c>
      <c r="G1028" t="str">
        <f>B994</f>
        <v>heat, from residential heating system</v>
      </c>
      <c r="K1028" t="str">
        <f>B989</f>
        <v>heat, residential, by combustion of hydrogen using boiler, transported by truck, produced by Auto-thermal reforming, with CCS using natural gas from Switzerland</v>
      </c>
    </row>
    <row r="1029" spans="1:22" hidden="1" x14ac:dyDescent="0.2">
      <c r="A1029" t="s">
        <v>83</v>
      </c>
      <c r="B1029" s="52">
        <f>1/(B1020*B1022*B1021*3.6)</f>
        <v>4.4091710758377425E-7</v>
      </c>
      <c r="C1029" t="s">
        <v>55</v>
      </c>
      <c r="E1029" t="s">
        <v>85</v>
      </c>
      <c r="F1029" t="s">
        <v>86</v>
      </c>
      <c r="G1029" t="s">
        <v>84</v>
      </c>
      <c r="H1029" t="s">
        <v>88</v>
      </c>
      <c r="K1029" t="str">
        <f>B989</f>
        <v>heat, residential, by combustion of hydrogen using boiler, transported by truck, produced by Auto-thermal reforming, with CCS using natural gas from Switzerland</v>
      </c>
      <c r="L1029">
        <f t="shared" ref="L1029:L1035" si="65">IF(OR(B1029&lt;0,B1029=0),1,2)</f>
        <v>2</v>
      </c>
      <c r="M1029">
        <f t="shared" ref="M1029:M1035" si="66">IF(L1029=2,LN(B1029),"")</f>
        <v>-14.634408943829779</v>
      </c>
      <c r="N1029">
        <v>1.05</v>
      </c>
      <c r="O1029">
        <v>1.2</v>
      </c>
      <c r="P1029">
        <v>1</v>
      </c>
      <c r="Q1029">
        <v>1.01</v>
      </c>
      <c r="R1029">
        <v>1.2</v>
      </c>
      <c r="S1029">
        <v>1.2</v>
      </c>
      <c r="T1029">
        <v>3</v>
      </c>
      <c r="U1029">
        <f t="shared" ref="U1029:U1035" si="67">LN(SQRT(EXP(
SQRT(
+POWER(LN(N1029),2)
+POWER(LN(O1029),2)
+POWER(LN(P1029),2)
+POWER(LN(Q1029),2)
+POWER(LN(R1029),2)
+POWER(LN(S1029),2)
+POWER(LN(T1029),2)
)
)))</f>
        <v>0.57209088006881903</v>
      </c>
    </row>
    <row r="1030" spans="1:22" hidden="1" x14ac:dyDescent="0.2">
      <c r="A1030" t="s">
        <v>500</v>
      </c>
      <c r="B1030" s="52">
        <f>B1029*2</f>
        <v>8.8183421516754851E-7</v>
      </c>
      <c r="C1030" t="s">
        <v>267</v>
      </c>
      <c r="E1030" t="s">
        <v>85</v>
      </c>
      <c r="F1030" t="s">
        <v>86</v>
      </c>
      <c r="G1030" t="s">
        <v>501</v>
      </c>
      <c r="H1030" t="s">
        <v>88</v>
      </c>
      <c r="I1030" t="s">
        <v>621</v>
      </c>
      <c r="K1030" t="str">
        <f>B989</f>
        <v>heat, residential, by combustion of hydrogen using boiler, transported by truck, produced by Auto-thermal reforming, with CCS using natural gas from Switzerland</v>
      </c>
      <c r="L1030">
        <f t="shared" si="65"/>
        <v>2</v>
      </c>
      <c r="M1030">
        <f t="shared" si="66"/>
        <v>-13.941261763269834</v>
      </c>
      <c r="N1030">
        <v>1.05</v>
      </c>
      <c r="O1030">
        <v>1.2</v>
      </c>
      <c r="P1030">
        <v>1</v>
      </c>
      <c r="Q1030">
        <v>1.01</v>
      </c>
      <c r="R1030">
        <v>1.2</v>
      </c>
      <c r="S1030">
        <v>1.2</v>
      </c>
      <c r="T1030">
        <v>3</v>
      </c>
      <c r="U1030">
        <f t="shared" si="67"/>
        <v>0.57209088006881903</v>
      </c>
    </row>
    <row r="1031" spans="1:22" hidden="1" x14ac:dyDescent="0.2">
      <c r="A1031" t="s">
        <v>130</v>
      </c>
      <c r="B1031" s="52">
        <v>2.64E-3</v>
      </c>
      <c r="C1031" t="s">
        <v>92</v>
      </c>
      <c r="E1031" t="s">
        <v>64</v>
      </c>
      <c r="F1031" t="s">
        <v>86</v>
      </c>
      <c r="G1031" t="s">
        <v>93</v>
      </c>
      <c r="H1031" t="s">
        <v>78</v>
      </c>
      <c r="I1031" t="s">
        <v>270</v>
      </c>
      <c r="J1031" t="s">
        <v>67</v>
      </c>
      <c r="K1031" t="str">
        <f>B989</f>
        <v>heat, residential, by combustion of hydrogen using boiler, transported by truck, produced by Auto-thermal reforming, with CCS using natural gas from Switzerland</v>
      </c>
      <c r="L1031">
        <f t="shared" si="65"/>
        <v>2</v>
      </c>
      <c r="M1031">
        <f t="shared" si="66"/>
        <v>-5.9369763618239126</v>
      </c>
      <c r="N1031">
        <v>1.05</v>
      </c>
      <c r="O1031">
        <v>1.2</v>
      </c>
      <c r="P1031">
        <v>1</v>
      </c>
      <c r="Q1031">
        <v>1.01</v>
      </c>
      <c r="R1031">
        <v>1.2</v>
      </c>
      <c r="S1031">
        <v>1.2</v>
      </c>
      <c r="T1031">
        <v>1.05</v>
      </c>
      <c r="U1031">
        <f t="shared" si="67"/>
        <v>0.16169679924070957</v>
      </c>
    </row>
    <row r="1032" spans="1:22" hidden="1" x14ac:dyDescent="0.2">
      <c r="A1032" s="45" t="str">
        <f>"hydrogen supply, transported by "&amp;B1003&amp;", produced by "&amp;B1007&amp;" using "&amp;B1008&amp;" from "&amp;B1009</f>
        <v>hydrogen supply, transported by truck, produced by Auto-thermal reforming, with CCS using natural gas from Switzerland</v>
      </c>
      <c r="B1032" s="53">
        <f>(B1028/B1012)/B1011</f>
        <v>8.8652482269503553E-3</v>
      </c>
      <c r="C1032" t="s">
        <v>56</v>
      </c>
      <c r="E1032" t="s">
        <v>64</v>
      </c>
      <c r="F1032" t="s">
        <v>86</v>
      </c>
      <c r="G1032" t="s">
        <v>1137</v>
      </c>
      <c r="H1032" t="s">
        <v>76</v>
      </c>
      <c r="I1032" t="s">
        <v>1054</v>
      </c>
      <c r="J1032" t="s">
        <v>308</v>
      </c>
      <c r="K1032" t="str">
        <f>B989</f>
        <v>heat, residential, by combustion of hydrogen using boiler, transported by truck, produced by Auto-thermal reforming, with CCS using natural gas from Switzerland</v>
      </c>
      <c r="L1032">
        <f t="shared" si="65"/>
        <v>2</v>
      </c>
      <c r="M1032">
        <f t="shared" si="66"/>
        <v>-4.7256163390639587</v>
      </c>
      <c r="N1032">
        <v>1.05</v>
      </c>
      <c r="O1032">
        <v>1.2</v>
      </c>
      <c r="P1032">
        <v>1</v>
      </c>
      <c r="Q1032">
        <v>1.01</v>
      </c>
      <c r="R1032">
        <v>1.2</v>
      </c>
      <c r="S1032">
        <v>1.2</v>
      </c>
      <c r="T1032">
        <v>1.05</v>
      </c>
      <c r="U1032">
        <f t="shared" si="67"/>
        <v>0.16169679924070957</v>
      </c>
    </row>
    <row r="1033" spans="1:22" hidden="1" x14ac:dyDescent="0.2">
      <c r="A1033" t="str">
        <f>VLOOKUP(J1033,'dataset mapping'!$A$4:$E$69,2,0)</f>
        <v>high pressure hydrogen storage tank</v>
      </c>
      <c r="B1033" s="52">
        <f>((B1024/10)/(B1022*B1018*20*3.6))*IF(B1023&lt;&gt;0,B1023,1)</f>
        <v>1.8469267139479905E-6</v>
      </c>
      <c r="C1033" t="str">
        <f>VLOOKUP(J1033,'dataset mapping'!$A$4:$E$69,5,0)</f>
        <v>kilogram</v>
      </c>
      <c r="E1033" t="str">
        <f>VLOOKUP(J1033,'dataset mapping'!$A$4:$E$69,4,0)</f>
        <v>GLO</v>
      </c>
      <c r="F1033" t="s">
        <v>86</v>
      </c>
      <c r="G1033" t="str">
        <f>VLOOKUP(J1033,'dataset mapping'!$A$4:$E$69,3,0)</f>
        <v>high pressure hydrogen storage tank</v>
      </c>
      <c r="H1033" t="s">
        <v>88</v>
      </c>
      <c r="I1033" t="s">
        <v>230</v>
      </c>
      <c r="J1033" t="s">
        <v>229</v>
      </c>
      <c r="K1033" t="str">
        <f>B989</f>
        <v>heat, residential, by combustion of hydrogen using boiler, transported by truck, produced by Auto-thermal reforming, with CCS using natural gas from Switzerland</v>
      </c>
      <c r="L1033">
        <f t="shared" si="65"/>
        <v>2</v>
      </c>
      <c r="M1033">
        <f t="shared" si="66"/>
        <v>-13.20198753595994</v>
      </c>
      <c r="N1033">
        <v>1.05</v>
      </c>
      <c r="O1033">
        <v>1.2</v>
      </c>
      <c r="P1033">
        <v>1</v>
      </c>
      <c r="Q1033">
        <v>1.01</v>
      </c>
      <c r="R1033">
        <v>1.2</v>
      </c>
      <c r="S1033">
        <v>1.2</v>
      </c>
      <c r="T1033">
        <v>3</v>
      </c>
      <c r="U1033">
        <f t="shared" si="67"/>
        <v>0.57209088006881903</v>
      </c>
    </row>
    <row r="1034" spans="1:22" hidden="1" x14ac:dyDescent="0.2">
      <c r="A1034" t="s">
        <v>134</v>
      </c>
      <c r="B1034" s="45">
        <f>B1032*9</f>
        <v>7.9787234042553196E-2</v>
      </c>
      <c r="C1034" t="s">
        <v>56</v>
      </c>
      <c r="D1034" t="s">
        <v>100</v>
      </c>
      <c r="F1034" t="s">
        <v>99</v>
      </c>
      <c r="H1034" t="s">
        <v>131</v>
      </c>
      <c r="K1034" t="str">
        <f>B989</f>
        <v>heat, residential, by combustion of hydrogen using boiler, transported by truck, produced by Auto-thermal reforming, with CCS using natural gas from Switzerland</v>
      </c>
      <c r="L1034">
        <f t="shared" si="65"/>
        <v>2</v>
      </c>
      <c r="M1034">
        <f t="shared" si="66"/>
        <v>-2.5283917617277392</v>
      </c>
      <c r="N1034">
        <v>1.05</v>
      </c>
      <c r="O1034">
        <v>1.2</v>
      </c>
      <c r="P1034">
        <v>1</v>
      </c>
      <c r="Q1034">
        <v>1.01</v>
      </c>
      <c r="R1034">
        <v>1.2</v>
      </c>
      <c r="S1034">
        <v>1.2</v>
      </c>
      <c r="T1034">
        <v>1.05</v>
      </c>
      <c r="U1034">
        <f t="shared" si="67"/>
        <v>0.16169679924070957</v>
      </c>
    </row>
    <row r="1035" spans="1:22" hidden="1" x14ac:dyDescent="0.2">
      <c r="A1035" t="s">
        <v>135</v>
      </c>
      <c r="B1035" s="45">
        <f>912.5/1000000*B1032</f>
        <v>8.0895390070921995E-6</v>
      </c>
      <c r="C1035" t="s">
        <v>56</v>
      </c>
      <c r="D1035" t="s">
        <v>100</v>
      </c>
      <c r="F1035" t="s">
        <v>99</v>
      </c>
      <c r="H1035" t="s">
        <v>131</v>
      </c>
      <c r="I1035" t="s">
        <v>1217</v>
      </c>
      <c r="K1035" t="str">
        <f>B989</f>
        <v>heat, residential, by combustion of hydrogen using boiler, transported by truck, produced by Auto-thermal reforming, with CCS using natural gas from Switzerland</v>
      </c>
      <c r="L1035">
        <f t="shared" si="65"/>
        <v>2</v>
      </c>
      <c r="M1035">
        <f t="shared" si="66"/>
        <v>-11.724938811571587</v>
      </c>
      <c r="N1035">
        <v>1.05</v>
      </c>
      <c r="O1035">
        <v>1.2</v>
      </c>
      <c r="P1035">
        <v>1</v>
      </c>
      <c r="Q1035">
        <v>1.01</v>
      </c>
      <c r="R1035">
        <v>1.2</v>
      </c>
      <c r="S1035">
        <v>1.2</v>
      </c>
      <c r="T1035">
        <v>1.5</v>
      </c>
      <c r="U1035">
        <f t="shared" si="67"/>
        <v>0.25816898211842121</v>
      </c>
    </row>
    <row r="1036" spans="1:22" hidden="1" x14ac:dyDescent="0.2"/>
    <row r="1037" spans="1:22" hidden="1" x14ac:dyDescent="0.2">
      <c r="A1037" s="2" t="s">
        <v>50</v>
      </c>
      <c r="B1037" s="44" t="str">
        <f>IF(B1043="megajoule","heat","electricity")&amp;", residential, by "&amp;B1048&amp;" of "&amp;B1047&amp;" using "&amp;B1049&amp;IF(B1050&lt;&gt;0,", allocated by "&amp;B1050,"")&amp;", transported by "&amp;B1051&amp;", produced by "&amp;B1055&amp;" using "&amp;B1056&amp;" from "&amp;B1057</f>
        <v>heat, residential, by combustion of hydrogen using CHP, allocated by exergy, transported by truck, produced by Auto-thermal reforming, with CCS using natural gas from Switzerland</v>
      </c>
    </row>
    <row r="1038" spans="1:22" hidden="1" x14ac:dyDescent="0.2">
      <c r="A1038" t="s">
        <v>51</v>
      </c>
      <c r="B1038" s="45" t="str">
        <f>"This dataset represents the supply of 1 "&amp;IF(B1043="megajoule","megajoule of heat","kilowatt hour of electricity")&amp;" in a residence, by "&amp;B1047&amp;" "&amp;B1048&amp;" in a "&amp;B1049&amp;". "&amp;" The hydrogen is transported by "&amp;B1051&amp;" over "&amp;B1052&amp;" km from regional storage. "&amp;" The "&amp;B1047&amp;" is produced by  "&amp;B1055&amp;", with "&amp;B1056&amp;" from "&amp;B1057&amp;" as feedstock. "&amp;A1059&amp;": "&amp;(B1059*100)&amp;"%. "&amp;A1060&amp;": "&amp;B1060&amp;". "&amp;A1061&amp;": "&amp;B1061&amp;". "&amp;A1062&amp;": "&amp;(B1062*100)&amp;"%. "&amp;A1063&amp;": "&amp;(B1063*100)&amp;"%. "&amp;A1064&amp;": "&amp;(B1064*100)&amp;"%. "&amp;A1065&amp;": "&amp;B1065&amp;". "&amp;A1066&amp;": "&amp;B1066&amp;". "&amp;A1067&amp;": "&amp;(B1067*100)&amp;"%. "&amp;A1068&amp;": "&amp;B1068&amp;". "&amp;A1069&amp;": "&amp;B1069&amp;". "&amp;A1070&amp;": "&amp;B1070&amp;". "&amp;A1071&amp;": "&amp;B1071&amp;".  For more information, refer to: "&amp;B1039</f>
        <v>This dataset represents the supply of 1 megajoule of heat in a residence, by hydrogen combustion in a CHP.  The hydrogen is transported by truck over 200 km from regional storage.  The hydrogen is produced by  Auto-thermal reforming, with CCS,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1039" spans="1:22" hidden="1" x14ac:dyDescent="0.2">
      <c r="A1039" t="s">
        <v>63</v>
      </c>
      <c r="B1039" s="45" t="s">
        <v>660</v>
      </c>
    </row>
    <row r="1040" spans="1:22" hidden="1" x14ac:dyDescent="0.2">
      <c r="A1040" t="s">
        <v>52</v>
      </c>
      <c r="B1040" s="45" t="s">
        <v>64</v>
      </c>
    </row>
    <row r="1041" spans="1:2" hidden="1" x14ac:dyDescent="0.2">
      <c r="A1041" t="s">
        <v>48</v>
      </c>
      <c r="B1041" s="45">
        <v>150</v>
      </c>
    </row>
    <row r="1042" spans="1:2" hidden="1" x14ac:dyDescent="0.2">
      <c r="A1042" t="s">
        <v>54</v>
      </c>
      <c r="B1042" s="45" t="str">
        <f>INDEX(overview!$B$4:$R$338,MATCH(B1041,overview!$A$4:$A$338,0),MATCH(A1042,overview!$B$3:$R$3,0))</f>
        <v>heat, from residential heating system</v>
      </c>
    </row>
    <row r="1043" spans="1:2" hidden="1" x14ac:dyDescent="0.2">
      <c r="A1043" t="s">
        <v>55</v>
      </c>
      <c r="B1043" s="45" t="str">
        <f>INDEX(overview!$B$4:$R$338,MATCH(B1041,overview!$A$4:$A$338,0),MATCH(A1043,overview!$B$3:$R$3,0))</f>
        <v>megajoule</v>
      </c>
    </row>
    <row r="1044" spans="1:2" hidden="1" x14ac:dyDescent="0.2">
      <c r="A1044" t="s">
        <v>0</v>
      </c>
      <c r="B1044" s="45" t="str">
        <f>INDEX(overview!$B$4:$R$338,MATCH(B1041,overview!$A$4:$A$338,0),MATCH(A1044,overview!$B$3:$R$3,0))</f>
        <v>Switzerland</v>
      </c>
    </row>
    <row r="1045" spans="1:2" hidden="1" x14ac:dyDescent="0.2">
      <c r="A1045" t="s">
        <v>1</v>
      </c>
      <c r="B1045" s="45">
        <f>INDEX(overview!$B$4:$R$338,MATCH(B1041,overview!$A$4:$A$338,0),MATCH(A1045,overview!$B$3:$R$3,0))</f>
        <v>2020</v>
      </c>
    </row>
    <row r="1046" spans="1:2" hidden="1" x14ac:dyDescent="0.2">
      <c r="A1046" t="s">
        <v>2</v>
      </c>
      <c r="B1046" s="45" t="str">
        <f>INDEX(overview!$B$4:$R$338,MATCH(B1041,overview!$A$4:$A$338,0),MATCH(A1046,overview!$B$3:$R$3,0))</f>
        <v>1 MJ heat</v>
      </c>
    </row>
    <row r="1047" spans="1:2" hidden="1" x14ac:dyDescent="0.2">
      <c r="A1047" t="s">
        <v>5</v>
      </c>
      <c r="B1047" s="45" t="str">
        <f>INDEX(overview!$B$4:$R$338,MATCH(B1041,overview!$A$4:$A$338,0),MATCH(A1047,overview!$B$3:$R$3,0))</f>
        <v>hydrogen</v>
      </c>
    </row>
    <row r="1048" spans="1:2" hidden="1" x14ac:dyDescent="0.2">
      <c r="A1048" t="s">
        <v>3</v>
      </c>
      <c r="B1048" s="45" t="str">
        <f>INDEX(overview!$B$4:$R$338,MATCH(B1041,overview!$A$4:$A$338,0),MATCH(A1048,overview!$B$3:$R$3,0))</f>
        <v>combustion</v>
      </c>
    </row>
    <row r="1049" spans="1:2" hidden="1" x14ac:dyDescent="0.2">
      <c r="A1049" t="s">
        <v>6</v>
      </c>
      <c r="B1049" s="45" t="str">
        <f>INDEX(overview!$B$4:$R$338,MATCH(B1041,overview!$A$4:$A$338,0),MATCH(A1049,overview!$B$3:$R$3,0))</f>
        <v>CHP</v>
      </c>
    </row>
    <row r="1050" spans="1:2" hidden="1" x14ac:dyDescent="0.2">
      <c r="A1050" t="s">
        <v>39</v>
      </c>
      <c r="B1050" s="45" t="str">
        <f>INDEX(overview!$B$4:$R$338,MATCH(B1041,overview!$A$4:$A$338,0),MATCH(A1050,overview!$B$3:$R$3,0))</f>
        <v>exergy</v>
      </c>
    </row>
    <row r="1051" spans="1:2" hidden="1" x14ac:dyDescent="0.2">
      <c r="A1051" t="s">
        <v>4</v>
      </c>
      <c r="B1051" s="45" t="str">
        <f>INDEX(overview!$B$4:$R$338,MATCH(B1041,overview!$A$4:$A$338,0),MATCH(A1051,overview!$B$3:$R$3,0))</f>
        <v>truck</v>
      </c>
    </row>
    <row r="1052" spans="1:2" hidden="1" x14ac:dyDescent="0.2">
      <c r="A1052" t="s">
        <v>38</v>
      </c>
      <c r="B1052" s="45">
        <f>INDEX(overview!$B$4:$R$338,MATCH(B1041,overview!$A$4:$A$338,0),MATCH(A1052,overview!$B$3:$R$3,0))</f>
        <v>200</v>
      </c>
    </row>
    <row r="1053" spans="1:2" hidden="1" x14ac:dyDescent="0.2">
      <c r="A1053" t="s">
        <v>12</v>
      </c>
      <c r="B1053" s="45" t="str">
        <f>INDEX(overview!$B$4:$R$338,MATCH(B1041,overview!$A$4:$A$338,0),MATCH(A1053,overview!$B$3:$R$3,0))</f>
        <v>Pressure vessel for stationary storage</v>
      </c>
    </row>
    <row r="1054" spans="1:2" hidden="1" x14ac:dyDescent="0.2">
      <c r="A1054" t="s">
        <v>34</v>
      </c>
      <c r="B1054" s="45">
        <f>INDEX(overview!$B$4:$R$338,MATCH(B1041,overview!$A$4:$A$338,0),MATCH(A1054,overview!$B$3:$R$3,0))</f>
        <v>0</v>
      </c>
    </row>
    <row r="1055" spans="1:2" hidden="1" x14ac:dyDescent="0.2">
      <c r="A1055" t="s">
        <v>15</v>
      </c>
      <c r="B1055" s="45" t="str">
        <f>INDEX(overview!$B$4:$R$338,MATCH(B1041,overview!$A$4:$A$338,0),MATCH(A1055,overview!$B$3:$R$3,0))</f>
        <v>Auto-thermal reforming, with CCS</v>
      </c>
    </row>
    <row r="1056" spans="1:2" hidden="1" x14ac:dyDescent="0.2">
      <c r="A1056" t="s">
        <v>14</v>
      </c>
      <c r="B1056" s="45" t="str">
        <f>INDEX(overview!$B$4:$R$338,MATCH(B1041,overview!$A$4:$A$338,0),MATCH(A1056,overview!$B$3:$R$3,0))</f>
        <v>natural gas</v>
      </c>
    </row>
    <row r="1057" spans="1:2" hidden="1" x14ac:dyDescent="0.2">
      <c r="A1057" t="s">
        <v>26</v>
      </c>
      <c r="B1057" s="45" t="str">
        <f>INDEX(overview!$B$4:$R$338,MATCH(B1041,overview!$A$4:$A$338,0),MATCH(A1057,overview!$B$3:$R$3,0))</f>
        <v>Switzerland</v>
      </c>
    </row>
    <row r="1058" spans="1:2" hidden="1" x14ac:dyDescent="0.2">
      <c r="A1058" t="s">
        <v>29</v>
      </c>
      <c r="B1058" s="45">
        <f>INDEX(overview!$B$4:$R$338,MATCH(B1041,overview!$A$4:$A$338,0),MATCH(A1058,overview!$B$3:$R$3,0))</f>
        <v>0</v>
      </c>
    </row>
    <row r="1059" spans="1:2" hidden="1" x14ac:dyDescent="0.2">
      <c r="A1059" t="str">
        <f>IF(B1043="megajoule","Heat","Electricity")&amp;" conversion efficiency [% LHV input]"</f>
        <v>Heat conversion efficiency [% LHV input]</v>
      </c>
      <c r="B1059" s="46">
        <f>INDEX(parameters!$D$4:$N$20,MATCH(B1047&amp;B1049,parameters!$A$4:$A$20,0),MATCH(A1059,parameters!$D$3:$N$3,0))</f>
        <v>0.41699999999999998</v>
      </c>
    </row>
    <row r="1060" spans="1:2" hidden="1" x14ac:dyDescent="0.2">
      <c r="A1060" t="str">
        <f>IF(B1043="megajoule","LHV [MJ/kg]","LHV [kWh/kg]")</f>
        <v>LHV [MJ/kg]</v>
      </c>
      <c r="B1060" s="47">
        <f>INDEX(parameters!$D$4:$N$20,MATCH(B1047&amp;B1049,parameters!$A$4:$A$20,0),MATCH(A1060,parameters!$D$3:$N$3,0))</f>
        <v>120</v>
      </c>
    </row>
    <row r="1061" spans="1:2" hidden="1" x14ac:dyDescent="0.2">
      <c r="A1061" t="s">
        <v>41</v>
      </c>
      <c r="B1061" s="48">
        <f>INDEX(parameters!$D$4:$N$20,MATCH(B1047&amp;B1049,parameters!$A$4:$A$20,0),MATCH(A1061,parameters!$D$3:$N$3,0))</f>
        <v>2.6666666666666665E-2</v>
      </c>
    </row>
    <row r="1062" spans="1:2" hidden="1" x14ac:dyDescent="0.2">
      <c r="A1062" t="s">
        <v>45</v>
      </c>
      <c r="B1062" s="46">
        <f>INDEX(parameters!$D$4:$N$20,MATCH(B1047&amp;B1049,parameters!$A$4:$A$20,0),MATCH(A1062,parameters!$D$3:$N$3,0))</f>
        <v>0</v>
      </c>
    </row>
    <row r="1063" spans="1:2" hidden="1" x14ac:dyDescent="0.2">
      <c r="A1063" t="s">
        <v>46</v>
      </c>
      <c r="B1063" s="46">
        <f>INDEX(parameters!$D$4:$N$20,MATCH(B1047&amp;B1049,parameters!$A$4:$A$20,0),MATCH(A1063,parameters!$D$3:$N$3,0))</f>
        <v>1.4999999999999999E-2</v>
      </c>
    </row>
    <row r="1064" spans="1:2" hidden="1" x14ac:dyDescent="0.2">
      <c r="A1064" t="s">
        <v>43</v>
      </c>
      <c r="B1064" s="46">
        <f>INDEX(parameters!$D$4:$N$20,MATCH(B1047&amp;B1049,parameters!$A$4:$A$20,0),MATCH(A1064,parameters!$D$3:$N$3,0))</f>
        <v>0</v>
      </c>
    </row>
    <row r="1065" spans="1:2" hidden="1" x14ac:dyDescent="0.2">
      <c r="A1065" t="s">
        <v>44</v>
      </c>
      <c r="B1065" s="46">
        <f>INDEX(parameters!$D$4:$N$20,MATCH(B1047&amp;B1049,parameters!$A$4:$A$20,0),MATCH(A1065,parameters!$D$3:$N$3,0))</f>
        <v>0</v>
      </c>
    </row>
    <row r="1066" spans="1:2" hidden="1" x14ac:dyDescent="0.2">
      <c r="A1066" t="s">
        <v>634</v>
      </c>
      <c r="B1066" s="47">
        <f>INDEX(parameters!$D$4:$Y$20,MATCH(B1047&amp;B1049,parameters!$A$4:$A$20,0),MATCH(A1066,parameters!$D$3:$Y$3,0))</f>
        <v>351.41800246609125</v>
      </c>
    </row>
    <row r="1067" spans="1:2" hidden="1" x14ac:dyDescent="0.2">
      <c r="A1067" t="s">
        <v>82</v>
      </c>
      <c r="B1067" s="46">
        <f>IF(B1058&lt;&gt;0,VLOOKUP(B1058,parameters!A714:B716,2,0),0)</f>
        <v>0</v>
      </c>
    </row>
    <row r="1068" spans="1:2" hidden="1" x14ac:dyDescent="0.2">
      <c r="A1068" t="s">
        <v>548</v>
      </c>
      <c r="B1068" s="50">
        <f>INDEX(parameters!$D$4:$P$20,MATCH(B1047&amp;B1049,parameters!$A$4:$A$20,0),MATCH(A1068,parameters!$D$3:$P$3,0))</f>
        <v>125</v>
      </c>
    </row>
    <row r="1069" spans="1:2" hidden="1" x14ac:dyDescent="0.2">
      <c r="A1069" t="s">
        <v>547</v>
      </c>
      <c r="B1069" s="51">
        <f>INDEX(parameters!$D$4:$P$20,MATCH(B1047&amp;B1049,parameters!$A$4:$A$20,0),MATCH(A1069,parameters!$D$3:$P$3,0))</f>
        <v>19.512195121951219</v>
      </c>
    </row>
    <row r="1070" spans="1:2" hidden="1" x14ac:dyDescent="0.2">
      <c r="A1070" t="s">
        <v>630</v>
      </c>
      <c r="B1070" s="51">
        <f>INDEX(parameters!$D$4:$T$20,MATCH(B1047&amp;B1049,parameters!$A$4:$A$20,0),MATCH(A1070,parameters!$D$3:$T$3,0))</f>
        <v>4100</v>
      </c>
    </row>
    <row r="1071" spans="1:2" hidden="1" x14ac:dyDescent="0.2">
      <c r="A1071" t="s">
        <v>1005</v>
      </c>
      <c r="B1071" s="50">
        <f>IF(B1043="megajoule",SUMIFS(allocation!$I$4:$I$30,allocation!$B$4:$B$30,B1049,allocation!$C$4:$C$30,B1050),SUMIFS(allocation!$J$4:$J$30,allocation!$B$4:$B$30,B1049,allocation!$C$4:$C$30,B1050))</f>
        <v>0.12860042227295038</v>
      </c>
    </row>
    <row r="1072" spans="1:2" hidden="1" x14ac:dyDescent="0.2">
      <c r="A1072" t="s">
        <v>1050</v>
      </c>
      <c r="B1072" s="51">
        <f>INDEX(parameters!$D$4:$AB$20,MATCH(B1047&amp;B1049,parameters!$A$4:$A$20,0),MATCH(A1072,parameters!$D$3:$AB$3,0))</f>
        <v>2220.7364520822662</v>
      </c>
    </row>
    <row r="1073" spans="1:22" hidden="1" x14ac:dyDescent="0.2"/>
    <row r="1074" spans="1:22" hidden="1" x14ac:dyDescent="0.2">
      <c r="A1074" s="3" t="s">
        <v>57</v>
      </c>
    </row>
    <row r="1075" spans="1:22" hidden="1" x14ac:dyDescent="0.2">
      <c r="A1075" s="2" t="s">
        <v>58</v>
      </c>
      <c r="B1075" s="44" t="s">
        <v>59</v>
      </c>
      <c r="C1075" s="2" t="s">
        <v>55</v>
      </c>
      <c r="D1075" s="2" t="s">
        <v>60</v>
      </c>
      <c r="E1075" s="2" t="s">
        <v>52</v>
      </c>
      <c r="F1075" s="2" t="s">
        <v>61</v>
      </c>
      <c r="G1075" s="2" t="s">
        <v>54</v>
      </c>
      <c r="H1075" s="2" t="s">
        <v>87</v>
      </c>
      <c r="I1075" s="2" t="s">
        <v>51</v>
      </c>
      <c r="J1075" s="2" t="s">
        <v>138</v>
      </c>
      <c r="K1075" s="2" t="s">
        <v>136</v>
      </c>
      <c r="L1075" s="2" t="s">
        <v>221</v>
      </c>
      <c r="M1075" s="2" t="s">
        <v>379</v>
      </c>
      <c r="N1075" s="2" t="s">
        <v>1059</v>
      </c>
      <c r="O1075" s="2" t="s">
        <v>1060</v>
      </c>
      <c r="P1075" s="2" t="s">
        <v>1061</v>
      </c>
      <c r="Q1075" s="2" t="s">
        <v>1062</v>
      </c>
      <c r="R1075" s="2" t="s">
        <v>1063</v>
      </c>
      <c r="S1075" s="2" t="s">
        <v>1064</v>
      </c>
      <c r="T1075" s="2" t="s">
        <v>1065</v>
      </c>
      <c r="U1075" s="2" t="s">
        <v>380</v>
      </c>
      <c r="V1075" s="2" t="s">
        <v>1128</v>
      </c>
    </row>
    <row r="1076" spans="1:22" hidden="1" x14ac:dyDescent="0.2">
      <c r="A1076" t="str">
        <f>B1037</f>
        <v>heat, residential, by combustion of hydrogen using CHP, allocated by exergy, transported by truck, produced by Auto-thermal reforming, with CCS using natural gas from Switzerland</v>
      </c>
      <c r="B1076" s="45">
        <v>1</v>
      </c>
      <c r="C1076" t="str">
        <f>B1043</f>
        <v>megajoule</v>
      </c>
      <c r="E1076" t="str">
        <f>B1040</f>
        <v>CH</v>
      </c>
      <c r="F1076" t="s">
        <v>62</v>
      </c>
      <c r="G1076" t="str">
        <f>B1042</f>
        <v>heat, from residential heating system</v>
      </c>
      <c r="K1076" t="str">
        <f>B1037</f>
        <v>heat, residential, by combustion of hydrogen using CHP, allocated by exergy, transported by truck, produced by Auto-thermal reforming, with CCS using natural gas from Switzerland</v>
      </c>
    </row>
    <row r="1077" spans="1:22" hidden="1" x14ac:dyDescent="0.2">
      <c r="A1077" t="str">
        <f>VLOOKUP(J1077,'dataset mapping'!$A$4:$E$69,2,0)</f>
        <v>heat and power co-generation unit construction, 160kW electrical, common components for heat+electricity</v>
      </c>
      <c r="B1077" s="52">
        <f>(1/(B1066*B1070*B1069*3.6))*B1071</f>
        <v>1.270649883812899E-9</v>
      </c>
      <c r="C1077" t="str">
        <f>VLOOKUP(J1077,'dataset mapping'!$A$4:$E$69,5,0)</f>
        <v>unit</v>
      </c>
      <c r="E1077" t="str">
        <f>VLOOKUP(J1077,'dataset mapping'!$A$4:$E$69,4,0)</f>
        <v>RER</v>
      </c>
      <c r="F1077" t="s">
        <v>86</v>
      </c>
      <c r="G1077" t="str">
        <f>VLOOKUP(J1077,'dataset mapping'!$A$4:$E$69,3,0)</f>
        <v>heat and power co-generation unit, 160kW electrical, common components for heat+electricity</v>
      </c>
      <c r="H1077" t="s">
        <v>88</v>
      </c>
      <c r="J1077" t="s">
        <v>145</v>
      </c>
      <c r="K1077" t="str">
        <f>B1037</f>
        <v>heat, residential, by combustion of hydrogen using CHP, allocated by exergy, transported by truck, produced by Auto-thermal reforming, with CCS using natural gas from Switzerland</v>
      </c>
      <c r="L1077">
        <f t="shared" ref="L1077:L1085" si="68">IF(OR(B1077&lt;0,B1077=0),1,2)</f>
        <v>2</v>
      </c>
      <c r="M1077">
        <f t="shared" ref="M1077:M1085" si="69">IF(L1077=2,LN(B1077),"")</f>
        <v>-20.48373734782199</v>
      </c>
      <c r="N1077">
        <v>1.05</v>
      </c>
      <c r="O1077">
        <v>1.2</v>
      </c>
      <c r="P1077">
        <v>1</v>
      </c>
      <c r="Q1077">
        <v>1.01</v>
      </c>
      <c r="R1077">
        <v>1.2</v>
      </c>
      <c r="S1077">
        <v>1.2</v>
      </c>
      <c r="T1077">
        <v>3</v>
      </c>
      <c r="U1077">
        <f t="shared" ref="U1077:U1085" si="70">LN(SQRT(EXP(
SQRT(
+POWER(LN(N1077),2)
+POWER(LN(O1077),2)
+POWER(LN(P1077),2)
+POWER(LN(Q1077),2)
+POWER(LN(R1077),2)
+POWER(LN(S1077),2)
+POWER(LN(T1077),2)
)
)))</f>
        <v>0.57209088006881903</v>
      </c>
    </row>
    <row r="1078" spans="1:22" hidden="1" x14ac:dyDescent="0.2">
      <c r="A1078" t="str">
        <f>VLOOKUP(J1078,'dataset mapping'!$A$4:$E$69,2,0)</f>
        <v>heat and power co-generation unit construction, 160kW electrical, components for electricity only</v>
      </c>
      <c r="B1078" s="52">
        <f>(1/(B1066*B1070*B1069*3.6))*B1071</f>
        <v>1.270649883812899E-9</v>
      </c>
      <c r="C1078" t="str">
        <f>VLOOKUP(J1078,'dataset mapping'!$A$4:$E$69,5,0)</f>
        <v>unit</v>
      </c>
      <c r="E1078" t="str">
        <f>VLOOKUP(J1078,'dataset mapping'!$A$4:$E$69,4,0)</f>
        <v>RER</v>
      </c>
      <c r="F1078" t="s">
        <v>86</v>
      </c>
      <c r="G1078" t="str">
        <f>VLOOKUP(J1078,'dataset mapping'!$A$4:$E$69,3,0)</f>
        <v>heat and power co-generation unit, 160kW electrical, components for electricity only</v>
      </c>
      <c r="H1078" t="s">
        <v>88</v>
      </c>
      <c r="J1078" t="s">
        <v>146</v>
      </c>
      <c r="K1078" t="str">
        <f>B1037</f>
        <v>heat, residential, by combustion of hydrogen using CHP, allocated by exergy, transported by truck, produced by Auto-thermal reforming, with CCS using natural gas from Switzerland</v>
      </c>
      <c r="L1078">
        <f t="shared" si="68"/>
        <v>2</v>
      </c>
      <c r="M1078">
        <f t="shared" si="69"/>
        <v>-20.48373734782199</v>
      </c>
      <c r="N1078">
        <v>1.05</v>
      </c>
      <c r="O1078">
        <v>1.2</v>
      </c>
      <c r="P1078">
        <v>1</v>
      </c>
      <c r="Q1078">
        <v>1.01</v>
      </c>
      <c r="R1078">
        <v>1.2</v>
      </c>
      <c r="S1078">
        <v>1.2</v>
      </c>
      <c r="T1078">
        <v>3</v>
      </c>
      <c r="U1078">
        <f t="shared" si="70"/>
        <v>0.57209088006881903</v>
      </c>
    </row>
    <row r="1079" spans="1:22" hidden="1" x14ac:dyDescent="0.2">
      <c r="A1079" t="str">
        <f>VLOOKUP(J1079,'dataset mapping'!$A$4:$E$69,2,0)</f>
        <v>heat and power co-generation unit construction, 160kW electrical, components for heat only</v>
      </c>
      <c r="B1079" s="52">
        <f>(1/(B1066*B1070*B1069*3.6))*B1071</f>
        <v>1.270649883812899E-9</v>
      </c>
      <c r="C1079" t="str">
        <f>VLOOKUP(J1079,'dataset mapping'!$A$4:$E$69,5,0)</f>
        <v>unit</v>
      </c>
      <c r="E1079" t="str">
        <f>VLOOKUP(J1079,'dataset mapping'!$A$4:$E$69,4,0)</f>
        <v>RER</v>
      </c>
      <c r="F1079" t="s">
        <v>86</v>
      </c>
      <c r="G1079" t="str">
        <f>VLOOKUP(J1079,'dataset mapping'!$A$4:$E$69,3,0)</f>
        <v>heat and power co-generation unit, 160kW electrical, components for heat only</v>
      </c>
      <c r="H1079" t="s">
        <v>88</v>
      </c>
      <c r="J1079" t="s">
        <v>147</v>
      </c>
      <c r="K1079" t="str">
        <f>B1037</f>
        <v>heat, residential, by combustion of hydrogen using CHP, allocated by exergy, transported by truck, produced by Auto-thermal reforming, with CCS using natural gas from Switzerland</v>
      </c>
      <c r="L1079">
        <f t="shared" si="68"/>
        <v>2</v>
      </c>
      <c r="M1079">
        <f t="shared" si="69"/>
        <v>-20.48373734782199</v>
      </c>
      <c r="N1079">
        <v>1.05</v>
      </c>
      <c r="O1079">
        <v>1.2</v>
      </c>
      <c r="P1079">
        <v>1</v>
      </c>
      <c r="Q1079">
        <v>1.01</v>
      </c>
      <c r="R1079">
        <v>1.2</v>
      </c>
      <c r="S1079">
        <v>1.2</v>
      </c>
      <c r="T1079">
        <v>3</v>
      </c>
      <c r="U1079">
        <f t="shared" si="70"/>
        <v>0.57209088006881903</v>
      </c>
    </row>
    <row r="1080" spans="1:22" hidden="1" x14ac:dyDescent="0.2">
      <c r="A1080" t="s">
        <v>156</v>
      </c>
      <c r="B1080" s="52">
        <f>0.00000011366*B1071</f>
        <v>1.461672399554354E-8</v>
      </c>
      <c r="C1080" t="s">
        <v>56</v>
      </c>
      <c r="E1080" t="s">
        <v>90</v>
      </c>
      <c r="F1080" t="s">
        <v>86</v>
      </c>
      <c r="G1080" t="s">
        <v>154</v>
      </c>
      <c r="H1080" t="s">
        <v>155</v>
      </c>
      <c r="K1080" t="str">
        <f>B1037</f>
        <v>heat, residential, by combustion of hydrogen using CHP, allocated by exergy, transported by truck, produced by Auto-thermal reforming, with CCS using natural gas from Switzerland</v>
      </c>
      <c r="L1080">
        <f t="shared" si="68"/>
        <v>2</v>
      </c>
      <c r="M1080">
        <f t="shared" si="69"/>
        <v>-18.041099484645969</v>
      </c>
      <c r="N1080">
        <v>1.05</v>
      </c>
      <c r="O1080">
        <v>1.2</v>
      </c>
      <c r="P1080">
        <v>1</v>
      </c>
      <c r="Q1080">
        <v>1.01</v>
      </c>
      <c r="R1080">
        <v>1.2</v>
      </c>
      <c r="S1080">
        <v>1.2</v>
      </c>
      <c r="T1080">
        <v>1.05</v>
      </c>
      <c r="U1080">
        <f t="shared" si="70"/>
        <v>0.16169679924070957</v>
      </c>
    </row>
    <row r="1081" spans="1:22" hidden="1" x14ac:dyDescent="0.2">
      <c r="A1081" t="s">
        <v>157</v>
      </c>
      <c r="B1081" s="52">
        <f>0.00000011366*B1071*-1</f>
        <v>-1.461672399554354E-8</v>
      </c>
      <c r="C1081" t="s">
        <v>56</v>
      </c>
      <c r="E1081" t="s">
        <v>64</v>
      </c>
      <c r="F1081" t="s">
        <v>86</v>
      </c>
      <c r="G1081" t="s">
        <v>158</v>
      </c>
      <c r="H1081" t="s">
        <v>155</v>
      </c>
      <c r="K1081" t="str">
        <f>B1037</f>
        <v>heat, residential, by combustion of hydrogen using CHP, allocated by exergy, transported by truck, produced by Auto-thermal reforming, with CCS using natural gas from Switzerland</v>
      </c>
      <c r="L1081">
        <v>2</v>
      </c>
      <c r="M1081">
        <f>IF(L1081=2,LN(B1081*-1),"")</f>
        <v>-18.041099484645969</v>
      </c>
      <c r="N1081">
        <v>1.05</v>
      </c>
      <c r="O1081">
        <v>1.2</v>
      </c>
      <c r="P1081">
        <v>1</v>
      </c>
      <c r="Q1081">
        <v>1.01</v>
      </c>
      <c r="R1081">
        <v>1.2</v>
      </c>
      <c r="S1081">
        <v>1.2</v>
      </c>
      <c r="T1081">
        <v>3</v>
      </c>
      <c r="U1081">
        <f>LN(SQRT(EXP(
SQRT(
+POWER(LN(N1081),2)
+POWER(LN(O1081),2)
+POWER(LN(P1081),2)
+POWER(LN(Q1081),2)
+POWER(LN(R1081),2)
+POWER(LN(S1081),2)
+POWER(LN(T1081),2)
)
)))</f>
        <v>0.57209088006881903</v>
      </c>
      <c r="V1081" t="b">
        <v>1</v>
      </c>
    </row>
    <row r="1082" spans="1:22" hidden="1" x14ac:dyDescent="0.2">
      <c r="A1082" s="45" t="str">
        <f>"hydrogen supply, transported by "&amp;B1051&amp;", produced by "&amp;B1055&amp;" using "&amp;B1056&amp;" from "&amp;B1057</f>
        <v>hydrogen supply, transported by truck, produced by Auto-thermal reforming, with CCS using natural gas from Switzerland</v>
      </c>
      <c r="B1082" s="53">
        <f>(B1076/B1060)/B1059*B1071</f>
        <v>2.56995248347223E-3</v>
      </c>
      <c r="C1082" t="s">
        <v>56</v>
      </c>
      <c r="E1082" t="s">
        <v>64</v>
      </c>
      <c r="F1082" t="s">
        <v>86</v>
      </c>
      <c r="G1082" t="s">
        <v>1137</v>
      </c>
      <c r="H1082" t="s">
        <v>76</v>
      </c>
      <c r="I1082" t="s">
        <v>1054</v>
      </c>
      <c r="J1082" t="s">
        <v>308</v>
      </c>
      <c r="K1082" t="str">
        <f>B1037</f>
        <v>heat, residential, by combustion of hydrogen using CHP, allocated by exergy, transported by truck, produced by Auto-thermal reforming, with CCS using natural gas from Switzerland</v>
      </c>
      <c r="L1082">
        <f t="shared" si="68"/>
        <v>2</v>
      </c>
      <c r="M1082">
        <f t="shared" si="69"/>
        <v>-5.9638678691672418</v>
      </c>
      <c r="N1082">
        <v>1.05</v>
      </c>
      <c r="O1082">
        <v>1.2</v>
      </c>
      <c r="P1082">
        <v>1</v>
      </c>
      <c r="Q1082">
        <v>1.01</v>
      </c>
      <c r="R1082">
        <v>1.2</v>
      </c>
      <c r="S1082">
        <v>1.2</v>
      </c>
      <c r="T1082">
        <v>1.05</v>
      </c>
      <c r="U1082">
        <f t="shared" si="70"/>
        <v>0.16169679924070957</v>
      </c>
    </row>
    <row r="1083" spans="1:22" hidden="1" x14ac:dyDescent="0.2">
      <c r="A1083" t="str">
        <f>VLOOKUP(J1083,'dataset mapping'!$A$4:$E$69,2,0)</f>
        <v>high pressure hydrogen storage tank</v>
      </c>
      <c r="B1083" s="52">
        <f>((B1072/10)/(B1070*B1066*20*3.6))*IF(B1071&lt;&gt;0,B1071,1)</f>
        <v>2.7529546486023421E-7</v>
      </c>
      <c r="C1083" t="str">
        <f>VLOOKUP(J1083,'dataset mapping'!$A$4:$E$69,5,0)</f>
        <v>kilogram</v>
      </c>
      <c r="E1083" t="str">
        <f>VLOOKUP(J1083,'dataset mapping'!$A$4:$E$69,4,0)</f>
        <v>GLO</v>
      </c>
      <c r="F1083" t="s">
        <v>86</v>
      </c>
      <c r="G1083" t="str">
        <f>VLOOKUP(J1083,'dataset mapping'!$A$4:$E$69,3,0)</f>
        <v>high pressure hydrogen storage tank</v>
      </c>
      <c r="H1083" t="s">
        <v>88</v>
      </c>
      <c r="I1083" t="s">
        <v>279</v>
      </c>
      <c r="J1083" t="s">
        <v>229</v>
      </c>
      <c r="K1083" t="str">
        <f>B1037</f>
        <v>heat, residential, by combustion of hydrogen using CHP, allocated by exergy, transported by truck, produced by Auto-thermal reforming, with CCS using natural gas from Switzerland</v>
      </c>
      <c r="L1083">
        <f t="shared" si="68"/>
        <v>2</v>
      </c>
      <c r="M1083">
        <f t="shared" si="69"/>
        <v>-15.105420898379837</v>
      </c>
      <c r="N1083">
        <v>1.05</v>
      </c>
      <c r="O1083">
        <v>1.2</v>
      </c>
      <c r="P1083">
        <v>1</v>
      </c>
      <c r="Q1083">
        <v>1.01</v>
      </c>
      <c r="R1083">
        <v>1.2</v>
      </c>
      <c r="S1083">
        <v>1.2</v>
      </c>
      <c r="T1083">
        <v>3</v>
      </c>
      <c r="U1083">
        <f t="shared" si="70"/>
        <v>0.57209088006881903</v>
      </c>
    </row>
    <row r="1084" spans="1:22" hidden="1" x14ac:dyDescent="0.2">
      <c r="A1084" t="s">
        <v>134</v>
      </c>
      <c r="B1084" s="45">
        <f>B1082*9</f>
        <v>2.3129572351250072E-2</v>
      </c>
      <c r="C1084" t="s">
        <v>56</v>
      </c>
      <c r="D1084" t="s">
        <v>100</v>
      </c>
      <c r="F1084" t="s">
        <v>99</v>
      </c>
      <c r="H1084" t="s">
        <v>131</v>
      </c>
      <c r="K1084" t="str">
        <f>B1037</f>
        <v>heat, residential, by combustion of hydrogen using CHP, allocated by exergy, transported by truck, produced by Auto-thermal reforming, with CCS using natural gas from Switzerland</v>
      </c>
      <c r="L1084">
        <f t="shared" si="68"/>
        <v>2</v>
      </c>
      <c r="M1084">
        <f t="shared" si="69"/>
        <v>-3.7666432918310226</v>
      </c>
      <c r="N1084">
        <v>1.05</v>
      </c>
      <c r="O1084">
        <v>1.2</v>
      </c>
      <c r="P1084">
        <v>1</v>
      </c>
      <c r="Q1084">
        <v>1.01</v>
      </c>
      <c r="R1084">
        <v>1.2</v>
      </c>
      <c r="S1084">
        <v>1.2</v>
      </c>
      <c r="T1084">
        <v>1.05</v>
      </c>
      <c r="U1084">
        <f t="shared" si="70"/>
        <v>0.16169679924070957</v>
      </c>
    </row>
    <row r="1085" spans="1:22" hidden="1" x14ac:dyDescent="0.2">
      <c r="A1085" t="s">
        <v>135</v>
      </c>
      <c r="B1085" s="45">
        <f>912.5/1000000*B1082</f>
        <v>2.3450816411684101E-6</v>
      </c>
      <c r="C1085" t="s">
        <v>56</v>
      </c>
      <c r="D1085" t="s">
        <v>100</v>
      </c>
      <c r="F1085" t="s">
        <v>99</v>
      </c>
      <c r="H1085" t="s">
        <v>131</v>
      </c>
      <c r="I1085" t="s">
        <v>1217</v>
      </c>
      <c r="K1085" t="str">
        <f>B1037</f>
        <v>heat, residential, by combustion of hydrogen using CHP, allocated by exergy, transported by truck, produced by Auto-thermal reforming, with CCS using natural gas from Switzerland</v>
      </c>
      <c r="L1085">
        <f t="shared" si="68"/>
        <v>2</v>
      </c>
      <c r="M1085">
        <f t="shared" si="69"/>
        <v>-12.963190341674869</v>
      </c>
      <c r="N1085">
        <v>1.05</v>
      </c>
      <c r="O1085">
        <v>1.2</v>
      </c>
      <c r="P1085">
        <v>1</v>
      </c>
      <c r="Q1085">
        <v>1.01</v>
      </c>
      <c r="R1085">
        <v>1.2</v>
      </c>
      <c r="S1085">
        <v>1.2</v>
      </c>
      <c r="T1085">
        <v>1.5</v>
      </c>
      <c r="U1085">
        <f t="shared" si="70"/>
        <v>0.25816898211842121</v>
      </c>
    </row>
    <row r="1086" spans="1:22" hidden="1" x14ac:dyDescent="0.2"/>
    <row r="1087" spans="1:22" hidden="1" x14ac:dyDescent="0.2">
      <c r="A1087" s="2" t="s">
        <v>50</v>
      </c>
      <c r="B1087" s="44" t="str">
        <f>IF(B1093="megajoule","heat","electricity")&amp;", residential, by "&amp;B1098&amp;" of "&amp;B1097&amp;" using "&amp;B1099&amp;IF(B1100&lt;&gt;0,", allocated by "&amp;B1100,"")&amp;", transported by "&amp;B1101&amp;", produced by "&amp;B1105&amp;" using "&amp;B1106&amp;" from "&amp;B1107</f>
        <v>heat, residential, by conversion of hydrogen using fuel cell, PEM, allocated by exergy, transported by truck, produced by Auto-thermal reforming, with CCS using natural gas from Switzerland</v>
      </c>
    </row>
    <row r="1088" spans="1:22" hidden="1" x14ac:dyDescent="0.2">
      <c r="A1088" t="s">
        <v>51</v>
      </c>
      <c r="B1088" s="45" t="str">
        <f>"This dataset represents the supply of 1 "&amp;IF(B1093="megajoule","megajoule of heat","kilowatt hour of electricity")&amp;" in a residence, by "&amp;B1097&amp;" "&amp;B1098&amp;" in a "&amp;B1099&amp;". "&amp;" The hydrogen is transported by "&amp;B1101&amp;" over "&amp;B1102&amp;" km from regional storage. "&amp;" The "&amp;B1097&amp;" is produced by  "&amp;B1105&amp;", with "&amp;B1106&amp;" from "&amp;B1107&amp;" as feedstock. "&amp;A1109&amp;": "&amp;(B1109*100)&amp;"%. "&amp;A1110&amp;": "&amp;B1110&amp;". "&amp;A1111&amp;": "&amp;B1111&amp;". "&amp;A1112&amp;": "&amp;(B1112*100)&amp;"%. "&amp;A1113&amp;": "&amp;(B1113*100)&amp;"%. "&amp;A1114&amp;": "&amp;(B1114*100)&amp;"%. "&amp;A1115&amp;": "&amp;B1115&amp;". "&amp;A1116&amp;": "&amp;B1116&amp;". "&amp;A1117&amp;": "&amp;(B1117*100)&amp;"%. "&amp;A1118&amp;": "&amp;B1118&amp;". "&amp;A1119&amp;": "&amp;B1119&amp;". "&amp;A1120&amp;": "&amp;B1120&amp;". "&amp;A1121&amp;": "&amp;B1121&amp;".  For more information, refer to: "&amp;B1089</f>
        <v>This dataset represents the supply of 1 megajoule of heat in a residence, by hydrogen conversion in a fuel cell, PEM.  The hydrogen is transported by truck over 200 km from regional storage.  The hydrogen is produced by  Auto-thermal reforming, with CCS,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1089" spans="1:2" hidden="1" x14ac:dyDescent="0.2">
      <c r="A1089" t="s">
        <v>63</v>
      </c>
      <c r="B1089" s="45" t="s">
        <v>660</v>
      </c>
    </row>
    <row r="1090" spans="1:2" hidden="1" x14ac:dyDescent="0.2">
      <c r="A1090" t="s">
        <v>52</v>
      </c>
      <c r="B1090" s="45" t="s">
        <v>64</v>
      </c>
    </row>
    <row r="1091" spans="1:2" hidden="1" x14ac:dyDescent="0.2">
      <c r="A1091" t="s">
        <v>48</v>
      </c>
      <c r="B1091" s="45">
        <v>151</v>
      </c>
    </row>
    <row r="1092" spans="1:2" hidden="1" x14ac:dyDescent="0.2">
      <c r="A1092" t="s">
        <v>54</v>
      </c>
      <c r="B1092" s="45" t="str">
        <f>INDEX(overview!$B$4:$R$338,MATCH(B1091,overview!$A$4:$A$338,0),MATCH(A1092,overview!$B$3:$R$3,0))</f>
        <v>heat, from residential heating system</v>
      </c>
    </row>
    <row r="1093" spans="1:2" hidden="1" x14ac:dyDescent="0.2">
      <c r="A1093" t="s">
        <v>55</v>
      </c>
      <c r="B1093" s="45" t="str">
        <f>INDEX(overview!$B$4:$R$338,MATCH(B1091,overview!$A$4:$A$338,0),MATCH(A1093,overview!$B$3:$R$3,0))</f>
        <v>megajoule</v>
      </c>
    </row>
    <row r="1094" spans="1:2" hidden="1" x14ac:dyDescent="0.2">
      <c r="A1094" t="s">
        <v>0</v>
      </c>
      <c r="B1094" s="45" t="str">
        <f>INDEX(overview!$B$4:$R$338,MATCH(B1091,overview!$A$4:$A$338,0),MATCH(A1094,overview!$B$3:$R$3,0))</f>
        <v>Switzerland</v>
      </c>
    </row>
    <row r="1095" spans="1:2" hidden="1" x14ac:dyDescent="0.2">
      <c r="A1095" t="s">
        <v>1</v>
      </c>
      <c r="B1095" s="45">
        <f>INDEX(overview!$B$4:$R$338,MATCH(B1091,overview!$A$4:$A$338,0),MATCH(A1095,overview!$B$3:$R$3,0))</f>
        <v>2020</v>
      </c>
    </row>
    <row r="1096" spans="1:2" hidden="1" x14ac:dyDescent="0.2">
      <c r="A1096" t="s">
        <v>2</v>
      </c>
      <c r="B1096" s="45" t="str">
        <f>INDEX(overview!$B$4:$R$338,MATCH(B1091,overview!$A$4:$A$338,0),MATCH(A1096,overview!$B$3:$R$3,0))</f>
        <v>1 MJ heat</v>
      </c>
    </row>
    <row r="1097" spans="1:2" hidden="1" x14ac:dyDescent="0.2">
      <c r="A1097" t="s">
        <v>5</v>
      </c>
      <c r="B1097" s="45" t="str">
        <f>INDEX(overview!$B$4:$R$338,MATCH(B1091,overview!$A$4:$A$338,0),MATCH(A1097,overview!$B$3:$R$3,0))</f>
        <v>hydrogen</v>
      </c>
    </row>
    <row r="1098" spans="1:2" hidden="1" x14ac:dyDescent="0.2">
      <c r="A1098" t="s">
        <v>3</v>
      </c>
      <c r="B1098" s="45" t="str">
        <f>INDEX(overview!$B$4:$R$338,MATCH(B1091,overview!$A$4:$A$338,0),MATCH(A1098,overview!$B$3:$R$3,0))</f>
        <v>conversion</v>
      </c>
    </row>
    <row r="1099" spans="1:2" hidden="1" x14ac:dyDescent="0.2">
      <c r="A1099" t="s">
        <v>6</v>
      </c>
      <c r="B1099" s="45" t="str">
        <f>INDEX(overview!$B$4:$R$338,MATCH(B1091,overview!$A$4:$A$338,0),MATCH(A1099,overview!$B$3:$R$3,0))</f>
        <v>fuel cell, PEM</v>
      </c>
    </row>
    <row r="1100" spans="1:2" hidden="1" x14ac:dyDescent="0.2">
      <c r="A1100" t="s">
        <v>39</v>
      </c>
      <c r="B1100" s="45" t="str">
        <f>INDEX(overview!$B$4:$R$338,MATCH(B1091,overview!$A$4:$A$338,0),MATCH(A1100,overview!$B$3:$R$3,0))</f>
        <v>exergy</v>
      </c>
    </row>
    <row r="1101" spans="1:2" hidden="1" x14ac:dyDescent="0.2">
      <c r="A1101" t="s">
        <v>4</v>
      </c>
      <c r="B1101" s="45" t="str">
        <f>INDEX(overview!$B$4:$R$338,MATCH(B1091,overview!$A$4:$A$338,0),MATCH(A1101,overview!$B$3:$R$3,0))</f>
        <v>truck</v>
      </c>
    </row>
    <row r="1102" spans="1:2" hidden="1" x14ac:dyDescent="0.2">
      <c r="A1102" t="s">
        <v>38</v>
      </c>
      <c r="B1102" s="45">
        <f>INDEX(overview!$B$4:$R$338,MATCH(B1091,overview!$A$4:$A$338,0),MATCH(A1102,overview!$B$3:$R$3,0))</f>
        <v>200</v>
      </c>
    </row>
    <row r="1103" spans="1:2" hidden="1" x14ac:dyDescent="0.2">
      <c r="A1103" t="s">
        <v>12</v>
      </c>
      <c r="B1103" s="45" t="str">
        <f>INDEX(overview!$B$4:$R$338,MATCH(B1091,overview!$A$4:$A$338,0),MATCH(A1103,overview!$B$3:$R$3,0))</f>
        <v>Pressure vessel for stationary storage</v>
      </c>
    </row>
    <row r="1104" spans="1:2" hidden="1" x14ac:dyDescent="0.2">
      <c r="A1104" t="s">
        <v>34</v>
      </c>
      <c r="B1104" s="45">
        <f>INDEX(overview!$B$4:$R$338,MATCH(B1091,overview!$A$4:$A$338,0),MATCH(A1104,overview!$B$3:$R$3,0))</f>
        <v>0</v>
      </c>
    </row>
    <row r="1105" spans="1:2" hidden="1" x14ac:dyDescent="0.2">
      <c r="A1105" t="s">
        <v>15</v>
      </c>
      <c r="B1105" s="45" t="str">
        <f>INDEX(overview!$B$4:$R$338,MATCH(B1091,overview!$A$4:$A$338,0),MATCH(A1105,overview!$B$3:$R$3,0))</f>
        <v>Auto-thermal reforming, with CCS</v>
      </c>
    </row>
    <row r="1106" spans="1:2" hidden="1" x14ac:dyDescent="0.2">
      <c r="A1106" t="s">
        <v>14</v>
      </c>
      <c r="B1106" s="45" t="str">
        <f>INDEX(overview!$B$4:$R$338,MATCH(B1091,overview!$A$4:$A$338,0),MATCH(A1106,overview!$B$3:$R$3,0))</f>
        <v>natural gas</v>
      </c>
    </row>
    <row r="1107" spans="1:2" hidden="1" x14ac:dyDescent="0.2">
      <c r="A1107" t="s">
        <v>26</v>
      </c>
      <c r="B1107" s="45" t="str">
        <f>INDEX(overview!$B$4:$R$338,MATCH(B1091,overview!$A$4:$A$338,0),MATCH(A1107,overview!$B$3:$R$3,0))</f>
        <v>Switzerland</v>
      </c>
    </row>
    <row r="1108" spans="1:2" hidden="1" x14ac:dyDescent="0.2">
      <c r="A1108" t="s">
        <v>29</v>
      </c>
      <c r="B1108" s="45">
        <f>INDEX(overview!$B$4:$R$338,MATCH(B1091,overview!$A$4:$A$338,0),MATCH(A1108,overview!$B$3:$R$3,0))</f>
        <v>0</v>
      </c>
    </row>
    <row r="1109" spans="1:2" hidden="1" x14ac:dyDescent="0.2">
      <c r="A1109" t="str">
        <f>IF(B1093="megajoule","Heat","Electricity")&amp;" conversion efficiency [% LHV input]"</f>
        <v>Heat conversion efficiency [% LHV input]</v>
      </c>
      <c r="B1109" s="46">
        <f>INDEX(parameters!$D$4:$N$20,MATCH(B1097&amp;B1099,parameters!$A$4:$A$20,0),MATCH(A1109,parameters!$D$3:$N$3,0))</f>
        <v>0.5</v>
      </c>
    </row>
    <row r="1110" spans="1:2" hidden="1" x14ac:dyDescent="0.2">
      <c r="A1110" t="str">
        <f>IF(B1093="megajoule","LHV [MJ/kg]","LHV [kWh/kg]")</f>
        <v>LHV [MJ/kg]</v>
      </c>
      <c r="B1110" s="47">
        <f>INDEX(parameters!$D$4:$N$20,MATCH(B1097&amp;B1099,parameters!$A$4:$A$20,0),MATCH(A1110,parameters!$D$3:$N$3,0))</f>
        <v>120</v>
      </c>
    </row>
    <row r="1111" spans="1:2" hidden="1" x14ac:dyDescent="0.2">
      <c r="A1111" t="s">
        <v>41</v>
      </c>
      <c r="B1111" s="48">
        <f>INDEX(parameters!$D$4:$N$20,MATCH(B1097&amp;B1099,parameters!$A$4:$A$20,0),MATCH(A1111,parameters!$D$3:$N$3,0))</f>
        <v>2.6666666666666665E-2</v>
      </c>
    </row>
    <row r="1112" spans="1:2" hidden="1" x14ac:dyDescent="0.2">
      <c r="A1112" t="s">
        <v>45</v>
      </c>
      <c r="B1112" s="46">
        <f>INDEX(parameters!$D$4:$N$20,MATCH(B1097&amp;B1099,parameters!$A$4:$A$20,0),MATCH(A1112,parameters!$D$3:$N$3,0))</f>
        <v>0</v>
      </c>
    </row>
    <row r="1113" spans="1:2" hidden="1" x14ac:dyDescent="0.2">
      <c r="A1113" t="s">
        <v>46</v>
      </c>
      <c r="B1113" s="46">
        <f>INDEX(parameters!$D$4:$N$20,MATCH(B1097&amp;B1099,parameters!$A$4:$A$20,0),MATCH(A1113,parameters!$D$3:$N$3,0))</f>
        <v>1.4999999999999999E-2</v>
      </c>
    </row>
    <row r="1114" spans="1:2" hidden="1" x14ac:dyDescent="0.2">
      <c r="A1114" t="s">
        <v>43</v>
      </c>
      <c r="B1114" s="46">
        <f>INDEX(parameters!$D$4:$N$20,MATCH(B1097&amp;B1099,parameters!$A$4:$A$20,0),MATCH(A1114,parameters!$D$3:$N$3,0))</f>
        <v>0</v>
      </c>
    </row>
    <row r="1115" spans="1:2" hidden="1" x14ac:dyDescent="0.2">
      <c r="A1115" t="s">
        <v>44</v>
      </c>
      <c r="B1115" s="46">
        <f>INDEX(parameters!$D$4:$N$20,MATCH(B1097&amp;B1099,parameters!$A$4:$A$20,0),MATCH(A1115,parameters!$D$3:$N$3,0))</f>
        <v>0</v>
      </c>
    </row>
    <row r="1116" spans="1:2" hidden="1" x14ac:dyDescent="0.2">
      <c r="A1116" t="s">
        <v>634</v>
      </c>
      <c r="B1116" s="47">
        <f>INDEX(parameters!$D$4:$Y$20,MATCH(B1097&amp;B1099,parameters!$A$4:$A$20,0),MATCH(A1116,parameters!$D$3:$Y$3,0))</f>
        <v>1.8947368421052633</v>
      </c>
    </row>
    <row r="1117" spans="1:2" hidden="1" x14ac:dyDescent="0.2">
      <c r="A1117" t="s">
        <v>82</v>
      </c>
      <c r="B1117" s="46">
        <f>IF(B1108&lt;&gt;0,VLOOKUP(B1108,parameters!A767:B769,2,0),0)</f>
        <v>0</v>
      </c>
    </row>
    <row r="1118" spans="1:2" hidden="1" x14ac:dyDescent="0.2">
      <c r="A1118" t="s">
        <v>548</v>
      </c>
      <c r="B1118" s="50">
        <f>INDEX(parameters!$D$4:$P$20,MATCH(B1097&amp;B1099,parameters!$A$4:$A$20,0),MATCH(A1118,parameters!$D$3:$P$3,0))</f>
        <v>0.8</v>
      </c>
    </row>
    <row r="1119" spans="1:2" hidden="1" x14ac:dyDescent="0.2">
      <c r="A1119" t="s">
        <v>547</v>
      </c>
      <c r="B1119" s="51">
        <f>INDEX(parameters!$D$4:$P$20,MATCH(B1097&amp;B1099,parameters!$A$4:$A$20,0),MATCH(A1119,parameters!$D$3:$P$3,0))</f>
        <v>4.8780487804878048</v>
      </c>
    </row>
    <row r="1120" spans="1:2" hidden="1" x14ac:dyDescent="0.2">
      <c r="A1120" t="s">
        <v>630</v>
      </c>
      <c r="B1120" s="51">
        <f>INDEX(parameters!$D$4:$T$20,MATCH(B1097&amp;B1099,parameters!$A$4:$A$20,0),MATCH(A1120,parameters!$D$3:$T$3,0))</f>
        <v>4100</v>
      </c>
    </row>
    <row r="1121" spans="1:22" hidden="1" x14ac:dyDescent="0.2">
      <c r="A1121" t="s">
        <v>1005</v>
      </c>
      <c r="B1121" s="50">
        <f>IF(B1093="megajoule",SUMIFS(allocation!$I$4:$I$30,allocation!$B$4:$B$30,B1099,allocation!$C$4:$C$30,B1100),SUMIFS(allocation!$J$4:$J$30,allocation!$B$4:$B$30,B1099,allocation!$C$4:$C$30,B1100))</f>
        <v>0.13933980798974457</v>
      </c>
    </row>
    <row r="1122" spans="1:22" hidden="1" x14ac:dyDescent="0.2">
      <c r="A1122" t="s">
        <v>1050</v>
      </c>
      <c r="B1122" s="51">
        <f>INDEX(parameters!$D$4:$AB$20,MATCH(B1097&amp;B1099,parameters!$A$4:$A$20,0),MATCH(A1122,parameters!$D$3:$AB$3,0))</f>
        <v>10.221606648199446</v>
      </c>
    </row>
    <row r="1123" spans="1:22" hidden="1" x14ac:dyDescent="0.2"/>
    <row r="1124" spans="1:22" hidden="1" x14ac:dyDescent="0.2">
      <c r="A1124" s="3" t="s">
        <v>57</v>
      </c>
    </row>
    <row r="1125" spans="1:22" hidden="1" x14ac:dyDescent="0.2">
      <c r="A1125" s="2" t="s">
        <v>58</v>
      </c>
      <c r="B1125" s="44" t="s">
        <v>59</v>
      </c>
      <c r="C1125" s="2" t="s">
        <v>55</v>
      </c>
      <c r="D1125" s="2" t="s">
        <v>60</v>
      </c>
      <c r="E1125" s="2" t="s">
        <v>52</v>
      </c>
      <c r="F1125" s="2" t="s">
        <v>61</v>
      </c>
      <c r="G1125" s="2" t="s">
        <v>54</v>
      </c>
      <c r="H1125" s="2" t="s">
        <v>87</v>
      </c>
      <c r="I1125" s="2" t="s">
        <v>51</v>
      </c>
      <c r="J1125" s="2" t="s">
        <v>138</v>
      </c>
      <c r="K1125" s="2" t="s">
        <v>136</v>
      </c>
      <c r="L1125" s="2" t="s">
        <v>221</v>
      </c>
      <c r="M1125" s="2" t="s">
        <v>379</v>
      </c>
      <c r="N1125" s="2" t="s">
        <v>1059</v>
      </c>
      <c r="O1125" s="2" t="s">
        <v>1060</v>
      </c>
      <c r="P1125" s="2" t="s">
        <v>1061</v>
      </c>
      <c r="Q1125" s="2" t="s">
        <v>1062</v>
      </c>
      <c r="R1125" s="2" t="s">
        <v>1063</v>
      </c>
      <c r="S1125" s="2" t="s">
        <v>1064</v>
      </c>
      <c r="T1125" s="2" t="s">
        <v>1065</v>
      </c>
      <c r="U1125" s="2" t="s">
        <v>380</v>
      </c>
      <c r="V1125" s="2" t="s">
        <v>1128</v>
      </c>
    </row>
    <row r="1126" spans="1:22" x14ac:dyDescent="0.2">
      <c r="A1126" t="str">
        <f>B1087</f>
        <v>heat, residential, by conversion of hydrogen using fuel cell, PEM, allocated by exergy, transported by truck, produced by Auto-thermal reforming, with CCS using natural gas from Switzerland</v>
      </c>
      <c r="B1126" s="45">
        <v>1</v>
      </c>
      <c r="C1126" t="str">
        <f>B1093</f>
        <v>megajoule</v>
      </c>
      <c r="E1126" t="str">
        <f>B1090</f>
        <v>CH</v>
      </c>
      <c r="F1126" t="s">
        <v>62</v>
      </c>
      <c r="G1126" t="str">
        <f>B1092</f>
        <v>heat, from residential heating system</v>
      </c>
      <c r="K1126" t="str">
        <f>B1087</f>
        <v>heat, residential, by conversion of hydrogen using fuel cell, PEM, allocated by exergy, transported by truck, produced by Auto-thermal reforming, with CCS using natural gas from Switzerland</v>
      </c>
    </row>
    <row r="1127" spans="1:22" hidden="1" x14ac:dyDescent="0.2">
      <c r="A1127" t="str">
        <f>VLOOKUP(J1127,'dataset mapping'!$A$4:$E$69,2,0)</f>
        <v>fuel cell system assembly, 1 kWe, proton exchange membrane (PEM)</v>
      </c>
      <c r="B1127" s="52">
        <f>(1/(B1116*B1120*B1119*3.6))*B1121</f>
        <v>1.0213951974556892E-6</v>
      </c>
      <c r="C1127" t="str">
        <f>VLOOKUP(J1127,'dataset mapping'!$A$4:$E$69,5,0)</f>
        <v>unit</v>
      </c>
      <c r="E1127" t="str">
        <f>VLOOKUP(J1127,'dataset mapping'!$A$4:$E$69,4,0)</f>
        <v>GLO</v>
      </c>
      <c r="F1127" t="s">
        <v>86</v>
      </c>
      <c r="G1127" t="str">
        <f>VLOOKUP(J1127,'dataset mapping'!$A$4:$E$69,3,0)</f>
        <v>fuel cell system, 1 kWe, proton exchange membrane (PEM)</v>
      </c>
      <c r="H1127" t="s">
        <v>88</v>
      </c>
      <c r="I1127" t="s">
        <v>272</v>
      </c>
      <c r="J1127" t="s">
        <v>273</v>
      </c>
      <c r="K1127" t="str">
        <f>B1087</f>
        <v>heat, residential, by conversion of hydrogen using fuel cell, PEM, allocated by exergy, transported by truck, produced by Auto-thermal reforming, with CCS using natural gas from Switzerland</v>
      </c>
      <c r="L1127">
        <f t="shared" ref="L1127:L1130" si="71">IF(OR(B1127&lt;0,B1127=0),1,2)</f>
        <v>2</v>
      </c>
      <c r="M1127">
        <f t="shared" ref="M1127:M1130" si="72">IF(L1127=2,LN(B1127),"")</f>
        <v>-13.794341024667077</v>
      </c>
      <c r="N1127">
        <v>1</v>
      </c>
      <c r="O1127">
        <v>1.2</v>
      </c>
      <c r="P1127">
        <v>1</v>
      </c>
      <c r="Q1127">
        <v>1.01</v>
      </c>
      <c r="R1127">
        <v>1.2</v>
      </c>
      <c r="S1127">
        <v>1.2</v>
      </c>
      <c r="T1127">
        <v>3</v>
      </c>
      <c r="U1127">
        <f t="shared" ref="U1127:U1130" si="73">LN(SQRT(EXP(
SQRT(
+POWER(LN(N1127),2)
+POWER(LN(O1127),2)
+POWER(LN(P1127),2)
+POWER(LN(Q1127),2)
+POWER(LN(R1127),2)
+POWER(LN(S1127),2)
+POWER(LN(T1127),2)
)
)))</f>
        <v>0.57157051623399524</v>
      </c>
    </row>
    <row r="1128" spans="1:22" hidden="1" x14ac:dyDescent="0.2">
      <c r="A1128" s="45" t="str">
        <f>"hydrogen supply, transported by "&amp;B1101&amp;", produced by "&amp;B1105&amp;" using "&amp;B1106&amp;" from "&amp;B1107</f>
        <v>hydrogen supply, transported by truck, produced by Auto-thermal reforming, with CCS using natural gas from Switzerland</v>
      </c>
      <c r="B1128" s="53">
        <f>(B1126/B1110)/B1109*B1121</f>
        <v>2.3223301331624095E-3</v>
      </c>
      <c r="C1128" t="s">
        <v>56</v>
      </c>
      <c r="E1128" t="s">
        <v>64</v>
      </c>
      <c r="F1128" t="s">
        <v>86</v>
      </c>
      <c r="G1128" t="s">
        <v>1137</v>
      </c>
      <c r="H1128" t="s">
        <v>76</v>
      </c>
      <c r="I1128" t="s">
        <v>1054</v>
      </c>
      <c r="J1128" t="s">
        <v>308</v>
      </c>
      <c r="K1128" t="str">
        <f>B1087</f>
        <v>heat, residential, by conversion of hydrogen using fuel cell, PEM, allocated by exergy, transported by truck, produced by Auto-thermal reforming, with CCS using natural gas from Switzerland</v>
      </c>
      <c r="L1128">
        <f t="shared" si="71"/>
        <v>2</v>
      </c>
      <c r="M1128">
        <f t="shared" si="72"/>
        <v>-6.0651842296013152</v>
      </c>
      <c r="N1128">
        <v>1</v>
      </c>
      <c r="O1128">
        <v>1.2</v>
      </c>
      <c r="P1128">
        <v>1</v>
      </c>
      <c r="Q1128">
        <v>1.01</v>
      </c>
      <c r="R1128">
        <v>1.2</v>
      </c>
      <c r="S1128">
        <v>1.2</v>
      </c>
      <c r="T1128">
        <v>1.05</v>
      </c>
      <c r="U1128">
        <f t="shared" si="73"/>
        <v>0.15984597228197622</v>
      </c>
    </row>
    <row r="1129" spans="1:22" hidden="1" x14ac:dyDescent="0.2">
      <c r="A1129" t="str">
        <f>VLOOKUP(J1129,'dataset mapping'!$A$4:$E$69,2,0)</f>
        <v>high pressure hydrogen storage tank</v>
      </c>
      <c r="B1129" s="52">
        <f>((B1122/10)/(B1120*B1116*20*3.6))*IF(B1121&lt;&gt;0,B1121,1)</f>
        <v>2.5464146196956242E-7</v>
      </c>
      <c r="C1129" t="str">
        <f>VLOOKUP(J1129,'dataset mapping'!$A$4:$E$69,5,0)</f>
        <v>kilogram</v>
      </c>
      <c r="E1129" t="str">
        <f>VLOOKUP(J1129,'dataset mapping'!$A$4:$E$69,4,0)</f>
        <v>GLO</v>
      </c>
      <c r="F1129" t="s">
        <v>86</v>
      </c>
      <c r="G1129" t="str">
        <f>VLOOKUP(J1129,'dataset mapping'!$A$4:$E$69,3,0)</f>
        <v>high pressure hydrogen storage tank</v>
      </c>
      <c r="H1129" t="s">
        <v>88</v>
      </c>
      <c r="I1129" t="s">
        <v>280</v>
      </c>
      <c r="J1129" t="s">
        <v>229</v>
      </c>
      <c r="K1129" t="str">
        <f>B1087</f>
        <v>heat, residential, by conversion of hydrogen using fuel cell, PEM, allocated by exergy, transported by truck, produced by Auto-thermal reforming, with CCS using natural gas from Switzerland</v>
      </c>
      <c r="L1129">
        <f t="shared" si="71"/>
        <v>2</v>
      </c>
      <c r="M1129">
        <f t="shared" si="72"/>
        <v>-15.183409312669692</v>
      </c>
      <c r="N1129">
        <v>1</v>
      </c>
      <c r="O1129">
        <v>1.2</v>
      </c>
      <c r="P1129">
        <v>1</v>
      </c>
      <c r="Q1129">
        <v>1.01</v>
      </c>
      <c r="R1129">
        <v>1.2</v>
      </c>
      <c r="S1129">
        <v>1.2</v>
      </c>
      <c r="T1129">
        <v>3</v>
      </c>
      <c r="U1129">
        <f t="shared" si="73"/>
        <v>0.57157051623399524</v>
      </c>
    </row>
    <row r="1130" spans="1:22" hidden="1" x14ac:dyDescent="0.2">
      <c r="A1130" t="s">
        <v>134</v>
      </c>
      <c r="B1130" s="45">
        <f>B1128*9</f>
        <v>2.0900971198461685E-2</v>
      </c>
      <c r="C1130" t="s">
        <v>56</v>
      </c>
      <c r="D1130" t="s">
        <v>100</v>
      </c>
      <c r="F1130" t="s">
        <v>99</v>
      </c>
      <c r="H1130" t="s">
        <v>131</v>
      </c>
      <c r="I1130" t="s">
        <v>289</v>
      </c>
      <c r="K1130" t="str">
        <f>B1087</f>
        <v>heat, residential, by conversion of hydrogen using fuel cell, PEM, allocated by exergy, transported by truck, produced by Auto-thermal reforming, with CCS using natural gas from Switzerland</v>
      </c>
      <c r="L1130">
        <f t="shared" si="71"/>
        <v>2</v>
      </c>
      <c r="M1130">
        <f t="shared" si="72"/>
        <v>-3.8679596522650961</v>
      </c>
      <c r="N1130">
        <v>1</v>
      </c>
      <c r="O1130">
        <v>1.2</v>
      </c>
      <c r="P1130">
        <v>1</v>
      </c>
      <c r="Q1130">
        <v>1.01</v>
      </c>
      <c r="R1130">
        <v>1.2</v>
      </c>
      <c r="S1130">
        <v>1.2</v>
      </c>
      <c r="T1130">
        <v>1.05</v>
      </c>
      <c r="U1130">
        <f t="shared" si="73"/>
        <v>0.15984597228197622</v>
      </c>
    </row>
    <row r="1131" spans="1:22" hidden="1" x14ac:dyDescent="0.2"/>
    <row r="1132" spans="1:22" hidden="1" x14ac:dyDescent="0.2">
      <c r="A1132" s="2" t="s">
        <v>50</v>
      </c>
      <c r="B1132" s="44" t="str">
        <f>IF(B1138="megajoule","heat","electricity")&amp;", residential, by "&amp;B1143&amp;" of "&amp;B1142&amp;" using "&amp;B1144&amp;IF(B1145&lt;&gt;0,", allocated by "&amp;B1145,"")&amp;", transported by "&amp;B1146&amp;", produced by "&amp;B1150&amp;" using "&amp;B1151&amp;" from "&amp;B1152</f>
        <v>heat, residential, by conversion of hydrogen using fuel cell, SOFC, allocated by exergy, transported by truck, produced by Auto-thermal reforming, with CCS using natural gas from Switzerland</v>
      </c>
    </row>
    <row r="1133" spans="1:22" hidden="1" x14ac:dyDescent="0.2">
      <c r="A1133" t="s">
        <v>51</v>
      </c>
      <c r="B1133" s="45" t="str">
        <f>"This dataset represents the supply of 1 "&amp;IF(B1138="megajoule","megajoule of heat","kilowatt hour of electricity")&amp;" in a residence, by "&amp;B1142&amp;" "&amp;B1143&amp;" in a "&amp;B1144&amp;". "&amp;" The hydrogen is transported by "&amp;B1146&amp;" over "&amp;B1147&amp;" km from regional storage. "&amp;" The "&amp;B1142&amp;" is produced by  "&amp;B1150&amp;", with "&amp;B1151&amp;" from "&amp;B1152&amp;" as feedstock. "&amp;A1154&amp;": "&amp;(B1154*100)&amp;"%. "&amp;A1155&amp;": "&amp;B1155&amp;". "&amp;A1156&amp;": "&amp;B1156&amp;". "&amp;A1157&amp;": "&amp;(B1157*100)&amp;"%. "&amp;A1158&amp;": "&amp;(B1158*100)&amp;"%. "&amp;A1159&amp;": "&amp;(B1159*100)&amp;"%. "&amp;A1160&amp;": "&amp;B1160&amp;". "&amp;A1161&amp;": "&amp;B1161&amp;". "&amp;A1162&amp;": "&amp;(B1162*100)&amp;"%. "&amp;A1163&amp;": "&amp;B1163&amp;". "&amp;A1164&amp;": "&amp;B1164&amp;". "&amp;A1165&amp;": "&amp;B1165&amp;". "&amp;A1166&amp;": "&amp;B1166&amp;".  For more information, refer to: "&amp;B1134</f>
        <v>This dataset represents the supply of 1 megajoule of heat in a residence, by hydrogen conversion in a fuel cell, SOFC.  The hydrogen is transported by truck over 200 km from regional storage.  The hydrogen is produced by  Auto-thermal reforming, with CCS,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134" spans="1:22" hidden="1" x14ac:dyDescent="0.2">
      <c r="A1134" t="s">
        <v>63</v>
      </c>
      <c r="B1134" s="45" t="s">
        <v>660</v>
      </c>
    </row>
    <row r="1135" spans="1:22" hidden="1" x14ac:dyDescent="0.2">
      <c r="A1135" t="s">
        <v>52</v>
      </c>
      <c r="B1135" s="45" t="s">
        <v>64</v>
      </c>
    </row>
    <row r="1136" spans="1:22" hidden="1" x14ac:dyDescent="0.2">
      <c r="A1136" t="s">
        <v>48</v>
      </c>
      <c r="B1136" s="45">
        <v>152</v>
      </c>
    </row>
    <row r="1137" spans="1:2" hidden="1" x14ac:dyDescent="0.2">
      <c r="A1137" t="s">
        <v>54</v>
      </c>
      <c r="B1137" s="45" t="str">
        <f>INDEX(overview!$B$4:$R$338,MATCH(B1136,overview!$A$4:$A$338,0),MATCH(A1137,overview!$B$3:$R$3,0))</f>
        <v>heat, from residential heating system</v>
      </c>
    </row>
    <row r="1138" spans="1:2" hidden="1" x14ac:dyDescent="0.2">
      <c r="A1138" t="s">
        <v>55</v>
      </c>
      <c r="B1138" s="45" t="str">
        <f>INDEX(overview!$B$4:$R$338,MATCH(B1136,overview!$A$4:$A$338,0),MATCH(A1138,overview!$B$3:$R$3,0))</f>
        <v>megajoule</v>
      </c>
    </row>
    <row r="1139" spans="1:2" hidden="1" x14ac:dyDescent="0.2">
      <c r="A1139" t="s">
        <v>0</v>
      </c>
      <c r="B1139" s="45" t="str">
        <f>INDEX(overview!$B$4:$R$338,MATCH(B1136,overview!$A$4:$A$338,0),MATCH(A1139,overview!$B$3:$R$3,0))</f>
        <v>Switzerland</v>
      </c>
    </row>
    <row r="1140" spans="1:2" hidden="1" x14ac:dyDescent="0.2">
      <c r="A1140" t="s">
        <v>1</v>
      </c>
      <c r="B1140" s="45">
        <f>INDEX(overview!$B$4:$R$338,MATCH(B1136,overview!$A$4:$A$338,0),MATCH(A1140,overview!$B$3:$R$3,0))</f>
        <v>2020</v>
      </c>
    </row>
    <row r="1141" spans="1:2" hidden="1" x14ac:dyDescent="0.2">
      <c r="A1141" t="s">
        <v>2</v>
      </c>
      <c r="B1141" s="45" t="str">
        <f>INDEX(overview!$B$4:$R$338,MATCH(B1136,overview!$A$4:$A$338,0),MATCH(A1141,overview!$B$3:$R$3,0))</f>
        <v>1 MJ heat</v>
      </c>
    </row>
    <row r="1142" spans="1:2" hidden="1" x14ac:dyDescent="0.2">
      <c r="A1142" t="s">
        <v>5</v>
      </c>
      <c r="B1142" s="45" t="str">
        <f>INDEX(overview!$B$4:$R$338,MATCH(B1136,overview!$A$4:$A$338,0),MATCH(A1142,overview!$B$3:$R$3,0))</f>
        <v>hydrogen</v>
      </c>
    </row>
    <row r="1143" spans="1:2" hidden="1" x14ac:dyDescent="0.2">
      <c r="A1143" t="s">
        <v>3</v>
      </c>
      <c r="B1143" s="45" t="str">
        <f>INDEX(overview!$B$4:$R$338,MATCH(B1136,overview!$A$4:$A$338,0),MATCH(A1143,overview!$B$3:$R$3,0))</f>
        <v>conversion</v>
      </c>
    </row>
    <row r="1144" spans="1:2" hidden="1" x14ac:dyDescent="0.2">
      <c r="A1144" t="s">
        <v>6</v>
      </c>
      <c r="B1144" s="45" t="str">
        <f>INDEX(overview!$B$4:$R$338,MATCH(B1136,overview!$A$4:$A$338,0),MATCH(A1144,overview!$B$3:$R$3,0))</f>
        <v>fuel cell, SOFC</v>
      </c>
    </row>
    <row r="1145" spans="1:2" hidden="1" x14ac:dyDescent="0.2">
      <c r="A1145" t="s">
        <v>39</v>
      </c>
      <c r="B1145" s="45" t="str">
        <f>INDEX(overview!$B$4:$R$338,MATCH(B1136,overview!$A$4:$A$338,0),MATCH(A1145,overview!$B$3:$R$3,0))</f>
        <v>exergy</v>
      </c>
    </row>
    <row r="1146" spans="1:2" hidden="1" x14ac:dyDescent="0.2">
      <c r="A1146" t="s">
        <v>4</v>
      </c>
      <c r="B1146" s="45" t="str">
        <f>INDEX(overview!$B$4:$R$338,MATCH(B1136,overview!$A$4:$A$338,0),MATCH(A1146,overview!$B$3:$R$3,0))</f>
        <v>truck</v>
      </c>
    </row>
    <row r="1147" spans="1:2" hidden="1" x14ac:dyDescent="0.2">
      <c r="A1147" t="s">
        <v>38</v>
      </c>
      <c r="B1147" s="45">
        <f>INDEX(overview!$B$4:$R$338,MATCH(B1136,overview!$A$4:$A$338,0),MATCH(A1147,overview!$B$3:$R$3,0))</f>
        <v>200</v>
      </c>
    </row>
    <row r="1148" spans="1:2" hidden="1" x14ac:dyDescent="0.2">
      <c r="A1148" t="s">
        <v>12</v>
      </c>
      <c r="B1148" s="45" t="str">
        <f>INDEX(overview!$B$4:$R$338,MATCH(B1136,overview!$A$4:$A$338,0),MATCH(A1148,overview!$B$3:$R$3,0))</f>
        <v>Pressure vessel for stationary storage</v>
      </c>
    </row>
    <row r="1149" spans="1:2" hidden="1" x14ac:dyDescent="0.2">
      <c r="A1149" t="s">
        <v>34</v>
      </c>
      <c r="B1149" s="45">
        <f>INDEX(overview!$B$4:$R$338,MATCH(B1136,overview!$A$4:$A$338,0),MATCH(A1149,overview!$B$3:$R$3,0))</f>
        <v>0</v>
      </c>
    </row>
    <row r="1150" spans="1:2" hidden="1" x14ac:dyDescent="0.2">
      <c r="A1150" t="s">
        <v>15</v>
      </c>
      <c r="B1150" s="45" t="str">
        <f>INDEX(overview!$B$4:$R$338,MATCH(B1136,overview!$A$4:$A$338,0),MATCH(A1150,overview!$B$3:$R$3,0))</f>
        <v>Auto-thermal reforming, with CCS</v>
      </c>
    </row>
    <row r="1151" spans="1:2" hidden="1" x14ac:dyDescent="0.2">
      <c r="A1151" t="s">
        <v>14</v>
      </c>
      <c r="B1151" s="45" t="str">
        <f>INDEX(overview!$B$4:$R$338,MATCH(B1136,overview!$A$4:$A$338,0),MATCH(A1151,overview!$B$3:$R$3,0))</f>
        <v>natural gas</v>
      </c>
    </row>
    <row r="1152" spans="1:2" hidden="1" x14ac:dyDescent="0.2">
      <c r="A1152" t="s">
        <v>26</v>
      </c>
      <c r="B1152" s="45" t="str">
        <f>INDEX(overview!$B$4:$R$338,MATCH(B1136,overview!$A$4:$A$338,0),MATCH(A1152,overview!$B$3:$R$3,0))</f>
        <v>Switzerland</v>
      </c>
    </row>
    <row r="1153" spans="1:4" hidden="1" x14ac:dyDescent="0.2">
      <c r="A1153" t="s">
        <v>29</v>
      </c>
      <c r="B1153" s="45">
        <f>INDEX(overview!$B$4:$R$338,MATCH(B1136,overview!$A$4:$A$338,0),MATCH(A1153,overview!$B$3:$R$3,0))</f>
        <v>0</v>
      </c>
    </row>
    <row r="1154" spans="1:4" hidden="1" x14ac:dyDescent="0.2">
      <c r="A1154" t="str">
        <f>IF(B1138="megajoule","Heat","Electricity")&amp;" conversion efficiency [% LHV input]"</f>
        <v>Heat conversion efficiency [% LHV input]</v>
      </c>
      <c r="B1154" s="46">
        <f>INDEX(parameters!$D$4:$N$20,MATCH(B1142&amp;B1144,parameters!$A$4:$A$20,0),MATCH(A1154,parameters!$D$3:$N$3,0))</f>
        <v>0.53</v>
      </c>
    </row>
    <row r="1155" spans="1:4" hidden="1" x14ac:dyDescent="0.2">
      <c r="A1155" t="str">
        <f>IF(B1138="megajoule","LHV [MJ/kg]","LHV [kWh/kg]")</f>
        <v>LHV [MJ/kg]</v>
      </c>
      <c r="B1155" s="47">
        <f>INDEX(parameters!$D$4:$N$20,MATCH(B1142&amp;B1144,parameters!$A$4:$A$20,0),MATCH(A1155,parameters!$D$3:$N$3,0))</f>
        <v>120</v>
      </c>
    </row>
    <row r="1156" spans="1:4" hidden="1" x14ac:dyDescent="0.2">
      <c r="A1156" t="s">
        <v>41</v>
      </c>
      <c r="B1156" s="48">
        <f>INDEX(parameters!$D$4:$N$20,MATCH(B1142&amp;B1144,parameters!$A$4:$A$20,0),MATCH(A1156,parameters!$D$3:$N$3,0))</f>
        <v>2.6666666666666665E-2</v>
      </c>
    </row>
    <row r="1157" spans="1:4" hidden="1" x14ac:dyDescent="0.2">
      <c r="A1157" t="s">
        <v>45</v>
      </c>
      <c r="B1157" s="46">
        <f>INDEX(parameters!$D$4:$N$20,MATCH(B1142&amp;B1144,parameters!$A$4:$A$20,0),MATCH(A1157,parameters!$D$3:$N$3,0))</f>
        <v>0</v>
      </c>
    </row>
    <row r="1158" spans="1:4" hidden="1" x14ac:dyDescent="0.2">
      <c r="A1158" t="s">
        <v>46</v>
      </c>
      <c r="B1158" s="46">
        <f>INDEX(parameters!$D$4:$N$20,MATCH(B1142&amp;B1144,parameters!$A$4:$A$20,0),MATCH(A1158,parameters!$D$3:$N$3,0))</f>
        <v>1.4999999999999999E-2</v>
      </c>
    </row>
    <row r="1159" spans="1:4" hidden="1" x14ac:dyDescent="0.2">
      <c r="A1159" t="s">
        <v>43</v>
      </c>
      <c r="B1159" s="46">
        <f>INDEX(parameters!$D$4:$N$20,MATCH(B1142&amp;B1144,parameters!$A$4:$A$20,0),MATCH(A1159,parameters!$D$3:$N$3,0))</f>
        <v>0</v>
      </c>
    </row>
    <row r="1160" spans="1:4" hidden="1" x14ac:dyDescent="0.2">
      <c r="A1160" t="s">
        <v>44</v>
      </c>
      <c r="B1160" s="46">
        <f>INDEX(parameters!$D$4:$N$20,MATCH(B1142&amp;B1144,parameters!$A$4:$A$20,0),MATCH(A1160,parameters!$D$3:$N$3,0))</f>
        <v>0</v>
      </c>
    </row>
    <row r="1161" spans="1:4" hidden="1" x14ac:dyDescent="0.2">
      <c r="A1161" t="s">
        <v>634</v>
      </c>
      <c r="B1161" s="47">
        <f>INDEX(parameters!$D$4:$Y$20,MATCH(B1142&amp;B1144,parameters!$A$4:$A$20,0),MATCH(A1161,parameters!$D$3:$Y$3,0))</f>
        <v>225</v>
      </c>
      <c r="D1161" s="8"/>
    </row>
    <row r="1162" spans="1:4" hidden="1" x14ac:dyDescent="0.2">
      <c r="A1162" t="s">
        <v>82</v>
      </c>
      <c r="B1162" s="46">
        <f>IF(B1153&lt;&gt;0,VLOOKUP(B1153,parameters!A815:B817,2,0),0)</f>
        <v>0</v>
      </c>
    </row>
    <row r="1163" spans="1:4" hidden="1" x14ac:dyDescent="0.2">
      <c r="A1163" t="s">
        <v>548</v>
      </c>
      <c r="B1163" s="50">
        <f>INDEX(parameters!$D$4:$P$20,MATCH(B1142&amp;B1144,parameters!$A$4:$A$20,0),MATCH(A1163,parameters!$D$3:$P$3,0))</f>
        <v>100</v>
      </c>
    </row>
    <row r="1164" spans="1:4" hidden="1" x14ac:dyDescent="0.2">
      <c r="A1164" t="s">
        <v>547</v>
      </c>
      <c r="B1164" s="51">
        <f>INDEX(parameters!$D$4:$P$20,MATCH(B1142&amp;B1144,parameters!$A$4:$A$20,0),MATCH(A1164,parameters!$D$3:$P$3,0))</f>
        <v>6</v>
      </c>
    </row>
    <row r="1165" spans="1:4" hidden="1" x14ac:dyDescent="0.2">
      <c r="A1165" t="s">
        <v>630</v>
      </c>
      <c r="B1165" s="51">
        <f>INDEX(parameters!$D$4:$T$20,MATCH(B1142&amp;B1144,parameters!$A$4:$A$20,0),MATCH(A1165,parameters!$D$3:$T$3,0))</f>
        <v>4100</v>
      </c>
    </row>
    <row r="1166" spans="1:4" hidden="1" x14ac:dyDescent="0.2">
      <c r="A1166" t="s">
        <v>1005</v>
      </c>
      <c r="B1166" s="50">
        <f>IF(B1138="megajoule",SUMIFS(allocation!$I$4:$I$30,allocation!$B$4:$B$30,B1144,allocation!$C$4:$C$30,B1145),SUMIFS(allocation!$J$4:$J$30,allocation!$B$4:$B$30,B1144,allocation!$C$4:$C$30,B1145))</f>
        <v>0.13587506510399097</v>
      </c>
    </row>
    <row r="1167" spans="1:4" hidden="1" x14ac:dyDescent="0.2">
      <c r="A1167" t="s">
        <v>1050</v>
      </c>
      <c r="B1167" s="51">
        <f>INDEX(parameters!$D$4:$AB$20,MATCH(B1142&amp;B1144,parameters!$A$4:$A$20,0),MATCH(A1167,parameters!$D$3:$AB$3,0))</f>
        <v>1153.1249999999998</v>
      </c>
    </row>
    <row r="1168" spans="1:4" hidden="1" x14ac:dyDescent="0.2"/>
    <row r="1169" spans="1:22" hidden="1" x14ac:dyDescent="0.2">
      <c r="A1169" s="3" t="s">
        <v>57</v>
      </c>
    </row>
    <row r="1170" spans="1:22" hidden="1" x14ac:dyDescent="0.2">
      <c r="A1170" s="2" t="s">
        <v>58</v>
      </c>
      <c r="B1170" s="44" t="s">
        <v>59</v>
      </c>
      <c r="C1170" s="2" t="s">
        <v>55</v>
      </c>
      <c r="D1170" s="2" t="s">
        <v>60</v>
      </c>
      <c r="E1170" s="2" t="s">
        <v>52</v>
      </c>
      <c r="F1170" s="2" t="s">
        <v>61</v>
      </c>
      <c r="G1170" s="2" t="s">
        <v>54</v>
      </c>
      <c r="H1170" s="2" t="s">
        <v>87</v>
      </c>
      <c r="I1170" s="2" t="s">
        <v>51</v>
      </c>
      <c r="J1170" s="2" t="s">
        <v>138</v>
      </c>
      <c r="K1170" s="2" t="s">
        <v>136</v>
      </c>
      <c r="L1170" s="2" t="s">
        <v>221</v>
      </c>
      <c r="M1170" s="2" t="s">
        <v>379</v>
      </c>
      <c r="N1170" s="2" t="s">
        <v>1059</v>
      </c>
      <c r="O1170" s="2" t="s">
        <v>1060</v>
      </c>
      <c r="P1170" s="2" t="s">
        <v>1061</v>
      </c>
      <c r="Q1170" s="2" t="s">
        <v>1062</v>
      </c>
      <c r="R1170" s="2" t="s">
        <v>1063</v>
      </c>
      <c r="S1170" s="2" t="s">
        <v>1064</v>
      </c>
      <c r="T1170" s="2" t="s">
        <v>1065</v>
      </c>
      <c r="U1170" s="2" t="s">
        <v>380</v>
      </c>
      <c r="V1170" s="2" t="s">
        <v>1128</v>
      </c>
    </row>
    <row r="1171" spans="1:22" x14ac:dyDescent="0.2">
      <c r="A1171" t="str">
        <f>B1132</f>
        <v>heat, residential, by conversion of hydrogen using fuel cell, SOFC, allocated by exergy, transported by truck, produced by Auto-thermal reforming, with CCS using natural gas from Switzerland</v>
      </c>
      <c r="B1171" s="45">
        <v>1</v>
      </c>
      <c r="C1171" t="str">
        <f>B1138</f>
        <v>megajoule</v>
      </c>
      <c r="E1171" t="str">
        <f>B1135</f>
        <v>CH</v>
      </c>
      <c r="F1171" t="s">
        <v>62</v>
      </c>
      <c r="G1171" t="str">
        <f>B1137</f>
        <v>heat, from residential heating system</v>
      </c>
      <c r="K1171" t="str">
        <f>B1132</f>
        <v>heat, residential, by conversion of hydrogen using fuel cell, SOFC, allocated by exergy, transported by truck, produced by Auto-thermal reforming, with CCS using natural gas from Switzerland</v>
      </c>
    </row>
    <row r="1172" spans="1:22" hidden="1" x14ac:dyDescent="0.2">
      <c r="A1172" t="str">
        <f>VLOOKUP(J1172,'dataset mapping'!$A$4:$E$69,2,0)</f>
        <v>fuel cell production, stack solid oxide, 125kW electrical, future</v>
      </c>
      <c r="B1172" s="52">
        <f>1/(62*1000000)/B1154*SUMIFS(allocation!$I$4:$I$30,allocation!$B$4:$B$30,B1144,allocation!$C$4:$C$30,B1145)</f>
        <v>4.1349685059035601E-9</v>
      </c>
      <c r="C1172" t="str">
        <f>VLOOKUP(J1172,'dataset mapping'!$A$4:$E$69,5,0)</f>
        <v>unit</v>
      </c>
      <c r="E1172" t="str">
        <f>VLOOKUP(J1172,'dataset mapping'!$A$4:$E$69,4,0)</f>
        <v>CH</v>
      </c>
      <c r="F1172" t="s">
        <v>86</v>
      </c>
      <c r="G1172" t="str">
        <f>VLOOKUP(J1172,'dataset mapping'!$A$4:$E$69,3,0)</f>
        <v>fuel cell, stack solid oxide, 125kW electrical, future</v>
      </c>
      <c r="H1172" t="s">
        <v>88</v>
      </c>
      <c r="I1172" t="s">
        <v>277</v>
      </c>
      <c r="J1172" t="s">
        <v>274</v>
      </c>
      <c r="K1172" t="str">
        <f>B1132</f>
        <v>heat, residential, by conversion of hydrogen using fuel cell, SOFC, allocated by exergy, transported by truck, produced by Auto-thermal reforming, with CCS using natural gas from Switzerland</v>
      </c>
      <c r="L1172">
        <f t="shared" ref="L1172:L1178" si="74">IF(OR(B1172&lt;0,B1172=0),1,2)</f>
        <v>2</v>
      </c>
      <c r="M1172">
        <f t="shared" ref="M1172:M1178" si="75">IF(L1172=2,LN(B1172),"")</f>
        <v>-19.303786124968067</v>
      </c>
      <c r="N1172">
        <v>1</v>
      </c>
      <c r="O1172">
        <v>1.2</v>
      </c>
      <c r="P1172">
        <v>1</v>
      </c>
      <c r="Q1172">
        <v>1.01</v>
      </c>
      <c r="R1172">
        <v>1.2</v>
      </c>
      <c r="S1172">
        <v>1.2</v>
      </c>
      <c r="T1172">
        <v>3</v>
      </c>
      <c r="U1172">
        <f t="shared" ref="U1172:U1178" si="76">LN(SQRT(EXP(
SQRT(
+POWER(LN(N1172),2)
+POWER(LN(O1172),2)
+POWER(LN(P1172),2)
+POWER(LN(Q1172),2)
+POWER(LN(R1172),2)
+POWER(LN(S1172),2)
+POWER(LN(T1172),2)
)
)))</f>
        <v>0.57157051623399524</v>
      </c>
    </row>
    <row r="1173" spans="1:22" hidden="1" x14ac:dyDescent="0.2">
      <c r="A1173" t="s">
        <v>283</v>
      </c>
      <c r="B1173" s="52">
        <f>0.000000145/B1154*SUMIFS(allocation!$I$4:$I$30,allocation!$B$4:$B$30,B1144,allocation!$C$4:$C$30,B1145)</f>
        <v>3.7173366868072996E-8</v>
      </c>
      <c r="C1173" t="s">
        <v>55</v>
      </c>
      <c r="E1173" t="s">
        <v>64</v>
      </c>
      <c r="F1173" t="s">
        <v>86</v>
      </c>
      <c r="G1173" t="s">
        <v>284</v>
      </c>
      <c r="H1173" t="s">
        <v>88</v>
      </c>
      <c r="I1173" t="s">
        <v>277</v>
      </c>
      <c r="K1173" t="str">
        <f>B1132</f>
        <v>heat, residential, by conversion of hydrogen using fuel cell, SOFC, allocated by exergy, transported by truck, produced by Auto-thermal reforming, with CCS using natural gas from Switzerland</v>
      </c>
      <c r="L1173">
        <f t="shared" si="74"/>
        <v>2</v>
      </c>
      <c r="M1173">
        <f t="shared" si="75"/>
        <v>-17.107673276484537</v>
      </c>
      <c r="N1173">
        <v>1</v>
      </c>
      <c r="O1173">
        <v>1.2</v>
      </c>
      <c r="P1173">
        <v>1</v>
      </c>
      <c r="Q1173">
        <v>1.01</v>
      </c>
      <c r="R1173">
        <v>1.2</v>
      </c>
      <c r="S1173">
        <v>1.2</v>
      </c>
      <c r="T1173">
        <v>3</v>
      </c>
      <c r="U1173">
        <f t="shared" si="76"/>
        <v>0.57157051623399524</v>
      </c>
    </row>
    <row r="1174" spans="1:22" hidden="1" x14ac:dyDescent="0.2">
      <c r="A1174" t="s">
        <v>285</v>
      </c>
      <c r="B1174" s="52">
        <f>0.0000000115/B1154*SUMIFS(allocation!$I$4:$I$30,allocation!$B$4:$B$30,B1144,allocation!$C$4:$C$30,B1145)</f>
        <v>2.9482325447092381E-9</v>
      </c>
      <c r="C1174" t="s">
        <v>55</v>
      </c>
      <c r="E1174" t="s">
        <v>90</v>
      </c>
      <c r="F1174" t="s">
        <v>86</v>
      </c>
      <c r="G1174" t="s">
        <v>286</v>
      </c>
      <c r="H1174" t="s">
        <v>88</v>
      </c>
      <c r="K1174" t="str">
        <f>B1132</f>
        <v>heat, residential, by conversion of hydrogen using fuel cell, SOFC, allocated by exergy, transported by truck, produced by Auto-thermal reforming, with CCS using natural gas from Switzerland</v>
      </c>
      <c r="L1174">
        <f t="shared" si="74"/>
        <v>2</v>
      </c>
      <c r="M1174">
        <f t="shared" si="75"/>
        <v>-19.642059983535908</v>
      </c>
      <c r="N1174">
        <v>1</v>
      </c>
      <c r="O1174">
        <v>1.2</v>
      </c>
      <c r="P1174">
        <v>1</v>
      </c>
      <c r="Q1174">
        <v>1.01</v>
      </c>
      <c r="R1174">
        <v>1.2</v>
      </c>
      <c r="S1174">
        <v>1.2</v>
      </c>
      <c r="T1174">
        <v>3</v>
      </c>
      <c r="U1174">
        <f t="shared" si="76"/>
        <v>0.57157051623399524</v>
      </c>
    </row>
    <row r="1175" spans="1:22" hidden="1" x14ac:dyDescent="0.2">
      <c r="A1175" t="s">
        <v>288</v>
      </c>
      <c r="B1175" s="52">
        <f>0.000024/B1154*SUMIFS(allocation!$I$4:$I$30,allocation!$B$4:$B$30,B1144,allocation!$C$4:$C$30,B1145)</f>
        <v>6.152833136784497E-6</v>
      </c>
      <c r="C1175" t="s">
        <v>56</v>
      </c>
      <c r="E1175" t="s">
        <v>64</v>
      </c>
      <c r="F1175" t="s">
        <v>86</v>
      </c>
      <c r="G1175" t="s">
        <v>287</v>
      </c>
      <c r="H1175" t="s">
        <v>88</v>
      </c>
      <c r="K1175" t="str">
        <f>B1132</f>
        <v>heat, residential, by conversion of hydrogen using fuel cell, SOFC, allocated by exergy, transported by truck, produced by Auto-thermal reforming, with CCS using natural gas from Switzerland</v>
      </c>
      <c r="L1175">
        <f t="shared" si="74"/>
        <v>2</v>
      </c>
      <c r="M1175">
        <f t="shared" si="75"/>
        <v>-11.998597909575029</v>
      </c>
      <c r="N1175">
        <v>1</v>
      </c>
      <c r="O1175">
        <v>1.2</v>
      </c>
      <c r="P1175">
        <v>1</v>
      </c>
      <c r="Q1175">
        <v>1.01</v>
      </c>
      <c r="R1175">
        <v>1.2</v>
      </c>
      <c r="S1175">
        <v>1.2</v>
      </c>
      <c r="T1175">
        <v>1.05</v>
      </c>
      <c r="U1175">
        <f t="shared" si="76"/>
        <v>0.15984597228197622</v>
      </c>
    </row>
    <row r="1176" spans="1:22" hidden="1" x14ac:dyDescent="0.2">
      <c r="A1176" s="45" t="str">
        <f>"hydrogen supply, transported by "&amp;B1146&amp;", produced by "&amp;B1150&amp;" using "&amp;B1151&amp;" from "&amp;B1152</f>
        <v>hydrogen supply, transported by truck, produced by Auto-thermal reforming, with CCS using natural gas from Switzerland</v>
      </c>
      <c r="B1176" s="53">
        <f>(B1171/B1155)/B1154*B1166</f>
        <v>2.1364003947168392E-3</v>
      </c>
      <c r="C1176" t="s">
        <v>56</v>
      </c>
      <c r="E1176" t="s">
        <v>64</v>
      </c>
      <c r="F1176" t="s">
        <v>86</v>
      </c>
      <c r="G1176" t="s">
        <v>1137</v>
      </c>
      <c r="H1176" t="s">
        <v>76</v>
      </c>
      <c r="I1176" t="s">
        <v>1054</v>
      </c>
      <c r="J1176" t="s">
        <v>308</v>
      </c>
      <c r="K1176" t="str">
        <f>B1132</f>
        <v>heat, residential, by conversion of hydrogen using fuel cell, SOFC, allocated by exergy, transported by truck, produced by Auto-thermal reforming, with CCS using natural gas from Switzerland</v>
      </c>
      <c r="L1176">
        <f t="shared" si="74"/>
        <v>2</v>
      </c>
      <c r="M1176">
        <f t="shared" si="75"/>
        <v>-6.1486329247407472</v>
      </c>
      <c r="N1176">
        <v>1</v>
      </c>
      <c r="O1176">
        <v>1.2</v>
      </c>
      <c r="P1176">
        <v>1</v>
      </c>
      <c r="Q1176">
        <v>1.01</v>
      </c>
      <c r="R1176">
        <v>1.2</v>
      </c>
      <c r="S1176">
        <v>1.2</v>
      </c>
      <c r="T1176">
        <v>1.05</v>
      </c>
      <c r="U1176">
        <f t="shared" si="76"/>
        <v>0.15984597228197622</v>
      </c>
    </row>
    <row r="1177" spans="1:22" hidden="1" x14ac:dyDescent="0.2">
      <c r="A1177" t="str">
        <f>VLOOKUP(J1177,'dataset mapping'!$A$4:$E$69,2,0)</f>
        <v>high pressure hydrogen storage tank</v>
      </c>
      <c r="B1177" s="52">
        <f>((B1167/10)/(B1165*B1161*20*3.6))*IF(B1166&lt;&gt;0,B1166,1)</f>
        <v>2.3589421024998428E-7</v>
      </c>
      <c r="C1177" t="str">
        <f>VLOOKUP(J1177,'dataset mapping'!$A$4:$E$69,5,0)</f>
        <v>kilogram</v>
      </c>
      <c r="E1177" t="str">
        <f>VLOOKUP(J1177,'dataset mapping'!$A$4:$E$69,4,0)</f>
        <v>GLO</v>
      </c>
      <c r="F1177" t="s">
        <v>86</v>
      </c>
      <c r="G1177" t="str">
        <f>VLOOKUP(J1177,'dataset mapping'!$A$4:$E$69,3,0)</f>
        <v>high pressure hydrogen storage tank</v>
      </c>
      <c r="H1177" t="s">
        <v>88</v>
      </c>
      <c r="I1177" t="s">
        <v>230</v>
      </c>
      <c r="J1177" t="s">
        <v>229</v>
      </c>
      <c r="K1177" t="str">
        <f>B1132</f>
        <v>heat, residential, by conversion of hydrogen using fuel cell, SOFC, allocated by exergy, transported by truck, produced by Auto-thermal reforming, with CCS using natural gas from Switzerland</v>
      </c>
      <c r="L1177">
        <f t="shared" si="74"/>
        <v>2</v>
      </c>
      <c r="M1177">
        <f t="shared" si="75"/>
        <v>-15.259882394072699</v>
      </c>
      <c r="N1177">
        <v>1</v>
      </c>
      <c r="O1177">
        <v>1.2</v>
      </c>
      <c r="P1177">
        <v>1</v>
      </c>
      <c r="Q1177">
        <v>1.01</v>
      </c>
      <c r="R1177">
        <v>1.2</v>
      </c>
      <c r="S1177">
        <v>1.2</v>
      </c>
      <c r="T1177">
        <v>3</v>
      </c>
      <c r="U1177">
        <f t="shared" si="76"/>
        <v>0.57157051623399524</v>
      </c>
    </row>
    <row r="1178" spans="1:22" hidden="1" x14ac:dyDescent="0.2">
      <c r="A1178" t="s">
        <v>134</v>
      </c>
      <c r="B1178" s="45">
        <f>B1176*9</f>
        <v>1.9227603552451553E-2</v>
      </c>
      <c r="C1178" t="s">
        <v>56</v>
      </c>
      <c r="D1178" t="s">
        <v>100</v>
      </c>
      <c r="F1178" t="s">
        <v>99</v>
      </c>
      <c r="H1178" t="s">
        <v>131</v>
      </c>
      <c r="I1178" t="s">
        <v>289</v>
      </c>
      <c r="K1178" t="str">
        <f>B1132</f>
        <v>heat, residential, by conversion of hydrogen using fuel cell, SOFC, allocated by exergy, transported by truck, produced by Auto-thermal reforming, with CCS using natural gas from Switzerland</v>
      </c>
      <c r="L1178">
        <f t="shared" si="74"/>
        <v>2</v>
      </c>
      <c r="M1178">
        <f t="shared" si="75"/>
        <v>-3.9514083474045276</v>
      </c>
      <c r="N1178">
        <v>1</v>
      </c>
      <c r="O1178">
        <v>1.2</v>
      </c>
      <c r="P1178">
        <v>1</v>
      </c>
      <c r="Q1178">
        <v>1.01</v>
      </c>
      <c r="R1178">
        <v>1.2</v>
      </c>
      <c r="S1178">
        <v>1.2</v>
      </c>
      <c r="T1178">
        <v>1.05</v>
      </c>
      <c r="U1178">
        <f t="shared" si="76"/>
        <v>0.15984597228197622</v>
      </c>
    </row>
    <row r="1179" spans="1:22" hidden="1" x14ac:dyDescent="0.2"/>
    <row r="1180" spans="1:22" hidden="1" x14ac:dyDescent="0.2">
      <c r="A1180" s="2" t="s">
        <v>50</v>
      </c>
      <c r="B1180" s="44" t="str">
        <f>IF(B1186="megajoule","heat","electricity")&amp;", residential, by "&amp;B1191&amp;" of "&amp;B1190&amp;" using "&amp;B1192&amp;IF(B1193&lt;&gt;0,", allocated by "&amp;B1193,"")&amp;", transported by "&amp;B1194&amp;", produced by "&amp;B1198&amp;" using "&amp;B1199&amp;" from "&amp;B1200</f>
        <v>electricity, residential, by combustion of hydrogen using CHP, allocated by exergy, transported by truck, produced by Auto-thermal reforming, with CCS using natural gas from Switzerland</v>
      </c>
    </row>
    <row r="1181" spans="1:22" hidden="1" x14ac:dyDescent="0.2">
      <c r="A1181" t="s">
        <v>51</v>
      </c>
      <c r="B1181" s="45" t="str">
        <f>"This dataset represents the supply of 1 "&amp;IF(B1186="megajoule","megajoule of heat","kilowatt hour of electricity")&amp;" in a residence, by "&amp;B1190&amp;" "&amp;B1191&amp;" in a "&amp;B1192&amp;". "&amp;" The hydrogen is transported by "&amp;B1194&amp;" over "&amp;B1195&amp;" km from regional storage. "&amp;" The "&amp;B1190&amp;" is produced by  "&amp;B1198&amp;", with "&amp;B1199&amp;" from "&amp;B1200&amp;" as feedstock. "&amp;A1202&amp;": "&amp;(B1202*100)&amp;"%. "&amp;A1203&amp;": "&amp;B1203&amp;". "&amp;A1204&amp;": "&amp;B1204&amp;". "&amp;A1205&amp;": "&amp;(B1205*100)&amp;"%. "&amp;A1206&amp;": "&amp;(B1206*100)&amp;"%. "&amp;A1207&amp;": "&amp;(B1207*100)&amp;"%. "&amp;A1208&amp;": "&amp;B1208&amp;". "&amp;A1209&amp;": "&amp;B1209&amp;". "&amp;A1210&amp;": "&amp;(B1210*100)&amp;"%. "&amp;A1211&amp;": "&amp;B1211&amp;". "&amp;A1212&amp;": "&amp;B1212&amp;". "&amp;A1213&amp;": "&amp;B1213&amp;". "&amp;A1214&amp;": "&amp;B1214&amp;".  For more information, refer to: "&amp;B1182</f>
        <v>This dataset represents the supply of 1 kilowatt hour of electricity in a residence, by hydrogen combustion in a CHP.  The hydrogen is transported by truck over 200 km from regional storage.  The hydrogen is produced by  Auto-thermal reforming, with CCS,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182" spans="1:22" hidden="1" x14ac:dyDescent="0.2">
      <c r="A1182" t="s">
        <v>63</v>
      </c>
      <c r="B1182" s="45" t="s">
        <v>660</v>
      </c>
    </row>
    <row r="1183" spans="1:22" hidden="1" x14ac:dyDescent="0.2">
      <c r="A1183" t="s">
        <v>52</v>
      </c>
      <c r="B1183" s="45" t="s">
        <v>64</v>
      </c>
    </row>
    <row r="1184" spans="1:22" hidden="1" x14ac:dyDescent="0.2">
      <c r="A1184" t="s">
        <v>48</v>
      </c>
      <c r="B1184" s="45" t="s">
        <v>976</v>
      </c>
    </row>
    <row r="1185" spans="1:2" hidden="1" x14ac:dyDescent="0.2">
      <c r="A1185" t="s">
        <v>54</v>
      </c>
      <c r="B1185" s="45" t="str">
        <f>INDEX(overview!$B$4:$R$338,MATCH(B1184,overview!$A$4:$A$338,0),MATCH(A1185,overview!$B$3:$R$3,0))</f>
        <v>electricity, from residential heating system</v>
      </c>
    </row>
    <row r="1186" spans="1:2" hidden="1" x14ac:dyDescent="0.2">
      <c r="A1186" t="s">
        <v>55</v>
      </c>
      <c r="B1186" s="45" t="str">
        <f>INDEX(overview!$B$4:$R$338,MATCH(B1184,overview!$A$4:$A$338,0),MATCH(A1186,overview!$B$3:$R$3,0))</f>
        <v>kilowatt hour</v>
      </c>
    </row>
    <row r="1187" spans="1:2" hidden="1" x14ac:dyDescent="0.2">
      <c r="A1187" t="s">
        <v>0</v>
      </c>
      <c r="B1187" s="45" t="str">
        <f>INDEX(overview!$B$4:$R$338,MATCH(B1184,overview!$A$4:$A$338,0),MATCH(A1187,overview!$B$3:$R$3,0))</f>
        <v>Switzerland</v>
      </c>
    </row>
    <row r="1188" spans="1:2" hidden="1" x14ac:dyDescent="0.2">
      <c r="A1188" t="s">
        <v>1</v>
      </c>
      <c r="B1188" s="45">
        <f>INDEX(overview!$B$4:$R$338,MATCH(B1184,overview!$A$4:$A$338,0),MATCH(A1188,overview!$B$3:$R$3,0))</f>
        <v>2020</v>
      </c>
    </row>
    <row r="1189" spans="1:2" hidden="1" x14ac:dyDescent="0.2">
      <c r="A1189" t="s">
        <v>2</v>
      </c>
      <c r="B1189" s="45" t="str">
        <f>INDEX(overview!$B$4:$R$338,MATCH(B1184,overview!$A$4:$A$338,0),MATCH(A1189,overview!$B$3:$R$3,0))</f>
        <v>1 kWh electricity</v>
      </c>
    </row>
    <row r="1190" spans="1:2" hidden="1" x14ac:dyDescent="0.2">
      <c r="A1190" t="s">
        <v>5</v>
      </c>
      <c r="B1190" s="45" t="str">
        <f>INDEX(overview!$B$4:$R$338,MATCH(B1184,overview!$A$4:$A$338,0),MATCH(A1190,overview!$B$3:$R$3,0))</f>
        <v>hydrogen</v>
      </c>
    </row>
    <row r="1191" spans="1:2" hidden="1" x14ac:dyDescent="0.2">
      <c r="A1191" t="s">
        <v>3</v>
      </c>
      <c r="B1191" s="45" t="str">
        <f>INDEX(overview!$B$4:$R$338,MATCH(B1184,overview!$A$4:$A$338,0),MATCH(A1191,overview!$B$3:$R$3,0))</f>
        <v>combustion</v>
      </c>
    </row>
    <row r="1192" spans="1:2" hidden="1" x14ac:dyDescent="0.2">
      <c r="A1192" t="s">
        <v>6</v>
      </c>
      <c r="B1192" s="45" t="str">
        <f>INDEX(overview!$B$4:$R$338,MATCH(B1184,overview!$A$4:$A$338,0),MATCH(A1192,overview!$B$3:$R$3,0))</f>
        <v>CHP</v>
      </c>
    </row>
    <row r="1193" spans="1:2" hidden="1" x14ac:dyDescent="0.2">
      <c r="A1193" t="s">
        <v>39</v>
      </c>
      <c r="B1193" s="45" t="str">
        <f>INDEX(overview!$B$4:$R$338,MATCH(B1184,overview!$A$4:$A$338,0),MATCH(A1193,overview!$B$3:$R$3,0))</f>
        <v>exergy</v>
      </c>
    </row>
    <row r="1194" spans="1:2" hidden="1" x14ac:dyDescent="0.2">
      <c r="A1194" t="s">
        <v>4</v>
      </c>
      <c r="B1194" s="45" t="str">
        <f>INDEX(overview!$B$4:$R$338,MATCH(B1184,overview!$A$4:$A$338,0),MATCH(A1194,overview!$B$3:$R$3,0))</f>
        <v>truck</v>
      </c>
    </row>
    <row r="1195" spans="1:2" hidden="1" x14ac:dyDescent="0.2">
      <c r="A1195" t="s">
        <v>38</v>
      </c>
      <c r="B1195" s="45">
        <f>INDEX(overview!$B$4:$R$338,MATCH(B1184,overview!$A$4:$A$338,0),MATCH(A1195,overview!$B$3:$R$3,0))</f>
        <v>200</v>
      </c>
    </row>
    <row r="1196" spans="1:2" hidden="1" x14ac:dyDescent="0.2">
      <c r="A1196" t="s">
        <v>12</v>
      </c>
      <c r="B1196" s="45" t="str">
        <f>INDEX(overview!$B$4:$R$338,MATCH(B1184,overview!$A$4:$A$338,0),MATCH(A1196,overview!$B$3:$R$3,0))</f>
        <v>Pressure vessel for stationary storage</v>
      </c>
    </row>
    <row r="1197" spans="1:2" hidden="1" x14ac:dyDescent="0.2">
      <c r="A1197" t="s">
        <v>34</v>
      </c>
      <c r="B1197" s="45">
        <f>INDEX(overview!$B$4:$R$338,MATCH(B1184,overview!$A$4:$A$338,0),MATCH(A1197,overview!$B$3:$R$3,0))</f>
        <v>0</v>
      </c>
    </row>
    <row r="1198" spans="1:2" hidden="1" x14ac:dyDescent="0.2">
      <c r="A1198" t="s">
        <v>15</v>
      </c>
      <c r="B1198" s="45" t="str">
        <f>INDEX(overview!$B$4:$R$338,MATCH(B1184,overview!$A$4:$A$338,0),MATCH(A1198,overview!$B$3:$R$3,0))</f>
        <v>Auto-thermal reforming, with CCS</v>
      </c>
    </row>
    <row r="1199" spans="1:2" hidden="1" x14ac:dyDescent="0.2">
      <c r="A1199" t="s">
        <v>14</v>
      </c>
      <c r="B1199" s="45" t="str">
        <f>INDEX(overview!$B$4:$R$338,MATCH(B1184,overview!$A$4:$A$338,0),MATCH(A1199,overview!$B$3:$R$3,0))</f>
        <v>natural gas</v>
      </c>
    </row>
    <row r="1200" spans="1:2" hidden="1" x14ac:dyDescent="0.2">
      <c r="A1200" t="s">
        <v>26</v>
      </c>
      <c r="B1200" s="45" t="str">
        <f>INDEX(overview!$B$4:$R$338,MATCH(B1184,overview!$A$4:$A$338,0),MATCH(A1200,overview!$B$3:$R$3,0))</f>
        <v>Switzerland</v>
      </c>
    </row>
    <row r="1201" spans="1:2" hidden="1" x14ac:dyDescent="0.2">
      <c r="A1201" t="s">
        <v>29</v>
      </c>
      <c r="B1201" s="45">
        <f>INDEX(overview!$B$4:$R$338,MATCH(B1184,overview!$A$4:$A$338,0),MATCH(A1201,overview!$B$3:$R$3,0))</f>
        <v>0</v>
      </c>
    </row>
    <row r="1202" spans="1:2" hidden="1" x14ac:dyDescent="0.2">
      <c r="A1202" t="str">
        <f>IF(B1186="megajoule","Heat","Electricity")&amp;" conversion efficiency [% LHV input]"</f>
        <v>Electricity conversion efficiency [% LHV input]</v>
      </c>
      <c r="B1202" s="46">
        <f>INDEX(parameters!$D$4:$N$20,MATCH(B1190&amp;B1192,parameters!$A$4:$A$20,0),MATCH(A1202,parameters!$D$3:$N$3,0))</f>
        <v>0.39400000000000002</v>
      </c>
    </row>
    <row r="1203" spans="1:2" hidden="1" x14ac:dyDescent="0.2">
      <c r="A1203" t="str">
        <f>IF(B1186="megajoule","LHV [MJ/kg]","LHV [kWh/kg]")</f>
        <v>LHV [kWh/kg]</v>
      </c>
      <c r="B1203" s="47">
        <f>INDEX(parameters!$D$4:$N$20,MATCH(B1190&amp;B1192,parameters!$A$4:$A$20,0),MATCH(A1203,parameters!$D$3:$N$3,0))</f>
        <v>33.333333333333336</v>
      </c>
    </row>
    <row r="1204" spans="1:2" hidden="1" x14ac:dyDescent="0.2">
      <c r="A1204" t="s">
        <v>41</v>
      </c>
      <c r="B1204" s="48">
        <f>INDEX(parameters!$D$4:$N$20,MATCH(B1190&amp;B1192,parameters!$A$4:$A$20,0),MATCH(A1204,parameters!$D$3:$N$3,0))</f>
        <v>2.6666666666666665E-2</v>
      </c>
    </row>
    <row r="1205" spans="1:2" hidden="1" x14ac:dyDescent="0.2">
      <c r="A1205" t="s">
        <v>45</v>
      </c>
      <c r="B1205" s="46">
        <f>INDEX(parameters!$D$4:$N$20,MATCH(B1190&amp;B1192,parameters!$A$4:$A$20,0),MATCH(A1205,parameters!$D$3:$N$3,0))</f>
        <v>0</v>
      </c>
    </row>
    <row r="1206" spans="1:2" hidden="1" x14ac:dyDescent="0.2">
      <c r="A1206" t="s">
        <v>46</v>
      </c>
      <c r="B1206" s="46">
        <f>INDEX(parameters!$D$4:$N$20,MATCH(B1190&amp;B1192,parameters!$A$4:$A$20,0),MATCH(A1206,parameters!$D$3:$N$3,0))</f>
        <v>1.4999999999999999E-2</v>
      </c>
    </row>
    <row r="1207" spans="1:2" hidden="1" x14ac:dyDescent="0.2">
      <c r="A1207" t="s">
        <v>43</v>
      </c>
      <c r="B1207" s="46">
        <f>INDEX(parameters!$D$4:$N$20,MATCH(B1190&amp;B1192,parameters!$A$4:$A$20,0),MATCH(A1207,parameters!$D$3:$N$3,0))</f>
        <v>0</v>
      </c>
    </row>
    <row r="1208" spans="1:2" hidden="1" x14ac:dyDescent="0.2">
      <c r="A1208" t="s">
        <v>44</v>
      </c>
      <c r="B1208" s="46">
        <f>INDEX(parameters!$D$4:$N$20,MATCH(B1190&amp;B1192,parameters!$A$4:$A$20,0),MATCH(A1208,parameters!$D$3:$N$3,0))</f>
        <v>0</v>
      </c>
    </row>
    <row r="1209" spans="1:2" hidden="1" x14ac:dyDescent="0.2">
      <c r="A1209" t="s">
        <v>634</v>
      </c>
      <c r="B1209" s="47">
        <f>INDEX(parameters!$D$4:$Y$20,MATCH(B1190&amp;B1192,parameters!$A$4:$A$20,0),MATCH(A1209,parameters!$D$3:$Y$3,0))</f>
        <v>351.41800246609125</v>
      </c>
    </row>
    <row r="1210" spans="1:2" hidden="1" x14ac:dyDescent="0.2">
      <c r="A1210" t="s">
        <v>82</v>
      </c>
      <c r="B1210" s="46">
        <f>IF(B1201&lt;&gt;0,VLOOKUP(B1201,parameters!A866:B868,2,0),0)</f>
        <v>0</v>
      </c>
    </row>
    <row r="1211" spans="1:2" hidden="1" x14ac:dyDescent="0.2">
      <c r="A1211" t="s">
        <v>548</v>
      </c>
      <c r="B1211" s="50">
        <f>INDEX(parameters!$D$4:$P$20,MATCH(B1190&amp;B1192,parameters!$A$4:$A$20,0),MATCH(A1211,parameters!$D$3:$P$3,0))</f>
        <v>125</v>
      </c>
    </row>
    <row r="1212" spans="1:2" hidden="1" x14ac:dyDescent="0.2">
      <c r="A1212" t="s">
        <v>547</v>
      </c>
      <c r="B1212" s="51">
        <f>INDEX(parameters!$D$4:$P$20,MATCH(B1190&amp;B1192,parameters!$A$4:$A$20,0),MATCH(A1212,parameters!$D$3:$P$3,0))</f>
        <v>19.512195121951219</v>
      </c>
    </row>
    <row r="1213" spans="1:2" hidden="1" x14ac:dyDescent="0.2">
      <c r="A1213" t="s">
        <v>630</v>
      </c>
      <c r="B1213" s="51">
        <f>INDEX(parameters!$D$4:$T$20,MATCH(B1190&amp;B1192,parameters!$A$4:$A$20,0),MATCH(A1213,parameters!$D$3:$T$3,0))</f>
        <v>4100</v>
      </c>
    </row>
    <row r="1214" spans="1:2" hidden="1" x14ac:dyDescent="0.2">
      <c r="A1214" t="s">
        <v>1005</v>
      </c>
      <c r="B1214" s="50">
        <f>IF(B1186="megajoule",SUMIFS(allocation!$I$4:$I$30,allocation!$B$4:$B$30,B1192,allocation!$C$4:$C$30,B1193),SUMIFS(allocation!$J$4:$J$30,allocation!$B$4:$B$30,B1192,allocation!$C$4:$C$30,B1193))</f>
        <v>0.87139957772704957</v>
      </c>
    </row>
    <row r="1215" spans="1:2" hidden="1" x14ac:dyDescent="0.2">
      <c r="A1215" t="s">
        <v>1050</v>
      </c>
      <c r="B1215" s="51">
        <f>INDEX(parameters!$D$4:$AB$20,MATCH(B1190&amp;B1192,parameters!$A$4:$A$20,0),MATCH(A1215,parameters!$D$3:$AB$3,0))</f>
        <v>2220.7364520822662</v>
      </c>
    </row>
    <row r="1216" spans="1:2" hidden="1" x14ac:dyDescent="0.2"/>
    <row r="1217" spans="1:22" hidden="1" x14ac:dyDescent="0.2">
      <c r="A1217" s="3" t="s">
        <v>57</v>
      </c>
    </row>
    <row r="1218" spans="1:22" hidden="1" x14ac:dyDescent="0.2">
      <c r="A1218" s="2" t="s">
        <v>58</v>
      </c>
      <c r="B1218" s="44" t="s">
        <v>59</v>
      </c>
      <c r="C1218" s="2" t="s">
        <v>55</v>
      </c>
      <c r="D1218" s="2" t="s">
        <v>60</v>
      </c>
      <c r="E1218" s="2" t="s">
        <v>52</v>
      </c>
      <c r="F1218" s="2" t="s">
        <v>61</v>
      </c>
      <c r="G1218" s="2" t="s">
        <v>54</v>
      </c>
      <c r="H1218" s="2" t="s">
        <v>87</v>
      </c>
      <c r="I1218" s="2" t="s">
        <v>51</v>
      </c>
      <c r="J1218" s="2" t="s">
        <v>138</v>
      </c>
      <c r="K1218" s="2" t="s">
        <v>136</v>
      </c>
      <c r="L1218" s="2" t="s">
        <v>221</v>
      </c>
      <c r="M1218" s="2" t="s">
        <v>379</v>
      </c>
      <c r="N1218" s="2" t="s">
        <v>1059</v>
      </c>
      <c r="O1218" s="2" t="s">
        <v>1060</v>
      </c>
      <c r="P1218" s="2" t="s">
        <v>1061</v>
      </c>
      <c r="Q1218" s="2" t="s">
        <v>1062</v>
      </c>
      <c r="R1218" s="2" t="s">
        <v>1063</v>
      </c>
      <c r="S1218" s="2" t="s">
        <v>1064</v>
      </c>
      <c r="T1218" s="2" t="s">
        <v>1065</v>
      </c>
      <c r="U1218" s="2" t="s">
        <v>380</v>
      </c>
      <c r="V1218" s="2" t="s">
        <v>1128</v>
      </c>
    </row>
    <row r="1219" spans="1:22" hidden="1" x14ac:dyDescent="0.2">
      <c r="A1219" t="str">
        <f>B1180</f>
        <v>electricity, residential, by combustion of hydrogen using CHP, allocated by exergy, transported by truck, produced by Auto-thermal reforming, with CCS using natural gas from Switzerland</v>
      </c>
      <c r="B1219" s="45">
        <v>1</v>
      </c>
      <c r="C1219" t="str">
        <f>B1186</f>
        <v>kilowatt hour</v>
      </c>
      <c r="E1219" t="str">
        <f>B1183</f>
        <v>CH</v>
      </c>
      <c r="F1219" t="s">
        <v>62</v>
      </c>
      <c r="G1219" t="str">
        <f>B1185</f>
        <v>electricity, from residential heating system</v>
      </c>
      <c r="K1219" t="str">
        <f>B1180</f>
        <v>electricity, residential, by combustion of hydrogen using CHP, allocated by exergy, transported by truck, produced by Auto-thermal reforming, with CCS using natural gas from Switzerland</v>
      </c>
    </row>
    <row r="1220" spans="1:22" hidden="1" x14ac:dyDescent="0.2">
      <c r="A1220" t="str">
        <f>VLOOKUP(J1220,'dataset mapping'!$A$4:$E$69,2,0)</f>
        <v>heat and power co-generation unit construction, 160kW electrical, common components for heat+electricity</v>
      </c>
      <c r="B1220" s="52">
        <f>(1/(B1209*B1213*B1212))*B1214</f>
        <v>3.0995835856870056E-8</v>
      </c>
      <c r="C1220" t="str">
        <f>VLOOKUP(J1220,'dataset mapping'!$A$4:$E$69,5,0)</f>
        <v>unit</v>
      </c>
      <c r="E1220" t="str">
        <f>VLOOKUP(J1220,'dataset mapping'!$A$4:$E$69,4,0)</f>
        <v>RER</v>
      </c>
      <c r="F1220" t="s">
        <v>86</v>
      </c>
      <c r="G1220" t="str">
        <f>VLOOKUP(J1220,'dataset mapping'!$A$4:$E$69,3,0)</f>
        <v>heat and power co-generation unit, 160kW electrical, common components for heat+electricity</v>
      </c>
      <c r="H1220" t="s">
        <v>88</v>
      </c>
      <c r="J1220" t="s">
        <v>145</v>
      </c>
      <c r="K1220" t="str">
        <f>B1180</f>
        <v>electricity, residential, by combustion of hydrogen using CHP, allocated by exergy, transported by truck, produced by Auto-thermal reforming, with CCS using natural gas from Switzerland</v>
      </c>
      <c r="L1220">
        <f t="shared" ref="L1220:L1228" si="77">IF(OR(B1220&lt;0,B1220=0),1,2)</f>
        <v>2</v>
      </c>
      <c r="M1220">
        <f t="shared" ref="M1220:M1228" si="78">IF(L1220=2,LN(B1220),"")</f>
        <v>-17.28941296868171</v>
      </c>
      <c r="N1220">
        <v>1.05</v>
      </c>
      <c r="O1220">
        <v>1.2</v>
      </c>
      <c r="P1220">
        <v>1</v>
      </c>
      <c r="Q1220">
        <v>1.01</v>
      </c>
      <c r="R1220">
        <v>1.2</v>
      </c>
      <c r="S1220">
        <v>1.2</v>
      </c>
      <c r="T1220">
        <v>3</v>
      </c>
      <c r="U1220">
        <f t="shared" ref="U1220:U1228" si="79">LN(SQRT(EXP(
SQRT(
+POWER(LN(N1220),2)
+POWER(LN(O1220),2)
+POWER(LN(P1220),2)
+POWER(LN(Q1220),2)
+POWER(LN(R1220),2)
+POWER(LN(S1220),2)
+POWER(LN(T1220),2)
)
)))</f>
        <v>0.57209088006881903</v>
      </c>
    </row>
    <row r="1221" spans="1:22" hidden="1" x14ac:dyDescent="0.2">
      <c r="A1221" t="str">
        <f>VLOOKUP(J1221,'dataset mapping'!$A$4:$E$69,2,0)</f>
        <v>heat and power co-generation unit construction, 160kW electrical, components for electricity only</v>
      </c>
      <c r="B1221" s="52">
        <f>(1/(B1209*B1213*B1212))*B1214</f>
        <v>3.0995835856870056E-8</v>
      </c>
      <c r="C1221" t="str">
        <f>VLOOKUP(J1221,'dataset mapping'!$A$4:$E$69,5,0)</f>
        <v>unit</v>
      </c>
      <c r="E1221" t="str">
        <f>VLOOKUP(J1221,'dataset mapping'!$A$4:$E$69,4,0)</f>
        <v>RER</v>
      </c>
      <c r="F1221" t="s">
        <v>86</v>
      </c>
      <c r="G1221" t="str">
        <f>VLOOKUP(J1221,'dataset mapping'!$A$4:$E$69,3,0)</f>
        <v>heat and power co-generation unit, 160kW electrical, components for electricity only</v>
      </c>
      <c r="H1221" t="s">
        <v>88</v>
      </c>
      <c r="J1221" t="s">
        <v>146</v>
      </c>
      <c r="K1221" t="str">
        <f>B1180</f>
        <v>electricity, residential, by combustion of hydrogen using CHP, allocated by exergy, transported by truck, produced by Auto-thermal reforming, with CCS using natural gas from Switzerland</v>
      </c>
      <c r="L1221">
        <f t="shared" si="77"/>
        <v>2</v>
      </c>
      <c r="M1221">
        <f t="shared" si="78"/>
        <v>-17.28941296868171</v>
      </c>
      <c r="N1221">
        <v>1.05</v>
      </c>
      <c r="O1221">
        <v>1.2</v>
      </c>
      <c r="P1221">
        <v>1</v>
      </c>
      <c r="Q1221">
        <v>1.01</v>
      </c>
      <c r="R1221">
        <v>1.2</v>
      </c>
      <c r="S1221">
        <v>1.2</v>
      </c>
      <c r="T1221">
        <v>3</v>
      </c>
      <c r="U1221">
        <f t="shared" si="79"/>
        <v>0.57209088006881903</v>
      </c>
    </row>
    <row r="1222" spans="1:22" hidden="1" x14ac:dyDescent="0.2">
      <c r="A1222" t="str">
        <f>VLOOKUP(J1222,'dataset mapping'!$A$4:$E$69,2,0)</f>
        <v>heat and power co-generation unit construction, 160kW electrical, components for heat only</v>
      </c>
      <c r="B1222" s="52">
        <f>(1/(B1209*B1213*B1212))*B1214</f>
        <v>3.0995835856870056E-8</v>
      </c>
      <c r="C1222" t="str">
        <f>VLOOKUP(J1222,'dataset mapping'!$A$4:$E$69,5,0)</f>
        <v>unit</v>
      </c>
      <c r="E1222" t="str">
        <f>VLOOKUP(J1222,'dataset mapping'!$A$4:$E$69,4,0)</f>
        <v>RER</v>
      </c>
      <c r="F1222" t="s">
        <v>86</v>
      </c>
      <c r="G1222" t="str">
        <f>VLOOKUP(J1222,'dataset mapping'!$A$4:$E$69,3,0)</f>
        <v>heat and power co-generation unit, 160kW electrical, components for heat only</v>
      </c>
      <c r="H1222" t="s">
        <v>88</v>
      </c>
      <c r="J1222" t="s">
        <v>147</v>
      </c>
      <c r="K1222" t="str">
        <f>B1180</f>
        <v>electricity, residential, by combustion of hydrogen using CHP, allocated by exergy, transported by truck, produced by Auto-thermal reforming, with CCS using natural gas from Switzerland</v>
      </c>
      <c r="L1222">
        <f t="shared" si="77"/>
        <v>2</v>
      </c>
      <c r="M1222">
        <f t="shared" si="78"/>
        <v>-17.28941296868171</v>
      </c>
      <c r="N1222">
        <v>1.05</v>
      </c>
      <c r="O1222">
        <v>1.2</v>
      </c>
      <c r="P1222">
        <v>1</v>
      </c>
      <c r="Q1222">
        <v>1.01</v>
      </c>
      <c r="R1222">
        <v>1.2</v>
      </c>
      <c r="S1222">
        <v>1.2</v>
      </c>
      <c r="T1222">
        <v>3</v>
      </c>
      <c r="U1222">
        <f t="shared" si="79"/>
        <v>0.57209088006881903</v>
      </c>
    </row>
    <row r="1223" spans="1:22" hidden="1" x14ac:dyDescent="0.2">
      <c r="A1223" t="s">
        <v>156</v>
      </c>
      <c r="B1223" s="52">
        <f>0.00000011366*B1214</f>
        <v>9.9043276004456456E-8</v>
      </c>
      <c r="C1223" t="s">
        <v>56</v>
      </c>
      <c r="E1223" t="s">
        <v>90</v>
      </c>
      <c r="F1223" t="s">
        <v>86</v>
      </c>
      <c r="G1223" t="s">
        <v>154</v>
      </c>
      <c r="H1223" t="s">
        <v>155</v>
      </c>
      <c r="K1223" t="str">
        <f>B1180</f>
        <v>electricity, residential, by combustion of hydrogen using CHP, allocated by exergy, transported by truck, produced by Auto-thermal reforming, with CCS using natural gas from Switzerland</v>
      </c>
      <c r="L1223">
        <f t="shared" si="77"/>
        <v>2</v>
      </c>
      <c r="M1223">
        <f t="shared" si="78"/>
        <v>-16.127708950967754</v>
      </c>
      <c r="N1223">
        <v>1.05</v>
      </c>
      <c r="O1223">
        <v>1.2</v>
      </c>
      <c r="P1223">
        <v>1</v>
      </c>
      <c r="Q1223">
        <v>1.01</v>
      </c>
      <c r="R1223">
        <v>1.2</v>
      </c>
      <c r="S1223">
        <v>1.2</v>
      </c>
      <c r="T1223">
        <v>1.05</v>
      </c>
      <c r="U1223">
        <f t="shared" si="79"/>
        <v>0.16169679924070957</v>
      </c>
    </row>
    <row r="1224" spans="1:22" hidden="1" x14ac:dyDescent="0.2">
      <c r="A1224" t="s">
        <v>157</v>
      </c>
      <c r="B1224" s="52">
        <f>0.00000011366*B1214*-1</f>
        <v>-9.9043276004456456E-8</v>
      </c>
      <c r="C1224" t="s">
        <v>56</v>
      </c>
      <c r="E1224" t="s">
        <v>64</v>
      </c>
      <c r="F1224" t="s">
        <v>86</v>
      </c>
      <c r="G1224" t="s">
        <v>158</v>
      </c>
      <c r="H1224" t="s">
        <v>155</v>
      </c>
      <c r="K1224" t="str">
        <f>B1180</f>
        <v>electricity, residential, by combustion of hydrogen using CHP, allocated by exergy, transported by truck, produced by Auto-thermal reforming, with CCS using natural gas from Switzerland</v>
      </c>
      <c r="L1224">
        <v>2</v>
      </c>
      <c r="M1224">
        <f>IF(L1224=2,LN(B1224*-1),"")</f>
        <v>-16.127708950967754</v>
      </c>
      <c r="N1224">
        <v>1.05</v>
      </c>
      <c r="O1224">
        <v>1.2</v>
      </c>
      <c r="P1224">
        <v>1</v>
      </c>
      <c r="Q1224">
        <v>1.01</v>
      </c>
      <c r="R1224">
        <v>1.2</v>
      </c>
      <c r="S1224">
        <v>1.2</v>
      </c>
      <c r="T1224">
        <v>3</v>
      </c>
      <c r="U1224">
        <f>LN(SQRT(EXP(
SQRT(
+POWER(LN(N1224),2)
+POWER(LN(O1224),2)
+POWER(LN(P1224),2)
+POWER(LN(Q1224),2)
+POWER(LN(R1224),2)
+POWER(LN(S1224),2)
+POWER(LN(T1224),2)
)
)))</f>
        <v>0.57209088006881903</v>
      </c>
      <c r="V1224" t="b">
        <v>1</v>
      </c>
    </row>
    <row r="1225" spans="1:22" hidden="1" x14ac:dyDescent="0.2">
      <c r="A1225" s="45" t="str">
        <f>"hydrogen supply, transported by "&amp;B1194&amp;", produced by "&amp;B1198&amp;" using "&amp;B1199&amp;" from "&amp;B1200</f>
        <v>hydrogen supply, transported by truck, produced by Auto-thermal reforming, with CCS using natural gas from Switzerland</v>
      </c>
      <c r="B1225" s="53">
        <f>(B1219/B1203)/B1202*B1214</f>
        <v>6.6350221654343872E-2</v>
      </c>
      <c r="C1225" t="s">
        <v>56</v>
      </c>
      <c r="E1225" t="s">
        <v>64</v>
      </c>
      <c r="F1225" t="s">
        <v>86</v>
      </c>
      <c r="G1225" t="s">
        <v>1137</v>
      </c>
      <c r="H1225" t="s">
        <v>76</v>
      </c>
      <c r="I1225" t="s">
        <v>1054</v>
      </c>
      <c r="J1225" t="s">
        <v>308</v>
      </c>
      <c r="K1225" t="str">
        <f>B1180</f>
        <v>electricity, residential, by combustion of hydrogen using CHP, allocated by exergy, transported by truck, produced by Auto-thermal reforming, with CCS using natural gas from Switzerland</v>
      </c>
      <c r="L1225">
        <f t="shared" si="77"/>
        <v>2</v>
      </c>
      <c r="M1225">
        <f t="shared" si="78"/>
        <v>-2.7128081775260964</v>
      </c>
      <c r="N1225">
        <v>1.05</v>
      </c>
      <c r="O1225">
        <v>1.2</v>
      </c>
      <c r="P1225">
        <v>1</v>
      </c>
      <c r="Q1225">
        <v>1.01</v>
      </c>
      <c r="R1225">
        <v>1.2</v>
      </c>
      <c r="S1225">
        <v>1.2</v>
      </c>
      <c r="T1225">
        <v>1.05</v>
      </c>
      <c r="U1225">
        <f t="shared" si="79"/>
        <v>0.16169679924070957</v>
      </c>
    </row>
    <row r="1226" spans="1:22" hidden="1" x14ac:dyDescent="0.2">
      <c r="A1226" t="str">
        <f>VLOOKUP(J1226,'dataset mapping'!$A$4:$E$69,2,0)</f>
        <v>high pressure hydrogen storage tank</v>
      </c>
      <c r="B1226" s="52">
        <f>((B1215/10)/(B1213*B1209*20))*IF(B1214&lt;&gt;0,B1214,1)</f>
        <v>6.7154714683034044E-6</v>
      </c>
      <c r="C1226" t="str">
        <f>VLOOKUP(J1226,'dataset mapping'!$A$4:$E$69,5,0)</f>
        <v>kilogram</v>
      </c>
      <c r="E1226" t="str">
        <f>VLOOKUP(J1226,'dataset mapping'!$A$4:$E$69,4,0)</f>
        <v>GLO</v>
      </c>
      <c r="F1226" t="s">
        <v>86</v>
      </c>
      <c r="G1226" t="str">
        <f>VLOOKUP(J1226,'dataset mapping'!$A$4:$E$69,3,0)</f>
        <v>high pressure hydrogen storage tank</v>
      </c>
      <c r="H1226" t="s">
        <v>88</v>
      </c>
      <c r="I1226" t="s">
        <v>279</v>
      </c>
      <c r="J1226" t="s">
        <v>229</v>
      </c>
      <c r="K1226" t="str">
        <f>B1180</f>
        <v>electricity, residential, by combustion of hydrogen using CHP, allocated by exergy, transported by truck, produced by Auto-thermal reforming, with CCS using natural gas from Switzerland</v>
      </c>
      <c r="L1226">
        <f t="shared" si="77"/>
        <v>2</v>
      </c>
      <c r="M1226">
        <f t="shared" si="78"/>
        <v>-11.911096519239557</v>
      </c>
      <c r="N1226">
        <v>1.05</v>
      </c>
      <c r="O1226">
        <v>1.2</v>
      </c>
      <c r="P1226">
        <v>1</v>
      </c>
      <c r="Q1226">
        <v>1.01</v>
      </c>
      <c r="R1226">
        <v>1.2</v>
      </c>
      <c r="S1226">
        <v>1.2</v>
      </c>
      <c r="T1226">
        <v>3</v>
      </c>
      <c r="U1226">
        <f t="shared" si="79"/>
        <v>0.57209088006881903</v>
      </c>
    </row>
    <row r="1227" spans="1:22" hidden="1" x14ac:dyDescent="0.2">
      <c r="A1227" t="s">
        <v>134</v>
      </c>
      <c r="B1227" s="45">
        <f>B1225*9</f>
        <v>0.59715199488909487</v>
      </c>
      <c r="C1227" t="s">
        <v>56</v>
      </c>
      <c r="D1227" t="s">
        <v>100</v>
      </c>
      <c r="F1227" t="s">
        <v>99</v>
      </c>
      <c r="H1227" t="s">
        <v>131</v>
      </c>
      <c r="K1227" t="str">
        <f>B1180</f>
        <v>electricity, residential, by combustion of hydrogen using CHP, allocated by exergy, transported by truck, produced by Auto-thermal reforming, with CCS using natural gas from Switzerland</v>
      </c>
      <c r="L1227">
        <f t="shared" si="77"/>
        <v>2</v>
      </c>
      <c r="M1227">
        <f t="shared" si="78"/>
        <v>-0.51558360018987692</v>
      </c>
      <c r="N1227">
        <v>1.05</v>
      </c>
      <c r="O1227">
        <v>1.2</v>
      </c>
      <c r="P1227">
        <v>1</v>
      </c>
      <c r="Q1227">
        <v>1.01</v>
      </c>
      <c r="R1227">
        <v>1.2</v>
      </c>
      <c r="S1227">
        <v>1.2</v>
      </c>
      <c r="T1227">
        <v>1.05</v>
      </c>
      <c r="U1227">
        <f t="shared" si="79"/>
        <v>0.16169679924070957</v>
      </c>
    </row>
    <row r="1228" spans="1:22" hidden="1" x14ac:dyDescent="0.2">
      <c r="A1228" t="s">
        <v>135</v>
      </c>
      <c r="B1228" s="45">
        <f>912.5/1000000*B1225</f>
        <v>6.0544577259588785E-5</v>
      </c>
      <c r="C1228" t="s">
        <v>56</v>
      </c>
      <c r="D1228" t="s">
        <v>100</v>
      </c>
      <c r="F1228" t="s">
        <v>99</v>
      </c>
      <c r="H1228" t="s">
        <v>131</v>
      </c>
      <c r="I1228" t="s">
        <v>1217</v>
      </c>
      <c r="K1228" t="str">
        <f>B1180</f>
        <v>electricity, residential, by combustion of hydrogen using CHP, allocated by exergy, transported by truck, produced by Auto-thermal reforming, with CCS using natural gas from Switzerland</v>
      </c>
      <c r="L1228">
        <f t="shared" si="77"/>
        <v>2</v>
      </c>
      <c r="M1228">
        <f t="shared" si="78"/>
        <v>-9.712130650033723</v>
      </c>
      <c r="N1228">
        <v>1.05</v>
      </c>
      <c r="O1228">
        <v>1.2</v>
      </c>
      <c r="P1228">
        <v>1</v>
      </c>
      <c r="Q1228">
        <v>1.01</v>
      </c>
      <c r="R1228">
        <v>1.2</v>
      </c>
      <c r="S1228">
        <v>1.2</v>
      </c>
      <c r="T1228">
        <v>1.5</v>
      </c>
      <c r="U1228">
        <f t="shared" si="79"/>
        <v>0.25816898211842121</v>
      </c>
    </row>
    <row r="1229" spans="1:22" hidden="1" x14ac:dyDescent="0.2"/>
    <row r="1230" spans="1:22" hidden="1" x14ac:dyDescent="0.2">
      <c r="A1230" s="2" t="s">
        <v>50</v>
      </c>
      <c r="B1230" s="44" t="str">
        <f>IF(B1236="megajoule","heat","electricity")&amp;", residential, by "&amp;B1241&amp;" of "&amp;B1240&amp;" using "&amp;B1242&amp;IF(B1243&lt;&gt;0,", allocated by "&amp;B1243,"")&amp;", transported by "&amp;B1244&amp;", produced by "&amp;B1248&amp;" using "&amp;B1249&amp;" from "&amp;B1250</f>
        <v>electricity, residential, by conversion of hydrogen using fuel cell, PEM, allocated by exergy, transported by truck, produced by Auto-thermal reforming, with CCS using natural gas from Switzerland</v>
      </c>
    </row>
    <row r="1231" spans="1:22" hidden="1" x14ac:dyDescent="0.2">
      <c r="A1231" t="s">
        <v>51</v>
      </c>
      <c r="B1231" s="45" t="str">
        <f>"This dataset represents the supply of 1 "&amp;IF(B1236="megajoule","megajoule of heat","kilowatt hour of electricity")&amp;" in a residence, by "&amp;B1240&amp;" "&amp;B1241&amp;" in a "&amp;B1242&amp;". "&amp;" The hydrogen is transported by "&amp;B1244&amp;" over "&amp;B1245&amp;" km from regional storage. "&amp;" The "&amp;B1240&amp;" is produced by  "&amp;B1248&amp;", with "&amp;B1249&amp;" from "&amp;B1250&amp;" as feedstock. "&amp;A1252&amp;": "&amp;(B1252*100)&amp;"%. "&amp;A1253&amp;": "&amp;B1253&amp;". "&amp;A1254&amp;": "&amp;B1254&amp;". "&amp;A1255&amp;": "&amp;(B1255*100)&amp;"%. "&amp;A1256&amp;": "&amp;(B1256*100)&amp;"%. "&amp;A1257&amp;": "&amp;(B1257*100)&amp;"%. "&amp;A1258&amp;": "&amp;B1258&amp;". "&amp;A1259&amp;": "&amp;B1259&amp;". "&amp;A1260&amp;": "&amp;(B1260*100)&amp;"%. "&amp;A1261&amp;": "&amp;B1261&amp;". "&amp;A1262&amp;": "&amp;B1262&amp;". "&amp;A1263&amp;": "&amp;B1263&amp;". "&amp;A1264&amp;": "&amp;B1264&amp;".  For more information, refer to: "&amp;B1232</f>
        <v>This dataset represents the supply of 1 kilowatt hour of electricity in a residence, by hydrogen conversion in a fuel cell, PEM.  The hydrogen is transported by truck over 200 km from regional storage.  The hydrogen is produced by  Auto-thermal reforming, with CCS,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1232" spans="1:22" hidden="1" x14ac:dyDescent="0.2">
      <c r="A1232" t="s">
        <v>63</v>
      </c>
      <c r="B1232" s="45" t="s">
        <v>660</v>
      </c>
    </row>
    <row r="1233" spans="1:2" hidden="1" x14ac:dyDescent="0.2">
      <c r="A1233" t="s">
        <v>52</v>
      </c>
      <c r="B1233" s="45" t="s">
        <v>64</v>
      </c>
    </row>
    <row r="1234" spans="1:2" hidden="1" x14ac:dyDescent="0.2">
      <c r="A1234" t="s">
        <v>48</v>
      </c>
      <c r="B1234" s="45" t="s">
        <v>977</v>
      </c>
    </row>
    <row r="1235" spans="1:2" hidden="1" x14ac:dyDescent="0.2">
      <c r="A1235" t="s">
        <v>54</v>
      </c>
      <c r="B1235" s="45" t="str">
        <f>INDEX(overview!$B$4:$R$338,MATCH(B1234,overview!$A$4:$A$338,0),MATCH(A1235,overview!$B$3:$R$3,0))</f>
        <v>electricity, from residential heating system</v>
      </c>
    </row>
    <row r="1236" spans="1:2" hidden="1" x14ac:dyDescent="0.2">
      <c r="A1236" t="s">
        <v>55</v>
      </c>
      <c r="B1236" s="45" t="str">
        <f>INDEX(overview!$B$4:$R$338,MATCH(B1234,overview!$A$4:$A$338,0),MATCH(A1236,overview!$B$3:$R$3,0))</f>
        <v>kilowatt hour</v>
      </c>
    </row>
    <row r="1237" spans="1:2" hidden="1" x14ac:dyDescent="0.2">
      <c r="A1237" t="s">
        <v>0</v>
      </c>
      <c r="B1237" s="45" t="str">
        <f>INDEX(overview!$B$4:$R$338,MATCH(B1234,overview!$A$4:$A$338,0),MATCH(A1237,overview!$B$3:$R$3,0))</f>
        <v>Switzerland</v>
      </c>
    </row>
    <row r="1238" spans="1:2" hidden="1" x14ac:dyDescent="0.2">
      <c r="A1238" t="s">
        <v>1</v>
      </c>
      <c r="B1238" s="45">
        <f>INDEX(overview!$B$4:$R$338,MATCH(B1234,overview!$A$4:$A$338,0),MATCH(A1238,overview!$B$3:$R$3,0))</f>
        <v>2020</v>
      </c>
    </row>
    <row r="1239" spans="1:2" hidden="1" x14ac:dyDescent="0.2">
      <c r="A1239" t="s">
        <v>2</v>
      </c>
      <c r="B1239" s="45" t="str">
        <f>INDEX(overview!$B$4:$R$338,MATCH(B1234,overview!$A$4:$A$338,0),MATCH(A1239,overview!$B$3:$R$3,0))</f>
        <v>1 kWh electricity</v>
      </c>
    </row>
    <row r="1240" spans="1:2" hidden="1" x14ac:dyDescent="0.2">
      <c r="A1240" t="s">
        <v>5</v>
      </c>
      <c r="B1240" s="45" t="str">
        <f>INDEX(overview!$B$4:$R$338,MATCH(B1234,overview!$A$4:$A$338,0),MATCH(A1240,overview!$B$3:$R$3,0))</f>
        <v>hydrogen</v>
      </c>
    </row>
    <row r="1241" spans="1:2" hidden="1" x14ac:dyDescent="0.2">
      <c r="A1241" t="s">
        <v>3</v>
      </c>
      <c r="B1241" s="45" t="str">
        <f>INDEX(overview!$B$4:$R$338,MATCH(B1234,overview!$A$4:$A$338,0),MATCH(A1241,overview!$B$3:$R$3,0))</f>
        <v>conversion</v>
      </c>
    </row>
    <row r="1242" spans="1:2" hidden="1" x14ac:dyDescent="0.2">
      <c r="A1242" t="s">
        <v>6</v>
      </c>
      <c r="B1242" s="45" t="str">
        <f>INDEX(overview!$B$4:$R$338,MATCH(B1234,overview!$A$4:$A$338,0),MATCH(A1242,overview!$B$3:$R$3,0))</f>
        <v>fuel cell, PEM</v>
      </c>
    </row>
    <row r="1243" spans="1:2" hidden="1" x14ac:dyDescent="0.2">
      <c r="A1243" t="s">
        <v>39</v>
      </c>
      <c r="B1243" s="45" t="str">
        <f>INDEX(overview!$B$4:$R$338,MATCH(B1234,overview!$A$4:$A$338,0),MATCH(A1243,overview!$B$3:$R$3,0))</f>
        <v>exergy</v>
      </c>
    </row>
    <row r="1244" spans="1:2" hidden="1" x14ac:dyDescent="0.2">
      <c r="A1244" t="s">
        <v>4</v>
      </c>
      <c r="B1244" s="45" t="str">
        <f>INDEX(overview!$B$4:$R$338,MATCH(B1234,overview!$A$4:$A$338,0),MATCH(A1244,overview!$B$3:$R$3,0))</f>
        <v>truck</v>
      </c>
    </row>
    <row r="1245" spans="1:2" hidden="1" x14ac:dyDescent="0.2">
      <c r="A1245" t="s">
        <v>38</v>
      </c>
      <c r="B1245" s="45">
        <f>INDEX(overview!$B$4:$R$338,MATCH(B1234,overview!$A$4:$A$338,0),MATCH(A1245,overview!$B$3:$R$3,0))</f>
        <v>200</v>
      </c>
    </row>
    <row r="1246" spans="1:2" hidden="1" x14ac:dyDescent="0.2">
      <c r="A1246" t="s">
        <v>12</v>
      </c>
      <c r="B1246" s="45" t="str">
        <f>INDEX(overview!$B$4:$R$338,MATCH(B1234,overview!$A$4:$A$338,0),MATCH(A1246,overview!$B$3:$R$3,0))</f>
        <v>Pressure vessel for stationary storage</v>
      </c>
    </row>
    <row r="1247" spans="1:2" hidden="1" x14ac:dyDescent="0.2">
      <c r="A1247" t="s">
        <v>34</v>
      </c>
      <c r="B1247" s="45">
        <f>INDEX(overview!$B$4:$R$338,MATCH(B1234,overview!$A$4:$A$338,0),MATCH(A1247,overview!$B$3:$R$3,0))</f>
        <v>0</v>
      </c>
    </row>
    <row r="1248" spans="1:2" hidden="1" x14ac:dyDescent="0.2">
      <c r="A1248" t="s">
        <v>15</v>
      </c>
      <c r="B1248" s="45" t="str">
        <f>INDEX(overview!$B$4:$R$338,MATCH(B1234,overview!$A$4:$A$338,0),MATCH(A1248,overview!$B$3:$R$3,0))</f>
        <v>Auto-thermal reforming, with CCS</v>
      </c>
    </row>
    <row r="1249" spans="1:2" hidden="1" x14ac:dyDescent="0.2">
      <c r="A1249" t="s">
        <v>14</v>
      </c>
      <c r="B1249" s="45" t="str">
        <f>INDEX(overview!$B$4:$R$338,MATCH(B1234,overview!$A$4:$A$338,0),MATCH(A1249,overview!$B$3:$R$3,0))</f>
        <v>natural gas</v>
      </c>
    </row>
    <row r="1250" spans="1:2" hidden="1" x14ac:dyDescent="0.2">
      <c r="A1250" t="s">
        <v>26</v>
      </c>
      <c r="B1250" s="45" t="str">
        <f>INDEX(overview!$B$4:$R$338,MATCH(B1234,overview!$A$4:$A$338,0),MATCH(A1250,overview!$B$3:$R$3,0))</f>
        <v>Switzerland</v>
      </c>
    </row>
    <row r="1251" spans="1:2" hidden="1" x14ac:dyDescent="0.2">
      <c r="A1251" t="s">
        <v>29</v>
      </c>
      <c r="B1251" s="45">
        <f>INDEX(overview!$B$4:$R$338,MATCH(B1234,overview!$A$4:$A$338,0),MATCH(A1251,overview!$B$3:$R$3,0))</f>
        <v>0</v>
      </c>
    </row>
    <row r="1252" spans="1:2" hidden="1" x14ac:dyDescent="0.2">
      <c r="A1252" t="str">
        <f>IF(B1236="megajoule","Heat","Electricity")&amp;" conversion efficiency [% LHV input]"</f>
        <v>Electricity conversion efficiency [% LHV input]</v>
      </c>
      <c r="B1252" s="46">
        <f>INDEX(parameters!$D$4:$N$20,MATCH(B1240&amp;B1242,parameters!$A$4:$A$20,0),MATCH(A1252,parameters!$D$3:$N$3,0))</f>
        <v>0.45</v>
      </c>
    </row>
    <row r="1253" spans="1:2" hidden="1" x14ac:dyDescent="0.2">
      <c r="A1253" t="str">
        <f>IF(B1236="megajoule","LHV [MJ/kg]","LHV [kWh/kg]")</f>
        <v>LHV [kWh/kg]</v>
      </c>
      <c r="B1253" s="47">
        <f>INDEX(parameters!$D$4:$N$20,MATCH(B1240&amp;B1242,parameters!$A$4:$A$20,0),MATCH(A1253,parameters!$D$3:$N$3,0))</f>
        <v>33.333333333333336</v>
      </c>
    </row>
    <row r="1254" spans="1:2" hidden="1" x14ac:dyDescent="0.2">
      <c r="A1254" t="s">
        <v>41</v>
      </c>
      <c r="B1254" s="48">
        <f>INDEX(parameters!$D$4:$N$20,MATCH(B1240&amp;B1242,parameters!$A$4:$A$20,0),MATCH(A1254,parameters!$D$3:$N$3,0))</f>
        <v>2.6666666666666665E-2</v>
      </c>
    </row>
    <row r="1255" spans="1:2" hidden="1" x14ac:dyDescent="0.2">
      <c r="A1255" t="s">
        <v>45</v>
      </c>
      <c r="B1255" s="46">
        <f>INDEX(parameters!$D$4:$N$20,MATCH(B1240&amp;B1242,parameters!$A$4:$A$20,0),MATCH(A1255,parameters!$D$3:$N$3,0))</f>
        <v>0</v>
      </c>
    </row>
    <row r="1256" spans="1:2" hidden="1" x14ac:dyDescent="0.2">
      <c r="A1256" t="s">
        <v>46</v>
      </c>
      <c r="B1256" s="46">
        <f>INDEX(parameters!$D$4:$N$20,MATCH(B1240&amp;B1242,parameters!$A$4:$A$20,0),MATCH(A1256,parameters!$D$3:$N$3,0))</f>
        <v>1.4999999999999999E-2</v>
      </c>
    </row>
    <row r="1257" spans="1:2" hidden="1" x14ac:dyDescent="0.2">
      <c r="A1257" t="s">
        <v>43</v>
      </c>
      <c r="B1257" s="46">
        <f>INDEX(parameters!$D$4:$N$20,MATCH(B1240&amp;B1242,parameters!$A$4:$A$20,0),MATCH(A1257,parameters!$D$3:$N$3,0))</f>
        <v>0</v>
      </c>
    </row>
    <row r="1258" spans="1:2" hidden="1" x14ac:dyDescent="0.2">
      <c r="A1258" t="s">
        <v>44</v>
      </c>
      <c r="B1258" s="46">
        <f>INDEX(parameters!$D$4:$N$20,MATCH(B1240&amp;B1242,parameters!$A$4:$A$20,0),MATCH(A1258,parameters!$D$3:$N$3,0))</f>
        <v>0</v>
      </c>
    </row>
    <row r="1259" spans="1:2" hidden="1" x14ac:dyDescent="0.2">
      <c r="A1259" t="s">
        <v>634</v>
      </c>
      <c r="B1259" s="47">
        <f>INDEX(parameters!$D$4:$Y$20,MATCH(B1240&amp;B1242,parameters!$A$4:$A$20,0),MATCH(A1259,parameters!$D$3:$Y$3,0))</f>
        <v>1.8947368421052633</v>
      </c>
    </row>
    <row r="1260" spans="1:2" hidden="1" x14ac:dyDescent="0.2">
      <c r="A1260" t="s">
        <v>82</v>
      </c>
      <c r="B1260" s="46">
        <f>IF(B1251&lt;&gt;0,VLOOKUP(B1251,parameters!A919:B921,2,0),0)</f>
        <v>0</v>
      </c>
    </row>
    <row r="1261" spans="1:2" hidden="1" x14ac:dyDescent="0.2">
      <c r="A1261" t="s">
        <v>548</v>
      </c>
      <c r="B1261" s="50">
        <f>INDEX(parameters!$D$4:$P$20,MATCH(B1240&amp;B1242,parameters!$A$4:$A$20,0),MATCH(A1261,parameters!$D$3:$P$3,0))</f>
        <v>0.8</v>
      </c>
    </row>
    <row r="1262" spans="1:2" hidden="1" x14ac:dyDescent="0.2">
      <c r="A1262" t="s">
        <v>547</v>
      </c>
      <c r="B1262" s="51">
        <f>INDEX(parameters!$D$4:$P$20,MATCH(B1240&amp;B1242,parameters!$A$4:$A$20,0),MATCH(A1262,parameters!$D$3:$P$3,0))</f>
        <v>4.8780487804878048</v>
      </c>
    </row>
    <row r="1263" spans="1:2" hidden="1" x14ac:dyDescent="0.2">
      <c r="A1263" t="s">
        <v>630</v>
      </c>
      <c r="B1263" s="51">
        <f>INDEX(parameters!$D$4:$T$20,MATCH(B1240&amp;B1242,parameters!$A$4:$A$20,0),MATCH(A1263,parameters!$D$3:$T$3,0))</f>
        <v>4100</v>
      </c>
    </row>
    <row r="1264" spans="1:2" hidden="1" x14ac:dyDescent="0.2">
      <c r="A1264" t="s">
        <v>1005</v>
      </c>
      <c r="B1264" s="50">
        <f>IF(B1236="megajoule",SUMIFS(allocation!$I$4:$I$30,allocation!$B$4:$B$30,B1242,allocation!$C$4:$C$30,B1243),SUMIFS(allocation!$J$4:$J$30,allocation!$B$4:$B$30,B1242,allocation!$C$4:$C$30,B1243))</f>
        <v>0.86066019201025545</v>
      </c>
    </row>
    <row r="1265" spans="1:22" hidden="1" x14ac:dyDescent="0.2">
      <c r="A1265" t="s">
        <v>1050</v>
      </c>
      <c r="B1265" s="51">
        <f>INDEX(parameters!$D$4:$AB$20,MATCH(B1240&amp;B1242,parameters!$A$4:$A$20,0),MATCH(A1265,parameters!$D$3:$AB$3,0))</f>
        <v>10.221606648199446</v>
      </c>
    </row>
    <row r="1266" spans="1:22" hidden="1" x14ac:dyDescent="0.2"/>
    <row r="1267" spans="1:22" hidden="1" x14ac:dyDescent="0.2">
      <c r="A1267" s="3" t="s">
        <v>57</v>
      </c>
    </row>
    <row r="1268" spans="1:22" hidden="1" x14ac:dyDescent="0.2">
      <c r="A1268" s="2" t="s">
        <v>58</v>
      </c>
      <c r="B1268" s="44" t="s">
        <v>59</v>
      </c>
      <c r="C1268" s="2" t="s">
        <v>55</v>
      </c>
      <c r="D1268" s="2" t="s">
        <v>60</v>
      </c>
      <c r="E1268" s="2" t="s">
        <v>52</v>
      </c>
      <c r="F1268" s="2" t="s">
        <v>61</v>
      </c>
      <c r="G1268" s="2" t="s">
        <v>54</v>
      </c>
      <c r="H1268" s="2" t="s">
        <v>87</v>
      </c>
      <c r="I1268" s="2" t="s">
        <v>51</v>
      </c>
      <c r="J1268" s="2" t="s">
        <v>138</v>
      </c>
      <c r="K1268" s="2" t="s">
        <v>136</v>
      </c>
      <c r="L1268" s="2" t="s">
        <v>221</v>
      </c>
      <c r="M1268" s="2" t="s">
        <v>379</v>
      </c>
      <c r="N1268" s="2" t="s">
        <v>1059</v>
      </c>
      <c r="O1268" s="2" t="s">
        <v>1060</v>
      </c>
      <c r="P1268" s="2" t="s">
        <v>1061</v>
      </c>
      <c r="Q1268" s="2" t="s">
        <v>1062</v>
      </c>
      <c r="R1268" s="2" t="s">
        <v>1063</v>
      </c>
      <c r="S1268" s="2" t="s">
        <v>1064</v>
      </c>
      <c r="T1268" s="2" t="s">
        <v>1065</v>
      </c>
      <c r="U1268" s="2" t="s">
        <v>380</v>
      </c>
      <c r="V1268" s="2" t="s">
        <v>1128</v>
      </c>
    </row>
    <row r="1269" spans="1:22" x14ac:dyDescent="0.2">
      <c r="A1269" t="str">
        <f>B1230</f>
        <v>electricity, residential, by conversion of hydrogen using fuel cell, PEM, allocated by exergy, transported by truck, produced by Auto-thermal reforming, with CCS using natural gas from Switzerland</v>
      </c>
      <c r="B1269" s="45">
        <v>1</v>
      </c>
      <c r="C1269" t="str">
        <f>B1236</f>
        <v>kilowatt hour</v>
      </c>
      <c r="E1269" t="str">
        <f>B1233</f>
        <v>CH</v>
      </c>
      <c r="F1269" t="s">
        <v>62</v>
      </c>
      <c r="G1269" t="str">
        <f>B1235</f>
        <v>electricity, from residential heating system</v>
      </c>
      <c r="K1269" t="str">
        <f>B1230</f>
        <v>electricity, residential, by conversion of hydrogen using fuel cell, PEM, allocated by exergy, transported by truck, produced by Auto-thermal reforming, with CCS using natural gas from Switzerland</v>
      </c>
    </row>
    <row r="1270" spans="1:22" hidden="1" x14ac:dyDescent="0.2">
      <c r="A1270" t="str">
        <f>VLOOKUP(J1270,'dataset mapping'!$A$4:$E$69,2,0)</f>
        <v>fuel cell system assembly, 1 kWe, proton exchange membrane (PEM)</v>
      </c>
      <c r="B1270" s="52">
        <f>(1/(B1259*B1263*B1262))*B1264</f>
        <v>2.2711866178048405E-5</v>
      </c>
      <c r="C1270" t="str">
        <f>VLOOKUP(J1270,'dataset mapping'!$A$4:$E$69,5,0)</f>
        <v>unit</v>
      </c>
      <c r="E1270" t="str">
        <f>VLOOKUP(J1270,'dataset mapping'!$A$4:$E$69,4,0)</f>
        <v>GLO</v>
      </c>
      <c r="F1270" t="s">
        <v>86</v>
      </c>
      <c r="G1270" t="str">
        <f>VLOOKUP(J1270,'dataset mapping'!$A$4:$E$69,3,0)</f>
        <v>fuel cell system, 1 kWe, proton exchange membrane (PEM)</v>
      </c>
      <c r="H1270" t="s">
        <v>88</v>
      </c>
      <c r="I1270" t="s">
        <v>272</v>
      </c>
      <c r="J1270" t="s">
        <v>273</v>
      </c>
      <c r="K1270" t="str">
        <f>B1230</f>
        <v>electricity, residential, by conversion of hydrogen using fuel cell, PEM, allocated by exergy, transported by truck, produced by Auto-thermal reforming, with CCS using natural gas from Switzerland</v>
      </c>
      <c r="L1270">
        <f t="shared" ref="L1270:L1273" si="80">IF(OR(B1270&lt;0,B1270=0),1,2)</f>
        <v>2</v>
      </c>
      <c r="M1270">
        <f t="shared" ref="M1270:M1273" si="81">IF(L1270=2,LN(B1270),"")</f>
        <v>-10.692623030936341</v>
      </c>
      <c r="N1270">
        <v>1</v>
      </c>
      <c r="O1270">
        <v>1.2</v>
      </c>
      <c r="P1270">
        <v>1</v>
      </c>
      <c r="Q1270">
        <v>1.01</v>
      </c>
      <c r="R1270">
        <v>1.2</v>
      </c>
      <c r="S1270">
        <v>1.2</v>
      </c>
      <c r="T1270">
        <v>3</v>
      </c>
      <c r="U1270">
        <f t="shared" ref="U1270:U1273" si="82">LN(SQRT(EXP(
SQRT(
+POWER(LN(N1270),2)
+POWER(LN(O1270),2)
+POWER(LN(P1270),2)
+POWER(LN(Q1270),2)
+POWER(LN(R1270),2)
+POWER(LN(S1270),2)
+POWER(LN(T1270),2)
)
)))</f>
        <v>0.57157051623399524</v>
      </c>
    </row>
    <row r="1271" spans="1:22" hidden="1" x14ac:dyDescent="0.2">
      <c r="A1271" s="45" t="str">
        <f>"hydrogen supply, transported by "&amp;B1244&amp;", produced by "&amp;B1248&amp;" using "&amp;B1249&amp;" from "&amp;B1250</f>
        <v>hydrogen supply, transported by truck, produced by Auto-thermal reforming, with CCS using natural gas from Switzerland</v>
      </c>
      <c r="B1271" s="53">
        <f>(B1269/B1253)/B1252*B1264</f>
        <v>5.7377346134017029E-2</v>
      </c>
      <c r="C1271" t="s">
        <v>56</v>
      </c>
      <c r="E1271" t="s">
        <v>64</v>
      </c>
      <c r="F1271" t="s">
        <v>86</v>
      </c>
      <c r="G1271" t="s">
        <v>1137</v>
      </c>
      <c r="H1271" t="s">
        <v>76</v>
      </c>
      <c r="I1271" t="s">
        <v>1054</v>
      </c>
      <c r="J1271" t="s">
        <v>308</v>
      </c>
      <c r="K1271" t="str">
        <f>B1230</f>
        <v>electricity, residential, by conversion of hydrogen using fuel cell, PEM, allocated by exergy, transported by truck, produced by Auto-thermal reforming, with CCS using natural gas from Switzerland</v>
      </c>
      <c r="L1271">
        <f t="shared" si="80"/>
        <v>2</v>
      </c>
      <c r="M1271">
        <f t="shared" si="81"/>
        <v>-2.8581057202127536</v>
      </c>
      <c r="N1271">
        <v>1</v>
      </c>
      <c r="O1271">
        <v>1.2</v>
      </c>
      <c r="P1271">
        <v>1</v>
      </c>
      <c r="Q1271">
        <v>1.01</v>
      </c>
      <c r="R1271">
        <v>1.2</v>
      </c>
      <c r="S1271">
        <v>1.2</v>
      </c>
      <c r="T1271">
        <v>1.05</v>
      </c>
      <c r="U1271">
        <f t="shared" si="82"/>
        <v>0.15984597228197622</v>
      </c>
    </row>
    <row r="1272" spans="1:22" hidden="1" x14ac:dyDescent="0.2">
      <c r="A1272" t="str">
        <f>VLOOKUP(J1272,'dataset mapping'!$A$4:$E$69,2,0)</f>
        <v>high pressure hydrogen storage tank</v>
      </c>
      <c r="B1272" s="52">
        <f>((B1265/10)/(B1263*B1259*20))*IF(B1264&lt;&gt;0,B1264,1)</f>
        <v>5.6622381053306285E-6</v>
      </c>
      <c r="C1272" t="str">
        <f>VLOOKUP(J1272,'dataset mapping'!$A$4:$E$69,5,0)</f>
        <v>kilogram</v>
      </c>
      <c r="E1272" t="str">
        <f>VLOOKUP(J1272,'dataset mapping'!$A$4:$E$69,4,0)</f>
        <v>GLO</v>
      </c>
      <c r="F1272" t="s">
        <v>86</v>
      </c>
      <c r="G1272" t="str">
        <f>VLOOKUP(J1272,'dataset mapping'!$A$4:$E$69,3,0)</f>
        <v>high pressure hydrogen storage tank</v>
      </c>
      <c r="H1272" t="s">
        <v>88</v>
      </c>
      <c r="I1272" t="s">
        <v>280</v>
      </c>
      <c r="J1272" t="s">
        <v>229</v>
      </c>
      <c r="K1272" t="str">
        <f>B1230</f>
        <v>electricity, residential, by conversion of hydrogen using fuel cell, PEM, allocated by exergy, transported by truck, produced by Auto-thermal reforming, with CCS using natural gas from Switzerland</v>
      </c>
      <c r="L1272">
        <f t="shared" si="80"/>
        <v>2</v>
      </c>
      <c r="M1272">
        <f t="shared" si="81"/>
        <v>-12.081691318938956</v>
      </c>
      <c r="N1272">
        <v>1</v>
      </c>
      <c r="O1272">
        <v>1.2</v>
      </c>
      <c r="P1272">
        <v>1</v>
      </c>
      <c r="Q1272">
        <v>1.01</v>
      </c>
      <c r="R1272">
        <v>1.2</v>
      </c>
      <c r="S1272">
        <v>1.2</v>
      </c>
      <c r="T1272">
        <v>3</v>
      </c>
      <c r="U1272">
        <f t="shared" si="82"/>
        <v>0.57157051623399524</v>
      </c>
    </row>
    <row r="1273" spans="1:22" hidden="1" x14ac:dyDescent="0.2">
      <c r="A1273" t="s">
        <v>134</v>
      </c>
      <c r="B1273" s="45">
        <f>B1271*9</f>
        <v>0.51639611520615325</v>
      </c>
      <c r="C1273" t="s">
        <v>56</v>
      </c>
      <c r="D1273" t="s">
        <v>100</v>
      </c>
      <c r="F1273" t="s">
        <v>99</v>
      </c>
      <c r="H1273" t="s">
        <v>131</v>
      </c>
      <c r="I1273" t="s">
        <v>289</v>
      </c>
      <c r="K1273" t="str">
        <f>B1230</f>
        <v>electricity, residential, by conversion of hydrogen using fuel cell, PEM, allocated by exergy, transported by truck, produced by Auto-thermal reforming, with CCS using natural gas from Switzerland</v>
      </c>
      <c r="L1273">
        <f t="shared" si="80"/>
        <v>2</v>
      </c>
      <c r="M1273">
        <f t="shared" si="81"/>
        <v>-0.6608811428765341</v>
      </c>
      <c r="N1273">
        <v>1</v>
      </c>
      <c r="O1273">
        <v>1.2</v>
      </c>
      <c r="P1273">
        <v>1</v>
      </c>
      <c r="Q1273">
        <v>1.01</v>
      </c>
      <c r="R1273">
        <v>1.2</v>
      </c>
      <c r="S1273">
        <v>1.2</v>
      </c>
      <c r="T1273">
        <v>1.05</v>
      </c>
      <c r="U1273">
        <f t="shared" si="82"/>
        <v>0.15984597228197622</v>
      </c>
    </row>
    <row r="1274" spans="1:22" hidden="1" x14ac:dyDescent="0.2"/>
    <row r="1275" spans="1:22" hidden="1" x14ac:dyDescent="0.2">
      <c r="A1275" s="2" t="s">
        <v>50</v>
      </c>
      <c r="B1275" s="44" t="str">
        <f>IF(B1281="megajoule","heat","electricity")&amp;", residential, by "&amp;B1286&amp;" of "&amp;B1285&amp;" using "&amp;B1287&amp;IF(B1288&lt;&gt;0,", allocated by "&amp;B1288,"")&amp;", transported by "&amp;B1289&amp;", produced by "&amp;B1293&amp;" using "&amp;B1294&amp;" from "&amp;B1295</f>
        <v>electricity, residential, by conversion of hydrogen using fuel cell, SOFC, allocated by exergy, transported by truck, produced by Auto-thermal reforming, with CCS using natural gas from Switzerland</v>
      </c>
    </row>
    <row r="1276" spans="1:22" hidden="1" x14ac:dyDescent="0.2">
      <c r="A1276" t="s">
        <v>51</v>
      </c>
      <c r="B1276" s="45" t="str">
        <f>"This dataset represents the supply of 1 "&amp;IF(B1281="megajoule","megajoule of heat","kilowatt hour of electricity")&amp;" in a residence, by "&amp;B1285&amp;" "&amp;B1286&amp;" in a "&amp;B1287&amp;". "&amp;" The hydrogen is transported by "&amp;B1289&amp;" over "&amp;B1290&amp;" km from regional storage. "&amp;" The "&amp;B1285&amp;" is produced by  "&amp;B1293&amp;", with "&amp;B1294&amp;" from "&amp;B1295&amp;" as feedstock. "&amp;A1297&amp;": "&amp;(B1297*100)&amp;"%. "&amp;A1298&amp;": "&amp;B1298&amp;". "&amp;A1299&amp;": "&amp;B1299&amp;". "&amp;A1300&amp;": "&amp;(B1300*100)&amp;"%. "&amp;A1301&amp;": "&amp;(B1301*100)&amp;"%. "&amp;A1302&amp;": "&amp;(B1302*100)&amp;"%. "&amp;A1303&amp;": "&amp;B1303&amp;". "&amp;A1304&amp;": "&amp;B1304&amp;". "&amp;A1305&amp;": "&amp;(B1305*100)&amp;"%. "&amp;A1306&amp;": "&amp;B1306&amp;". "&amp;A1307&amp;": "&amp;B1307&amp;". "&amp;A1308&amp;": "&amp;B1308&amp;". "&amp;A1309&amp;": "&amp;B1309&amp;".  For more information, refer to: "&amp;B1277</f>
        <v>This dataset represents the supply of 1 kilowatt hour of electricity in a residence, by hydrogen conversion in a fuel cell, SOFC.  The hydrogen is transported by truck over 200 km from regional storage.  The hydrogen is produced by  Auto-thermal reforming, with CCS,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1277" spans="1:22" hidden="1" x14ac:dyDescent="0.2">
      <c r="A1277" t="s">
        <v>63</v>
      </c>
      <c r="B1277" s="45" t="s">
        <v>660</v>
      </c>
    </row>
    <row r="1278" spans="1:22" hidden="1" x14ac:dyDescent="0.2">
      <c r="A1278" t="s">
        <v>52</v>
      </c>
      <c r="B1278" s="45" t="s">
        <v>64</v>
      </c>
    </row>
    <row r="1279" spans="1:22" hidden="1" x14ac:dyDescent="0.2">
      <c r="A1279" t="s">
        <v>48</v>
      </c>
      <c r="B1279" s="45" t="s">
        <v>978</v>
      </c>
    </row>
    <row r="1280" spans="1:22" hidden="1" x14ac:dyDescent="0.2">
      <c r="A1280" t="s">
        <v>54</v>
      </c>
      <c r="B1280" s="45" t="str">
        <f>INDEX(overview!$B$4:$R$338,MATCH(B1279,overview!$A$4:$A$338,0),MATCH(A1280,overview!$B$3:$R$3,0))</f>
        <v>electricity, from residential heating system</v>
      </c>
    </row>
    <row r="1281" spans="1:2" hidden="1" x14ac:dyDescent="0.2">
      <c r="A1281" t="s">
        <v>55</v>
      </c>
      <c r="B1281" s="45" t="str">
        <f>INDEX(overview!$B$4:$R$338,MATCH(B1279,overview!$A$4:$A$338,0),MATCH(A1281,overview!$B$3:$R$3,0))</f>
        <v>kilowatt hour</v>
      </c>
    </row>
    <row r="1282" spans="1:2" hidden="1" x14ac:dyDescent="0.2">
      <c r="A1282" t="s">
        <v>0</v>
      </c>
      <c r="B1282" s="45" t="str">
        <f>INDEX(overview!$B$4:$R$338,MATCH(B1279,overview!$A$4:$A$338,0),MATCH(A1282,overview!$B$3:$R$3,0))</f>
        <v>Switzerland</v>
      </c>
    </row>
    <row r="1283" spans="1:2" hidden="1" x14ac:dyDescent="0.2">
      <c r="A1283" t="s">
        <v>1</v>
      </c>
      <c r="B1283" s="45">
        <f>INDEX(overview!$B$4:$R$338,MATCH(B1279,overview!$A$4:$A$338,0),MATCH(A1283,overview!$B$3:$R$3,0))</f>
        <v>2020</v>
      </c>
    </row>
    <row r="1284" spans="1:2" hidden="1" x14ac:dyDescent="0.2">
      <c r="A1284" t="s">
        <v>2</v>
      </c>
      <c r="B1284" s="45" t="str">
        <f>INDEX(overview!$B$4:$R$338,MATCH(B1279,overview!$A$4:$A$338,0),MATCH(A1284,overview!$B$3:$R$3,0))</f>
        <v>1 kWh electricity</v>
      </c>
    </row>
    <row r="1285" spans="1:2" hidden="1" x14ac:dyDescent="0.2">
      <c r="A1285" t="s">
        <v>5</v>
      </c>
      <c r="B1285" s="45" t="str">
        <f>INDEX(overview!$B$4:$R$338,MATCH(B1279,overview!$A$4:$A$338,0),MATCH(A1285,overview!$B$3:$R$3,0))</f>
        <v>hydrogen</v>
      </c>
    </row>
    <row r="1286" spans="1:2" hidden="1" x14ac:dyDescent="0.2">
      <c r="A1286" t="s">
        <v>3</v>
      </c>
      <c r="B1286" s="45" t="str">
        <f>INDEX(overview!$B$4:$R$338,MATCH(B1279,overview!$A$4:$A$338,0),MATCH(A1286,overview!$B$3:$R$3,0))</f>
        <v>conversion</v>
      </c>
    </row>
    <row r="1287" spans="1:2" hidden="1" x14ac:dyDescent="0.2">
      <c r="A1287" t="s">
        <v>6</v>
      </c>
      <c r="B1287" s="45" t="str">
        <f>INDEX(overview!$B$4:$R$338,MATCH(B1279,overview!$A$4:$A$338,0),MATCH(A1287,overview!$B$3:$R$3,0))</f>
        <v>fuel cell, SOFC</v>
      </c>
    </row>
    <row r="1288" spans="1:2" hidden="1" x14ac:dyDescent="0.2">
      <c r="A1288" t="s">
        <v>39</v>
      </c>
      <c r="B1288" s="45" t="str">
        <f>INDEX(overview!$B$4:$R$338,MATCH(B1279,overview!$A$4:$A$338,0),MATCH(A1288,overview!$B$3:$R$3,0))</f>
        <v>exergy</v>
      </c>
    </row>
    <row r="1289" spans="1:2" hidden="1" x14ac:dyDescent="0.2">
      <c r="A1289" t="s">
        <v>4</v>
      </c>
      <c r="B1289" s="45" t="str">
        <f>INDEX(overview!$B$4:$R$338,MATCH(B1279,overview!$A$4:$A$338,0),MATCH(A1289,overview!$B$3:$R$3,0))</f>
        <v>truck</v>
      </c>
    </row>
    <row r="1290" spans="1:2" hidden="1" x14ac:dyDescent="0.2">
      <c r="A1290" t="s">
        <v>38</v>
      </c>
      <c r="B1290" s="45">
        <f>INDEX(overview!$B$4:$R$338,MATCH(B1279,overview!$A$4:$A$338,0),MATCH(A1290,overview!$B$3:$R$3,0))</f>
        <v>200</v>
      </c>
    </row>
    <row r="1291" spans="1:2" hidden="1" x14ac:dyDescent="0.2">
      <c r="A1291" t="s">
        <v>12</v>
      </c>
      <c r="B1291" s="45" t="str">
        <f>INDEX(overview!$B$4:$R$338,MATCH(B1279,overview!$A$4:$A$338,0),MATCH(A1291,overview!$B$3:$R$3,0))</f>
        <v>Pressure vessel for stationary storage</v>
      </c>
    </row>
    <row r="1292" spans="1:2" hidden="1" x14ac:dyDescent="0.2">
      <c r="A1292" t="s">
        <v>34</v>
      </c>
      <c r="B1292" s="45">
        <f>INDEX(overview!$B$4:$R$338,MATCH(B1279,overview!$A$4:$A$338,0),MATCH(A1292,overview!$B$3:$R$3,0))</f>
        <v>0</v>
      </c>
    </row>
    <row r="1293" spans="1:2" hidden="1" x14ac:dyDescent="0.2">
      <c r="A1293" t="s">
        <v>15</v>
      </c>
      <c r="B1293" s="45" t="str">
        <f>INDEX(overview!$B$4:$R$338,MATCH(B1279,overview!$A$4:$A$338,0),MATCH(A1293,overview!$B$3:$R$3,0))</f>
        <v>Auto-thermal reforming, with CCS</v>
      </c>
    </row>
    <row r="1294" spans="1:2" hidden="1" x14ac:dyDescent="0.2">
      <c r="A1294" t="s">
        <v>14</v>
      </c>
      <c r="B1294" s="45" t="str">
        <f>INDEX(overview!$B$4:$R$338,MATCH(B1279,overview!$A$4:$A$338,0),MATCH(A1294,overview!$B$3:$R$3,0))</f>
        <v>natural gas</v>
      </c>
    </row>
    <row r="1295" spans="1:2" hidden="1" x14ac:dyDescent="0.2">
      <c r="A1295" t="s">
        <v>26</v>
      </c>
      <c r="B1295" s="45" t="str">
        <f>INDEX(overview!$B$4:$R$338,MATCH(B1279,overview!$A$4:$A$338,0),MATCH(A1295,overview!$B$3:$R$3,0))</f>
        <v>Switzerland</v>
      </c>
    </row>
    <row r="1296" spans="1:2" hidden="1" x14ac:dyDescent="0.2">
      <c r="A1296" t="s">
        <v>29</v>
      </c>
      <c r="B1296" s="45">
        <f>INDEX(overview!$B$4:$R$338,MATCH(B1279,overview!$A$4:$A$338,0),MATCH(A1296,overview!$B$3:$R$3,0))</f>
        <v>0</v>
      </c>
    </row>
    <row r="1297" spans="1:4" hidden="1" x14ac:dyDescent="0.2">
      <c r="A1297" t="str">
        <f>IF(B1281="megajoule","Heat","Electricity")&amp;" conversion efficiency [% LHV input]"</f>
        <v>Electricity conversion efficiency [% LHV input]</v>
      </c>
      <c r="B1297" s="46">
        <f>INDEX(parameters!$D$4:$N$20,MATCH(B1285&amp;B1287,parameters!$A$4:$A$20,0),MATCH(A1297,parameters!$D$3:$N$3,0))</f>
        <v>0.47</v>
      </c>
    </row>
    <row r="1298" spans="1:4" hidden="1" x14ac:dyDescent="0.2">
      <c r="A1298" t="str">
        <f>IF(B1281="megajoule","LHV [MJ/kg]","LHV [kWh/kg]")</f>
        <v>LHV [kWh/kg]</v>
      </c>
      <c r="B1298" s="47">
        <f>INDEX(parameters!$D$4:$N$20,MATCH(B1285&amp;B1287,parameters!$A$4:$A$20,0),MATCH(A1298,parameters!$D$3:$N$3,0))</f>
        <v>33.333333333333336</v>
      </c>
    </row>
    <row r="1299" spans="1:4" hidden="1" x14ac:dyDescent="0.2">
      <c r="A1299" t="s">
        <v>41</v>
      </c>
      <c r="B1299" s="48">
        <f>INDEX(parameters!$D$4:$N$20,MATCH(B1285&amp;B1287,parameters!$A$4:$A$20,0),MATCH(A1299,parameters!$D$3:$N$3,0))</f>
        <v>2.6666666666666665E-2</v>
      </c>
    </row>
    <row r="1300" spans="1:4" hidden="1" x14ac:dyDescent="0.2">
      <c r="A1300" t="s">
        <v>45</v>
      </c>
      <c r="B1300" s="46">
        <f>INDEX(parameters!$D$4:$N$20,MATCH(B1285&amp;B1287,parameters!$A$4:$A$20,0),MATCH(A1300,parameters!$D$3:$N$3,0))</f>
        <v>0</v>
      </c>
    </row>
    <row r="1301" spans="1:4" hidden="1" x14ac:dyDescent="0.2">
      <c r="A1301" t="s">
        <v>46</v>
      </c>
      <c r="B1301" s="46">
        <f>INDEX(parameters!$D$4:$N$20,MATCH(B1285&amp;B1287,parameters!$A$4:$A$20,0),MATCH(A1301,parameters!$D$3:$N$3,0))</f>
        <v>1.4999999999999999E-2</v>
      </c>
    </row>
    <row r="1302" spans="1:4" hidden="1" x14ac:dyDescent="0.2">
      <c r="A1302" t="s">
        <v>43</v>
      </c>
      <c r="B1302" s="46">
        <f>INDEX(parameters!$D$4:$N$20,MATCH(B1285&amp;B1287,parameters!$A$4:$A$20,0),MATCH(A1302,parameters!$D$3:$N$3,0))</f>
        <v>0</v>
      </c>
    </row>
    <row r="1303" spans="1:4" hidden="1" x14ac:dyDescent="0.2">
      <c r="A1303" t="s">
        <v>44</v>
      </c>
      <c r="B1303" s="46">
        <f>INDEX(parameters!$D$4:$N$20,MATCH(B1285&amp;B1287,parameters!$A$4:$A$20,0),MATCH(A1303,parameters!$D$3:$N$3,0))</f>
        <v>0</v>
      </c>
    </row>
    <row r="1304" spans="1:4" hidden="1" x14ac:dyDescent="0.2">
      <c r="A1304" t="s">
        <v>634</v>
      </c>
      <c r="B1304" s="47">
        <f>INDEX(parameters!$D$4:$Y$20,MATCH(B1285&amp;B1287,parameters!$A$4:$A$20,0),MATCH(A1304,parameters!$D$3:$Y$3,0))</f>
        <v>225</v>
      </c>
      <c r="D1304" s="8"/>
    </row>
    <row r="1305" spans="1:4" hidden="1" x14ac:dyDescent="0.2">
      <c r="A1305" t="s">
        <v>82</v>
      </c>
      <c r="B1305" s="46">
        <f>IF(B1296&lt;&gt;0,VLOOKUP(B1296,parameters!A967:B969,2,0),0)</f>
        <v>0</v>
      </c>
    </row>
    <row r="1306" spans="1:4" hidden="1" x14ac:dyDescent="0.2">
      <c r="A1306" t="s">
        <v>548</v>
      </c>
      <c r="B1306" s="50">
        <f>INDEX(parameters!$D$4:$P$20,MATCH(B1285&amp;B1287,parameters!$A$4:$A$20,0),MATCH(A1306,parameters!$D$3:$P$3,0))</f>
        <v>100</v>
      </c>
    </row>
    <row r="1307" spans="1:4" hidden="1" x14ac:dyDescent="0.2">
      <c r="A1307" t="s">
        <v>547</v>
      </c>
      <c r="B1307" s="51">
        <f>INDEX(parameters!$D$4:$P$20,MATCH(B1285&amp;B1287,parameters!$A$4:$A$20,0),MATCH(A1307,parameters!$D$3:$P$3,0))</f>
        <v>6</v>
      </c>
    </row>
    <row r="1308" spans="1:4" hidden="1" x14ac:dyDescent="0.2">
      <c r="A1308" t="s">
        <v>630</v>
      </c>
      <c r="B1308" s="51">
        <f>INDEX(parameters!$D$4:$T$20,MATCH(B1285&amp;B1287,parameters!$A$4:$A$20,0),MATCH(A1308,parameters!$D$3:$T$3,0))</f>
        <v>4100</v>
      </c>
    </row>
    <row r="1309" spans="1:4" hidden="1" x14ac:dyDescent="0.2">
      <c r="A1309" t="s">
        <v>1005</v>
      </c>
      <c r="B1309" s="50">
        <f>IF(B1281="megajoule",SUMIFS(allocation!$I$4:$I$30,allocation!$B$4:$B$30,B1287,allocation!$C$4:$C$30,B1288),SUMIFS(allocation!$J$4:$J$30,allocation!$B$4:$B$30,B1287,allocation!$C$4:$C$30,B1288))</f>
        <v>0.86412493489600906</v>
      </c>
    </row>
    <row r="1310" spans="1:4" hidden="1" x14ac:dyDescent="0.2">
      <c r="A1310" t="s">
        <v>1050</v>
      </c>
      <c r="B1310" s="51">
        <f>INDEX(parameters!$D$4:$AB$20,MATCH(B1285&amp;B1287,parameters!$A$4:$A$20,0),MATCH(A1310,parameters!$D$3:$AB$3,0))</f>
        <v>1153.1249999999998</v>
      </c>
    </row>
    <row r="1311" spans="1:4" hidden="1" x14ac:dyDescent="0.2"/>
    <row r="1312" spans="1:4" hidden="1" x14ac:dyDescent="0.2">
      <c r="A1312" s="3" t="s">
        <v>57</v>
      </c>
    </row>
    <row r="1313" spans="1:22" hidden="1" x14ac:dyDescent="0.2">
      <c r="A1313" s="2" t="s">
        <v>58</v>
      </c>
      <c r="B1313" s="44" t="s">
        <v>59</v>
      </c>
      <c r="C1313" s="2" t="s">
        <v>55</v>
      </c>
      <c r="D1313" s="2" t="s">
        <v>60</v>
      </c>
      <c r="E1313" s="2" t="s">
        <v>52</v>
      </c>
      <c r="F1313" s="2" t="s">
        <v>61</v>
      </c>
      <c r="G1313" s="2" t="s">
        <v>54</v>
      </c>
      <c r="H1313" s="2" t="s">
        <v>87</v>
      </c>
      <c r="I1313" s="2" t="s">
        <v>51</v>
      </c>
      <c r="J1313" s="2" t="s">
        <v>138</v>
      </c>
      <c r="K1313" s="2" t="s">
        <v>136</v>
      </c>
      <c r="L1313" s="2" t="s">
        <v>221</v>
      </c>
      <c r="M1313" s="2" t="s">
        <v>379</v>
      </c>
      <c r="N1313" s="2" t="s">
        <v>1059</v>
      </c>
      <c r="O1313" s="2" t="s">
        <v>1060</v>
      </c>
      <c r="P1313" s="2" t="s">
        <v>1061</v>
      </c>
      <c r="Q1313" s="2" t="s">
        <v>1062</v>
      </c>
      <c r="R1313" s="2" t="s">
        <v>1063</v>
      </c>
      <c r="S1313" s="2" t="s">
        <v>1064</v>
      </c>
      <c r="T1313" s="2" t="s">
        <v>1065</v>
      </c>
      <c r="U1313" s="2" t="s">
        <v>380</v>
      </c>
      <c r="V1313" s="2" t="s">
        <v>1128</v>
      </c>
    </row>
    <row r="1314" spans="1:22" x14ac:dyDescent="0.2">
      <c r="A1314" t="str">
        <f>B1275</f>
        <v>electricity, residential, by conversion of hydrogen using fuel cell, SOFC, allocated by exergy, transported by truck, produced by Auto-thermal reforming, with CCS using natural gas from Switzerland</v>
      </c>
      <c r="B1314" s="45">
        <v>1</v>
      </c>
      <c r="C1314" t="str">
        <f>B1281</f>
        <v>kilowatt hour</v>
      </c>
      <c r="E1314" t="str">
        <f>B1278</f>
        <v>CH</v>
      </c>
      <c r="F1314" t="s">
        <v>62</v>
      </c>
      <c r="G1314" t="str">
        <f>B1280</f>
        <v>electricity, from residential heating system</v>
      </c>
      <c r="K1314" t="str">
        <f>B1275</f>
        <v>electricity, residential, by conversion of hydrogen using fuel cell, SOFC, allocated by exergy, transported by truck, produced by Auto-thermal reforming, with CCS using natural gas from Switzerland</v>
      </c>
    </row>
    <row r="1315" spans="1:22" hidden="1" x14ac:dyDescent="0.2">
      <c r="A1315" t="str">
        <f>VLOOKUP(J1315,'dataset mapping'!$A$4:$E$69,2,0)</f>
        <v>fuel cell production, stack solid oxide, 125kW electrical, future</v>
      </c>
      <c r="B1315" s="52">
        <f>1/(62*1000000)/B1297*SUMIFS(allocation!$I$4:$I$30,allocation!$B$4:$B$30,B1287,allocation!$C$4:$C$30,B1288)</f>
        <v>4.6628368258061427E-9</v>
      </c>
      <c r="C1315" t="str">
        <f>VLOOKUP(J1315,'dataset mapping'!$A$4:$E$69,5,0)</f>
        <v>unit</v>
      </c>
      <c r="E1315" t="str">
        <f>VLOOKUP(J1315,'dataset mapping'!$A$4:$E$69,4,0)</f>
        <v>CH</v>
      </c>
      <c r="F1315" t="s">
        <v>86</v>
      </c>
      <c r="G1315" t="str">
        <f>VLOOKUP(J1315,'dataset mapping'!$A$4:$E$69,3,0)</f>
        <v>fuel cell, stack solid oxide, 125kW electrical, future</v>
      </c>
      <c r="H1315" t="s">
        <v>88</v>
      </c>
      <c r="I1315" t="s">
        <v>277</v>
      </c>
      <c r="J1315" t="s">
        <v>274</v>
      </c>
      <c r="K1315" t="str">
        <f>B1275</f>
        <v>electricity, residential, by conversion of hydrogen using fuel cell, SOFC, allocated by exergy, transported by truck, produced by Auto-thermal reforming, with CCS using natural gas from Switzerland</v>
      </c>
      <c r="L1315">
        <f t="shared" ref="L1315:L1321" si="83">IF(OR(B1315&lt;0,B1315=0),1,2)</f>
        <v>2</v>
      </c>
      <c r="M1315">
        <f t="shared" ref="M1315:M1321" si="84">IF(L1315=2,LN(B1315),"")</f>
        <v>-19.183641813126002</v>
      </c>
      <c r="N1315">
        <v>1</v>
      </c>
      <c r="O1315">
        <v>1.2</v>
      </c>
      <c r="P1315">
        <v>1</v>
      </c>
      <c r="Q1315">
        <v>1.01</v>
      </c>
      <c r="R1315">
        <v>1.2</v>
      </c>
      <c r="S1315">
        <v>1.2</v>
      </c>
      <c r="T1315">
        <v>3</v>
      </c>
      <c r="U1315">
        <f t="shared" ref="U1315:U1321" si="85">LN(SQRT(EXP(
SQRT(
+POWER(LN(N1315),2)
+POWER(LN(O1315),2)
+POWER(LN(P1315),2)
+POWER(LN(Q1315),2)
+POWER(LN(R1315),2)
+POWER(LN(S1315),2)
+POWER(LN(T1315),2)
)
)))</f>
        <v>0.57157051623399524</v>
      </c>
    </row>
    <row r="1316" spans="1:22" hidden="1" x14ac:dyDescent="0.2">
      <c r="A1316" t="s">
        <v>283</v>
      </c>
      <c r="B1316" s="52">
        <f>0.000000145/B1297*SUMIFS(allocation!$I$4:$I$30,allocation!$B$4:$B$30,B1287,allocation!$C$4:$C$30,B1288)</f>
        <v>4.1918903063997216E-8</v>
      </c>
      <c r="C1316" t="s">
        <v>55</v>
      </c>
      <c r="E1316" t="s">
        <v>64</v>
      </c>
      <c r="F1316" t="s">
        <v>86</v>
      </c>
      <c r="G1316" t="s">
        <v>284</v>
      </c>
      <c r="H1316" t="s">
        <v>88</v>
      </c>
      <c r="I1316" t="s">
        <v>277</v>
      </c>
      <c r="K1316" t="str">
        <f>B1275</f>
        <v>electricity, residential, by conversion of hydrogen using fuel cell, SOFC, allocated by exergy, transported by truck, produced by Auto-thermal reforming, with CCS using natural gas from Switzerland</v>
      </c>
      <c r="L1316">
        <f t="shared" si="83"/>
        <v>2</v>
      </c>
      <c r="M1316">
        <f t="shared" si="84"/>
        <v>-16.987528964642475</v>
      </c>
      <c r="N1316">
        <v>1</v>
      </c>
      <c r="O1316">
        <v>1.2</v>
      </c>
      <c r="P1316">
        <v>1</v>
      </c>
      <c r="Q1316">
        <v>1.01</v>
      </c>
      <c r="R1316">
        <v>1.2</v>
      </c>
      <c r="S1316">
        <v>1.2</v>
      </c>
      <c r="T1316">
        <v>3</v>
      </c>
      <c r="U1316">
        <f t="shared" si="85"/>
        <v>0.57157051623399524</v>
      </c>
    </row>
    <row r="1317" spans="1:22" hidden="1" x14ac:dyDescent="0.2">
      <c r="A1317" t="s">
        <v>285</v>
      </c>
      <c r="B1317" s="52">
        <f>0.0000000115/B1297*SUMIFS(allocation!$I$4:$I$30,allocation!$B$4:$B$30,B1287,allocation!$C$4:$C$30,B1288)</f>
        <v>3.3246026567997794E-9</v>
      </c>
      <c r="C1317" t="s">
        <v>55</v>
      </c>
      <c r="E1317" t="s">
        <v>90</v>
      </c>
      <c r="F1317" t="s">
        <v>86</v>
      </c>
      <c r="G1317" t="s">
        <v>286</v>
      </c>
      <c r="H1317" t="s">
        <v>88</v>
      </c>
      <c r="K1317" t="str">
        <f>B1275</f>
        <v>electricity, residential, by conversion of hydrogen using fuel cell, SOFC, allocated by exergy, transported by truck, produced by Auto-thermal reforming, with CCS using natural gas from Switzerland</v>
      </c>
      <c r="L1317">
        <f t="shared" si="83"/>
        <v>2</v>
      </c>
      <c r="M1317">
        <f t="shared" si="84"/>
        <v>-19.521915671693844</v>
      </c>
      <c r="N1317">
        <v>1</v>
      </c>
      <c r="O1317">
        <v>1.2</v>
      </c>
      <c r="P1317">
        <v>1</v>
      </c>
      <c r="Q1317">
        <v>1.01</v>
      </c>
      <c r="R1317">
        <v>1.2</v>
      </c>
      <c r="S1317">
        <v>1.2</v>
      </c>
      <c r="T1317">
        <v>3</v>
      </c>
      <c r="U1317">
        <f t="shared" si="85"/>
        <v>0.57157051623399524</v>
      </c>
    </row>
    <row r="1318" spans="1:22" hidden="1" x14ac:dyDescent="0.2">
      <c r="A1318" t="s">
        <v>288</v>
      </c>
      <c r="B1318" s="52">
        <f>0.000024/B1297*SUMIFS(allocation!$I$4:$I$30,allocation!$B$4:$B$30,B1287,allocation!$C$4:$C$30,B1288)</f>
        <v>6.9383011967995388E-6</v>
      </c>
      <c r="C1318" t="s">
        <v>56</v>
      </c>
      <c r="E1318" t="s">
        <v>64</v>
      </c>
      <c r="F1318" t="s">
        <v>86</v>
      </c>
      <c r="G1318" t="s">
        <v>287</v>
      </c>
      <c r="H1318" t="s">
        <v>88</v>
      </c>
      <c r="K1318" t="str">
        <f>B1275</f>
        <v>electricity, residential, by conversion of hydrogen using fuel cell, SOFC, allocated by exergy, transported by truck, produced by Auto-thermal reforming, with CCS using natural gas from Switzerland</v>
      </c>
      <c r="L1318">
        <f t="shared" si="83"/>
        <v>2</v>
      </c>
      <c r="M1318">
        <f t="shared" si="84"/>
        <v>-11.878453597732966</v>
      </c>
      <c r="N1318">
        <v>1</v>
      </c>
      <c r="O1318">
        <v>1.2</v>
      </c>
      <c r="P1318">
        <v>1</v>
      </c>
      <c r="Q1318">
        <v>1.01</v>
      </c>
      <c r="R1318">
        <v>1.2</v>
      </c>
      <c r="S1318">
        <v>1.2</v>
      </c>
      <c r="T1318">
        <v>1.05</v>
      </c>
      <c r="U1318">
        <f t="shared" si="85"/>
        <v>0.15984597228197622</v>
      </c>
    </row>
    <row r="1319" spans="1:22" hidden="1" x14ac:dyDescent="0.2">
      <c r="A1319" s="45" t="str">
        <f>"hydrogen supply, transported by "&amp;B1289&amp;", produced by "&amp;B1293&amp;" using "&amp;B1294&amp;" from "&amp;B1295</f>
        <v>hydrogen supply, transported by truck, produced by Auto-thermal reforming, with CCS using natural gas from Switzerland</v>
      </c>
      <c r="B1319" s="53">
        <f>(B1314/B1298)/B1297*B1309</f>
        <v>5.515691073804313E-2</v>
      </c>
      <c r="C1319" t="s">
        <v>56</v>
      </c>
      <c r="E1319" t="s">
        <v>64</v>
      </c>
      <c r="F1319" t="s">
        <v>86</v>
      </c>
      <c r="G1319" t="s">
        <v>1137</v>
      </c>
      <c r="H1319" t="s">
        <v>76</v>
      </c>
      <c r="I1319" t="s">
        <v>1054</v>
      </c>
      <c r="J1319" t="s">
        <v>308</v>
      </c>
      <c r="K1319" t="str">
        <f>B1275</f>
        <v>electricity, residential, by conversion of hydrogen using fuel cell, SOFC, allocated by exergy, transported by truck, produced by Auto-thermal reforming, with CCS using natural gas from Switzerland</v>
      </c>
      <c r="L1319">
        <f t="shared" si="83"/>
        <v>2</v>
      </c>
      <c r="M1319">
        <f t="shared" si="84"/>
        <v>-2.8975732330996009</v>
      </c>
      <c r="N1319">
        <v>1</v>
      </c>
      <c r="O1319">
        <v>1.2</v>
      </c>
      <c r="P1319">
        <v>1</v>
      </c>
      <c r="Q1319">
        <v>1.01</v>
      </c>
      <c r="R1319">
        <v>1.2</v>
      </c>
      <c r="S1319">
        <v>1.2</v>
      </c>
      <c r="T1319">
        <v>1.05</v>
      </c>
      <c r="U1319">
        <f t="shared" si="85"/>
        <v>0.15984597228197622</v>
      </c>
    </row>
    <row r="1320" spans="1:22" hidden="1" x14ac:dyDescent="0.2">
      <c r="A1320" t="str">
        <f>VLOOKUP(J1320,'dataset mapping'!$A$4:$E$69,2,0)</f>
        <v>high pressure hydrogen storage tank</v>
      </c>
      <c r="B1320" s="52">
        <f>((B1310/10)/(B1308*B1304*20))*IF(B1309&lt;&gt;0,B1309,1)</f>
        <v>5.400780843100055E-6</v>
      </c>
      <c r="C1320" t="str">
        <f>VLOOKUP(J1320,'dataset mapping'!$A$4:$E$69,5,0)</f>
        <v>kilogram</v>
      </c>
      <c r="E1320" t="str">
        <f>VLOOKUP(J1320,'dataset mapping'!$A$4:$E$69,4,0)</f>
        <v>GLO</v>
      </c>
      <c r="F1320" t="s">
        <v>86</v>
      </c>
      <c r="G1320" t="str">
        <f>VLOOKUP(J1320,'dataset mapping'!$A$4:$E$69,3,0)</f>
        <v>high pressure hydrogen storage tank</v>
      </c>
      <c r="H1320" t="s">
        <v>88</v>
      </c>
      <c r="I1320" t="s">
        <v>230</v>
      </c>
      <c r="J1320" t="s">
        <v>229</v>
      </c>
      <c r="K1320" t="str">
        <f>B1275</f>
        <v>electricity, residential, by conversion of hydrogen using fuel cell, SOFC, allocated by exergy, transported by truck, produced by Auto-thermal reforming, with CCS using natural gas from Switzerland</v>
      </c>
      <c r="L1320">
        <f t="shared" si="83"/>
        <v>2</v>
      </c>
      <c r="M1320">
        <f t="shared" si="84"/>
        <v>-12.128967014273616</v>
      </c>
      <c r="N1320">
        <v>1</v>
      </c>
      <c r="O1320">
        <v>1.2</v>
      </c>
      <c r="P1320">
        <v>1</v>
      </c>
      <c r="Q1320">
        <v>1.01</v>
      </c>
      <c r="R1320">
        <v>1.2</v>
      </c>
      <c r="S1320">
        <v>1.2</v>
      </c>
      <c r="T1320">
        <v>3</v>
      </c>
      <c r="U1320">
        <f t="shared" si="85"/>
        <v>0.57157051623399524</v>
      </c>
    </row>
    <row r="1321" spans="1:22" hidden="1" x14ac:dyDescent="0.2">
      <c r="A1321" t="s">
        <v>134</v>
      </c>
      <c r="B1321" s="45">
        <f>B1319*9</f>
        <v>0.49641219664238817</v>
      </c>
      <c r="C1321" t="s">
        <v>56</v>
      </c>
      <c r="D1321" t="s">
        <v>100</v>
      </c>
      <c r="F1321" t="s">
        <v>99</v>
      </c>
      <c r="H1321" t="s">
        <v>131</v>
      </c>
      <c r="I1321" t="s">
        <v>289</v>
      </c>
      <c r="K1321" t="str">
        <f>B1275</f>
        <v>electricity, residential, by conversion of hydrogen using fuel cell, SOFC, allocated by exergy, transported by truck, produced by Auto-thermal reforming, with CCS using natural gas from Switzerland</v>
      </c>
      <c r="L1321">
        <f t="shared" si="83"/>
        <v>2</v>
      </c>
      <c r="M1321">
        <f t="shared" si="84"/>
        <v>-0.70034865576338168</v>
      </c>
      <c r="N1321">
        <v>1</v>
      </c>
      <c r="O1321">
        <v>1.2</v>
      </c>
      <c r="P1321">
        <v>1</v>
      </c>
      <c r="Q1321">
        <v>1.01</v>
      </c>
      <c r="R1321">
        <v>1.2</v>
      </c>
      <c r="S1321">
        <v>1.2</v>
      </c>
      <c r="T1321">
        <v>1.05</v>
      </c>
      <c r="U1321">
        <f t="shared" si="85"/>
        <v>0.15984597228197622</v>
      </c>
    </row>
    <row r="1322" spans="1:22" hidden="1" x14ac:dyDescent="0.2"/>
    <row r="1323" spans="1:22" hidden="1" x14ac:dyDescent="0.2"/>
    <row r="1324" spans="1:22" hidden="1" x14ac:dyDescent="0.2"/>
    <row r="1325" spans="1:22" hidden="1" x14ac:dyDescent="0.2"/>
    <row r="1326" spans="1:22" hidden="1" x14ac:dyDescent="0.2"/>
    <row r="1327" spans="1:22" hidden="1" x14ac:dyDescent="0.2"/>
    <row r="1328" spans="1:22"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sheetData>
  <autoFilter ref="A1:V1433" xr:uid="{34A952E0-7401-B54B-B2A1-0E2D4FECF22B}">
    <filterColumn colId="5">
      <filters>
        <filter val="production"/>
      </filters>
    </filterColumn>
    <filterColumn colId="10">
      <filters>
        <filter val="electricity, residential, by conversion of hydrogen using fuel cell, PEM, allocated by exergy, transported by pipeline, produced by Auto-thermal reforming using natural gas from Switzerland"/>
        <filter val="electricity, residential, by conversion of hydrogen using fuel cell, PEM, allocated by exergy, transported by pipeline, produced by Auto-thermal reforming, with CCS using natural gas from Switzerland"/>
        <filter val="electricity, residential, by conversion of hydrogen using fuel cell, PEM, allocated by exergy, transported by truck, produced by Auto-thermal reforming using natural gas from Switzerland"/>
        <filter val="electricity, residential, by conversion of hydrogen using fuel cell, PEM, allocated by exergy, transported by truck, produced by Auto-thermal reforming, with CCS using natural gas from Switzerland"/>
        <filter val="electricity, residential, by conversion of hydrogen using fuel cell, SOFC, allocated by exergy, transported by pipeline, produced by Auto-thermal reforming using natural gas from Switzerland"/>
        <filter val="electricity, residential, by conversion of hydrogen using fuel cell, SOFC, allocated by exergy, transported by pipeline, produced by Auto-thermal reforming, with CCS using natural gas from Switzerland"/>
        <filter val="electricity, residential, by conversion of hydrogen using fuel cell, SOFC, allocated by exergy, transported by truck, produced by Auto-thermal reforming using natural gas from Switzerland"/>
        <filter val="electricity, residential, by conversion of hydrogen using fuel cell, SOFC, allocated by exergy, transported by truck, produced by Auto-thermal reforming, with CCS using natural gas from Switzerland"/>
        <filter val="heat, residential, by conversion of hydrogen using fuel cell, PEM, allocated by exergy, transported by pipeline, produced by Auto-thermal reforming using natural gas from Switzerland"/>
        <filter val="heat, residential, by conversion of hydrogen using fuel cell, PEM, allocated by exergy, transported by pipeline, produced by Auto-thermal reforming, with CCS using natural gas from Switzerland"/>
        <filter val="heat, residential, by conversion of hydrogen using fuel cell, PEM, allocated by exergy, transported by truck, produced by Auto-thermal reforming using natural gas from Switzerland"/>
        <filter val="heat, residential, by conversion of hydrogen using fuel cell, PEM, allocated by exergy, transported by truck, produced by Auto-thermal reforming, with CCS using natural gas from Switzerland"/>
        <filter val="heat, residential, by conversion of hydrogen using fuel cell, SOFC, allocated by exergy, transported by pipeline, produced by Auto-thermal reforming using natural gas from Switzerland"/>
        <filter val="heat, residential, by conversion of hydrogen using fuel cell, SOFC, allocated by exergy, transported by pipeline, produced by Auto-thermal reforming, with CCS using natural gas from Switzerland"/>
        <filter val="heat, residential, by conversion of hydrogen using fuel cell, SOFC, allocated by exergy, transported by truck, produced by Auto-thermal reforming using natural gas from Switzerland"/>
        <filter val="heat, residential, by conversion of hydrogen using fuel cell, SOFC, allocated by exergy, transported by truck, produced by Auto-thermal reforming, with CCS using natural gas from Switzerlan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53872-9452-7243-9108-7154A9E4E8B3}">
  <dimension ref="A1:V660"/>
  <sheetViews>
    <sheetView topLeftCell="D13" workbookViewId="0">
      <selection activeCell="N41" sqref="N41:S41"/>
    </sheetView>
  </sheetViews>
  <sheetFormatPr baseColWidth="10" defaultRowHeight="16" x14ac:dyDescent="0.2"/>
  <cols>
    <col min="1" max="1" width="64.5" customWidth="1"/>
    <col min="2" max="2" width="12.1640625" style="45" bestFit="1" customWidth="1"/>
    <col min="10" max="10" width="17.83203125" customWidth="1"/>
  </cols>
  <sheetData>
    <row r="1" spans="1:2" x14ac:dyDescent="0.2">
      <c r="A1" s="2" t="s">
        <v>50</v>
      </c>
      <c r="B1" s="44" t="str">
        <f>"heat, residential, by "&amp;B12&amp;" of "&amp;B11&amp;" using "&amp;B13&amp;IF(B14&lt;&gt;0,"allocated by "&amp;B14,"")&amp;", transported by "&amp;B15&amp;", produced by "&amp;B19&amp;" using "&amp;B20&amp;" from "&amp;B21</f>
        <v>heat, residential, by combustion of hydrogen using boiler, transported by pipeline, produced by Pyrolysis using natural gas from Switzerland</v>
      </c>
    </row>
    <row r="2" spans="1:2" x14ac:dyDescent="0.2">
      <c r="A2" t="s">
        <v>51</v>
      </c>
      <c r="B2" s="45" t="str">
        <f>"This dataset represents the supply of 1 "&amp;IF(B7="megajoule","megajoule of heat","kilowatt hour of electricity")&amp;" in a residence, by "&amp;B11&amp;" "&amp;B12&amp;" in a "&amp;B13&amp;". "&amp;" The hydrogen is transported by "&amp;B15&amp;" over "&amp;B16&amp;" km from regional storage. "&amp;" The "&amp;B11&amp;" is produced by  "&amp;B19&amp;", with "&amp;B20&amp;" from "&amp;B21&amp;" as feedstock.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hydrogen combustion in a boiler.  The hydrogen is transported by pipeline over 500 km from regional storage.  The hydrogen is produced by  Pyrolysis,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 spans="1:2" x14ac:dyDescent="0.2">
      <c r="A3" t="s">
        <v>63</v>
      </c>
      <c r="B3" s="45" t="s">
        <v>660</v>
      </c>
    </row>
    <row r="4" spans="1:2" x14ac:dyDescent="0.2">
      <c r="A4" t="s">
        <v>52</v>
      </c>
      <c r="B4" s="45" t="s">
        <v>64</v>
      </c>
    </row>
    <row r="5" spans="1:2" x14ac:dyDescent="0.2">
      <c r="A5" t="s">
        <v>48</v>
      </c>
      <c r="B5" s="45">
        <v>153</v>
      </c>
    </row>
    <row r="6" spans="1:2" x14ac:dyDescent="0.2">
      <c r="A6" t="s">
        <v>54</v>
      </c>
      <c r="B6" s="45" t="str">
        <f>INDEX(overview!$B$4:$R$338,MATCH(B5,overview!$A$4:$A$338,0),MATCH(A6,overview!$B$3:$R$3,0))</f>
        <v>heat, from residential heating system</v>
      </c>
    </row>
    <row r="7" spans="1:2" x14ac:dyDescent="0.2">
      <c r="A7" t="s">
        <v>55</v>
      </c>
      <c r="B7" s="45" t="str">
        <f>INDEX(overview!$B$4:$R$338,MATCH(B5,overview!$A$4:$A$338,0),MATCH(A7,overview!$B$3:$R$3,0))</f>
        <v>megajoule</v>
      </c>
    </row>
    <row r="8" spans="1:2" x14ac:dyDescent="0.2">
      <c r="A8" t="s">
        <v>0</v>
      </c>
      <c r="B8" s="45" t="str">
        <f>INDEX(overview!$B$4:$R$338,MATCH(B5,overview!$A$4:$A$338,0),MATCH(A8,overview!$B$3:$R$3,0))</f>
        <v>Switzerland</v>
      </c>
    </row>
    <row r="9" spans="1:2" x14ac:dyDescent="0.2">
      <c r="A9" t="s">
        <v>1</v>
      </c>
      <c r="B9" s="45">
        <f>INDEX(overview!$B$4:$R$338,MATCH(B5,overview!$A$4:$A$338,0),MATCH(A9,overview!$B$3:$R$3,0))</f>
        <v>2020</v>
      </c>
    </row>
    <row r="10" spans="1:2" x14ac:dyDescent="0.2">
      <c r="A10" t="s">
        <v>2</v>
      </c>
      <c r="B10" s="45" t="str">
        <f>INDEX(overview!$B$4:$R$338,MATCH(B5,overview!$A$4:$A$338,0),MATCH(A10,overview!$B$3:$R$3,0))</f>
        <v>1 MJ heat</v>
      </c>
    </row>
    <row r="11" spans="1:2" x14ac:dyDescent="0.2">
      <c r="A11" t="s">
        <v>5</v>
      </c>
      <c r="B11" s="45" t="str">
        <f>INDEX(overview!$B$4:$R$338,MATCH(B5,overview!$A$4:$A$338,0),MATCH(A11,overview!$B$3:$R$3,0))</f>
        <v>hydrogen</v>
      </c>
    </row>
    <row r="12" spans="1:2" x14ac:dyDescent="0.2">
      <c r="A12" t="s">
        <v>3</v>
      </c>
      <c r="B12" s="45" t="str">
        <f>INDEX(overview!$B$4:$R$338,MATCH(B5,overview!$A$4:$A$338,0),MATCH(A12,overview!$B$3:$R$3,0))</f>
        <v>combustion</v>
      </c>
    </row>
    <row r="13" spans="1:2" x14ac:dyDescent="0.2">
      <c r="A13" t="s">
        <v>6</v>
      </c>
      <c r="B13" s="45" t="str">
        <f>INDEX(overview!$B$4:$R$338,MATCH(B5,overview!$A$4:$A$338,0),MATCH(A13,overview!$B$3:$R$3,0))</f>
        <v>boiler</v>
      </c>
    </row>
    <row r="14" spans="1:2" x14ac:dyDescent="0.2">
      <c r="A14" t="s">
        <v>39</v>
      </c>
      <c r="B14" s="45">
        <f>INDEX(overview!$B$4:$R$338,MATCH(B5,overview!$A$4:$A$338,0),MATCH(A14,overview!$B$3:$R$3,0))</f>
        <v>0</v>
      </c>
    </row>
    <row r="15" spans="1:2" x14ac:dyDescent="0.2">
      <c r="A15" t="s">
        <v>4</v>
      </c>
      <c r="B15" s="45" t="str">
        <f>INDEX(overview!$B$4:$R$338,MATCH(B5,overview!$A$4:$A$338,0),MATCH(A15,overview!$B$3:$R$3,0))</f>
        <v>pipeline</v>
      </c>
    </row>
    <row r="16" spans="1:2" x14ac:dyDescent="0.2">
      <c r="A16" t="s">
        <v>38</v>
      </c>
      <c r="B16" s="45">
        <f>INDEX(overview!$B$4:$R$338,MATCH(B5,overview!$A$4:$A$338,0),MATCH(A16,overview!$B$3:$R$3,0))</f>
        <v>500</v>
      </c>
    </row>
    <row r="17" spans="1:2" x14ac:dyDescent="0.2">
      <c r="A17" t="s">
        <v>12</v>
      </c>
      <c r="B17" s="45" t="str">
        <f>INDEX(overview!$B$4:$R$338,MATCH(B5,overview!$A$4:$A$338,0),MATCH(A17,overview!$B$3:$R$3,0))</f>
        <v>Pressure vessel for stationary storage</v>
      </c>
    </row>
    <row r="18" spans="1:2" x14ac:dyDescent="0.2">
      <c r="A18" t="s">
        <v>34</v>
      </c>
      <c r="B18" s="45">
        <f>INDEX(overview!$B$4:$R$338,MATCH(B5,overview!$A$4:$A$338,0),MATCH(A18,overview!$B$3:$R$3,0))</f>
        <v>0</v>
      </c>
    </row>
    <row r="19" spans="1:2" x14ac:dyDescent="0.2">
      <c r="A19" t="s">
        <v>15</v>
      </c>
      <c r="B19" s="45" t="str">
        <f>INDEX(overview!$B$4:$R$338,MATCH(B5,overview!$A$4:$A$338,0),MATCH(A19,overview!$B$3:$R$3,0))</f>
        <v>Pyrolysis</v>
      </c>
    </row>
    <row r="20" spans="1:2" x14ac:dyDescent="0.2">
      <c r="A20" t="s">
        <v>14</v>
      </c>
      <c r="B20" s="45" t="str">
        <f>INDEX(overview!$B$4:$R$338,MATCH(B5,overview!$A$4:$A$338,0),MATCH(A20,overview!$B$3:$R$3,0))</f>
        <v>natural gas</v>
      </c>
    </row>
    <row r="21" spans="1:2" x14ac:dyDescent="0.2">
      <c r="A21" t="s">
        <v>26</v>
      </c>
      <c r="B21" s="45" t="str">
        <f>INDEX(overview!$B$4:$R$338,MATCH(B5,overview!$A$4:$A$338,0),MATCH(A21,overview!$B$3:$R$3,0))</f>
        <v>Switzerland</v>
      </c>
    </row>
    <row r="22" spans="1:2" x14ac:dyDescent="0.2">
      <c r="A22" t="s">
        <v>29</v>
      </c>
      <c r="B22" s="45">
        <f>INDEX(overview!$B$4:$R$338,MATCH(B5,overview!$A$4:$A$338,0),MATCH(A22,overview!$B$3:$R$3,0))</f>
        <v>0</v>
      </c>
    </row>
    <row r="23" spans="1:2" x14ac:dyDescent="0.2">
      <c r="A23" t="str">
        <f>IF(B7="megajoule","Heat","Electricity")&amp;" conversion efficiency [% LHV input]"</f>
        <v>Heat conversion efficiency [% LHV input]</v>
      </c>
      <c r="B23" s="46">
        <f>INDEX(parameters!$D$4:$N$20,MATCH(B11&amp;B13,parameters!$A$4:$A$20,0),MATCH(A23,parameters!$D$3:$N$3,0))</f>
        <v>0.94</v>
      </c>
    </row>
    <row r="24" spans="1:2" x14ac:dyDescent="0.2">
      <c r="A24" t="str">
        <f>IF(B7="megajoule","LHV [MJ/kg]","LHV [kWh/kg]")</f>
        <v>LHV [MJ/kg]</v>
      </c>
      <c r="B24" s="47">
        <f>INDEX(parameters!$D$4:$N$20,MATCH(B11&amp;B13,parameters!$A$4:$A$20,0),MATCH(A24,parameters!$D$3:$N$3,0))</f>
        <v>120</v>
      </c>
    </row>
    <row r="25" spans="1:2" x14ac:dyDescent="0.2">
      <c r="A25" t="s">
        <v>41</v>
      </c>
      <c r="B25" s="48">
        <f>INDEX(parameters!$D$4:$N$20,MATCH(B11&amp;B13,parameters!$A$4:$A$20,0),MATCH(A25,parameters!$D$3:$N$3,0))</f>
        <v>2.6666666666666665E-2</v>
      </c>
    </row>
    <row r="26" spans="1:2" x14ac:dyDescent="0.2">
      <c r="A26" t="s">
        <v>45</v>
      </c>
      <c r="B26" s="46">
        <f>INDEX(parameters!$D$4:$N$20,MATCH(B11&amp;B13,parameters!$A$4:$A$20,0),MATCH(A26,parameters!$D$3:$N$3,0))</f>
        <v>0</v>
      </c>
    </row>
    <row r="27" spans="1:2" x14ac:dyDescent="0.2">
      <c r="A27" t="s">
        <v>46</v>
      </c>
      <c r="B27" s="46">
        <f>INDEX(parameters!$D$4:$N$20,MATCH(B11&amp;B13,parameters!$A$4:$A$20,0),MATCH(A27,parameters!$D$3:$N$3,0))</f>
        <v>1.4999999999999999E-2</v>
      </c>
    </row>
    <row r="28" spans="1:2" x14ac:dyDescent="0.2">
      <c r="A28" t="s">
        <v>43</v>
      </c>
      <c r="B28" s="46">
        <f>INDEX(parameters!$D$4:$N$20,MATCH(B11&amp;B13,parameters!$A$4:$A$20,0),MATCH(A28,parameters!$D$3:$N$3,0))</f>
        <v>0</v>
      </c>
    </row>
    <row r="29" spans="1:2" x14ac:dyDescent="0.2">
      <c r="A29" t="s">
        <v>44</v>
      </c>
      <c r="B29" s="46">
        <f>INDEX(parameters!$D$4:$N$20,MATCH(B11&amp;B13,parameters!$A$4:$A$20,0),MATCH(A29,parameters!$D$3:$N$3,0))</f>
        <v>0</v>
      </c>
    </row>
    <row r="30" spans="1:2" x14ac:dyDescent="0.2">
      <c r="A30" t="s">
        <v>634</v>
      </c>
      <c r="B30" s="47">
        <f>INDEX(parameters!$D$4:$Y$20,MATCH(B11&amp;B13,parameters!$A$4:$A$20,0),MATCH(A30,parameters!$D$3:$Y$3,0))</f>
        <v>15.957446808510639</v>
      </c>
    </row>
    <row r="31" spans="1:2" x14ac:dyDescent="0.2">
      <c r="A31" t="s">
        <v>82</v>
      </c>
      <c r="B31" s="46">
        <f>IF(B22&lt;&gt;0,VLOOKUP(B22,parameters!A41:B43,2,0),0)</f>
        <v>0</v>
      </c>
    </row>
    <row r="32" spans="1:2" x14ac:dyDescent="0.2">
      <c r="A32" t="s">
        <v>548</v>
      </c>
      <c r="B32" s="50">
        <f>INDEX(parameters!$D$4:$P$20,MATCH(B11&amp;B13,parameters!$A$4:$A$20,0),MATCH(A32,parameters!$D$3:$P$3,0))</f>
        <v>15</v>
      </c>
    </row>
    <row r="33" spans="1:22" x14ac:dyDescent="0.2">
      <c r="A33" t="s">
        <v>547</v>
      </c>
      <c r="B33" s="51">
        <f>INDEX(parameters!$D$4:$P$20,MATCH(B11&amp;B13,parameters!$A$4:$A$20,0),MATCH(A33,parameters!$D$3:$P$3,0))</f>
        <v>20</v>
      </c>
    </row>
    <row r="34" spans="1:22" x14ac:dyDescent="0.2">
      <c r="A34" t="s">
        <v>630</v>
      </c>
      <c r="B34" s="51">
        <f>INDEX(parameters!$D$4:$T$20,MATCH(B11&amp;B13,parameters!$A$4:$A$20,0),MATCH(A34,parameters!$D$3:$T$3,0))</f>
        <v>2100</v>
      </c>
    </row>
    <row r="35" spans="1:22" x14ac:dyDescent="0.2">
      <c r="A35" t="s">
        <v>1005</v>
      </c>
      <c r="B35" s="50">
        <f>IF(B7="megajoule",SUMIFS(allocation!$I$4:$I$30,allocation!$B$4:$B$30,B13,allocation!$C$4:$C$30,B14),SUMIFS(allocation!$J$4:$J$30,allocation!$B$4:$B$30,B13,allocation!$C$4:$C$30,B14))</f>
        <v>0</v>
      </c>
    </row>
    <row r="36" spans="1:22" x14ac:dyDescent="0.2">
      <c r="A36" t="s">
        <v>1050</v>
      </c>
      <c r="B36" s="51">
        <f>INDEX(parameters!$D$4:$AB$20,MATCH(B11&amp;B13,parameters!$A$4:$A$20,0),MATCH(A36,parameters!$D$3:$AB$3,0))</f>
        <v>44.562019013128115</v>
      </c>
    </row>
    <row r="38" spans="1:22" x14ac:dyDescent="0.2">
      <c r="A38" s="3" t="s">
        <v>57</v>
      </c>
    </row>
    <row r="39" spans="1:22" x14ac:dyDescent="0.2">
      <c r="A39" s="2" t="s">
        <v>58</v>
      </c>
      <c r="B39" s="44" t="s">
        <v>59</v>
      </c>
      <c r="C39" s="2" t="s">
        <v>55</v>
      </c>
      <c r="D39" s="2" t="s">
        <v>60</v>
      </c>
      <c r="E39" s="2" t="s">
        <v>52</v>
      </c>
      <c r="F39" s="2" t="s">
        <v>61</v>
      </c>
      <c r="G39" s="2" t="s">
        <v>54</v>
      </c>
      <c r="H39" s="2" t="s">
        <v>87</v>
      </c>
      <c r="I39" s="2" t="s">
        <v>51</v>
      </c>
      <c r="J39" s="2" t="s">
        <v>138</v>
      </c>
      <c r="K39" s="2" t="s">
        <v>136</v>
      </c>
      <c r="L39" s="2" t="s">
        <v>221</v>
      </c>
      <c r="M39" s="2" t="s">
        <v>379</v>
      </c>
      <c r="N39" s="2" t="s">
        <v>1059</v>
      </c>
      <c r="O39" s="2" t="s">
        <v>1060</v>
      </c>
      <c r="P39" s="2" t="s">
        <v>1061</v>
      </c>
      <c r="Q39" s="2" t="s">
        <v>1062</v>
      </c>
      <c r="R39" s="2" t="s">
        <v>1063</v>
      </c>
      <c r="S39" s="2" t="s">
        <v>1064</v>
      </c>
      <c r="T39" s="2" t="s">
        <v>1065</v>
      </c>
      <c r="U39" s="2" t="s">
        <v>380</v>
      </c>
      <c r="V39" s="2" t="s">
        <v>1128</v>
      </c>
    </row>
    <row r="40" spans="1:22" x14ac:dyDescent="0.2">
      <c r="A40" t="str">
        <f>B1</f>
        <v>heat, residential, by combustion of hydrogen using boiler, transported by pipeline, produced by Pyrolysis using natural gas from Switzerland</v>
      </c>
      <c r="B40" s="45">
        <v>1</v>
      </c>
      <c r="C40" t="str">
        <f>B7</f>
        <v>megajoule</v>
      </c>
      <c r="E40" t="str">
        <f>B4</f>
        <v>CH</v>
      </c>
      <c r="F40" t="s">
        <v>62</v>
      </c>
      <c r="G40" t="str">
        <f>B6</f>
        <v>heat, from residential heating system</v>
      </c>
      <c r="K40" t="str">
        <f>B1</f>
        <v>heat, residential, by combustion of hydrogen using boiler, transported by pipeline, produced by Pyrolysis using natural gas from Switzerland</v>
      </c>
    </row>
    <row r="41" spans="1:22" x14ac:dyDescent="0.2">
      <c r="A41" t="s">
        <v>83</v>
      </c>
      <c r="B41" s="52">
        <f>1/(B32*B34*B33*3.6)</f>
        <v>4.4091710758377425E-7</v>
      </c>
      <c r="C41" t="s">
        <v>55</v>
      </c>
      <c r="E41" t="s">
        <v>85</v>
      </c>
      <c r="F41" t="s">
        <v>86</v>
      </c>
      <c r="G41" t="s">
        <v>84</v>
      </c>
      <c r="H41" t="s">
        <v>88</v>
      </c>
      <c r="K41" t="str">
        <f>B1</f>
        <v>heat, residential, by combustion of hydrogen using boiler, transported by pipeline, produced by Pyrolysis using natural gas from Switzerland</v>
      </c>
      <c r="L41">
        <f t="shared" ref="L41" si="0">IF(OR(B41&lt;0,B41=0),1,2)</f>
        <v>2</v>
      </c>
      <c r="M41">
        <f t="shared" ref="M41" si="1">IF(L41=2,LN(B41),"")</f>
        <v>-14.634408943829779</v>
      </c>
      <c r="N41">
        <v>1.05</v>
      </c>
      <c r="O41">
        <v>1.2</v>
      </c>
      <c r="P41">
        <v>1</v>
      </c>
      <c r="Q41">
        <v>1.01</v>
      </c>
      <c r="R41">
        <v>1.2</v>
      </c>
      <c r="S41">
        <v>1.2</v>
      </c>
      <c r="T41">
        <v>3</v>
      </c>
      <c r="U41">
        <f t="shared" ref="U41:U46" si="2">LN(SQRT(EXP(
SQRT(
+POWER(LN(N41),2)
+POWER(LN(O41),2)
+POWER(LN(P41),2)
+POWER(LN(Q41),2)
+POWER(LN(R41),2)
+POWER(LN(S41),2)
+POWER(LN(T41),2)
)
)))</f>
        <v>0.57209088006881903</v>
      </c>
    </row>
    <row r="42" spans="1:22" x14ac:dyDescent="0.2">
      <c r="A42" t="s">
        <v>500</v>
      </c>
      <c r="B42" s="52">
        <f>B41*2</f>
        <v>8.8183421516754851E-7</v>
      </c>
      <c r="C42" t="s">
        <v>267</v>
      </c>
      <c r="E42" t="s">
        <v>85</v>
      </c>
      <c r="F42" t="s">
        <v>86</v>
      </c>
      <c r="G42" t="s">
        <v>501</v>
      </c>
      <c r="H42" t="s">
        <v>88</v>
      </c>
      <c r="I42" t="s">
        <v>621</v>
      </c>
      <c r="K42" t="str">
        <f>B1</f>
        <v>heat, residential, by combustion of hydrogen using boiler, transported by pipeline, produced by Pyrolysis using natural gas from Switzerland</v>
      </c>
      <c r="L42">
        <f t="shared" ref="L42:L46" si="3">IF(OR(B42&lt;0,B42=0),1,2)</f>
        <v>2</v>
      </c>
      <c r="M42">
        <f t="shared" ref="M42:M46" si="4">IF(L42=2,LN(B42),"")</f>
        <v>-13.941261763269834</v>
      </c>
      <c r="N42">
        <v>1.05</v>
      </c>
      <c r="O42">
        <v>1.2</v>
      </c>
      <c r="P42">
        <v>1</v>
      </c>
      <c r="Q42">
        <v>1.01</v>
      </c>
      <c r="R42">
        <v>1.2</v>
      </c>
      <c r="S42">
        <v>1.2</v>
      </c>
      <c r="T42">
        <v>3</v>
      </c>
      <c r="U42">
        <f t="shared" si="2"/>
        <v>0.57209088006881903</v>
      </c>
    </row>
    <row r="43" spans="1:22" x14ac:dyDescent="0.2">
      <c r="A43" t="s">
        <v>130</v>
      </c>
      <c r="B43" s="52">
        <v>2.64E-3</v>
      </c>
      <c r="C43" t="s">
        <v>92</v>
      </c>
      <c r="E43" t="s">
        <v>64</v>
      </c>
      <c r="F43" t="s">
        <v>86</v>
      </c>
      <c r="G43" t="s">
        <v>93</v>
      </c>
      <c r="H43" t="s">
        <v>78</v>
      </c>
      <c r="I43" t="s">
        <v>270</v>
      </c>
      <c r="J43" t="s">
        <v>67</v>
      </c>
      <c r="K43" t="str">
        <f>B1</f>
        <v>heat, residential, by combustion of hydrogen using boiler, transported by pipeline, produced by Pyrolysis using natural gas from Switzerland</v>
      </c>
      <c r="L43">
        <f t="shared" si="3"/>
        <v>2</v>
      </c>
      <c r="M43">
        <f t="shared" si="4"/>
        <v>-5.9369763618239126</v>
      </c>
      <c r="N43">
        <v>1.05</v>
      </c>
      <c r="O43">
        <v>1.2</v>
      </c>
      <c r="P43">
        <v>1</v>
      </c>
      <c r="Q43">
        <v>1.01</v>
      </c>
      <c r="R43">
        <v>1.2</v>
      </c>
      <c r="S43">
        <v>1.2</v>
      </c>
      <c r="T43">
        <v>1.05</v>
      </c>
      <c r="U43">
        <f t="shared" si="2"/>
        <v>0.16169679924070957</v>
      </c>
    </row>
    <row r="44" spans="1:22" x14ac:dyDescent="0.2">
      <c r="A44" s="45" t="str">
        <f>"hydrogen supply, transported by "&amp;B15&amp;", produced by "&amp;B19&amp;" using "&amp;B20&amp;" from "&amp;B21</f>
        <v>hydrogen supply, transported by pipeline, produced by Pyrolysis using natural gas from Switzerland</v>
      </c>
      <c r="B44" s="53">
        <f>(B40/B24)/B23</f>
        <v>8.8652482269503553E-3</v>
      </c>
      <c r="C44" t="s">
        <v>56</v>
      </c>
      <c r="E44" t="s">
        <v>64</v>
      </c>
      <c r="F44" t="s">
        <v>86</v>
      </c>
      <c r="G44" t="s">
        <v>1129</v>
      </c>
      <c r="H44" t="s">
        <v>76</v>
      </c>
      <c r="I44" t="s">
        <v>1054</v>
      </c>
      <c r="J44" t="s">
        <v>23</v>
      </c>
      <c r="K44" t="str">
        <f>B1</f>
        <v>heat, residential, by combustion of hydrogen using boiler, transported by pipeline, produced by Pyrolysis using natural gas from Switzerland</v>
      </c>
      <c r="L44">
        <f t="shared" si="3"/>
        <v>2</v>
      </c>
      <c r="M44">
        <f t="shared" si="4"/>
        <v>-4.7256163390639587</v>
      </c>
      <c r="N44">
        <v>1.05</v>
      </c>
      <c r="O44">
        <v>1.2</v>
      </c>
      <c r="P44">
        <v>1</v>
      </c>
      <c r="Q44">
        <v>1.01</v>
      </c>
      <c r="R44">
        <v>1.2</v>
      </c>
      <c r="S44">
        <v>1.2</v>
      </c>
      <c r="T44">
        <v>1.05</v>
      </c>
      <c r="U44">
        <f t="shared" si="2"/>
        <v>0.16169679924070957</v>
      </c>
    </row>
    <row r="45" spans="1:22" x14ac:dyDescent="0.2">
      <c r="A45" t="s">
        <v>134</v>
      </c>
      <c r="B45" s="45">
        <f>B44*9</f>
        <v>7.9787234042553196E-2</v>
      </c>
      <c r="C45" t="s">
        <v>56</v>
      </c>
      <c r="D45" t="s">
        <v>100</v>
      </c>
      <c r="F45" t="s">
        <v>99</v>
      </c>
      <c r="H45" t="s">
        <v>131</v>
      </c>
      <c r="K45" t="str">
        <f>B1</f>
        <v>heat, residential, by combustion of hydrogen using boiler, transported by pipeline, produced by Pyrolysis using natural gas from Switzerland</v>
      </c>
      <c r="L45">
        <f t="shared" si="3"/>
        <v>2</v>
      </c>
      <c r="M45">
        <f t="shared" si="4"/>
        <v>-2.5283917617277392</v>
      </c>
      <c r="N45">
        <v>1.05</v>
      </c>
      <c r="O45">
        <v>1.2</v>
      </c>
      <c r="P45">
        <v>1</v>
      </c>
      <c r="Q45">
        <v>1.01</v>
      </c>
      <c r="R45">
        <v>1.2</v>
      </c>
      <c r="S45">
        <v>1.2</v>
      </c>
      <c r="T45">
        <v>1.05</v>
      </c>
      <c r="U45">
        <f t="shared" si="2"/>
        <v>0.16169679924070957</v>
      </c>
    </row>
    <row r="46" spans="1:22" x14ac:dyDescent="0.2">
      <c r="A46" t="s">
        <v>135</v>
      </c>
      <c r="B46" s="45">
        <f>912.5/1000000*B44</f>
        <v>8.0895390070921995E-6</v>
      </c>
      <c r="C46" t="s">
        <v>56</v>
      </c>
      <c r="D46" t="s">
        <v>100</v>
      </c>
      <c r="F46" t="s">
        <v>99</v>
      </c>
      <c r="H46" t="s">
        <v>131</v>
      </c>
      <c r="I46" t="s">
        <v>1217</v>
      </c>
      <c r="K46" t="str">
        <f>B1</f>
        <v>heat, residential, by combustion of hydrogen using boiler, transported by pipeline, produced by Pyrolysis using natural gas from Switzerland</v>
      </c>
      <c r="L46">
        <f t="shared" si="3"/>
        <v>2</v>
      </c>
      <c r="M46">
        <f t="shared" si="4"/>
        <v>-11.724938811571587</v>
      </c>
      <c r="N46">
        <v>1.05</v>
      </c>
      <c r="O46">
        <v>1.2</v>
      </c>
      <c r="P46">
        <v>1</v>
      </c>
      <c r="Q46">
        <v>1.01</v>
      </c>
      <c r="R46">
        <v>1.2</v>
      </c>
      <c r="S46">
        <v>1.2</v>
      </c>
      <c r="T46">
        <v>1.5</v>
      </c>
      <c r="U46">
        <f t="shared" si="2"/>
        <v>0.25816898211842121</v>
      </c>
    </row>
    <row r="48" spans="1:22" x14ac:dyDescent="0.2">
      <c r="A48" s="2" t="s">
        <v>50</v>
      </c>
      <c r="B48" s="44" t="str">
        <f>IF(B54="megajoule","heat","electricity")&amp;", residential, by "&amp;B59&amp;" of "&amp;B58&amp;" using "&amp;B60&amp;IF(B61&lt;&gt;0,", allocated by "&amp;B61,"")&amp;", transported by "&amp;B62&amp;", produced by "&amp;B66&amp;" using "&amp;B67&amp;" from "&amp;B68</f>
        <v>heat, residential, by combustion of hydrogen using CHP, allocated by exergy, transported by pipeline, produced by Pyrolysis using natural gas from Switzerland</v>
      </c>
    </row>
    <row r="49" spans="1:2" x14ac:dyDescent="0.2">
      <c r="A49" t="s">
        <v>51</v>
      </c>
      <c r="B49" s="45" t="str">
        <f>"This dataset represents the supply of 1 "&amp;IF(B54="megajoule","megajoule of heat","kilowatt hour of electricity")&amp;" in a residence, by "&amp;B58&amp;" "&amp;B59&amp;" in a "&amp;B60&amp;". "&amp;" The hydrogen is transported by "&amp;B62&amp;" over "&amp;B63&amp;" km from regional storage. "&amp;" The "&amp;B58&amp;" is produced by  "&amp;B66&amp;", with "&amp;B67&amp;" from "&amp;B68&amp;" as feedstock. "&amp;A70&amp;": "&amp;(B70*100)&amp;"%. "&amp;A71&amp;": "&amp;B71&amp;". "&amp;A72&amp;": "&amp;B72&amp;". "&amp;A73&amp;": "&amp;(B73*100)&amp;"%. "&amp;A74&amp;": "&amp;(B74*100)&amp;"%. "&amp;A75&amp;": "&amp;(B75*100)&amp;"%. "&amp;A76&amp;": "&amp;B76&amp;". "&amp;A77&amp;": "&amp;B77&amp;". "&amp;A78&amp;": "&amp;(B78*100)&amp;"%. "&amp;A79&amp;": "&amp;B79&amp;". "&amp;A80&amp;": "&amp;B80&amp;". "&amp;A81&amp;": "&amp;B81&amp;". "&amp;A82&amp;": "&amp;B82&amp;".  For more information, refer to: "&amp;B50</f>
        <v>This dataset represents the supply of 1 megajoule of heat in a residence, by hydrogen combustion in a CHP.  The hydrogen is transported by pipeline over 500 km from regional storage.  The hydrogen is produced by  Pyrolysis,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50" spans="1:2" x14ac:dyDescent="0.2">
      <c r="A50" t="s">
        <v>63</v>
      </c>
      <c r="B50" s="45" t="s">
        <v>660</v>
      </c>
    </row>
    <row r="51" spans="1:2" x14ac:dyDescent="0.2">
      <c r="A51" t="s">
        <v>52</v>
      </c>
      <c r="B51" s="45" t="s">
        <v>64</v>
      </c>
    </row>
    <row r="52" spans="1:2" x14ac:dyDescent="0.2">
      <c r="A52" t="s">
        <v>48</v>
      </c>
      <c r="B52" s="45">
        <v>154</v>
      </c>
    </row>
    <row r="53" spans="1:2" x14ac:dyDescent="0.2">
      <c r="A53" t="s">
        <v>54</v>
      </c>
      <c r="B53" s="45" t="str">
        <f>INDEX(overview!$B$4:$R$338,MATCH(B52,overview!$A$4:$A$338,0),MATCH(A53,overview!$B$3:$R$3,0))</f>
        <v>heat, from residential heating system</v>
      </c>
    </row>
    <row r="54" spans="1:2" x14ac:dyDescent="0.2">
      <c r="A54" t="s">
        <v>55</v>
      </c>
      <c r="B54" s="45" t="str">
        <f>INDEX(overview!$B$4:$R$338,MATCH(B52,overview!$A$4:$A$338,0),MATCH(A54,overview!$B$3:$R$3,0))</f>
        <v>megajoule</v>
      </c>
    </row>
    <row r="55" spans="1:2" x14ac:dyDescent="0.2">
      <c r="A55" t="s">
        <v>0</v>
      </c>
      <c r="B55" s="45" t="str">
        <f>INDEX(overview!$B$4:$R$338,MATCH(B52,overview!$A$4:$A$338,0),MATCH(A55,overview!$B$3:$R$3,0))</f>
        <v>Switzerland</v>
      </c>
    </row>
    <row r="56" spans="1:2" x14ac:dyDescent="0.2">
      <c r="A56" t="s">
        <v>1</v>
      </c>
      <c r="B56" s="45">
        <f>INDEX(overview!$B$4:$R$338,MATCH(B52,overview!$A$4:$A$338,0),MATCH(A56,overview!$B$3:$R$3,0))</f>
        <v>2020</v>
      </c>
    </row>
    <row r="57" spans="1:2" x14ac:dyDescent="0.2">
      <c r="A57" t="s">
        <v>2</v>
      </c>
      <c r="B57" s="45" t="str">
        <f>INDEX(overview!$B$4:$R$338,MATCH(B52,overview!$A$4:$A$338,0),MATCH(A57,overview!$B$3:$R$3,0))</f>
        <v>1 MJ heat</v>
      </c>
    </row>
    <row r="58" spans="1:2" x14ac:dyDescent="0.2">
      <c r="A58" t="s">
        <v>5</v>
      </c>
      <c r="B58" s="45" t="str">
        <f>INDEX(overview!$B$4:$R$338,MATCH(B52,overview!$A$4:$A$338,0),MATCH(A58,overview!$B$3:$R$3,0))</f>
        <v>hydrogen</v>
      </c>
    </row>
    <row r="59" spans="1:2" x14ac:dyDescent="0.2">
      <c r="A59" t="s">
        <v>3</v>
      </c>
      <c r="B59" s="45" t="str">
        <f>INDEX(overview!$B$4:$R$338,MATCH(B52,overview!$A$4:$A$338,0),MATCH(A59,overview!$B$3:$R$3,0))</f>
        <v>combustion</v>
      </c>
    </row>
    <row r="60" spans="1:2" x14ac:dyDescent="0.2">
      <c r="A60" t="s">
        <v>6</v>
      </c>
      <c r="B60" s="45" t="str">
        <f>INDEX(overview!$B$4:$R$338,MATCH(B52,overview!$A$4:$A$338,0),MATCH(A60,overview!$B$3:$R$3,0))</f>
        <v>CHP</v>
      </c>
    </row>
    <row r="61" spans="1:2" x14ac:dyDescent="0.2">
      <c r="A61" t="s">
        <v>39</v>
      </c>
      <c r="B61" s="45" t="str">
        <f>INDEX(overview!$B$4:$R$338,MATCH(B52,overview!$A$4:$A$338,0),MATCH(A61,overview!$B$3:$R$3,0))</f>
        <v>exergy</v>
      </c>
    </row>
    <row r="62" spans="1:2" x14ac:dyDescent="0.2">
      <c r="A62" t="s">
        <v>4</v>
      </c>
      <c r="B62" s="45" t="str">
        <f>INDEX(overview!$B$4:$R$338,MATCH(B52,overview!$A$4:$A$338,0),MATCH(A62,overview!$B$3:$R$3,0))</f>
        <v>pipeline</v>
      </c>
    </row>
    <row r="63" spans="1:2" x14ac:dyDescent="0.2">
      <c r="A63" t="s">
        <v>38</v>
      </c>
      <c r="B63" s="45">
        <f>INDEX(overview!$B$4:$R$338,MATCH(B52,overview!$A$4:$A$338,0),MATCH(A63,overview!$B$3:$R$3,0))</f>
        <v>500</v>
      </c>
    </row>
    <row r="64" spans="1:2" x14ac:dyDescent="0.2">
      <c r="A64" t="s">
        <v>12</v>
      </c>
      <c r="B64" s="45" t="str">
        <f>INDEX(overview!$B$4:$R$338,MATCH(B52,overview!$A$4:$A$338,0),MATCH(A64,overview!$B$3:$R$3,0))</f>
        <v>Pressure vessel for stationary storage</v>
      </c>
    </row>
    <row r="65" spans="1:2" x14ac:dyDescent="0.2">
      <c r="A65" t="s">
        <v>34</v>
      </c>
      <c r="B65" s="45">
        <f>INDEX(overview!$B$4:$R$338,MATCH(B52,overview!$A$4:$A$338,0),MATCH(A65,overview!$B$3:$R$3,0))</f>
        <v>0</v>
      </c>
    </row>
    <row r="66" spans="1:2" x14ac:dyDescent="0.2">
      <c r="A66" t="s">
        <v>15</v>
      </c>
      <c r="B66" s="45" t="str">
        <f>INDEX(overview!$B$4:$R$338,MATCH(B52,overview!$A$4:$A$338,0),MATCH(A66,overview!$B$3:$R$3,0))</f>
        <v>Pyrolysis</v>
      </c>
    </row>
    <row r="67" spans="1:2" x14ac:dyDescent="0.2">
      <c r="A67" t="s">
        <v>14</v>
      </c>
      <c r="B67" s="45" t="str">
        <f>INDEX(overview!$B$4:$R$338,MATCH(B52,overview!$A$4:$A$338,0),MATCH(A67,overview!$B$3:$R$3,0))</f>
        <v>natural gas</v>
      </c>
    </row>
    <row r="68" spans="1:2" x14ac:dyDescent="0.2">
      <c r="A68" t="s">
        <v>26</v>
      </c>
      <c r="B68" s="45" t="str">
        <f>INDEX(overview!$B$4:$R$338,MATCH(B52,overview!$A$4:$A$338,0),MATCH(A68,overview!$B$3:$R$3,0))</f>
        <v>Switzerland</v>
      </c>
    </row>
    <row r="69" spans="1:2" x14ac:dyDescent="0.2">
      <c r="A69" t="s">
        <v>29</v>
      </c>
      <c r="B69" s="45">
        <f>INDEX(overview!$B$4:$R$338,MATCH(B52,overview!$A$4:$A$338,0),MATCH(A69,overview!$B$3:$R$3,0))</f>
        <v>0</v>
      </c>
    </row>
    <row r="70" spans="1:2" x14ac:dyDescent="0.2">
      <c r="A70" t="str">
        <f>IF(B54="megajoule","Heat","Electricity")&amp;" conversion efficiency [% LHV input]"</f>
        <v>Heat conversion efficiency [% LHV input]</v>
      </c>
      <c r="B70" s="46">
        <f>INDEX(parameters!$D$4:$N$20,MATCH(B58&amp;B60,parameters!$A$4:$A$20,0),MATCH(A70,parameters!$D$3:$N$3,0))</f>
        <v>0.41699999999999998</v>
      </c>
    </row>
    <row r="71" spans="1:2" x14ac:dyDescent="0.2">
      <c r="A71" t="str">
        <f>IF(B54="megajoule","LHV [MJ/kg]","LHV [kWh/kg]")</f>
        <v>LHV [MJ/kg]</v>
      </c>
      <c r="B71" s="47">
        <f>INDEX(parameters!$D$4:$N$20,MATCH(B58&amp;B60,parameters!$A$4:$A$20,0),MATCH(A71,parameters!$D$3:$N$3,0))</f>
        <v>120</v>
      </c>
    </row>
    <row r="72" spans="1:2" x14ac:dyDescent="0.2">
      <c r="A72" t="s">
        <v>41</v>
      </c>
      <c r="B72" s="48">
        <f>INDEX(parameters!$D$4:$N$20,MATCH(B58&amp;B60,parameters!$A$4:$A$20,0),MATCH(A72,parameters!$D$3:$N$3,0))</f>
        <v>2.6666666666666665E-2</v>
      </c>
    </row>
    <row r="73" spans="1:2" x14ac:dyDescent="0.2">
      <c r="A73" t="s">
        <v>45</v>
      </c>
      <c r="B73" s="46">
        <f>INDEX(parameters!$D$4:$N$20,MATCH(B58&amp;B60,parameters!$A$4:$A$20,0),MATCH(A73,parameters!$D$3:$N$3,0))</f>
        <v>0</v>
      </c>
    </row>
    <row r="74" spans="1:2" x14ac:dyDescent="0.2">
      <c r="A74" t="s">
        <v>46</v>
      </c>
      <c r="B74" s="46">
        <f>INDEX(parameters!$D$4:$N$20,MATCH(B58&amp;B60,parameters!$A$4:$A$20,0),MATCH(A74,parameters!$D$3:$N$3,0))</f>
        <v>1.4999999999999999E-2</v>
      </c>
    </row>
    <row r="75" spans="1:2" x14ac:dyDescent="0.2">
      <c r="A75" t="s">
        <v>43</v>
      </c>
      <c r="B75" s="46">
        <f>INDEX(parameters!$D$4:$N$20,MATCH(B58&amp;B60,parameters!$A$4:$A$20,0),MATCH(A75,parameters!$D$3:$N$3,0))</f>
        <v>0</v>
      </c>
    </row>
    <row r="76" spans="1:2" x14ac:dyDescent="0.2">
      <c r="A76" t="s">
        <v>44</v>
      </c>
      <c r="B76" s="46">
        <f>INDEX(parameters!$D$4:$N$20,MATCH(B58&amp;B60,parameters!$A$4:$A$20,0),MATCH(A76,parameters!$D$3:$N$3,0))</f>
        <v>0</v>
      </c>
    </row>
    <row r="77" spans="1:2" x14ac:dyDescent="0.2">
      <c r="A77" t="s">
        <v>634</v>
      </c>
      <c r="B77" s="47">
        <f>INDEX(parameters!$D$4:$Y$20,MATCH(B58&amp;B60,parameters!$A$4:$A$20,0),MATCH(A77,parameters!$D$3:$Y$3,0))</f>
        <v>351.41800246609125</v>
      </c>
    </row>
    <row r="78" spans="1:2" x14ac:dyDescent="0.2">
      <c r="A78" t="s">
        <v>82</v>
      </c>
      <c r="B78" s="46">
        <f>IF(B69&lt;&gt;0,VLOOKUP(B69,parameters!A98:B100,2,0),0)</f>
        <v>0</v>
      </c>
    </row>
    <row r="79" spans="1:2" x14ac:dyDescent="0.2">
      <c r="A79" t="s">
        <v>548</v>
      </c>
      <c r="B79" s="50">
        <f>INDEX(parameters!$D$4:$P$20,MATCH(B58&amp;B60,parameters!$A$4:$A$20,0),MATCH(A79,parameters!$D$3:$P$3,0))</f>
        <v>125</v>
      </c>
    </row>
    <row r="80" spans="1:2" x14ac:dyDescent="0.2">
      <c r="A80" t="s">
        <v>547</v>
      </c>
      <c r="B80" s="51">
        <f>INDEX(parameters!$D$4:$P$20,MATCH(B58&amp;B60,parameters!$A$4:$A$20,0),MATCH(A80,parameters!$D$3:$P$3,0))</f>
        <v>19.512195121951219</v>
      </c>
    </row>
    <row r="81" spans="1:22" x14ac:dyDescent="0.2">
      <c r="A81" t="s">
        <v>630</v>
      </c>
      <c r="B81" s="51">
        <f>INDEX(parameters!$D$4:$T$20,MATCH(B58&amp;B60,parameters!$A$4:$A$20,0),MATCH(A81,parameters!$D$3:$T$3,0))</f>
        <v>4100</v>
      </c>
    </row>
    <row r="82" spans="1:22" x14ac:dyDescent="0.2">
      <c r="A82" t="s">
        <v>1005</v>
      </c>
      <c r="B82" s="50">
        <f>IF(B54="megajoule",SUMIFS(allocation!$I$4:$I$30,allocation!$B$4:$B$30,B60,allocation!$C$4:$C$30,B61),SUMIFS(allocation!$J$4:$J$30,allocation!$B$4:$B$30,B60,allocation!$C$4:$C$30,B61))</f>
        <v>0.12860042227295038</v>
      </c>
    </row>
    <row r="83" spans="1:22" x14ac:dyDescent="0.2">
      <c r="A83" t="s">
        <v>1050</v>
      </c>
      <c r="B83" s="51">
        <f>INDEX(parameters!$D$4:$AB$20,MATCH(B58&amp;B60,parameters!$A$4:$A$20,0),MATCH(A83,parameters!$D$3:$AB$3,0))</f>
        <v>2220.7364520822662</v>
      </c>
    </row>
    <row r="85" spans="1:22" x14ac:dyDescent="0.2">
      <c r="A85" s="3" t="s">
        <v>57</v>
      </c>
    </row>
    <row r="86" spans="1:22" x14ac:dyDescent="0.2">
      <c r="A86" s="2" t="s">
        <v>58</v>
      </c>
      <c r="B86" s="44" t="s">
        <v>59</v>
      </c>
      <c r="C86" s="2" t="s">
        <v>55</v>
      </c>
      <c r="D86" s="2" t="s">
        <v>60</v>
      </c>
      <c r="E86" s="2" t="s">
        <v>52</v>
      </c>
      <c r="F86" s="2" t="s">
        <v>61</v>
      </c>
      <c r="G86" s="2" t="s">
        <v>54</v>
      </c>
      <c r="H86" s="2" t="s">
        <v>87</v>
      </c>
      <c r="I86" s="2" t="s">
        <v>51</v>
      </c>
      <c r="J86" s="2" t="s">
        <v>138</v>
      </c>
      <c r="K86" s="2" t="s">
        <v>136</v>
      </c>
      <c r="L86" s="2" t="s">
        <v>221</v>
      </c>
      <c r="M86" s="2" t="s">
        <v>379</v>
      </c>
      <c r="N86" s="2" t="s">
        <v>1059</v>
      </c>
      <c r="O86" s="2" t="s">
        <v>1060</v>
      </c>
      <c r="P86" s="2" t="s">
        <v>1061</v>
      </c>
      <c r="Q86" s="2" t="s">
        <v>1062</v>
      </c>
      <c r="R86" s="2" t="s">
        <v>1063</v>
      </c>
      <c r="S86" s="2" t="s">
        <v>1064</v>
      </c>
      <c r="T86" s="2" t="s">
        <v>1065</v>
      </c>
      <c r="U86" s="2" t="s">
        <v>380</v>
      </c>
      <c r="V86" s="2" t="s">
        <v>1128</v>
      </c>
    </row>
    <row r="87" spans="1:22" x14ac:dyDescent="0.2">
      <c r="A87" t="str">
        <f>B48</f>
        <v>heat, residential, by combustion of hydrogen using CHP, allocated by exergy, transported by pipeline, produced by Pyrolysis using natural gas from Switzerland</v>
      </c>
      <c r="B87" s="45">
        <v>1</v>
      </c>
      <c r="C87" t="str">
        <f>B54</f>
        <v>megajoule</v>
      </c>
      <c r="E87" t="str">
        <f>B51</f>
        <v>CH</v>
      </c>
      <c r="F87" t="s">
        <v>62</v>
      </c>
      <c r="G87" t="str">
        <f>B53</f>
        <v>heat, from residential heating system</v>
      </c>
      <c r="K87" t="str">
        <f>B48</f>
        <v>heat, residential, by combustion of hydrogen using CHP, allocated by exergy, transported by pipeline, produced by Pyrolysis using natural gas from Switzerland</v>
      </c>
    </row>
    <row r="88" spans="1:22" x14ac:dyDescent="0.2">
      <c r="A88" t="str">
        <f>VLOOKUP(J88,'dataset mapping'!$A$4:$E$69,2,0)</f>
        <v>heat and power co-generation unit construction, 160kW electrical, common components for heat+electricity</v>
      </c>
      <c r="B88" s="52">
        <f>(1/(B77*B81*B80*3.6))*B82</f>
        <v>1.270649883812899E-9</v>
      </c>
      <c r="C88" t="str">
        <f>VLOOKUP(J88,'dataset mapping'!$A$4:$E$69,5,0)</f>
        <v>unit</v>
      </c>
      <c r="E88" t="str">
        <f>VLOOKUP(J88,'dataset mapping'!$A$4:$E$69,4,0)</f>
        <v>RER</v>
      </c>
      <c r="F88" t="s">
        <v>86</v>
      </c>
      <c r="G88" t="str">
        <f>VLOOKUP(J88,'dataset mapping'!$A$4:$E$69,3,0)</f>
        <v>heat and power co-generation unit, 160kW electrical, common components for heat+electricity</v>
      </c>
      <c r="H88" t="s">
        <v>88</v>
      </c>
      <c r="J88" t="s">
        <v>145</v>
      </c>
      <c r="K88" t="str">
        <f>B48</f>
        <v>heat, residential, by combustion of hydrogen using CHP, allocated by exergy, transported by pipeline, produced by Pyrolysis using natural gas from Switzerland</v>
      </c>
      <c r="L88">
        <f t="shared" ref="L88:L95" si="5">IF(OR(B88&lt;0,B88=0),1,2)</f>
        <v>2</v>
      </c>
      <c r="M88">
        <f t="shared" ref="M88:M95" si="6">IF(L88=2,LN(B88),"")</f>
        <v>-20.48373734782199</v>
      </c>
      <c r="N88">
        <v>1.05</v>
      </c>
      <c r="O88">
        <v>1.2</v>
      </c>
      <c r="P88">
        <v>1</v>
      </c>
      <c r="Q88">
        <v>1.01</v>
      </c>
      <c r="R88">
        <v>1.2</v>
      </c>
      <c r="S88">
        <v>1.2</v>
      </c>
      <c r="T88">
        <v>3</v>
      </c>
      <c r="U88">
        <f t="shared" ref="U88:U91" si="7">LN(SQRT(EXP(
SQRT(
+POWER(LN(N88),2)
+POWER(LN(O88),2)
+POWER(LN(P88),2)
+POWER(LN(Q88),2)
+POWER(LN(R88),2)
+POWER(LN(S88),2)
+POWER(LN(T88),2)
)
)))</f>
        <v>0.57209088006881903</v>
      </c>
    </row>
    <row r="89" spans="1:22" x14ac:dyDescent="0.2">
      <c r="A89" t="str">
        <f>VLOOKUP(J89,'dataset mapping'!$A$4:$E$69,2,0)</f>
        <v>heat and power co-generation unit construction, 160kW electrical, components for electricity only</v>
      </c>
      <c r="B89" s="52">
        <f>(1/(B77*B81*B80*3.6))*B82</f>
        <v>1.270649883812899E-9</v>
      </c>
      <c r="C89" t="str">
        <f>VLOOKUP(J89,'dataset mapping'!$A$4:$E$69,5,0)</f>
        <v>unit</v>
      </c>
      <c r="E89" t="str">
        <f>VLOOKUP(J89,'dataset mapping'!$A$4:$E$69,4,0)</f>
        <v>RER</v>
      </c>
      <c r="F89" t="s">
        <v>86</v>
      </c>
      <c r="G89" t="str">
        <f>VLOOKUP(J89,'dataset mapping'!$A$4:$E$69,3,0)</f>
        <v>heat and power co-generation unit, 160kW electrical, components for electricity only</v>
      </c>
      <c r="H89" t="s">
        <v>88</v>
      </c>
      <c r="J89" t="s">
        <v>146</v>
      </c>
      <c r="K89" t="str">
        <f>B48</f>
        <v>heat, residential, by combustion of hydrogen using CHP, allocated by exergy, transported by pipeline, produced by Pyrolysis using natural gas from Switzerland</v>
      </c>
      <c r="L89">
        <f t="shared" si="5"/>
        <v>2</v>
      </c>
      <c r="M89">
        <f t="shared" si="6"/>
        <v>-20.48373734782199</v>
      </c>
      <c r="N89">
        <v>1.05</v>
      </c>
      <c r="O89">
        <v>1.2</v>
      </c>
      <c r="P89">
        <v>1</v>
      </c>
      <c r="Q89">
        <v>1.01</v>
      </c>
      <c r="R89">
        <v>1.2</v>
      </c>
      <c r="S89">
        <v>1.2</v>
      </c>
      <c r="T89">
        <v>3</v>
      </c>
      <c r="U89">
        <f t="shared" si="7"/>
        <v>0.57209088006881903</v>
      </c>
    </row>
    <row r="90" spans="1:22" x14ac:dyDescent="0.2">
      <c r="A90" t="str">
        <f>VLOOKUP(J90,'dataset mapping'!$A$4:$E$69,2,0)</f>
        <v>heat and power co-generation unit construction, 160kW electrical, components for heat only</v>
      </c>
      <c r="B90" s="52">
        <f>(1/(B77*B81*B80*3.6))*B82</f>
        <v>1.270649883812899E-9</v>
      </c>
      <c r="C90" t="str">
        <f>VLOOKUP(J90,'dataset mapping'!$A$4:$E$69,5,0)</f>
        <v>unit</v>
      </c>
      <c r="E90" t="str">
        <f>VLOOKUP(J90,'dataset mapping'!$A$4:$E$69,4,0)</f>
        <v>RER</v>
      </c>
      <c r="F90" t="s">
        <v>86</v>
      </c>
      <c r="G90" t="str">
        <f>VLOOKUP(J90,'dataset mapping'!$A$4:$E$69,3,0)</f>
        <v>heat and power co-generation unit, 160kW electrical, components for heat only</v>
      </c>
      <c r="H90" t="s">
        <v>88</v>
      </c>
      <c r="J90" t="s">
        <v>147</v>
      </c>
      <c r="K90" t="str">
        <f>B48</f>
        <v>heat, residential, by combustion of hydrogen using CHP, allocated by exergy, transported by pipeline, produced by Pyrolysis using natural gas from Switzerland</v>
      </c>
      <c r="L90">
        <f t="shared" si="5"/>
        <v>2</v>
      </c>
      <c r="M90">
        <f t="shared" si="6"/>
        <v>-20.48373734782199</v>
      </c>
      <c r="N90">
        <v>1.05</v>
      </c>
      <c r="O90">
        <v>1.2</v>
      </c>
      <c r="P90">
        <v>1</v>
      </c>
      <c r="Q90">
        <v>1.01</v>
      </c>
      <c r="R90">
        <v>1.2</v>
      </c>
      <c r="S90">
        <v>1.2</v>
      </c>
      <c r="T90">
        <v>3</v>
      </c>
      <c r="U90">
        <f t="shared" si="7"/>
        <v>0.57209088006881903</v>
      </c>
    </row>
    <row r="91" spans="1:22" x14ac:dyDescent="0.2">
      <c r="A91" t="s">
        <v>156</v>
      </c>
      <c r="B91" s="52">
        <f>0.00000011366*B82</f>
        <v>1.461672399554354E-8</v>
      </c>
      <c r="C91" t="s">
        <v>56</v>
      </c>
      <c r="E91" t="s">
        <v>90</v>
      </c>
      <c r="F91" t="s">
        <v>86</v>
      </c>
      <c r="G91" t="s">
        <v>154</v>
      </c>
      <c r="H91" t="s">
        <v>155</v>
      </c>
      <c r="K91" t="str">
        <f>B48</f>
        <v>heat, residential, by combustion of hydrogen using CHP, allocated by exergy, transported by pipeline, produced by Pyrolysis using natural gas from Switzerland</v>
      </c>
      <c r="L91">
        <f t="shared" si="5"/>
        <v>2</v>
      </c>
      <c r="M91">
        <f t="shared" si="6"/>
        <v>-18.041099484645969</v>
      </c>
      <c r="N91">
        <v>1.05</v>
      </c>
      <c r="O91">
        <v>1.2</v>
      </c>
      <c r="P91">
        <v>1</v>
      </c>
      <c r="Q91">
        <v>1.01</v>
      </c>
      <c r="R91">
        <v>1.2</v>
      </c>
      <c r="S91">
        <v>1.2</v>
      </c>
      <c r="T91">
        <v>1.05</v>
      </c>
      <c r="U91">
        <f t="shared" si="7"/>
        <v>0.16169679924070957</v>
      </c>
    </row>
    <row r="92" spans="1:22" x14ac:dyDescent="0.2">
      <c r="A92" t="s">
        <v>157</v>
      </c>
      <c r="B92" s="52">
        <f>0.00000011366*B82*-1</f>
        <v>-1.461672399554354E-8</v>
      </c>
      <c r="C92" t="s">
        <v>56</v>
      </c>
      <c r="E92" t="s">
        <v>64</v>
      </c>
      <c r="F92" t="s">
        <v>86</v>
      </c>
      <c r="G92" t="s">
        <v>158</v>
      </c>
      <c r="H92" t="s">
        <v>155</v>
      </c>
      <c r="K92" t="str">
        <f>B48</f>
        <v>heat, residential, by combustion of hydrogen using CHP, allocated by exergy, transported by pipeline, produced by Pyrolysis using natural gas from Switzerland</v>
      </c>
      <c r="L92">
        <v>2</v>
      </c>
      <c r="M92">
        <f>IF(L92=2,LN(B92*-1),"")</f>
        <v>-18.041099484645969</v>
      </c>
      <c r="N92">
        <v>1.05</v>
      </c>
      <c r="O92">
        <v>1.2</v>
      </c>
      <c r="P92">
        <v>1</v>
      </c>
      <c r="Q92">
        <v>1.01</v>
      </c>
      <c r="R92">
        <v>1.2</v>
      </c>
      <c r="S92">
        <v>1.2</v>
      </c>
      <c r="T92">
        <v>1.05</v>
      </c>
      <c r="U92">
        <f t="shared" ref="U92" si="8">LN(SQRT(EXP(
SQRT(
+POWER(LN(N92),2)
+POWER(LN(O92),2)
+POWER(LN(P92),2)
+POWER(LN(Q92),2)
+POWER(LN(R92),2)
+POWER(LN(S92),2)
+POWER(LN(T92),2)
)
)))</f>
        <v>0.16169679924070957</v>
      </c>
      <c r="V92" t="b">
        <v>1</v>
      </c>
    </row>
    <row r="93" spans="1:22" x14ac:dyDescent="0.2">
      <c r="A93" s="45" t="str">
        <f>"hydrogen supply, transported by "&amp;B62&amp;", produced by "&amp;B66&amp;" using "&amp;B67&amp;" from "&amp;B68</f>
        <v>hydrogen supply, transported by pipeline, produced by Pyrolysis using natural gas from Switzerland</v>
      </c>
      <c r="B93" s="53">
        <f>(B87/B71)/B70*B82</f>
        <v>2.56995248347223E-3</v>
      </c>
      <c r="C93" t="s">
        <v>56</v>
      </c>
      <c r="E93" t="s">
        <v>64</v>
      </c>
      <c r="F93" t="s">
        <v>86</v>
      </c>
      <c r="G93" t="s">
        <v>1129</v>
      </c>
      <c r="H93" t="s">
        <v>76</v>
      </c>
      <c r="I93" t="s">
        <v>1054</v>
      </c>
      <c r="J93" t="s">
        <v>23</v>
      </c>
      <c r="K93" t="str">
        <f>B48</f>
        <v>heat, residential, by combustion of hydrogen using CHP, allocated by exergy, transported by pipeline, produced by Pyrolysis using natural gas from Switzerland</v>
      </c>
      <c r="L93">
        <f t="shared" si="5"/>
        <v>2</v>
      </c>
      <c r="M93">
        <f t="shared" si="6"/>
        <v>-5.9638678691672418</v>
      </c>
      <c r="N93">
        <v>1.05</v>
      </c>
      <c r="O93">
        <v>1.2</v>
      </c>
      <c r="P93">
        <v>1</v>
      </c>
      <c r="Q93">
        <v>1.01</v>
      </c>
      <c r="R93">
        <v>1.2</v>
      </c>
      <c r="S93">
        <v>1.2</v>
      </c>
      <c r="T93">
        <v>1.05</v>
      </c>
      <c r="U93">
        <f t="shared" ref="U93:U95" si="9">LN(SQRT(EXP(
SQRT(
+POWER(LN(N93),2)
+POWER(LN(O93),2)
+POWER(LN(P93),2)
+POWER(LN(Q93),2)
+POWER(LN(R93),2)
+POWER(LN(S93),2)
+POWER(LN(T93),2)
)
)))</f>
        <v>0.16169679924070957</v>
      </c>
    </row>
    <row r="94" spans="1:22" x14ac:dyDescent="0.2">
      <c r="A94" t="s">
        <v>134</v>
      </c>
      <c r="B94" s="45">
        <f>B93*9</f>
        <v>2.3129572351250072E-2</v>
      </c>
      <c r="C94" t="s">
        <v>56</v>
      </c>
      <c r="D94" t="s">
        <v>100</v>
      </c>
      <c r="F94" t="s">
        <v>99</v>
      </c>
      <c r="H94" t="s">
        <v>131</v>
      </c>
      <c r="K94" t="str">
        <f>B48</f>
        <v>heat, residential, by combustion of hydrogen using CHP, allocated by exergy, transported by pipeline, produced by Pyrolysis using natural gas from Switzerland</v>
      </c>
      <c r="L94">
        <f t="shared" si="5"/>
        <v>2</v>
      </c>
      <c r="M94">
        <f t="shared" si="6"/>
        <v>-3.7666432918310226</v>
      </c>
      <c r="N94">
        <v>1.05</v>
      </c>
      <c r="O94">
        <v>1.2</v>
      </c>
      <c r="P94">
        <v>1</v>
      </c>
      <c r="Q94">
        <v>1.01</v>
      </c>
      <c r="R94">
        <v>1.2</v>
      </c>
      <c r="S94">
        <v>1.2</v>
      </c>
      <c r="T94">
        <v>1.05</v>
      </c>
      <c r="U94">
        <f t="shared" si="9"/>
        <v>0.16169679924070957</v>
      </c>
    </row>
    <row r="95" spans="1:22" x14ac:dyDescent="0.2">
      <c r="A95" t="s">
        <v>135</v>
      </c>
      <c r="B95" s="45">
        <f>912.5/1000000*B93</f>
        <v>2.3450816411684101E-6</v>
      </c>
      <c r="C95" t="s">
        <v>56</v>
      </c>
      <c r="D95" t="s">
        <v>100</v>
      </c>
      <c r="F95" t="s">
        <v>99</v>
      </c>
      <c r="H95" t="s">
        <v>131</v>
      </c>
      <c r="I95" t="s">
        <v>1217</v>
      </c>
      <c r="K95" t="str">
        <f>B48</f>
        <v>heat, residential, by combustion of hydrogen using CHP, allocated by exergy, transported by pipeline, produced by Pyrolysis using natural gas from Switzerland</v>
      </c>
      <c r="L95">
        <f t="shared" si="5"/>
        <v>2</v>
      </c>
      <c r="M95">
        <f t="shared" si="6"/>
        <v>-12.963190341674869</v>
      </c>
      <c r="N95">
        <v>1.05</v>
      </c>
      <c r="O95">
        <v>1.2</v>
      </c>
      <c r="P95">
        <v>1</v>
      </c>
      <c r="Q95">
        <v>1.01</v>
      </c>
      <c r="R95">
        <v>1.2</v>
      </c>
      <c r="S95">
        <v>1.2</v>
      </c>
      <c r="T95">
        <v>1.5</v>
      </c>
      <c r="U95">
        <f t="shared" si="9"/>
        <v>0.25816898211842121</v>
      </c>
    </row>
    <row r="97" spans="1:2" x14ac:dyDescent="0.2">
      <c r="A97" s="2" t="s">
        <v>50</v>
      </c>
      <c r="B97" s="44" t="str">
        <f>IF(B103="megajoule","heat","electricity")&amp;", residential, by "&amp;B108&amp;" of "&amp;B107&amp;" using "&amp;B109&amp;IF(B110&lt;&gt;0,", allocated by "&amp;B110,"")&amp;", transported by "&amp;B111&amp;", produced by "&amp;B115&amp;" using "&amp;B116&amp;" from "&amp;B117</f>
        <v>heat, residential, by conversion of hydrogen using fuel cell, PEM, allocated by exergy, transported by pipeline, produced by Pyrolysis using natural gas from Switzerland</v>
      </c>
    </row>
    <row r="98" spans="1:2" x14ac:dyDescent="0.2">
      <c r="A98" t="s">
        <v>51</v>
      </c>
      <c r="B98" s="45" t="e">
        <f>"This dataset represents the supply of 1 "&amp;IF(B103="megajoule","megajoule of heat","kilowatt hour of electricity")&amp;" in a residence, by "&amp;B107/3*40&amp;": "&amp;B128&amp;". "&amp;A129&amp;": "&amp;B129&amp;". "&amp;A130&amp;": "&amp;B130&amp;". "&amp;A131&amp;": "&amp;B131&amp;".  For more information, refer to: "&amp;B99</f>
        <v>#VALUE!</v>
      </c>
    </row>
    <row r="99" spans="1:2" x14ac:dyDescent="0.2">
      <c r="A99" t="s">
        <v>63</v>
      </c>
      <c r="B99" s="45" t="s">
        <v>660</v>
      </c>
    </row>
    <row r="100" spans="1:2" x14ac:dyDescent="0.2">
      <c r="A100" t="s">
        <v>52</v>
      </c>
      <c r="B100" s="45" t="s">
        <v>64</v>
      </c>
    </row>
    <row r="101" spans="1:2" x14ac:dyDescent="0.2">
      <c r="A101" t="s">
        <v>48</v>
      </c>
      <c r="B101" s="45">
        <v>155</v>
      </c>
    </row>
    <row r="102" spans="1:2" x14ac:dyDescent="0.2">
      <c r="A102" t="s">
        <v>54</v>
      </c>
      <c r="B102" s="45" t="str">
        <f>INDEX(overview!$B$4:$R$338,MATCH(B101,overview!$A$4:$A$338,0),MATCH(A102,overview!$B$3:$R$3,0))</f>
        <v>heat, from residential heating system</v>
      </c>
    </row>
    <row r="103" spans="1:2" x14ac:dyDescent="0.2">
      <c r="A103" t="s">
        <v>55</v>
      </c>
      <c r="B103" s="45" t="str">
        <f>INDEX(overview!$B$4:$R$338,MATCH(B101,overview!$A$4:$A$338,0),MATCH(A103,overview!$B$3:$R$3,0))</f>
        <v>megajoule</v>
      </c>
    </row>
    <row r="104" spans="1:2" x14ac:dyDescent="0.2">
      <c r="A104" t="s">
        <v>0</v>
      </c>
      <c r="B104" s="45" t="str">
        <f>INDEX(overview!$B$4:$R$338,MATCH(B101,overview!$A$4:$A$338,0),MATCH(A104,overview!$B$3:$R$3,0))</f>
        <v>Switzerland</v>
      </c>
    </row>
    <row r="105" spans="1:2" x14ac:dyDescent="0.2">
      <c r="A105" t="s">
        <v>1</v>
      </c>
      <c r="B105" s="45">
        <f>INDEX(overview!$B$4:$R$338,MATCH(B101,overview!$A$4:$A$338,0),MATCH(A105,overview!$B$3:$R$3,0))</f>
        <v>2020</v>
      </c>
    </row>
    <row r="106" spans="1:2" x14ac:dyDescent="0.2">
      <c r="A106" t="s">
        <v>2</v>
      </c>
      <c r="B106" s="45" t="str">
        <f>INDEX(overview!$B$4:$R$338,MATCH(B101,overview!$A$4:$A$338,0),MATCH(A106,overview!$B$3:$R$3,0))</f>
        <v>1 MJ heat</v>
      </c>
    </row>
    <row r="107" spans="1:2" x14ac:dyDescent="0.2">
      <c r="A107" t="s">
        <v>5</v>
      </c>
      <c r="B107" s="45" t="str">
        <f>INDEX(overview!$B$4:$R$338,MATCH(B101,overview!$A$4:$A$338,0),MATCH(A107,overview!$B$3:$R$3,0))</f>
        <v>hydrogen</v>
      </c>
    </row>
    <row r="108" spans="1:2" x14ac:dyDescent="0.2">
      <c r="A108" t="s">
        <v>3</v>
      </c>
      <c r="B108" s="45" t="str">
        <f>INDEX(overview!$B$4:$R$338,MATCH(B101,overview!$A$4:$A$338,0),MATCH(A108,overview!$B$3:$R$3,0))</f>
        <v>conversion</v>
      </c>
    </row>
    <row r="109" spans="1:2" x14ac:dyDescent="0.2">
      <c r="A109" t="s">
        <v>6</v>
      </c>
      <c r="B109" s="45" t="str">
        <f>INDEX(overview!$B$4:$R$338,MATCH(B101,overview!$A$4:$A$338,0),MATCH(A109,overview!$B$3:$R$3,0))</f>
        <v>fuel cell, PEM</v>
      </c>
    </row>
    <row r="110" spans="1:2" x14ac:dyDescent="0.2">
      <c r="A110" t="s">
        <v>39</v>
      </c>
      <c r="B110" s="45" t="str">
        <f>INDEX(overview!$B$4:$R$338,MATCH(B101,overview!$A$4:$A$338,0),MATCH(A110,overview!$B$3:$R$3,0))</f>
        <v>exergy</v>
      </c>
    </row>
    <row r="111" spans="1:2" x14ac:dyDescent="0.2">
      <c r="A111" t="s">
        <v>4</v>
      </c>
      <c r="B111" s="45" t="str">
        <f>INDEX(overview!$B$4:$R$338,MATCH(B101,overview!$A$4:$A$338,0),MATCH(A111,overview!$B$3:$R$3,0))</f>
        <v>pipeline</v>
      </c>
    </row>
    <row r="112" spans="1:2" x14ac:dyDescent="0.2">
      <c r="A112" t="s">
        <v>38</v>
      </c>
      <c r="B112" s="45">
        <f>INDEX(overview!$B$4:$R$338,MATCH(B101,overview!$A$4:$A$338,0),MATCH(A112,overview!$B$3:$R$3,0))</f>
        <v>500</v>
      </c>
    </row>
    <row r="113" spans="1:2" x14ac:dyDescent="0.2">
      <c r="A113" t="s">
        <v>12</v>
      </c>
      <c r="B113" s="45" t="str">
        <f>INDEX(overview!$B$4:$R$338,MATCH(B101,overview!$A$4:$A$338,0),MATCH(A113,overview!$B$3:$R$3,0))</f>
        <v>Pressure vessel for stationary storage</v>
      </c>
    </row>
    <row r="114" spans="1:2" x14ac:dyDescent="0.2">
      <c r="A114" t="s">
        <v>34</v>
      </c>
      <c r="B114" s="45">
        <f>INDEX(overview!$B$4:$R$338,MATCH(B101,overview!$A$4:$A$338,0),MATCH(A114,overview!$B$3:$R$3,0))</f>
        <v>0</v>
      </c>
    </row>
    <row r="115" spans="1:2" x14ac:dyDescent="0.2">
      <c r="A115" t="s">
        <v>15</v>
      </c>
      <c r="B115" s="45" t="str">
        <f>INDEX(overview!$B$4:$R$338,MATCH(B101,overview!$A$4:$A$338,0),MATCH(A115,overview!$B$3:$R$3,0))</f>
        <v>Pyrolysis</v>
      </c>
    </row>
    <row r="116" spans="1:2" x14ac:dyDescent="0.2">
      <c r="A116" t="s">
        <v>14</v>
      </c>
      <c r="B116" s="45" t="str">
        <f>INDEX(overview!$B$4:$R$338,MATCH(B101,overview!$A$4:$A$338,0),MATCH(A116,overview!$B$3:$R$3,0))</f>
        <v>natural gas</v>
      </c>
    </row>
    <row r="117" spans="1:2" x14ac:dyDescent="0.2">
      <c r="A117" t="s">
        <v>26</v>
      </c>
      <c r="B117" s="45" t="str">
        <f>INDEX(overview!$B$4:$R$338,MATCH(B101,overview!$A$4:$A$338,0),MATCH(A117,overview!$B$3:$R$3,0))</f>
        <v>Switzerland</v>
      </c>
    </row>
    <row r="118" spans="1:2" x14ac:dyDescent="0.2">
      <c r="A118" t="s">
        <v>29</v>
      </c>
      <c r="B118" s="45">
        <f>INDEX(overview!$B$4:$R$338,MATCH(B101,overview!$A$4:$A$338,0),MATCH(A118,overview!$B$3:$R$3,0))</f>
        <v>0</v>
      </c>
    </row>
    <row r="119" spans="1:2" x14ac:dyDescent="0.2">
      <c r="A119" t="str">
        <f>IF(B103="megajoule","Heat","Electricity")&amp;" conversion efficiency [% LHV input]"</f>
        <v>Heat conversion efficiency [% LHV input]</v>
      </c>
      <c r="B119" s="46">
        <f>INDEX(parameters!$D$4:$N$20,MATCH(B107&amp;B109,parameters!$A$4:$A$20,0),MATCH(A119,parameters!$D$3:$N$3,0))</f>
        <v>0.5</v>
      </c>
    </row>
    <row r="120" spans="1:2" x14ac:dyDescent="0.2">
      <c r="A120" t="str">
        <f>IF(B103="megajoule","LHV [MJ/kg]","LHV [kWh/kg]")</f>
        <v>LHV [MJ/kg]</v>
      </c>
      <c r="B120" s="47">
        <f>INDEX(parameters!$D$4:$N$20,MATCH(B107&amp;B109,parameters!$A$4:$A$20,0),MATCH(A120,parameters!$D$3:$N$3,0))</f>
        <v>120</v>
      </c>
    </row>
    <row r="121" spans="1:2" x14ac:dyDescent="0.2">
      <c r="A121" t="s">
        <v>41</v>
      </c>
      <c r="B121" s="48">
        <f>INDEX(parameters!$D$4:$N$20,MATCH(B107&amp;B109,parameters!$A$4:$A$20,0),MATCH(A121,parameters!$D$3:$N$3,0))</f>
        <v>2.6666666666666665E-2</v>
      </c>
    </row>
    <row r="122" spans="1:2" x14ac:dyDescent="0.2">
      <c r="A122" t="s">
        <v>45</v>
      </c>
      <c r="B122" s="46">
        <f>INDEX(parameters!$D$4:$N$20,MATCH(B107&amp;B109,parameters!$A$4:$A$20,0),MATCH(A122,parameters!$D$3:$N$3,0))</f>
        <v>0</v>
      </c>
    </row>
    <row r="123" spans="1:2" x14ac:dyDescent="0.2">
      <c r="A123" t="s">
        <v>46</v>
      </c>
      <c r="B123" s="46">
        <f>INDEX(parameters!$D$4:$N$20,MATCH(B107&amp;B109,parameters!$A$4:$A$20,0),MATCH(A123,parameters!$D$3:$N$3,0))</f>
        <v>1.4999999999999999E-2</v>
      </c>
    </row>
    <row r="124" spans="1:2" x14ac:dyDescent="0.2">
      <c r="A124" t="s">
        <v>43</v>
      </c>
      <c r="B124" s="46">
        <f>INDEX(parameters!$D$4:$N$20,MATCH(B107&amp;B109,parameters!$A$4:$A$20,0),MATCH(A124,parameters!$D$3:$N$3,0))</f>
        <v>0</v>
      </c>
    </row>
    <row r="125" spans="1:2" x14ac:dyDescent="0.2">
      <c r="A125" t="s">
        <v>44</v>
      </c>
      <c r="B125" s="46">
        <f>INDEX(parameters!$D$4:$N$20,MATCH(B107&amp;B109,parameters!$A$4:$A$20,0),MATCH(A125,parameters!$D$3:$N$3,0))</f>
        <v>0</v>
      </c>
    </row>
    <row r="126" spans="1:2" x14ac:dyDescent="0.2">
      <c r="A126" t="s">
        <v>634</v>
      </c>
      <c r="B126" s="47">
        <f>INDEX(parameters!$D$4:$Y$20,MATCH(B107&amp;B109,parameters!$A$4:$A$20,0),MATCH(A126,parameters!$D$3:$Y$3,0))</f>
        <v>1.8947368421052633</v>
      </c>
    </row>
    <row r="127" spans="1:2" x14ac:dyDescent="0.2">
      <c r="A127" t="s">
        <v>82</v>
      </c>
      <c r="B127" s="46">
        <f>IF(B118&lt;&gt;0,VLOOKUP(B118,parameters!A152:B154,2,0),0)</f>
        <v>0</v>
      </c>
    </row>
    <row r="128" spans="1:2" x14ac:dyDescent="0.2">
      <c r="A128" t="s">
        <v>548</v>
      </c>
      <c r="B128" s="50" t="e">
        <f>INDEX(parameters!$D$4:$P$20,MATCH(B107/3*40,parameters!$D$3:$P$3,0))</f>
        <v>#VALUE!</v>
      </c>
    </row>
    <row r="129" spans="1:22" x14ac:dyDescent="0.2">
      <c r="A129" t="s">
        <v>547</v>
      </c>
      <c r="B129" s="51">
        <f>INDEX(parameters!$D$4:$P$20,MATCH(B107&amp;B109,parameters!$A$4:$A$20,0),MATCH(A129,parameters!$D$3:$P$3,0))</f>
        <v>4.8780487804878048</v>
      </c>
    </row>
    <row r="130" spans="1:22" x14ac:dyDescent="0.2">
      <c r="A130" t="s">
        <v>630</v>
      </c>
      <c r="B130" s="51">
        <f>INDEX(parameters!$D$4:$T$20,MATCH(B107&amp;B109,parameters!$A$4:$A$20,0),MATCH(A130,parameters!$D$3:$T$3,0))</f>
        <v>4100</v>
      </c>
    </row>
    <row r="131" spans="1:22" x14ac:dyDescent="0.2">
      <c r="A131" t="s">
        <v>1005</v>
      </c>
      <c r="B131" s="50">
        <f>IF(B103="megajoule",SUMIFS(allocation!$I$4:$I$30,allocation!$B$4:$B$30,B109,allocation!$C$4:$C$30,B110),SUMIFS(allocation!$J$4:$J$30,allocation!$B$4:$B$30,B109,allocation!$C$4:$C$30,B110))</f>
        <v>0.13933980798974457</v>
      </c>
    </row>
    <row r="132" spans="1:22" x14ac:dyDescent="0.2">
      <c r="A132" t="s">
        <v>1050</v>
      </c>
      <c r="B132" s="51">
        <f>INDEX(parameters!$D$4:$AB$20,MATCH(B107&amp;B109,parameters!$A$4:$A$20,0),MATCH(A132,parameters!$D$3:$AB$3,0))</f>
        <v>10.221606648199446</v>
      </c>
    </row>
    <row r="134" spans="1:22" x14ac:dyDescent="0.2">
      <c r="A134" s="3" t="s">
        <v>57</v>
      </c>
    </row>
    <row r="135" spans="1:22" x14ac:dyDescent="0.2">
      <c r="A135" s="2" t="s">
        <v>58</v>
      </c>
      <c r="B135" s="44" t="s">
        <v>59</v>
      </c>
      <c r="C135" s="2" t="s">
        <v>55</v>
      </c>
      <c r="D135" s="2" t="s">
        <v>60</v>
      </c>
      <c r="E135" s="2" t="s">
        <v>52</v>
      </c>
      <c r="F135" s="2" t="s">
        <v>61</v>
      </c>
      <c r="G135" s="2" t="s">
        <v>54</v>
      </c>
      <c r="H135" s="2" t="s">
        <v>87</v>
      </c>
      <c r="I135" s="2" t="s">
        <v>51</v>
      </c>
      <c r="J135" s="2" t="s">
        <v>138</v>
      </c>
      <c r="K135" s="2" t="s">
        <v>136</v>
      </c>
      <c r="L135" s="2" t="s">
        <v>221</v>
      </c>
      <c r="M135" s="2" t="s">
        <v>379</v>
      </c>
      <c r="N135" s="2" t="s">
        <v>1059</v>
      </c>
      <c r="O135" s="2" t="s">
        <v>1060</v>
      </c>
      <c r="P135" s="2" t="s">
        <v>1061</v>
      </c>
      <c r="Q135" s="2" t="s">
        <v>1062</v>
      </c>
      <c r="R135" s="2" t="s">
        <v>1063</v>
      </c>
      <c r="S135" s="2" t="s">
        <v>1064</v>
      </c>
      <c r="T135" s="2" t="s">
        <v>1065</v>
      </c>
      <c r="U135" s="2" t="s">
        <v>380</v>
      </c>
      <c r="V135" s="2" t="s">
        <v>1128</v>
      </c>
    </row>
    <row r="136" spans="1:22" x14ac:dyDescent="0.2">
      <c r="A136" t="str">
        <f>B97</f>
        <v>heat, residential, by conversion of hydrogen using fuel cell, PEM, allocated by exergy, transported by pipeline, produced by Pyrolysis using natural gas from Switzerland</v>
      </c>
      <c r="B136" s="45">
        <v>1</v>
      </c>
      <c r="C136" t="str">
        <f>B103</f>
        <v>megajoule</v>
      </c>
      <c r="E136" t="str">
        <f>B100</f>
        <v>CH</v>
      </c>
      <c r="F136" t="s">
        <v>62</v>
      </c>
      <c r="G136" t="str">
        <f>B102</f>
        <v>heat, from residential heating system</v>
      </c>
      <c r="K136" t="str">
        <f>B97</f>
        <v>heat, residential, by conversion of hydrogen using fuel cell, PEM, allocated by exergy, transported by pipeline, produced by Pyrolysis using natural gas from Switzerland</v>
      </c>
    </row>
    <row r="137" spans="1:22" x14ac:dyDescent="0.2">
      <c r="A137" t="str">
        <f>VLOOKUP(J137,'dataset mapping'!$A$4:$E$69,2,0)</f>
        <v>fuel cell system assembly, 1 kWe, proton exchange membrane (PEM)</v>
      </c>
      <c r="B137" s="52">
        <f>(1/(B126*B130*B129*3.6))*B131</f>
        <v>1.0213951974556892E-6</v>
      </c>
      <c r="C137" t="str">
        <f>VLOOKUP(J137,'dataset mapping'!$A$4:$E$69,5,0)</f>
        <v>unit</v>
      </c>
      <c r="E137" t="str">
        <f>VLOOKUP(J137,'dataset mapping'!$A$4:$E$69,4,0)</f>
        <v>GLO</v>
      </c>
      <c r="F137" t="s">
        <v>86</v>
      </c>
      <c r="G137" t="str">
        <f>VLOOKUP(J137,'dataset mapping'!$A$4:$E$69,3,0)</f>
        <v>fuel cell system, 1 kWe, proton exchange membrane (PEM)</v>
      </c>
      <c r="H137" t="s">
        <v>88</v>
      </c>
      <c r="I137" t="s">
        <v>272</v>
      </c>
      <c r="J137" t="s">
        <v>273</v>
      </c>
      <c r="K137" t="str">
        <f>B97</f>
        <v>heat, residential, by conversion of hydrogen using fuel cell, PEM, allocated by exergy, transported by pipeline, produced by Pyrolysis using natural gas from Switzerland</v>
      </c>
      <c r="L137">
        <f t="shared" ref="L137:L139" si="10">IF(OR(B137&lt;0,B137=0),1,2)</f>
        <v>2</v>
      </c>
      <c r="M137">
        <f t="shared" ref="M137:M139" si="11">IF(L137=2,LN(B137),"")</f>
        <v>-13.794341024667077</v>
      </c>
      <c r="N137">
        <v>1</v>
      </c>
      <c r="O137">
        <v>1.2</v>
      </c>
      <c r="P137">
        <v>1</v>
      </c>
      <c r="Q137">
        <v>1.01</v>
      </c>
      <c r="R137">
        <v>1.2</v>
      </c>
      <c r="S137">
        <v>1.2</v>
      </c>
      <c r="T137">
        <v>3</v>
      </c>
      <c r="U137">
        <f t="shared" ref="U137:U139" si="12">LN(SQRT(EXP(
SQRT(
+POWER(LN(N137),2)
+POWER(LN(O137),2)
+POWER(LN(P137),2)
+POWER(LN(Q137),2)
+POWER(LN(R137),2)
+POWER(LN(S137),2)
+POWER(LN(T137),2)
)
)))</f>
        <v>0.57157051623399524</v>
      </c>
    </row>
    <row r="138" spans="1:22" x14ac:dyDescent="0.2">
      <c r="A138" s="45" t="str">
        <f>"hydrogen supply, transported by "&amp;B111&amp;", produced by "&amp;B115&amp;" using "&amp;B116&amp;" from "&amp;B117</f>
        <v>hydrogen supply, transported by pipeline, produced by Pyrolysis using natural gas from Switzerland</v>
      </c>
      <c r="B138" s="53">
        <f>(B136/B120)/B119*B131</f>
        <v>2.3223301331624095E-3</v>
      </c>
      <c r="C138" t="s">
        <v>56</v>
      </c>
      <c r="E138" t="s">
        <v>64</v>
      </c>
      <c r="F138" t="s">
        <v>86</v>
      </c>
      <c r="G138" t="s">
        <v>1129</v>
      </c>
      <c r="H138" t="s">
        <v>76</v>
      </c>
      <c r="I138" t="s">
        <v>1054</v>
      </c>
      <c r="J138" t="s">
        <v>23</v>
      </c>
      <c r="K138" t="str">
        <f>B97</f>
        <v>heat, residential, by conversion of hydrogen using fuel cell, PEM, allocated by exergy, transported by pipeline, produced by Pyrolysis using natural gas from Switzerland</v>
      </c>
      <c r="L138">
        <f t="shared" si="10"/>
        <v>2</v>
      </c>
      <c r="M138">
        <f t="shared" si="11"/>
        <v>-6.0651842296013152</v>
      </c>
      <c r="N138">
        <v>1</v>
      </c>
      <c r="O138">
        <v>1.2</v>
      </c>
      <c r="P138">
        <v>1</v>
      </c>
      <c r="Q138">
        <v>1.01</v>
      </c>
      <c r="R138">
        <v>1.2</v>
      </c>
      <c r="S138">
        <v>1.2</v>
      </c>
      <c r="T138">
        <v>1.05</v>
      </c>
      <c r="U138">
        <f t="shared" si="12"/>
        <v>0.15984597228197622</v>
      </c>
    </row>
    <row r="139" spans="1:22" x14ac:dyDescent="0.2">
      <c r="A139" t="s">
        <v>134</v>
      </c>
      <c r="B139" s="53">
        <f>B138*9</f>
        <v>2.0900971198461685E-2</v>
      </c>
      <c r="C139" t="s">
        <v>56</v>
      </c>
      <c r="D139" t="s">
        <v>100</v>
      </c>
      <c r="F139" t="s">
        <v>99</v>
      </c>
      <c r="H139" t="s">
        <v>131</v>
      </c>
      <c r="I139" t="s">
        <v>289</v>
      </c>
      <c r="K139" t="str">
        <f>B97</f>
        <v>heat, residential, by conversion of hydrogen using fuel cell, PEM, allocated by exergy, transported by pipeline, produced by Pyrolysis using natural gas from Switzerland</v>
      </c>
      <c r="L139">
        <f t="shared" si="10"/>
        <v>2</v>
      </c>
      <c r="M139">
        <f t="shared" si="11"/>
        <v>-3.8679596522650961</v>
      </c>
      <c r="N139">
        <v>1</v>
      </c>
      <c r="O139">
        <v>1.2</v>
      </c>
      <c r="P139">
        <v>1</v>
      </c>
      <c r="Q139">
        <v>1.01</v>
      </c>
      <c r="R139">
        <v>1.2</v>
      </c>
      <c r="S139">
        <v>1.2</v>
      </c>
      <c r="T139">
        <v>1.05</v>
      </c>
      <c r="U139">
        <f t="shared" si="12"/>
        <v>0.15984597228197622</v>
      </c>
    </row>
    <row r="141" spans="1:22" x14ac:dyDescent="0.2">
      <c r="A141" s="2" t="s">
        <v>50</v>
      </c>
      <c r="B141" s="44" t="str">
        <f>IF(B147="megajoule","heat","electricity")&amp;", residential, by "&amp;B152&amp;" of "&amp;B151&amp;" using "&amp;B153&amp;IF(B154&lt;&gt;0,", allocated by "&amp;B154,"")&amp;", transported by "&amp;B155&amp;", produced by "&amp;B159&amp;" using "&amp;B160&amp;" from "&amp;B161</f>
        <v>heat, residential, by conversion of hydrogen using fuel cell, SOFC, allocated by exergy, transported by pipeline, produced by Pyrolysis using natural gas from Switzerland</v>
      </c>
    </row>
    <row r="142" spans="1:22" x14ac:dyDescent="0.2">
      <c r="A142" t="s">
        <v>51</v>
      </c>
      <c r="B142" s="45" t="str">
        <f>"This dataset represents the supply of 1 "&amp;IF(B147="megajoule","megajoule of heat","kilowatt hour of electricity")&amp;" in a residence, by "&amp;B151&amp;" "&amp;B152&amp;" in a "&amp;B153&amp;". "&amp;" The hydrogen is transported by "&amp;B155&amp;" over "&amp;B156&amp;" km from regional storage. "&amp;" The "&amp;B151&amp;" is produced by  "&amp;B159&amp;", with "&amp;B160&amp;" from "&amp;B161&amp;" as feedstock. "&amp;A163&amp;": "&amp;(B163*100)&amp;"%. "&amp;A164&amp;": "&amp;B164&amp;". "&amp;A165&amp;": "&amp;B165&amp;". "&amp;A166&amp;": "&amp;(B166*100)&amp;"%. "&amp;A167&amp;": "&amp;(B167*100)&amp;"%. "&amp;A168&amp;": "&amp;(B168*100)&amp;"%. "&amp;A169&amp;": "&amp;B169&amp;". "&amp;A170&amp;": "&amp;B170&amp;". "&amp;A171&amp;": "&amp;(B171*100)&amp;"%. "&amp;A172&amp;": "&amp;B172&amp;". "&amp;A173&amp;": "&amp;B173&amp;". "&amp;A174&amp;": "&amp;B174&amp;". "&amp;A175&amp;": "&amp;B175&amp;".  For more information, refer to: "&amp;B143</f>
        <v>This dataset represents the supply of 1 megajoule of heat in a residence, by hydrogen conversion in a fuel cell, SOFC.  The hydrogen is transported by pipeline over 500 km from regional storage.  The hydrogen is produced by  Pyrolysis,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143" spans="1:22" x14ac:dyDescent="0.2">
      <c r="A143" t="s">
        <v>63</v>
      </c>
      <c r="B143" s="45" t="s">
        <v>660</v>
      </c>
    </row>
    <row r="144" spans="1:22" x14ac:dyDescent="0.2">
      <c r="A144" t="s">
        <v>52</v>
      </c>
      <c r="B144" s="45" t="s">
        <v>64</v>
      </c>
    </row>
    <row r="145" spans="1:2" x14ac:dyDescent="0.2">
      <c r="A145" t="s">
        <v>48</v>
      </c>
      <c r="B145" s="45">
        <v>156</v>
      </c>
    </row>
    <row r="146" spans="1:2" x14ac:dyDescent="0.2">
      <c r="A146" t="s">
        <v>54</v>
      </c>
      <c r="B146" s="45" t="str">
        <f>INDEX(overview!$B$4:$R$338,MATCH(B145,overview!$A$4:$A$338,0),MATCH(A146,overview!$B$3:$R$3,0))</f>
        <v>heat, from residential heating system</v>
      </c>
    </row>
    <row r="147" spans="1:2" x14ac:dyDescent="0.2">
      <c r="A147" t="s">
        <v>55</v>
      </c>
      <c r="B147" s="45" t="str">
        <f>INDEX(overview!$B$4:$R$338,MATCH(B145,overview!$A$4:$A$338,0),MATCH(A147,overview!$B$3:$R$3,0))</f>
        <v>megajoule</v>
      </c>
    </row>
    <row r="148" spans="1:2" x14ac:dyDescent="0.2">
      <c r="A148" t="s">
        <v>0</v>
      </c>
      <c r="B148" s="45" t="str">
        <f>INDEX(overview!$B$4:$R$338,MATCH(B145,overview!$A$4:$A$338,0),MATCH(A148,overview!$B$3:$R$3,0))</f>
        <v>Switzerland</v>
      </c>
    </row>
    <row r="149" spans="1:2" x14ac:dyDescent="0.2">
      <c r="A149" t="s">
        <v>1</v>
      </c>
      <c r="B149" s="45">
        <f>INDEX(overview!$B$4:$R$338,MATCH(B145,overview!$A$4:$A$338,0),MATCH(A149,overview!$B$3:$R$3,0))</f>
        <v>2020</v>
      </c>
    </row>
    <row r="150" spans="1:2" x14ac:dyDescent="0.2">
      <c r="A150" t="s">
        <v>2</v>
      </c>
      <c r="B150" s="45" t="str">
        <f>INDEX(overview!$B$4:$R$338,MATCH(B145,overview!$A$4:$A$338,0),MATCH(A150,overview!$B$3:$R$3,0))</f>
        <v>1 MJ heat</v>
      </c>
    </row>
    <row r="151" spans="1:2" x14ac:dyDescent="0.2">
      <c r="A151" t="s">
        <v>5</v>
      </c>
      <c r="B151" s="45" t="str">
        <f>INDEX(overview!$B$4:$R$338,MATCH(B145,overview!$A$4:$A$338,0),MATCH(A151,overview!$B$3:$R$3,0))</f>
        <v>hydrogen</v>
      </c>
    </row>
    <row r="152" spans="1:2" x14ac:dyDescent="0.2">
      <c r="A152" t="s">
        <v>3</v>
      </c>
      <c r="B152" s="45" t="str">
        <f>INDEX(overview!$B$4:$R$338,MATCH(B145,overview!$A$4:$A$338,0),MATCH(A152,overview!$B$3:$R$3,0))</f>
        <v>conversion</v>
      </c>
    </row>
    <row r="153" spans="1:2" x14ac:dyDescent="0.2">
      <c r="A153" t="s">
        <v>6</v>
      </c>
      <c r="B153" s="45" t="str">
        <f>INDEX(overview!$B$4:$R$338,MATCH(B145,overview!$A$4:$A$338,0),MATCH(A153,overview!$B$3:$R$3,0))</f>
        <v>fuel cell, SOFC</v>
      </c>
    </row>
    <row r="154" spans="1:2" x14ac:dyDescent="0.2">
      <c r="A154" t="s">
        <v>39</v>
      </c>
      <c r="B154" s="45" t="str">
        <f>INDEX(overview!$B$4:$R$338,MATCH(B145,overview!$A$4:$A$338,0),MATCH(A154,overview!$B$3:$R$3,0))</f>
        <v>exergy</v>
      </c>
    </row>
    <row r="155" spans="1:2" x14ac:dyDescent="0.2">
      <c r="A155" t="s">
        <v>4</v>
      </c>
      <c r="B155" s="45" t="str">
        <f>INDEX(overview!$B$4:$R$338,MATCH(B145,overview!$A$4:$A$338,0),MATCH(A155,overview!$B$3:$R$3,0))</f>
        <v>pipeline</v>
      </c>
    </row>
    <row r="156" spans="1:2" x14ac:dyDescent="0.2">
      <c r="A156" t="s">
        <v>38</v>
      </c>
      <c r="B156" s="45">
        <f>INDEX(overview!$B$4:$R$338,MATCH(B145,overview!$A$4:$A$338,0),MATCH(A156,overview!$B$3:$R$3,0))</f>
        <v>500</v>
      </c>
    </row>
    <row r="157" spans="1:2" x14ac:dyDescent="0.2">
      <c r="A157" t="s">
        <v>12</v>
      </c>
      <c r="B157" s="45" t="str">
        <f>INDEX(overview!$B$4:$R$338,MATCH(B145,overview!$A$4:$A$338,0),MATCH(A157,overview!$B$3:$R$3,0))</f>
        <v>Pressure vessel for stationary storage</v>
      </c>
    </row>
    <row r="158" spans="1:2" x14ac:dyDescent="0.2">
      <c r="A158" t="s">
        <v>34</v>
      </c>
      <c r="B158" s="45">
        <f>INDEX(overview!$B$4:$R$338,MATCH(B145,overview!$A$4:$A$338,0),MATCH(A158,overview!$B$3:$R$3,0))</f>
        <v>0</v>
      </c>
    </row>
    <row r="159" spans="1:2" x14ac:dyDescent="0.2">
      <c r="A159" t="s">
        <v>15</v>
      </c>
      <c r="B159" s="45" t="str">
        <f>INDEX(overview!$B$4:$R$338,MATCH(B145,overview!$A$4:$A$338,0),MATCH(A159,overview!$B$3:$R$3,0))</f>
        <v>Pyrolysis</v>
      </c>
    </row>
    <row r="160" spans="1:2" x14ac:dyDescent="0.2">
      <c r="A160" t="s">
        <v>14</v>
      </c>
      <c r="B160" s="45" t="str">
        <f>INDEX(overview!$B$4:$R$338,MATCH(B145,overview!$A$4:$A$338,0),MATCH(A160,overview!$B$3:$R$3,0))</f>
        <v>natural gas</v>
      </c>
    </row>
    <row r="161" spans="1:4" x14ac:dyDescent="0.2">
      <c r="A161" t="s">
        <v>26</v>
      </c>
      <c r="B161" s="45" t="str">
        <f>INDEX(overview!$B$4:$R$338,MATCH(B145,overview!$A$4:$A$338,0),MATCH(A161,overview!$B$3:$R$3,0))</f>
        <v>Switzerland</v>
      </c>
    </row>
    <row r="162" spans="1:4" x14ac:dyDescent="0.2">
      <c r="A162" t="s">
        <v>29</v>
      </c>
      <c r="B162" s="45">
        <f>INDEX(overview!$B$4:$R$338,MATCH(B145,overview!$A$4:$A$338,0),MATCH(A162,overview!$B$3:$R$3,0))</f>
        <v>0</v>
      </c>
    </row>
    <row r="163" spans="1:4" x14ac:dyDescent="0.2">
      <c r="A163" t="str">
        <f>IF(B147="megajoule","Heat","Electricity")&amp;" conversion efficiency [% LHV input]"</f>
        <v>Heat conversion efficiency [% LHV input]</v>
      </c>
      <c r="B163" s="46">
        <f>INDEX(parameters!$D$4:$N$20,MATCH(B151&amp;B153,parameters!$A$4:$A$20,0),MATCH(A163,parameters!$D$3:$N$3,0))</f>
        <v>0.53</v>
      </c>
    </row>
    <row r="164" spans="1:4" x14ac:dyDescent="0.2">
      <c r="A164" t="str">
        <f>IF(B147="megajoule","LHV [MJ/kg]","LHV [kWh/kg]")</f>
        <v>LHV [MJ/kg]</v>
      </c>
      <c r="B164" s="47">
        <f>INDEX(parameters!$D$4:$N$20,MATCH(B151&amp;B153,parameters!$A$4:$A$20,0),MATCH(A164,parameters!$D$3:$N$3,0))</f>
        <v>120</v>
      </c>
    </row>
    <row r="165" spans="1:4" x14ac:dyDescent="0.2">
      <c r="A165" t="s">
        <v>41</v>
      </c>
      <c r="B165" s="48">
        <f>INDEX(parameters!$D$4:$N$20,MATCH(B151&amp;B153,parameters!$A$4:$A$20,0),MATCH(A165,parameters!$D$3:$N$3,0))</f>
        <v>2.6666666666666665E-2</v>
      </c>
    </row>
    <row r="166" spans="1:4" x14ac:dyDescent="0.2">
      <c r="A166" t="s">
        <v>45</v>
      </c>
      <c r="B166" s="46">
        <f>INDEX(parameters!$D$4:$N$20,MATCH(B151&amp;B153,parameters!$A$4:$A$20,0),MATCH(A166,parameters!$D$3:$N$3,0))</f>
        <v>0</v>
      </c>
    </row>
    <row r="167" spans="1:4" x14ac:dyDescent="0.2">
      <c r="A167" t="s">
        <v>46</v>
      </c>
      <c r="B167" s="46">
        <f>INDEX(parameters!$D$4:$N$20,MATCH(B151&amp;B153,parameters!$A$4:$A$20,0),MATCH(A167,parameters!$D$3:$N$3,0))</f>
        <v>1.4999999999999999E-2</v>
      </c>
    </row>
    <row r="168" spans="1:4" x14ac:dyDescent="0.2">
      <c r="A168" t="s">
        <v>43</v>
      </c>
      <c r="B168" s="46">
        <f>INDEX(parameters!$D$4:$N$20,MATCH(B151&amp;B153,parameters!$A$4:$A$20,0),MATCH(A168,parameters!$D$3:$N$3,0))</f>
        <v>0</v>
      </c>
    </row>
    <row r="169" spans="1:4" x14ac:dyDescent="0.2">
      <c r="A169" t="s">
        <v>44</v>
      </c>
      <c r="B169" s="46">
        <f>INDEX(parameters!$D$4:$N$20,MATCH(B151&amp;B153,parameters!$A$4:$A$20,0),MATCH(A169,parameters!$D$3:$N$3,0))</f>
        <v>0</v>
      </c>
    </row>
    <row r="170" spans="1:4" x14ac:dyDescent="0.2">
      <c r="A170" t="s">
        <v>634</v>
      </c>
      <c r="B170" s="47">
        <f>INDEX(parameters!$D$4:$Y$20,MATCH(B151&amp;B153,parameters!$A$4:$A$20,0),MATCH(A170,parameters!$D$3:$Y$3,0))</f>
        <v>225</v>
      </c>
      <c r="D170" s="8"/>
    </row>
    <row r="171" spans="1:4" x14ac:dyDescent="0.2">
      <c r="A171" t="s">
        <v>82</v>
      </c>
      <c r="B171" s="46">
        <f>IF(B162&lt;&gt;0,VLOOKUP(B162,parameters!A201:B203,2,0),0)</f>
        <v>0</v>
      </c>
    </row>
    <row r="172" spans="1:4" x14ac:dyDescent="0.2">
      <c r="A172" t="s">
        <v>548</v>
      </c>
      <c r="B172" s="50">
        <f>INDEX(parameters!$D$4:$P$20,MATCH(B151&amp;B153,parameters!$A$4:$A$20,0),MATCH(A172,parameters!$D$3:$P$3,0))</f>
        <v>100</v>
      </c>
    </row>
    <row r="173" spans="1:4" x14ac:dyDescent="0.2">
      <c r="A173" t="s">
        <v>547</v>
      </c>
      <c r="B173" s="51">
        <f>INDEX(parameters!$D$4:$P$20,MATCH(B151&amp;B153,parameters!$A$4:$A$20,0),MATCH(A173,parameters!$D$3:$P$3,0))</f>
        <v>6</v>
      </c>
    </row>
    <row r="174" spans="1:4" x14ac:dyDescent="0.2">
      <c r="A174" t="s">
        <v>630</v>
      </c>
      <c r="B174" s="51">
        <f>INDEX(parameters!$D$4:$T$20,MATCH(B151&amp;B153,parameters!$A$4:$A$20,0),MATCH(A174,parameters!$D$3:$T$3,0))</f>
        <v>4100</v>
      </c>
    </row>
    <row r="175" spans="1:4" x14ac:dyDescent="0.2">
      <c r="A175" t="s">
        <v>1005</v>
      </c>
      <c r="B175" s="50">
        <f>IF(B147="megajoule",SUMIFS(allocation!$I$4:$I$30,allocation!$B$4:$B$30,B153,allocation!$C$4:$C$30,B154),SUMIFS(allocation!$J$4:$J$30,allocation!$B$4:$B$30,B153,allocation!$C$4:$C$30,B154))</f>
        <v>0.13587506510399097</v>
      </c>
    </row>
    <row r="176" spans="1:4" x14ac:dyDescent="0.2">
      <c r="A176" t="s">
        <v>1050</v>
      </c>
      <c r="B176" s="51">
        <f>INDEX(parameters!$D$4:$AB$20,MATCH(B151&amp;B153,parameters!$A$4:$A$20,0),MATCH(A176,parameters!$D$3:$AB$3,0))</f>
        <v>1153.1249999999998</v>
      </c>
    </row>
    <row r="178" spans="1:22" x14ac:dyDescent="0.2">
      <c r="A178" s="3" t="s">
        <v>57</v>
      </c>
    </row>
    <row r="179" spans="1:22" x14ac:dyDescent="0.2">
      <c r="A179" s="2" t="s">
        <v>58</v>
      </c>
      <c r="B179" s="44" t="s">
        <v>59</v>
      </c>
      <c r="C179" s="2" t="s">
        <v>55</v>
      </c>
      <c r="D179" s="2" t="s">
        <v>60</v>
      </c>
      <c r="E179" s="2" t="s">
        <v>52</v>
      </c>
      <c r="F179" s="2" t="s">
        <v>61</v>
      </c>
      <c r="G179" s="2" t="s">
        <v>54</v>
      </c>
      <c r="H179" s="2" t="s">
        <v>87</v>
      </c>
      <c r="I179" s="2" t="s">
        <v>51</v>
      </c>
      <c r="J179" s="2" t="s">
        <v>138</v>
      </c>
      <c r="K179" s="2" t="s">
        <v>136</v>
      </c>
      <c r="L179" s="2" t="s">
        <v>221</v>
      </c>
      <c r="M179" s="2" t="s">
        <v>379</v>
      </c>
      <c r="N179" s="2" t="s">
        <v>1059</v>
      </c>
      <c r="O179" s="2" t="s">
        <v>1060</v>
      </c>
      <c r="P179" s="2" t="s">
        <v>1061</v>
      </c>
      <c r="Q179" s="2" t="s">
        <v>1062</v>
      </c>
      <c r="R179" s="2" t="s">
        <v>1063</v>
      </c>
      <c r="S179" s="2" t="s">
        <v>1064</v>
      </c>
      <c r="T179" s="2" t="s">
        <v>1065</v>
      </c>
      <c r="U179" s="2" t="s">
        <v>380</v>
      </c>
      <c r="V179" s="2" t="s">
        <v>1128</v>
      </c>
    </row>
    <row r="180" spans="1:22" x14ac:dyDescent="0.2">
      <c r="A180" t="str">
        <f>B141</f>
        <v>heat, residential, by conversion of hydrogen using fuel cell, SOFC, allocated by exergy, transported by pipeline, produced by Pyrolysis using natural gas from Switzerland</v>
      </c>
      <c r="B180" s="45">
        <v>1</v>
      </c>
      <c r="C180" t="str">
        <f>B147</f>
        <v>megajoule</v>
      </c>
      <c r="E180" t="str">
        <f>B144</f>
        <v>CH</v>
      </c>
      <c r="F180" t="s">
        <v>62</v>
      </c>
      <c r="G180" t="str">
        <f>B146</f>
        <v>heat, from residential heating system</v>
      </c>
      <c r="K180" t="str">
        <f>B141</f>
        <v>heat, residential, by conversion of hydrogen using fuel cell, SOFC, allocated by exergy, transported by pipeline, produced by Pyrolysis using natural gas from Switzerland</v>
      </c>
    </row>
    <row r="181" spans="1:22" x14ac:dyDescent="0.2">
      <c r="A181" t="str">
        <f>VLOOKUP(J181,'dataset mapping'!$A$4:$E$69,2,0)</f>
        <v>fuel cell production, stack solid oxide, 125kW electrical, future</v>
      </c>
      <c r="B181" s="52">
        <f>1/(62*1000000)/B163*SUMIFS(allocation!$I$4:$I$30,allocation!$B$4:$B$30,B153,allocation!$C$4:$C$30,B154)</f>
        <v>4.1349685059035601E-9</v>
      </c>
      <c r="C181" t="str">
        <f>VLOOKUP(J181,'dataset mapping'!$A$4:$E$69,5,0)</f>
        <v>unit</v>
      </c>
      <c r="E181" t="str">
        <f>VLOOKUP(J181,'dataset mapping'!$A$4:$E$69,4,0)</f>
        <v>CH</v>
      </c>
      <c r="F181" t="s">
        <v>86</v>
      </c>
      <c r="G181" t="str">
        <f>VLOOKUP(J181,'dataset mapping'!$A$4:$E$69,3,0)</f>
        <v>fuel cell, stack solid oxide, 125kW electrical, future</v>
      </c>
      <c r="H181" t="s">
        <v>88</v>
      </c>
      <c r="I181" t="s">
        <v>277</v>
      </c>
      <c r="J181" t="s">
        <v>274</v>
      </c>
      <c r="K181" t="str">
        <f>B141</f>
        <v>heat, residential, by conversion of hydrogen using fuel cell, SOFC, allocated by exergy, transported by pipeline, produced by Pyrolysis using natural gas from Switzerland</v>
      </c>
      <c r="L181">
        <f t="shared" ref="L181:L186" si="13">IF(OR(B181&lt;0,B181=0),1,2)</f>
        <v>2</v>
      </c>
      <c r="M181">
        <f t="shared" ref="M181:M186" si="14">IF(L181=2,LN(B181),"")</f>
        <v>-19.303786124968067</v>
      </c>
      <c r="N181">
        <v>1</v>
      </c>
      <c r="O181">
        <v>1.2</v>
      </c>
      <c r="P181">
        <v>1</v>
      </c>
      <c r="Q181">
        <v>1.01</v>
      </c>
      <c r="R181">
        <v>1.2</v>
      </c>
      <c r="S181">
        <v>1.2</v>
      </c>
      <c r="T181">
        <v>3</v>
      </c>
      <c r="U181">
        <f t="shared" ref="U181:U184" si="15">LN(SQRT(EXP(
SQRT(
+POWER(LN(N181),2)
+POWER(LN(O181),2)
+POWER(LN(P181),2)
+POWER(LN(Q181),2)
+POWER(LN(R181),2)
+POWER(LN(S181),2)
+POWER(LN(T181),2)
)
)))</f>
        <v>0.57157051623399524</v>
      </c>
    </row>
    <row r="182" spans="1:22" x14ac:dyDescent="0.2">
      <c r="A182" t="s">
        <v>283</v>
      </c>
      <c r="B182" s="52">
        <f>0.000000145/B163*SUMIFS(allocation!$I$4:$I$30,allocation!$B$4:$B$30,B153,allocation!$C$4:$C$30,B154)</f>
        <v>3.7173366868072996E-8</v>
      </c>
      <c r="C182" t="s">
        <v>55</v>
      </c>
      <c r="E182" t="s">
        <v>64</v>
      </c>
      <c r="F182" t="s">
        <v>86</v>
      </c>
      <c r="G182" t="s">
        <v>284</v>
      </c>
      <c r="H182" t="s">
        <v>88</v>
      </c>
      <c r="I182" t="s">
        <v>277</v>
      </c>
      <c r="K182" t="str">
        <f>B141</f>
        <v>heat, residential, by conversion of hydrogen using fuel cell, SOFC, allocated by exergy, transported by pipeline, produced by Pyrolysis using natural gas from Switzerland</v>
      </c>
      <c r="L182">
        <f t="shared" si="13"/>
        <v>2</v>
      </c>
      <c r="M182">
        <f t="shared" si="14"/>
        <v>-17.107673276484537</v>
      </c>
      <c r="N182">
        <v>1</v>
      </c>
      <c r="O182">
        <v>1.2</v>
      </c>
      <c r="P182">
        <v>1</v>
      </c>
      <c r="Q182">
        <v>1.01</v>
      </c>
      <c r="R182">
        <v>1.2</v>
      </c>
      <c r="S182">
        <v>1.2</v>
      </c>
      <c r="T182">
        <v>3</v>
      </c>
      <c r="U182">
        <f t="shared" si="15"/>
        <v>0.57157051623399524</v>
      </c>
    </row>
    <row r="183" spans="1:22" x14ac:dyDescent="0.2">
      <c r="A183" t="s">
        <v>285</v>
      </c>
      <c r="B183" s="52">
        <f>0.0000000115/B163*SUMIFS(allocation!$I$4:$I$30,allocation!$B$4:$B$30,B153,allocation!$C$4:$C$30,B154)</f>
        <v>2.9482325447092381E-9</v>
      </c>
      <c r="C183" t="s">
        <v>55</v>
      </c>
      <c r="E183" t="s">
        <v>90</v>
      </c>
      <c r="F183" t="s">
        <v>86</v>
      </c>
      <c r="G183" t="s">
        <v>286</v>
      </c>
      <c r="H183" t="s">
        <v>88</v>
      </c>
      <c r="K183" t="str">
        <f>B141</f>
        <v>heat, residential, by conversion of hydrogen using fuel cell, SOFC, allocated by exergy, transported by pipeline, produced by Pyrolysis using natural gas from Switzerland</v>
      </c>
      <c r="L183">
        <f t="shared" si="13"/>
        <v>2</v>
      </c>
      <c r="M183">
        <f t="shared" si="14"/>
        <v>-19.642059983535908</v>
      </c>
      <c r="N183">
        <v>1</v>
      </c>
      <c r="O183">
        <v>1.2</v>
      </c>
      <c r="P183">
        <v>1</v>
      </c>
      <c r="Q183">
        <v>1.01</v>
      </c>
      <c r="R183">
        <v>1.2</v>
      </c>
      <c r="S183">
        <v>1.2</v>
      </c>
      <c r="T183">
        <v>3</v>
      </c>
      <c r="U183">
        <f t="shared" si="15"/>
        <v>0.57157051623399524</v>
      </c>
    </row>
    <row r="184" spans="1:22" x14ac:dyDescent="0.2">
      <c r="A184" t="s">
        <v>288</v>
      </c>
      <c r="B184" s="52">
        <f>0.000024/B163*SUMIFS(allocation!$I$4:$I$30,allocation!$B$4:$B$30,B153,allocation!$C$4:$C$30,B154)</f>
        <v>6.152833136784497E-6</v>
      </c>
      <c r="C184" t="s">
        <v>56</v>
      </c>
      <c r="E184" t="s">
        <v>64</v>
      </c>
      <c r="F184" t="s">
        <v>86</v>
      </c>
      <c r="G184" t="s">
        <v>287</v>
      </c>
      <c r="H184" t="s">
        <v>88</v>
      </c>
      <c r="K184" t="str">
        <f>B141</f>
        <v>heat, residential, by conversion of hydrogen using fuel cell, SOFC, allocated by exergy, transported by pipeline, produced by Pyrolysis using natural gas from Switzerland</v>
      </c>
      <c r="L184">
        <f t="shared" si="13"/>
        <v>2</v>
      </c>
      <c r="M184">
        <f t="shared" si="14"/>
        <v>-11.998597909575029</v>
      </c>
      <c r="N184">
        <v>1</v>
      </c>
      <c r="O184">
        <v>1.2</v>
      </c>
      <c r="P184">
        <v>1</v>
      </c>
      <c r="Q184">
        <v>1.01</v>
      </c>
      <c r="R184">
        <v>1.2</v>
      </c>
      <c r="S184">
        <v>1.2</v>
      </c>
      <c r="T184">
        <v>1.05</v>
      </c>
      <c r="U184">
        <f t="shared" si="15"/>
        <v>0.15984597228197622</v>
      </c>
    </row>
    <row r="185" spans="1:22" x14ac:dyDescent="0.2">
      <c r="A185" s="45" t="str">
        <f>"hydrogen supply, transported by "&amp;B155&amp;", produced by "&amp;B159&amp;" using "&amp;B160&amp;" from "&amp;B161</f>
        <v>hydrogen supply, transported by pipeline, produced by Pyrolysis using natural gas from Switzerland</v>
      </c>
      <c r="B185" s="53">
        <f>(B180/B164)/B163*B175</f>
        <v>2.1364003947168392E-3</v>
      </c>
      <c r="C185" t="s">
        <v>56</v>
      </c>
      <c r="E185" t="s">
        <v>64</v>
      </c>
      <c r="F185" t="s">
        <v>86</v>
      </c>
      <c r="G185" t="s">
        <v>1129</v>
      </c>
      <c r="H185" t="s">
        <v>76</v>
      </c>
      <c r="I185" t="s">
        <v>1054</v>
      </c>
      <c r="J185" t="s">
        <v>23</v>
      </c>
      <c r="K185" t="str">
        <f>B141</f>
        <v>heat, residential, by conversion of hydrogen using fuel cell, SOFC, allocated by exergy, transported by pipeline, produced by Pyrolysis using natural gas from Switzerland</v>
      </c>
      <c r="L185">
        <f t="shared" si="13"/>
        <v>2</v>
      </c>
      <c r="M185">
        <f t="shared" si="14"/>
        <v>-6.1486329247407472</v>
      </c>
      <c r="N185">
        <v>1</v>
      </c>
      <c r="O185">
        <v>1.2</v>
      </c>
      <c r="P185">
        <v>1</v>
      </c>
      <c r="Q185">
        <v>1.01</v>
      </c>
      <c r="R185">
        <v>1.2</v>
      </c>
      <c r="S185">
        <v>1.2</v>
      </c>
      <c r="T185">
        <v>1.05</v>
      </c>
      <c r="U185">
        <f t="shared" ref="U185:U186" si="16">LN(SQRT(EXP(
SQRT(
+POWER(LN(N185),2)
+POWER(LN(O185),2)
+POWER(LN(P185),2)
+POWER(LN(Q185),2)
+POWER(LN(R185),2)
+POWER(LN(S185),2)
+POWER(LN(T185),2)
)
)))</f>
        <v>0.15984597228197622</v>
      </c>
    </row>
    <row r="186" spans="1:22" x14ac:dyDescent="0.2">
      <c r="A186" t="s">
        <v>134</v>
      </c>
      <c r="B186" s="45">
        <f>B185*9</f>
        <v>1.9227603552451553E-2</v>
      </c>
      <c r="C186" t="s">
        <v>56</v>
      </c>
      <c r="D186" t="s">
        <v>100</v>
      </c>
      <c r="F186" t="s">
        <v>99</v>
      </c>
      <c r="H186" t="s">
        <v>131</v>
      </c>
      <c r="I186" t="s">
        <v>289</v>
      </c>
      <c r="K186" t="str">
        <f>B141</f>
        <v>heat, residential, by conversion of hydrogen using fuel cell, SOFC, allocated by exergy, transported by pipeline, produced by Pyrolysis using natural gas from Switzerland</v>
      </c>
      <c r="L186">
        <f t="shared" si="13"/>
        <v>2</v>
      </c>
      <c r="M186">
        <f t="shared" si="14"/>
        <v>-3.9514083474045276</v>
      </c>
      <c r="N186">
        <v>1</v>
      </c>
      <c r="O186">
        <v>1.2</v>
      </c>
      <c r="P186">
        <v>1</v>
      </c>
      <c r="Q186">
        <v>1.01</v>
      </c>
      <c r="R186">
        <v>1.2</v>
      </c>
      <c r="S186">
        <v>1.2</v>
      </c>
      <c r="T186">
        <v>1.05</v>
      </c>
      <c r="U186">
        <f t="shared" si="16"/>
        <v>0.15984597228197622</v>
      </c>
    </row>
    <row r="188" spans="1:22" x14ac:dyDescent="0.2">
      <c r="A188" s="2" t="s">
        <v>50</v>
      </c>
      <c r="B188" s="44" t="str">
        <f>IF(B194="megajoule","heat","electricity")&amp;", residential, by "&amp;B199&amp;" of "&amp;B198&amp;" using "&amp;B200&amp;IF(B201&lt;&gt;0,", allocated by "&amp;B201,"")&amp;", transported by "&amp;B202&amp;", produced by "&amp;B206&amp;" using "&amp;B207&amp;" from "&amp;B208</f>
        <v>electricity, residential, by combustion of hydrogen using CHP, allocated by exergy, transported by pipeline, produced by Pyrolysis using natural gas from Switzerland</v>
      </c>
    </row>
    <row r="189" spans="1:22" x14ac:dyDescent="0.2">
      <c r="A189" t="s">
        <v>51</v>
      </c>
      <c r="B189" s="45" t="str">
        <f>"This dataset represents the supply of 1 "&amp;IF(B194="megajoule","megajoule of heat","kilowatt hour of electricity")&amp;" in a residence, by "&amp;B198&amp;" "&amp;B199&amp;" in a "&amp;B200&amp;". "&amp;" The hydrogen is transported by "&amp;B202&amp;" over "&amp;B203&amp;" km from regional storage. "&amp;" The "&amp;B198&amp;" is produced by  "&amp;B206&amp;", with "&amp;B207&amp;" from "&amp;B208&amp;" as feedstock. "&amp;A210&amp;": "&amp;(B210*100)&amp;"%. "&amp;A211&amp;": "&amp;B211&amp;". "&amp;A212&amp;": "&amp;B212&amp;". "&amp;A213&amp;": "&amp;(B213*100)&amp;"%. "&amp;A214&amp;": "&amp;(B214*100)&amp;"%. "&amp;A215&amp;": "&amp;(B215*100)&amp;"%. "&amp;A216&amp;": "&amp;B216&amp;". "&amp;A217&amp;": "&amp;B217&amp;". "&amp;A218&amp;": "&amp;(B218*100)&amp;"%. "&amp;A219&amp;": "&amp;B219&amp;". "&amp;A220&amp;": "&amp;B220&amp;". "&amp;A221&amp;": "&amp;B221&amp;". "&amp;A222&amp;": "&amp;B222&amp;".  For more information, refer to: "&amp;B190</f>
        <v>This dataset represents the supply of 1 kilowatt hour of electricity in a residence, by hydrogen combustion in a CHP.  The hydrogen is transported by pipeline over 500 km from regional storage.  The hydrogen is produced by  Pyrolysis,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190" spans="1:22" x14ac:dyDescent="0.2">
      <c r="A190" t="s">
        <v>63</v>
      </c>
      <c r="B190" s="45" t="s">
        <v>660</v>
      </c>
    </row>
    <row r="191" spans="1:22" x14ac:dyDescent="0.2">
      <c r="A191" t="s">
        <v>52</v>
      </c>
      <c r="B191" s="45" t="s">
        <v>64</v>
      </c>
    </row>
    <row r="192" spans="1:22" x14ac:dyDescent="0.2">
      <c r="A192" t="s">
        <v>48</v>
      </c>
      <c r="B192" s="45" t="s">
        <v>979</v>
      </c>
    </row>
    <row r="193" spans="1:2" x14ac:dyDescent="0.2">
      <c r="A193" t="s">
        <v>54</v>
      </c>
      <c r="B193" s="45" t="str">
        <f>INDEX(overview!$B$4:$R$338,MATCH(B192,overview!$A$4:$A$338,0),MATCH(A193,overview!$B$3:$R$3,0))</f>
        <v>electricity, from residential heating system</v>
      </c>
    </row>
    <row r="194" spans="1:2" x14ac:dyDescent="0.2">
      <c r="A194" t="s">
        <v>55</v>
      </c>
      <c r="B194" s="45" t="str">
        <f>INDEX(overview!$B$4:$R$338,MATCH(B192,overview!$A$4:$A$338,0),MATCH(A194,overview!$B$3:$R$3,0))</f>
        <v>kilowatt hour</v>
      </c>
    </row>
    <row r="195" spans="1:2" x14ac:dyDescent="0.2">
      <c r="A195" t="s">
        <v>0</v>
      </c>
      <c r="B195" s="45" t="str">
        <f>INDEX(overview!$B$4:$R$338,MATCH(B192,overview!$A$4:$A$338,0),MATCH(A195,overview!$B$3:$R$3,0))</f>
        <v>Switzerland</v>
      </c>
    </row>
    <row r="196" spans="1:2" x14ac:dyDescent="0.2">
      <c r="A196" t="s">
        <v>1</v>
      </c>
      <c r="B196" s="45">
        <f>INDEX(overview!$B$4:$R$338,MATCH(B192,overview!$A$4:$A$338,0),MATCH(A196,overview!$B$3:$R$3,0))</f>
        <v>2020</v>
      </c>
    </row>
    <row r="197" spans="1:2" x14ac:dyDescent="0.2">
      <c r="A197" t="s">
        <v>2</v>
      </c>
      <c r="B197" s="45" t="str">
        <f>INDEX(overview!$B$4:$R$338,MATCH(B192,overview!$A$4:$A$338,0),MATCH(A197,overview!$B$3:$R$3,0))</f>
        <v>1 kWh electricity</v>
      </c>
    </row>
    <row r="198" spans="1:2" x14ac:dyDescent="0.2">
      <c r="A198" t="s">
        <v>5</v>
      </c>
      <c r="B198" s="45" t="str">
        <f>INDEX(overview!$B$4:$R$338,MATCH(B192,overview!$A$4:$A$338,0),MATCH(A198,overview!$B$3:$R$3,0))</f>
        <v>hydrogen</v>
      </c>
    </row>
    <row r="199" spans="1:2" x14ac:dyDescent="0.2">
      <c r="A199" t="s">
        <v>3</v>
      </c>
      <c r="B199" s="45" t="str">
        <f>INDEX(overview!$B$4:$R$338,MATCH(B192,overview!$A$4:$A$338,0),MATCH(A199,overview!$B$3:$R$3,0))</f>
        <v>combustion</v>
      </c>
    </row>
    <row r="200" spans="1:2" x14ac:dyDescent="0.2">
      <c r="A200" t="s">
        <v>6</v>
      </c>
      <c r="B200" s="45" t="str">
        <f>INDEX(overview!$B$4:$R$338,MATCH(B192,overview!$A$4:$A$338,0),MATCH(A200,overview!$B$3:$R$3,0))</f>
        <v>CHP</v>
      </c>
    </row>
    <row r="201" spans="1:2" x14ac:dyDescent="0.2">
      <c r="A201" t="s">
        <v>39</v>
      </c>
      <c r="B201" s="45" t="str">
        <f>INDEX(overview!$B$4:$R$338,MATCH(B192,overview!$A$4:$A$338,0),MATCH(A201,overview!$B$3:$R$3,0))</f>
        <v>exergy</v>
      </c>
    </row>
    <row r="202" spans="1:2" x14ac:dyDescent="0.2">
      <c r="A202" t="s">
        <v>4</v>
      </c>
      <c r="B202" s="45" t="str">
        <f>INDEX(overview!$B$4:$R$338,MATCH(B192,overview!$A$4:$A$338,0),MATCH(A202,overview!$B$3:$R$3,0))</f>
        <v>pipeline</v>
      </c>
    </row>
    <row r="203" spans="1:2" x14ac:dyDescent="0.2">
      <c r="A203" t="s">
        <v>38</v>
      </c>
      <c r="B203" s="45">
        <f>INDEX(overview!$B$4:$R$338,MATCH(B192,overview!$A$4:$A$338,0),MATCH(A203,overview!$B$3:$R$3,0))</f>
        <v>500</v>
      </c>
    </row>
    <row r="204" spans="1:2" x14ac:dyDescent="0.2">
      <c r="A204" t="s">
        <v>12</v>
      </c>
      <c r="B204" s="45" t="str">
        <f>INDEX(overview!$B$4:$R$338,MATCH(B192,overview!$A$4:$A$338,0),MATCH(A204,overview!$B$3:$R$3,0))</f>
        <v>Pressure vessel for stationary storage</v>
      </c>
    </row>
    <row r="205" spans="1:2" x14ac:dyDescent="0.2">
      <c r="A205" t="s">
        <v>34</v>
      </c>
      <c r="B205" s="45">
        <f>INDEX(overview!$B$4:$R$338,MATCH(B192,overview!$A$4:$A$338,0),MATCH(A205,overview!$B$3:$R$3,0))</f>
        <v>0</v>
      </c>
    </row>
    <row r="206" spans="1:2" x14ac:dyDescent="0.2">
      <c r="A206" t="s">
        <v>15</v>
      </c>
      <c r="B206" s="45" t="str">
        <f>INDEX(overview!$B$4:$R$338,MATCH(B192,overview!$A$4:$A$338,0),MATCH(A206,overview!$B$3:$R$3,0))</f>
        <v>Pyrolysis</v>
      </c>
    </row>
    <row r="207" spans="1:2" x14ac:dyDescent="0.2">
      <c r="A207" t="s">
        <v>14</v>
      </c>
      <c r="B207" s="45" t="str">
        <f>INDEX(overview!$B$4:$R$338,MATCH(B192,overview!$A$4:$A$338,0),MATCH(A207,overview!$B$3:$R$3,0))</f>
        <v>natural gas</v>
      </c>
    </row>
    <row r="208" spans="1:2" x14ac:dyDescent="0.2">
      <c r="A208" t="s">
        <v>26</v>
      </c>
      <c r="B208" s="45" t="str">
        <f>INDEX(overview!$B$4:$R$338,MATCH(B192,overview!$A$4:$A$338,0),MATCH(A208,overview!$B$3:$R$3,0))</f>
        <v>Switzerland</v>
      </c>
    </row>
    <row r="209" spans="1:2" x14ac:dyDescent="0.2">
      <c r="A209" t="s">
        <v>29</v>
      </c>
      <c r="B209" s="45">
        <f>INDEX(overview!$B$4:$R$338,MATCH(B192,overview!$A$4:$A$338,0),MATCH(A209,overview!$B$3:$R$3,0))</f>
        <v>0</v>
      </c>
    </row>
    <row r="210" spans="1:2" x14ac:dyDescent="0.2">
      <c r="A210" t="str">
        <f>IF(B194="megajoule","Heat","Electricity")&amp;" conversion efficiency [% LHV input]"</f>
        <v>Electricity conversion efficiency [% LHV input]</v>
      </c>
      <c r="B210" s="46">
        <f>INDEX(parameters!$D$4:$N$20,MATCH(B198&amp;B200,parameters!$A$4:$A$20,0),MATCH(A210,parameters!$D$3:$N$3,0))</f>
        <v>0.39400000000000002</v>
      </c>
    </row>
    <row r="211" spans="1:2" x14ac:dyDescent="0.2">
      <c r="A211" t="str">
        <f>IF(B194="megajoule","LHV [MJ/kg]","LHV [kWh/kg]")</f>
        <v>LHV [kWh/kg]</v>
      </c>
      <c r="B211" s="47">
        <f>INDEX(parameters!$D$4:$N$20,MATCH(B198&amp;B200,parameters!$A$4:$A$20,0),MATCH(A211,parameters!$D$3:$N$3,0))</f>
        <v>33.333333333333336</v>
      </c>
    </row>
    <row r="212" spans="1:2" x14ac:dyDescent="0.2">
      <c r="A212" t="s">
        <v>41</v>
      </c>
      <c r="B212" s="48">
        <f>INDEX(parameters!$D$4:$N$20,MATCH(B198&amp;B200,parameters!$A$4:$A$20,0),MATCH(A212,parameters!$D$3:$N$3,0))</f>
        <v>2.6666666666666665E-2</v>
      </c>
    </row>
    <row r="213" spans="1:2" x14ac:dyDescent="0.2">
      <c r="A213" t="s">
        <v>45</v>
      </c>
      <c r="B213" s="46">
        <f>INDEX(parameters!$D$4:$N$20,MATCH(B198&amp;B200,parameters!$A$4:$A$20,0),MATCH(A213,parameters!$D$3:$N$3,0))</f>
        <v>0</v>
      </c>
    </row>
    <row r="214" spans="1:2" x14ac:dyDescent="0.2">
      <c r="A214" t="s">
        <v>46</v>
      </c>
      <c r="B214" s="46">
        <f>INDEX(parameters!$D$4:$N$20,MATCH(B198&amp;B200,parameters!$A$4:$A$20,0),MATCH(A214,parameters!$D$3:$N$3,0))</f>
        <v>1.4999999999999999E-2</v>
      </c>
    </row>
    <row r="215" spans="1:2" x14ac:dyDescent="0.2">
      <c r="A215" t="s">
        <v>43</v>
      </c>
      <c r="B215" s="46">
        <f>INDEX(parameters!$D$4:$N$20,MATCH(B198&amp;B200,parameters!$A$4:$A$20,0),MATCH(A215,parameters!$D$3:$N$3,0))</f>
        <v>0</v>
      </c>
    </row>
    <row r="216" spans="1:2" x14ac:dyDescent="0.2">
      <c r="A216" t="s">
        <v>44</v>
      </c>
      <c r="B216" s="46">
        <f>INDEX(parameters!$D$4:$N$20,MATCH(B198&amp;B200,parameters!$A$4:$A$20,0),MATCH(A216,parameters!$D$3:$N$3,0))</f>
        <v>0</v>
      </c>
    </row>
    <row r="217" spans="1:2" x14ac:dyDescent="0.2">
      <c r="A217" t="s">
        <v>634</v>
      </c>
      <c r="B217" s="47">
        <f>INDEX(parameters!$D$4:$Y$20,MATCH(B198&amp;B200,parameters!$A$4:$A$20,0),MATCH(A217,parameters!$D$3:$Y$3,0))</f>
        <v>351.41800246609125</v>
      </c>
    </row>
    <row r="218" spans="1:2" x14ac:dyDescent="0.2">
      <c r="A218" t="s">
        <v>82</v>
      </c>
      <c r="B218" s="46">
        <f>IF(B209&lt;&gt;0,VLOOKUP(B209,parameters!A253:B255,2,0),0)</f>
        <v>0</v>
      </c>
    </row>
    <row r="219" spans="1:2" x14ac:dyDescent="0.2">
      <c r="A219" t="s">
        <v>548</v>
      </c>
      <c r="B219" s="50">
        <f>INDEX(parameters!$D$4:$P$20,MATCH(B198&amp;B200,parameters!$A$4:$A$20,0),MATCH(A219,parameters!$D$3:$P$3,0))</f>
        <v>125</v>
      </c>
    </row>
    <row r="220" spans="1:2" x14ac:dyDescent="0.2">
      <c r="A220" t="s">
        <v>547</v>
      </c>
      <c r="B220" s="51">
        <f>INDEX(parameters!$D$4:$P$20,MATCH(B198&amp;B200,parameters!$A$4:$A$20,0),MATCH(A220,parameters!$D$3:$P$3,0))</f>
        <v>19.512195121951219</v>
      </c>
    </row>
    <row r="221" spans="1:2" x14ac:dyDescent="0.2">
      <c r="A221" t="s">
        <v>630</v>
      </c>
      <c r="B221" s="51">
        <f>INDEX(parameters!$D$4:$T$20,MATCH(B198&amp;B200,parameters!$A$4:$A$20,0),MATCH(A221,parameters!$D$3:$T$3,0))</f>
        <v>4100</v>
      </c>
    </row>
    <row r="222" spans="1:2" x14ac:dyDescent="0.2">
      <c r="A222" t="s">
        <v>1005</v>
      </c>
      <c r="B222" s="50">
        <f>IF(B194="megajoule",SUMIFS(allocation!$I$4:$I$30,allocation!$B$4:$B$30,B200,allocation!$C$4:$C$30,B201),SUMIFS(allocation!$J$4:$J$30,allocation!$B$4:$B$30,B200,allocation!$C$4:$C$30,B201))</f>
        <v>0.87139957772704957</v>
      </c>
    </row>
    <row r="223" spans="1:2" x14ac:dyDescent="0.2">
      <c r="A223" t="s">
        <v>1050</v>
      </c>
      <c r="B223" s="51">
        <f>INDEX(parameters!$D$4:$AB$20,MATCH(B198&amp;B200,parameters!$A$4:$A$20,0),MATCH(A223,parameters!$D$3:$AB$3,0))</f>
        <v>2220.7364520822662</v>
      </c>
    </row>
    <row r="225" spans="1:22" x14ac:dyDescent="0.2">
      <c r="A225" s="3" t="s">
        <v>57</v>
      </c>
    </row>
    <row r="226" spans="1:22" x14ac:dyDescent="0.2">
      <c r="A226" s="2" t="s">
        <v>58</v>
      </c>
      <c r="B226" s="44" t="s">
        <v>59</v>
      </c>
      <c r="C226" s="2" t="s">
        <v>55</v>
      </c>
      <c r="D226" s="2" t="s">
        <v>60</v>
      </c>
      <c r="E226" s="2" t="s">
        <v>52</v>
      </c>
      <c r="F226" s="2" t="s">
        <v>61</v>
      </c>
      <c r="G226" s="2" t="s">
        <v>54</v>
      </c>
      <c r="H226" s="2" t="s">
        <v>87</v>
      </c>
      <c r="I226" s="2" t="s">
        <v>51</v>
      </c>
      <c r="J226" s="2" t="s">
        <v>138</v>
      </c>
      <c r="K226" s="2" t="s">
        <v>136</v>
      </c>
      <c r="L226" s="2" t="s">
        <v>221</v>
      </c>
      <c r="M226" s="2" t="s">
        <v>379</v>
      </c>
      <c r="N226" s="2" t="s">
        <v>1059</v>
      </c>
      <c r="O226" s="2" t="s">
        <v>1060</v>
      </c>
      <c r="P226" s="2" t="s">
        <v>1061</v>
      </c>
      <c r="Q226" s="2" t="s">
        <v>1062</v>
      </c>
      <c r="R226" s="2" t="s">
        <v>1063</v>
      </c>
      <c r="S226" s="2" t="s">
        <v>1064</v>
      </c>
      <c r="T226" s="2" t="s">
        <v>1065</v>
      </c>
      <c r="U226" s="2" t="s">
        <v>380</v>
      </c>
      <c r="V226" s="2" t="s">
        <v>1128</v>
      </c>
    </row>
    <row r="227" spans="1:22" x14ac:dyDescent="0.2">
      <c r="A227" t="str">
        <f>B188</f>
        <v>electricity, residential, by combustion of hydrogen using CHP, allocated by exergy, transported by pipeline, produced by Pyrolysis using natural gas from Switzerland</v>
      </c>
      <c r="B227" s="45">
        <v>1</v>
      </c>
      <c r="C227" t="str">
        <f>B194</f>
        <v>kilowatt hour</v>
      </c>
      <c r="E227" t="str">
        <f>B191</f>
        <v>CH</v>
      </c>
      <c r="F227" t="s">
        <v>62</v>
      </c>
      <c r="G227" t="str">
        <f>B193</f>
        <v>electricity, from residential heating system</v>
      </c>
      <c r="K227" t="str">
        <f>B188</f>
        <v>electricity, residential, by combustion of hydrogen using CHP, allocated by exergy, transported by pipeline, produced by Pyrolysis using natural gas from Switzerland</v>
      </c>
    </row>
    <row r="228" spans="1:22" x14ac:dyDescent="0.2">
      <c r="A228" t="str">
        <f>VLOOKUP(J228,'dataset mapping'!$A$4:$E$69,2,0)</f>
        <v>heat and power co-generation unit construction, 160kW electrical, common components for heat+electricity</v>
      </c>
      <c r="B228" s="52">
        <f>(1/(B217*B221*B220))*B222</f>
        <v>3.0995835856870056E-8</v>
      </c>
      <c r="C228" t="str">
        <f>VLOOKUP(J228,'dataset mapping'!$A$4:$E$69,5,0)</f>
        <v>unit</v>
      </c>
      <c r="E228" t="str">
        <f>VLOOKUP(J228,'dataset mapping'!$A$4:$E$69,4,0)</f>
        <v>RER</v>
      </c>
      <c r="F228" t="s">
        <v>86</v>
      </c>
      <c r="G228" t="str">
        <f>VLOOKUP(J228,'dataset mapping'!$A$4:$E$69,3,0)</f>
        <v>heat and power co-generation unit, 160kW electrical, common components for heat+electricity</v>
      </c>
      <c r="H228" t="s">
        <v>88</v>
      </c>
      <c r="J228" t="s">
        <v>145</v>
      </c>
      <c r="K228" t="str">
        <f>B188</f>
        <v>electricity, residential, by combustion of hydrogen using CHP, allocated by exergy, transported by pipeline, produced by Pyrolysis using natural gas from Switzerland</v>
      </c>
      <c r="L228">
        <f t="shared" ref="L228:L235" si="17">IF(OR(B228&lt;0,B228=0),1,2)</f>
        <v>2</v>
      </c>
      <c r="M228">
        <f t="shared" ref="M228:M235" si="18">IF(L228=2,LN(B228),"")</f>
        <v>-17.28941296868171</v>
      </c>
      <c r="N228">
        <v>1.05</v>
      </c>
      <c r="O228">
        <v>1.2</v>
      </c>
      <c r="P228">
        <v>1</v>
      </c>
      <c r="Q228">
        <v>1.01</v>
      </c>
      <c r="R228">
        <v>1.2</v>
      </c>
      <c r="S228">
        <v>1.2</v>
      </c>
      <c r="T228">
        <v>3</v>
      </c>
      <c r="U228">
        <f t="shared" ref="U228:U232" si="19">LN(SQRT(EXP(
SQRT(
+POWER(LN(N228),2)
+POWER(LN(O228),2)
+POWER(LN(P228),2)
+POWER(LN(Q228),2)
+POWER(LN(R228),2)
+POWER(LN(S228),2)
+POWER(LN(T228),2)
)
)))</f>
        <v>0.57209088006881903</v>
      </c>
    </row>
    <row r="229" spans="1:22" x14ac:dyDescent="0.2">
      <c r="A229" t="str">
        <f>VLOOKUP(J229,'dataset mapping'!$A$4:$E$69,2,0)</f>
        <v>heat and power co-generation unit construction, 160kW electrical, components for electricity only</v>
      </c>
      <c r="B229" s="52">
        <f>(1/(B217*B221*B220))*B222</f>
        <v>3.0995835856870056E-8</v>
      </c>
      <c r="C229" t="str">
        <f>VLOOKUP(J229,'dataset mapping'!$A$4:$E$69,5,0)</f>
        <v>unit</v>
      </c>
      <c r="E229" t="str">
        <f>VLOOKUP(J229,'dataset mapping'!$A$4:$E$69,4,0)</f>
        <v>RER</v>
      </c>
      <c r="F229" t="s">
        <v>86</v>
      </c>
      <c r="G229" t="str">
        <f>VLOOKUP(J229,'dataset mapping'!$A$4:$E$69,3,0)</f>
        <v>heat and power co-generation unit, 160kW electrical, components for electricity only</v>
      </c>
      <c r="H229" t="s">
        <v>88</v>
      </c>
      <c r="J229" t="s">
        <v>146</v>
      </c>
      <c r="K229" t="str">
        <f>B188</f>
        <v>electricity, residential, by combustion of hydrogen using CHP, allocated by exergy, transported by pipeline, produced by Pyrolysis using natural gas from Switzerland</v>
      </c>
      <c r="L229">
        <f t="shared" si="17"/>
        <v>2</v>
      </c>
      <c r="M229">
        <f t="shared" si="18"/>
        <v>-17.28941296868171</v>
      </c>
      <c r="N229">
        <v>1.05</v>
      </c>
      <c r="O229">
        <v>1.2</v>
      </c>
      <c r="P229">
        <v>1</v>
      </c>
      <c r="Q229">
        <v>1.01</v>
      </c>
      <c r="R229">
        <v>1.2</v>
      </c>
      <c r="S229">
        <v>1.2</v>
      </c>
      <c r="T229">
        <v>3</v>
      </c>
      <c r="U229">
        <f t="shared" si="19"/>
        <v>0.57209088006881903</v>
      </c>
    </row>
    <row r="230" spans="1:22" x14ac:dyDescent="0.2">
      <c r="A230" t="str">
        <f>VLOOKUP(J230,'dataset mapping'!$A$4:$E$69,2,0)</f>
        <v>heat and power co-generation unit construction, 160kW electrical, components for heat only</v>
      </c>
      <c r="B230" s="52">
        <f>(1/(B217*B221*B220))*B222</f>
        <v>3.0995835856870056E-8</v>
      </c>
      <c r="C230" t="str">
        <f>VLOOKUP(J230,'dataset mapping'!$A$4:$E$69,5,0)</f>
        <v>unit</v>
      </c>
      <c r="E230" t="str">
        <f>VLOOKUP(J230,'dataset mapping'!$A$4:$E$69,4,0)</f>
        <v>RER</v>
      </c>
      <c r="F230" t="s">
        <v>86</v>
      </c>
      <c r="G230" t="str">
        <f>VLOOKUP(J230,'dataset mapping'!$A$4:$E$69,3,0)</f>
        <v>heat and power co-generation unit, 160kW electrical, components for heat only</v>
      </c>
      <c r="H230" t="s">
        <v>88</v>
      </c>
      <c r="J230" t="s">
        <v>147</v>
      </c>
      <c r="K230" t="str">
        <f>B188</f>
        <v>electricity, residential, by combustion of hydrogen using CHP, allocated by exergy, transported by pipeline, produced by Pyrolysis using natural gas from Switzerland</v>
      </c>
      <c r="L230">
        <f t="shared" si="17"/>
        <v>2</v>
      </c>
      <c r="M230">
        <f t="shared" si="18"/>
        <v>-17.28941296868171</v>
      </c>
      <c r="N230">
        <v>1.05</v>
      </c>
      <c r="O230">
        <v>1.2</v>
      </c>
      <c r="P230">
        <v>1</v>
      </c>
      <c r="Q230">
        <v>1.01</v>
      </c>
      <c r="R230">
        <v>1.2</v>
      </c>
      <c r="S230">
        <v>1.2</v>
      </c>
      <c r="T230">
        <v>3</v>
      </c>
      <c r="U230">
        <f t="shared" si="19"/>
        <v>0.57209088006881903</v>
      </c>
    </row>
    <row r="231" spans="1:22" x14ac:dyDescent="0.2">
      <c r="A231" t="s">
        <v>156</v>
      </c>
      <c r="B231" s="52">
        <f>0.00000011366*B222</f>
        <v>9.9043276004456456E-8</v>
      </c>
      <c r="C231" t="s">
        <v>56</v>
      </c>
      <c r="E231" t="s">
        <v>90</v>
      </c>
      <c r="F231" t="s">
        <v>86</v>
      </c>
      <c r="G231" t="s">
        <v>154</v>
      </c>
      <c r="H231" t="s">
        <v>155</v>
      </c>
      <c r="K231" t="str">
        <f>B188</f>
        <v>electricity, residential, by combustion of hydrogen using CHP, allocated by exergy, transported by pipeline, produced by Pyrolysis using natural gas from Switzerland</v>
      </c>
      <c r="L231">
        <f t="shared" si="17"/>
        <v>2</v>
      </c>
      <c r="M231">
        <f t="shared" si="18"/>
        <v>-16.127708950967754</v>
      </c>
      <c r="N231">
        <v>1.05</v>
      </c>
      <c r="O231">
        <v>1.2</v>
      </c>
      <c r="P231">
        <v>1</v>
      </c>
      <c r="Q231">
        <v>1.01</v>
      </c>
      <c r="R231">
        <v>1.2</v>
      </c>
      <c r="S231">
        <v>1.2</v>
      </c>
      <c r="T231">
        <v>1.05</v>
      </c>
      <c r="U231">
        <f t="shared" si="19"/>
        <v>0.16169679924070957</v>
      </c>
    </row>
    <row r="232" spans="1:22" x14ac:dyDescent="0.2">
      <c r="A232" t="s">
        <v>157</v>
      </c>
      <c r="B232" s="52">
        <f>0.00000011366*B222*-1</f>
        <v>-9.9043276004456456E-8</v>
      </c>
      <c r="C232" t="s">
        <v>56</v>
      </c>
      <c r="E232" t="s">
        <v>64</v>
      </c>
      <c r="F232" t="s">
        <v>86</v>
      </c>
      <c r="G232" t="s">
        <v>158</v>
      </c>
      <c r="H232" t="s">
        <v>155</v>
      </c>
      <c r="K232" t="str">
        <f>B188</f>
        <v>electricity, residential, by combustion of hydrogen using CHP, allocated by exergy, transported by pipeline, produced by Pyrolysis using natural gas from Switzerland</v>
      </c>
      <c r="L232">
        <v>2</v>
      </c>
      <c r="M232">
        <f>IF(L232=2,LN(B232*-1),"")</f>
        <v>-16.127708950967754</v>
      </c>
      <c r="N232">
        <v>1.05</v>
      </c>
      <c r="O232">
        <v>1.2</v>
      </c>
      <c r="P232">
        <v>1</v>
      </c>
      <c r="Q232">
        <v>1.01</v>
      </c>
      <c r="R232">
        <v>1.2</v>
      </c>
      <c r="S232">
        <v>1.2</v>
      </c>
      <c r="T232">
        <v>1.05</v>
      </c>
      <c r="U232">
        <f t="shared" si="19"/>
        <v>0.16169679924070957</v>
      </c>
      <c r="V232" t="b">
        <v>1</v>
      </c>
    </row>
    <row r="233" spans="1:22" x14ac:dyDescent="0.2">
      <c r="A233" s="45" t="str">
        <f>"hydrogen supply, transported by "&amp;B202&amp;", produced by "&amp;B206&amp;" using "&amp;B207&amp;" from "&amp;B208</f>
        <v>hydrogen supply, transported by pipeline, produced by Pyrolysis using natural gas from Switzerland</v>
      </c>
      <c r="B233" s="53">
        <f>(B227/B211)/B210*B222</f>
        <v>6.6350221654343872E-2</v>
      </c>
      <c r="C233" t="s">
        <v>56</v>
      </c>
      <c r="E233" t="s">
        <v>64</v>
      </c>
      <c r="F233" t="s">
        <v>86</v>
      </c>
      <c r="G233" t="s">
        <v>1129</v>
      </c>
      <c r="H233" t="s">
        <v>76</v>
      </c>
      <c r="I233" t="s">
        <v>1054</v>
      </c>
      <c r="J233" t="s">
        <v>23</v>
      </c>
      <c r="K233" t="str">
        <f>B188</f>
        <v>electricity, residential, by combustion of hydrogen using CHP, allocated by exergy, transported by pipeline, produced by Pyrolysis using natural gas from Switzerland</v>
      </c>
      <c r="L233">
        <f t="shared" si="17"/>
        <v>2</v>
      </c>
      <c r="M233">
        <f t="shared" si="18"/>
        <v>-2.7128081775260964</v>
      </c>
      <c r="N233">
        <v>1.05</v>
      </c>
      <c r="O233">
        <v>1.2</v>
      </c>
      <c r="P233">
        <v>1</v>
      </c>
      <c r="Q233">
        <v>1.01</v>
      </c>
      <c r="R233">
        <v>1.2</v>
      </c>
      <c r="S233">
        <v>1.2</v>
      </c>
      <c r="T233">
        <v>1.05</v>
      </c>
      <c r="U233">
        <f t="shared" ref="U233:U235" si="20">LN(SQRT(EXP(
SQRT(
+POWER(LN(N233),2)
+POWER(LN(O233),2)
+POWER(LN(P233),2)
+POWER(LN(Q233),2)
+POWER(LN(R233),2)
+POWER(LN(S233),2)
+POWER(LN(T233),2)
)
)))</f>
        <v>0.16169679924070957</v>
      </c>
    </row>
    <row r="234" spans="1:22" x14ac:dyDescent="0.2">
      <c r="A234" t="s">
        <v>134</v>
      </c>
      <c r="B234" s="45">
        <f>B233*9</f>
        <v>0.59715199488909487</v>
      </c>
      <c r="C234" t="s">
        <v>56</v>
      </c>
      <c r="D234" t="s">
        <v>100</v>
      </c>
      <c r="F234" t="s">
        <v>99</v>
      </c>
      <c r="H234" t="s">
        <v>131</v>
      </c>
      <c r="K234" t="str">
        <f>B188</f>
        <v>electricity, residential, by combustion of hydrogen using CHP, allocated by exergy, transported by pipeline, produced by Pyrolysis using natural gas from Switzerland</v>
      </c>
      <c r="L234">
        <f t="shared" si="17"/>
        <v>2</v>
      </c>
      <c r="M234">
        <f t="shared" si="18"/>
        <v>-0.51558360018987692</v>
      </c>
      <c r="N234">
        <v>1.05</v>
      </c>
      <c r="O234">
        <v>1.2</v>
      </c>
      <c r="P234">
        <v>1</v>
      </c>
      <c r="Q234">
        <v>1.01</v>
      </c>
      <c r="R234">
        <v>1.2</v>
      </c>
      <c r="S234">
        <v>1.2</v>
      </c>
      <c r="T234">
        <v>1.05</v>
      </c>
      <c r="U234">
        <f t="shared" si="20"/>
        <v>0.16169679924070957</v>
      </c>
    </row>
    <row r="235" spans="1:22" x14ac:dyDescent="0.2">
      <c r="A235" t="s">
        <v>135</v>
      </c>
      <c r="B235" s="45">
        <f>912.5/1000000*B233</f>
        <v>6.0544577259588785E-5</v>
      </c>
      <c r="C235" t="s">
        <v>56</v>
      </c>
      <c r="D235" t="s">
        <v>100</v>
      </c>
      <c r="F235" t="s">
        <v>99</v>
      </c>
      <c r="H235" t="s">
        <v>131</v>
      </c>
      <c r="I235" t="s">
        <v>1217</v>
      </c>
      <c r="K235" t="str">
        <f>B188</f>
        <v>electricity, residential, by combustion of hydrogen using CHP, allocated by exergy, transported by pipeline, produced by Pyrolysis using natural gas from Switzerland</v>
      </c>
      <c r="L235">
        <f t="shared" si="17"/>
        <v>2</v>
      </c>
      <c r="M235">
        <f t="shared" si="18"/>
        <v>-9.712130650033723</v>
      </c>
      <c r="N235">
        <v>1.05</v>
      </c>
      <c r="O235">
        <v>1.2</v>
      </c>
      <c r="P235">
        <v>1</v>
      </c>
      <c r="Q235">
        <v>1.01</v>
      </c>
      <c r="R235">
        <v>1.2</v>
      </c>
      <c r="S235">
        <v>1.2</v>
      </c>
      <c r="T235">
        <v>1.5</v>
      </c>
      <c r="U235">
        <f t="shared" si="20"/>
        <v>0.25816898211842121</v>
      </c>
    </row>
    <row r="237" spans="1:22" x14ac:dyDescent="0.2">
      <c r="A237" s="2" t="s">
        <v>50</v>
      </c>
      <c r="B237" s="44" t="str">
        <f>IF(B243="megajoule","heat","electricity")&amp;", residential, by "&amp;B248&amp;" of "&amp;B247&amp;" using "&amp;B249&amp;IF(B250&lt;&gt;0,", allocated by "&amp;B250,"")&amp;", transported by "&amp;B251&amp;", produced by "&amp;B255&amp;" using "&amp;B256&amp;" from "&amp;B257</f>
        <v>electricity, residential, by conversion of hydrogen using fuel cell, PEM, allocated by exergy, transported by pipeline, produced by Pyrolysis using natural gas from Switzerland</v>
      </c>
    </row>
    <row r="238" spans="1:22" x14ac:dyDescent="0.2">
      <c r="A238" t="s">
        <v>51</v>
      </c>
      <c r="B238" s="45" t="str">
        <f>"This dataset represents the supply of 1 "&amp;IF(B243="megajoule","megajoule of heat","kilowatt hour of electricity")&amp;" in a residence, by "&amp;B247&amp;" "&amp;B248&amp;" in a "&amp;B249&amp;". "&amp;" The hydrogen is transported by "&amp;B251&amp;" over "&amp;B252&amp;" km from regional storage. "&amp;" The "&amp;B247&amp;" is produced by  "&amp;B255&amp;", with "&amp;B256&amp;" from "&amp;B257&amp;" as feedstock. "&amp;A259&amp;": "&amp;(B259*100)&amp;"%. "&amp;A260&amp;": "&amp;B260&amp;". "&amp;A261&amp;": "&amp;B261&amp;". "&amp;A262&amp;": "&amp;(B262*100)&amp;"%. "&amp;A263&amp;": "&amp;(B263*100)&amp;"%. "&amp;A264&amp;": "&amp;(B264*100)&amp;"%. "&amp;A265&amp;": "&amp;B265&amp;". "&amp;A266&amp;": "&amp;B266&amp;". "&amp;A267&amp;": "&amp;(B267*100)&amp;"%. "&amp;A268&amp;": "&amp;B268&amp;". "&amp;A269&amp;": "&amp;B269&amp;". "&amp;A270&amp;": "&amp;B270&amp;". "&amp;A271&amp;": "&amp;B271&amp;".  For more information, refer to: "&amp;B239</f>
        <v>This dataset represents the supply of 1 kilowatt hour of electricity in a residence, by hydrogen conversion in a fuel cell, PEM.  The hydrogen is transported by pipeline over 500 km from regional storage.  The hydrogen is produced by  Pyrolysis,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239" spans="1:22" x14ac:dyDescent="0.2">
      <c r="A239" t="s">
        <v>63</v>
      </c>
      <c r="B239" s="45" t="s">
        <v>660</v>
      </c>
    </row>
    <row r="240" spans="1:22" x14ac:dyDescent="0.2">
      <c r="A240" t="s">
        <v>52</v>
      </c>
      <c r="B240" s="45" t="s">
        <v>64</v>
      </c>
    </row>
    <row r="241" spans="1:2" x14ac:dyDescent="0.2">
      <c r="A241" t="s">
        <v>48</v>
      </c>
      <c r="B241" s="45" t="s">
        <v>980</v>
      </c>
    </row>
    <row r="242" spans="1:2" x14ac:dyDescent="0.2">
      <c r="A242" t="s">
        <v>54</v>
      </c>
      <c r="B242" s="45" t="str">
        <f>INDEX(overview!$B$4:$R$338,MATCH(B241,overview!$A$4:$A$338,0),MATCH(A242,overview!$B$3:$R$3,0))</f>
        <v>electricity, from residential heating system</v>
      </c>
    </row>
    <row r="243" spans="1:2" x14ac:dyDescent="0.2">
      <c r="A243" t="s">
        <v>55</v>
      </c>
      <c r="B243" s="45" t="str">
        <f>INDEX(overview!$B$4:$R$338,MATCH(B241,overview!$A$4:$A$338,0),MATCH(A243,overview!$B$3:$R$3,0))</f>
        <v>kilowatt hour</v>
      </c>
    </row>
    <row r="244" spans="1:2" x14ac:dyDescent="0.2">
      <c r="A244" t="s">
        <v>0</v>
      </c>
      <c r="B244" s="45" t="str">
        <f>INDEX(overview!$B$4:$R$338,MATCH(B241,overview!$A$4:$A$338,0),MATCH(A244,overview!$B$3:$R$3,0))</f>
        <v>Switzerland</v>
      </c>
    </row>
    <row r="245" spans="1:2" x14ac:dyDescent="0.2">
      <c r="A245" t="s">
        <v>1</v>
      </c>
      <c r="B245" s="45">
        <f>INDEX(overview!$B$4:$R$338,MATCH(B241,overview!$A$4:$A$338,0),MATCH(A245,overview!$B$3:$R$3,0))</f>
        <v>2020</v>
      </c>
    </row>
    <row r="246" spans="1:2" x14ac:dyDescent="0.2">
      <c r="A246" t="s">
        <v>2</v>
      </c>
      <c r="B246" s="45" t="str">
        <f>INDEX(overview!$B$4:$R$338,MATCH(B241,overview!$A$4:$A$338,0),MATCH(A246,overview!$B$3:$R$3,0))</f>
        <v>1 kWh electricity</v>
      </c>
    </row>
    <row r="247" spans="1:2" x14ac:dyDescent="0.2">
      <c r="A247" t="s">
        <v>5</v>
      </c>
      <c r="B247" s="45" t="str">
        <f>INDEX(overview!$B$4:$R$338,MATCH(B241,overview!$A$4:$A$338,0),MATCH(A247,overview!$B$3:$R$3,0))</f>
        <v>hydrogen</v>
      </c>
    </row>
    <row r="248" spans="1:2" x14ac:dyDescent="0.2">
      <c r="A248" t="s">
        <v>3</v>
      </c>
      <c r="B248" s="45" t="str">
        <f>INDEX(overview!$B$4:$R$338,MATCH(B241,overview!$A$4:$A$338,0),MATCH(A248,overview!$B$3:$R$3,0))</f>
        <v>conversion</v>
      </c>
    </row>
    <row r="249" spans="1:2" x14ac:dyDescent="0.2">
      <c r="A249" t="s">
        <v>6</v>
      </c>
      <c r="B249" s="45" t="str">
        <f>INDEX(overview!$B$4:$R$338,MATCH(B241,overview!$A$4:$A$338,0),MATCH(A249,overview!$B$3:$R$3,0))</f>
        <v>fuel cell, PEM</v>
      </c>
    </row>
    <row r="250" spans="1:2" x14ac:dyDescent="0.2">
      <c r="A250" t="s">
        <v>39</v>
      </c>
      <c r="B250" s="45" t="str">
        <f>INDEX(overview!$B$4:$R$338,MATCH(B241,overview!$A$4:$A$338,0),MATCH(A250,overview!$B$3:$R$3,0))</f>
        <v>exergy</v>
      </c>
    </row>
    <row r="251" spans="1:2" x14ac:dyDescent="0.2">
      <c r="A251" t="s">
        <v>4</v>
      </c>
      <c r="B251" s="45" t="str">
        <f>INDEX(overview!$B$4:$R$338,MATCH(B241,overview!$A$4:$A$338,0),MATCH(A251,overview!$B$3:$R$3,0))</f>
        <v>pipeline</v>
      </c>
    </row>
    <row r="252" spans="1:2" x14ac:dyDescent="0.2">
      <c r="A252" t="s">
        <v>38</v>
      </c>
      <c r="B252" s="45">
        <f>INDEX(overview!$B$4:$R$338,MATCH(B241,overview!$A$4:$A$338,0),MATCH(A252,overview!$B$3:$R$3,0))</f>
        <v>500</v>
      </c>
    </row>
    <row r="253" spans="1:2" x14ac:dyDescent="0.2">
      <c r="A253" t="s">
        <v>12</v>
      </c>
      <c r="B253" s="45" t="str">
        <f>INDEX(overview!$B$4:$R$338,MATCH(B241,overview!$A$4:$A$338,0),MATCH(A253,overview!$B$3:$R$3,0))</f>
        <v>Pressure vessel for stationary storage</v>
      </c>
    </row>
    <row r="254" spans="1:2" x14ac:dyDescent="0.2">
      <c r="A254" t="s">
        <v>34</v>
      </c>
      <c r="B254" s="45">
        <f>INDEX(overview!$B$4:$R$338,MATCH(B241,overview!$A$4:$A$338,0),MATCH(A254,overview!$B$3:$R$3,0))</f>
        <v>0</v>
      </c>
    </row>
    <row r="255" spans="1:2" x14ac:dyDescent="0.2">
      <c r="A255" t="s">
        <v>15</v>
      </c>
      <c r="B255" s="45" t="str">
        <f>INDEX(overview!$B$4:$R$338,MATCH(B241,overview!$A$4:$A$338,0),MATCH(A255,overview!$B$3:$R$3,0))</f>
        <v>Pyrolysis</v>
      </c>
    </row>
    <row r="256" spans="1:2" x14ac:dyDescent="0.2">
      <c r="A256" t="s">
        <v>14</v>
      </c>
      <c r="B256" s="45" t="str">
        <f>INDEX(overview!$B$4:$R$338,MATCH(B241,overview!$A$4:$A$338,0),MATCH(A256,overview!$B$3:$R$3,0))</f>
        <v>natural gas</v>
      </c>
    </row>
    <row r="257" spans="1:2" x14ac:dyDescent="0.2">
      <c r="A257" t="s">
        <v>26</v>
      </c>
      <c r="B257" s="45" t="str">
        <f>INDEX(overview!$B$4:$R$338,MATCH(B241,overview!$A$4:$A$338,0),MATCH(A257,overview!$B$3:$R$3,0))</f>
        <v>Switzerland</v>
      </c>
    </row>
    <row r="258" spans="1:2" x14ac:dyDescent="0.2">
      <c r="A258" t="s">
        <v>29</v>
      </c>
      <c r="B258" s="45">
        <f>INDEX(overview!$B$4:$R$338,MATCH(B241,overview!$A$4:$A$338,0),MATCH(A258,overview!$B$3:$R$3,0))</f>
        <v>0</v>
      </c>
    </row>
    <row r="259" spans="1:2" x14ac:dyDescent="0.2">
      <c r="A259" t="str">
        <f>IF(B243="megajoule","Heat","Electricity")&amp;" conversion efficiency [% LHV input]"</f>
        <v>Electricity conversion efficiency [% LHV input]</v>
      </c>
      <c r="B259" s="46">
        <f>INDEX(parameters!$D$4:$N$20,MATCH(B247&amp;B249,parameters!$A$4:$A$20,0),MATCH(A259,parameters!$D$3:$N$3,0))</f>
        <v>0.45</v>
      </c>
    </row>
    <row r="260" spans="1:2" x14ac:dyDescent="0.2">
      <c r="A260" t="str">
        <f>IF(B243="megajoule","LHV [MJ/kg]","LHV [kWh/kg]")</f>
        <v>LHV [kWh/kg]</v>
      </c>
      <c r="B260" s="47">
        <f>INDEX(parameters!$D$4:$N$20,MATCH(B247&amp;B249,parameters!$A$4:$A$20,0),MATCH(A260,parameters!$D$3:$N$3,0))</f>
        <v>33.333333333333336</v>
      </c>
    </row>
    <row r="261" spans="1:2" x14ac:dyDescent="0.2">
      <c r="A261" t="s">
        <v>41</v>
      </c>
      <c r="B261" s="48">
        <f>INDEX(parameters!$D$4:$N$20,MATCH(B247&amp;B249,parameters!$A$4:$A$20,0),MATCH(A261,parameters!$D$3:$N$3,0))</f>
        <v>2.6666666666666665E-2</v>
      </c>
    </row>
    <row r="262" spans="1:2" x14ac:dyDescent="0.2">
      <c r="A262" t="s">
        <v>45</v>
      </c>
      <c r="B262" s="46">
        <f>INDEX(parameters!$D$4:$N$20,MATCH(B247&amp;B249,parameters!$A$4:$A$20,0),MATCH(A262,parameters!$D$3:$N$3,0))</f>
        <v>0</v>
      </c>
    </row>
    <row r="263" spans="1:2" x14ac:dyDescent="0.2">
      <c r="A263" t="s">
        <v>46</v>
      </c>
      <c r="B263" s="46">
        <f>INDEX(parameters!$D$4:$N$20,MATCH(B247&amp;B249,parameters!$A$4:$A$20,0),MATCH(A263,parameters!$D$3:$N$3,0))</f>
        <v>1.4999999999999999E-2</v>
      </c>
    </row>
    <row r="264" spans="1:2" x14ac:dyDescent="0.2">
      <c r="A264" t="s">
        <v>43</v>
      </c>
      <c r="B264" s="46">
        <f>INDEX(parameters!$D$4:$N$20,MATCH(B247&amp;B249,parameters!$A$4:$A$20,0),MATCH(A264,parameters!$D$3:$N$3,0))</f>
        <v>0</v>
      </c>
    </row>
    <row r="265" spans="1:2" x14ac:dyDescent="0.2">
      <c r="A265" t="s">
        <v>44</v>
      </c>
      <c r="B265" s="46">
        <f>INDEX(parameters!$D$4:$N$20,MATCH(B247&amp;B249,parameters!$A$4:$A$20,0),MATCH(A265,parameters!$D$3:$N$3,0))</f>
        <v>0</v>
      </c>
    </row>
    <row r="266" spans="1:2" x14ac:dyDescent="0.2">
      <c r="A266" t="s">
        <v>634</v>
      </c>
      <c r="B266" s="47">
        <f>INDEX(parameters!$D$4:$Y$20,MATCH(B247&amp;B249,parameters!$A$4:$A$20,0),MATCH(A266,parameters!$D$3:$Y$3,0))</f>
        <v>1.8947368421052633</v>
      </c>
    </row>
    <row r="267" spans="1:2" x14ac:dyDescent="0.2">
      <c r="A267" t="s">
        <v>82</v>
      </c>
      <c r="B267" s="46">
        <f>IF(B258&lt;&gt;0,VLOOKUP(B258,parameters!A307:B309,2,0),0)</f>
        <v>0</v>
      </c>
    </row>
    <row r="268" spans="1:2" x14ac:dyDescent="0.2">
      <c r="A268" t="s">
        <v>548</v>
      </c>
      <c r="B268" s="50">
        <f>INDEX(parameters!$D$4:$P$20,MATCH(B247&amp;B249,parameters!$A$4:$A$20,0),MATCH(A268,parameters!$D$3:$P$3,0))</f>
        <v>0.8</v>
      </c>
    </row>
    <row r="269" spans="1:2" x14ac:dyDescent="0.2">
      <c r="A269" t="s">
        <v>547</v>
      </c>
      <c r="B269" s="51">
        <f>INDEX(parameters!$D$4:$P$20,MATCH(B247&amp;B249,parameters!$A$4:$A$20,0),MATCH(A269,parameters!$D$3:$P$3,0))</f>
        <v>4.8780487804878048</v>
      </c>
    </row>
    <row r="270" spans="1:2" x14ac:dyDescent="0.2">
      <c r="A270" t="s">
        <v>630</v>
      </c>
      <c r="B270" s="51">
        <f>INDEX(parameters!$D$4:$T$20,MATCH(B247&amp;B249,parameters!$A$4:$A$20,0),MATCH(A270,parameters!$D$3:$T$3,0))</f>
        <v>4100</v>
      </c>
    </row>
    <row r="271" spans="1:2" x14ac:dyDescent="0.2">
      <c r="A271" t="s">
        <v>1005</v>
      </c>
      <c r="B271" s="50">
        <f>IF(B243="megajoule",SUMIFS(allocation!$I$4:$I$30,allocation!$B$4:$B$30,B249,allocation!$C$4:$C$30,B250),SUMIFS(allocation!$J$4:$J$30,allocation!$B$4:$B$30,B249,allocation!$C$4:$C$30,B250))</f>
        <v>0.86066019201025545</v>
      </c>
    </row>
    <row r="272" spans="1:2" x14ac:dyDescent="0.2">
      <c r="A272" t="s">
        <v>1050</v>
      </c>
      <c r="B272" s="51">
        <f>INDEX(parameters!$D$4:$AB$20,MATCH(B247&amp;B249,parameters!$A$4:$A$20,0),MATCH(A272,parameters!$D$3:$AB$3,0))</f>
        <v>10.221606648199446</v>
      </c>
    </row>
    <row r="274" spans="1:22" x14ac:dyDescent="0.2">
      <c r="A274" s="3" t="s">
        <v>57</v>
      </c>
    </row>
    <row r="275" spans="1:22" x14ac:dyDescent="0.2">
      <c r="A275" s="2" t="s">
        <v>58</v>
      </c>
      <c r="B275" s="44" t="s">
        <v>59</v>
      </c>
      <c r="C275" s="2" t="s">
        <v>55</v>
      </c>
      <c r="D275" s="2" t="s">
        <v>60</v>
      </c>
      <c r="E275" s="2" t="s">
        <v>52</v>
      </c>
      <c r="F275" s="2" t="s">
        <v>61</v>
      </c>
      <c r="G275" s="2" t="s">
        <v>54</v>
      </c>
      <c r="H275" s="2" t="s">
        <v>87</v>
      </c>
      <c r="I275" s="2" t="s">
        <v>51</v>
      </c>
      <c r="J275" s="2" t="s">
        <v>138</v>
      </c>
      <c r="K275" s="2" t="s">
        <v>136</v>
      </c>
      <c r="L275" s="2" t="s">
        <v>221</v>
      </c>
      <c r="M275" s="2" t="s">
        <v>379</v>
      </c>
      <c r="N275" s="2" t="s">
        <v>1059</v>
      </c>
      <c r="O275" s="2" t="s">
        <v>1060</v>
      </c>
      <c r="P275" s="2" t="s">
        <v>1061</v>
      </c>
      <c r="Q275" s="2" t="s">
        <v>1062</v>
      </c>
      <c r="R275" s="2" t="s">
        <v>1063</v>
      </c>
      <c r="S275" s="2" t="s">
        <v>1064</v>
      </c>
      <c r="T275" s="2" t="s">
        <v>1065</v>
      </c>
      <c r="U275" s="2" t="s">
        <v>380</v>
      </c>
      <c r="V275" s="2" t="s">
        <v>1128</v>
      </c>
    </row>
    <row r="276" spans="1:22" x14ac:dyDescent="0.2">
      <c r="A276" t="str">
        <f>B237</f>
        <v>electricity, residential, by conversion of hydrogen using fuel cell, PEM, allocated by exergy, transported by pipeline, produced by Pyrolysis using natural gas from Switzerland</v>
      </c>
      <c r="B276" s="45">
        <v>1</v>
      </c>
      <c r="C276" t="str">
        <f>B243</f>
        <v>kilowatt hour</v>
      </c>
      <c r="E276" t="str">
        <f>B240</f>
        <v>CH</v>
      </c>
      <c r="F276" t="s">
        <v>62</v>
      </c>
      <c r="G276" t="str">
        <f>B242</f>
        <v>electricity, from residential heating system</v>
      </c>
      <c r="K276" t="str">
        <f>B237</f>
        <v>electricity, residential, by conversion of hydrogen using fuel cell, PEM, allocated by exergy, transported by pipeline, produced by Pyrolysis using natural gas from Switzerland</v>
      </c>
    </row>
    <row r="277" spans="1:22" x14ac:dyDescent="0.2">
      <c r="A277" t="str">
        <f>VLOOKUP(J277,'dataset mapping'!$A$4:$E$69,2,0)</f>
        <v>fuel cell system assembly, 1 kWe, proton exchange membrane (PEM)</v>
      </c>
      <c r="B277" s="52">
        <f>(1/(B266*B270*B269))*B271</f>
        <v>2.2711866178048405E-5</v>
      </c>
      <c r="C277" t="str">
        <f>VLOOKUP(J277,'dataset mapping'!$A$4:$E$69,5,0)</f>
        <v>unit</v>
      </c>
      <c r="E277" t="str">
        <f>VLOOKUP(J277,'dataset mapping'!$A$4:$E$69,4,0)</f>
        <v>GLO</v>
      </c>
      <c r="F277" t="s">
        <v>86</v>
      </c>
      <c r="G277" t="str">
        <f>VLOOKUP(J277,'dataset mapping'!$A$4:$E$69,3,0)</f>
        <v>fuel cell system, 1 kWe, proton exchange membrane (PEM)</v>
      </c>
      <c r="H277" t="s">
        <v>88</v>
      </c>
      <c r="I277" t="s">
        <v>272</v>
      </c>
      <c r="J277" t="s">
        <v>273</v>
      </c>
      <c r="K277" t="str">
        <f>B237</f>
        <v>electricity, residential, by conversion of hydrogen using fuel cell, PEM, allocated by exergy, transported by pipeline, produced by Pyrolysis using natural gas from Switzerland</v>
      </c>
      <c r="L277">
        <f t="shared" ref="L277:L279" si="21">IF(OR(B277&lt;0,B277=0),1,2)</f>
        <v>2</v>
      </c>
      <c r="M277">
        <f t="shared" ref="M277:M279" si="22">IF(L277=2,LN(B277),"")</f>
        <v>-10.692623030936341</v>
      </c>
      <c r="N277">
        <v>1</v>
      </c>
      <c r="O277">
        <v>1.2</v>
      </c>
      <c r="P277">
        <v>1</v>
      </c>
      <c r="Q277">
        <v>1.01</v>
      </c>
      <c r="R277">
        <v>1.2</v>
      </c>
      <c r="S277">
        <v>1.2</v>
      </c>
      <c r="T277">
        <v>3</v>
      </c>
      <c r="U277">
        <f t="shared" ref="U277:U279" si="23">LN(SQRT(EXP(
SQRT(
+POWER(LN(N277),2)
+POWER(LN(O277),2)
+POWER(LN(P277),2)
+POWER(LN(Q277),2)
+POWER(LN(R277),2)
+POWER(LN(S277),2)
+POWER(LN(T277),2)
)
)))</f>
        <v>0.57157051623399524</v>
      </c>
    </row>
    <row r="278" spans="1:22" x14ac:dyDescent="0.2">
      <c r="A278" s="45" t="str">
        <f>"hydrogen supply, transported by "&amp;B251&amp;", produced by "&amp;B255&amp;" using "&amp;B256&amp;" from "&amp;B257</f>
        <v>hydrogen supply, transported by pipeline, produced by Pyrolysis using natural gas from Switzerland</v>
      </c>
      <c r="B278" s="53">
        <f>(B276/B260)/B259*B271</f>
        <v>5.7377346134017029E-2</v>
      </c>
      <c r="C278" t="s">
        <v>56</v>
      </c>
      <c r="E278" t="s">
        <v>64</v>
      </c>
      <c r="F278" t="s">
        <v>86</v>
      </c>
      <c r="G278" t="s">
        <v>1129</v>
      </c>
      <c r="H278" t="s">
        <v>76</v>
      </c>
      <c r="I278" t="s">
        <v>1054</v>
      </c>
      <c r="J278" t="s">
        <v>23</v>
      </c>
      <c r="K278" t="str">
        <f>B237</f>
        <v>electricity, residential, by conversion of hydrogen using fuel cell, PEM, allocated by exergy, transported by pipeline, produced by Pyrolysis using natural gas from Switzerland</v>
      </c>
      <c r="L278">
        <f t="shared" si="21"/>
        <v>2</v>
      </c>
      <c r="M278">
        <f t="shared" si="22"/>
        <v>-2.8581057202127536</v>
      </c>
      <c r="N278">
        <v>1</v>
      </c>
      <c r="O278">
        <v>1.2</v>
      </c>
      <c r="P278">
        <v>1</v>
      </c>
      <c r="Q278">
        <v>1.01</v>
      </c>
      <c r="R278">
        <v>1.2</v>
      </c>
      <c r="S278">
        <v>1.2</v>
      </c>
      <c r="T278">
        <v>1.05</v>
      </c>
      <c r="U278">
        <f t="shared" si="23"/>
        <v>0.15984597228197622</v>
      </c>
    </row>
    <row r="279" spans="1:22" x14ac:dyDescent="0.2">
      <c r="A279" t="s">
        <v>134</v>
      </c>
      <c r="B279" s="53">
        <f>B278*9</f>
        <v>0.51639611520615325</v>
      </c>
      <c r="C279" t="s">
        <v>56</v>
      </c>
      <c r="D279" t="s">
        <v>100</v>
      </c>
      <c r="F279" t="s">
        <v>99</v>
      </c>
      <c r="H279" t="s">
        <v>131</v>
      </c>
      <c r="I279" t="s">
        <v>289</v>
      </c>
      <c r="K279" t="str">
        <f>B237</f>
        <v>electricity, residential, by conversion of hydrogen using fuel cell, PEM, allocated by exergy, transported by pipeline, produced by Pyrolysis using natural gas from Switzerland</v>
      </c>
      <c r="L279">
        <f t="shared" si="21"/>
        <v>2</v>
      </c>
      <c r="M279">
        <f t="shared" si="22"/>
        <v>-0.6608811428765341</v>
      </c>
      <c r="N279">
        <v>1</v>
      </c>
      <c r="O279">
        <v>1.2</v>
      </c>
      <c r="P279">
        <v>1</v>
      </c>
      <c r="Q279">
        <v>1.01</v>
      </c>
      <c r="R279">
        <v>1.2</v>
      </c>
      <c r="S279">
        <v>1.2</v>
      </c>
      <c r="T279">
        <v>1.05</v>
      </c>
      <c r="U279">
        <f t="shared" si="23"/>
        <v>0.15984597228197622</v>
      </c>
    </row>
    <row r="281" spans="1:22" x14ac:dyDescent="0.2">
      <c r="A281" s="2" t="s">
        <v>50</v>
      </c>
      <c r="B281" s="44" t="str">
        <f>IF(B287="megajoule","heat","electricity")&amp;", residential, by "&amp;B292&amp;" of "&amp;B291&amp;" using "&amp;B293&amp;IF(B294&lt;&gt;0,", allocated by "&amp;B294,"")&amp;", transported by "&amp;B295&amp;", produced by "&amp;B299&amp;" using "&amp;B300&amp;" from "&amp;B301</f>
        <v>electricity, residential, by conversion of hydrogen using fuel cell, SOFC, allocated by exergy, transported by pipeline, produced by Pyrolysis using natural gas from Switzerland</v>
      </c>
    </row>
    <row r="282" spans="1:22" x14ac:dyDescent="0.2">
      <c r="A282" t="s">
        <v>51</v>
      </c>
      <c r="B282" s="45" t="str">
        <f>"This dataset represents the supply of 1 "&amp;IF(B287="megajoule","megajoule of heat","kilowatt hour of electricity")&amp;" in a residence, by "&amp;B291&amp;" "&amp;B292&amp;" in a "&amp;B293&amp;". "&amp;" The hydrogen is transported by "&amp;B295&amp;" over "&amp;B296&amp;" km from regional storage. "&amp;" The "&amp;B291&amp;" is produced by  "&amp;B299&amp;", with "&amp;B300&amp;" from "&amp;B301&amp;" as feedstock. "&amp;A303&amp;": "&amp;(B303*100)&amp;"%. "&amp;A304&amp;": "&amp;B304&amp;". "&amp;A305&amp;": "&amp;B305&amp;". "&amp;A306&amp;": "&amp;(B306*100)&amp;"%. "&amp;A307&amp;": "&amp;(B307*100)&amp;"%. "&amp;A308&amp;": "&amp;(B308*100)&amp;"%. "&amp;A309&amp;": "&amp;B309&amp;". "&amp;A310&amp;": "&amp;B310&amp;". "&amp;A311&amp;": "&amp;(B311*100)&amp;"%. "&amp;A312&amp;": "&amp;B312&amp;". "&amp;A313&amp;": "&amp;B313&amp;". "&amp;A314&amp;": "&amp;B314&amp;". "&amp;A315&amp;": "&amp;B315&amp;".  For more information, refer to: "&amp;B283</f>
        <v>This dataset represents the supply of 1 kilowatt hour of electricity in a residence, by hydrogen conversion in a fuel cell, SOFC.  The hydrogen is transported by pipeline over 500 km from regional storage.  The hydrogen is produced by  Pyrolysis,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283" spans="1:22" x14ac:dyDescent="0.2">
      <c r="A283" t="s">
        <v>63</v>
      </c>
      <c r="B283" s="45" t="s">
        <v>660</v>
      </c>
    </row>
    <row r="284" spans="1:22" x14ac:dyDescent="0.2">
      <c r="A284" t="s">
        <v>52</v>
      </c>
      <c r="B284" s="45" t="s">
        <v>64</v>
      </c>
    </row>
    <row r="285" spans="1:22" x14ac:dyDescent="0.2">
      <c r="A285" t="s">
        <v>48</v>
      </c>
      <c r="B285" s="45" t="s">
        <v>981</v>
      </c>
    </row>
    <row r="286" spans="1:22" x14ac:dyDescent="0.2">
      <c r="A286" t="s">
        <v>54</v>
      </c>
      <c r="B286" s="45" t="str">
        <f>INDEX(overview!$B$4:$R$338,MATCH(B285,overview!$A$4:$A$338,0),MATCH(A286,overview!$B$3:$R$3,0))</f>
        <v>electricity, from residential heating system</v>
      </c>
    </row>
    <row r="287" spans="1:22" x14ac:dyDescent="0.2">
      <c r="A287" t="s">
        <v>55</v>
      </c>
      <c r="B287" s="45" t="str">
        <f>INDEX(overview!$B$4:$R$338,MATCH(B285,overview!$A$4:$A$338,0),MATCH(A287,overview!$B$3:$R$3,0))</f>
        <v>kilowatt hour</v>
      </c>
    </row>
    <row r="288" spans="1:22" x14ac:dyDescent="0.2">
      <c r="A288" t="s">
        <v>0</v>
      </c>
      <c r="B288" s="45" t="str">
        <f>INDEX(overview!$B$4:$R$338,MATCH(B285,overview!$A$4:$A$338,0),MATCH(A288,overview!$B$3:$R$3,0))</f>
        <v>Switzerland</v>
      </c>
    </row>
    <row r="289" spans="1:2" x14ac:dyDescent="0.2">
      <c r="A289" t="s">
        <v>1</v>
      </c>
      <c r="B289" s="45">
        <f>INDEX(overview!$B$4:$R$338,MATCH(B285,overview!$A$4:$A$338,0),MATCH(A289,overview!$B$3:$R$3,0))</f>
        <v>2020</v>
      </c>
    </row>
    <row r="290" spans="1:2" x14ac:dyDescent="0.2">
      <c r="A290" t="s">
        <v>2</v>
      </c>
      <c r="B290" s="45" t="str">
        <f>INDEX(overview!$B$4:$R$338,MATCH(B285,overview!$A$4:$A$338,0),MATCH(A290,overview!$B$3:$R$3,0))</f>
        <v>1 kWh electricity</v>
      </c>
    </row>
    <row r="291" spans="1:2" x14ac:dyDescent="0.2">
      <c r="A291" t="s">
        <v>5</v>
      </c>
      <c r="B291" s="45" t="str">
        <f>INDEX(overview!$B$4:$R$338,MATCH(B285,overview!$A$4:$A$338,0),MATCH(A291,overview!$B$3:$R$3,0))</f>
        <v>hydrogen</v>
      </c>
    </row>
    <row r="292" spans="1:2" x14ac:dyDescent="0.2">
      <c r="A292" t="s">
        <v>3</v>
      </c>
      <c r="B292" s="45" t="str">
        <f>INDEX(overview!$B$4:$R$338,MATCH(B285,overview!$A$4:$A$338,0),MATCH(A292,overview!$B$3:$R$3,0))</f>
        <v>conversion</v>
      </c>
    </row>
    <row r="293" spans="1:2" x14ac:dyDescent="0.2">
      <c r="A293" t="s">
        <v>6</v>
      </c>
      <c r="B293" s="45" t="str">
        <f>INDEX(overview!$B$4:$R$338,MATCH(B285,overview!$A$4:$A$338,0),MATCH(A293,overview!$B$3:$R$3,0))</f>
        <v>fuel cell, SOFC</v>
      </c>
    </row>
    <row r="294" spans="1:2" x14ac:dyDescent="0.2">
      <c r="A294" t="s">
        <v>39</v>
      </c>
      <c r="B294" s="45" t="str">
        <f>INDEX(overview!$B$4:$R$338,MATCH(B285,overview!$A$4:$A$338,0),MATCH(A294,overview!$B$3:$R$3,0))</f>
        <v>exergy</v>
      </c>
    </row>
    <row r="295" spans="1:2" x14ac:dyDescent="0.2">
      <c r="A295" t="s">
        <v>4</v>
      </c>
      <c r="B295" s="45" t="str">
        <f>INDEX(overview!$B$4:$R$338,MATCH(B285,overview!$A$4:$A$338,0),MATCH(A295,overview!$B$3:$R$3,0))</f>
        <v>pipeline</v>
      </c>
    </row>
    <row r="296" spans="1:2" x14ac:dyDescent="0.2">
      <c r="A296" t="s">
        <v>38</v>
      </c>
      <c r="B296" s="45">
        <f>INDEX(overview!$B$4:$R$338,MATCH(B285,overview!$A$4:$A$338,0),MATCH(A296,overview!$B$3:$R$3,0))</f>
        <v>500</v>
      </c>
    </row>
    <row r="297" spans="1:2" x14ac:dyDescent="0.2">
      <c r="A297" t="s">
        <v>12</v>
      </c>
      <c r="B297" s="45" t="str">
        <f>INDEX(overview!$B$4:$R$338,MATCH(B285,overview!$A$4:$A$338,0),MATCH(A297,overview!$B$3:$R$3,0))</f>
        <v>Pressure vessel for stationary storage</v>
      </c>
    </row>
    <row r="298" spans="1:2" x14ac:dyDescent="0.2">
      <c r="A298" t="s">
        <v>34</v>
      </c>
      <c r="B298" s="45">
        <f>INDEX(overview!$B$4:$R$338,MATCH(B285,overview!$A$4:$A$338,0),MATCH(A298,overview!$B$3:$R$3,0))</f>
        <v>0</v>
      </c>
    </row>
    <row r="299" spans="1:2" x14ac:dyDescent="0.2">
      <c r="A299" t="s">
        <v>15</v>
      </c>
      <c r="B299" s="45" t="str">
        <f>INDEX(overview!$B$4:$R$338,MATCH(B285,overview!$A$4:$A$338,0),MATCH(A299,overview!$B$3:$R$3,0))</f>
        <v>Pyrolysis</v>
      </c>
    </row>
    <row r="300" spans="1:2" x14ac:dyDescent="0.2">
      <c r="A300" t="s">
        <v>14</v>
      </c>
      <c r="B300" s="45" t="str">
        <f>INDEX(overview!$B$4:$R$338,MATCH(B285,overview!$A$4:$A$338,0),MATCH(A300,overview!$B$3:$R$3,0))</f>
        <v>natural gas</v>
      </c>
    </row>
    <row r="301" spans="1:2" x14ac:dyDescent="0.2">
      <c r="A301" t="s">
        <v>26</v>
      </c>
      <c r="B301" s="45" t="str">
        <f>INDEX(overview!$B$4:$R$338,MATCH(B285,overview!$A$4:$A$338,0),MATCH(A301,overview!$B$3:$R$3,0))</f>
        <v>Switzerland</v>
      </c>
    </row>
    <row r="302" spans="1:2" x14ac:dyDescent="0.2">
      <c r="A302" t="s">
        <v>29</v>
      </c>
      <c r="B302" s="45">
        <f>INDEX(overview!$B$4:$R$338,MATCH(B285,overview!$A$4:$A$338,0),MATCH(A302,overview!$B$3:$R$3,0))</f>
        <v>0</v>
      </c>
    </row>
    <row r="303" spans="1:2" x14ac:dyDescent="0.2">
      <c r="A303" t="str">
        <f>IF(B287="megajoule","Heat","Electricity")&amp;" conversion efficiency [% LHV input]"</f>
        <v>Electricity conversion efficiency [% LHV input]</v>
      </c>
      <c r="B303" s="46">
        <f>INDEX(parameters!$D$4:$N$20,MATCH(B291&amp;B293,parameters!$A$4:$A$20,0),MATCH(A303,parameters!$D$3:$N$3,0))</f>
        <v>0.47</v>
      </c>
    </row>
    <row r="304" spans="1:2" x14ac:dyDescent="0.2">
      <c r="A304" t="str">
        <f>IF(B287="megajoule","LHV [MJ/kg]","LHV [kWh/kg]")</f>
        <v>LHV [kWh/kg]</v>
      </c>
      <c r="B304" s="47">
        <f>INDEX(parameters!$D$4:$N$20,MATCH(B291&amp;B293,parameters!$A$4:$A$20,0),MATCH(A304,parameters!$D$3:$N$3,0))</f>
        <v>33.333333333333336</v>
      </c>
    </row>
    <row r="305" spans="1:22" x14ac:dyDescent="0.2">
      <c r="A305" t="s">
        <v>41</v>
      </c>
      <c r="B305" s="48">
        <f>INDEX(parameters!$D$4:$N$20,MATCH(B291&amp;B293,parameters!$A$4:$A$20,0),MATCH(A305,parameters!$D$3:$N$3,0))</f>
        <v>2.6666666666666665E-2</v>
      </c>
    </row>
    <row r="306" spans="1:22" x14ac:dyDescent="0.2">
      <c r="A306" t="s">
        <v>45</v>
      </c>
      <c r="B306" s="46">
        <f>INDEX(parameters!$D$4:$N$20,MATCH(B291&amp;B293,parameters!$A$4:$A$20,0),MATCH(A306,parameters!$D$3:$N$3,0))</f>
        <v>0</v>
      </c>
    </row>
    <row r="307" spans="1:22" x14ac:dyDescent="0.2">
      <c r="A307" t="s">
        <v>46</v>
      </c>
      <c r="B307" s="46">
        <f>INDEX(parameters!$D$4:$N$20,MATCH(B291&amp;B293,parameters!$A$4:$A$20,0),MATCH(A307,parameters!$D$3:$N$3,0))</f>
        <v>1.4999999999999999E-2</v>
      </c>
    </row>
    <row r="308" spans="1:22" x14ac:dyDescent="0.2">
      <c r="A308" t="s">
        <v>43</v>
      </c>
      <c r="B308" s="46">
        <f>INDEX(parameters!$D$4:$N$20,MATCH(B291&amp;B293,parameters!$A$4:$A$20,0),MATCH(A308,parameters!$D$3:$N$3,0))</f>
        <v>0</v>
      </c>
    </row>
    <row r="309" spans="1:22" x14ac:dyDescent="0.2">
      <c r="A309" t="s">
        <v>44</v>
      </c>
      <c r="B309" s="46">
        <f>INDEX(parameters!$D$4:$N$20,MATCH(B291&amp;B293,parameters!$A$4:$A$20,0),MATCH(A309,parameters!$D$3:$N$3,0))</f>
        <v>0</v>
      </c>
    </row>
    <row r="310" spans="1:22" x14ac:dyDescent="0.2">
      <c r="A310" t="s">
        <v>634</v>
      </c>
      <c r="B310" s="47">
        <f>INDEX(parameters!$D$4:$Y$20,MATCH(B291&amp;B293,parameters!$A$4:$A$20,0),MATCH(A310,parameters!$D$3:$Y$3,0))</f>
        <v>225</v>
      </c>
      <c r="D310" s="8"/>
    </row>
    <row r="311" spans="1:22" x14ac:dyDescent="0.2">
      <c r="A311" t="s">
        <v>82</v>
      </c>
      <c r="B311" s="46">
        <f>IF(B302&lt;&gt;0,VLOOKUP(B302,parameters!A356:B358,2,0),0)</f>
        <v>0</v>
      </c>
    </row>
    <row r="312" spans="1:22" x14ac:dyDescent="0.2">
      <c r="A312" t="s">
        <v>548</v>
      </c>
      <c r="B312" s="50">
        <f>INDEX(parameters!$D$4:$P$20,MATCH(B291&amp;B293,parameters!$A$4:$A$20,0),MATCH(A312,parameters!$D$3:$P$3,0))</f>
        <v>100</v>
      </c>
    </row>
    <row r="313" spans="1:22" x14ac:dyDescent="0.2">
      <c r="A313" t="s">
        <v>547</v>
      </c>
      <c r="B313" s="51">
        <f>INDEX(parameters!$D$4:$P$20,MATCH(B291&amp;B293,parameters!$A$4:$A$20,0),MATCH(A313,parameters!$D$3:$P$3,0))</f>
        <v>6</v>
      </c>
    </row>
    <row r="314" spans="1:22" x14ac:dyDescent="0.2">
      <c r="A314" t="s">
        <v>630</v>
      </c>
      <c r="B314" s="51">
        <f>INDEX(parameters!$D$4:$T$20,MATCH(B291&amp;B293,parameters!$A$4:$A$20,0),MATCH(A314,parameters!$D$3:$T$3,0))</f>
        <v>4100</v>
      </c>
    </row>
    <row r="315" spans="1:22" x14ac:dyDescent="0.2">
      <c r="A315" t="s">
        <v>1005</v>
      </c>
      <c r="B315" s="50">
        <f>IF(B287="megajoule",SUMIFS(allocation!$I$4:$I$30,allocation!$B$4:$B$30,B293,allocation!$C$4:$C$30,B294),SUMIFS(allocation!$J$4:$J$30,allocation!$B$4:$B$30,B293,allocation!$C$4:$C$30,B294))</f>
        <v>0.86412493489600906</v>
      </c>
    </row>
    <row r="316" spans="1:22" x14ac:dyDescent="0.2">
      <c r="A316" t="s">
        <v>1050</v>
      </c>
      <c r="B316" s="51">
        <f>INDEX(parameters!$D$4:$AB$20,MATCH(B291&amp;B293,parameters!$A$4:$A$20,0),MATCH(A316,parameters!$D$3:$AB$3,0))</f>
        <v>1153.1249999999998</v>
      </c>
    </row>
    <row r="318" spans="1:22" x14ac:dyDescent="0.2">
      <c r="A318" s="3" t="s">
        <v>57</v>
      </c>
    </row>
    <row r="319" spans="1:22" x14ac:dyDescent="0.2">
      <c r="A319" s="2" t="s">
        <v>58</v>
      </c>
      <c r="B319" s="44" t="s">
        <v>59</v>
      </c>
      <c r="C319" s="2" t="s">
        <v>55</v>
      </c>
      <c r="D319" s="2" t="s">
        <v>60</v>
      </c>
      <c r="E319" s="2" t="s">
        <v>52</v>
      </c>
      <c r="F319" s="2" t="s">
        <v>61</v>
      </c>
      <c r="G319" s="2" t="s">
        <v>54</v>
      </c>
      <c r="H319" s="2" t="s">
        <v>87</v>
      </c>
      <c r="I319" s="2" t="s">
        <v>51</v>
      </c>
      <c r="J319" s="2" t="s">
        <v>138</v>
      </c>
      <c r="K319" s="2" t="s">
        <v>136</v>
      </c>
      <c r="L319" s="2" t="s">
        <v>221</v>
      </c>
      <c r="M319" s="2" t="s">
        <v>379</v>
      </c>
      <c r="N319" s="2" t="s">
        <v>1059</v>
      </c>
      <c r="O319" s="2" t="s">
        <v>1060</v>
      </c>
      <c r="P319" s="2" t="s">
        <v>1061</v>
      </c>
      <c r="Q319" s="2" t="s">
        <v>1062</v>
      </c>
      <c r="R319" s="2" t="s">
        <v>1063</v>
      </c>
      <c r="S319" s="2" t="s">
        <v>1064</v>
      </c>
      <c r="T319" s="2" t="s">
        <v>1065</v>
      </c>
      <c r="U319" s="2" t="s">
        <v>380</v>
      </c>
      <c r="V319" s="2" t="s">
        <v>1128</v>
      </c>
    </row>
    <row r="320" spans="1:22" x14ac:dyDescent="0.2">
      <c r="A320" t="str">
        <f>B281</f>
        <v>electricity, residential, by conversion of hydrogen using fuel cell, SOFC, allocated by exergy, transported by pipeline, produced by Pyrolysis using natural gas from Switzerland</v>
      </c>
      <c r="B320" s="45">
        <v>1</v>
      </c>
      <c r="C320" t="str">
        <f>B287</f>
        <v>kilowatt hour</v>
      </c>
      <c r="E320" t="str">
        <f>B284</f>
        <v>CH</v>
      </c>
      <c r="F320" t="s">
        <v>62</v>
      </c>
      <c r="G320" t="str">
        <f>B286</f>
        <v>electricity, from residential heating system</v>
      </c>
      <c r="K320" t="str">
        <f>B281</f>
        <v>electricity, residential, by conversion of hydrogen using fuel cell, SOFC, allocated by exergy, transported by pipeline, produced by Pyrolysis using natural gas from Switzerland</v>
      </c>
    </row>
    <row r="321" spans="1:21" x14ac:dyDescent="0.2">
      <c r="A321" t="str">
        <f>VLOOKUP(J321,'dataset mapping'!$A$4:$E$69,2,0)</f>
        <v>fuel cell production, stack solid oxide, 125kW electrical, future</v>
      </c>
      <c r="B321" s="52">
        <f>1/(62*1000000)/B303*SUMIFS(allocation!$I$4:$I$30,allocation!$B$4:$B$30,B293,allocation!$C$4:$C$30,B294)</f>
        <v>4.6628368258061427E-9</v>
      </c>
      <c r="C321" t="str">
        <f>VLOOKUP(J321,'dataset mapping'!$A$4:$E$69,5,0)</f>
        <v>unit</v>
      </c>
      <c r="E321" t="str">
        <f>VLOOKUP(J321,'dataset mapping'!$A$4:$E$69,4,0)</f>
        <v>CH</v>
      </c>
      <c r="F321" t="s">
        <v>86</v>
      </c>
      <c r="G321" t="str">
        <f>VLOOKUP(J321,'dataset mapping'!$A$4:$E$69,3,0)</f>
        <v>fuel cell, stack solid oxide, 125kW electrical, future</v>
      </c>
      <c r="H321" t="s">
        <v>88</v>
      </c>
      <c r="I321" t="s">
        <v>277</v>
      </c>
      <c r="J321" t="s">
        <v>274</v>
      </c>
      <c r="K321" t="str">
        <f>B281</f>
        <v>electricity, residential, by conversion of hydrogen using fuel cell, SOFC, allocated by exergy, transported by pipeline, produced by Pyrolysis using natural gas from Switzerland</v>
      </c>
      <c r="L321">
        <f t="shared" ref="L321:L326" si="24">IF(OR(B321&lt;0,B321=0),1,2)</f>
        <v>2</v>
      </c>
      <c r="M321">
        <f t="shared" ref="M321:M326" si="25">IF(L321=2,LN(B321),"")</f>
        <v>-19.183641813126002</v>
      </c>
      <c r="N321">
        <v>1</v>
      </c>
      <c r="O321">
        <v>1.2</v>
      </c>
      <c r="P321">
        <v>1</v>
      </c>
      <c r="Q321">
        <v>1.01</v>
      </c>
      <c r="R321">
        <v>1.2</v>
      </c>
      <c r="S321">
        <v>1.2</v>
      </c>
      <c r="T321">
        <v>3</v>
      </c>
      <c r="U321">
        <f t="shared" ref="U321:U324" si="26">LN(SQRT(EXP(
SQRT(
+POWER(LN(N321),2)
+POWER(LN(O321),2)
+POWER(LN(P321),2)
+POWER(LN(Q321),2)
+POWER(LN(R321),2)
+POWER(LN(S321),2)
+POWER(LN(T321),2)
)
)))</f>
        <v>0.57157051623399524</v>
      </c>
    </row>
    <row r="322" spans="1:21" x14ac:dyDescent="0.2">
      <c r="A322" t="s">
        <v>283</v>
      </c>
      <c r="B322" s="52">
        <f>0.000000145/B303*SUMIFS(allocation!$I$4:$I$30,allocation!$B$4:$B$30,B293,allocation!$C$4:$C$30,B294)</f>
        <v>4.1918903063997216E-8</v>
      </c>
      <c r="C322" t="s">
        <v>55</v>
      </c>
      <c r="E322" t="s">
        <v>64</v>
      </c>
      <c r="F322" t="s">
        <v>86</v>
      </c>
      <c r="G322" t="s">
        <v>284</v>
      </c>
      <c r="H322" t="s">
        <v>88</v>
      </c>
      <c r="I322" t="s">
        <v>277</v>
      </c>
      <c r="K322" t="str">
        <f>B281</f>
        <v>electricity, residential, by conversion of hydrogen using fuel cell, SOFC, allocated by exergy, transported by pipeline, produced by Pyrolysis using natural gas from Switzerland</v>
      </c>
      <c r="L322">
        <f t="shared" si="24"/>
        <v>2</v>
      </c>
      <c r="M322">
        <f t="shared" si="25"/>
        <v>-16.987528964642475</v>
      </c>
      <c r="N322">
        <v>1</v>
      </c>
      <c r="O322">
        <v>1.2</v>
      </c>
      <c r="P322">
        <v>1</v>
      </c>
      <c r="Q322">
        <v>1.01</v>
      </c>
      <c r="R322">
        <v>1.2</v>
      </c>
      <c r="S322">
        <v>1.2</v>
      </c>
      <c r="T322">
        <v>3</v>
      </c>
      <c r="U322">
        <f t="shared" si="26"/>
        <v>0.57157051623399524</v>
      </c>
    </row>
    <row r="323" spans="1:21" x14ac:dyDescent="0.2">
      <c r="A323" t="s">
        <v>285</v>
      </c>
      <c r="B323" s="52">
        <f>0.0000000115/B303*SUMIFS(allocation!$I$4:$I$30,allocation!$B$4:$B$30,B293,allocation!$C$4:$C$30,B294)</f>
        <v>3.3246026567997794E-9</v>
      </c>
      <c r="C323" t="s">
        <v>55</v>
      </c>
      <c r="E323" t="s">
        <v>90</v>
      </c>
      <c r="F323" t="s">
        <v>86</v>
      </c>
      <c r="G323" t="s">
        <v>286</v>
      </c>
      <c r="H323" t="s">
        <v>88</v>
      </c>
      <c r="K323" t="str">
        <f>B281</f>
        <v>electricity, residential, by conversion of hydrogen using fuel cell, SOFC, allocated by exergy, transported by pipeline, produced by Pyrolysis using natural gas from Switzerland</v>
      </c>
      <c r="L323">
        <f t="shared" si="24"/>
        <v>2</v>
      </c>
      <c r="M323">
        <f t="shared" si="25"/>
        <v>-19.521915671693844</v>
      </c>
      <c r="N323">
        <v>1</v>
      </c>
      <c r="O323">
        <v>1.2</v>
      </c>
      <c r="P323">
        <v>1</v>
      </c>
      <c r="Q323">
        <v>1.01</v>
      </c>
      <c r="R323">
        <v>1.2</v>
      </c>
      <c r="S323">
        <v>1.2</v>
      </c>
      <c r="T323">
        <v>3</v>
      </c>
      <c r="U323">
        <f t="shared" si="26"/>
        <v>0.57157051623399524</v>
      </c>
    </row>
    <row r="324" spans="1:21" x14ac:dyDescent="0.2">
      <c r="A324" t="s">
        <v>288</v>
      </c>
      <c r="B324" s="52">
        <f>0.000024/B303*SUMIFS(allocation!$I$4:$I$30,allocation!$B$4:$B$30,B293,allocation!$C$4:$C$30,B294)</f>
        <v>6.9383011967995388E-6</v>
      </c>
      <c r="C324" t="s">
        <v>56</v>
      </c>
      <c r="E324" t="s">
        <v>64</v>
      </c>
      <c r="F324" t="s">
        <v>86</v>
      </c>
      <c r="G324" t="s">
        <v>287</v>
      </c>
      <c r="H324" t="s">
        <v>88</v>
      </c>
      <c r="K324" t="str">
        <f>B281</f>
        <v>electricity, residential, by conversion of hydrogen using fuel cell, SOFC, allocated by exergy, transported by pipeline, produced by Pyrolysis using natural gas from Switzerland</v>
      </c>
      <c r="L324">
        <f t="shared" si="24"/>
        <v>2</v>
      </c>
      <c r="M324">
        <f t="shared" si="25"/>
        <v>-11.878453597732966</v>
      </c>
      <c r="N324">
        <v>1</v>
      </c>
      <c r="O324">
        <v>1.2</v>
      </c>
      <c r="P324">
        <v>1</v>
      </c>
      <c r="Q324">
        <v>1.01</v>
      </c>
      <c r="R324">
        <v>1.2</v>
      </c>
      <c r="S324">
        <v>1.2</v>
      </c>
      <c r="T324">
        <v>1.05</v>
      </c>
      <c r="U324">
        <f t="shared" si="26"/>
        <v>0.15984597228197622</v>
      </c>
    </row>
    <row r="325" spans="1:21" x14ac:dyDescent="0.2">
      <c r="A325" s="45" t="str">
        <f>"hydrogen supply, transported by "&amp;B295&amp;", produced by "&amp;B299&amp;" using "&amp;B300&amp;" from "&amp;B301</f>
        <v>hydrogen supply, transported by pipeline, produced by Pyrolysis using natural gas from Switzerland</v>
      </c>
      <c r="B325" s="53">
        <f>(B320/B304)/B303*B315</f>
        <v>5.515691073804313E-2</v>
      </c>
      <c r="C325" t="s">
        <v>56</v>
      </c>
      <c r="E325" t="s">
        <v>64</v>
      </c>
      <c r="F325" t="s">
        <v>86</v>
      </c>
      <c r="G325" t="s">
        <v>1129</v>
      </c>
      <c r="H325" t="s">
        <v>76</v>
      </c>
      <c r="I325" t="s">
        <v>1054</v>
      </c>
      <c r="J325" t="s">
        <v>23</v>
      </c>
      <c r="K325" t="str">
        <f>B281</f>
        <v>electricity, residential, by conversion of hydrogen using fuel cell, SOFC, allocated by exergy, transported by pipeline, produced by Pyrolysis using natural gas from Switzerland</v>
      </c>
      <c r="L325">
        <f t="shared" si="24"/>
        <v>2</v>
      </c>
      <c r="M325">
        <f t="shared" si="25"/>
        <v>-2.8975732330996009</v>
      </c>
      <c r="N325">
        <v>1</v>
      </c>
      <c r="O325">
        <v>1.2</v>
      </c>
      <c r="P325">
        <v>1</v>
      </c>
      <c r="Q325">
        <v>1.01</v>
      </c>
      <c r="R325">
        <v>1.2</v>
      </c>
      <c r="S325">
        <v>1.2</v>
      </c>
      <c r="T325">
        <v>1.05</v>
      </c>
      <c r="U325">
        <f t="shared" ref="U325:U326" si="27">LN(SQRT(EXP(
SQRT(
+POWER(LN(N325),2)
+POWER(LN(O325),2)
+POWER(LN(P325),2)
+POWER(LN(Q325),2)
+POWER(LN(R325),2)
+POWER(LN(S325),2)
+POWER(LN(T325),2)
)
)))</f>
        <v>0.15984597228197622</v>
      </c>
    </row>
    <row r="326" spans="1:21" x14ac:dyDescent="0.2">
      <c r="A326" t="s">
        <v>134</v>
      </c>
      <c r="B326" s="45">
        <f>B325*9</f>
        <v>0.49641219664238817</v>
      </c>
      <c r="C326" t="s">
        <v>56</v>
      </c>
      <c r="D326" t="s">
        <v>100</v>
      </c>
      <c r="F326" t="s">
        <v>99</v>
      </c>
      <c r="H326" t="s">
        <v>131</v>
      </c>
      <c r="I326" t="s">
        <v>289</v>
      </c>
      <c r="K326" t="str">
        <f>B281</f>
        <v>electricity, residential, by conversion of hydrogen using fuel cell, SOFC, allocated by exergy, transported by pipeline, produced by Pyrolysis using natural gas from Switzerland</v>
      </c>
      <c r="L326">
        <f t="shared" si="24"/>
        <v>2</v>
      </c>
      <c r="M326">
        <f t="shared" si="25"/>
        <v>-0.70034865576338168</v>
      </c>
      <c r="N326">
        <v>1</v>
      </c>
      <c r="O326">
        <v>1.2</v>
      </c>
      <c r="P326">
        <v>1</v>
      </c>
      <c r="Q326">
        <v>1.01</v>
      </c>
      <c r="R326">
        <v>1.2</v>
      </c>
      <c r="S326">
        <v>1.2</v>
      </c>
      <c r="T326">
        <v>1.05</v>
      </c>
      <c r="U326">
        <f t="shared" si="27"/>
        <v>0.15984597228197622</v>
      </c>
    </row>
    <row r="328" spans="1:21" x14ac:dyDescent="0.2">
      <c r="A328" s="2" t="s">
        <v>50</v>
      </c>
      <c r="B328" s="44" t="str">
        <f>IF(B334="megajoule","heat","electricity")&amp;", residential, by "&amp;B339&amp;" of "&amp;B338&amp;" using "&amp;B340&amp;IF(B341&lt;&gt;0,", allocated by "&amp;B341,"")&amp;", transported by "&amp;B342&amp;", produced by "&amp;B346&amp;" using "&amp;B347&amp;" from "&amp;B348</f>
        <v>heat, residential, by combustion of hydrogen using boiler, transported by truck, produced by Pyrolysis using natural gas from Switzerland</v>
      </c>
    </row>
    <row r="329" spans="1:21" x14ac:dyDescent="0.2">
      <c r="A329" t="s">
        <v>51</v>
      </c>
      <c r="B329" s="45" t="str">
        <f>"This dataset represents the supply of 1 "&amp;IF(B334="megajoule","megajoule of heat","kilowatt hour of electricity")&amp;" in a residence, by "&amp;B338&amp;" "&amp;B339&amp;" in a "&amp;B340&amp;". "&amp;" The hydrogen is transported by "&amp;B342&amp;" over "&amp;B343&amp;" km from regional storage. "&amp;" The "&amp;B338&amp;" is produced by  "&amp;B346&amp;", with "&amp;B347&amp;" from "&amp;B348&amp;" as feedstock. "&amp;A350&amp;": "&amp;(B350*100)&amp;"%. "&amp;A351&amp;": "&amp;B351&amp;". "&amp;A352&amp;": "&amp;B352&amp;". "&amp;A353&amp;": "&amp;(B353*100)&amp;"%. "&amp;A354&amp;": "&amp;(B354*100)&amp;"%. "&amp;A355&amp;": "&amp;(B355*100)&amp;"%. "&amp;A356&amp;": "&amp;B356&amp;". "&amp;A357&amp;": "&amp;B357&amp;". "&amp;A358&amp;": "&amp;(B358*100)&amp;"%. "&amp;A359&amp;": "&amp;B359&amp;". "&amp;A360&amp;": "&amp;B360&amp;". "&amp;A361&amp;": "&amp;B361&amp;". "&amp;A362&amp;": "&amp;B362&amp;".  For more information, refer to: "&amp;B330</f>
        <v>This dataset represents the supply of 1 megajoule of heat in a residence, by hydrogen combustion in a boiler.  The hydrogen is transported by truck over 200 km from regional storage.  The hydrogen is produced by  Pyrolysis, with natural gas from Switzerland as feedstock. Heat conversion efficiency [% LHV input]: 94%. LHV [MJ/kg]: 120. Market price [€/MJ]: 0.0266666666666667. Distribution loss [% output]: 0%. Storage loss [% output]: 1.5%. Synthesis efficiency [% LHV input]: 0%. Hydrogen production efficiency [% LHV input]: 0. Total cap. Input-related [kW]: 15.9574468085106. CO2 biogenic share [%]: 0%. Power [kW]: 15. Lifetime [years]: 20. Annual operation [hours]: 2100. Allocation factor: 0.  For more information, refer to: Sacchi, R., Treyer, T., Zhang, X., Bauer, C. Life Cycle Assessment of Power-to-X processes and associated electricity and heat applications in the residential sector. Paul Scherrer Institut, 2023.</v>
      </c>
    </row>
    <row r="330" spans="1:21" x14ac:dyDescent="0.2">
      <c r="A330" t="s">
        <v>63</v>
      </c>
      <c r="B330" s="45" t="s">
        <v>660</v>
      </c>
    </row>
    <row r="331" spans="1:21" x14ac:dyDescent="0.2">
      <c r="A331" t="s">
        <v>52</v>
      </c>
      <c r="B331" s="45" t="s">
        <v>64</v>
      </c>
    </row>
    <row r="332" spans="1:21" x14ac:dyDescent="0.2">
      <c r="A332" t="s">
        <v>48</v>
      </c>
      <c r="B332" s="45">
        <v>157</v>
      </c>
    </row>
    <row r="333" spans="1:21" x14ac:dyDescent="0.2">
      <c r="A333" t="s">
        <v>54</v>
      </c>
      <c r="B333" s="45" t="str">
        <f>INDEX(overview!$B$4:$R$338,MATCH(B332,overview!$A$4:$A$338,0),MATCH(A333,overview!$B$3:$R$3,0))</f>
        <v>heat, from residential heating system</v>
      </c>
    </row>
    <row r="334" spans="1:21" x14ac:dyDescent="0.2">
      <c r="A334" t="s">
        <v>55</v>
      </c>
      <c r="B334" s="45" t="str">
        <f>INDEX(overview!$B$4:$R$338,MATCH(B332,overview!$A$4:$A$338,0),MATCH(A334,overview!$B$3:$R$3,0))</f>
        <v>megajoule</v>
      </c>
    </row>
    <row r="335" spans="1:21" x14ac:dyDescent="0.2">
      <c r="A335" t="s">
        <v>0</v>
      </c>
      <c r="B335" s="45" t="str">
        <f>INDEX(overview!$B$4:$R$338,MATCH(B332,overview!$A$4:$A$338,0),MATCH(A335,overview!$B$3:$R$3,0))</f>
        <v>Switzerland</v>
      </c>
    </row>
    <row r="336" spans="1:21" x14ac:dyDescent="0.2">
      <c r="A336" t="s">
        <v>1</v>
      </c>
      <c r="B336" s="45">
        <f>INDEX(overview!$B$4:$R$338,MATCH(B332,overview!$A$4:$A$338,0),MATCH(A336,overview!$B$3:$R$3,0))</f>
        <v>2020</v>
      </c>
    </row>
    <row r="337" spans="1:2" x14ac:dyDescent="0.2">
      <c r="A337" t="s">
        <v>2</v>
      </c>
      <c r="B337" s="45" t="str">
        <f>INDEX(overview!$B$4:$R$338,MATCH(B332,overview!$A$4:$A$338,0),MATCH(A337,overview!$B$3:$R$3,0))</f>
        <v>1 MJ heat</v>
      </c>
    </row>
    <row r="338" spans="1:2" x14ac:dyDescent="0.2">
      <c r="A338" t="s">
        <v>5</v>
      </c>
      <c r="B338" s="45" t="str">
        <f>INDEX(overview!$B$4:$R$338,MATCH(B332,overview!$A$4:$A$338,0),MATCH(A338,overview!$B$3:$R$3,0))</f>
        <v>hydrogen</v>
      </c>
    </row>
    <row r="339" spans="1:2" x14ac:dyDescent="0.2">
      <c r="A339" t="s">
        <v>3</v>
      </c>
      <c r="B339" s="45" t="str">
        <f>INDEX(overview!$B$4:$R$338,MATCH(B332,overview!$A$4:$A$338,0),MATCH(A339,overview!$B$3:$R$3,0))</f>
        <v>combustion</v>
      </c>
    </row>
    <row r="340" spans="1:2" x14ac:dyDescent="0.2">
      <c r="A340" t="s">
        <v>6</v>
      </c>
      <c r="B340" s="45" t="str">
        <f>INDEX(overview!$B$4:$R$338,MATCH(B332,overview!$A$4:$A$338,0),MATCH(A340,overview!$B$3:$R$3,0))</f>
        <v>boiler</v>
      </c>
    </row>
    <row r="341" spans="1:2" x14ac:dyDescent="0.2">
      <c r="A341" t="s">
        <v>39</v>
      </c>
      <c r="B341" s="45">
        <f>INDEX(overview!$B$4:$R$338,MATCH(B332,overview!$A$4:$A$338,0),MATCH(A341,overview!$B$3:$R$3,0))</f>
        <v>0</v>
      </c>
    </row>
    <row r="342" spans="1:2" x14ac:dyDescent="0.2">
      <c r="A342" t="s">
        <v>4</v>
      </c>
      <c r="B342" s="45" t="str">
        <f>INDEX(overview!$B$4:$R$338,MATCH(B332,overview!$A$4:$A$338,0),MATCH(A342,overview!$B$3:$R$3,0))</f>
        <v>truck</v>
      </c>
    </row>
    <row r="343" spans="1:2" x14ac:dyDescent="0.2">
      <c r="A343" t="s">
        <v>38</v>
      </c>
      <c r="B343" s="45">
        <f>INDEX(overview!$B$4:$R$338,MATCH(B332,overview!$A$4:$A$338,0),MATCH(A343,overview!$B$3:$R$3,0))</f>
        <v>200</v>
      </c>
    </row>
    <row r="344" spans="1:2" x14ac:dyDescent="0.2">
      <c r="A344" t="s">
        <v>12</v>
      </c>
      <c r="B344" s="45" t="str">
        <f>INDEX(overview!$B$4:$R$338,MATCH(B332,overview!$A$4:$A$338,0),MATCH(A344,overview!$B$3:$R$3,0))</f>
        <v>Pressure vessel for stationary storage</v>
      </c>
    </row>
    <row r="345" spans="1:2" x14ac:dyDescent="0.2">
      <c r="A345" t="s">
        <v>34</v>
      </c>
      <c r="B345" s="45">
        <f>INDEX(overview!$B$4:$R$338,MATCH(B332,overview!$A$4:$A$338,0),MATCH(A345,overview!$B$3:$R$3,0))</f>
        <v>0</v>
      </c>
    </row>
    <row r="346" spans="1:2" x14ac:dyDescent="0.2">
      <c r="A346" t="s">
        <v>15</v>
      </c>
      <c r="B346" s="45" t="str">
        <f>INDEX(overview!$B$4:$R$338,MATCH(B332,overview!$A$4:$A$338,0),MATCH(A346,overview!$B$3:$R$3,0))</f>
        <v>Pyrolysis</v>
      </c>
    </row>
    <row r="347" spans="1:2" x14ac:dyDescent="0.2">
      <c r="A347" t="s">
        <v>14</v>
      </c>
      <c r="B347" s="45" t="str">
        <f>INDEX(overview!$B$4:$R$338,MATCH(B332,overview!$A$4:$A$338,0),MATCH(A347,overview!$B$3:$R$3,0))</f>
        <v>natural gas</v>
      </c>
    </row>
    <row r="348" spans="1:2" x14ac:dyDescent="0.2">
      <c r="A348" t="s">
        <v>26</v>
      </c>
      <c r="B348" s="45" t="str">
        <f>INDEX(overview!$B$4:$R$338,MATCH(B332,overview!$A$4:$A$338,0),MATCH(A348,overview!$B$3:$R$3,0))</f>
        <v>Switzerland</v>
      </c>
    </row>
    <row r="349" spans="1:2" x14ac:dyDescent="0.2">
      <c r="A349" t="s">
        <v>29</v>
      </c>
      <c r="B349" s="45">
        <f>INDEX(overview!$B$4:$R$338,MATCH(B332,overview!$A$4:$A$338,0),MATCH(A349,overview!$B$3:$R$3,0))</f>
        <v>0</v>
      </c>
    </row>
    <row r="350" spans="1:2" x14ac:dyDescent="0.2">
      <c r="A350" t="str">
        <f>IF(B334="megajoule","Heat","Electricity")&amp;" conversion efficiency [% LHV input]"</f>
        <v>Heat conversion efficiency [% LHV input]</v>
      </c>
      <c r="B350" s="46">
        <f>INDEX(parameters!$D$4:$N$20,MATCH(B338&amp;B340,parameters!$A$4:$A$20,0),MATCH(A350,parameters!$D$3:$N$3,0))</f>
        <v>0.94</v>
      </c>
    </row>
    <row r="351" spans="1:2" x14ac:dyDescent="0.2">
      <c r="A351" t="str">
        <f>IF(B334="megajoule","LHV [MJ/kg]","LHV [kWh/kg]")</f>
        <v>LHV [MJ/kg]</v>
      </c>
      <c r="B351" s="47">
        <f>INDEX(parameters!$D$4:$N$20,MATCH(B338&amp;B340,parameters!$A$4:$A$20,0),MATCH(A351,parameters!$D$3:$N$3,0))</f>
        <v>120</v>
      </c>
    </row>
    <row r="352" spans="1:2" x14ac:dyDescent="0.2">
      <c r="A352" t="s">
        <v>41</v>
      </c>
      <c r="B352" s="48">
        <f>INDEX(parameters!$D$4:$N$20,MATCH(B338&amp;B340,parameters!$A$4:$A$20,0),MATCH(A352,parameters!$D$3:$N$3,0))</f>
        <v>2.6666666666666665E-2</v>
      </c>
    </row>
    <row r="353" spans="1:22" x14ac:dyDescent="0.2">
      <c r="A353" t="s">
        <v>45</v>
      </c>
      <c r="B353" s="46">
        <f>INDEX(parameters!$D$4:$N$20,MATCH(B338&amp;B340,parameters!$A$4:$A$20,0),MATCH(A353,parameters!$D$3:$N$3,0))</f>
        <v>0</v>
      </c>
    </row>
    <row r="354" spans="1:22" x14ac:dyDescent="0.2">
      <c r="A354" t="s">
        <v>46</v>
      </c>
      <c r="B354" s="46">
        <f>INDEX(parameters!$D$4:$N$20,MATCH(B338&amp;B340,parameters!$A$4:$A$20,0),MATCH(A354,parameters!$D$3:$N$3,0))</f>
        <v>1.4999999999999999E-2</v>
      </c>
    </row>
    <row r="355" spans="1:22" x14ac:dyDescent="0.2">
      <c r="A355" t="s">
        <v>43</v>
      </c>
      <c r="B355" s="46">
        <f>INDEX(parameters!$D$4:$N$20,MATCH(B338&amp;B340,parameters!$A$4:$A$20,0),MATCH(A355,parameters!$D$3:$N$3,0))</f>
        <v>0</v>
      </c>
    </row>
    <row r="356" spans="1:22" x14ac:dyDescent="0.2">
      <c r="A356" t="s">
        <v>44</v>
      </c>
      <c r="B356" s="46">
        <f>INDEX(parameters!$D$4:$N$20,MATCH(B338&amp;B340,parameters!$A$4:$A$20,0),MATCH(A356,parameters!$D$3:$N$3,0))</f>
        <v>0</v>
      </c>
    </row>
    <row r="357" spans="1:22" x14ac:dyDescent="0.2">
      <c r="A357" t="s">
        <v>634</v>
      </c>
      <c r="B357" s="47">
        <f>INDEX(parameters!$D$4:$Y$20,MATCH(B338&amp;B340,parameters!$A$4:$A$20,0),MATCH(A357,parameters!$D$3:$Y$3,0))</f>
        <v>15.957446808510639</v>
      </c>
    </row>
    <row r="358" spans="1:22" x14ac:dyDescent="0.2">
      <c r="A358" t="s">
        <v>82</v>
      </c>
      <c r="B358" s="46">
        <f>IF(B349&lt;&gt;0,VLOOKUP(B349,parameters!A253:B255,2,0),0)</f>
        <v>0</v>
      </c>
    </row>
    <row r="359" spans="1:22" x14ac:dyDescent="0.2">
      <c r="A359" t="s">
        <v>548</v>
      </c>
      <c r="B359" s="50">
        <f>INDEX(parameters!$D$4:$P$20,MATCH(B338&amp;B340,parameters!$A$4:$A$20,0),MATCH(A359,parameters!$D$3:$P$3,0))</f>
        <v>15</v>
      </c>
    </row>
    <row r="360" spans="1:22" x14ac:dyDescent="0.2">
      <c r="A360" t="s">
        <v>547</v>
      </c>
      <c r="B360" s="51">
        <f>INDEX(parameters!$D$4:$P$20,MATCH(B338&amp;B340,parameters!$A$4:$A$20,0),MATCH(A360,parameters!$D$3:$P$3,0))</f>
        <v>20</v>
      </c>
    </row>
    <row r="361" spans="1:22" x14ac:dyDescent="0.2">
      <c r="A361" t="s">
        <v>630</v>
      </c>
      <c r="B361" s="51">
        <f>INDEX(parameters!$D$4:$T$20,MATCH(B338&amp;B340,parameters!$A$4:$A$20,0),MATCH(A361,parameters!$D$3:$T$3,0))</f>
        <v>2100</v>
      </c>
    </row>
    <row r="362" spans="1:22" x14ac:dyDescent="0.2">
      <c r="A362" t="s">
        <v>1005</v>
      </c>
      <c r="B362" s="50">
        <f>IF(B334="megajoule",SUMIFS(allocation!$I$4:$I$30,allocation!$B$4:$B$30,B340,allocation!$C$4:$C$30,B341),SUMIFS(allocation!$J$4:$J$30,allocation!$B$4:$B$30,B340,allocation!$C$4:$C$30,B341))</f>
        <v>0</v>
      </c>
    </row>
    <row r="363" spans="1:22" x14ac:dyDescent="0.2">
      <c r="A363" t="s">
        <v>1050</v>
      </c>
      <c r="B363" s="51">
        <f>INDEX(parameters!$D$4:$AB$20,MATCH(B338&amp;B340,parameters!$A$4:$A$20,0),MATCH(A363,parameters!$D$3:$AB$3,0))</f>
        <v>44.562019013128115</v>
      </c>
    </row>
    <row r="365" spans="1:22" x14ac:dyDescent="0.2">
      <c r="A365" s="3" t="s">
        <v>57</v>
      </c>
    </row>
    <row r="366" spans="1:22" x14ac:dyDescent="0.2">
      <c r="A366" s="2" t="s">
        <v>58</v>
      </c>
      <c r="B366" s="44" t="s">
        <v>59</v>
      </c>
      <c r="C366" s="2" t="s">
        <v>55</v>
      </c>
      <c r="D366" s="2" t="s">
        <v>60</v>
      </c>
      <c r="E366" s="2" t="s">
        <v>52</v>
      </c>
      <c r="F366" s="2" t="s">
        <v>61</v>
      </c>
      <c r="G366" s="2" t="s">
        <v>54</v>
      </c>
      <c r="H366" s="2" t="s">
        <v>87</v>
      </c>
      <c r="I366" s="2" t="s">
        <v>51</v>
      </c>
      <c r="J366" s="2" t="s">
        <v>138</v>
      </c>
      <c r="K366" s="2" t="s">
        <v>136</v>
      </c>
      <c r="L366" s="2" t="s">
        <v>221</v>
      </c>
      <c r="M366" s="2" t="s">
        <v>379</v>
      </c>
      <c r="N366" s="2" t="s">
        <v>1059</v>
      </c>
      <c r="O366" s="2" t="s">
        <v>1060</v>
      </c>
      <c r="P366" s="2" t="s">
        <v>1061</v>
      </c>
      <c r="Q366" s="2" t="s">
        <v>1062</v>
      </c>
      <c r="R366" s="2" t="s">
        <v>1063</v>
      </c>
      <c r="S366" s="2" t="s">
        <v>1064</v>
      </c>
      <c r="T366" s="2" t="s">
        <v>1065</v>
      </c>
      <c r="U366" s="2" t="s">
        <v>380</v>
      </c>
      <c r="V366" s="2" t="s">
        <v>1128</v>
      </c>
    </row>
    <row r="367" spans="1:22" x14ac:dyDescent="0.2">
      <c r="A367" t="str">
        <f>B328</f>
        <v>heat, residential, by combustion of hydrogen using boiler, transported by truck, produced by Pyrolysis using natural gas from Switzerland</v>
      </c>
      <c r="B367" s="45">
        <v>1</v>
      </c>
      <c r="C367" t="str">
        <f>B334</f>
        <v>megajoule</v>
      </c>
      <c r="E367" t="str">
        <f>B331</f>
        <v>CH</v>
      </c>
      <c r="F367" t="s">
        <v>62</v>
      </c>
      <c r="G367" t="str">
        <f>B333</f>
        <v>heat, from residential heating system</v>
      </c>
      <c r="K367" t="str">
        <f>B328</f>
        <v>heat, residential, by combustion of hydrogen using boiler, transported by truck, produced by Pyrolysis using natural gas from Switzerland</v>
      </c>
    </row>
    <row r="368" spans="1:22" x14ac:dyDescent="0.2">
      <c r="A368" t="s">
        <v>83</v>
      </c>
      <c r="B368" s="52">
        <f>1/(B359*B361*B360*3.6)</f>
        <v>4.4091710758377425E-7</v>
      </c>
      <c r="C368" t="s">
        <v>55</v>
      </c>
      <c r="E368" t="s">
        <v>85</v>
      </c>
      <c r="F368" t="s">
        <v>86</v>
      </c>
      <c r="G368" t="s">
        <v>84</v>
      </c>
      <c r="H368" t="s">
        <v>88</v>
      </c>
      <c r="K368" t="str">
        <f>B328</f>
        <v>heat, residential, by combustion of hydrogen using boiler, transported by truck, produced by Pyrolysis using natural gas from Switzerland</v>
      </c>
      <c r="L368">
        <f t="shared" ref="L368:L374" si="28">IF(OR(B368&lt;0,B368=0),1,2)</f>
        <v>2</v>
      </c>
      <c r="M368">
        <f t="shared" ref="M368:M374" si="29">IF(L368=2,LN(B368),"")</f>
        <v>-14.634408943829779</v>
      </c>
      <c r="N368">
        <v>1.05</v>
      </c>
      <c r="O368">
        <v>1.2</v>
      </c>
      <c r="P368">
        <v>1</v>
      </c>
      <c r="Q368">
        <v>1.01</v>
      </c>
      <c r="R368">
        <v>1.2</v>
      </c>
      <c r="S368">
        <v>1.2</v>
      </c>
      <c r="T368">
        <v>3</v>
      </c>
      <c r="U368">
        <f t="shared" ref="U368:U374" si="30">LN(SQRT(EXP(
SQRT(
+POWER(LN(N368),2)
+POWER(LN(O368),2)
+POWER(LN(P368),2)
+POWER(LN(Q368),2)
+POWER(LN(R368),2)
+POWER(LN(S368),2)
+POWER(LN(T368),2)
)
)))</f>
        <v>0.57209088006881903</v>
      </c>
    </row>
    <row r="369" spans="1:21" x14ac:dyDescent="0.2">
      <c r="A369" t="s">
        <v>500</v>
      </c>
      <c r="B369" s="52">
        <f>B368*2</f>
        <v>8.8183421516754851E-7</v>
      </c>
      <c r="C369" t="s">
        <v>267</v>
      </c>
      <c r="E369" t="s">
        <v>85</v>
      </c>
      <c r="F369" t="s">
        <v>86</v>
      </c>
      <c r="G369" t="s">
        <v>501</v>
      </c>
      <c r="H369" t="s">
        <v>88</v>
      </c>
      <c r="I369" t="s">
        <v>621</v>
      </c>
      <c r="K369" t="str">
        <f>B328</f>
        <v>heat, residential, by combustion of hydrogen using boiler, transported by truck, produced by Pyrolysis using natural gas from Switzerland</v>
      </c>
      <c r="L369">
        <f t="shared" si="28"/>
        <v>2</v>
      </c>
      <c r="M369">
        <f t="shared" si="29"/>
        <v>-13.941261763269834</v>
      </c>
      <c r="N369">
        <v>1.05</v>
      </c>
      <c r="O369">
        <v>1.2</v>
      </c>
      <c r="P369">
        <v>1</v>
      </c>
      <c r="Q369">
        <v>1.01</v>
      </c>
      <c r="R369">
        <v>1.2</v>
      </c>
      <c r="S369">
        <v>1.2</v>
      </c>
      <c r="T369">
        <v>3</v>
      </c>
      <c r="U369">
        <f t="shared" si="30"/>
        <v>0.57209088006881903</v>
      </c>
    </row>
    <row r="370" spans="1:21" x14ac:dyDescent="0.2">
      <c r="A370" t="s">
        <v>130</v>
      </c>
      <c r="B370" s="52">
        <v>2.64E-3</v>
      </c>
      <c r="C370" t="s">
        <v>92</v>
      </c>
      <c r="E370" t="s">
        <v>64</v>
      </c>
      <c r="F370" t="s">
        <v>86</v>
      </c>
      <c r="G370" t="s">
        <v>93</v>
      </c>
      <c r="H370" t="s">
        <v>78</v>
      </c>
      <c r="I370" t="s">
        <v>270</v>
      </c>
      <c r="J370" t="s">
        <v>67</v>
      </c>
      <c r="K370" t="str">
        <f>B328</f>
        <v>heat, residential, by combustion of hydrogen using boiler, transported by truck, produced by Pyrolysis using natural gas from Switzerland</v>
      </c>
      <c r="L370">
        <f t="shared" si="28"/>
        <v>2</v>
      </c>
      <c r="M370">
        <f t="shared" si="29"/>
        <v>-5.9369763618239126</v>
      </c>
      <c r="N370">
        <v>1.05</v>
      </c>
      <c r="O370">
        <v>1.2</v>
      </c>
      <c r="P370">
        <v>1</v>
      </c>
      <c r="Q370">
        <v>1.01</v>
      </c>
      <c r="R370">
        <v>1.2</v>
      </c>
      <c r="S370">
        <v>1.2</v>
      </c>
      <c r="T370">
        <v>1.05</v>
      </c>
      <c r="U370">
        <f t="shared" si="30"/>
        <v>0.16169679924070957</v>
      </c>
    </row>
    <row r="371" spans="1:21" x14ac:dyDescent="0.2">
      <c r="A371" s="45" t="str">
        <f>"hydrogen supply, transported by "&amp;B342&amp;", produced by "&amp;B346&amp;" using "&amp;B347&amp;" from "&amp;B348</f>
        <v>hydrogen supply, transported by truck, produced by Pyrolysis using natural gas from Switzerland</v>
      </c>
      <c r="B371" s="53">
        <f>(B367/B351)/B350</f>
        <v>8.8652482269503553E-3</v>
      </c>
      <c r="C371" t="s">
        <v>56</v>
      </c>
      <c r="E371" t="s">
        <v>64</v>
      </c>
      <c r="F371" t="s">
        <v>86</v>
      </c>
      <c r="G371" t="s">
        <v>1137</v>
      </c>
      <c r="H371" t="s">
        <v>76</v>
      </c>
      <c r="I371" t="s">
        <v>1054</v>
      </c>
      <c r="J371" t="s">
        <v>23</v>
      </c>
      <c r="K371" t="str">
        <f>B328</f>
        <v>heat, residential, by combustion of hydrogen using boiler, transported by truck, produced by Pyrolysis using natural gas from Switzerland</v>
      </c>
      <c r="L371">
        <f t="shared" si="28"/>
        <v>2</v>
      </c>
      <c r="M371">
        <f t="shared" si="29"/>
        <v>-4.7256163390639587</v>
      </c>
      <c r="N371">
        <v>1.05</v>
      </c>
      <c r="O371">
        <v>1.2</v>
      </c>
      <c r="P371">
        <v>1</v>
      </c>
      <c r="Q371">
        <v>1.01</v>
      </c>
      <c r="R371">
        <v>1.2</v>
      </c>
      <c r="S371">
        <v>1.2</v>
      </c>
      <c r="T371">
        <v>1.05</v>
      </c>
      <c r="U371">
        <f t="shared" si="30"/>
        <v>0.16169679924070957</v>
      </c>
    </row>
    <row r="372" spans="1:21" x14ac:dyDescent="0.2">
      <c r="A372" t="str">
        <f>VLOOKUP(J372,'dataset mapping'!$A$4:$E$69,2,0)</f>
        <v>high pressure hydrogen storage tank</v>
      </c>
      <c r="B372" s="52">
        <f>((B363/10)/(B361*B357*20*3.6))*IF(B362&lt;&gt;0,B362,1)</f>
        <v>1.8469267139479905E-6</v>
      </c>
      <c r="C372" t="str">
        <f>VLOOKUP(J372,'dataset mapping'!$A$4:$E$69,5,0)</f>
        <v>kilogram</v>
      </c>
      <c r="E372" t="str">
        <f>VLOOKUP(J372,'dataset mapping'!$A$4:$E$69,4,0)</f>
        <v>GLO</v>
      </c>
      <c r="F372" t="s">
        <v>86</v>
      </c>
      <c r="G372" t="str">
        <f>VLOOKUP(J372,'dataset mapping'!$A$4:$E$69,3,0)</f>
        <v>high pressure hydrogen storage tank</v>
      </c>
      <c r="H372" t="s">
        <v>88</v>
      </c>
      <c r="I372" t="s">
        <v>230</v>
      </c>
      <c r="J372" t="s">
        <v>229</v>
      </c>
      <c r="K372" t="str">
        <f>B328</f>
        <v>heat, residential, by combustion of hydrogen using boiler, transported by truck, produced by Pyrolysis using natural gas from Switzerland</v>
      </c>
      <c r="L372">
        <f t="shared" si="28"/>
        <v>2</v>
      </c>
      <c r="M372">
        <f t="shared" si="29"/>
        <v>-13.20198753595994</v>
      </c>
      <c r="N372">
        <v>1.05</v>
      </c>
      <c r="O372">
        <v>1.2</v>
      </c>
      <c r="P372">
        <v>1</v>
      </c>
      <c r="Q372">
        <v>1.01</v>
      </c>
      <c r="R372">
        <v>1.2</v>
      </c>
      <c r="S372">
        <v>1.2</v>
      </c>
      <c r="T372">
        <v>3</v>
      </c>
      <c r="U372">
        <f t="shared" si="30"/>
        <v>0.57209088006881903</v>
      </c>
    </row>
    <row r="373" spans="1:21" x14ac:dyDescent="0.2">
      <c r="A373" t="s">
        <v>134</v>
      </c>
      <c r="B373" s="45">
        <f>B371*9</f>
        <v>7.9787234042553196E-2</v>
      </c>
      <c r="C373" t="s">
        <v>56</v>
      </c>
      <c r="D373" t="s">
        <v>100</v>
      </c>
      <c r="F373" t="s">
        <v>99</v>
      </c>
      <c r="H373" t="s">
        <v>131</v>
      </c>
      <c r="K373" t="str">
        <f>B328</f>
        <v>heat, residential, by combustion of hydrogen using boiler, transported by truck, produced by Pyrolysis using natural gas from Switzerland</v>
      </c>
      <c r="L373">
        <f t="shared" si="28"/>
        <v>2</v>
      </c>
      <c r="M373">
        <f t="shared" si="29"/>
        <v>-2.5283917617277392</v>
      </c>
      <c r="N373">
        <v>1.05</v>
      </c>
      <c r="O373">
        <v>1.2</v>
      </c>
      <c r="P373">
        <v>1</v>
      </c>
      <c r="Q373">
        <v>1.01</v>
      </c>
      <c r="R373">
        <v>1.2</v>
      </c>
      <c r="S373">
        <v>1.2</v>
      </c>
      <c r="T373">
        <v>1.05</v>
      </c>
      <c r="U373">
        <f t="shared" si="30"/>
        <v>0.16169679924070957</v>
      </c>
    </row>
    <row r="374" spans="1:21" x14ac:dyDescent="0.2">
      <c r="A374" t="s">
        <v>135</v>
      </c>
      <c r="B374" s="45">
        <f>912.5/1000000*B371</f>
        <v>8.0895390070921995E-6</v>
      </c>
      <c r="C374" t="s">
        <v>56</v>
      </c>
      <c r="D374" t="s">
        <v>100</v>
      </c>
      <c r="F374" t="s">
        <v>99</v>
      </c>
      <c r="H374" t="s">
        <v>131</v>
      </c>
      <c r="I374" t="s">
        <v>1217</v>
      </c>
      <c r="K374" t="str">
        <f>B328</f>
        <v>heat, residential, by combustion of hydrogen using boiler, transported by truck, produced by Pyrolysis using natural gas from Switzerland</v>
      </c>
      <c r="L374">
        <f t="shared" si="28"/>
        <v>2</v>
      </c>
      <c r="M374">
        <f t="shared" si="29"/>
        <v>-11.724938811571587</v>
      </c>
      <c r="N374">
        <v>1.05</v>
      </c>
      <c r="O374">
        <v>1.2</v>
      </c>
      <c r="P374">
        <v>1</v>
      </c>
      <c r="Q374">
        <v>1.01</v>
      </c>
      <c r="R374">
        <v>1.2</v>
      </c>
      <c r="S374">
        <v>1.2</v>
      </c>
      <c r="T374">
        <v>1.5</v>
      </c>
      <c r="U374">
        <f t="shared" si="30"/>
        <v>0.25816898211842121</v>
      </c>
    </row>
    <row r="376" spans="1:21" x14ac:dyDescent="0.2">
      <c r="A376" s="2" t="s">
        <v>50</v>
      </c>
      <c r="B376" s="44" t="str">
        <f>IF(B382="megajoule","heat","electricity")&amp;", residential, by "&amp;B387&amp;" of "&amp;B386&amp;" using "&amp;B388&amp;IF(B389&lt;&gt;0,", allocated by "&amp;B389,"")&amp;", transported by "&amp;B390&amp;", produced by "&amp;B394&amp;" using "&amp;B395&amp;" from "&amp;B396</f>
        <v>heat, residential, by combustion of hydrogen using CHP, allocated by exergy, transported by truck, produced by Pyrolysis using natural gas from Switzerland</v>
      </c>
    </row>
    <row r="377" spans="1:21" x14ac:dyDescent="0.2">
      <c r="A377" t="s">
        <v>51</v>
      </c>
      <c r="B377" s="45" t="str">
        <f>"This dataset represents the supply of 1 "&amp;IF(B382="megajoule","megajoule of heat","kilowatt hour of electricity")&amp;" in a residence, by "&amp;B386&amp;" "&amp;B387&amp;" in a "&amp;B388&amp;". "&amp;" The hydrogen is transported by "&amp;B390&amp;" over "&amp;B391&amp;" km from regional storage. "&amp;" The "&amp;B386&amp;" is produced by  "&amp;B394&amp;", with "&amp;B395&amp;" from "&amp;B396&amp;" as feedstock. "&amp;A398&amp;": "&amp;(B398*100)&amp;"%. "&amp;A399&amp;": "&amp;B399&amp;". "&amp;A400&amp;": "&amp;B400&amp;". "&amp;A401&amp;": "&amp;(B401*100)&amp;"%. "&amp;A402&amp;": "&amp;(B402*100)&amp;"%. "&amp;A403&amp;": "&amp;(B403*100)&amp;"%. "&amp;A404&amp;": "&amp;B404&amp;". "&amp;A405&amp;": "&amp;B405&amp;". "&amp;A406&amp;": "&amp;(B406*100)&amp;"%. "&amp;A407&amp;": "&amp;B407&amp;". "&amp;A408&amp;": "&amp;B408&amp;". "&amp;A409&amp;": "&amp;B409&amp;". "&amp;A410&amp;": "&amp;B410&amp;".  For more information, refer to: "&amp;B378</f>
        <v>This dataset represents the supply of 1 megajoule of heat in a residence, by hydrogen combustion in a CHP.  The hydrogen is transported by truck over 200 km from regional storage.  The hydrogen is produced by  Pyrolysis, with natural gas from Switzerland as feedstock. Heat conversion efficiency [% LHV input]: 41.7%. LHV [MJ/kg]: 120.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0.12860042227295.  For more information, refer to: Sacchi, R., Treyer, T., Zhang, X., Bauer, C. Life Cycle Assessment of Power-to-X processes and associated electricity and heat applications in the residential sector. Paul Scherrer Institut, 2023.</v>
      </c>
    </row>
    <row r="378" spans="1:21" x14ac:dyDescent="0.2">
      <c r="A378" t="s">
        <v>63</v>
      </c>
      <c r="B378" s="45" t="s">
        <v>660</v>
      </c>
    </row>
    <row r="379" spans="1:21" x14ac:dyDescent="0.2">
      <c r="A379" t="s">
        <v>52</v>
      </c>
      <c r="B379" s="45" t="s">
        <v>64</v>
      </c>
    </row>
    <row r="380" spans="1:21" x14ac:dyDescent="0.2">
      <c r="A380" t="s">
        <v>48</v>
      </c>
      <c r="B380" s="45">
        <v>158</v>
      </c>
    </row>
    <row r="381" spans="1:21" x14ac:dyDescent="0.2">
      <c r="A381" t="s">
        <v>54</v>
      </c>
      <c r="B381" s="45" t="str">
        <f>INDEX(overview!$B$4:$R$338,MATCH(B380,overview!$A$4:$A$338,0),MATCH(A381,overview!$B$3:$R$3,0))</f>
        <v>heat, from residential heating system</v>
      </c>
    </row>
    <row r="382" spans="1:21" x14ac:dyDescent="0.2">
      <c r="A382" t="s">
        <v>55</v>
      </c>
      <c r="B382" s="45" t="str">
        <f>INDEX(overview!$B$4:$R$338,MATCH(B380,overview!$A$4:$A$338,0),MATCH(A382,overview!$B$3:$R$3,0))</f>
        <v>megajoule</v>
      </c>
    </row>
    <row r="383" spans="1:21" x14ac:dyDescent="0.2">
      <c r="A383" t="s">
        <v>0</v>
      </c>
      <c r="B383" s="45" t="str">
        <f>INDEX(overview!$B$4:$R$338,MATCH(B380,overview!$A$4:$A$338,0),MATCH(A383,overview!$B$3:$R$3,0))</f>
        <v>Switzerland</v>
      </c>
    </row>
    <row r="384" spans="1:21" x14ac:dyDescent="0.2">
      <c r="A384" t="s">
        <v>1</v>
      </c>
      <c r="B384" s="45">
        <f>INDEX(overview!$B$4:$R$338,MATCH(B380,overview!$A$4:$A$338,0),MATCH(A384,overview!$B$3:$R$3,0))</f>
        <v>2020</v>
      </c>
    </row>
    <row r="385" spans="1:2" x14ac:dyDescent="0.2">
      <c r="A385" t="s">
        <v>2</v>
      </c>
      <c r="B385" s="45" t="str">
        <f>INDEX(overview!$B$4:$R$338,MATCH(B380,overview!$A$4:$A$338,0),MATCH(A385,overview!$B$3:$R$3,0))</f>
        <v>1 MJ heat</v>
      </c>
    </row>
    <row r="386" spans="1:2" x14ac:dyDescent="0.2">
      <c r="A386" t="s">
        <v>5</v>
      </c>
      <c r="B386" s="45" t="str">
        <f>INDEX(overview!$B$4:$R$338,MATCH(B380,overview!$A$4:$A$338,0),MATCH(A386,overview!$B$3:$R$3,0))</f>
        <v>hydrogen</v>
      </c>
    </row>
    <row r="387" spans="1:2" x14ac:dyDescent="0.2">
      <c r="A387" t="s">
        <v>3</v>
      </c>
      <c r="B387" s="45" t="str">
        <f>INDEX(overview!$B$4:$R$338,MATCH(B380,overview!$A$4:$A$338,0),MATCH(A387,overview!$B$3:$R$3,0))</f>
        <v>combustion</v>
      </c>
    </row>
    <row r="388" spans="1:2" x14ac:dyDescent="0.2">
      <c r="A388" t="s">
        <v>6</v>
      </c>
      <c r="B388" s="45" t="str">
        <f>INDEX(overview!$B$4:$R$338,MATCH(B380,overview!$A$4:$A$338,0),MATCH(A388,overview!$B$3:$R$3,0))</f>
        <v>CHP</v>
      </c>
    </row>
    <row r="389" spans="1:2" x14ac:dyDescent="0.2">
      <c r="A389" t="s">
        <v>39</v>
      </c>
      <c r="B389" s="45" t="str">
        <f>INDEX(overview!$B$4:$R$338,MATCH(B380,overview!$A$4:$A$338,0),MATCH(A389,overview!$B$3:$R$3,0))</f>
        <v>exergy</v>
      </c>
    </row>
    <row r="390" spans="1:2" x14ac:dyDescent="0.2">
      <c r="A390" t="s">
        <v>4</v>
      </c>
      <c r="B390" s="45" t="str">
        <f>INDEX(overview!$B$4:$R$338,MATCH(B380,overview!$A$4:$A$338,0),MATCH(A390,overview!$B$3:$R$3,0))</f>
        <v>truck</v>
      </c>
    </row>
    <row r="391" spans="1:2" x14ac:dyDescent="0.2">
      <c r="A391" t="s">
        <v>38</v>
      </c>
      <c r="B391" s="45">
        <f>INDEX(overview!$B$4:$R$338,MATCH(B380,overview!$A$4:$A$338,0),MATCH(A391,overview!$B$3:$R$3,0))</f>
        <v>200</v>
      </c>
    </row>
    <row r="392" spans="1:2" x14ac:dyDescent="0.2">
      <c r="A392" t="s">
        <v>12</v>
      </c>
      <c r="B392" s="45" t="str">
        <f>INDEX(overview!$B$4:$R$338,MATCH(B380,overview!$A$4:$A$338,0),MATCH(A392,overview!$B$3:$R$3,0))</f>
        <v>Pressure vessel for stationary storage</v>
      </c>
    </row>
    <row r="393" spans="1:2" x14ac:dyDescent="0.2">
      <c r="A393" t="s">
        <v>34</v>
      </c>
      <c r="B393" s="45">
        <f>INDEX(overview!$B$4:$R$338,MATCH(B380,overview!$A$4:$A$338,0),MATCH(A393,overview!$B$3:$R$3,0))</f>
        <v>0</v>
      </c>
    </row>
    <row r="394" spans="1:2" x14ac:dyDescent="0.2">
      <c r="A394" t="s">
        <v>15</v>
      </c>
      <c r="B394" s="45" t="str">
        <f>INDEX(overview!$B$4:$R$338,MATCH(B380,overview!$A$4:$A$338,0),MATCH(A394,overview!$B$3:$R$3,0))</f>
        <v>Pyrolysis</v>
      </c>
    </row>
    <row r="395" spans="1:2" x14ac:dyDescent="0.2">
      <c r="A395" t="s">
        <v>14</v>
      </c>
      <c r="B395" s="45" t="str">
        <f>INDEX(overview!$B$4:$R$338,MATCH(B380,overview!$A$4:$A$338,0),MATCH(A395,overview!$B$3:$R$3,0))</f>
        <v>natural gas</v>
      </c>
    </row>
    <row r="396" spans="1:2" x14ac:dyDescent="0.2">
      <c r="A396" t="s">
        <v>26</v>
      </c>
      <c r="B396" s="45" t="str">
        <f>INDEX(overview!$B$4:$R$338,MATCH(B380,overview!$A$4:$A$338,0),MATCH(A396,overview!$B$3:$R$3,0))</f>
        <v>Switzerland</v>
      </c>
    </row>
    <row r="397" spans="1:2" x14ac:dyDescent="0.2">
      <c r="A397" t="s">
        <v>29</v>
      </c>
      <c r="B397" s="45">
        <f>INDEX(overview!$B$4:$R$338,MATCH(B380,overview!$A$4:$A$338,0),MATCH(A397,overview!$B$3:$R$3,0))</f>
        <v>0</v>
      </c>
    </row>
    <row r="398" spans="1:2" x14ac:dyDescent="0.2">
      <c r="A398" t="str">
        <f>IF(B382="megajoule","Heat","Electricity")&amp;" conversion efficiency [% LHV input]"</f>
        <v>Heat conversion efficiency [% LHV input]</v>
      </c>
      <c r="B398" s="46">
        <f>INDEX(parameters!$D$4:$N$20,MATCH(B386&amp;B388,parameters!$A$4:$A$20,0),MATCH(A398,parameters!$D$3:$N$3,0))</f>
        <v>0.41699999999999998</v>
      </c>
    </row>
    <row r="399" spans="1:2" x14ac:dyDescent="0.2">
      <c r="A399" t="str">
        <f>IF(B382="megajoule","LHV [MJ/kg]","LHV [kWh/kg]")</f>
        <v>LHV [MJ/kg]</v>
      </c>
      <c r="B399" s="47">
        <f>INDEX(parameters!$D$4:$N$20,MATCH(B386&amp;B388,parameters!$A$4:$A$20,0),MATCH(A399,parameters!$D$3:$N$3,0))</f>
        <v>120</v>
      </c>
    </row>
    <row r="400" spans="1:2" x14ac:dyDescent="0.2">
      <c r="A400" t="s">
        <v>41</v>
      </c>
      <c r="B400" s="48">
        <f>INDEX(parameters!$D$4:$N$20,MATCH(B386&amp;B388,parameters!$A$4:$A$20,0),MATCH(A400,parameters!$D$3:$N$3,0))</f>
        <v>2.6666666666666665E-2</v>
      </c>
    </row>
    <row r="401" spans="1:22" x14ac:dyDescent="0.2">
      <c r="A401" t="s">
        <v>45</v>
      </c>
      <c r="B401" s="46">
        <f>INDEX(parameters!$D$4:$N$20,MATCH(B386&amp;B388,parameters!$A$4:$A$20,0),MATCH(A401,parameters!$D$3:$N$3,0))</f>
        <v>0</v>
      </c>
    </row>
    <row r="402" spans="1:22" x14ac:dyDescent="0.2">
      <c r="A402" t="s">
        <v>46</v>
      </c>
      <c r="B402" s="46">
        <f>INDEX(parameters!$D$4:$N$20,MATCH(B386&amp;B388,parameters!$A$4:$A$20,0),MATCH(A402,parameters!$D$3:$N$3,0))</f>
        <v>1.4999999999999999E-2</v>
      </c>
    </row>
    <row r="403" spans="1:22" x14ac:dyDescent="0.2">
      <c r="A403" t="s">
        <v>43</v>
      </c>
      <c r="B403" s="46">
        <f>INDEX(parameters!$D$4:$N$20,MATCH(B386&amp;B388,parameters!$A$4:$A$20,0),MATCH(A403,parameters!$D$3:$N$3,0))</f>
        <v>0</v>
      </c>
    </row>
    <row r="404" spans="1:22" x14ac:dyDescent="0.2">
      <c r="A404" t="s">
        <v>44</v>
      </c>
      <c r="B404" s="46">
        <f>INDEX(parameters!$D$4:$N$20,MATCH(B386&amp;B388,parameters!$A$4:$A$20,0),MATCH(A404,parameters!$D$3:$N$3,0))</f>
        <v>0</v>
      </c>
    </row>
    <row r="405" spans="1:22" x14ac:dyDescent="0.2">
      <c r="A405" t="s">
        <v>634</v>
      </c>
      <c r="B405" s="47">
        <f>INDEX(parameters!$D$4:$Y$20,MATCH(B386&amp;B388,parameters!$A$4:$A$20,0),MATCH(A405,parameters!$D$3:$Y$3,0))</f>
        <v>351.41800246609125</v>
      </c>
    </row>
    <row r="406" spans="1:22" x14ac:dyDescent="0.2">
      <c r="A406" t="s">
        <v>82</v>
      </c>
      <c r="B406" s="46">
        <f>IF(B397&lt;&gt;0,VLOOKUP(B397,parameters!A304:B306,2,0),0)</f>
        <v>0</v>
      </c>
    </row>
    <row r="407" spans="1:22" x14ac:dyDescent="0.2">
      <c r="A407" t="s">
        <v>548</v>
      </c>
      <c r="B407" s="50">
        <f>INDEX(parameters!$D$4:$P$20,MATCH(B386&amp;B388,parameters!$A$4:$A$20,0),MATCH(A407,parameters!$D$3:$P$3,0))</f>
        <v>125</v>
      </c>
    </row>
    <row r="408" spans="1:22" x14ac:dyDescent="0.2">
      <c r="A408" t="s">
        <v>547</v>
      </c>
      <c r="B408" s="51">
        <f>INDEX(parameters!$D$4:$P$20,MATCH(B386&amp;B388,parameters!$A$4:$A$20,0),MATCH(A408,parameters!$D$3:$P$3,0))</f>
        <v>19.512195121951219</v>
      </c>
    </row>
    <row r="409" spans="1:22" x14ac:dyDescent="0.2">
      <c r="A409" t="s">
        <v>630</v>
      </c>
      <c r="B409" s="51">
        <f>INDEX(parameters!$D$4:$T$20,MATCH(B386&amp;B388,parameters!$A$4:$A$20,0),MATCH(A409,parameters!$D$3:$T$3,0))</f>
        <v>4100</v>
      </c>
    </row>
    <row r="410" spans="1:22" x14ac:dyDescent="0.2">
      <c r="A410" t="s">
        <v>1005</v>
      </c>
      <c r="B410" s="50">
        <f>IF(B382="megajoule",SUMIFS(allocation!$I$4:$I$30,allocation!$B$4:$B$30,B388,allocation!$C$4:$C$30,B389),SUMIFS(allocation!$J$4:$J$30,allocation!$B$4:$B$30,B388,allocation!$C$4:$C$30,B389))</f>
        <v>0.12860042227295038</v>
      </c>
    </row>
    <row r="411" spans="1:22" x14ac:dyDescent="0.2">
      <c r="A411" t="s">
        <v>1050</v>
      </c>
      <c r="B411" s="51">
        <f>INDEX(parameters!$D$4:$AB$20,MATCH(B386&amp;B388,parameters!$A$4:$A$20,0),MATCH(A411,parameters!$D$3:$AB$3,0))</f>
        <v>2220.7364520822662</v>
      </c>
    </row>
    <row r="413" spans="1:22" x14ac:dyDescent="0.2">
      <c r="A413" s="3" t="s">
        <v>57</v>
      </c>
    </row>
    <row r="414" spans="1:22" x14ac:dyDescent="0.2">
      <c r="A414" s="2" t="s">
        <v>58</v>
      </c>
      <c r="B414" s="44" t="s">
        <v>59</v>
      </c>
      <c r="C414" s="2" t="s">
        <v>55</v>
      </c>
      <c r="D414" s="2" t="s">
        <v>60</v>
      </c>
      <c r="E414" s="2" t="s">
        <v>52</v>
      </c>
      <c r="F414" s="2" t="s">
        <v>61</v>
      </c>
      <c r="G414" s="2" t="s">
        <v>54</v>
      </c>
      <c r="H414" s="2" t="s">
        <v>87</v>
      </c>
      <c r="I414" s="2" t="s">
        <v>51</v>
      </c>
      <c r="J414" s="2" t="s">
        <v>138</v>
      </c>
      <c r="K414" s="2" t="s">
        <v>136</v>
      </c>
      <c r="L414" s="2" t="s">
        <v>221</v>
      </c>
      <c r="M414" s="2" t="s">
        <v>379</v>
      </c>
      <c r="N414" s="2" t="s">
        <v>1059</v>
      </c>
      <c r="O414" s="2" t="s">
        <v>1060</v>
      </c>
      <c r="P414" s="2" t="s">
        <v>1061</v>
      </c>
      <c r="Q414" s="2" t="s">
        <v>1062</v>
      </c>
      <c r="R414" s="2" t="s">
        <v>1063</v>
      </c>
      <c r="S414" s="2" t="s">
        <v>1064</v>
      </c>
      <c r="T414" s="2" t="s">
        <v>1065</v>
      </c>
      <c r="U414" s="2" t="s">
        <v>380</v>
      </c>
      <c r="V414" s="2" t="s">
        <v>1128</v>
      </c>
    </row>
    <row r="415" spans="1:22" x14ac:dyDescent="0.2">
      <c r="A415" t="str">
        <f>B376</f>
        <v>heat, residential, by combustion of hydrogen using CHP, allocated by exergy, transported by truck, produced by Pyrolysis using natural gas from Switzerland</v>
      </c>
      <c r="B415" s="45">
        <v>1</v>
      </c>
      <c r="C415" t="str">
        <f>B382</f>
        <v>megajoule</v>
      </c>
      <c r="E415" t="str">
        <f>B379</f>
        <v>CH</v>
      </c>
      <c r="F415" t="s">
        <v>62</v>
      </c>
      <c r="G415" t="str">
        <f>B381</f>
        <v>heat, from residential heating system</v>
      </c>
      <c r="K415" t="str">
        <f>B376</f>
        <v>heat, residential, by combustion of hydrogen using CHP, allocated by exergy, transported by truck, produced by Pyrolysis using natural gas from Switzerland</v>
      </c>
    </row>
    <row r="416" spans="1:22" x14ac:dyDescent="0.2">
      <c r="A416" t="str">
        <f>VLOOKUP(J416,'dataset mapping'!$A$4:$E$69,2,0)</f>
        <v>heat and power co-generation unit construction, 160kW electrical, common components for heat+electricity</v>
      </c>
      <c r="B416" s="52">
        <f>(1/(B405*B409*B408*3.6))*B410</f>
        <v>1.270649883812899E-9</v>
      </c>
      <c r="C416" t="str">
        <f>VLOOKUP(J416,'dataset mapping'!$A$4:$E$69,5,0)</f>
        <v>unit</v>
      </c>
      <c r="E416" t="str">
        <f>VLOOKUP(J416,'dataset mapping'!$A$4:$E$69,4,0)</f>
        <v>RER</v>
      </c>
      <c r="F416" t="s">
        <v>86</v>
      </c>
      <c r="G416" t="str">
        <f>VLOOKUP(J416,'dataset mapping'!$A$4:$E$69,3,0)</f>
        <v>heat and power co-generation unit, 160kW electrical, common components for heat+electricity</v>
      </c>
      <c r="H416" t="s">
        <v>88</v>
      </c>
      <c r="J416" t="s">
        <v>145</v>
      </c>
      <c r="K416" t="str">
        <f>B376</f>
        <v>heat, residential, by combustion of hydrogen using CHP, allocated by exergy, transported by truck, produced by Pyrolysis using natural gas from Switzerland</v>
      </c>
      <c r="L416">
        <f t="shared" ref="L416:L424" si="31">IF(OR(B416&lt;0,B416=0),1,2)</f>
        <v>2</v>
      </c>
      <c r="M416">
        <f t="shared" ref="M416:M424" si="32">IF(L416=2,LN(B416),"")</f>
        <v>-20.48373734782199</v>
      </c>
      <c r="N416">
        <v>1.05</v>
      </c>
      <c r="O416">
        <v>1.2</v>
      </c>
      <c r="P416">
        <v>1</v>
      </c>
      <c r="Q416">
        <v>1.01</v>
      </c>
      <c r="R416">
        <v>1.2</v>
      </c>
      <c r="S416">
        <v>1.2</v>
      </c>
      <c r="T416">
        <v>3</v>
      </c>
      <c r="U416">
        <f t="shared" ref="U416:U420" si="33">LN(SQRT(EXP(
SQRT(
+POWER(LN(N416),2)
+POWER(LN(O416),2)
+POWER(LN(P416),2)
+POWER(LN(Q416),2)
+POWER(LN(R416),2)
+POWER(LN(S416),2)
+POWER(LN(T416),2)
)
)))</f>
        <v>0.57209088006881903</v>
      </c>
    </row>
    <row r="417" spans="1:22" x14ac:dyDescent="0.2">
      <c r="A417" t="str">
        <f>VLOOKUP(J417,'dataset mapping'!$A$4:$E$69,2,0)</f>
        <v>heat and power co-generation unit construction, 160kW electrical, components for electricity only</v>
      </c>
      <c r="B417" s="52">
        <f>(1/(B405*B409*B408*3.6))*B410</f>
        <v>1.270649883812899E-9</v>
      </c>
      <c r="C417" t="str">
        <f>VLOOKUP(J417,'dataset mapping'!$A$4:$E$69,5,0)</f>
        <v>unit</v>
      </c>
      <c r="E417" t="str">
        <f>VLOOKUP(J417,'dataset mapping'!$A$4:$E$69,4,0)</f>
        <v>RER</v>
      </c>
      <c r="F417" t="s">
        <v>86</v>
      </c>
      <c r="G417" t="str">
        <f>VLOOKUP(J417,'dataset mapping'!$A$4:$E$69,3,0)</f>
        <v>heat and power co-generation unit, 160kW electrical, components for electricity only</v>
      </c>
      <c r="H417" t="s">
        <v>88</v>
      </c>
      <c r="J417" t="s">
        <v>146</v>
      </c>
      <c r="K417" t="str">
        <f>B376</f>
        <v>heat, residential, by combustion of hydrogen using CHP, allocated by exergy, transported by truck, produced by Pyrolysis using natural gas from Switzerland</v>
      </c>
      <c r="L417">
        <f t="shared" si="31"/>
        <v>2</v>
      </c>
      <c r="M417">
        <f t="shared" si="32"/>
        <v>-20.48373734782199</v>
      </c>
      <c r="N417">
        <v>1.05</v>
      </c>
      <c r="O417">
        <v>1.2</v>
      </c>
      <c r="P417">
        <v>1</v>
      </c>
      <c r="Q417">
        <v>1.01</v>
      </c>
      <c r="R417">
        <v>1.2</v>
      </c>
      <c r="S417">
        <v>1.2</v>
      </c>
      <c r="T417">
        <v>3</v>
      </c>
      <c r="U417">
        <f t="shared" si="33"/>
        <v>0.57209088006881903</v>
      </c>
    </row>
    <row r="418" spans="1:22" x14ac:dyDescent="0.2">
      <c r="A418" t="str">
        <f>VLOOKUP(J418,'dataset mapping'!$A$4:$E$69,2,0)</f>
        <v>heat and power co-generation unit construction, 160kW electrical, components for heat only</v>
      </c>
      <c r="B418" s="52">
        <f>(1/(B405*B409*B408*3.6))*B410</f>
        <v>1.270649883812899E-9</v>
      </c>
      <c r="C418" t="str">
        <f>VLOOKUP(J418,'dataset mapping'!$A$4:$E$69,5,0)</f>
        <v>unit</v>
      </c>
      <c r="E418" t="str">
        <f>VLOOKUP(J418,'dataset mapping'!$A$4:$E$69,4,0)</f>
        <v>RER</v>
      </c>
      <c r="F418" t="s">
        <v>86</v>
      </c>
      <c r="G418" t="str">
        <f>VLOOKUP(J418,'dataset mapping'!$A$4:$E$69,3,0)</f>
        <v>heat and power co-generation unit, 160kW electrical, components for heat only</v>
      </c>
      <c r="H418" t="s">
        <v>88</v>
      </c>
      <c r="J418" t="s">
        <v>147</v>
      </c>
      <c r="K418" t="str">
        <f>B376</f>
        <v>heat, residential, by combustion of hydrogen using CHP, allocated by exergy, transported by truck, produced by Pyrolysis using natural gas from Switzerland</v>
      </c>
      <c r="L418">
        <f t="shared" si="31"/>
        <v>2</v>
      </c>
      <c r="M418">
        <f t="shared" si="32"/>
        <v>-20.48373734782199</v>
      </c>
      <c r="N418">
        <v>1.05</v>
      </c>
      <c r="O418">
        <v>1.2</v>
      </c>
      <c r="P418">
        <v>1</v>
      </c>
      <c r="Q418">
        <v>1.01</v>
      </c>
      <c r="R418">
        <v>1.2</v>
      </c>
      <c r="S418">
        <v>1.2</v>
      </c>
      <c r="T418">
        <v>3</v>
      </c>
      <c r="U418">
        <f t="shared" si="33"/>
        <v>0.57209088006881903</v>
      </c>
    </row>
    <row r="419" spans="1:22" x14ac:dyDescent="0.2">
      <c r="A419" t="s">
        <v>156</v>
      </c>
      <c r="B419" s="52">
        <f>0.00000011366*B410</f>
        <v>1.461672399554354E-8</v>
      </c>
      <c r="C419" t="s">
        <v>56</v>
      </c>
      <c r="E419" t="s">
        <v>90</v>
      </c>
      <c r="F419" t="s">
        <v>86</v>
      </c>
      <c r="G419" t="s">
        <v>154</v>
      </c>
      <c r="H419" t="s">
        <v>155</v>
      </c>
      <c r="K419" t="str">
        <f>B376</f>
        <v>heat, residential, by combustion of hydrogen using CHP, allocated by exergy, transported by truck, produced by Pyrolysis using natural gas from Switzerland</v>
      </c>
      <c r="L419">
        <f t="shared" si="31"/>
        <v>2</v>
      </c>
      <c r="M419">
        <f t="shared" si="32"/>
        <v>-18.041099484645969</v>
      </c>
      <c r="N419">
        <v>1.05</v>
      </c>
      <c r="O419">
        <v>1.2</v>
      </c>
      <c r="P419">
        <v>1</v>
      </c>
      <c r="Q419">
        <v>1.01</v>
      </c>
      <c r="R419">
        <v>1.2</v>
      </c>
      <c r="S419">
        <v>1.2</v>
      </c>
      <c r="T419">
        <v>1.05</v>
      </c>
      <c r="U419">
        <f t="shared" si="33"/>
        <v>0.16169679924070957</v>
      </c>
    </row>
    <row r="420" spans="1:22" x14ac:dyDescent="0.2">
      <c r="A420" t="s">
        <v>157</v>
      </c>
      <c r="B420" s="52">
        <f>0.00000011366*B410*-1</f>
        <v>-1.461672399554354E-8</v>
      </c>
      <c r="C420" t="s">
        <v>56</v>
      </c>
      <c r="E420" t="s">
        <v>64</v>
      </c>
      <c r="F420" t="s">
        <v>86</v>
      </c>
      <c r="G420" t="s">
        <v>158</v>
      </c>
      <c r="H420" t="s">
        <v>155</v>
      </c>
      <c r="K420" t="str">
        <f>B376</f>
        <v>heat, residential, by combustion of hydrogen using CHP, allocated by exergy, transported by truck, produced by Pyrolysis using natural gas from Switzerland</v>
      </c>
      <c r="L420">
        <v>2</v>
      </c>
      <c r="M420">
        <f>IF(L420=2,LN(B420*-1),"")</f>
        <v>-18.041099484645969</v>
      </c>
      <c r="N420">
        <v>1.05</v>
      </c>
      <c r="O420">
        <v>1.2</v>
      </c>
      <c r="P420">
        <v>1</v>
      </c>
      <c r="Q420">
        <v>1.01</v>
      </c>
      <c r="R420">
        <v>1.2</v>
      </c>
      <c r="S420">
        <v>1.2</v>
      </c>
      <c r="T420">
        <v>1.05</v>
      </c>
      <c r="U420">
        <f t="shared" si="33"/>
        <v>0.16169679924070957</v>
      </c>
      <c r="V420" t="b">
        <v>1</v>
      </c>
    </row>
    <row r="421" spans="1:22" x14ac:dyDescent="0.2">
      <c r="A421" s="45" t="str">
        <f>"hydrogen supply, transported by "&amp;B390&amp;", produced by "&amp;B394&amp;" using "&amp;B395&amp;" from "&amp;B396</f>
        <v>hydrogen supply, transported by truck, produced by Pyrolysis using natural gas from Switzerland</v>
      </c>
      <c r="B421" s="53">
        <f>(B415/B399)/B398*B410</f>
        <v>2.56995248347223E-3</v>
      </c>
      <c r="C421" t="s">
        <v>56</v>
      </c>
      <c r="E421" t="s">
        <v>64</v>
      </c>
      <c r="F421" t="s">
        <v>86</v>
      </c>
      <c r="G421" t="s">
        <v>1137</v>
      </c>
      <c r="H421" t="s">
        <v>76</v>
      </c>
      <c r="I421" t="s">
        <v>1054</v>
      </c>
      <c r="J421" t="s">
        <v>23</v>
      </c>
      <c r="K421" t="str">
        <f>B376</f>
        <v>heat, residential, by combustion of hydrogen using CHP, allocated by exergy, transported by truck, produced by Pyrolysis using natural gas from Switzerland</v>
      </c>
      <c r="L421">
        <f t="shared" si="31"/>
        <v>2</v>
      </c>
      <c r="M421">
        <f t="shared" si="32"/>
        <v>-5.9638678691672418</v>
      </c>
      <c r="N421">
        <v>1.05</v>
      </c>
      <c r="O421">
        <v>1.2</v>
      </c>
      <c r="P421">
        <v>1</v>
      </c>
      <c r="Q421">
        <v>1.01</v>
      </c>
      <c r="R421">
        <v>1.2</v>
      </c>
      <c r="S421">
        <v>1.2</v>
      </c>
      <c r="T421">
        <v>1.05</v>
      </c>
      <c r="U421">
        <f t="shared" ref="U421:U424" si="34">LN(SQRT(EXP(
SQRT(
+POWER(LN(N421),2)
+POWER(LN(O421),2)
+POWER(LN(P421),2)
+POWER(LN(Q421),2)
+POWER(LN(R421),2)
+POWER(LN(S421),2)
+POWER(LN(T421),2)
)
)))</f>
        <v>0.16169679924070957</v>
      </c>
    </row>
    <row r="422" spans="1:22" x14ac:dyDescent="0.2">
      <c r="A422" t="str">
        <f>VLOOKUP(J422,'dataset mapping'!$A$4:$E$69,2,0)</f>
        <v>high pressure hydrogen storage tank</v>
      </c>
      <c r="B422" s="52">
        <f>((B411/10)/(B409*B405*20*3.6))*IF(B410&lt;&gt;0,B410,1)</f>
        <v>2.7529546486023421E-7</v>
      </c>
      <c r="C422" t="str">
        <f>VLOOKUP(J422,'dataset mapping'!$A$4:$E$69,5,0)</f>
        <v>kilogram</v>
      </c>
      <c r="E422" t="str">
        <f>VLOOKUP(J422,'dataset mapping'!$A$4:$E$69,4,0)</f>
        <v>GLO</v>
      </c>
      <c r="F422" t="s">
        <v>86</v>
      </c>
      <c r="G422" t="str">
        <f>VLOOKUP(J422,'dataset mapping'!$A$4:$E$69,3,0)</f>
        <v>high pressure hydrogen storage tank</v>
      </c>
      <c r="H422" t="s">
        <v>88</v>
      </c>
      <c r="I422" t="s">
        <v>279</v>
      </c>
      <c r="J422" t="s">
        <v>229</v>
      </c>
      <c r="K422" t="str">
        <f>B376</f>
        <v>heat, residential, by combustion of hydrogen using CHP, allocated by exergy, transported by truck, produced by Pyrolysis using natural gas from Switzerland</v>
      </c>
      <c r="L422">
        <f t="shared" si="31"/>
        <v>2</v>
      </c>
      <c r="M422">
        <f t="shared" si="32"/>
        <v>-15.105420898379837</v>
      </c>
      <c r="N422">
        <v>1.05</v>
      </c>
      <c r="O422">
        <v>1.2</v>
      </c>
      <c r="P422">
        <v>1</v>
      </c>
      <c r="Q422">
        <v>1.01</v>
      </c>
      <c r="R422">
        <v>1.2</v>
      </c>
      <c r="S422">
        <v>1.2</v>
      </c>
      <c r="T422">
        <v>3</v>
      </c>
      <c r="U422">
        <f t="shared" si="34"/>
        <v>0.57209088006881903</v>
      </c>
    </row>
    <row r="423" spans="1:22" x14ac:dyDescent="0.2">
      <c r="A423" t="s">
        <v>134</v>
      </c>
      <c r="B423" s="45">
        <f>B421*9</f>
        <v>2.3129572351250072E-2</v>
      </c>
      <c r="C423" t="s">
        <v>56</v>
      </c>
      <c r="D423" t="s">
        <v>100</v>
      </c>
      <c r="F423" t="s">
        <v>99</v>
      </c>
      <c r="H423" t="s">
        <v>131</v>
      </c>
      <c r="K423" t="str">
        <f>B376</f>
        <v>heat, residential, by combustion of hydrogen using CHP, allocated by exergy, transported by truck, produced by Pyrolysis using natural gas from Switzerland</v>
      </c>
      <c r="L423">
        <f t="shared" si="31"/>
        <v>2</v>
      </c>
      <c r="M423">
        <f t="shared" si="32"/>
        <v>-3.7666432918310226</v>
      </c>
      <c r="N423">
        <v>1.05</v>
      </c>
      <c r="O423">
        <v>1.2</v>
      </c>
      <c r="P423">
        <v>1</v>
      </c>
      <c r="Q423">
        <v>1.01</v>
      </c>
      <c r="R423">
        <v>1.2</v>
      </c>
      <c r="S423">
        <v>1.2</v>
      </c>
      <c r="T423">
        <v>1.05</v>
      </c>
      <c r="U423">
        <f t="shared" si="34"/>
        <v>0.16169679924070957</v>
      </c>
    </row>
    <row r="424" spans="1:22" x14ac:dyDescent="0.2">
      <c r="A424" t="s">
        <v>135</v>
      </c>
      <c r="B424" s="45">
        <f>912.5/1000000*B421</f>
        <v>2.3450816411684101E-6</v>
      </c>
      <c r="C424" t="s">
        <v>56</v>
      </c>
      <c r="D424" t="s">
        <v>100</v>
      </c>
      <c r="F424" t="s">
        <v>99</v>
      </c>
      <c r="H424" t="s">
        <v>131</v>
      </c>
      <c r="I424" t="s">
        <v>1217</v>
      </c>
      <c r="K424" t="str">
        <f>B376</f>
        <v>heat, residential, by combustion of hydrogen using CHP, allocated by exergy, transported by truck, produced by Pyrolysis using natural gas from Switzerland</v>
      </c>
      <c r="L424">
        <f t="shared" si="31"/>
        <v>2</v>
      </c>
      <c r="M424">
        <f t="shared" si="32"/>
        <v>-12.963190341674869</v>
      </c>
      <c r="N424">
        <v>1.05</v>
      </c>
      <c r="O424">
        <v>1.2</v>
      </c>
      <c r="P424">
        <v>1</v>
      </c>
      <c r="Q424">
        <v>1.01</v>
      </c>
      <c r="R424">
        <v>1.2</v>
      </c>
      <c r="S424">
        <v>1.2</v>
      </c>
      <c r="T424">
        <v>1.5</v>
      </c>
      <c r="U424">
        <f t="shared" si="34"/>
        <v>0.25816898211842121</v>
      </c>
    </row>
    <row r="426" spans="1:22" x14ac:dyDescent="0.2">
      <c r="A426" s="2" t="s">
        <v>50</v>
      </c>
      <c r="B426" s="44" t="str">
        <f>IF(B432="megajoule","heat","electricity")&amp;", residential, by "&amp;B437&amp;" of "&amp;B436&amp;" using "&amp;B438&amp;IF(B439&lt;&gt;0,", allocated by "&amp;B439,"")&amp;", transported by "&amp;B440&amp;", produced by "&amp;B444&amp;" using "&amp;B445&amp;" from "&amp;B446</f>
        <v>heat, residential, by conversion of hydrogen using fuel cell, PEM, allocated by exergy, transported by truck, produced by Pyrolysis using natural gas from Switzerland</v>
      </c>
    </row>
    <row r="427" spans="1:22" x14ac:dyDescent="0.2">
      <c r="A427" t="s">
        <v>51</v>
      </c>
      <c r="B427" s="45" t="str">
        <f>"This dataset represents the supply of 1 "&amp;IF(B432="megajoule","megajoule of heat","kilowatt hour of electricity")&amp;" in a residence, by "&amp;B436&amp;" "&amp;B437&amp;" in a "&amp;B438&amp;". "&amp;" The hydrogen is transported by "&amp;B440&amp;" over "&amp;B441&amp;" km from regional storage. "&amp;" The "&amp;B436&amp;" is produced by  "&amp;B444&amp;", with "&amp;B445&amp;" from "&amp;B446&amp;" as feedstock. "&amp;A448&amp;": "&amp;(B448*100)&amp;"%. "&amp;A449&amp;": "&amp;B449&amp;". "&amp;A450&amp;": "&amp;B450&amp;". "&amp;A451&amp;": "&amp;(B451*100)&amp;"%. "&amp;A452&amp;": "&amp;(B452*100)&amp;"%. "&amp;A453&amp;": "&amp;(B453*100)&amp;"%. "&amp;A454&amp;": "&amp;B454&amp;". "&amp;A455&amp;": "&amp;B455&amp;". "&amp;A456&amp;": "&amp;(B456*100)&amp;"%. "&amp;A457&amp;": "&amp;B457&amp;". "&amp;A458&amp;": "&amp;B458&amp;". "&amp;A459&amp;": "&amp;B459&amp;". "&amp;A460&amp;": "&amp;B460&amp;".  For more information, refer to: "&amp;B428</f>
        <v>This dataset represents the supply of 1 megajoule of heat in a residence, by hydrogen conversion in a fuel cell, PEM.  The hydrogen is transported by truck over 200 km from regional storage.  The hydrogen is produced by  Pyrolysis, with natural gas from Switzerland as feedstock. Heat conversion efficiency [% LHV input]: 50%. LHV [MJ/kg]: 120.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0.139339807989745.  For more information, refer to: Sacchi, R., Treyer, T., Zhang, X., Bauer, C. Life Cycle Assessment of Power-to-X processes and associated electricity and heat applications in the residential sector. Paul Scherrer Institut, 2023.</v>
      </c>
    </row>
    <row r="428" spans="1:22" x14ac:dyDescent="0.2">
      <c r="A428" t="s">
        <v>63</v>
      </c>
      <c r="B428" s="45" t="s">
        <v>660</v>
      </c>
    </row>
    <row r="429" spans="1:22" x14ac:dyDescent="0.2">
      <c r="A429" t="s">
        <v>52</v>
      </c>
      <c r="B429" s="45" t="s">
        <v>64</v>
      </c>
    </row>
    <row r="430" spans="1:22" x14ac:dyDescent="0.2">
      <c r="A430" t="s">
        <v>48</v>
      </c>
      <c r="B430" s="45">
        <v>159</v>
      </c>
    </row>
    <row r="431" spans="1:22" x14ac:dyDescent="0.2">
      <c r="A431" t="s">
        <v>54</v>
      </c>
      <c r="B431" s="45" t="str">
        <f>INDEX(overview!$B$4:$R$338,MATCH(B430,overview!$A$4:$A$338,0),MATCH(A431,overview!$B$3:$R$3,0))</f>
        <v>heat, from residential heating system</v>
      </c>
    </row>
    <row r="432" spans="1:22" x14ac:dyDescent="0.2">
      <c r="A432" t="s">
        <v>55</v>
      </c>
      <c r="B432" s="45" t="str">
        <f>INDEX(overview!$B$4:$R$338,MATCH(B430,overview!$A$4:$A$338,0),MATCH(A432,overview!$B$3:$R$3,0))</f>
        <v>megajoule</v>
      </c>
    </row>
    <row r="433" spans="1:2" x14ac:dyDescent="0.2">
      <c r="A433" t="s">
        <v>0</v>
      </c>
      <c r="B433" s="45" t="str">
        <f>INDEX(overview!$B$4:$R$338,MATCH(B430,overview!$A$4:$A$338,0),MATCH(A433,overview!$B$3:$R$3,0))</f>
        <v>Switzerland</v>
      </c>
    </row>
    <row r="434" spans="1:2" x14ac:dyDescent="0.2">
      <c r="A434" t="s">
        <v>1</v>
      </c>
      <c r="B434" s="45">
        <f>INDEX(overview!$B$4:$R$338,MATCH(B430,overview!$A$4:$A$338,0),MATCH(A434,overview!$B$3:$R$3,0))</f>
        <v>2020</v>
      </c>
    </row>
    <row r="435" spans="1:2" x14ac:dyDescent="0.2">
      <c r="A435" t="s">
        <v>2</v>
      </c>
      <c r="B435" s="45" t="str">
        <f>INDEX(overview!$B$4:$R$338,MATCH(B430,overview!$A$4:$A$338,0),MATCH(A435,overview!$B$3:$R$3,0))</f>
        <v>1 MJ heat</v>
      </c>
    </row>
    <row r="436" spans="1:2" x14ac:dyDescent="0.2">
      <c r="A436" t="s">
        <v>5</v>
      </c>
      <c r="B436" s="45" t="str">
        <f>INDEX(overview!$B$4:$R$338,MATCH(B430,overview!$A$4:$A$338,0),MATCH(A436,overview!$B$3:$R$3,0))</f>
        <v>hydrogen</v>
      </c>
    </row>
    <row r="437" spans="1:2" x14ac:dyDescent="0.2">
      <c r="A437" t="s">
        <v>3</v>
      </c>
      <c r="B437" s="45" t="str">
        <f>INDEX(overview!$B$4:$R$338,MATCH(B430,overview!$A$4:$A$338,0),MATCH(A437,overview!$B$3:$R$3,0))</f>
        <v>conversion</v>
      </c>
    </row>
    <row r="438" spans="1:2" x14ac:dyDescent="0.2">
      <c r="A438" t="s">
        <v>6</v>
      </c>
      <c r="B438" s="45" t="str">
        <f>INDEX(overview!$B$4:$R$338,MATCH(B430,overview!$A$4:$A$338,0),MATCH(A438,overview!$B$3:$R$3,0))</f>
        <v>fuel cell, PEM</v>
      </c>
    </row>
    <row r="439" spans="1:2" x14ac:dyDescent="0.2">
      <c r="A439" t="s">
        <v>39</v>
      </c>
      <c r="B439" s="45" t="str">
        <f>INDEX(overview!$B$4:$R$338,MATCH(B430,overview!$A$4:$A$338,0),MATCH(A439,overview!$B$3:$R$3,0))</f>
        <v>exergy</v>
      </c>
    </row>
    <row r="440" spans="1:2" x14ac:dyDescent="0.2">
      <c r="A440" t="s">
        <v>4</v>
      </c>
      <c r="B440" s="45" t="str">
        <f>INDEX(overview!$B$4:$R$338,MATCH(B430,overview!$A$4:$A$338,0),MATCH(A440,overview!$B$3:$R$3,0))</f>
        <v>truck</v>
      </c>
    </row>
    <row r="441" spans="1:2" x14ac:dyDescent="0.2">
      <c r="A441" t="s">
        <v>38</v>
      </c>
      <c r="B441" s="45">
        <f>INDEX(overview!$B$4:$R$338,MATCH(B430,overview!$A$4:$A$338,0),MATCH(A441,overview!$B$3:$R$3,0))</f>
        <v>200</v>
      </c>
    </row>
    <row r="442" spans="1:2" x14ac:dyDescent="0.2">
      <c r="A442" t="s">
        <v>12</v>
      </c>
      <c r="B442" s="45" t="str">
        <f>INDEX(overview!$B$4:$R$338,MATCH(B430,overview!$A$4:$A$338,0),MATCH(A442,overview!$B$3:$R$3,0))</f>
        <v>Pressure vessel for stationary storage</v>
      </c>
    </row>
    <row r="443" spans="1:2" x14ac:dyDescent="0.2">
      <c r="A443" t="s">
        <v>34</v>
      </c>
      <c r="B443" s="45">
        <f>INDEX(overview!$B$4:$R$338,MATCH(B430,overview!$A$4:$A$338,0),MATCH(A443,overview!$B$3:$R$3,0))</f>
        <v>0</v>
      </c>
    </row>
    <row r="444" spans="1:2" x14ac:dyDescent="0.2">
      <c r="A444" t="s">
        <v>15</v>
      </c>
      <c r="B444" s="45" t="str">
        <f>INDEX(overview!$B$4:$R$338,MATCH(B430,overview!$A$4:$A$338,0),MATCH(A444,overview!$B$3:$R$3,0))</f>
        <v>Pyrolysis</v>
      </c>
    </row>
    <row r="445" spans="1:2" x14ac:dyDescent="0.2">
      <c r="A445" t="s">
        <v>14</v>
      </c>
      <c r="B445" s="45" t="str">
        <f>INDEX(overview!$B$4:$R$338,MATCH(B430,overview!$A$4:$A$338,0),MATCH(A445,overview!$B$3:$R$3,0))</f>
        <v>natural gas</v>
      </c>
    </row>
    <row r="446" spans="1:2" x14ac:dyDescent="0.2">
      <c r="A446" t="s">
        <v>26</v>
      </c>
      <c r="B446" s="45" t="str">
        <f>INDEX(overview!$B$4:$R$338,MATCH(B430,overview!$A$4:$A$338,0),MATCH(A446,overview!$B$3:$R$3,0))</f>
        <v>Switzerland</v>
      </c>
    </row>
    <row r="447" spans="1:2" x14ac:dyDescent="0.2">
      <c r="A447" t="s">
        <v>29</v>
      </c>
      <c r="B447" s="45">
        <f>INDEX(overview!$B$4:$R$338,MATCH(B430,overview!$A$4:$A$338,0),MATCH(A447,overview!$B$3:$R$3,0))</f>
        <v>0</v>
      </c>
    </row>
    <row r="448" spans="1:2" x14ac:dyDescent="0.2">
      <c r="A448" t="str">
        <f>IF(B432="megajoule","Heat","Electricity")&amp;" conversion efficiency [% LHV input]"</f>
        <v>Heat conversion efficiency [% LHV input]</v>
      </c>
      <c r="B448" s="46">
        <f>INDEX(parameters!$D$4:$N$20,MATCH(B436&amp;B438,parameters!$A$4:$A$20,0),MATCH(A448,parameters!$D$3:$N$3,0))</f>
        <v>0.5</v>
      </c>
    </row>
    <row r="449" spans="1:22" x14ac:dyDescent="0.2">
      <c r="A449" t="str">
        <f>IF(B432="megajoule","LHV [MJ/kg]","LHV [kWh/kg]")</f>
        <v>LHV [MJ/kg]</v>
      </c>
      <c r="B449" s="47">
        <f>INDEX(parameters!$D$4:$N$20,MATCH(B436&amp;B438,parameters!$A$4:$A$20,0),MATCH(A449,parameters!$D$3:$N$3,0))</f>
        <v>120</v>
      </c>
    </row>
    <row r="450" spans="1:22" x14ac:dyDescent="0.2">
      <c r="A450" t="s">
        <v>41</v>
      </c>
      <c r="B450" s="48">
        <f>INDEX(parameters!$D$4:$N$20,MATCH(B436&amp;B438,parameters!$A$4:$A$20,0),MATCH(A450,parameters!$D$3:$N$3,0))</f>
        <v>2.6666666666666665E-2</v>
      </c>
    </row>
    <row r="451" spans="1:22" x14ac:dyDescent="0.2">
      <c r="A451" t="s">
        <v>45</v>
      </c>
      <c r="B451" s="46">
        <f>INDEX(parameters!$D$4:$N$20,MATCH(B436&amp;B438,parameters!$A$4:$A$20,0),MATCH(A451,parameters!$D$3:$N$3,0))</f>
        <v>0</v>
      </c>
    </row>
    <row r="452" spans="1:22" x14ac:dyDescent="0.2">
      <c r="A452" t="s">
        <v>46</v>
      </c>
      <c r="B452" s="46">
        <f>INDEX(parameters!$D$4:$N$20,MATCH(B436&amp;B438,parameters!$A$4:$A$20,0),MATCH(A452,parameters!$D$3:$N$3,0))</f>
        <v>1.4999999999999999E-2</v>
      </c>
    </row>
    <row r="453" spans="1:22" x14ac:dyDescent="0.2">
      <c r="A453" t="s">
        <v>43</v>
      </c>
      <c r="B453" s="46">
        <f>INDEX(parameters!$D$4:$N$20,MATCH(B436&amp;B438,parameters!$A$4:$A$20,0),MATCH(A453,parameters!$D$3:$N$3,0))</f>
        <v>0</v>
      </c>
    </row>
    <row r="454" spans="1:22" x14ac:dyDescent="0.2">
      <c r="A454" t="s">
        <v>44</v>
      </c>
      <c r="B454" s="46">
        <f>INDEX(parameters!$D$4:$N$20,MATCH(B436&amp;B438,parameters!$A$4:$A$20,0),MATCH(A454,parameters!$D$3:$N$3,0))</f>
        <v>0</v>
      </c>
    </row>
    <row r="455" spans="1:22" x14ac:dyDescent="0.2">
      <c r="A455" t="s">
        <v>634</v>
      </c>
      <c r="B455" s="47">
        <f>INDEX(parameters!$D$4:$Y$20,MATCH(B436&amp;B438,parameters!$A$4:$A$20,0),MATCH(A455,parameters!$D$3:$Y$3,0))</f>
        <v>1.8947368421052633</v>
      </c>
    </row>
    <row r="456" spans="1:22" x14ac:dyDescent="0.2">
      <c r="A456" t="s">
        <v>82</v>
      </c>
      <c r="B456" s="46">
        <f>IF(B447&lt;&gt;0,VLOOKUP(B447,parameters!A357:B359,2,0),0)</f>
        <v>0</v>
      </c>
    </row>
    <row r="457" spans="1:22" x14ac:dyDescent="0.2">
      <c r="A457" t="s">
        <v>548</v>
      </c>
      <c r="B457" s="50">
        <f>INDEX(parameters!$D$4:$P$20,MATCH(B436&amp;B438,parameters!$A$4:$A$20,0),MATCH(A457,parameters!$D$3:$P$3,0))</f>
        <v>0.8</v>
      </c>
    </row>
    <row r="458" spans="1:22" x14ac:dyDescent="0.2">
      <c r="A458" t="s">
        <v>547</v>
      </c>
      <c r="B458" s="51">
        <f>INDEX(parameters!$D$4:$P$20,MATCH(B436&amp;B438,parameters!$A$4:$A$20,0),MATCH(A458,parameters!$D$3:$P$3,0))</f>
        <v>4.8780487804878048</v>
      </c>
    </row>
    <row r="459" spans="1:22" x14ac:dyDescent="0.2">
      <c r="A459" t="s">
        <v>630</v>
      </c>
      <c r="B459" s="51">
        <f>INDEX(parameters!$D$4:$T$20,MATCH(B436&amp;B438,parameters!$A$4:$A$20,0),MATCH(A459,parameters!$D$3:$T$3,0))</f>
        <v>4100</v>
      </c>
    </row>
    <row r="460" spans="1:22" x14ac:dyDescent="0.2">
      <c r="A460" t="s">
        <v>1005</v>
      </c>
      <c r="B460" s="50">
        <f>IF(B432="megajoule",SUMIFS(allocation!$I$4:$I$30,allocation!$B$4:$B$30,B438,allocation!$C$4:$C$30,B439),SUMIFS(allocation!$J$4:$J$30,allocation!$B$4:$B$30,B438,allocation!$C$4:$C$30,B439))</f>
        <v>0.13933980798974457</v>
      </c>
    </row>
    <row r="461" spans="1:22" x14ac:dyDescent="0.2">
      <c r="A461" t="s">
        <v>1050</v>
      </c>
      <c r="B461" s="51">
        <f>INDEX(parameters!$D$4:$AB$20,MATCH(B436&amp;B438,parameters!$A$4:$A$20,0),MATCH(A461,parameters!$D$3:$AB$3,0))</f>
        <v>10.221606648199446</v>
      </c>
    </row>
    <row r="463" spans="1:22" x14ac:dyDescent="0.2">
      <c r="A463" s="3" t="s">
        <v>57</v>
      </c>
    </row>
    <row r="464" spans="1:22" x14ac:dyDescent="0.2">
      <c r="A464" s="2" t="s">
        <v>58</v>
      </c>
      <c r="B464" s="44" t="s">
        <v>59</v>
      </c>
      <c r="C464" s="2" t="s">
        <v>55</v>
      </c>
      <c r="D464" s="2" t="s">
        <v>60</v>
      </c>
      <c r="E464" s="2" t="s">
        <v>52</v>
      </c>
      <c r="F464" s="2" t="s">
        <v>61</v>
      </c>
      <c r="G464" s="2" t="s">
        <v>54</v>
      </c>
      <c r="H464" s="2" t="s">
        <v>87</v>
      </c>
      <c r="I464" s="2" t="s">
        <v>51</v>
      </c>
      <c r="J464" s="2" t="s">
        <v>138</v>
      </c>
      <c r="K464" s="2" t="s">
        <v>136</v>
      </c>
      <c r="L464" s="2" t="s">
        <v>221</v>
      </c>
      <c r="M464" s="2" t="s">
        <v>379</v>
      </c>
      <c r="N464" s="2" t="s">
        <v>1059</v>
      </c>
      <c r="O464" s="2" t="s">
        <v>1060</v>
      </c>
      <c r="P464" s="2" t="s">
        <v>1061</v>
      </c>
      <c r="Q464" s="2" t="s">
        <v>1062</v>
      </c>
      <c r="R464" s="2" t="s">
        <v>1063</v>
      </c>
      <c r="S464" s="2" t="s">
        <v>1064</v>
      </c>
      <c r="T464" s="2" t="s">
        <v>1065</v>
      </c>
      <c r="U464" s="2" t="s">
        <v>380</v>
      </c>
      <c r="V464" s="2" t="s">
        <v>1128</v>
      </c>
    </row>
    <row r="465" spans="1:21" x14ac:dyDescent="0.2">
      <c r="A465" t="str">
        <f>B426</f>
        <v>heat, residential, by conversion of hydrogen using fuel cell, PEM, allocated by exergy, transported by truck, produced by Pyrolysis using natural gas from Switzerland</v>
      </c>
      <c r="B465" s="45">
        <v>1</v>
      </c>
      <c r="C465" t="str">
        <f>B432</f>
        <v>megajoule</v>
      </c>
      <c r="E465" t="str">
        <f>B429</f>
        <v>CH</v>
      </c>
      <c r="F465" t="s">
        <v>62</v>
      </c>
      <c r="G465" t="str">
        <f>B431</f>
        <v>heat, from residential heating system</v>
      </c>
      <c r="K465" t="str">
        <f>B426</f>
        <v>heat, residential, by conversion of hydrogen using fuel cell, PEM, allocated by exergy, transported by truck, produced by Pyrolysis using natural gas from Switzerland</v>
      </c>
    </row>
    <row r="466" spans="1:21" x14ac:dyDescent="0.2">
      <c r="A466" t="str">
        <f>VLOOKUP(J466,'dataset mapping'!$A$4:$E$69,2,0)</f>
        <v>fuel cell system assembly, 1 kWe, proton exchange membrane (PEM)</v>
      </c>
      <c r="B466" s="52">
        <f>(1/(B455*B459*B458*3.6))*B460</f>
        <v>1.0213951974556892E-6</v>
      </c>
      <c r="C466" t="str">
        <f>VLOOKUP(J466,'dataset mapping'!$A$4:$E$69,5,0)</f>
        <v>unit</v>
      </c>
      <c r="E466" t="str">
        <f>VLOOKUP(J466,'dataset mapping'!$A$4:$E$69,4,0)</f>
        <v>GLO</v>
      </c>
      <c r="F466" t="s">
        <v>86</v>
      </c>
      <c r="G466" t="str">
        <f>VLOOKUP(J466,'dataset mapping'!$A$4:$E$69,3,0)</f>
        <v>fuel cell system, 1 kWe, proton exchange membrane (PEM)</v>
      </c>
      <c r="H466" t="s">
        <v>88</v>
      </c>
      <c r="I466" t="s">
        <v>272</v>
      </c>
      <c r="J466" t="s">
        <v>273</v>
      </c>
      <c r="K466" t="str">
        <f>B426</f>
        <v>heat, residential, by conversion of hydrogen using fuel cell, PEM, allocated by exergy, transported by truck, produced by Pyrolysis using natural gas from Switzerland</v>
      </c>
      <c r="L466">
        <f t="shared" ref="L466:L469" si="35">IF(OR(B466&lt;0,B466=0),1,2)</f>
        <v>2</v>
      </c>
      <c r="M466">
        <f t="shared" ref="M466:M469" si="36">IF(L466=2,LN(B466),"")</f>
        <v>-13.794341024667077</v>
      </c>
      <c r="N466">
        <v>1</v>
      </c>
      <c r="O466">
        <v>1.2</v>
      </c>
      <c r="P466">
        <v>1</v>
      </c>
      <c r="Q466">
        <v>1.01</v>
      </c>
      <c r="R466">
        <v>1.2</v>
      </c>
      <c r="S466">
        <v>1.2</v>
      </c>
      <c r="T466">
        <v>3</v>
      </c>
      <c r="U466">
        <f t="shared" ref="U466:U469" si="37">LN(SQRT(EXP(
SQRT(
+POWER(LN(N466),2)
+POWER(LN(O466),2)
+POWER(LN(P466),2)
+POWER(LN(Q466),2)
+POWER(LN(R466),2)
+POWER(LN(S466),2)
+POWER(LN(T466),2)
)
)))</f>
        <v>0.57157051623399524</v>
      </c>
    </row>
    <row r="467" spans="1:21" x14ac:dyDescent="0.2">
      <c r="A467" s="45" t="str">
        <f>"hydrogen supply, transported by "&amp;B440&amp;", produced by "&amp;B444&amp;" using "&amp;B445&amp;" from "&amp;B446</f>
        <v>hydrogen supply, transported by truck, produced by Pyrolysis using natural gas from Switzerland</v>
      </c>
      <c r="B467" s="53">
        <f>(B465/B449)/B448*B460</f>
        <v>2.3223301331624095E-3</v>
      </c>
      <c r="C467" t="s">
        <v>56</v>
      </c>
      <c r="E467" t="s">
        <v>64</v>
      </c>
      <c r="F467" t="s">
        <v>86</v>
      </c>
      <c r="G467" t="s">
        <v>1137</v>
      </c>
      <c r="H467" t="s">
        <v>76</v>
      </c>
      <c r="I467" t="s">
        <v>1054</v>
      </c>
      <c r="J467" t="s">
        <v>23</v>
      </c>
      <c r="K467" t="str">
        <f>B426</f>
        <v>heat, residential, by conversion of hydrogen using fuel cell, PEM, allocated by exergy, transported by truck, produced by Pyrolysis using natural gas from Switzerland</v>
      </c>
      <c r="L467">
        <f t="shared" si="35"/>
        <v>2</v>
      </c>
      <c r="M467">
        <f t="shared" si="36"/>
        <v>-6.0651842296013152</v>
      </c>
      <c r="N467">
        <v>1</v>
      </c>
      <c r="O467">
        <v>1.2</v>
      </c>
      <c r="P467">
        <v>1</v>
      </c>
      <c r="Q467">
        <v>1.01</v>
      </c>
      <c r="R467">
        <v>1.2</v>
      </c>
      <c r="S467">
        <v>1.2</v>
      </c>
      <c r="T467">
        <v>1.05</v>
      </c>
      <c r="U467">
        <f t="shared" si="37"/>
        <v>0.15984597228197622</v>
      </c>
    </row>
    <row r="468" spans="1:21" x14ac:dyDescent="0.2">
      <c r="A468" t="str">
        <f>VLOOKUP(J468,'dataset mapping'!$A$4:$E$69,2,0)</f>
        <v>high pressure hydrogen storage tank</v>
      </c>
      <c r="B468" s="52">
        <f>((B461/10)/(B459*B455*20*3.6))*IF(B460&lt;&gt;0,B460,1)</f>
        <v>2.5464146196956242E-7</v>
      </c>
      <c r="C468" t="str">
        <f>VLOOKUP(J468,'dataset mapping'!$A$4:$E$69,5,0)</f>
        <v>kilogram</v>
      </c>
      <c r="E468" t="str">
        <f>VLOOKUP(J468,'dataset mapping'!$A$4:$E$69,4,0)</f>
        <v>GLO</v>
      </c>
      <c r="F468" t="s">
        <v>86</v>
      </c>
      <c r="G468" t="str">
        <f>VLOOKUP(J468,'dataset mapping'!$A$4:$E$69,3,0)</f>
        <v>high pressure hydrogen storage tank</v>
      </c>
      <c r="H468" t="s">
        <v>88</v>
      </c>
      <c r="I468" t="s">
        <v>280</v>
      </c>
      <c r="J468" t="s">
        <v>229</v>
      </c>
      <c r="K468" t="str">
        <f>B426</f>
        <v>heat, residential, by conversion of hydrogen using fuel cell, PEM, allocated by exergy, transported by truck, produced by Pyrolysis using natural gas from Switzerland</v>
      </c>
      <c r="L468">
        <f t="shared" si="35"/>
        <v>2</v>
      </c>
      <c r="M468">
        <f t="shared" si="36"/>
        <v>-15.183409312669692</v>
      </c>
      <c r="N468">
        <v>1</v>
      </c>
      <c r="O468">
        <v>1.2</v>
      </c>
      <c r="P468">
        <v>1</v>
      </c>
      <c r="Q468">
        <v>1.01</v>
      </c>
      <c r="R468">
        <v>1.2</v>
      </c>
      <c r="S468">
        <v>1.2</v>
      </c>
      <c r="T468">
        <v>3</v>
      </c>
      <c r="U468">
        <f t="shared" si="37"/>
        <v>0.57157051623399524</v>
      </c>
    </row>
    <row r="469" spans="1:21" x14ac:dyDescent="0.2">
      <c r="A469" t="s">
        <v>134</v>
      </c>
      <c r="B469" s="45">
        <f>B467*9</f>
        <v>2.0900971198461685E-2</v>
      </c>
      <c r="C469" t="s">
        <v>56</v>
      </c>
      <c r="D469" t="s">
        <v>100</v>
      </c>
      <c r="F469" t="s">
        <v>99</v>
      </c>
      <c r="H469" t="s">
        <v>131</v>
      </c>
      <c r="I469" t="s">
        <v>289</v>
      </c>
      <c r="K469" t="str">
        <f>B426</f>
        <v>heat, residential, by conversion of hydrogen using fuel cell, PEM, allocated by exergy, transported by truck, produced by Pyrolysis using natural gas from Switzerland</v>
      </c>
      <c r="L469">
        <f t="shared" si="35"/>
        <v>2</v>
      </c>
      <c r="M469">
        <f t="shared" si="36"/>
        <v>-3.8679596522650961</v>
      </c>
      <c r="N469">
        <v>1</v>
      </c>
      <c r="O469">
        <v>1.2</v>
      </c>
      <c r="P469">
        <v>1</v>
      </c>
      <c r="Q469">
        <v>1.01</v>
      </c>
      <c r="R469">
        <v>1.2</v>
      </c>
      <c r="S469">
        <v>1.2</v>
      </c>
      <c r="T469">
        <v>1.05</v>
      </c>
      <c r="U469">
        <f t="shared" si="37"/>
        <v>0.15984597228197622</v>
      </c>
    </row>
    <row r="471" spans="1:21" x14ac:dyDescent="0.2">
      <c r="A471" s="2" t="s">
        <v>50</v>
      </c>
      <c r="B471" s="44" t="str">
        <f>IF(B477="megajoule","heat","electricity")&amp;", residential, by "&amp;B482&amp;" of "&amp;B481&amp;" using "&amp;B483&amp;IF(B484&lt;&gt;0,", allocated by "&amp;B484,"")&amp;", transported by "&amp;B485&amp;", produced by "&amp;B489&amp;" using "&amp;B490&amp;" from "&amp;B491</f>
        <v>heat, residential, by conversion of hydrogen using fuel cell, SOFC, allocated by exergy, transported by truck, produced by Pyrolysis using natural gas from Switzerland</v>
      </c>
    </row>
    <row r="472" spans="1:21" x14ac:dyDescent="0.2">
      <c r="A472" t="s">
        <v>51</v>
      </c>
      <c r="B472" s="45" t="str">
        <f>"This dataset represents the supply of 1 "&amp;IF(B477="megajoule","megajoule of heat","kilowatt hour of electricity")&amp;" in a residence, by "&amp;B481&amp;" "&amp;B482&amp;" in a "&amp;B483&amp;". "&amp;" The hydrogen is transported by "&amp;B485&amp;" over "&amp;B486&amp;" km from regional storage. "&amp;" The "&amp;B481&amp;" is produced by  "&amp;B489&amp;", with "&amp;B490&amp;" from "&amp;B491&amp;" as feedstock. "&amp;A493&amp;": "&amp;(B493*100)&amp;"%. "&amp;A494&amp;": "&amp;B494&amp;". "&amp;A495&amp;": "&amp;B495&amp;". "&amp;A496&amp;": "&amp;(B496*100)&amp;"%. "&amp;A497&amp;": "&amp;(B497*100)&amp;"%. "&amp;A498&amp;": "&amp;(B498*100)&amp;"%. "&amp;A499&amp;": "&amp;B499&amp;". "&amp;A500&amp;": "&amp;B500&amp;". "&amp;A501&amp;": "&amp;(B501*100)&amp;"%. "&amp;A502&amp;": "&amp;B502&amp;". "&amp;A503&amp;": "&amp;B503&amp;". "&amp;A504&amp;": "&amp;B504&amp;". "&amp;A505&amp;": "&amp;B505&amp;".  For more information, refer to: "&amp;B473</f>
        <v>This dataset represents the supply of 1 megajoule of heat in a residence, by hydrogen conversion in a fuel cell, SOFC.  The hydrogen is transported by truck over 200 km from regional storage.  The hydrogen is produced by  Pyrolysis, with natural gas from Switzerland as feedstock. Heat conversion efficiency [% LHV input]: 53%. LHV [MJ/kg]: 120.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0.135875065103991.  For more information, refer to: Sacchi, R., Treyer, T., Zhang, X., Bauer, C. Life Cycle Assessment of Power-to-X processes and associated electricity and heat applications in the residential sector. Paul Scherrer Institut, 2023.</v>
      </c>
    </row>
    <row r="473" spans="1:21" x14ac:dyDescent="0.2">
      <c r="A473" t="s">
        <v>63</v>
      </c>
      <c r="B473" s="45" t="s">
        <v>660</v>
      </c>
    </row>
    <row r="474" spans="1:21" x14ac:dyDescent="0.2">
      <c r="A474" t="s">
        <v>52</v>
      </c>
      <c r="B474" s="45" t="s">
        <v>64</v>
      </c>
    </row>
    <row r="475" spans="1:21" x14ac:dyDescent="0.2">
      <c r="A475" t="s">
        <v>48</v>
      </c>
      <c r="B475" s="45">
        <v>160</v>
      </c>
    </row>
    <row r="476" spans="1:21" x14ac:dyDescent="0.2">
      <c r="A476" t="s">
        <v>54</v>
      </c>
      <c r="B476" s="45" t="str">
        <f>INDEX(overview!$B$4:$R$338,MATCH(B475,overview!$A$4:$A$338,0),MATCH(A476,overview!$B$3:$R$3,0))</f>
        <v>heat, from residential heating system</v>
      </c>
    </row>
    <row r="477" spans="1:21" x14ac:dyDescent="0.2">
      <c r="A477" t="s">
        <v>55</v>
      </c>
      <c r="B477" s="45" t="str">
        <f>INDEX(overview!$B$4:$R$338,MATCH(B475,overview!$A$4:$A$338,0),MATCH(A477,overview!$B$3:$R$3,0))</f>
        <v>megajoule</v>
      </c>
    </row>
    <row r="478" spans="1:21" x14ac:dyDescent="0.2">
      <c r="A478" t="s">
        <v>0</v>
      </c>
      <c r="B478" s="45" t="str">
        <f>INDEX(overview!$B$4:$R$338,MATCH(B475,overview!$A$4:$A$338,0),MATCH(A478,overview!$B$3:$R$3,0))</f>
        <v>Switzerland</v>
      </c>
    </row>
    <row r="479" spans="1:21" x14ac:dyDescent="0.2">
      <c r="A479" t="s">
        <v>1</v>
      </c>
      <c r="B479" s="45">
        <f>INDEX(overview!$B$4:$R$338,MATCH(B475,overview!$A$4:$A$338,0),MATCH(A479,overview!$B$3:$R$3,0))</f>
        <v>2020</v>
      </c>
    </row>
    <row r="480" spans="1:21" x14ac:dyDescent="0.2">
      <c r="A480" t="s">
        <v>2</v>
      </c>
      <c r="B480" s="45" t="str">
        <f>INDEX(overview!$B$4:$R$338,MATCH(B475,overview!$A$4:$A$338,0),MATCH(A480,overview!$B$3:$R$3,0))</f>
        <v>1 MJ heat</v>
      </c>
    </row>
    <row r="481" spans="1:2" x14ac:dyDescent="0.2">
      <c r="A481" t="s">
        <v>5</v>
      </c>
      <c r="B481" s="45" t="str">
        <f>INDEX(overview!$B$4:$R$338,MATCH(B475,overview!$A$4:$A$338,0),MATCH(A481,overview!$B$3:$R$3,0))</f>
        <v>hydrogen</v>
      </c>
    </row>
    <row r="482" spans="1:2" x14ac:dyDescent="0.2">
      <c r="A482" t="s">
        <v>3</v>
      </c>
      <c r="B482" s="45" t="str">
        <f>INDEX(overview!$B$4:$R$338,MATCH(B475,overview!$A$4:$A$338,0),MATCH(A482,overview!$B$3:$R$3,0))</f>
        <v>conversion</v>
      </c>
    </row>
    <row r="483" spans="1:2" x14ac:dyDescent="0.2">
      <c r="A483" t="s">
        <v>6</v>
      </c>
      <c r="B483" s="45" t="str">
        <f>INDEX(overview!$B$4:$R$338,MATCH(B475,overview!$A$4:$A$338,0),MATCH(A483,overview!$B$3:$R$3,0))</f>
        <v>fuel cell, SOFC</v>
      </c>
    </row>
    <row r="484" spans="1:2" x14ac:dyDescent="0.2">
      <c r="A484" t="s">
        <v>39</v>
      </c>
      <c r="B484" s="45" t="str">
        <f>INDEX(overview!$B$4:$R$338,MATCH(B475,overview!$A$4:$A$338,0),MATCH(A484,overview!$B$3:$R$3,0))</f>
        <v>exergy</v>
      </c>
    </row>
    <row r="485" spans="1:2" x14ac:dyDescent="0.2">
      <c r="A485" t="s">
        <v>4</v>
      </c>
      <c r="B485" s="45" t="str">
        <f>INDEX(overview!$B$4:$R$338,MATCH(B475,overview!$A$4:$A$338,0),MATCH(A485,overview!$B$3:$R$3,0))</f>
        <v>truck</v>
      </c>
    </row>
    <row r="486" spans="1:2" x14ac:dyDescent="0.2">
      <c r="A486" t="s">
        <v>38</v>
      </c>
      <c r="B486" s="45">
        <f>INDEX(overview!$B$4:$R$338,MATCH(B475,overview!$A$4:$A$338,0),MATCH(A486,overview!$B$3:$R$3,0))</f>
        <v>200</v>
      </c>
    </row>
    <row r="487" spans="1:2" x14ac:dyDescent="0.2">
      <c r="A487" t="s">
        <v>12</v>
      </c>
      <c r="B487" s="45" t="str">
        <f>INDEX(overview!$B$4:$R$338,MATCH(B475,overview!$A$4:$A$338,0),MATCH(A487,overview!$B$3:$R$3,0))</f>
        <v>Pressure vessel for stationary storage</v>
      </c>
    </row>
    <row r="488" spans="1:2" x14ac:dyDescent="0.2">
      <c r="A488" t="s">
        <v>34</v>
      </c>
      <c r="B488" s="45">
        <f>INDEX(overview!$B$4:$R$338,MATCH(B475,overview!$A$4:$A$338,0),MATCH(A488,overview!$B$3:$R$3,0))</f>
        <v>0</v>
      </c>
    </row>
    <row r="489" spans="1:2" x14ac:dyDescent="0.2">
      <c r="A489" t="s">
        <v>15</v>
      </c>
      <c r="B489" s="45" t="str">
        <f>INDEX(overview!$B$4:$R$338,MATCH(B475,overview!$A$4:$A$338,0),MATCH(A489,overview!$B$3:$R$3,0))</f>
        <v>Pyrolysis</v>
      </c>
    </row>
    <row r="490" spans="1:2" x14ac:dyDescent="0.2">
      <c r="A490" t="s">
        <v>14</v>
      </c>
      <c r="B490" s="45" t="str">
        <f>INDEX(overview!$B$4:$R$338,MATCH(B475,overview!$A$4:$A$338,0),MATCH(A490,overview!$B$3:$R$3,0))</f>
        <v>natural gas</v>
      </c>
    </row>
    <row r="491" spans="1:2" x14ac:dyDescent="0.2">
      <c r="A491" t="s">
        <v>26</v>
      </c>
      <c r="B491" s="45" t="str">
        <f>INDEX(overview!$B$4:$R$338,MATCH(B475,overview!$A$4:$A$338,0),MATCH(A491,overview!$B$3:$R$3,0))</f>
        <v>Switzerland</v>
      </c>
    </row>
    <row r="492" spans="1:2" x14ac:dyDescent="0.2">
      <c r="A492" t="s">
        <v>29</v>
      </c>
      <c r="B492" s="45">
        <f>INDEX(overview!$B$4:$R$338,MATCH(B475,overview!$A$4:$A$338,0),MATCH(A492,overview!$B$3:$R$3,0))</f>
        <v>0</v>
      </c>
    </row>
    <row r="493" spans="1:2" x14ac:dyDescent="0.2">
      <c r="A493" t="str">
        <f>IF(B477="megajoule","Heat","Electricity")&amp;" conversion efficiency [% LHV input]"</f>
        <v>Heat conversion efficiency [% LHV input]</v>
      </c>
      <c r="B493" s="46">
        <f>INDEX(parameters!$D$4:$N$20,MATCH(B481&amp;B483,parameters!$A$4:$A$20,0),MATCH(A493,parameters!$D$3:$N$3,0))</f>
        <v>0.53</v>
      </c>
    </row>
    <row r="494" spans="1:2" x14ac:dyDescent="0.2">
      <c r="A494" t="str">
        <f>IF(B477="megajoule","LHV [MJ/kg]","LHV [kWh/kg]")</f>
        <v>LHV [MJ/kg]</v>
      </c>
      <c r="B494" s="47">
        <f>INDEX(parameters!$D$4:$N$20,MATCH(B481&amp;B483,parameters!$A$4:$A$20,0),MATCH(A494,parameters!$D$3:$N$3,0))</f>
        <v>120</v>
      </c>
    </row>
    <row r="495" spans="1:2" x14ac:dyDescent="0.2">
      <c r="A495" t="s">
        <v>41</v>
      </c>
      <c r="B495" s="48">
        <f>INDEX(parameters!$D$4:$N$20,MATCH(B481&amp;B483,parameters!$A$4:$A$20,0),MATCH(A495,parameters!$D$3:$N$3,0))</f>
        <v>2.6666666666666665E-2</v>
      </c>
    </row>
    <row r="496" spans="1:2" x14ac:dyDescent="0.2">
      <c r="A496" t="s">
        <v>45</v>
      </c>
      <c r="B496" s="46">
        <f>INDEX(parameters!$D$4:$N$20,MATCH(B481&amp;B483,parameters!$A$4:$A$20,0),MATCH(A496,parameters!$D$3:$N$3,0))</f>
        <v>0</v>
      </c>
    </row>
    <row r="497" spans="1:22" x14ac:dyDescent="0.2">
      <c r="A497" t="s">
        <v>46</v>
      </c>
      <c r="B497" s="46">
        <f>INDEX(parameters!$D$4:$N$20,MATCH(B481&amp;B483,parameters!$A$4:$A$20,0),MATCH(A497,parameters!$D$3:$N$3,0))</f>
        <v>1.4999999999999999E-2</v>
      </c>
    </row>
    <row r="498" spans="1:22" x14ac:dyDescent="0.2">
      <c r="A498" t="s">
        <v>43</v>
      </c>
      <c r="B498" s="46">
        <f>INDEX(parameters!$D$4:$N$20,MATCH(B481&amp;B483,parameters!$A$4:$A$20,0),MATCH(A498,parameters!$D$3:$N$3,0))</f>
        <v>0</v>
      </c>
    </row>
    <row r="499" spans="1:22" x14ac:dyDescent="0.2">
      <c r="A499" t="s">
        <v>44</v>
      </c>
      <c r="B499" s="46">
        <f>INDEX(parameters!$D$4:$N$20,MATCH(B481&amp;B483,parameters!$A$4:$A$20,0),MATCH(A499,parameters!$D$3:$N$3,0))</f>
        <v>0</v>
      </c>
    </row>
    <row r="500" spans="1:22" x14ac:dyDescent="0.2">
      <c r="A500" t="s">
        <v>634</v>
      </c>
      <c r="B500" s="47">
        <f>INDEX(parameters!$D$4:$Y$20,MATCH(B481&amp;B483,parameters!$A$4:$A$20,0),MATCH(A500,parameters!$D$3:$Y$3,0))</f>
        <v>225</v>
      </c>
      <c r="D500" s="8"/>
    </row>
    <row r="501" spans="1:22" x14ac:dyDescent="0.2">
      <c r="A501" t="s">
        <v>82</v>
      </c>
      <c r="B501" s="46">
        <f>IF(B492&lt;&gt;0,VLOOKUP(B492,parameters!A405:B407,2,0),0)</f>
        <v>0</v>
      </c>
    </row>
    <row r="502" spans="1:22" x14ac:dyDescent="0.2">
      <c r="A502" t="s">
        <v>548</v>
      </c>
      <c r="B502" s="50">
        <f>INDEX(parameters!$D$4:$P$20,MATCH(B481&amp;B483,parameters!$A$4:$A$20,0),MATCH(A502,parameters!$D$3:$P$3,0))</f>
        <v>100</v>
      </c>
    </row>
    <row r="503" spans="1:22" x14ac:dyDescent="0.2">
      <c r="A503" t="s">
        <v>547</v>
      </c>
      <c r="B503" s="51">
        <f>INDEX(parameters!$D$4:$P$20,MATCH(B481&amp;B483,parameters!$A$4:$A$20,0),MATCH(A503,parameters!$D$3:$P$3,0))</f>
        <v>6</v>
      </c>
    </row>
    <row r="504" spans="1:22" x14ac:dyDescent="0.2">
      <c r="A504" t="s">
        <v>630</v>
      </c>
      <c r="B504" s="51">
        <f>INDEX(parameters!$D$4:$T$20,MATCH(B481&amp;B483,parameters!$A$4:$A$20,0),MATCH(A504,parameters!$D$3:$T$3,0))</f>
        <v>4100</v>
      </c>
    </row>
    <row r="505" spans="1:22" x14ac:dyDescent="0.2">
      <c r="A505" t="s">
        <v>1005</v>
      </c>
      <c r="B505" s="50">
        <f>IF(B477="megajoule",SUMIFS(allocation!$I$4:$I$30,allocation!$B$4:$B$30,B483,allocation!$C$4:$C$30,B484),SUMIFS(allocation!$J$4:$J$30,allocation!$B$4:$B$30,B483,allocation!$C$4:$C$30,B484))</f>
        <v>0.13587506510399097</v>
      </c>
    </row>
    <row r="506" spans="1:22" x14ac:dyDescent="0.2">
      <c r="A506" t="s">
        <v>1050</v>
      </c>
      <c r="B506" s="51">
        <f>INDEX(parameters!$D$4:$AB$20,MATCH(B481&amp;B483,parameters!$A$4:$A$20,0),MATCH(A506,parameters!$D$3:$AB$3,0))</f>
        <v>1153.1249999999998</v>
      </c>
    </row>
    <row r="508" spans="1:22" x14ac:dyDescent="0.2">
      <c r="A508" s="3" t="s">
        <v>57</v>
      </c>
    </row>
    <row r="509" spans="1:22" x14ac:dyDescent="0.2">
      <c r="A509" s="2" t="s">
        <v>58</v>
      </c>
      <c r="B509" s="44" t="s">
        <v>59</v>
      </c>
      <c r="C509" s="2" t="s">
        <v>55</v>
      </c>
      <c r="D509" s="2" t="s">
        <v>60</v>
      </c>
      <c r="E509" s="2" t="s">
        <v>52</v>
      </c>
      <c r="F509" s="2" t="s">
        <v>61</v>
      </c>
      <c r="G509" s="2" t="s">
        <v>54</v>
      </c>
      <c r="H509" s="2" t="s">
        <v>87</v>
      </c>
      <c r="I509" s="2" t="s">
        <v>51</v>
      </c>
      <c r="J509" s="2" t="s">
        <v>138</v>
      </c>
      <c r="K509" s="2" t="s">
        <v>136</v>
      </c>
      <c r="L509" s="2" t="s">
        <v>221</v>
      </c>
      <c r="M509" s="2" t="s">
        <v>379</v>
      </c>
      <c r="N509" s="2" t="s">
        <v>1059</v>
      </c>
      <c r="O509" s="2" t="s">
        <v>1060</v>
      </c>
      <c r="P509" s="2" t="s">
        <v>1061</v>
      </c>
      <c r="Q509" s="2" t="s">
        <v>1062</v>
      </c>
      <c r="R509" s="2" t="s">
        <v>1063</v>
      </c>
      <c r="S509" s="2" t="s">
        <v>1064</v>
      </c>
      <c r="T509" s="2" t="s">
        <v>1065</v>
      </c>
      <c r="U509" s="2" t="s">
        <v>380</v>
      </c>
      <c r="V509" s="2" t="s">
        <v>1128</v>
      </c>
    </row>
    <row r="510" spans="1:22" x14ac:dyDescent="0.2">
      <c r="A510" t="str">
        <f>B471</f>
        <v>heat, residential, by conversion of hydrogen using fuel cell, SOFC, allocated by exergy, transported by truck, produced by Pyrolysis using natural gas from Switzerland</v>
      </c>
      <c r="B510" s="45">
        <v>1</v>
      </c>
      <c r="C510" t="str">
        <f>B477</f>
        <v>megajoule</v>
      </c>
      <c r="E510" t="str">
        <f>B474</f>
        <v>CH</v>
      </c>
      <c r="F510" t="s">
        <v>62</v>
      </c>
      <c r="G510" t="str">
        <f>B476</f>
        <v>heat, from residential heating system</v>
      </c>
      <c r="K510" t="str">
        <f>B471</f>
        <v>heat, residential, by conversion of hydrogen using fuel cell, SOFC, allocated by exergy, transported by truck, produced by Pyrolysis using natural gas from Switzerland</v>
      </c>
    </row>
    <row r="511" spans="1:22" x14ac:dyDescent="0.2">
      <c r="A511" t="str">
        <f>VLOOKUP(J511,'dataset mapping'!$A$4:$E$69,2,0)</f>
        <v>fuel cell production, stack solid oxide, 125kW electrical, future</v>
      </c>
      <c r="B511" s="52">
        <f>1/(62*1000000)/B493*SUMIFS(allocation!$I$4:$I$30,allocation!$B$4:$B$30,B483,allocation!$C$4:$C$30,B484)</f>
        <v>4.1349685059035601E-9</v>
      </c>
      <c r="C511" t="str">
        <f>VLOOKUP(J511,'dataset mapping'!$A$4:$E$69,5,0)</f>
        <v>unit</v>
      </c>
      <c r="E511" t="str">
        <f>VLOOKUP(J511,'dataset mapping'!$A$4:$E$69,4,0)</f>
        <v>CH</v>
      </c>
      <c r="F511" t="s">
        <v>86</v>
      </c>
      <c r="G511" t="str">
        <f>VLOOKUP(J511,'dataset mapping'!$A$4:$E$69,3,0)</f>
        <v>fuel cell, stack solid oxide, 125kW electrical, future</v>
      </c>
      <c r="H511" t="s">
        <v>88</v>
      </c>
      <c r="I511" t="s">
        <v>277</v>
      </c>
      <c r="J511" t="s">
        <v>274</v>
      </c>
      <c r="K511" t="str">
        <f>B471</f>
        <v>heat, residential, by conversion of hydrogen using fuel cell, SOFC, allocated by exergy, transported by truck, produced by Pyrolysis using natural gas from Switzerland</v>
      </c>
      <c r="L511">
        <f t="shared" ref="L511:L517" si="38">IF(OR(B511&lt;0,B511=0),1,2)</f>
        <v>2</v>
      </c>
      <c r="M511">
        <f t="shared" ref="M511:M517" si="39">IF(L511=2,LN(B511),"")</f>
        <v>-19.303786124968067</v>
      </c>
      <c r="N511">
        <v>1</v>
      </c>
      <c r="O511">
        <v>1.2</v>
      </c>
      <c r="P511">
        <v>1</v>
      </c>
      <c r="Q511">
        <v>1.01</v>
      </c>
      <c r="R511">
        <v>1.2</v>
      </c>
      <c r="S511">
        <v>1.2</v>
      </c>
      <c r="T511">
        <v>3</v>
      </c>
      <c r="U511">
        <f t="shared" ref="U511:U514" si="40">LN(SQRT(EXP(
SQRT(
+POWER(LN(N511),2)
+POWER(LN(O511),2)
+POWER(LN(P511),2)
+POWER(LN(Q511),2)
+POWER(LN(R511),2)
+POWER(LN(S511),2)
+POWER(LN(T511),2)
)
)))</f>
        <v>0.57157051623399524</v>
      </c>
    </row>
    <row r="512" spans="1:22" x14ac:dyDescent="0.2">
      <c r="A512" t="s">
        <v>283</v>
      </c>
      <c r="B512" s="52">
        <f>0.000000145/B493*SUMIFS(allocation!$I$4:$I$30,allocation!$B$4:$B$30,B483,allocation!$C$4:$C$30,B484)</f>
        <v>3.7173366868072996E-8</v>
      </c>
      <c r="C512" t="s">
        <v>55</v>
      </c>
      <c r="E512" t="s">
        <v>64</v>
      </c>
      <c r="F512" t="s">
        <v>86</v>
      </c>
      <c r="G512" t="s">
        <v>284</v>
      </c>
      <c r="H512" t="s">
        <v>88</v>
      </c>
      <c r="I512" t="s">
        <v>277</v>
      </c>
      <c r="K512" t="str">
        <f>B471</f>
        <v>heat, residential, by conversion of hydrogen using fuel cell, SOFC, allocated by exergy, transported by truck, produced by Pyrolysis using natural gas from Switzerland</v>
      </c>
      <c r="L512">
        <f t="shared" si="38"/>
        <v>2</v>
      </c>
      <c r="M512">
        <f t="shared" si="39"/>
        <v>-17.107673276484537</v>
      </c>
      <c r="N512">
        <v>1</v>
      </c>
      <c r="O512">
        <v>1.2</v>
      </c>
      <c r="P512">
        <v>1</v>
      </c>
      <c r="Q512">
        <v>1.01</v>
      </c>
      <c r="R512">
        <v>1.2</v>
      </c>
      <c r="S512">
        <v>1.2</v>
      </c>
      <c r="T512">
        <v>3</v>
      </c>
      <c r="U512">
        <f t="shared" si="40"/>
        <v>0.57157051623399524</v>
      </c>
    </row>
    <row r="513" spans="1:21" x14ac:dyDescent="0.2">
      <c r="A513" t="s">
        <v>285</v>
      </c>
      <c r="B513" s="52">
        <f>0.0000000115/B493*SUMIFS(allocation!$I$4:$I$30,allocation!$B$4:$B$30,B483,allocation!$C$4:$C$30,B484)</f>
        <v>2.9482325447092381E-9</v>
      </c>
      <c r="C513" t="s">
        <v>55</v>
      </c>
      <c r="E513" t="s">
        <v>90</v>
      </c>
      <c r="F513" t="s">
        <v>86</v>
      </c>
      <c r="G513" t="s">
        <v>286</v>
      </c>
      <c r="H513" t="s">
        <v>88</v>
      </c>
      <c r="K513" t="str">
        <f>B471</f>
        <v>heat, residential, by conversion of hydrogen using fuel cell, SOFC, allocated by exergy, transported by truck, produced by Pyrolysis using natural gas from Switzerland</v>
      </c>
      <c r="L513">
        <f t="shared" si="38"/>
        <v>2</v>
      </c>
      <c r="M513">
        <f t="shared" si="39"/>
        <v>-19.642059983535908</v>
      </c>
      <c r="N513">
        <v>1</v>
      </c>
      <c r="O513">
        <v>1.2</v>
      </c>
      <c r="P513">
        <v>1</v>
      </c>
      <c r="Q513">
        <v>1.01</v>
      </c>
      <c r="R513">
        <v>1.2</v>
      </c>
      <c r="S513">
        <v>1.2</v>
      </c>
      <c r="T513">
        <v>3</v>
      </c>
      <c r="U513">
        <f t="shared" si="40"/>
        <v>0.57157051623399524</v>
      </c>
    </row>
    <row r="514" spans="1:21" x14ac:dyDescent="0.2">
      <c r="A514" t="s">
        <v>288</v>
      </c>
      <c r="B514" s="52">
        <f>0.000024/B493*SUMIFS(allocation!$I$4:$I$30,allocation!$B$4:$B$30,B483,allocation!$C$4:$C$30,B484)</f>
        <v>6.152833136784497E-6</v>
      </c>
      <c r="C514" t="s">
        <v>56</v>
      </c>
      <c r="E514" t="s">
        <v>64</v>
      </c>
      <c r="F514" t="s">
        <v>86</v>
      </c>
      <c r="G514" t="s">
        <v>287</v>
      </c>
      <c r="H514" t="s">
        <v>88</v>
      </c>
      <c r="K514" t="str">
        <f>B471</f>
        <v>heat, residential, by conversion of hydrogen using fuel cell, SOFC, allocated by exergy, transported by truck, produced by Pyrolysis using natural gas from Switzerland</v>
      </c>
      <c r="L514">
        <f t="shared" si="38"/>
        <v>2</v>
      </c>
      <c r="M514">
        <f t="shared" si="39"/>
        <v>-11.998597909575029</v>
      </c>
      <c r="N514">
        <v>1</v>
      </c>
      <c r="O514">
        <v>1.2</v>
      </c>
      <c r="P514">
        <v>1</v>
      </c>
      <c r="Q514">
        <v>1.01</v>
      </c>
      <c r="R514">
        <v>1.2</v>
      </c>
      <c r="S514">
        <v>1.2</v>
      </c>
      <c r="T514">
        <v>1.05</v>
      </c>
      <c r="U514">
        <f t="shared" si="40"/>
        <v>0.15984597228197622</v>
      </c>
    </row>
    <row r="515" spans="1:21" x14ac:dyDescent="0.2">
      <c r="A515" s="45" t="str">
        <f>"hydrogen supply, transported by "&amp;B485&amp;", produced by "&amp;B489&amp;" using "&amp;B490&amp;" from "&amp;B491</f>
        <v>hydrogen supply, transported by truck, produced by Pyrolysis using natural gas from Switzerland</v>
      </c>
      <c r="B515" s="53">
        <f>(B510/B494)/B493*B505</f>
        <v>2.1364003947168392E-3</v>
      </c>
      <c r="C515" t="s">
        <v>56</v>
      </c>
      <c r="E515" t="s">
        <v>64</v>
      </c>
      <c r="F515" t="s">
        <v>86</v>
      </c>
      <c r="G515" t="s">
        <v>1137</v>
      </c>
      <c r="H515" t="s">
        <v>76</v>
      </c>
      <c r="I515" t="s">
        <v>1054</v>
      </c>
      <c r="J515" t="s">
        <v>23</v>
      </c>
      <c r="K515" t="str">
        <f>B471</f>
        <v>heat, residential, by conversion of hydrogen using fuel cell, SOFC, allocated by exergy, transported by truck, produced by Pyrolysis using natural gas from Switzerland</v>
      </c>
      <c r="L515">
        <f t="shared" si="38"/>
        <v>2</v>
      </c>
      <c r="M515">
        <f t="shared" si="39"/>
        <v>-6.1486329247407472</v>
      </c>
      <c r="N515">
        <v>1</v>
      </c>
      <c r="O515">
        <v>1.2</v>
      </c>
      <c r="P515">
        <v>1</v>
      </c>
      <c r="Q515">
        <v>1.01</v>
      </c>
      <c r="R515">
        <v>1.2</v>
      </c>
      <c r="S515">
        <v>1.2</v>
      </c>
      <c r="T515">
        <v>1.05</v>
      </c>
      <c r="U515">
        <f t="shared" ref="U515:U517" si="41">LN(SQRT(EXP(
SQRT(
+POWER(LN(N515),2)
+POWER(LN(O515),2)
+POWER(LN(P515),2)
+POWER(LN(Q515),2)
+POWER(LN(R515),2)
+POWER(LN(S515),2)
+POWER(LN(T515),2)
)
)))</f>
        <v>0.15984597228197622</v>
      </c>
    </row>
    <row r="516" spans="1:21" x14ac:dyDescent="0.2">
      <c r="A516" t="str">
        <f>VLOOKUP(J516,'dataset mapping'!$A$4:$E$69,2,0)</f>
        <v>high pressure hydrogen storage tank</v>
      </c>
      <c r="B516" s="52">
        <f>((B506/10)/(B504*B500*20*3.6))*IF(B505&lt;&gt;0,B505,1)</f>
        <v>2.3589421024998428E-7</v>
      </c>
      <c r="C516" t="str">
        <f>VLOOKUP(J516,'dataset mapping'!$A$4:$E$69,5,0)</f>
        <v>kilogram</v>
      </c>
      <c r="E516" t="str">
        <f>VLOOKUP(J516,'dataset mapping'!$A$4:$E$69,4,0)</f>
        <v>GLO</v>
      </c>
      <c r="F516" t="s">
        <v>86</v>
      </c>
      <c r="G516" t="str">
        <f>VLOOKUP(J516,'dataset mapping'!$A$4:$E$69,3,0)</f>
        <v>high pressure hydrogen storage tank</v>
      </c>
      <c r="H516" t="s">
        <v>88</v>
      </c>
      <c r="I516" t="s">
        <v>230</v>
      </c>
      <c r="J516" t="s">
        <v>229</v>
      </c>
      <c r="K516" t="str">
        <f>B471</f>
        <v>heat, residential, by conversion of hydrogen using fuel cell, SOFC, allocated by exergy, transported by truck, produced by Pyrolysis using natural gas from Switzerland</v>
      </c>
      <c r="L516">
        <f t="shared" si="38"/>
        <v>2</v>
      </c>
      <c r="M516">
        <f t="shared" si="39"/>
        <v>-15.259882394072699</v>
      </c>
      <c r="N516">
        <v>1</v>
      </c>
      <c r="O516">
        <v>1.2</v>
      </c>
      <c r="P516">
        <v>1</v>
      </c>
      <c r="Q516">
        <v>1.01</v>
      </c>
      <c r="R516">
        <v>1.2</v>
      </c>
      <c r="S516">
        <v>1.2</v>
      </c>
      <c r="T516">
        <v>3</v>
      </c>
      <c r="U516">
        <f t="shared" si="41"/>
        <v>0.57157051623399524</v>
      </c>
    </row>
    <row r="517" spans="1:21" x14ac:dyDescent="0.2">
      <c r="A517" t="s">
        <v>134</v>
      </c>
      <c r="B517" s="45">
        <f>B515*9</f>
        <v>1.9227603552451553E-2</v>
      </c>
      <c r="C517" t="s">
        <v>56</v>
      </c>
      <c r="D517" t="s">
        <v>100</v>
      </c>
      <c r="F517" t="s">
        <v>99</v>
      </c>
      <c r="H517" t="s">
        <v>131</v>
      </c>
      <c r="I517" t="s">
        <v>289</v>
      </c>
      <c r="K517" t="str">
        <f>B471</f>
        <v>heat, residential, by conversion of hydrogen using fuel cell, SOFC, allocated by exergy, transported by truck, produced by Pyrolysis using natural gas from Switzerland</v>
      </c>
      <c r="L517">
        <f t="shared" si="38"/>
        <v>2</v>
      </c>
      <c r="M517">
        <f t="shared" si="39"/>
        <v>-3.9514083474045276</v>
      </c>
      <c r="N517">
        <v>1</v>
      </c>
      <c r="O517">
        <v>1.2</v>
      </c>
      <c r="P517">
        <v>1</v>
      </c>
      <c r="Q517">
        <v>1.01</v>
      </c>
      <c r="R517">
        <v>1.2</v>
      </c>
      <c r="S517">
        <v>1.2</v>
      </c>
      <c r="T517">
        <v>1.05</v>
      </c>
      <c r="U517">
        <f t="shared" si="41"/>
        <v>0.15984597228197622</v>
      </c>
    </row>
    <row r="519" spans="1:21" x14ac:dyDescent="0.2">
      <c r="A519" s="2" t="s">
        <v>50</v>
      </c>
      <c r="B519" s="44" t="str">
        <f>IF(B525="megajoule","heat","electricity")&amp;", residential, by "&amp;B530&amp;" of "&amp;B529&amp;" using "&amp;B531&amp;IF(B532&lt;&gt;0,", allocated by "&amp;B532,"")&amp;", transported by "&amp;B533&amp;", produced by "&amp;B537&amp;" using "&amp;B538&amp;" from "&amp;B539</f>
        <v>electricity, residential, by combustion of hydrogen using CHP, allocated by exergy, transported by truck, produced by Pyrolysis using natural gas from Switzerland</v>
      </c>
    </row>
    <row r="520" spans="1:21" x14ac:dyDescent="0.2">
      <c r="A520" t="s">
        <v>51</v>
      </c>
      <c r="B520" s="45" t="str">
        <f>"This dataset represents the supply of 1 "&amp;IF(B525="megajoule","megajoule of heat","kilowatt hour of electricity")&amp;" in a residence, by "&amp;B529&amp;" "&amp;B530&amp;" in a "&amp;B531&amp;". "&amp;" The hydrogen is transported by "&amp;B533&amp;" over "&amp;B534&amp;" km from regional storage. "&amp;" The "&amp;B529&amp;" is produced by  "&amp;B537&amp;", with "&amp;B538&amp;" from "&amp;B539&amp;" as feedstock. "&amp;A541&amp;": "&amp;(B541*100)&amp;"%. "&amp;A542&amp;": "&amp;B542&amp;". "&amp;A543&amp;": "&amp;B543&amp;". "&amp;A544&amp;": "&amp;(B544*100)&amp;"%. "&amp;A545&amp;": "&amp;(B545*100)&amp;"%. "&amp;A546&amp;": "&amp;(B546*100)&amp;"%. "&amp;A547&amp;": "&amp;B547&amp;". "&amp;A548&amp;": "&amp;B548&amp;". "&amp;A549&amp;": "&amp;(B549*100)&amp;"%. "&amp;A550&amp;": "&amp;B550&amp;". "&amp;A551&amp;": "&amp;B551&amp;". "&amp;A552&amp;": "&amp;B552&amp;". "&amp;A553&amp;": "&amp;B553&amp;".  For more information, refer to: "&amp;B521</f>
        <v>This dataset represents the supply of 1 kilowatt hour of electricity in a residence, by hydrogen combustion in a CHP.  The hydrogen is transported by truck over 200 km from regional storage.  The hydrogen is produced by  Pyrolysis, with natural gas from Switzerland as feedstock. Electricity conversion efficiency [% LHV input]: 39.4%. LHV [kWh/kg]: 33.3333333333333. Market price [€/MJ]: 0.0266666666666667. Distribution loss [% output]: 0%. Storage loss [% output]: 1.5%. Synthesis efficiency [% LHV input]: 0%. Hydrogen production efficiency [% LHV input]: 0. Total cap. Input-related [kW]: 351.418002466091. CO2 biogenic share [%]: 0%. Power [kW]: 125. Lifetime [years]: 19.5121951219512. Annual operation [hours]: 4100. Allocation factor: 0.87139957772705.  For more information, refer to: Sacchi, R., Treyer, T., Zhang, X., Bauer, C. Life Cycle Assessment of Power-to-X processes and associated electricity and heat applications in the residential sector. Paul Scherrer Institut, 2023.</v>
      </c>
    </row>
    <row r="521" spans="1:21" x14ac:dyDescent="0.2">
      <c r="A521" t="s">
        <v>63</v>
      </c>
      <c r="B521" s="45" t="s">
        <v>660</v>
      </c>
    </row>
    <row r="522" spans="1:21" x14ac:dyDescent="0.2">
      <c r="A522" t="s">
        <v>52</v>
      </c>
      <c r="B522" s="45" t="s">
        <v>64</v>
      </c>
    </row>
    <row r="523" spans="1:21" x14ac:dyDescent="0.2">
      <c r="A523" t="s">
        <v>48</v>
      </c>
      <c r="B523" s="45" t="s">
        <v>982</v>
      </c>
    </row>
    <row r="524" spans="1:21" x14ac:dyDescent="0.2">
      <c r="A524" t="s">
        <v>54</v>
      </c>
      <c r="B524" s="45" t="str">
        <f>INDEX(overview!$B$4:$R$338,MATCH(B523,overview!$A$4:$A$338,0),MATCH(A524,overview!$B$3:$R$3,0))</f>
        <v>electricity, from residential heating system</v>
      </c>
    </row>
    <row r="525" spans="1:21" x14ac:dyDescent="0.2">
      <c r="A525" t="s">
        <v>55</v>
      </c>
      <c r="B525" s="45" t="str">
        <f>INDEX(overview!$B$4:$R$338,MATCH(B523,overview!$A$4:$A$338,0),MATCH(A525,overview!$B$3:$R$3,0))</f>
        <v>kilowatt hour</v>
      </c>
    </row>
    <row r="526" spans="1:21" x14ac:dyDescent="0.2">
      <c r="A526" t="s">
        <v>0</v>
      </c>
      <c r="B526" s="45" t="str">
        <f>INDEX(overview!$B$4:$R$338,MATCH(B523,overview!$A$4:$A$338,0),MATCH(A526,overview!$B$3:$R$3,0))</f>
        <v>Switzerland</v>
      </c>
    </row>
    <row r="527" spans="1:21" x14ac:dyDescent="0.2">
      <c r="A527" t="s">
        <v>1</v>
      </c>
      <c r="B527" s="45">
        <f>INDEX(overview!$B$4:$R$338,MATCH(B523,overview!$A$4:$A$338,0),MATCH(A527,overview!$B$3:$R$3,0))</f>
        <v>2020</v>
      </c>
    </row>
    <row r="528" spans="1:21" x14ac:dyDescent="0.2">
      <c r="A528" t="s">
        <v>2</v>
      </c>
      <c r="B528" s="45" t="str">
        <f>INDEX(overview!$B$4:$R$338,MATCH(B523,overview!$A$4:$A$338,0),MATCH(A528,overview!$B$3:$R$3,0))</f>
        <v>1 kWh electricity</v>
      </c>
    </row>
    <row r="529" spans="1:2" x14ac:dyDescent="0.2">
      <c r="A529" t="s">
        <v>5</v>
      </c>
      <c r="B529" s="45" t="str">
        <f>INDEX(overview!$B$4:$R$338,MATCH(B523,overview!$A$4:$A$338,0),MATCH(A529,overview!$B$3:$R$3,0))</f>
        <v>hydrogen</v>
      </c>
    </row>
    <row r="530" spans="1:2" x14ac:dyDescent="0.2">
      <c r="A530" t="s">
        <v>3</v>
      </c>
      <c r="B530" s="45" t="str">
        <f>INDEX(overview!$B$4:$R$338,MATCH(B523,overview!$A$4:$A$338,0),MATCH(A530,overview!$B$3:$R$3,0))</f>
        <v>combustion</v>
      </c>
    </row>
    <row r="531" spans="1:2" x14ac:dyDescent="0.2">
      <c r="A531" t="s">
        <v>6</v>
      </c>
      <c r="B531" s="45" t="str">
        <f>INDEX(overview!$B$4:$R$338,MATCH(B523,overview!$A$4:$A$338,0),MATCH(A531,overview!$B$3:$R$3,0))</f>
        <v>CHP</v>
      </c>
    </row>
    <row r="532" spans="1:2" x14ac:dyDescent="0.2">
      <c r="A532" t="s">
        <v>39</v>
      </c>
      <c r="B532" s="45" t="str">
        <f>INDEX(overview!$B$4:$R$338,MATCH(B523,overview!$A$4:$A$338,0),MATCH(A532,overview!$B$3:$R$3,0))</f>
        <v>exergy</v>
      </c>
    </row>
    <row r="533" spans="1:2" x14ac:dyDescent="0.2">
      <c r="A533" t="s">
        <v>4</v>
      </c>
      <c r="B533" s="45" t="str">
        <f>INDEX(overview!$B$4:$R$338,MATCH(B523,overview!$A$4:$A$338,0),MATCH(A533,overview!$B$3:$R$3,0))</f>
        <v>truck</v>
      </c>
    </row>
    <row r="534" spans="1:2" x14ac:dyDescent="0.2">
      <c r="A534" t="s">
        <v>38</v>
      </c>
      <c r="B534" s="45">
        <f>INDEX(overview!$B$4:$R$338,MATCH(B523,overview!$A$4:$A$338,0),MATCH(A534,overview!$B$3:$R$3,0))</f>
        <v>200</v>
      </c>
    </row>
    <row r="535" spans="1:2" x14ac:dyDescent="0.2">
      <c r="A535" t="s">
        <v>12</v>
      </c>
      <c r="B535" s="45" t="str">
        <f>INDEX(overview!$B$4:$R$338,MATCH(B523,overview!$A$4:$A$338,0),MATCH(A535,overview!$B$3:$R$3,0))</f>
        <v>Pressure vessel for stationary storage</v>
      </c>
    </row>
    <row r="536" spans="1:2" x14ac:dyDescent="0.2">
      <c r="A536" t="s">
        <v>34</v>
      </c>
      <c r="B536" s="45">
        <f>INDEX(overview!$B$4:$R$338,MATCH(B523,overview!$A$4:$A$338,0),MATCH(A536,overview!$B$3:$R$3,0))</f>
        <v>0</v>
      </c>
    </row>
    <row r="537" spans="1:2" x14ac:dyDescent="0.2">
      <c r="A537" t="s">
        <v>15</v>
      </c>
      <c r="B537" s="45" t="str">
        <f>INDEX(overview!$B$4:$R$338,MATCH(B523,overview!$A$4:$A$338,0),MATCH(A537,overview!$B$3:$R$3,0))</f>
        <v>Pyrolysis</v>
      </c>
    </row>
    <row r="538" spans="1:2" x14ac:dyDescent="0.2">
      <c r="A538" t="s">
        <v>14</v>
      </c>
      <c r="B538" s="45" t="str">
        <f>INDEX(overview!$B$4:$R$338,MATCH(B523,overview!$A$4:$A$338,0),MATCH(A538,overview!$B$3:$R$3,0))</f>
        <v>natural gas</v>
      </c>
    </row>
    <row r="539" spans="1:2" x14ac:dyDescent="0.2">
      <c r="A539" t="s">
        <v>26</v>
      </c>
      <c r="B539" s="45" t="str">
        <f>INDEX(overview!$B$4:$R$338,MATCH(B523,overview!$A$4:$A$338,0),MATCH(A539,overview!$B$3:$R$3,0))</f>
        <v>Switzerland</v>
      </c>
    </row>
    <row r="540" spans="1:2" x14ac:dyDescent="0.2">
      <c r="A540" t="s">
        <v>29</v>
      </c>
      <c r="B540" s="45">
        <f>INDEX(overview!$B$4:$R$338,MATCH(B523,overview!$A$4:$A$338,0),MATCH(A540,overview!$B$3:$R$3,0))</f>
        <v>0</v>
      </c>
    </row>
    <row r="541" spans="1:2" x14ac:dyDescent="0.2">
      <c r="A541" t="str">
        <f>IF(B525="megajoule","Heat","Electricity")&amp;" conversion efficiency [% LHV input]"</f>
        <v>Electricity conversion efficiency [% LHV input]</v>
      </c>
      <c r="B541" s="46">
        <f>INDEX(parameters!$D$4:$N$20,MATCH(B529&amp;B531,parameters!$A$4:$A$20,0),MATCH(A541,parameters!$D$3:$N$3,0))</f>
        <v>0.39400000000000002</v>
      </c>
    </row>
    <row r="542" spans="1:2" x14ac:dyDescent="0.2">
      <c r="A542" t="str">
        <f>IF(B525="megajoule","LHV [MJ/kg]","LHV [kWh/kg]")</f>
        <v>LHV [kWh/kg]</v>
      </c>
      <c r="B542" s="47">
        <f>INDEX(parameters!$D$4:$N$20,MATCH(B529&amp;B531,parameters!$A$4:$A$20,0),MATCH(A542,parameters!$D$3:$N$3,0))</f>
        <v>33.333333333333336</v>
      </c>
    </row>
    <row r="543" spans="1:2" x14ac:dyDescent="0.2">
      <c r="A543" t="s">
        <v>41</v>
      </c>
      <c r="B543" s="48">
        <f>INDEX(parameters!$D$4:$N$20,MATCH(B529&amp;B531,parameters!$A$4:$A$20,0),MATCH(A543,parameters!$D$3:$N$3,0))</f>
        <v>2.6666666666666665E-2</v>
      </c>
    </row>
    <row r="544" spans="1:2" x14ac:dyDescent="0.2">
      <c r="A544" t="s">
        <v>45</v>
      </c>
      <c r="B544" s="46">
        <f>INDEX(parameters!$D$4:$N$20,MATCH(B529&amp;B531,parameters!$A$4:$A$20,0),MATCH(A544,parameters!$D$3:$N$3,0))</f>
        <v>0</v>
      </c>
    </row>
    <row r="545" spans="1:22" x14ac:dyDescent="0.2">
      <c r="A545" t="s">
        <v>46</v>
      </c>
      <c r="B545" s="46">
        <f>INDEX(parameters!$D$4:$N$20,MATCH(B529&amp;B531,parameters!$A$4:$A$20,0),MATCH(A545,parameters!$D$3:$N$3,0))</f>
        <v>1.4999999999999999E-2</v>
      </c>
    </row>
    <row r="546" spans="1:22" x14ac:dyDescent="0.2">
      <c r="A546" t="s">
        <v>43</v>
      </c>
      <c r="B546" s="46">
        <f>INDEX(parameters!$D$4:$N$20,MATCH(B529&amp;B531,parameters!$A$4:$A$20,0),MATCH(A546,parameters!$D$3:$N$3,0))</f>
        <v>0</v>
      </c>
    </row>
    <row r="547" spans="1:22" x14ac:dyDescent="0.2">
      <c r="A547" t="s">
        <v>44</v>
      </c>
      <c r="B547" s="46">
        <f>INDEX(parameters!$D$4:$N$20,MATCH(B529&amp;B531,parameters!$A$4:$A$20,0),MATCH(A547,parameters!$D$3:$N$3,0))</f>
        <v>0</v>
      </c>
    </row>
    <row r="548" spans="1:22" x14ac:dyDescent="0.2">
      <c r="A548" t="s">
        <v>634</v>
      </c>
      <c r="B548" s="47">
        <f>INDEX(parameters!$D$4:$Y$20,MATCH(B529&amp;B531,parameters!$A$4:$A$20,0),MATCH(A548,parameters!$D$3:$Y$3,0))</f>
        <v>351.41800246609125</v>
      </c>
    </row>
    <row r="549" spans="1:22" x14ac:dyDescent="0.2">
      <c r="A549" t="s">
        <v>82</v>
      </c>
      <c r="B549" s="46">
        <f>IF(B540&lt;&gt;0,VLOOKUP(B540,parameters!A456:B458,2,0),0)</f>
        <v>0</v>
      </c>
    </row>
    <row r="550" spans="1:22" x14ac:dyDescent="0.2">
      <c r="A550" t="s">
        <v>548</v>
      </c>
      <c r="B550" s="50">
        <f>INDEX(parameters!$D$4:$P$20,MATCH(B529&amp;B531,parameters!$A$4:$A$20,0),MATCH(A550,parameters!$D$3:$P$3,0))</f>
        <v>125</v>
      </c>
    </row>
    <row r="551" spans="1:22" x14ac:dyDescent="0.2">
      <c r="A551" t="s">
        <v>547</v>
      </c>
      <c r="B551" s="51">
        <f>INDEX(parameters!$D$4:$P$20,MATCH(B529&amp;B531,parameters!$A$4:$A$20,0),MATCH(A551,parameters!$D$3:$P$3,0))</f>
        <v>19.512195121951219</v>
      </c>
    </row>
    <row r="552" spans="1:22" x14ac:dyDescent="0.2">
      <c r="A552" t="s">
        <v>630</v>
      </c>
      <c r="B552" s="51">
        <f>INDEX(parameters!$D$4:$T$20,MATCH(B529&amp;B531,parameters!$A$4:$A$20,0),MATCH(A552,parameters!$D$3:$T$3,0))</f>
        <v>4100</v>
      </c>
    </row>
    <row r="553" spans="1:22" x14ac:dyDescent="0.2">
      <c r="A553" t="s">
        <v>1005</v>
      </c>
      <c r="B553" s="50">
        <f>IF(B525="megajoule",SUMIFS(allocation!$I$4:$I$30,allocation!$B$4:$B$30,B531,allocation!$C$4:$C$30,B532),SUMIFS(allocation!$J$4:$J$30,allocation!$B$4:$B$30,B531,allocation!$C$4:$C$30,B532))</f>
        <v>0.87139957772704957</v>
      </c>
    </row>
    <row r="554" spans="1:22" x14ac:dyDescent="0.2">
      <c r="A554" t="s">
        <v>1050</v>
      </c>
      <c r="B554" s="51">
        <f>INDEX(parameters!$D$4:$AB$20,MATCH(B529&amp;B531,parameters!$A$4:$A$20,0),MATCH(A554,parameters!$D$3:$AB$3,0))</f>
        <v>2220.7364520822662</v>
      </c>
    </row>
    <row r="556" spans="1:22" x14ac:dyDescent="0.2">
      <c r="A556" s="3" t="s">
        <v>57</v>
      </c>
    </row>
    <row r="557" spans="1:22" x14ac:dyDescent="0.2">
      <c r="A557" s="2" t="s">
        <v>58</v>
      </c>
      <c r="B557" s="44" t="s">
        <v>59</v>
      </c>
      <c r="C557" s="2" t="s">
        <v>55</v>
      </c>
      <c r="D557" s="2" t="s">
        <v>60</v>
      </c>
      <c r="E557" s="2" t="s">
        <v>52</v>
      </c>
      <c r="F557" s="2" t="s">
        <v>61</v>
      </c>
      <c r="G557" s="2" t="s">
        <v>54</v>
      </c>
      <c r="H557" s="2" t="s">
        <v>87</v>
      </c>
      <c r="I557" s="2" t="s">
        <v>51</v>
      </c>
      <c r="J557" s="2" t="s">
        <v>138</v>
      </c>
      <c r="K557" s="2" t="s">
        <v>136</v>
      </c>
      <c r="L557" s="2" t="s">
        <v>221</v>
      </c>
      <c r="M557" s="2" t="s">
        <v>379</v>
      </c>
      <c r="N557" s="2" t="s">
        <v>1059</v>
      </c>
      <c r="O557" s="2" t="s">
        <v>1060</v>
      </c>
      <c r="P557" s="2" t="s">
        <v>1061</v>
      </c>
      <c r="Q557" s="2" t="s">
        <v>1062</v>
      </c>
      <c r="R557" s="2" t="s">
        <v>1063</v>
      </c>
      <c r="S557" s="2" t="s">
        <v>1064</v>
      </c>
      <c r="T557" s="2" t="s">
        <v>1065</v>
      </c>
      <c r="U557" s="2" t="s">
        <v>380</v>
      </c>
      <c r="V557" s="2" t="s">
        <v>1128</v>
      </c>
    </row>
    <row r="558" spans="1:22" x14ac:dyDescent="0.2">
      <c r="A558" t="str">
        <f>B519</f>
        <v>electricity, residential, by combustion of hydrogen using CHP, allocated by exergy, transported by truck, produced by Pyrolysis using natural gas from Switzerland</v>
      </c>
      <c r="B558" s="45">
        <v>1</v>
      </c>
      <c r="C558" t="str">
        <f>B525</f>
        <v>kilowatt hour</v>
      </c>
      <c r="E558" t="str">
        <f>B522</f>
        <v>CH</v>
      </c>
      <c r="F558" t="s">
        <v>62</v>
      </c>
      <c r="G558" t="str">
        <f>B524</f>
        <v>electricity, from residential heating system</v>
      </c>
      <c r="K558" t="str">
        <f>B519</f>
        <v>electricity, residential, by combustion of hydrogen using CHP, allocated by exergy, transported by truck, produced by Pyrolysis using natural gas from Switzerland</v>
      </c>
    </row>
    <row r="559" spans="1:22" x14ac:dyDescent="0.2">
      <c r="A559" t="str">
        <f>VLOOKUP(J559,'dataset mapping'!$A$4:$E$69,2,0)</f>
        <v>heat and power co-generation unit construction, 160kW electrical, common components for heat+electricity</v>
      </c>
      <c r="B559" s="52">
        <f>(1/(B548*B552*B551))*B553</f>
        <v>3.0995835856870056E-8</v>
      </c>
      <c r="C559" t="str">
        <f>VLOOKUP(J559,'dataset mapping'!$A$4:$E$69,5,0)</f>
        <v>unit</v>
      </c>
      <c r="E559" t="str">
        <f>VLOOKUP(J559,'dataset mapping'!$A$4:$E$69,4,0)</f>
        <v>RER</v>
      </c>
      <c r="F559" t="s">
        <v>86</v>
      </c>
      <c r="G559" t="str">
        <f>VLOOKUP(J559,'dataset mapping'!$A$4:$E$69,3,0)</f>
        <v>heat and power co-generation unit, 160kW electrical, common components for heat+electricity</v>
      </c>
      <c r="H559" t="s">
        <v>88</v>
      </c>
      <c r="J559" t="s">
        <v>145</v>
      </c>
      <c r="K559" t="str">
        <f>B519</f>
        <v>electricity, residential, by combustion of hydrogen using CHP, allocated by exergy, transported by truck, produced by Pyrolysis using natural gas from Switzerland</v>
      </c>
      <c r="L559">
        <f t="shared" ref="L559:L567" si="42">IF(OR(B559&lt;0,B559=0),1,2)</f>
        <v>2</v>
      </c>
      <c r="M559">
        <f t="shared" ref="M559:M567" si="43">IF(L559=2,LN(B559),"")</f>
        <v>-17.28941296868171</v>
      </c>
      <c r="N559">
        <v>1.05</v>
      </c>
      <c r="O559">
        <v>1.2</v>
      </c>
      <c r="P559">
        <v>1</v>
      </c>
      <c r="Q559">
        <v>1.01</v>
      </c>
      <c r="R559">
        <v>1.2</v>
      </c>
      <c r="S559">
        <v>1.2</v>
      </c>
      <c r="T559">
        <v>3</v>
      </c>
      <c r="U559">
        <f t="shared" ref="U559:U563" si="44">LN(SQRT(EXP(
SQRT(
+POWER(LN(N559),2)
+POWER(LN(O559),2)
+POWER(LN(P559),2)
+POWER(LN(Q559),2)
+POWER(LN(R559),2)
+POWER(LN(S559),2)
+POWER(LN(T559),2)
)
)))</f>
        <v>0.57209088006881903</v>
      </c>
    </row>
    <row r="560" spans="1:22" x14ac:dyDescent="0.2">
      <c r="A560" t="str">
        <f>VLOOKUP(J560,'dataset mapping'!$A$4:$E$69,2,0)</f>
        <v>heat and power co-generation unit construction, 160kW electrical, components for electricity only</v>
      </c>
      <c r="B560" s="52">
        <f>(1/(B548*B552*B551))*B553</f>
        <v>3.0995835856870056E-8</v>
      </c>
      <c r="C560" t="str">
        <f>VLOOKUP(J560,'dataset mapping'!$A$4:$E$69,5,0)</f>
        <v>unit</v>
      </c>
      <c r="E560" t="str">
        <f>VLOOKUP(J560,'dataset mapping'!$A$4:$E$69,4,0)</f>
        <v>RER</v>
      </c>
      <c r="F560" t="s">
        <v>86</v>
      </c>
      <c r="G560" t="str">
        <f>VLOOKUP(J560,'dataset mapping'!$A$4:$E$69,3,0)</f>
        <v>heat and power co-generation unit, 160kW electrical, components for electricity only</v>
      </c>
      <c r="H560" t="s">
        <v>88</v>
      </c>
      <c r="J560" t="s">
        <v>146</v>
      </c>
      <c r="K560" t="str">
        <f>B519</f>
        <v>electricity, residential, by combustion of hydrogen using CHP, allocated by exergy, transported by truck, produced by Pyrolysis using natural gas from Switzerland</v>
      </c>
      <c r="L560">
        <f t="shared" si="42"/>
        <v>2</v>
      </c>
      <c r="M560">
        <f t="shared" si="43"/>
        <v>-17.28941296868171</v>
      </c>
      <c r="N560">
        <v>1.05</v>
      </c>
      <c r="O560">
        <v>1.2</v>
      </c>
      <c r="P560">
        <v>1</v>
      </c>
      <c r="Q560">
        <v>1.01</v>
      </c>
      <c r="R560">
        <v>1.2</v>
      </c>
      <c r="S560">
        <v>1.2</v>
      </c>
      <c r="T560">
        <v>3</v>
      </c>
      <c r="U560">
        <f t="shared" si="44"/>
        <v>0.57209088006881903</v>
      </c>
    </row>
    <row r="561" spans="1:22" x14ac:dyDescent="0.2">
      <c r="A561" t="str">
        <f>VLOOKUP(J561,'dataset mapping'!$A$4:$E$69,2,0)</f>
        <v>heat and power co-generation unit construction, 160kW electrical, components for heat only</v>
      </c>
      <c r="B561" s="52">
        <f>(1/(B548*B552*B551))*B553</f>
        <v>3.0995835856870056E-8</v>
      </c>
      <c r="C561" t="str">
        <f>VLOOKUP(J561,'dataset mapping'!$A$4:$E$69,5,0)</f>
        <v>unit</v>
      </c>
      <c r="E561" t="str">
        <f>VLOOKUP(J561,'dataset mapping'!$A$4:$E$69,4,0)</f>
        <v>RER</v>
      </c>
      <c r="F561" t="s">
        <v>86</v>
      </c>
      <c r="G561" t="str">
        <f>VLOOKUP(J561,'dataset mapping'!$A$4:$E$69,3,0)</f>
        <v>heat and power co-generation unit, 160kW electrical, components for heat only</v>
      </c>
      <c r="H561" t="s">
        <v>88</v>
      </c>
      <c r="J561" t="s">
        <v>147</v>
      </c>
      <c r="K561" t="str">
        <f>B519</f>
        <v>electricity, residential, by combustion of hydrogen using CHP, allocated by exergy, transported by truck, produced by Pyrolysis using natural gas from Switzerland</v>
      </c>
      <c r="L561">
        <f t="shared" si="42"/>
        <v>2</v>
      </c>
      <c r="M561">
        <f t="shared" si="43"/>
        <v>-17.28941296868171</v>
      </c>
      <c r="N561">
        <v>1.05</v>
      </c>
      <c r="O561">
        <v>1.2</v>
      </c>
      <c r="P561">
        <v>1</v>
      </c>
      <c r="Q561">
        <v>1.01</v>
      </c>
      <c r="R561">
        <v>1.2</v>
      </c>
      <c r="S561">
        <v>1.2</v>
      </c>
      <c r="T561">
        <v>3</v>
      </c>
      <c r="U561">
        <f t="shared" si="44"/>
        <v>0.57209088006881903</v>
      </c>
    </row>
    <row r="562" spans="1:22" x14ac:dyDescent="0.2">
      <c r="A562" t="s">
        <v>156</v>
      </c>
      <c r="B562" s="52">
        <f>0.00000011366*B553</f>
        <v>9.9043276004456456E-8</v>
      </c>
      <c r="C562" t="s">
        <v>56</v>
      </c>
      <c r="E562" t="s">
        <v>90</v>
      </c>
      <c r="F562" t="s">
        <v>86</v>
      </c>
      <c r="G562" t="s">
        <v>154</v>
      </c>
      <c r="H562" t="s">
        <v>155</v>
      </c>
      <c r="K562" t="str">
        <f>B519</f>
        <v>electricity, residential, by combustion of hydrogen using CHP, allocated by exergy, transported by truck, produced by Pyrolysis using natural gas from Switzerland</v>
      </c>
      <c r="L562">
        <f t="shared" si="42"/>
        <v>2</v>
      </c>
      <c r="M562">
        <f t="shared" si="43"/>
        <v>-16.127708950967754</v>
      </c>
      <c r="N562">
        <v>1.05</v>
      </c>
      <c r="O562">
        <v>1.2</v>
      </c>
      <c r="P562">
        <v>1</v>
      </c>
      <c r="Q562">
        <v>1.01</v>
      </c>
      <c r="R562">
        <v>1.2</v>
      </c>
      <c r="S562">
        <v>1.2</v>
      </c>
      <c r="T562">
        <v>1.05</v>
      </c>
      <c r="U562">
        <f t="shared" si="44"/>
        <v>0.16169679924070957</v>
      </c>
    </row>
    <row r="563" spans="1:22" x14ac:dyDescent="0.2">
      <c r="A563" t="s">
        <v>157</v>
      </c>
      <c r="B563" s="52">
        <f>0.00000011366*B553*-1</f>
        <v>-9.9043276004456456E-8</v>
      </c>
      <c r="C563" t="s">
        <v>56</v>
      </c>
      <c r="E563" t="s">
        <v>64</v>
      </c>
      <c r="F563" t="s">
        <v>86</v>
      </c>
      <c r="G563" t="s">
        <v>158</v>
      </c>
      <c r="H563" t="s">
        <v>155</v>
      </c>
      <c r="K563" t="str">
        <f>B519</f>
        <v>electricity, residential, by combustion of hydrogen using CHP, allocated by exergy, transported by truck, produced by Pyrolysis using natural gas from Switzerland</v>
      </c>
      <c r="L563">
        <v>2</v>
      </c>
      <c r="M563">
        <f>IF(L563=2,LN(B563*-1),"")</f>
        <v>-16.127708950967754</v>
      </c>
      <c r="N563">
        <v>1.05</v>
      </c>
      <c r="O563">
        <v>1.2</v>
      </c>
      <c r="P563">
        <v>1</v>
      </c>
      <c r="Q563">
        <v>1.01</v>
      </c>
      <c r="R563">
        <v>1.2</v>
      </c>
      <c r="S563">
        <v>1.2</v>
      </c>
      <c r="T563">
        <v>1.05</v>
      </c>
      <c r="U563">
        <f t="shared" si="44"/>
        <v>0.16169679924070957</v>
      </c>
      <c r="V563" t="b">
        <v>1</v>
      </c>
    </row>
    <row r="564" spans="1:22" x14ac:dyDescent="0.2">
      <c r="A564" s="45" t="str">
        <f>"hydrogen supply, transported by "&amp;B533&amp;", produced by "&amp;B537&amp;" using "&amp;B538&amp;" from "&amp;B539</f>
        <v>hydrogen supply, transported by truck, produced by Pyrolysis using natural gas from Switzerland</v>
      </c>
      <c r="B564" s="53">
        <f>(B558/B542)/B541*B553</f>
        <v>6.6350221654343872E-2</v>
      </c>
      <c r="C564" t="s">
        <v>56</v>
      </c>
      <c r="E564" t="s">
        <v>64</v>
      </c>
      <c r="F564" t="s">
        <v>86</v>
      </c>
      <c r="G564" t="s">
        <v>1137</v>
      </c>
      <c r="H564" t="s">
        <v>76</v>
      </c>
      <c r="I564" t="s">
        <v>1054</v>
      </c>
      <c r="J564" t="s">
        <v>23</v>
      </c>
      <c r="K564" t="str">
        <f>B519</f>
        <v>electricity, residential, by combustion of hydrogen using CHP, allocated by exergy, transported by truck, produced by Pyrolysis using natural gas from Switzerland</v>
      </c>
      <c r="L564">
        <f t="shared" si="42"/>
        <v>2</v>
      </c>
      <c r="M564">
        <f t="shared" si="43"/>
        <v>-2.7128081775260964</v>
      </c>
      <c r="N564">
        <v>1.05</v>
      </c>
      <c r="O564">
        <v>1.2</v>
      </c>
      <c r="P564">
        <v>1</v>
      </c>
      <c r="Q564">
        <v>1.01</v>
      </c>
      <c r="R564">
        <v>1.2</v>
      </c>
      <c r="S564">
        <v>1.2</v>
      </c>
      <c r="T564">
        <v>1.05</v>
      </c>
      <c r="U564">
        <f t="shared" ref="U564:U567" si="45">LN(SQRT(EXP(
SQRT(
+POWER(LN(N564),2)
+POWER(LN(O564),2)
+POWER(LN(P564),2)
+POWER(LN(Q564),2)
+POWER(LN(R564),2)
+POWER(LN(S564),2)
+POWER(LN(T564),2)
)
)))</f>
        <v>0.16169679924070957</v>
      </c>
    </row>
    <row r="565" spans="1:22" x14ac:dyDescent="0.2">
      <c r="A565" t="str">
        <f>VLOOKUP(J565,'dataset mapping'!$A$4:$E$69,2,0)</f>
        <v>high pressure hydrogen storage tank</v>
      </c>
      <c r="B565" s="52">
        <f>((B554/10)/(B552*B548*20))*IF(B553&lt;&gt;0,B553,1)</f>
        <v>6.7154714683034044E-6</v>
      </c>
      <c r="C565" t="str">
        <f>VLOOKUP(J565,'dataset mapping'!$A$4:$E$69,5,0)</f>
        <v>kilogram</v>
      </c>
      <c r="E565" t="str">
        <f>VLOOKUP(J565,'dataset mapping'!$A$4:$E$69,4,0)</f>
        <v>GLO</v>
      </c>
      <c r="F565" t="s">
        <v>86</v>
      </c>
      <c r="G565" t="str">
        <f>VLOOKUP(J565,'dataset mapping'!$A$4:$E$69,3,0)</f>
        <v>high pressure hydrogen storage tank</v>
      </c>
      <c r="H565" t="s">
        <v>88</v>
      </c>
      <c r="I565" t="s">
        <v>279</v>
      </c>
      <c r="J565" t="s">
        <v>229</v>
      </c>
      <c r="K565" t="str">
        <f>B519</f>
        <v>electricity, residential, by combustion of hydrogen using CHP, allocated by exergy, transported by truck, produced by Pyrolysis using natural gas from Switzerland</v>
      </c>
      <c r="L565">
        <f t="shared" si="42"/>
        <v>2</v>
      </c>
      <c r="M565">
        <f t="shared" si="43"/>
        <v>-11.911096519239557</v>
      </c>
      <c r="N565">
        <v>1.05</v>
      </c>
      <c r="O565">
        <v>1.2</v>
      </c>
      <c r="P565">
        <v>1</v>
      </c>
      <c r="Q565">
        <v>1.01</v>
      </c>
      <c r="R565">
        <v>1.2</v>
      </c>
      <c r="S565">
        <v>1.2</v>
      </c>
      <c r="T565">
        <v>3</v>
      </c>
      <c r="U565">
        <f t="shared" si="45"/>
        <v>0.57209088006881903</v>
      </c>
    </row>
    <row r="566" spans="1:22" x14ac:dyDescent="0.2">
      <c r="A566" t="s">
        <v>134</v>
      </c>
      <c r="B566" s="45">
        <f>B564*9</f>
        <v>0.59715199488909487</v>
      </c>
      <c r="C566" t="s">
        <v>56</v>
      </c>
      <c r="D566" t="s">
        <v>100</v>
      </c>
      <c r="F566" t="s">
        <v>99</v>
      </c>
      <c r="H566" t="s">
        <v>131</v>
      </c>
      <c r="K566" t="str">
        <f>B519</f>
        <v>electricity, residential, by combustion of hydrogen using CHP, allocated by exergy, transported by truck, produced by Pyrolysis using natural gas from Switzerland</v>
      </c>
      <c r="L566">
        <f t="shared" si="42"/>
        <v>2</v>
      </c>
      <c r="M566">
        <f t="shared" si="43"/>
        <v>-0.51558360018987692</v>
      </c>
      <c r="N566">
        <v>1.05</v>
      </c>
      <c r="O566">
        <v>1.2</v>
      </c>
      <c r="P566">
        <v>1</v>
      </c>
      <c r="Q566">
        <v>1.01</v>
      </c>
      <c r="R566">
        <v>1.2</v>
      </c>
      <c r="S566">
        <v>1.2</v>
      </c>
      <c r="T566">
        <v>1.05</v>
      </c>
      <c r="U566">
        <f t="shared" si="45"/>
        <v>0.16169679924070957</v>
      </c>
    </row>
    <row r="567" spans="1:22" x14ac:dyDescent="0.2">
      <c r="A567" t="s">
        <v>135</v>
      </c>
      <c r="B567" s="45">
        <f>912.5/1000000*B564</f>
        <v>6.0544577259588785E-5</v>
      </c>
      <c r="C567" t="s">
        <v>56</v>
      </c>
      <c r="D567" t="s">
        <v>100</v>
      </c>
      <c r="F567" t="s">
        <v>99</v>
      </c>
      <c r="H567" t="s">
        <v>131</v>
      </c>
      <c r="I567" t="s">
        <v>1217</v>
      </c>
      <c r="K567" t="str">
        <f>B519</f>
        <v>electricity, residential, by combustion of hydrogen using CHP, allocated by exergy, transported by truck, produced by Pyrolysis using natural gas from Switzerland</v>
      </c>
      <c r="L567">
        <f t="shared" si="42"/>
        <v>2</v>
      </c>
      <c r="M567">
        <f t="shared" si="43"/>
        <v>-9.712130650033723</v>
      </c>
      <c r="N567">
        <v>1.05</v>
      </c>
      <c r="O567">
        <v>1.2</v>
      </c>
      <c r="P567">
        <v>1</v>
      </c>
      <c r="Q567">
        <v>1.01</v>
      </c>
      <c r="R567">
        <v>1.2</v>
      </c>
      <c r="S567">
        <v>1.2</v>
      </c>
      <c r="T567">
        <v>1.5</v>
      </c>
      <c r="U567">
        <f t="shared" si="45"/>
        <v>0.25816898211842121</v>
      </c>
    </row>
    <row r="569" spans="1:22" x14ac:dyDescent="0.2">
      <c r="A569" s="2" t="s">
        <v>50</v>
      </c>
      <c r="B569" s="44" t="str">
        <f>IF(B575="megajoule","heat","electricity")&amp;", residential, by "&amp;B580&amp;" of "&amp;B579&amp;" using "&amp;B581&amp;IF(B582&lt;&gt;0,", allocated by "&amp;B582,"")&amp;", transported by "&amp;B583&amp;", produced by "&amp;B587&amp;" using "&amp;B588&amp;" from "&amp;B589</f>
        <v>electricity, residential, by conversion of hydrogen using fuel cell, PEM, allocated by exergy, transported by truck, produced by Pyrolysis using natural gas from Switzerland</v>
      </c>
    </row>
    <row r="570" spans="1:22" x14ac:dyDescent="0.2">
      <c r="A570" t="s">
        <v>51</v>
      </c>
      <c r="B570" s="45" t="str">
        <f>"This dataset represents the supply of 1 "&amp;IF(B575="megajoule","megajoule of heat","kilowatt hour of electricity")&amp;" in a residence, by "&amp;B579&amp;" "&amp;B580&amp;" in a "&amp;B581&amp;". "&amp;" The hydrogen is transported by "&amp;B583&amp;" over "&amp;B584&amp;" km from regional storage. "&amp;" The "&amp;B579&amp;" is produced by  "&amp;B587&amp;", with "&amp;B588&amp;" from "&amp;B589&amp;" as feedstock. "&amp;A591&amp;": "&amp;(B591*100)&amp;"%. "&amp;A592&amp;": "&amp;B592&amp;". "&amp;A593&amp;": "&amp;B593&amp;". "&amp;A594&amp;": "&amp;(B594*100)&amp;"%. "&amp;A595&amp;": "&amp;(B595*100)&amp;"%. "&amp;A596&amp;": "&amp;(B596*100)&amp;"%. "&amp;A597&amp;": "&amp;B597&amp;". "&amp;A598&amp;": "&amp;B598&amp;". "&amp;A599&amp;": "&amp;(B599*100)&amp;"%. "&amp;A600&amp;": "&amp;B600&amp;". "&amp;A601&amp;": "&amp;B601&amp;". "&amp;A602&amp;": "&amp;B602&amp;". "&amp;A603&amp;": "&amp;B603&amp;".  For more information, refer to: "&amp;B571</f>
        <v>This dataset represents the supply of 1 kilowatt hour of electricity in a residence, by hydrogen conversion in a fuel cell, PEM.  The hydrogen is transported by truck over 200 km from regional storage.  The hydrogen is produced by  Pyrolysis, with natural gas from Switzerland as feedstock. Electricity conversion efficiency [% LHV input]: 45%. LHV [kWh/kg]: 33.3333333333333. Market price [€/MJ]: 0.0266666666666667. Distribution loss [% output]: 0%. Storage loss [% output]: 1.5%. Synthesis efficiency [% LHV input]: 0%. Hydrogen production efficiency [% LHV input]: 0. Total cap. Input-related [kW]: 1.89473684210526. CO2 biogenic share [%]: 0%. Power [kW]: 0.8. Lifetime [years]: 4.8780487804878. Annual operation [hours]: 4100. Allocation factor: 0.860660192010255.  For more information, refer to: Sacchi, R., Treyer, T., Zhang, X., Bauer, C. Life Cycle Assessment of Power-to-X processes and associated electricity and heat applications in the residential sector. Paul Scherrer Institut, 2023.</v>
      </c>
    </row>
    <row r="571" spans="1:22" x14ac:dyDescent="0.2">
      <c r="A571" t="s">
        <v>63</v>
      </c>
      <c r="B571" s="45" t="s">
        <v>660</v>
      </c>
    </row>
    <row r="572" spans="1:22" x14ac:dyDescent="0.2">
      <c r="A572" t="s">
        <v>52</v>
      </c>
      <c r="B572" s="45" t="s">
        <v>64</v>
      </c>
    </row>
    <row r="573" spans="1:22" x14ac:dyDescent="0.2">
      <c r="A573" t="s">
        <v>48</v>
      </c>
      <c r="B573" s="45" t="s">
        <v>983</v>
      </c>
    </row>
    <row r="574" spans="1:22" x14ac:dyDescent="0.2">
      <c r="A574" t="s">
        <v>54</v>
      </c>
      <c r="B574" s="45" t="str">
        <f>INDEX(overview!$B$4:$R$338,MATCH(B573,overview!$A$4:$A$338,0),MATCH(A574,overview!$B$3:$R$3,0))</f>
        <v>electricity, from residential heating system</v>
      </c>
    </row>
    <row r="575" spans="1:22" x14ac:dyDescent="0.2">
      <c r="A575" t="s">
        <v>55</v>
      </c>
      <c r="B575" s="45" t="str">
        <f>INDEX(overview!$B$4:$R$338,MATCH(B573,overview!$A$4:$A$338,0),MATCH(A575,overview!$B$3:$R$3,0))</f>
        <v>kilowatt hour</v>
      </c>
    </row>
    <row r="576" spans="1:22" x14ac:dyDescent="0.2">
      <c r="A576" t="s">
        <v>0</v>
      </c>
      <c r="B576" s="45" t="str">
        <f>INDEX(overview!$B$4:$R$338,MATCH(B573,overview!$A$4:$A$338,0),MATCH(A576,overview!$B$3:$R$3,0))</f>
        <v>Switzerland</v>
      </c>
    </row>
    <row r="577" spans="1:2" x14ac:dyDescent="0.2">
      <c r="A577" t="s">
        <v>1</v>
      </c>
      <c r="B577" s="45">
        <f>INDEX(overview!$B$4:$R$338,MATCH(B573,overview!$A$4:$A$338,0),MATCH(A577,overview!$B$3:$R$3,0))</f>
        <v>2020</v>
      </c>
    </row>
    <row r="578" spans="1:2" x14ac:dyDescent="0.2">
      <c r="A578" t="s">
        <v>2</v>
      </c>
      <c r="B578" s="45" t="str">
        <f>INDEX(overview!$B$4:$R$338,MATCH(B573,overview!$A$4:$A$338,0),MATCH(A578,overview!$B$3:$R$3,0))</f>
        <v>1 kWh electricity</v>
      </c>
    </row>
    <row r="579" spans="1:2" x14ac:dyDescent="0.2">
      <c r="A579" t="s">
        <v>5</v>
      </c>
      <c r="B579" s="45" t="str">
        <f>INDEX(overview!$B$4:$R$338,MATCH(B573,overview!$A$4:$A$338,0),MATCH(A579,overview!$B$3:$R$3,0))</f>
        <v>hydrogen</v>
      </c>
    </row>
    <row r="580" spans="1:2" x14ac:dyDescent="0.2">
      <c r="A580" t="s">
        <v>3</v>
      </c>
      <c r="B580" s="45" t="str">
        <f>INDEX(overview!$B$4:$R$338,MATCH(B573,overview!$A$4:$A$338,0),MATCH(A580,overview!$B$3:$R$3,0))</f>
        <v>conversion</v>
      </c>
    </row>
    <row r="581" spans="1:2" x14ac:dyDescent="0.2">
      <c r="A581" t="s">
        <v>6</v>
      </c>
      <c r="B581" s="45" t="str">
        <f>INDEX(overview!$B$4:$R$338,MATCH(B573,overview!$A$4:$A$338,0),MATCH(A581,overview!$B$3:$R$3,0))</f>
        <v>fuel cell, PEM</v>
      </c>
    </row>
    <row r="582" spans="1:2" x14ac:dyDescent="0.2">
      <c r="A582" t="s">
        <v>39</v>
      </c>
      <c r="B582" s="45" t="str">
        <f>INDEX(overview!$B$4:$R$338,MATCH(B573,overview!$A$4:$A$338,0),MATCH(A582,overview!$B$3:$R$3,0))</f>
        <v>exergy</v>
      </c>
    </row>
    <row r="583" spans="1:2" x14ac:dyDescent="0.2">
      <c r="A583" t="s">
        <v>4</v>
      </c>
      <c r="B583" s="45" t="str">
        <f>INDEX(overview!$B$4:$R$338,MATCH(B573,overview!$A$4:$A$338,0),MATCH(A583,overview!$B$3:$R$3,0))</f>
        <v>truck</v>
      </c>
    </row>
    <row r="584" spans="1:2" x14ac:dyDescent="0.2">
      <c r="A584" t="s">
        <v>38</v>
      </c>
      <c r="B584" s="45">
        <f>INDEX(overview!$B$4:$R$338,MATCH(B573,overview!$A$4:$A$338,0),MATCH(A584,overview!$B$3:$R$3,0))</f>
        <v>200</v>
      </c>
    </row>
    <row r="585" spans="1:2" x14ac:dyDescent="0.2">
      <c r="A585" t="s">
        <v>12</v>
      </c>
      <c r="B585" s="45" t="str">
        <f>INDEX(overview!$B$4:$R$338,MATCH(B573,overview!$A$4:$A$338,0),MATCH(A585,overview!$B$3:$R$3,0))</f>
        <v>Pressure vessel for stationary storage</v>
      </c>
    </row>
    <row r="586" spans="1:2" x14ac:dyDescent="0.2">
      <c r="A586" t="s">
        <v>34</v>
      </c>
      <c r="B586" s="45">
        <f>INDEX(overview!$B$4:$R$338,MATCH(B573,overview!$A$4:$A$338,0),MATCH(A586,overview!$B$3:$R$3,0))</f>
        <v>0</v>
      </c>
    </row>
    <row r="587" spans="1:2" x14ac:dyDescent="0.2">
      <c r="A587" t="s">
        <v>15</v>
      </c>
      <c r="B587" s="45" t="str">
        <f>INDEX(overview!$B$4:$R$338,MATCH(B573,overview!$A$4:$A$338,0),MATCH(A587,overview!$B$3:$R$3,0))</f>
        <v>Pyrolysis</v>
      </c>
    </row>
    <row r="588" spans="1:2" x14ac:dyDescent="0.2">
      <c r="A588" t="s">
        <v>14</v>
      </c>
      <c r="B588" s="45" t="str">
        <f>INDEX(overview!$B$4:$R$338,MATCH(B573,overview!$A$4:$A$338,0),MATCH(A588,overview!$B$3:$R$3,0))</f>
        <v>natural gas</v>
      </c>
    </row>
    <row r="589" spans="1:2" x14ac:dyDescent="0.2">
      <c r="A589" t="s">
        <v>26</v>
      </c>
      <c r="B589" s="45" t="str">
        <f>INDEX(overview!$B$4:$R$338,MATCH(B573,overview!$A$4:$A$338,0),MATCH(A589,overview!$B$3:$R$3,0))</f>
        <v>Switzerland</v>
      </c>
    </row>
    <row r="590" spans="1:2" x14ac:dyDescent="0.2">
      <c r="A590" t="s">
        <v>29</v>
      </c>
      <c r="B590" s="45">
        <f>INDEX(overview!$B$4:$R$338,MATCH(B573,overview!$A$4:$A$338,0),MATCH(A590,overview!$B$3:$R$3,0))</f>
        <v>0</v>
      </c>
    </row>
    <row r="591" spans="1:2" x14ac:dyDescent="0.2">
      <c r="A591" t="str">
        <f>IF(B575="megajoule","Heat","Electricity")&amp;" conversion efficiency [% LHV input]"</f>
        <v>Electricity conversion efficiency [% LHV input]</v>
      </c>
      <c r="B591" s="46">
        <f>INDEX(parameters!$D$4:$N$20,MATCH(B579&amp;B581,parameters!$A$4:$A$20,0),MATCH(A591,parameters!$D$3:$N$3,0))</f>
        <v>0.45</v>
      </c>
    </row>
    <row r="592" spans="1:2" x14ac:dyDescent="0.2">
      <c r="A592" t="str">
        <f>IF(B575="megajoule","LHV [MJ/kg]","LHV [kWh/kg]")</f>
        <v>LHV [kWh/kg]</v>
      </c>
      <c r="B592" s="47">
        <f>INDEX(parameters!$D$4:$N$20,MATCH(B579&amp;B581,parameters!$A$4:$A$20,0),MATCH(A592,parameters!$D$3:$N$3,0))</f>
        <v>33.333333333333336</v>
      </c>
    </row>
    <row r="593" spans="1:22" x14ac:dyDescent="0.2">
      <c r="A593" t="s">
        <v>41</v>
      </c>
      <c r="B593" s="48">
        <f>INDEX(parameters!$D$4:$N$20,MATCH(B579&amp;B581,parameters!$A$4:$A$20,0),MATCH(A593,parameters!$D$3:$N$3,0))</f>
        <v>2.6666666666666665E-2</v>
      </c>
    </row>
    <row r="594" spans="1:22" x14ac:dyDescent="0.2">
      <c r="A594" t="s">
        <v>45</v>
      </c>
      <c r="B594" s="46">
        <f>INDEX(parameters!$D$4:$N$20,MATCH(B579&amp;B581,parameters!$A$4:$A$20,0),MATCH(A594,parameters!$D$3:$N$3,0))</f>
        <v>0</v>
      </c>
    </row>
    <row r="595" spans="1:22" x14ac:dyDescent="0.2">
      <c r="A595" t="s">
        <v>46</v>
      </c>
      <c r="B595" s="46">
        <f>INDEX(parameters!$D$4:$N$20,MATCH(B579&amp;B581,parameters!$A$4:$A$20,0),MATCH(A595,parameters!$D$3:$N$3,0))</f>
        <v>1.4999999999999999E-2</v>
      </c>
    </row>
    <row r="596" spans="1:22" x14ac:dyDescent="0.2">
      <c r="A596" t="s">
        <v>43</v>
      </c>
      <c r="B596" s="46">
        <f>INDEX(parameters!$D$4:$N$20,MATCH(B579&amp;B581,parameters!$A$4:$A$20,0),MATCH(A596,parameters!$D$3:$N$3,0))</f>
        <v>0</v>
      </c>
    </row>
    <row r="597" spans="1:22" x14ac:dyDescent="0.2">
      <c r="A597" t="s">
        <v>44</v>
      </c>
      <c r="B597" s="46">
        <f>INDEX(parameters!$D$4:$N$20,MATCH(B579&amp;B581,parameters!$A$4:$A$20,0),MATCH(A597,parameters!$D$3:$N$3,0))</f>
        <v>0</v>
      </c>
    </row>
    <row r="598" spans="1:22" x14ac:dyDescent="0.2">
      <c r="A598" t="s">
        <v>634</v>
      </c>
      <c r="B598" s="47">
        <f>INDEX(parameters!$D$4:$Y$20,MATCH(B579&amp;B581,parameters!$A$4:$A$20,0),MATCH(A598,parameters!$D$3:$Y$3,0))</f>
        <v>1.8947368421052633</v>
      </c>
    </row>
    <row r="599" spans="1:22" x14ac:dyDescent="0.2">
      <c r="A599" t="s">
        <v>82</v>
      </c>
      <c r="B599" s="46">
        <f>IF(B590&lt;&gt;0,VLOOKUP(B590,parameters!A509:B511,2,0),0)</f>
        <v>0</v>
      </c>
    </row>
    <row r="600" spans="1:22" x14ac:dyDescent="0.2">
      <c r="A600" t="s">
        <v>548</v>
      </c>
      <c r="B600" s="50">
        <f>INDEX(parameters!$D$4:$P$20,MATCH(B579&amp;B581,parameters!$A$4:$A$20,0),MATCH(A600,parameters!$D$3:$P$3,0))</f>
        <v>0.8</v>
      </c>
    </row>
    <row r="601" spans="1:22" x14ac:dyDescent="0.2">
      <c r="A601" t="s">
        <v>547</v>
      </c>
      <c r="B601" s="51">
        <f>INDEX(parameters!$D$4:$P$20,MATCH(B579&amp;B581,parameters!$A$4:$A$20,0),MATCH(A601,parameters!$D$3:$P$3,0))</f>
        <v>4.8780487804878048</v>
      </c>
    </row>
    <row r="602" spans="1:22" x14ac:dyDescent="0.2">
      <c r="A602" t="s">
        <v>630</v>
      </c>
      <c r="B602" s="51">
        <f>INDEX(parameters!$D$4:$T$20,MATCH(B579&amp;B581,parameters!$A$4:$A$20,0),MATCH(A602,parameters!$D$3:$T$3,0))</f>
        <v>4100</v>
      </c>
    </row>
    <row r="603" spans="1:22" x14ac:dyDescent="0.2">
      <c r="A603" t="s">
        <v>1005</v>
      </c>
      <c r="B603" s="50">
        <f>IF(B575="megajoule",SUMIFS(allocation!$I$4:$I$30,allocation!$B$4:$B$30,B581,allocation!$C$4:$C$30,B582),SUMIFS(allocation!$J$4:$J$30,allocation!$B$4:$B$30,B581,allocation!$C$4:$C$30,B582))</f>
        <v>0.86066019201025545</v>
      </c>
    </row>
    <row r="604" spans="1:22" x14ac:dyDescent="0.2">
      <c r="A604" t="s">
        <v>1050</v>
      </c>
      <c r="B604" s="51">
        <f>INDEX(parameters!$D$4:$AB$20,MATCH(B579&amp;B581,parameters!$A$4:$A$20,0),MATCH(A604,parameters!$D$3:$AB$3,0))</f>
        <v>10.221606648199446</v>
      </c>
    </row>
    <row r="606" spans="1:22" x14ac:dyDescent="0.2">
      <c r="A606" s="3" t="s">
        <v>57</v>
      </c>
    </row>
    <row r="607" spans="1:22" x14ac:dyDescent="0.2">
      <c r="A607" s="2" t="s">
        <v>58</v>
      </c>
      <c r="B607" s="44" t="s">
        <v>59</v>
      </c>
      <c r="C607" s="2" t="s">
        <v>55</v>
      </c>
      <c r="D607" s="2" t="s">
        <v>60</v>
      </c>
      <c r="E607" s="2" t="s">
        <v>52</v>
      </c>
      <c r="F607" s="2" t="s">
        <v>61</v>
      </c>
      <c r="G607" s="2" t="s">
        <v>54</v>
      </c>
      <c r="H607" s="2" t="s">
        <v>87</v>
      </c>
      <c r="I607" s="2" t="s">
        <v>51</v>
      </c>
      <c r="J607" s="2" t="s">
        <v>138</v>
      </c>
      <c r="K607" s="2" t="s">
        <v>136</v>
      </c>
      <c r="L607" s="2" t="s">
        <v>221</v>
      </c>
      <c r="M607" s="2" t="s">
        <v>379</v>
      </c>
      <c r="N607" s="2" t="s">
        <v>1059</v>
      </c>
      <c r="O607" s="2" t="s">
        <v>1060</v>
      </c>
      <c r="P607" s="2" t="s">
        <v>1061</v>
      </c>
      <c r="Q607" s="2" t="s">
        <v>1062</v>
      </c>
      <c r="R607" s="2" t="s">
        <v>1063</v>
      </c>
      <c r="S607" s="2" t="s">
        <v>1064</v>
      </c>
      <c r="T607" s="2" t="s">
        <v>1065</v>
      </c>
      <c r="U607" s="2" t="s">
        <v>380</v>
      </c>
      <c r="V607" s="2" t="s">
        <v>1128</v>
      </c>
    </row>
    <row r="608" spans="1:22" x14ac:dyDescent="0.2">
      <c r="A608" t="str">
        <f>B569</f>
        <v>electricity, residential, by conversion of hydrogen using fuel cell, PEM, allocated by exergy, transported by truck, produced by Pyrolysis using natural gas from Switzerland</v>
      </c>
      <c r="B608" s="45">
        <v>1</v>
      </c>
      <c r="C608" t="str">
        <f>B575</f>
        <v>kilowatt hour</v>
      </c>
      <c r="E608" t="str">
        <f>B572</f>
        <v>CH</v>
      </c>
      <c r="F608" t="s">
        <v>62</v>
      </c>
      <c r="G608" t="str">
        <f>B574</f>
        <v>electricity, from residential heating system</v>
      </c>
      <c r="K608" t="str">
        <f>B569</f>
        <v>electricity, residential, by conversion of hydrogen using fuel cell, PEM, allocated by exergy, transported by truck, produced by Pyrolysis using natural gas from Switzerland</v>
      </c>
    </row>
    <row r="609" spans="1:21" x14ac:dyDescent="0.2">
      <c r="A609" t="str">
        <f>VLOOKUP(J609,'dataset mapping'!$A$4:$E$69,2,0)</f>
        <v>fuel cell system assembly, 1 kWe, proton exchange membrane (PEM)</v>
      </c>
      <c r="B609" s="52">
        <f>(1/(B598*B602*B601))*B603</f>
        <v>2.2711866178048405E-5</v>
      </c>
      <c r="C609" t="str">
        <f>VLOOKUP(J609,'dataset mapping'!$A$4:$E$69,5,0)</f>
        <v>unit</v>
      </c>
      <c r="E609" t="str">
        <f>VLOOKUP(J609,'dataset mapping'!$A$4:$E$69,4,0)</f>
        <v>GLO</v>
      </c>
      <c r="F609" t="s">
        <v>86</v>
      </c>
      <c r="G609" t="str">
        <f>VLOOKUP(J609,'dataset mapping'!$A$4:$E$69,3,0)</f>
        <v>fuel cell system, 1 kWe, proton exchange membrane (PEM)</v>
      </c>
      <c r="H609" t="s">
        <v>88</v>
      </c>
      <c r="I609" t="s">
        <v>272</v>
      </c>
      <c r="J609" t="s">
        <v>273</v>
      </c>
      <c r="K609" t="str">
        <f>B569</f>
        <v>electricity, residential, by conversion of hydrogen using fuel cell, PEM, allocated by exergy, transported by truck, produced by Pyrolysis using natural gas from Switzerland</v>
      </c>
      <c r="L609">
        <f t="shared" ref="L609:L612" si="46">IF(OR(B609&lt;0,B609=0),1,2)</f>
        <v>2</v>
      </c>
      <c r="M609">
        <f t="shared" ref="M609:M612" si="47">IF(L609=2,LN(B609),"")</f>
        <v>-10.692623030936341</v>
      </c>
      <c r="N609">
        <v>1</v>
      </c>
      <c r="O609">
        <v>1.2</v>
      </c>
      <c r="P609">
        <v>1</v>
      </c>
      <c r="Q609">
        <v>1.01</v>
      </c>
      <c r="R609">
        <v>1.2</v>
      </c>
      <c r="S609">
        <v>1.2</v>
      </c>
      <c r="T609">
        <v>3</v>
      </c>
      <c r="U609">
        <f t="shared" ref="U609:U612" si="48">LN(SQRT(EXP(
SQRT(
+POWER(LN(N609),2)
+POWER(LN(O609),2)
+POWER(LN(P609),2)
+POWER(LN(Q609),2)
+POWER(LN(R609),2)
+POWER(LN(S609),2)
+POWER(LN(T609),2)
)
)))</f>
        <v>0.57157051623399524</v>
      </c>
    </row>
    <row r="610" spans="1:21" x14ac:dyDescent="0.2">
      <c r="A610" s="45" t="str">
        <f>"hydrogen supply, transported by "&amp;B583&amp;", produced by "&amp;B587&amp;" using "&amp;B588&amp;" from "&amp;B589</f>
        <v>hydrogen supply, transported by truck, produced by Pyrolysis using natural gas from Switzerland</v>
      </c>
      <c r="B610" s="53">
        <f>(B608/B592)/B591*B603</f>
        <v>5.7377346134017029E-2</v>
      </c>
      <c r="C610" t="s">
        <v>56</v>
      </c>
      <c r="E610" t="s">
        <v>64</v>
      </c>
      <c r="F610" t="s">
        <v>86</v>
      </c>
      <c r="G610" t="s">
        <v>1137</v>
      </c>
      <c r="H610" t="s">
        <v>76</v>
      </c>
      <c r="I610" t="s">
        <v>1054</v>
      </c>
      <c r="J610" t="s">
        <v>23</v>
      </c>
      <c r="K610" t="str">
        <f>B569</f>
        <v>electricity, residential, by conversion of hydrogen using fuel cell, PEM, allocated by exergy, transported by truck, produced by Pyrolysis using natural gas from Switzerland</v>
      </c>
      <c r="L610">
        <f t="shared" si="46"/>
        <v>2</v>
      </c>
      <c r="M610">
        <f t="shared" si="47"/>
        <v>-2.8581057202127536</v>
      </c>
      <c r="N610">
        <v>1</v>
      </c>
      <c r="O610">
        <v>1.2</v>
      </c>
      <c r="P610">
        <v>1</v>
      </c>
      <c r="Q610">
        <v>1.01</v>
      </c>
      <c r="R610">
        <v>1.2</v>
      </c>
      <c r="S610">
        <v>1.2</v>
      </c>
      <c r="T610">
        <v>1.05</v>
      </c>
      <c r="U610">
        <f t="shared" si="48"/>
        <v>0.15984597228197622</v>
      </c>
    </row>
    <row r="611" spans="1:21" x14ac:dyDescent="0.2">
      <c r="A611" t="str">
        <f>VLOOKUP(J611,'dataset mapping'!$A$4:$E$69,2,0)</f>
        <v>high pressure hydrogen storage tank</v>
      </c>
      <c r="B611" s="52">
        <f>((B604/10)/(B602*B598*20))*IF(B603&lt;&gt;0,B603,1)</f>
        <v>5.6622381053306285E-6</v>
      </c>
      <c r="C611" t="str">
        <f>VLOOKUP(J611,'dataset mapping'!$A$4:$E$69,5,0)</f>
        <v>kilogram</v>
      </c>
      <c r="E611" t="str">
        <f>VLOOKUP(J611,'dataset mapping'!$A$4:$E$69,4,0)</f>
        <v>GLO</v>
      </c>
      <c r="F611" t="s">
        <v>86</v>
      </c>
      <c r="G611" t="str">
        <f>VLOOKUP(J611,'dataset mapping'!$A$4:$E$69,3,0)</f>
        <v>high pressure hydrogen storage tank</v>
      </c>
      <c r="H611" t="s">
        <v>88</v>
      </c>
      <c r="I611" t="s">
        <v>280</v>
      </c>
      <c r="J611" t="s">
        <v>229</v>
      </c>
      <c r="K611" t="str">
        <f>B569</f>
        <v>electricity, residential, by conversion of hydrogen using fuel cell, PEM, allocated by exergy, transported by truck, produced by Pyrolysis using natural gas from Switzerland</v>
      </c>
      <c r="L611">
        <f t="shared" si="46"/>
        <v>2</v>
      </c>
      <c r="M611">
        <f t="shared" si="47"/>
        <v>-12.081691318938956</v>
      </c>
      <c r="N611">
        <v>1</v>
      </c>
      <c r="O611">
        <v>1.2</v>
      </c>
      <c r="P611">
        <v>1</v>
      </c>
      <c r="Q611">
        <v>1.01</v>
      </c>
      <c r="R611">
        <v>1.2</v>
      </c>
      <c r="S611">
        <v>1.2</v>
      </c>
      <c r="T611">
        <v>3</v>
      </c>
      <c r="U611">
        <f t="shared" si="48"/>
        <v>0.57157051623399524</v>
      </c>
    </row>
    <row r="612" spans="1:21" x14ac:dyDescent="0.2">
      <c r="A612" t="s">
        <v>134</v>
      </c>
      <c r="B612" s="45">
        <f>B610*9</f>
        <v>0.51639611520615325</v>
      </c>
      <c r="C612" t="s">
        <v>56</v>
      </c>
      <c r="D612" t="s">
        <v>100</v>
      </c>
      <c r="F612" t="s">
        <v>99</v>
      </c>
      <c r="H612" t="s">
        <v>131</v>
      </c>
      <c r="I612" t="s">
        <v>289</v>
      </c>
      <c r="K612" t="str">
        <f>B569</f>
        <v>electricity, residential, by conversion of hydrogen using fuel cell, PEM, allocated by exergy, transported by truck, produced by Pyrolysis using natural gas from Switzerland</v>
      </c>
      <c r="L612">
        <f t="shared" si="46"/>
        <v>2</v>
      </c>
      <c r="M612">
        <f t="shared" si="47"/>
        <v>-0.6608811428765341</v>
      </c>
      <c r="N612">
        <v>1</v>
      </c>
      <c r="O612">
        <v>1.2</v>
      </c>
      <c r="P612">
        <v>1</v>
      </c>
      <c r="Q612">
        <v>1.01</v>
      </c>
      <c r="R612">
        <v>1.2</v>
      </c>
      <c r="S612">
        <v>1.2</v>
      </c>
      <c r="T612">
        <v>1.05</v>
      </c>
      <c r="U612">
        <f t="shared" si="48"/>
        <v>0.15984597228197622</v>
      </c>
    </row>
    <row r="614" spans="1:21" x14ac:dyDescent="0.2">
      <c r="A614" s="2" t="s">
        <v>50</v>
      </c>
      <c r="B614" s="44" t="str">
        <f>IF(B620="megajoule","heat","electricity")&amp;", residential, by "&amp;B625&amp;" of "&amp;B624&amp;" using "&amp;B626&amp;IF(B627&lt;&gt;0,", allocated by "&amp;B627,"")&amp;", transported by "&amp;B628&amp;", produced by "&amp;B632&amp;" using "&amp;B633&amp;" from "&amp;B634</f>
        <v>electricity, residential, by conversion of hydrogen using fuel cell, SOFC, allocated by exergy, transported by truck, produced by Pyrolysis using natural gas from Switzerland</v>
      </c>
    </row>
    <row r="615" spans="1:21" x14ac:dyDescent="0.2">
      <c r="A615" t="s">
        <v>51</v>
      </c>
      <c r="B615" s="45" t="str">
        <f>"This dataset represents the supply of 1 "&amp;IF(B620="megajoule","megajoule of heat","kilowatt hour of electricity")&amp;" in a residence, by "&amp;B624&amp;" "&amp;B625&amp;" in a "&amp;B626&amp;". "&amp;" The hydrogen is transported by "&amp;B628&amp;" over "&amp;B629&amp;" km from regional storage. "&amp;" The "&amp;B624&amp;" is produced by  "&amp;B632&amp;", with "&amp;B633&amp;" from "&amp;B634&amp;" as feedstock. "&amp;A636&amp;": "&amp;(B636*100)&amp;"%. "&amp;A637&amp;": "&amp;B637&amp;". "&amp;A638&amp;": "&amp;B638&amp;". "&amp;A639&amp;": "&amp;(B639*100)&amp;"%. "&amp;A640&amp;": "&amp;(B640*100)&amp;"%. "&amp;A641&amp;": "&amp;(B641*100)&amp;"%. "&amp;A642&amp;": "&amp;B642&amp;". "&amp;A643&amp;": "&amp;B643&amp;". "&amp;A644&amp;": "&amp;(B644*100)&amp;"%. "&amp;A645&amp;": "&amp;B645&amp;". "&amp;A646&amp;": "&amp;B646&amp;". "&amp;A647&amp;": "&amp;B647&amp;". "&amp;A648&amp;": "&amp;B648&amp;".  For more information, refer to: "&amp;B616</f>
        <v>This dataset represents the supply of 1 kilowatt hour of electricity in a residence, by hydrogen conversion in a fuel cell, SOFC.  The hydrogen is transported by truck over 200 km from regional storage.  The hydrogen is produced by  Pyrolysis, with natural gas from Switzerland as feedstock. Electricity conversion efficiency [% LHV input]: 47%. LHV [kWh/kg]: 33.3333333333333. Market price [€/MJ]: 0.0266666666666667. Distribution loss [% output]: 0%. Storage loss [% output]: 1.5%. Synthesis efficiency [% LHV input]: 0%. Hydrogen production efficiency [% LHV input]: 0. Total cap. Input-related [kW]: 225. CO2 biogenic share [%]: 0%. Power [kW]: 100. Lifetime [years]: 6. Annual operation [hours]: 4100. Allocation factor: 0.864124934896009.  For more information, refer to: Sacchi, R., Treyer, T., Zhang, X., Bauer, C. Life Cycle Assessment of Power-to-X processes and associated electricity and heat applications in the residential sector. Paul Scherrer Institut, 2023.</v>
      </c>
    </row>
    <row r="616" spans="1:21" x14ac:dyDescent="0.2">
      <c r="A616" t="s">
        <v>63</v>
      </c>
      <c r="B616" s="45" t="s">
        <v>660</v>
      </c>
    </row>
    <row r="617" spans="1:21" x14ac:dyDescent="0.2">
      <c r="A617" t="s">
        <v>52</v>
      </c>
      <c r="B617" s="45" t="s">
        <v>64</v>
      </c>
    </row>
    <row r="618" spans="1:21" x14ac:dyDescent="0.2">
      <c r="A618" t="s">
        <v>48</v>
      </c>
      <c r="B618" s="45" t="s">
        <v>984</v>
      </c>
    </row>
    <row r="619" spans="1:21" x14ac:dyDescent="0.2">
      <c r="A619" t="s">
        <v>54</v>
      </c>
      <c r="B619" s="45" t="str">
        <f>INDEX(overview!$B$4:$R$338,MATCH(B618,overview!$A$4:$A$338,0),MATCH(A619,overview!$B$3:$R$3,0))</f>
        <v>electricity, from residential heating system</v>
      </c>
    </row>
    <row r="620" spans="1:21" x14ac:dyDescent="0.2">
      <c r="A620" t="s">
        <v>55</v>
      </c>
      <c r="B620" s="45" t="str">
        <f>INDEX(overview!$B$4:$R$338,MATCH(B618,overview!$A$4:$A$338,0),MATCH(A620,overview!$B$3:$R$3,0))</f>
        <v>kilowatt hour</v>
      </c>
    </row>
    <row r="621" spans="1:21" x14ac:dyDescent="0.2">
      <c r="A621" t="s">
        <v>0</v>
      </c>
      <c r="B621" s="45" t="str">
        <f>INDEX(overview!$B$4:$R$338,MATCH(B618,overview!$A$4:$A$338,0),MATCH(A621,overview!$B$3:$R$3,0))</f>
        <v>Switzerland</v>
      </c>
    </row>
    <row r="622" spans="1:21" x14ac:dyDescent="0.2">
      <c r="A622" t="s">
        <v>1</v>
      </c>
      <c r="B622" s="45">
        <f>INDEX(overview!$B$4:$R$338,MATCH(B618,overview!$A$4:$A$338,0),MATCH(A622,overview!$B$3:$R$3,0))</f>
        <v>2020</v>
      </c>
    </row>
    <row r="623" spans="1:21" x14ac:dyDescent="0.2">
      <c r="A623" t="s">
        <v>2</v>
      </c>
      <c r="B623" s="45" t="str">
        <f>INDEX(overview!$B$4:$R$338,MATCH(B618,overview!$A$4:$A$338,0),MATCH(A623,overview!$B$3:$R$3,0))</f>
        <v>1 kWh electricity</v>
      </c>
    </row>
    <row r="624" spans="1:21" x14ac:dyDescent="0.2">
      <c r="A624" t="s">
        <v>5</v>
      </c>
      <c r="B624" s="45" t="str">
        <f>INDEX(overview!$B$4:$R$338,MATCH(B618,overview!$A$4:$A$338,0),MATCH(A624,overview!$B$3:$R$3,0))</f>
        <v>hydrogen</v>
      </c>
    </row>
    <row r="625" spans="1:2" x14ac:dyDescent="0.2">
      <c r="A625" t="s">
        <v>3</v>
      </c>
      <c r="B625" s="45" t="str">
        <f>INDEX(overview!$B$4:$R$338,MATCH(B618,overview!$A$4:$A$338,0),MATCH(A625,overview!$B$3:$R$3,0))</f>
        <v>conversion</v>
      </c>
    </row>
    <row r="626" spans="1:2" x14ac:dyDescent="0.2">
      <c r="A626" t="s">
        <v>6</v>
      </c>
      <c r="B626" s="45" t="str">
        <f>INDEX(overview!$B$4:$R$338,MATCH(B618,overview!$A$4:$A$338,0),MATCH(A626,overview!$B$3:$R$3,0))</f>
        <v>fuel cell, SOFC</v>
      </c>
    </row>
    <row r="627" spans="1:2" x14ac:dyDescent="0.2">
      <c r="A627" t="s">
        <v>39</v>
      </c>
      <c r="B627" s="45" t="str">
        <f>INDEX(overview!$B$4:$R$338,MATCH(B618,overview!$A$4:$A$338,0),MATCH(A627,overview!$B$3:$R$3,0))</f>
        <v>exergy</v>
      </c>
    </row>
    <row r="628" spans="1:2" x14ac:dyDescent="0.2">
      <c r="A628" t="s">
        <v>4</v>
      </c>
      <c r="B628" s="45" t="str">
        <f>INDEX(overview!$B$4:$R$338,MATCH(B618,overview!$A$4:$A$338,0),MATCH(A628,overview!$B$3:$R$3,0))</f>
        <v>truck</v>
      </c>
    </row>
    <row r="629" spans="1:2" x14ac:dyDescent="0.2">
      <c r="A629" t="s">
        <v>38</v>
      </c>
      <c r="B629" s="45">
        <f>INDEX(overview!$B$4:$R$338,MATCH(B618,overview!$A$4:$A$338,0),MATCH(A629,overview!$B$3:$R$3,0))</f>
        <v>200</v>
      </c>
    </row>
    <row r="630" spans="1:2" x14ac:dyDescent="0.2">
      <c r="A630" t="s">
        <v>12</v>
      </c>
      <c r="B630" s="45" t="str">
        <f>INDEX(overview!$B$4:$R$338,MATCH(B618,overview!$A$4:$A$338,0),MATCH(A630,overview!$B$3:$R$3,0))</f>
        <v>Pressure vessel for stationary storage</v>
      </c>
    </row>
    <row r="631" spans="1:2" x14ac:dyDescent="0.2">
      <c r="A631" t="s">
        <v>34</v>
      </c>
      <c r="B631" s="45">
        <f>INDEX(overview!$B$4:$R$338,MATCH(B618,overview!$A$4:$A$338,0),MATCH(A631,overview!$B$3:$R$3,0))</f>
        <v>0</v>
      </c>
    </row>
    <row r="632" spans="1:2" x14ac:dyDescent="0.2">
      <c r="A632" t="s">
        <v>15</v>
      </c>
      <c r="B632" s="45" t="str">
        <f>INDEX(overview!$B$4:$R$338,MATCH(B618,overview!$A$4:$A$338,0),MATCH(A632,overview!$B$3:$R$3,0))</f>
        <v>Pyrolysis</v>
      </c>
    </row>
    <row r="633" spans="1:2" x14ac:dyDescent="0.2">
      <c r="A633" t="s">
        <v>14</v>
      </c>
      <c r="B633" s="45" t="str">
        <f>INDEX(overview!$B$4:$R$338,MATCH(B618,overview!$A$4:$A$338,0),MATCH(A633,overview!$B$3:$R$3,0))</f>
        <v>natural gas</v>
      </c>
    </row>
    <row r="634" spans="1:2" x14ac:dyDescent="0.2">
      <c r="A634" t="s">
        <v>26</v>
      </c>
      <c r="B634" s="45" t="str">
        <f>INDEX(overview!$B$4:$R$338,MATCH(B618,overview!$A$4:$A$338,0),MATCH(A634,overview!$B$3:$R$3,0))</f>
        <v>Switzerland</v>
      </c>
    </row>
    <row r="635" spans="1:2" x14ac:dyDescent="0.2">
      <c r="A635" t="s">
        <v>29</v>
      </c>
      <c r="B635" s="45">
        <f>INDEX(overview!$B$4:$R$338,MATCH(B618,overview!$A$4:$A$338,0),MATCH(A635,overview!$B$3:$R$3,0))</f>
        <v>0</v>
      </c>
    </row>
    <row r="636" spans="1:2" x14ac:dyDescent="0.2">
      <c r="A636" t="str">
        <f>IF(B620="megajoule","Heat","Electricity")&amp;" conversion efficiency [% LHV input]"</f>
        <v>Electricity conversion efficiency [% LHV input]</v>
      </c>
      <c r="B636" s="46">
        <f>INDEX(parameters!$D$4:$N$20,MATCH(B624&amp;B626,parameters!$A$4:$A$20,0),MATCH(A636,parameters!$D$3:$N$3,0))</f>
        <v>0.47</v>
      </c>
    </row>
    <row r="637" spans="1:2" x14ac:dyDescent="0.2">
      <c r="A637" t="str">
        <f>IF(B620="megajoule","LHV [MJ/kg]","LHV [kWh/kg]")</f>
        <v>LHV [kWh/kg]</v>
      </c>
      <c r="B637" s="47">
        <f>INDEX(parameters!$D$4:$N$20,MATCH(B624&amp;B626,parameters!$A$4:$A$20,0),MATCH(A637,parameters!$D$3:$N$3,0))</f>
        <v>33.333333333333336</v>
      </c>
    </row>
    <row r="638" spans="1:2" x14ac:dyDescent="0.2">
      <c r="A638" t="s">
        <v>41</v>
      </c>
      <c r="B638" s="48">
        <f>INDEX(parameters!$D$4:$N$20,MATCH(B624&amp;B626,parameters!$A$4:$A$20,0),MATCH(A638,parameters!$D$3:$N$3,0))</f>
        <v>2.6666666666666665E-2</v>
      </c>
    </row>
    <row r="639" spans="1:2" x14ac:dyDescent="0.2">
      <c r="A639" t="s">
        <v>45</v>
      </c>
      <c r="B639" s="46">
        <f>INDEX(parameters!$D$4:$N$20,MATCH(B624&amp;B626,parameters!$A$4:$A$20,0),MATCH(A639,parameters!$D$3:$N$3,0))</f>
        <v>0</v>
      </c>
    </row>
    <row r="640" spans="1:2" x14ac:dyDescent="0.2">
      <c r="A640" t="s">
        <v>46</v>
      </c>
      <c r="B640" s="46">
        <f>INDEX(parameters!$D$4:$N$20,MATCH(B624&amp;B626,parameters!$A$4:$A$20,0),MATCH(A640,parameters!$D$3:$N$3,0))</f>
        <v>1.4999999999999999E-2</v>
      </c>
    </row>
    <row r="641" spans="1:22" x14ac:dyDescent="0.2">
      <c r="A641" t="s">
        <v>43</v>
      </c>
      <c r="B641" s="46">
        <f>INDEX(parameters!$D$4:$N$20,MATCH(B624&amp;B626,parameters!$A$4:$A$20,0),MATCH(A641,parameters!$D$3:$N$3,0))</f>
        <v>0</v>
      </c>
    </row>
    <row r="642" spans="1:22" x14ac:dyDescent="0.2">
      <c r="A642" t="s">
        <v>44</v>
      </c>
      <c r="B642" s="46">
        <f>INDEX(parameters!$D$4:$N$20,MATCH(B624&amp;B626,parameters!$A$4:$A$20,0),MATCH(A642,parameters!$D$3:$N$3,0))</f>
        <v>0</v>
      </c>
    </row>
    <row r="643" spans="1:22" x14ac:dyDescent="0.2">
      <c r="A643" t="s">
        <v>634</v>
      </c>
      <c r="B643" s="47">
        <f>INDEX(parameters!$D$4:$Y$20,MATCH(B624&amp;B626,parameters!$A$4:$A$20,0),MATCH(A643,parameters!$D$3:$Y$3,0))</f>
        <v>225</v>
      </c>
      <c r="D643" s="8"/>
    </row>
    <row r="644" spans="1:22" x14ac:dyDescent="0.2">
      <c r="A644" t="s">
        <v>82</v>
      </c>
      <c r="B644" s="46">
        <f>IF(B635&lt;&gt;0,VLOOKUP(B635,parameters!A557:B559,2,0),0)</f>
        <v>0</v>
      </c>
    </row>
    <row r="645" spans="1:22" x14ac:dyDescent="0.2">
      <c r="A645" t="s">
        <v>548</v>
      </c>
      <c r="B645" s="50">
        <f>INDEX(parameters!$D$4:$P$20,MATCH(B624&amp;B626,parameters!$A$4:$A$20,0),MATCH(A645,parameters!$D$3:$P$3,0))</f>
        <v>100</v>
      </c>
    </row>
    <row r="646" spans="1:22" x14ac:dyDescent="0.2">
      <c r="A646" t="s">
        <v>547</v>
      </c>
      <c r="B646" s="51">
        <f>INDEX(parameters!$D$4:$P$20,MATCH(B624&amp;B626,parameters!$A$4:$A$20,0),MATCH(A646,parameters!$D$3:$P$3,0))</f>
        <v>6</v>
      </c>
    </row>
    <row r="647" spans="1:22" x14ac:dyDescent="0.2">
      <c r="A647" t="s">
        <v>630</v>
      </c>
      <c r="B647" s="51">
        <f>INDEX(parameters!$D$4:$T$20,MATCH(B624&amp;B626,parameters!$A$4:$A$20,0),MATCH(A647,parameters!$D$3:$T$3,0))</f>
        <v>4100</v>
      </c>
    </row>
    <row r="648" spans="1:22" x14ac:dyDescent="0.2">
      <c r="A648" t="s">
        <v>1005</v>
      </c>
      <c r="B648" s="50">
        <f>IF(B620="megajoule",SUMIFS(allocation!$I$4:$I$30,allocation!$B$4:$B$30,B626,allocation!$C$4:$C$30,B627),SUMIFS(allocation!$J$4:$J$30,allocation!$B$4:$B$30,B626,allocation!$C$4:$C$30,B627))</f>
        <v>0.86412493489600906</v>
      </c>
    </row>
    <row r="649" spans="1:22" x14ac:dyDescent="0.2">
      <c r="A649" t="s">
        <v>1050</v>
      </c>
      <c r="B649" s="51">
        <f>INDEX(parameters!$D$4:$AB$20,MATCH(B624&amp;B626,parameters!$A$4:$A$20,0),MATCH(A649,parameters!$D$3:$AB$3,0))</f>
        <v>1153.1249999999998</v>
      </c>
    </row>
    <row r="651" spans="1:22" x14ac:dyDescent="0.2">
      <c r="A651" s="3" t="s">
        <v>57</v>
      </c>
    </row>
    <row r="652" spans="1:22" x14ac:dyDescent="0.2">
      <c r="A652" s="2" t="s">
        <v>58</v>
      </c>
      <c r="B652" s="44" t="s">
        <v>59</v>
      </c>
      <c r="C652" s="2" t="s">
        <v>55</v>
      </c>
      <c r="D652" s="2" t="s">
        <v>60</v>
      </c>
      <c r="E652" s="2" t="s">
        <v>52</v>
      </c>
      <c r="F652" s="2" t="s">
        <v>61</v>
      </c>
      <c r="G652" s="2" t="s">
        <v>54</v>
      </c>
      <c r="H652" s="2" t="s">
        <v>87</v>
      </c>
      <c r="I652" s="2" t="s">
        <v>51</v>
      </c>
      <c r="J652" s="2" t="s">
        <v>138</v>
      </c>
      <c r="K652" s="2" t="s">
        <v>136</v>
      </c>
      <c r="L652" s="2" t="s">
        <v>221</v>
      </c>
      <c r="M652" s="2" t="s">
        <v>379</v>
      </c>
      <c r="N652" s="2" t="s">
        <v>1059</v>
      </c>
      <c r="O652" s="2" t="s">
        <v>1060</v>
      </c>
      <c r="P652" s="2" t="s">
        <v>1061</v>
      </c>
      <c r="Q652" s="2" t="s">
        <v>1062</v>
      </c>
      <c r="R652" s="2" t="s">
        <v>1063</v>
      </c>
      <c r="S652" s="2" t="s">
        <v>1064</v>
      </c>
      <c r="T652" s="2" t="s">
        <v>1065</v>
      </c>
      <c r="U652" s="2" t="s">
        <v>380</v>
      </c>
      <c r="V652" s="2" t="s">
        <v>1128</v>
      </c>
    </row>
    <row r="653" spans="1:22" x14ac:dyDescent="0.2">
      <c r="A653" t="str">
        <f>B614</f>
        <v>electricity, residential, by conversion of hydrogen using fuel cell, SOFC, allocated by exergy, transported by truck, produced by Pyrolysis using natural gas from Switzerland</v>
      </c>
      <c r="B653" s="45">
        <v>1</v>
      </c>
      <c r="C653" t="str">
        <f>B620</f>
        <v>kilowatt hour</v>
      </c>
      <c r="E653" t="str">
        <f>B617</f>
        <v>CH</v>
      </c>
      <c r="F653" t="s">
        <v>62</v>
      </c>
      <c r="G653" t="str">
        <f>B619</f>
        <v>electricity, from residential heating system</v>
      </c>
      <c r="K653" t="str">
        <f>B614</f>
        <v>electricity, residential, by conversion of hydrogen using fuel cell, SOFC, allocated by exergy, transported by truck, produced by Pyrolysis using natural gas from Switzerland</v>
      </c>
    </row>
    <row r="654" spans="1:22" x14ac:dyDescent="0.2">
      <c r="A654" t="str">
        <f>VLOOKUP(J654,'dataset mapping'!$A$4:$E$69,2,0)</f>
        <v>fuel cell production, stack solid oxide, 125kW electrical, future</v>
      </c>
      <c r="B654" s="52">
        <f>1/(62*1000000)/B636*SUMIFS(allocation!$I$4:$I$30,allocation!$B$4:$B$30,B626,allocation!$C$4:$C$30,B627)</f>
        <v>4.6628368258061427E-9</v>
      </c>
      <c r="C654" t="str">
        <f>VLOOKUP(J654,'dataset mapping'!$A$4:$E$69,5,0)</f>
        <v>unit</v>
      </c>
      <c r="E654" t="str">
        <f>VLOOKUP(J654,'dataset mapping'!$A$4:$E$69,4,0)</f>
        <v>CH</v>
      </c>
      <c r="F654" t="s">
        <v>86</v>
      </c>
      <c r="G654" t="str">
        <f>VLOOKUP(J654,'dataset mapping'!$A$4:$E$69,3,0)</f>
        <v>fuel cell, stack solid oxide, 125kW electrical, future</v>
      </c>
      <c r="H654" t="s">
        <v>88</v>
      </c>
      <c r="I654" t="s">
        <v>277</v>
      </c>
      <c r="J654" t="s">
        <v>274</v>
      </c>
      <c r="K654" t="str">
        <f>B614</f>
        <v>electricity, residential, by conversion of hydrogen using fuel cell, SOFC, allocated by exergy, transported by truck, produced by Pyrolysis using natural gas from Switzerland</v>
      </c>
      <c r="L654">
        <f t="shared" ref="L654:L660" si="49">IF(OR(B654&lt;0,B654=0),1,2)</f>
        <v>2</v>
      </c>
      <c r="M654">
        <f t="shared" ref="M654:M660" si="50">IF(L654=2,LN(B654),"")</f>
        <v>-19.183641813126002</v>
      </c>
      <c r="N654">
        <v>1</v>
      </c>
      <c r="O654">
        <v>1.2</v>
      </c>
      <c r="P654">
        <v>1</v>
      </c>
      <c r="Q654">
        <v>1.01</v>
      </c>
      <c r="R654">
        <v>1.2</v>
      </c>
      <c r="S654">
        <v>1.2</v>
      </c>
      <c r="T654">
        <v>3</v>
      </c>
      <c r="U654">
        <f t="shared" ref="U654:U657" si="51">LN(SQRT(EXP(
SQRT(
+POWER(LN(N654),2)
+POWER(LN(O654),2)
+POWER(LN(P654),2)
+POWER(LN(Q654),2)
+POWER(LN(R654),2)
+POWER(LN(S654),2)
+POWER(LN(T654),2)
)
)))</f>
        <v>0.57157051623399524</v>
      </c>
    </row>
    <row r="655" spans="1:22" x14ac:dyDescent="0.2">
      <c r="A655" t="s">
        <v>283</v>
      </c>
      <c r="B655" s="52">
        <f>0.000000145/B636*SUMIFS(allocation!$I$4:$I$30,allocation!$B$4:$B$30,B626,allocation!$C$4:$C$30,B627)</f>
        <v>4.1918903063997216E-8</v>
      </c>
      <c r="C655" t="s">
        <v>55</v>
      </c>
      <c r="E655" t="s">
        <v>64</v>
      </c>
      <c r="F655" t="s">
        <v>86</v>
      </c>
      <c r="G655" t="s">
        <v>284</v>
      </c>
      <c r="H655" t="s">
        <v>88</v>
      </c>
      <c r="I655" t="s">
        <v>277</v>
      </c>
      <c r="K655" t="str">
        <f>B614</f>
        <v>electricity, residential, by conversion of hydrogen using fuel cell, SOFC, allocated by exergy, transported by truck, produced by Pyrolysis using natural gas from Switzerland</v>
      </c>
      <c r="L655">
        <f t="shared" si="49"/>
        <v>2</v>
      </c>
      <c r="M655">
        <f t="shared" si="50"/>
        <v>-16.987528964642475</v>
      </c>
      <c r="N655">
        <v>1</v>
      </c>
      <c r="O655">
        <v>1.2</v>
      </c>
      <c r="P655">
        <v>1</v>
      </c>
      <c r="Q655">
        <v>1.01</v>
      </c>
      <c r="R655">
        <v>1.2</v>
      </c>
      <c r="S655">
        <v>1.2</v>
      </c>
      <c r="T655">
        <v>3</v>
      </c>
      <c r="U655">
        <f t="shared" si="51"/>
        <v>0.57157051623399524</v>
      </c>
    </row>
    <row r="656" spans="1:22" x14ac:dyDescent="0.2">
      <c r="A656" t="s">
        <v>285</v>
      </c>
      <c r="B656" s="52">
        <f>0.0000000115/B636*SUMIFS(allocation!$I$4:$I$30,allocation!$B$4:$B$30,B626,allocation!$C$4:$C$30,B627)</f>
        <v>3.3246026567997794E-9</v>
      </c>
      <c r="C656" t="s">
        <v>55</v>
      </c>
      <c r="E656" t="s">
        <v>90</v>
      </c>
      <c r="F656" t="s">
        <v>86</v>
      </c>
      <c r="G656" t="s">
        <v>286</v>
      </c>
      <c r="H656" t="s">
        <v>88</v>
      </c>
      <c r="K656" t="str">
        <f>B614</f>
        <v>electricity, residential, by conversion of hydrogen using fuel cell, SOFC, allocated by exergy, transported by truck, produced by Pyrolysis using natural gas from Switzerland</v>
      </c>
      <c r="L656">
        <f t="shared" si="49"/>
        <v>2</v>
      </c>
      <c r="M656">
        <f t="shared" si="50"/>
        <v>-19.521915671693844</v>
      </c>
      <c r="N656">
        <v>1</v>
      </c>
      <c r="O656">
        <v>1.2</v>
      </c>
      <c r="P656">
        <v>1</v>
      </c>
      <c r="Q656">
        <v>1.01</v>
      </c>
      <c r="R656">
        <v>1.2</v>
      </c>
      <c r="S656">
        <v>1.2</v>
      </c>
      <c r="T656">
        <v>3</v>
      </c>
      <c r="U656">
        <f t="shared" si="51"/>
        <v>0.57157051623399524</v>
      </c>
    </row>
    <row r="657" spans="1:21" x14ac:dyDescent="0.2">
      <c r="A657" t="s">
        <v>288</v>
      </c>
      <c r="B657" s="52">
        <f>0.000024/B636*SUMIFS(allocation!$I$4:$I$30,allocation!$B$4:$B$30,B626,allocation!$C$4:$C$30,B627)</f>
        <v>6.9383011967995388E-6</v>
      </c>
      <c r="C657" t="s">
        <v>56</v>
      </c>
      <c r="E657" t="s">
        <v>64</v>
      </c>
      <c r="F657" t="s">
        <v>86</v>
      </c>
      <c r="G657" t="s">
        <v>287</v>
      </c>
      <c r="H657" t="s">
        <v>88</v>
      </c>
      <c r="K657" t="str">
        <f>B614</f>
        <v>electricity, residential, by conversion of hydrogen using fuel cell, SOFC, allocated by exergy, transported by truck, produced by Pyrolysis using natural gas from Switzerland</v>
      </c>
      <c r="L657">
        <f t="shared" si="49"/>
        <v>2</v>
      </c>
      <c r="M657">
        <f t="shared" si="50"/>
        <v>-11.878453597732966</v>
      </c>
      <c r="N657">
        <v>1</v>
      </c>
      <c r="O657">
        <v>1.2</v>
      </c>
      <c r="P657">
        <v>1</v>
      </c>
      <c r="Q657">
        <v>1.01</v>
      </c>
      <c r="R657">
        <v>1.2</v>
      </c>
      <c r="S657">
        <v>1.2</v>
      </c>
      <c r="T657">
        <v>1.05</v>
      </c>
      <c r="U657">
        <f t="shared" si="51"/>
        <v>0.15984597228197622</v>
      </c>
    </row>
    <row r="658" spans="1:21" x14ac:dyDescent="0.2">
      <c r="A658" s="45" t="str">
        <f>"hydrogen supply, transported by "&amp;B628&amp;", produced by "&amp;B632&amp;" using "&amp;B633&amp;" from "&amp;B634</f>
        <v>hydrogen supply, transported by truck, produced by Pyrolysis using natural gas from Switzerland</v>
      </c>
      <c r="B658" s="53">
        <f>(B653/B637)/B636*B648</f>
        <v>5.515691073804313E-2</v>
      </c>
      <c r="C658" t="s">
        <v>56</v>
      </c>
      <c r="E658" t="s">
        <v>64</v>
      </c>
      <c r="F658" t="s">
        <v>86</v>
      </c>
      <c r="G658" t="s">
        <v>1137</v>
      </c>
      <c r="H658" t="s">
        <v>76</v>
      </c>
      <c r="I658" t="s">
        <v>1054</v>
      </c>
      <c r="J658" t="s">
        <v>23</v>
      </c>
      <c r="K658" t="str">
        <f>B614</f>
        <v>electricity, residential, by conversion of hydrogen using fuel cell, SOFC, allocated by exergy, transported by truck, produced by Pyrolysis using natural gas from Switzerland</v>
      </c>
      <c r="L658">
        <f t="shared" si="49"/>
        <v>2</v>
      </c>
      <c r="M658">
        <f t="shared" si="50"/>
        <v>-2.8975732330996009</v>
      </c>
      <c r="N658">
        <v>1</v>
      </c>
      <c r="O658">
        <v>1.2</v>
      </c>
      <c r="P658">
        <v>1</v>
      </c>
      <c r="Q658">
        <v>1.01</v>
      </c>
      <c r="R658">
        <v>1.2</v>
      </c>
      <c r="S658">
        <v>1.2</v>
      </c>
      <c r="T658">
        <v>1.05</v>
      </c>
      <c r="U658">
        <f t="shared" ref="U658:U660" si="52">LN(SQRT(EXP(
SQRT(
+POWER(LN(N658),2)
+POWER(LN(O658),2)
+POWER(LN(P658),2)
+POWER(LN(Q658),2)
+POWER(LN(R658),2)
+POWER(LN(S658),2)
+POWER(LN(T658),2)
)
)))</f>
        <v>0.15984597228197622</v>
      </c>
    </row>
    <row r="659" spans="1:21" x14ac:dyDescent="0.2">
      <c r="A659" t="str">
        <f>VLOOKUP(J659,'dataset mapping'!$A$4:$E$69,2,0)</f>
        <v>high pressure hydrogen storage tank</v>
      </c>
      <c r="B659" s="52">
        <f>((B649/10)/(B647*B643*20))*IF(B648&lt;&gt;0,B648,1)</f>
        <v>5.400780843100055E-6</v>
      </c>
      <c r="C659" t="str">
        <f>VLOOKUP(J659,'dataset mapping'!$A$4:$E$69,5,0)</f>
        <v>kilogram</v>
      </c>
      <c r="E659" t="str">
        <f>VLOOKUP(J659,'dataset mapping'!$A$4:$E$69,4,0)</f>
        <v>GLO</v>
      </c>
      <c r="F659" t="s">
        <v>86</v>
      </c>
      <c r="G659" t="str">
        <f>VLOOKUP(J659,'dataset mapping'!$A$4:$E$69,3,0)</f>
        <v>high pressure hydrogen storage tank</v>
      </c>
      <c r="H659" t="s">
        <v>88</v>
      </c>
      <c r="I659" t="s">
        <v>230</v>
      </c>
      <c r="J659" t="s">
        <v>229</v>
      </c>
      <c r="K659" t="str">
        <f>B614</f>
        <v>electricity, residential, by conversion of hydrogen using fuel cell, SOFC, allocated by exergy, transported by truck, produced by Pyrolysis using natural gas from Switzerland</v>
      </c>
      <c r="L659">
        <f t="shared" si="49"/>
        <v>2</v>
      </c>
      <c r="M659">
        <f t="shared" si="50"/>
        <v>-12.128967014273616</v>
      </c>
      <c r="N659">
        <v>1</v>
      </c>
      <c r="O659">
        <v>1.2</v>
      </c>
      <c r="P659">
        <v>1</v>
      </c>
      <c r="Q659">
        <v>1.01</v>
      </c>
      <c r="R659">
        <v>1.2</v>
      </c>
      <c r="S659">
        <v>1.2</v>
      </c>
      <c r="T659">
        <v>3</v>
      </c>
      <c r="U659">
        <f t="shared" si="52"/>
        <v>0.57157051623399524</v>
      </c>
    </row>
    <row r="660" spans="1:21" x14ac:dyDescent="0.2">
      <c r="A660" t="s">
        <v>134</v>
      </c>
      <c r="B660" s="45">
        <f>B658*9</f>
        <v>0.49641219664238817</v>
      </c>
      <c r="C660" t="s">
        <v>56</v>
      </c>
      <c r="D660" t="s">
        <v>100</v>
      </c>
      <c r="F660" t="s">
        <v>99</v>
      </c>
      <c r="H660" t="s">
        <v>131</v>
      </c>
      <c r="I660" t="s">
        <v>289</v>
      </c>
      <c r="K660" t="str">
        <f>B614</f>
        <v>electricity, residential, by conversion of hydrogen using fuel cell, SOFC, allocated by exergy, transported by truck, produced by Pyrolysis using natural gas from Switzerland</v>
      </c>
      <c r="L660">
        <f t="shared" si="49"/>
        <v>2</v>
      </c>
      <c r="M660">
        <f t="shared" si="50"/>
        <v>-0.70034865576338168</v>
      </c>
      <c r="N660">
        <v>1</v>
      </c>
      <c r="O660">
        <v>1.2</v>
      </c>
      <c r="P660">
        <v>1</v>
      </c>
      <c r="Q660">
        <v>1.01</v>
      </c>
      <c r="R660">
        <v>1.2</v>
      </c>
      <c r="S660">
        <v>1.2</v>
      </c>
      <c r="T660">
        <v>1.05</v>
      </c>
      <c r="U660">
        <f t="shared" si="52"/>
        <v>0.15984597228197622</v>
      </c>
    </row>
  </sheetData>
  <autoFilter ref="A1:U661" xr:uid="{BC853872-9452-7243-9108-7154A9E4E8B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01355-8527-6349-965C-0A4E4EC0971A}">
  <dimension ref="A1:V1537"/>
  <sheetViews>
    <sheetView workbookViewId="0">
      <selection activeCell="I36" sqref="I36:I37"/>
    </sheetView>
  </sheetViews>
  <sheetFormatPr baseColWidth="10" defaultRowHeight="16" x14ac:dyDescent="0.2"/>
  <cols>
    <col min="1" max="1" width="73.6640625" customWidth="1"/>
    <col min="2" max="2" width="12.1640625" bestFit="1" customWidth="1"/>
    <col min="7" max="7" width="48" bestFit="1" customWidth="1"/>
    <col min="9" max="9" width="15" customWidth="1"/>
    <col min="10" max="10" width="28" customWidth="1"/>
  </cols>
  <sheetData>
    <row r="1" spans="1:2" x14ac:dyDescent="0.2">
      <c r="A1" s="2" t="s">
        <v>50</v>
      </c>
      <c r="B1" s="44" t="str">
        <f>B11&amp;", transported by "&amp;B12&amp;", produced by "&amp;B16&amp;" using "&amp;B17&amp;" from "&amp;B18&amp;", and carbon from "&amp;B19</f>
        <v>synthetic natural gas from biological methanation, transported by pipeline, produced by Electrolysis, PEM using water and electricity from grid, and carbon from DAC</v>
      </c>
    </row>
    <row r="2" spans="1:2" x14ac:dyDescent="0.2">
      <c r="A2" t="s">
        <v>51</v>
      </c>
      <c r="B2" s="45" t="str">
        <f>"This dataset represents the supply of 1 kilogram of synthetic natural gas The gas is transported by "&amp;B12&amp;" over "&amp;B13&amp;" km from regional storage. "&amp;" The "&amp;B11&amp;" is produced by  "&amp;B16&amp;", with "&amp;B17&amp;" from "&amp;B18&amp;" as feedstock. "&amp;A20&amp;": "&amp;(B20*100)&amp;"%. "&amp;A21&amp;": "&amp;(B21*100)&amp;".  For more information, refer to: "&amp;B3</f>
        <v>This dataset represents the supply of 1 kilogram of synthetic natural gas The gas is transported by pipeline over 500 km from regional storage.  The synthetic natural gas from biological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3" spans="1:2" x14ac:dyDescent="0.2">
      <c r="A3" t="s">
        <v>63</v>
      </c>
      <c r="B3" s="45" t="s">
        <v>1223</v>
      </c>
    </row>
    <row r="4" spans="1:2" x14ac:dyDescent="0.2">
      <c r="A4" t="s">
        <v>52</v>
      </c>
      <c r="B4" s="45" t="s">
        <v>64</v>
      </c>
    </row>
    <row r="5" spans="1:2" x14ac:dyDescent="0.2">
      <c r="A5" t="s">
        <v>48</v>
      </c>
      <c r="B5" s="45">
        <v>177</v>
      </c>
    </row>
    <row r="6" spans="1:2" x14ac:dyDescent="0.2">
      <c r="A6" t="s">
        <v>54</v>
      </c>
      <c r="B6" s="45" t="s">
        <v>1157</v>
      </c>
    </row>
    <row r="7" spans="1:2" x14ac:dyDescent="0.2">
      <c r="A7" t="s">
        <v>55</v>
      </c>
      <c r="B7" s="45" t="s">
        <v>56</v>
      </c>
    </row>
    <row r="8" spans="1:2" x14ac:dyDescent="0.2">
      <c r="A8" t="s">
        <v>0</v>
      </c>
      <c r="B8" s="45" t="str">
        <f>INDEX(overview!$B$4:$R$338,MATCH('synthetic nat gas - supply'!B5,overview!$A$4:$A$338,0),MATCH('synthetic nat gas - supply'!A8,overview!$B$3:$R$3,0))</f>
        <v>Switzerland</v>
      </c>
    </row>
    <row r="9" spans="1:2" x14ac:dyDescent="0.2">
      <c r="A9" t="s">
        <v>1</v>
      </c>
      <c r="B9" s="45">
        <f>INDEX(overview!$B$4:$R$338,MATCH('synthetic nat gas - supply'!B5,overview!$A$4:$A$338,0),MATCH('synthetic nat gas - supply'!A9,overview!$B$3:$R$3,0))</f>
        <v>2020</v>
      </c>
    </row>
    <row r="10" spans="1:2" x14ac:dyDescent="0.2">
      <c r="A10" t="s">
        <v>2</v>
      </c>
      <c r="B10" s="45" t="s">
        <v>1168</v>
      </c>
    </row>
    <row r="11" spans="1:2" x14ac:dyDescent="0.2">
      <c r="A11" t="s">
        <v>5</v>
      </c>
      <c r="B11" s="45" t="str">
        <f>INDEX(overview!$B$4:$R$338,MATCH('synthetic nat gas - supply'!B5,overview!$A$4:$A$338,0),MATCH('synthetic nat gas - supply'!A11,overview!$B$3:$R$3,0))</f>
        <v>synthetic natural gas from biological methanation</v>
      </c>
    </row>
    <row r="12" spans="1:2" x14ac:dyDescent="0.2">
      <c r="A12" t="s">
        <v>4</v>
      </c>
      <c r="B12" s="45" t="str">
        <f>INDEX(overview!$B$4:$R$338,MATCH('synthetic nat gas - supply'!B5,overview!$A$4:$A$338,0),MATCH('synthetic nat gas - supply'!A12,overview!$B$3:$R$3,0))</f>
        <v>pipeline</v>
      </c>
    </row>
    <row r="13" spans="1:2" x14ac:dyDescent="0.2">
      <c r="A13" t="s">
        <v>38</v>
      </c>
      <c r="B13" s="45">
        <f>INDEX(overview!$B$4:$R$338,MATCH('synthetic nat gas - supply'!B5,overview!$A$4:$A$338,0),MATCH('synthetic nat gas - supply'!A13,overview!$B$3:$R$3,0))</f>
        <v>500</v>
      </c>
    </row>
    <row r="14" spans="1:2" x14ac:dyDescent="0.2">
      <c r="A14" t="s">
        <v>12</v>
      </c>
      <c r="B14" s="45" t="str">
        <f>INDEX(overview!$B$4:$R$338,MATCH('synthetic nat gas - supply'!B5,overview!$A$4:$A$338,0),MATCH('synthetic nat gas - supply'!A14,overview!$B$3:$R$3,0))</f>
        <v>Above surface pressure vessel</v>
      </c>
    </row>
    <row r="15" spans="1:2" x14ac:dyDescent="0.2">
      <c r="A15" t="s">
        <v>34</v>
      </c>
      <c r="B15" s="45" t="str">
        <f>INDEX(overview!$B$4:$R$338,MATCH('synthetic nat gas - supply'!B5,overview!$A$4:$A$338,0),MATCH('synthetic nat gas - supply'!A15,overview!$B$3:$R$3,0))</f>
        <v>biological</v>
      </c>
    </row>
    <row r="16" spans="1:2" x14ac:dyDescent="0.2">
      <c r="A16" t="s">
        <v>15</v>
      </c>
      <c r="B16" s="45" t="str">
        <f>INDEX(overview!$B$4:$R$338,MATCH('synthetic nat gas - supply'!B5,overview!$A$4:$A$338,0),MATCH('synthetic nat gas - supply'!A16,overview!$B$3:$R$3,0))</f>
        <v>Electrolysis, PEM</v>
      </c>
    </row>
    <row r="17" spans="1:22" x14ac:dyDescent="0.2">
      <c r="A17" t="s">
        <v>14</v>
      </c>
      <c r="B17" s="45" t="str">
        <f>INDEX(overview!$B$4:$R$338,MATCH('synthetic nat gas - supply'!B5,overview!$A$4:$A$338,0),MATCH('synthetic nat gas - supply'!A17,overview!$B$3:$R$3,0))</f>
        <v>water and electricity</v>
      </c>
    </row>
    <row r="18" spans="1:22" x14ac:dyDescent="0.2">
      <c r="A18" t="s">
        <v>26</v>
      </c>
      <c r="B18" s="45" t="str">
        <f>INDEX(overview!$B$4:$R$338,MATCH('synthetic nat gas - supply'!B5,overview!$A$4:$A$338,0),MATCH('synthetic nat gas - supply'!A18,overview!$B$3:$R$3,0))</f>
        <v>grid</v>
      </c>
    </row>
    <row r="19" spans="1:22" x14ac:dyDescent="0.2">
      <c r="A19" t="s">
        <v>29</v>
      </c>
      <c r="B19" s="45" t="str">
        <f>INDEX(overview!$B$4:$R$338,MATCH('synthetic nat gas - supply'!B5,overview!$A$4:$A$338,0),MATCH('synthetic nat gas - supply'!A19,overview!$B$3:$R$3,0))</f>
        <v>DAC</v>
      </c>
    </row>
    <row r="20" spans="1:22" x14ac:dyDescent="0.2">
      <c r="A20" t="s">
        <v>45</v>
      </c>
      <c r="B20" s="69">
        <v>1.9000000000000001E-4</v>
      </c>
    </row>
    <row r="21" spans="1:22" x14ac:dyDescent="0.2">
      <c r="A21" t="s">
        <v>1133</v>
      </c>
      <c r="B21" s="49">
        <v>0</v>
      </c>
    </row>
    <row r="22" spans="1:22" x14ac:dyDescent="0.2">
      <c r="A22" t="s">
        <v>82</v>
      </c>
      <c r="B22" s="46">
        <f>IF(B19&lt;&gt;0,VLOOKUP(B19,parameters!$A$26:$B$28,2,0),"")</f>
        <v>1</v>
      </c>
    </row>
    <row r="23" spans="1:22" x14ac:dyDescent="0.2">
      <c r="B23" s="45"/>
    </row>
    <row r="24" spans="1:22" x14ac:dyDescent="0.2">
      <c r="A24" s="3" t="s">
        <v>57</v>
      </c>
      <c r="B24" s="45"/>
    </row>
    <row r="25" spans="1:22" x14ac:dyDescent="0.2">
      <c r="A25" s="2" t="s">
        <v>58</v>
      </c>
      <c r="B25" s="44" t="s">
        <v>59</v>
      </c>
      <c r="C25" s="2" t="s">
        <v>55</v>
      </c>
      <c r="D25" s="2" t="s">
        <v>60</v>
      </c>
      <c r="E25" s="2" t="s">
        <v>52</v>
      </c>
      <c r="F25" s="2" t="s">
        <v>61</v>
      </c>
      <c r="G25" s="2" t="s">
        <v>54</v>
      </c>
      <c r="H25" s="2" t="s">
        <v>87</v>
      </c>
      <c r="I25" s="2" t="s">
        <v>51</v>
      </c>
      <c r="J25" s="2" t="s">
        <v>138</v>
      </c>
      <c r="K25" s="2" t="s">
        <v>136</v>
      </c>
      <c r="L25" s="2" t="s">
        <v>221</v>
      </c>
      <c r="M25" s="2" t="s">
        <v>379</v>
      </c>
      <c r="N25" s="2" t="s">
        <v>1059</v>
      </c>
      <c r="O25" s="2" t="s">
        <v>1060</v>
      </c>
      <c r="P25" s="2" t="s">
        <v>1061</v>
      </c>
      <c r="Q25" s="2" t="s">
        <v>1062</v>
      </c>
      <c r="R25" s="2" t="s">
        <v>1063</v>
      </c>
      <c r="S25" s="2" t="s">
        <v>1064</v>
      </c>
      <c r="T25" s="2" t="s">
        <v>1065</v>
      </c>
      <c r="U25" s="2" t="s">
        <v>380</v>
      </c>
      <c r="V25" s="2" t="s">
        <v>1128</v>
      </c>
    </row>
    <row r="26" spans="1:22" x14ac:dyDescent="0.2">
      <c r="A26" t="str">
        <f>B1</f>
        <v>synthetic natural gas from biological methanation, transported by pipeline, produced by Electrolysis, PEM using water and electricity from grid, and carbon from DAC</v>
      </c>
      <c r="B26" s="45">
        <v>1</v>
      </c>
      <c r="C26" t="str">
        <f>B7</f>
        <v>kilogram</v>
      </c>
      <c r="E26" t="str">
        <f>B4</f>
        <v>CH</v>
      </c>
      <c r="F26" t="s">
        <v>62</v>
      </c>
      <c r="G26" t="str">
        <f>B6</f>
        <v>synthetic natural gas, from pipeline</v>
      </c>
      <c r="K26" t="str">
        <f>B1</f>
        <v>synthetic natural gas from biological methanation, transported by pipeline, produced by Electrolysis, PEM using water and electricity from grid, and carbon from DAC</v>
      </c>
    </row>
    <row r="27" spans="1:22" x14ac:dyDescent="0.2">
      <c r="A27" t="str">
        <f>VLOOKUP(J27,'dataset mapping'!$A$4:$E$69,2,0)</f>
        <v>methane, from biological methanation, with carbon from atmospheric CO2 capture</v>
      </c>
      <c r="B27" s="52">
        <v>1</v>
      </c>
      <c r="C27" t="str">
        <f>VLOOKUP(J27,'dataset mapping'!$A$4:$E$69,5,0)</f>
        <v>kilogram</v>
      </c>
      <c r="E27" t="str">
        <f>VLOOKUP(J27,'dataset mapping'!$A$4:$E$69,4,0)</f>
        <v>CH</v>
      </c>
      <c r="F27" t="s">
        <v>86</v>
      </c>
      <c r="G27" t="str">
        <f>VLOOKUP(J27,'dataset mapping'!$A$4:$E$69,3,0)</f>
        <v>methane, from biological methanation</v>
      </c>
      <c r="H27" t="s">
        <v>76</v>
      </c>
      <c r="I27" t="s">
        <v>1055</v>
      </c>
      <c r="J27" t="s">
        <v>861</v>
      </c>
      <c r="K27" t="str">
        <f>B1</f>
        <v>synthetic natural gas from biological methanation, transported by pipeline, produced by Electrolysis, PEM using water and electricity from grid, and carbon from DAC</v>
      </c>
      <c r="L27">
        <f t="shared" ref="L27:L38" si="0">IF(OR(B27&lt;0,B27=0),1,2)</f>
        <v>2</v>
      </c>
      <c r="M27">
        <f t="shared" ref="M27:M38" si="1">IF(L27=2,LN(B27),"")</f>
        <v>0</v>
      </c>
      <c r="N27">
        <v>1.5</v>
      </c>
      <c r="O27">
        <v>1.2</v>
      </c>
      <c r="P27">
        <v>1.5</v>
      </c>
      <c r="Q27">
        <v>1.1000000000000001</v>
      </c>
      <c r="R27">
        <v>2</v>
      </c>
      <c r="S27">
        <v>1.2</v>
      </c>
      <c r="T27">
        <v>1.05</v>
      </c>
      <c r="U27">
        <f t="shared" ref="U27:U38" si="2">LN(SQRT(EXP(
SQRT(
+POWER(LN(N27),2)
+POWER(LN(O27),2)
+POWER(LN(P27),2)
+POWER(LN(Q27),2)
+POWER(LN(R27),2)
+POWER(LN(S27),2)
+POWER(LN(T27),2)
)
)))</f>
        <v>0.47095746419981693</v>
      </c>
    </row>
    <row r="28" spans="1:22" x14ac:dyDescent="0.2">
      <c r="A28" t="str">
        <f>VLOOKUP(J28,'dataset mapping'!$A$4:$E$69,2,0)</f>
        <v>methane, from biological methanation, with carbon from atmospheric CO2 capture</v>
      </c>
      <c r="B28" s="52">
        <f>SUM(B36:B37)</f>
        <v>9.5000000000000005E-5</v>
      </c>
      <c r="C28" t="str">
        <f>VLOOKUP(J28,'dataset mapping'!$A$4:$E$69,5,0)</f>
        <v>kilogram</v>
      </c>
      <c r="E28" t="str">
        <f>VLOOKUP(J28,'dataset mapping'!$A$4:$E$69,4,0)</f>
        <v>CH</v>
      </c>
      <c r="F28" t="s">
        <v>86</v>
      </c>
      <c r="G28" t="str">
        <f>VLOOKUP(J28,'dataset mapping'!$A$4:$E$69,3,0)</f>
        <v>methane, from biological methanation</v>
      </c>
      <c r="H28" t="s">
        <v>159</v>
      </c>
      <c r="I28" t="s">
        <v>161</v>
      </c>
      <c r="J28" t="s">
        <v>861</v>
      </c>
      <c r="K28" t="str">
        <f>B1</f>
        <v>synthetic natural gas from biological methanation, transported by pipeline, produced by Electrolysis, PEM using water and electricity from grid, and carbon from DAC</v>
      </c>
      <c r="L28">
        <f t="shared" si="0"/>
        <v>2</v>
      </c>
      <c r="M28">
        <f t="shared" si="1"/>
        <v>-9.2616336663637338</v>
      </c>
      <c r="N28">
        <v>1.5</v>
      </c>
      <c r="O28">
        <v>1.2</v>
      </c>
      <c r="P28">
        <v>1.5</v>
      </c>
      <c r="Q28">
        <v>1.1000000000000001</v>
      </c>
      <c r="R28">
        <v>2</v>
      </c>
      <c r="S28">
        <v>1.2</v>
      </c>
      <c r="T28">
        <v>1.05</v>
      </c>
      <c r="U28">
        <f t="shared" si="2"/>
        <v>0.47095746419981693</v>
      </c>
    </row>
    <row r="29" spans="1:22" x14ac:dyDescent="0.2">
      <c r="A29" t="str">
        <f>VLOOKUP(J29,'dataset mapping'!$A$4:$E$69,2,0)</f>
        <v>pipeline construction, natural gas, high pressure distribution network</v>
      </c>
      <c r="B29" s="52">
        <f>0.0000000000625*SUM(B27:B28)*B13*0.29</f>
        <v>9.0633609375000005E-9</v>
      </c>
      <c r="C29" t="str">
        <f>VLOOKUP(J29,'dataset mapping'!$A$4:$E$69,5,0)</f>
        <v>kilometer</v>
      </c>
      <c r="E29" t="str">
        <f>VLOOKUP(J29,'dataset mapping'!$A$4:$E$69,4,0)</f>
        <v>CH</v>
      </c>
      <c r="F29" t="s">
        <v>86</v>
      </c>
      <c r="G29" t="str">
        <f>VLOOKUP(J29,'dataset mapping'!$A$4:$E$69,3,0)</f>
        <v>pipeline, natural gas, high pressure distribution network</v>
      </c>
      <c r="H29" t="s">
        <v>88</v>
      </c>
      <c r="I29" t="s">
        <v>1034</v>
      </c>
      <c r="J29" t="s">
        <v>398</v>
      </c>
      <c r="K29" t="str">
        <f>B1</f>
        <v>synthetic natural gas from biological methanation, transported by pipeline, produced by Electrolysis, PEM using water and electricity from grid, and carbon from DAC</v>
      </c>
      <c r="L29">
        <f t="shared" si="0"/>
        <v>2</v>
      </c>
      <c r="M29">
        <f t="shared" si="1"/>
        <v>-18.519025821277832</v>
      </c>
      <c r="N29">
        <v>1.5</v>
      </c>
      <c r="O29">
        <v>1.2</v>
      </c>
      <c r="P29">
        <v>1.5</v>
      </c>
      <c r="Q29">
        <v>1.1000000000000001</v>
      </c>
      <c r="R29">
        <v>2</v>
      </c>
      <c r="S29">
        <v>1.2</v>
      </c>
      <c r="T29">
        <v>3</v>
      </c>
      <c r="U29">
        <f t="shared" si="2"/>
        <v>0.72314801614797197</v>
      </c>
    </row>
    <row r="30" spans="1:22" x14ac:dyDescent="0.2">
      <c r="A30" t="s">
        <v>1032</v>
      </c>
      <c r="B30" s="52">
        <f>0.0000000000625*SUM(B27:B28)*B13*0.71</f>
        <v>2.2189607812499999E-8</v>
      </c>
      <c r="C30" t="str">
        <f>VLOOKUP(J30,'dataset mapping'!$A$4:$E$69,5,0)</f>
        <v>kilometer</v>
      </c>
      <c r="E30" t="str">
        <f>VLOOKUP(J30,'dataset mapping'!$A$4:$E$69,4,0)</f>
        <v>CH</v>
      </c>
      <c r="F30" t="s">
        <v>86</v>
      </c>
      <c r="G30" t="s">
        <v>1033</v>
      </c>
      <c r="H30" t="s">
        <v>88</v>
      </c>
      <c r="I30" t="s">
        <v>1034</v>
      </c>
      <c r="J30" t="s">
        <v>398</v>
      </c>
      <c r="K30" t="str">
        <f>B1</f>
        <v>synthetic natural gas from biological methanation, transported by pipeline, produced by Electrolysis, PEM using water and electricity from grid, and carbon from DAC</v>
      </c>
      <c r="L30">
        <f t="shared" si="0"/>
        <v>2</v>
      </c>
      <c r="M30">
        <f t="shared" si="1"/>
        <v>-17.623641774222992</v>
      </c>
      <c r="N30">
        <v>1.5</v>
      </c>
      <c r="O30">
        <v>1.2</v>
      </c>
      <c r="P30">
        <v>1.5</v>
      </c>
      <c r="Q30">
        <v>1.1000000000000001</v>
      </c>
      <c r="R30">
        <v>2</v>
      </c>
      <c r="S30">
        <v>1.2</v>
      </c>
      <c r="T30">
        <v>3</v>
      </c>
      <c r="U30">
        <f t="shared" si="2"/>
        <v>0.72314801614797197</v>
      </c>
    </row>
    <row r="31" spans="1:22" x14ac:dyDescent="0.2">
      <c r="A31" t="s">
        <v>130</v>
      </c>
      <c r="B31" s="52">
        <v>2.82E-3</v>
      </c>
      <c r="C31" t="s">
        <v>92</v>
      </c>
      <c r="E31" t="s">
        <v>64</v>
      </c>
      <c r="F31" t="s">
        <v>86</v>
      </c>
      <c r="G31" t="s">
        <v>93</v>
      </c>
      <c r="H31" t="s">
        <v>78</v>
      </c>
      <c r="I31" t="s">
        <v>855</v>
      </c>
      <c r="J31" t="s">
        <v>67</v>
      </c>
      <c r="K31" t="str">
        <f>B1</f>
        <v>synthetic natural gas from biological methanation, transported by pipeline, produced by Electrolysis, PEM using water and electricity from grid, and carbon from DAC</v>
      </c>
      <c r="L31">
        <f t="shared" si="0"/>
        <v>2</v>
      </c>
      <c r="M31">
        <f t="shared" si="1"/>
        <v>-5.8710183940321148</v>
      </c>
      <c r="N31">
        <v>1.5</v>
      </c>
      <c r="O31">
        <v>1.2</v>
      </c>
      <c r="P31">
        <v>1.5</v>
      </c>
      <c r="Q31">
        <v>1.1000000000000001</v>
      </c>
      <c r="R31">
        <v>2</v>
      </c>
      <c r="S31">
        <v>1.2</v>
      </c>
      <c r="T31">
        <v>1.05</v>
      </c>
      <c r="U31">
        <f t="shared" si="2"/>
        <v>0.47095746419981693</v>
      </c>
    </row>
    <row r="32" spans="1:22" x14ac:dyDescent="0.2">
      <c r="A32" t="s">
        <v>1161</v>
      </c>
      <c r="B32" s="52">
        <v>6.1873999999999998E-2</v>
      </c>
      <c r="C32" t="s">
        <v>65</v>
      </c>
      <c r="E32" t="s">
        <v>64</v>
      </c>
      <c r="F32" t="s">
        <v>86</v>
      </c>
      <c r="G32" t="s">
        <v>66</v>
      </c>
      <c r="I32" t="s">
        <v>1159</v>
      </c>
      <c r="K32" t="str">
        <f>B1</f>
        <v>synthetic natural gas from biological methanation, transported by pipeline, produced by Electrolysis, PEM using water and electricity from grid, and carbon from DAC</v>
      </c>
      <c r="L32">
        <f t="shared" ref="L32" si="3">IF(OR(B32&lt;0,B32=0),1,2)</f>
        <v>2</v>
      </c>
      <c r="M32">
        <f t="shared" ref="M32" si="4">IF(L32=2,LN(B32),"")</f>
        <v>-2.7826552198400445</v>
      </c>
      <c r="N32">
        <v>1.5</v>
      </c>
      <c r="O32">
        <v>1.2</v>
      </c>
      <c r="P32">
        <v>1.5</v>
      </c>
      <c r="Q32">
        <v>1.1000000000000001</v>
      </c>
      <c r="R32">
        <v>2</v>
      </c>
      <c r="S32">
        <v>1.2</v>
      </c>
      <c r="T32">
        <v>1.05</v>
      </c>
      <c r="U32">
        <f t="shared" ref="U32" si="5">LN(SQRT(EXP(
SQRT(
+POWER(LN(N32),2)
+POWER(LN(O32),2)
+POWER(LN(P32),2)
+POWER(LN(Q32),2)
+POWER(LN(R32),2)
+POWER(LN(S32),2)
+POWER(LN(T32),2)
)
)))</f>
        <v>0.47095746419981693</v>
      </c>
    </row>
    <row r="33" spans="1:21" x14ac:dyDescent="0.2">
      <c r="A33" t="s">
        <v>371</v>
      </c>
      <c r="B33" s="52">
        <f>5.21708333333333E-06*B22</f>
        <v>5.2170833333333303E-6</v>
      </c>
      <c r="C33" t="s">
        <v>56</v>
      </c>
      <c r="D33" t="s">
        <v>100</v>
      </c>
      <c r="F33" t="s">
        <v>99</v>
      </c>
      <c r="H33" t="s">
        <v>131</v>
      </c>
      <c r="I33" t="s">
        <v>399</v>
      </c>
      <c r="K33" t="str">
        <f>B1</f>
        <v>synthetic natural gas from biological methanation, transported by pipeline, produced by Electrolysis, PEM using water and electricity from grid, and carbon from DAC</v>
      </c>
      <c r="L33">
        <f t="shared" si="0"/>
        <v>2</v>
      </c>
      <c r="M33">
        <f t="shared" si="1"/>
        <v>-12.163572060631363</v>
      </c>
      <c r="N33">
        <v>1.5</v>
      </c>
      <c r="O33">
        <v>1.2</v>
      </c>
      <c r="P33">
        <v>1.5</v>
      </c>
      <c r="Q33">
        <v>1.1000000000000001</v>
      </c>
      <c r="R33">
        <v>2</v>
      </c>
      <c r="S33">
        <v>1.2</v>
      </c>
      <c r="T33">
        <v>1.05</v>
      </c>
      <c r="U33">
        <f t="shared" si="2"/>
        <v>0.47095746419981693</v>
      </c>
    </row>
    <row r="34" spans="1:21" x14ac:dyDescent="0.2">
      <c r="A34" t="s">
        <v>316</v>
      </c>
      <c r="B34" s="52">
        <f>5.21708333333333E-06*(1-B22)</f>
        <v>0</v>
      </c>
      <c r="C34" t="s">
        <v>56</v>
      </c>
      <c r="D34" t="s">
        <v>100</v>
      </c>
      <c r="F34" t="s">
        <v>99</v>
      </c>
      <c r="H34" t="s">
        <v>131</v>
      </c>
      <c r="I34" t="s">
        <v>399</v>
      </c>
      <c r="K34" t="str">
        <f>B1</f>
        <v>synthetic natural gas from biological methanation, transported by pipeline, produced by Electrolysis, PEM using water and electricity from grid, and carbon from DAC</v>
      </c>
      <c r="L34">
        <v>0</v>
      </c>
      <c r="M34" t="str">
        <f t="shared" si="1"/>
        <v/>
      </c>
    </row>
    <row r="35" spans="1:21" x14ac:dyDescent="0.2">
      <c r="A35" t="s">
        <v>372</v>
      </c>
      <c r="B35" s="52">
        <v>5.97180555555556E-10</v>
      </c>
      <c r="C35" t="s">
        <v>56</v>
      </c>
      <c r="D35" t="s">
        <v>100</v>
      </c>
      <c r="F35" t="s">
        <v>99</v>
      </c>
      <c r="H35" t="s">
        <v>131</v>
      </c>
      <c r="I35" t="s">
        <v>399</v>
      </c>
      <c r="K35" t="str">
        <f>B1</f>
        <v>synthetic natural gas from biological methanation, transported by pipeline, produced by Electrolysis, PEM using water and electricity from grid, and carbon from DAC</v>
      </c>
      <c r="L35">
        <f t="shared" si="0"/>
        <v>2</v>
      </c>
      <c r="M35">
        <f t="shared" si="1"/>
        <v>-21.238801610144623</v>
      </c>
      <c r="N35">
        <v>1.5</v>
      </c>
      <c r="O35">
        <v>1.2</v>
      </c>
      <c r="P35">
        <v>1.5</v>
      </c>
      <c r="Q35">
        <v>1.1000000000000001</v>
      </c>
      <c r="R35">
        <v>2</v>
      </c>
      <c r="S35">
        <v>1.2</v>
      </c>
      <c r="T35">
        <v>1.5</v>
      </c>
      <c r="U35">
        <f t="shared" si="2"/>
        <v>0.51215847306170115</v>
      </c>
    </row>
    <row r="36" spans="1:21" x14ac:dyDescent="0.2">
      <c r="A36" t="s">
        <v>373</v>
      </c>
      <c r="B36" s="52">
        <f>B27*B20*(B13/1000)*B22</f>
        <v>9.5000000000000005E-5</v>
      </c>
      <c r="C36" t="s">
        <v>56</v>
      </c>
      <c r="D36" t="s">
        <v>100</v>
      </c>
      <c r="F36" t="s">
        <v>99</v>
      </c>
      <c r="H36" t="s">
        <v>131</v>
      </c>
      <c r="I36" t="s">
        <v>1221</v>
      </c>
      <c r="K36" t="str">
        <f>B1</f>
        <v>synthetic natural gas from biological methanation, transported by pipeline, produced by Electrolysis, PEM using water and electricity from grid, and carbon from DAC</v>
      </c>
      <c r="L36">
        <f t="shared" si="0"/>
        <v>2</v>
      </c>
      <c r="M36">
        <f t="shared" si="1"/>
        <v>-9.2616336663637338</v>
      </c>
      <c r="N36">
        <v>1.5</v>
      </c>
      <c r="O36">
        <v>1.2</v>
      </c>
      <c r="P36">
        <v>1.5</v>
      </c>
      <c r="Q36">
        <v>1.1000000000000001</v>
      </c>
      <c r="R36">
        <v>2</v>
      </c>
      <c r="S36">
        <v>1.2</v>
      </c>
      <c r="T36">
        <v>1.5</v>
      </c>
      <c r="U36">
        <f t="shared" si="2"/>
        <v>0.51215847306170115</v>
      </c>
    </row>
    <row r="37" spans="1:21" x14ac:dyDescent="0.2">
      <c r="A37" t="s">
        <v>320</v>
      </c>
      <c r="B37" s="52">
        <f>B27*B20*(B13/1000)*(1-B22)</f>
        <v>0</v>
      </c>
      <c r="C37" t="s">
        <v>56</v>
      </c>
      <c r="D37" t="s">
        <v>100</v>
      </c>
      <c r="F37" t="s">
        <v>99</v>
      </c>
      <c r="H37" t="s">
        <v>131</v>
      </c>
      <c r="I37" t="s">
        <v>1221</v>
      </c>
      <c r="K37" t="str">
        <f>B1</f>
        <v>synthetic natural gas from biological methanation, transported by pipeline, produced by Electrolysis, PEM using water and electricity from grid, and carbon from DAC</v>
      </c>
      <c r="L37">
        <v>0</v>
      </c>
      <c r="M37" t="str">
        <f t="shared" si="1"/>
        <v/>
      </c>
    </row>
    <row r="38" spans="1:21" x14ac:dyDescent="0.2">
      <c r="A38" t="s">
        <v>374</v>
      </c>
      <c r="B38" s="52">
        <v>1.8050000000000001E-6</v>
      </c>
      <c r="C38" t="s">
        <v>56</v>
      </c>
      <c r="D38" t="s">
        <v>100</v>
      </c>
      <c r="F38" t="s">
        <v>99</v>
      </c>
      <c r="H38" t="s">
        <v>131</v>
      </c>
      <c r="I38" t="s">
        <v>399</v>
      </c>
      <c r="K38" t="str">
        <f>B1</f>
        <v>synthetic natural gas from biological methanation, transported by pipeline, produced by Electrolysis, PEM using water and electricity from grid, and carbon from DAC</v>
      </c>
      <c r="L38">
        <f t="shared" si="0"/>
        <v>2</v>
      </c>
      <c r="M38">
        <f t="shared" si="1"/>
        <v>-13.22494996617943</v>
      </c>
      <c r="N38">
        <v>1.5</v>
      </c>
      <c r="O38">
        <v>1.2</v>
      </c>
      <c r="P38">
        <v>1.5</v>
      </c>
      <c r="Q38">
        <v>1.1000000000000001</v>
      </c>
      <c r="R38">
        <v>2</v>
      </c>
      <c r="S38">
        <v>1.2</v>
      </c>
      <c r="T38">
        <v>1.5</v>
      </c>
      <c r="U38">
        <f t="shared" si="2"/>
        <v>0.51215847306170115</v>
      </c>
    </row>
    <row r="39" spans="1:21" x14ac:dyDescent="0.2">
      <c r="B39" s="45"/>
    </row>
    <row r="40" spans="1:21" x14ac:dyDescent="0.2">
      <c r="A40" s="2" t="s">
        <v>50</v>
      </c>
      <c r="B40" s="44" t="str">
        <f>B50&amp;", transported by "&amp;B51&amp;", produced by "&amp;B55&amp;" using "&amp;B56&amp;" from "&amp;B57&amp;", and carbon from "&amp;B58</f>
        <v>synthetic natural gas from biological methanation, transported by pipeline, produced by Electrolysis, PEM using water and electricity from grid, and carbon from MSWI</v>
      </c>
    </row>
    <row r="41" spans="1:21" x14ac:dyDescent="0.2">
      <c r="A41" t="s">
        <v>51</v>
      </c>
      <c r="B41" s="45" t="str">
        <f>"This dataset represents the supply of 1 kilogram of synthetic natural gas The gas is transported by "&amp;B51&amp;" over "&amp;B52&amp;" km from regional storage. "&amp;" The "&amp;B50&amp;" is produced by  "&amp;B55&amp;", with "&amp;B56&amp;" from "&amp;B57&amp;" as feedstock. "&amp;A59&amp;": "&amp;(B59*100)&amp;"%. "&amp;A60&amp;": "&amp;(B60*100)&amp;".  For more information, refer to: "&amp;B42</f>
        <v>This dataset represents the supply of 1 kilogram of synthetic natural gas The gas is transported by pipeline over 500 km from regional storage.  The synthetic natural gas from biological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42" spans="1:21" x14ac:dyDescent="0.2">
      <c r="A42" t="s">
        <v>63</v>
      </c>
      <c r="B42" s="45" t="s">
        <v>1223</v>
      </c>
    </row>
    <row r="43" spans="1:21" x14ac:dyDescent="0.2">
      <c r="A43" t="s">
        <v>52</v>
      </c>
      <c r="B43" s="45" t="s">
        <v>64</v>
      </c>
    </row>
    <row r="44" spans="1:21" x14ac:dyDescent="0.2">
      <c r="A44" t="s">
        <v>48</v>
      </c>
      <c r="B44" s="45">
        <v>178</v>
      </c>
    </row>
    <row r="45" spans="1:21" x14ac:dyDescent="0.2">
      <c r="A45" t="s">
        <v>54</v>
      </c>
      <c r="B45" s="45" t="s">
        <v>1157</v>
      </c>
    </row>
    <row r="46" spans="1:21" x14ac:dyDescent="0.2">
      <c r="A46" t="s">
        <v>55</v>
      </c>
      <c r="B46" s="45" t="s">
        <v>56</v>
      </c>
    </row>
    <row r="47" spans="1:21" x14ac:dyDescent="0.2">
      <c r="A47" t="s">
        <v>0</v>
      </c>
      <c r="B47" s="45" t="str">
        <f>INDEX(overview!$B$4:$R$338,MATCH('synthetic nat gas - supply'!B44,overview!$A$4:$A$338,0),MATCH('synthetic nat gas - supply'!A47,overview!$B$3:$R$3,0))</f>
        <v>Switzerland</v>
      </c>
    </row>
    <row r="48" spans="1:21" x14ac:dyDescent="0.2">
      <c r="A48" t="s">
        <v>1</v>
      </c>
      <c r="B48" s="45">
        <f>INDEX(overview!$B$4:$R$338,MATCH('synthetic nat gas - supply'!B44,overview!$A$4:$A$338,0),MATCH('synthetic nat gas - supply'!A48,overview!$B$3:$R$3,0))</f>
        <v>2020</v>
      </c>
    </row>
    <row r="49" spans="1:22" x14ac:dyDescent="0.2">
      <c r="A49" t="s">
        <v>2</v>
      </c>
      <c r="B49" s="45" t="s">
        <v>1168</v>
      </c>
    </row>
    <row r="50" spans="1:22" x14ac:dyDescent="0.2">
      <c r="A50" t="s">
        <v>5</v>
      </c>
      <c r="B50" s="45" t="str">
        <f>INDEX(overview!$B$4:$R$338,MATCH('synthetic nat gas - supply'!B44,overview!$A$4:$A$338,0),MATCH('synthetic nat gas - supply'!A50,overview!$B$3:$R$3,0))</f>
        <v>synthetic natural gas from biological methanation</v>
      </c>
    </row>
    <row r="51" spans="1:22" x14ac:dyDescent="0.2">
      <c r="A51" t="s">
        <v>4</v>
      </c>
      <c r="B51" s="45" t="str">
        <f>INDEX(overview!$B$4:$R$338,MATCH('synthetic nat gas - supply'!B44,overview!$A$4:$A$338,0),MATCH('synthetic nat gas - supply'!A51,overview!$B$3:$R$3,0))</f>
        <v>pipeline</v>
      </c>
    </row>
    <row r="52" spans="1:22" x14ac:dyDescent="0.2">
      <c r="A52" t="s">
        <v>38</v>
      </c>
      <c r="B52" s="45">
        <f>INDEX(overview!$B$4:$R$338,MATCH('synthetic nat gas - supply'!B44,overview!$A$4:$A$338,0),MATCH('synthetic nat gas - supply'!A52,overview!$B$3:$R$3,0))</f>
        <v>500</v>
      </c>
    </row>
    <row r="53" spans="1:22" x14ac:dyDescent="0.2">
      <c r="A53" t="s">
        <v>12</v>
      </c>
      <c r="B53" s="45" t="str">
        <f>INDEX(overview!$B$4:$R$338,MATCH('synthetic nat gas - supply'!B44,overview!$A$4:$A$338,0),MATCH('synthetic nat gas - supply'!A53,overview!$B$3:$R$3,0))</f>
        <v>Above surface pressure vessel</v>
      </c>
    </row>
    <row r="54" spans="1:22" x14ac:dyDescent="0.2">
      <c r="A54" t="s">
        <v>34</v>
      </c>
      <c r="B54" s="45" t="str">
        <f>INDEX(overview!$B$4:$R$338,MATCH('synthetic nat gas - supply'!B44,overview!$A$4:$A$338,0),MATCH('synthetic nat gas - supply'!A54,overview!$B$3:$R$3,0))</f>
        <v>biological</v>
      </c>
    </row>
    <row r="55" spans="1:22" x14ac:dyDescent="0.2">
      <c r="A55" t="s">
        <v>15</v>
      </c>
      <c r="B55" s="45" t="str">
        <f>INDEX(overview!$B$4:$R$338,MATCH('synthetic nat gas - supply'!B44,overview!$A$4:$A$338,0),MATCH('synthetic nat gas - supply'!A55,overview!$B$3:$R$3,0))</f>
        <v>Electrolysis, PEM</v>
      </c>
    </row>
    <row r="56" spans="1:22" x14ac:dyDescent="0.2">
      <c r="A56" t="s">
        <v>14</v>
      </c>
      <c r="B56" s="45" t="str">
        <f>INDEX(overview!$B$4:$R$338,MATCH('synthetic nat gas - supply'!B44,overview!$A$4:$A$338,0),MATCH('synthetic nat gas - supply'!A56,overview!$B$3:$R$3,0))</f>
        <v>water and electricity</v>
      </c>
    </row>
    <row r="57" spans="1:22" x14ac:dyDescent="0.2">
      <c r="A57" t="s">
        <v>26</v>
      </c>
      <c r="B57" s="45" t="str">
        <f>INDEX(overview!$B$4:$R$338,MATCH('synthetic nat gas - supply'!B44,overview!$A$4:$A$338,0),MATCH('synthetic nat gas - supply'!A57,overview!$B$3:$R$3,0))</f>
        <v>grid</v>
      </c>
    </row>
    <row r="58" spans="1:22" x14ac:dyDescent="0.2">
      <c r="A58" t="s">
        <v>29</v>
      </c>
      <c r="B58" s="45" t="str">
        <f>INDEX(overview!$B$4:$R$338,MATCH('synthetic nat gas - supply'!B44,overview!$A$4:$A$338,0),MATCH('synthetic nat gas - supply'!A58,overview!$B$3:$R$3,0))</f>
        <v>MSWI</v>
      </c>
    </row>
    <row r="59" spans="1:22" x14ac:dyDescent="0.2">
      <c r="A59" t="s">
        <v>45</v>
      </c>
      <c r="B59" s="69">
        <v>1.9000000000000001E-4</v>
      </c>
    </row>
    <row r="60" spans="1:22" x14ac:dyDescent="0.2">
      <c r="A60" t="s">
        <v>1133</v>
      </c>
      <c r="B60" s="49">
        <v>0</v>
      </c>
    </row>
    <row r="61" spans="1:22" x14ac:dyDescent="0.2">
      <c r="A61" t="s">
        <v>82</v>
      </c>
      <c r="B61" s="46">
        <f>IF(B58&lt;&gt;0,VLOOKUP(B58,parameters!$A$26:$B$28,2,0),"")</f>
        <v>0.61363636363636365</v>
      </c>
    </row>
    <row r="62" spans="1:22" x14ac:dyDescent="0.2">
      <c r="B62" s="45"/>
    </row>
    <row r="63" spans="1:22" x14ac:dyDescent="0.2">
      <c r="A63" s="3" t="s">
        <v>57</v>
      </c>
      <c r="B63" s="45"/>
    </row>
    <row r="64" spans="1:22" x14ac:dyDescent="0.2">
      <c r="A64" s="2" t="s">
        <v>58</v>
      </c>
      <c r="B64" s="44" t="s">
        <v>59</v>
      </c>
      <c r="C64" s="2" t="s">
        <v>55</v>
      </c>
      <c r="D64" s="2" t="s">
        <v>60</v>
      </c>
      <c r="E64" s="2" t="s">
        <v>52</v>
      </c>
      <c r="F64" s="2" t="s">
        <v>61</v>
      </c>
      <c r="G64" s="2" t="s">
        <v>54</v>
      </c>
      <c r="H64" s="2" t="s">
        <v>87</v>
      </c>
      <c r="I64" s="2" t="s">
        <v>51</v>
      </c>
      <c r="J64" s="2" t="s">
        <v>138</v>
      </c>
      <c r="K64" s="2" t="s">
        <v>136</v>
      </c>
      <c r="L64" s="2" t="s">
        <v>221</v>
      </c>
      <c r="M64" s="2" t="s">
        <v>379</v>
      </c>
      <c r="N64" s="2" t="s">
        <v>1059</v>
      </c>
      <c r="O64" s="2" t="s">
        <v>1060</v>
      </c>
      <c r="P64" s="2" t="s">
        <v>1061</v>
      </c>
      <c r="Q64" s="2" t="s">
        <v>1062</v>
      </c>
      <c r="R64" s="2" t="s">
        <v>1063</v>
      </c>
      <c r="S64" s="2" t="s">
        <v>1064</v>
      </c>
      <c r="T64" s="2" t="s">
        <v>1065</v>
      </c>
      <c r="U64" s="2" t="s">
        <v>380</v>
      </c>
      <c r="V64" s="2" t="s">
        <v>1128</v>
      </c>
    </row>
    <row r="65" spans="1:21" x14ac:dyDescent="0.2">
      <c r="A65" t="str">
        <f>B40</f>
        <v>synthetic natural gas from biological methanation, transported by pipeline, produced by Electrolysis, PEM using water and electricity from grid, and carbon from MSWI</v>
      </c>
      <c r="B65" s="45">
        <v>1</v>
      </c>
      <c r="C65" t="str">
        <f>B46</f>
        <v>kilogram</v>
      </c>
      <c r="E65" t="str">
        <f>B43</f>
        <v>CH</v>
      </c>
      <c r="F65" t="s">
        <v>62</v>
      </c>
      <c r="G65" t="str">
        <f>B45</f>
        <v>synthetic natural gas, from pipeline</v>
      </c>
      <c r="K65" t="str">
        <f>B40</f>
        <v>synthetic natural gas from biological methanation, transported by pipeline, produced by Electrolysis, PEM using water and electricity from grid, and carbon from MSWI</v>
      </c>
    </row>
    <row r="66" spans="1:21" x14ac:dyDescent="0.2">
      <c r="A66" t="str">
        <f>VLOOKUP(J66,'dataset mapping'!$A$4:$E$69,2,0)</f>
        <v>methane, from biological methanation, with carbon from municipal waste incineration plant</v>
      </c>
      <c r="B66" s="52">
        <v>1</v>
      </c>
      <c r="C66" t="str">
        <f>VLOOKUP(J66,'dataset mapping'!$A$4:$E$69,5,0)</f>
        <v>kilogram</v>
      </c>
      <c r="E66" t="str">
        <f>VLOOKUP(J66,'dataset mapping'!$A$4:$E$69,4,0)</f>
        <v>CH</v>
      </c>
      <c r="F66" t="s">
        <v>86</v>
      </c>
      <c r="G66" t="str">
        <f>VLOOKUP(J66,'dataset mapping'!$A$4:$E$69,3,0)</f>
        <v>methane, from biological methanation</v>
      </c>
      <c r="H66" t="s">
        <v>76</v>
      </c>
      <c r="I66" t="s">
        <v>1055</v>
      </c>
      <c r="J66" t="s">
        <v>862</v>
      </c>
      <c r="K66" t="str">
        <f>B40</f>
        <v>synthetic natural gas from biological methanation, transported by pipeline, produced by Electrolysis, PEM using water and electricity from grid, and carbon from MSWI</v>
      </c>
      <c r="L66">
        <f t="shared" ref="L66:L72" si="6">IF(OR(B66&lt;0,B66=0),1,2)</f>
        <v>2</v>
      </c>
      <c r="M66">
        <f t="shared" ref="M66:M77" si="7">IF(L66=2,LN(B66),"")</f>
        <v>0</v>
      </c>
      <c r="N66">
        <v>1.5</v>
      </c>
      <c r="O66">
        <v>1.2</v>
      </c>
      <c r="P66">
        <v>1.5</v>
      </c>
      <c r="Q66">
        <v>1.1000000000000001</v>
      </c>
      <c r="R66">
        <v>2</v>
      </c>
      <c r="S66">
        <v>1.2</v>
      </c>
      <c r="T66">
        <v>1.05</v>
      </c>
      <c r="U66">
        <f t="shared" ref="U66:U72" si="8">LN(SQRT(EXP(
SQRT(
+POWER(LN(N66),2)
+POWER(LN(O66),2)
+POWER(LN(P66),2)
+POWER(LN(Q66),2)
+POWER(LN(R66),2)
+POWER(LN(S66),2)
+POWER(LN(T66),2)
)
)))</f>
        <v>0.47095746419981693</v>
      </c>
    </row>
    <row r="67" spans="1:21" x14ac:dyDescent="0.2">
      <c r="A67" t="str">
        <f>VLOOKUP(J67,'dataset mapping'!$A$4:$E$69,2,0)</f>
        <v>methane, from biological methanation, with carbon from municipal waste incineration plant</v>
      </c>
      <c r="B67" s="52">
        <f>SUM(B75:B76)</f>
        <v>9.5000000000000005E-5</v>
      </c>
      <c r="C67" t="str">
        <f>VLOOKUP(J67,'dataset mapping'!$A$4:$E$69,5,0)</f>
        <v>kilogram</v>
      </c>
      <c r="E67" t="str">
        <f>VLOOKUP(J67,'dataset mapping'!$A$4:$E$69,4,0)</f>
        <v>CH</v>
      </c>
      <c r="F67" t="s">
        <v>86</v>
      </c>
      <c r="G67" t="str">
        <f>VLOOKUP(J67,'dataset mapping'!$A$4:$E$69,3,0)</f>
        <v>methane, from biological methanation</v>
      </c>
      <c r="H67" t="s">
        <v>159</v>
      </c>
      <c r="I67" t="s">
        <v>161</v>
      </c>
      <c r="J67" t="s">
        <v>862</v>
      </c>
      <c r="K67" t="str">
        <f>B40</f>
        <v>synthetic natural gas from biological methanation, transported by pipeline, produced by Electrolysis, PEM using water and electricity from grid, and carbon from MSWI</v>
      </c>
      <c r="L67">
        <f t="shared" si="6"/>
        <v>2</v>
      </c>
      <c r="M67">
        <f t="shared" si="7"/>
        <v>-9.2616336663637338</v>
      </c>
      <c r="N67">
        <v>1.5</v>
      </c>
      <c r="O67">
        <v>1.2</v>
      </c>
      <c r="P67">
        <v>1.5</v>
      </c>
      <c r="Q67">
        <v>1.1000000000000001</v>
      </c>
      <c r="R67">
        <v>2</v>
      </c>
      <c r="S67">
        <v>1.2</v>
      </c>
      <c r="T67">
        <v>1.05</v>
      </c>
      <c r="U67">
        <f t="shared" si="8"/>
        <v>0.47095746419981693</v>
      </c>
    </row>
    <row r="68" spans="1:21" x14ac:dyDescent="0.2">
      <c r="A68" t="str">
        <f>VLOOKUP(J68,'dataset mapping'!$A$4:$E$69,2,0)</f>
        <v>pipeline construction, natural gas, high pressure distribution network</v>
      </c>
      <c r="B68" s="52">
        <f>0.0000000000625*SUM(B66:B67)*B52*0.29</f>
        <v>9.0633609375000005E-9</v>
      </c>
      <c r="C68" t="str">
        <f>VLOOKUP(J68,'dataset mapping'!$A$4:$E$69,5,0)</f>
        <v>kilometer</v>
      </c>
      <c r="E68" t="str">
        <f>VLOOKUP(J68,'dataset mapping'!$A$4:$E$69,4,0)</f>
        <v>CH</v>
      </c>
      <c r="F68" t="s">
        <v>86</v>
      </c>
      <c r="G68" t="str">
        <f>VLOOKUP(J68,'dataset mapping'!$A$4:$E$69,3,0)</f>
        <v>pipeline, natural gas, high pressure distribution network</v>
      </c>
      <c r="H68" t="s">
        <v>88</v>
      </c>
      <c r="I68" t="s">
        <v>1034</v>
      </c>
      <c r="J68" t="s">
        <v>398</v>
      </c>
      <c r="K68" t="str">
        <f>B40</f>
        <v>synthetic natural gas from biological methanation, transported by pipeline, produced by Electrolysis, PEM using water and electricity from grid, and carbon from MSWI</v>
      </c>
      <c r="L68">
        <f t="shared" si="6"/>
        <v>2</v>
      </c>
      <c r="M68">
        <f t="shared" si="7"/>
        <v>-18.519025821277832</v>
      </c>
      <c r="N68">
        <v>1.5</v>
      </c>
      <c r="O68">
        <v>1.2</v>
      </c>
      <c r="P68">
        <v>1.5</v>
      </c>
      <c r="Q68">
        <v>1.1000000000000001</v>
      </c>
      <c r="R68">
        <v>2</v>
      </c>
      <c r="S68">
        <v>1.2</v>
      </c>
      <c r="T68">
        <v>3</v>
      </c>
      <c r="U68">
        <f t="shared" si="8"/>
        <v>0.72314801614797197</v>
      </c>
    </row>
    <row r="69" spans="1:21" x14ac:dyDescent="0.2">
      <c r="A69" t="s">
        <v>1032</v>
      </c>
      <c r="B69" s="52">
        <f>0.0000000000625*SUM(B66:B67)*B52*0.71</f>
        <v>2.2189607812499999E-8</v>
      </c>
      <c r="C69" t="str">
        <f>VLOOKUP(J69,'dataset mapping'!$A$4:$E$69,5,0)</f>
        <v>kilometer</v>
      </c>
      <c r="E69" t="str">
        <f>VLOOKUP(J69,'dataset mapping'!$A$4:$E$69,4,0)</f>
        <v>CH</v>
      </c>
      <c r="F69" t="s">
        <v>86</v>
      </c>
      <c r="G69" t="s">
        <v>1033</v>
      </c>
      <c r="H69" t="s">
        <v>88</v>
      </c>
      <c r="I69" t="s">
        <v>1034</v>
      </c>
      <c r="J69" t="s">
        <v>398</v>
      </c>
      <c r="K69" t="str">
        <f>B40</f>
        <v>synthetic natural gas from biological methanation, transported by pipeline, produced by Electrolysis, PEM using water and electricity from grid, and carbon from MSWI</v>
      </c>
      <c r="L69">
        <f t="shared" si="6"/>
        <v>2</v>
      </c>
      <c r="M69">
        <f t="shared" si="7"/>
        <v>-17.623641774222992</v>
      </c>
      <c r="N69">
        <v>1.5</v>
      </c>
      <c r="O69">
        <v>1.2</v>
      </c>
      <c r="P69">
        <v>1.5</v>
      </c>
      <c r="Q69">
        <v>1.1000000000000001</v>
      </c>
      <c r="R69">
        <v>2</v>
      </c>
      <c r="S69">
        <v>1.2</v>
      </c>
      <c r="T69">
        <v>3</v>
      </c>
      <c r="U69">
        <f t="shared" si="8"/>
        <v>0.72314801614797197</v>
      </c>
    </row>
    <row r="70" spans="1:21" x14ac:dyDescent="0.2">
      <c r="A70" t="s">
        <v>130</v>
      </c>
      <c r="B70" s="52">
        <v>2.82E-3</v>
      </c>
      <c r="C70" t="s">
        <v>92</v>
      </c>
      <c r="E70" t="s">
        <v>64</v>
      </c>
      <c r="F70" t="s">
        <v>86</v>
      </c>
      <c r="G70" t="s">
        <v>93</v>
      </c>
      <c r="H70" t="s">
        <v>78</v>
      </c>
      <c r="I70" t="s">
        <v>855</v>
      </c>
      <c r="J70" t="s">
        <v>67</v>
      </c>
      <c r="K70" t="str">
        <f>B40</f>
        <v>synthetic natural gas from biological methanation, transported by pipeline, produced by Electrolysis, PEM using water and electricity from grid, and carbon from MSWI</v>
      </c>
      <c r="L70">
        <f t="shared" si="6"/>
        <v>2</v>
      </c>
      <c r="M70">
        <f t="shared" si="7"/>
        <v>-5.8710183940321148</v>
      </c>
      <c r="N70">
        <v>1.5</v>
      </c>
      <c r="O70">
        <v>1.2</v>
      </c>
      <c r="P70">
        <v>1.5</v>
      </c>
      <c r="Q70">
        <v>1.1000000000000001</v>
      </c>
      <c r="R70">
        <v>2</v>
      </c>
      <c r="S70">
        <v>1.2</v>
      </c>
      <c r="T70">
        <v>1.05</v>
      </c>
      <c r="U70">
        <f t="shared" si="8"/>
        <v>0.47095746419981693</v>
      </c>
    </row>
    <row r="71" spans="1:21" x14ac:dyDescent="0.2">
      <c r="A71" t="s">
        <v>1162</v>
      </c>
      <c r="B71" s="52">
        <v>6.1873999999999998E-2</v>
      </c>
      <c r="C71" t="s">
        <v>65</v>
      </c>
      <c r="E71" t="s">
        <v>64</v>
      </c>
      <c r="F71" t="s">
        <v>86</v>
      </c>
      <c r="G71" t="s">
        <v>66</v>
      </c>
      <c r="I71" t="s">
        <v>1159</v>
      </c>
      <c r="K71" t="str">
        <f>B40</f>
        <v>synthetic natural gas from biological methanation, transported by pipeline, produced by Electrolysis, PEM using water and electricity from grid, and carbon from MSWI</v>
      </c>
      <c r="L71">
        <f t="shared" si="6"/>
        <v>2</v>
      </c>
      <c r="M71">
        <f t="shared" si="7"/>
        <v>-2.7826552198400445</v>
      </c>
      <c r="N71">
        <v>1.5</v>
      </c>
      <c r="O71">
        <v>1.2</v>
      </c>
      <c r="P71">
        <v>1.5</v>
      </c>
      <c r="Q71">
        <v>1.1000000000000001</v>
      </c>
      <c r="R71">
        <v>2</v>
      </c>
      <c r="S71">
        <v>1.2</v>
      </c>
      <c r="T71">
        <v>1.05</v>
      </c>
      <c r="U71">
        <f t="shared" si="8"/>
        <v>0.47095746419981693</v>
      </c>
    </row>
    <row r="72" spans="1:21" x14ac:dyDescent="0.2">
      <c r="A72" t="s">
        <v>371</v>
      </c>
      <c r="B72" s="52">
        <f>5.21708333333333E-06*B61</f>
        <v>3.2013920454545435E-6</v>
      </c>
      <c r="C72" t="s">
        <v>56</v>
      </c>
      <c r="D72" t="s">
        <v>100</v>
      </c>
      <c r="F72" t="s">
        <v>99</v>
      </c>
      <c r="H72" t="s">
        <v>131</v>
      </c>
      <c r="I72" t="s">
        <v>399</v>
      </c>
      <c r="K72" t="str">
        <f>B40</f>
        <v>synthetic natural gas from biological methanation, transported by pipeline, produced by Electrolysis, PEM using water and electricity from grid, and carbon from MSWI</v>
      </c>
      <c r="L72">
        <f t="shared" si="6"/>
        <v>2</v>
      </c>
      <c r="M72">
        <f t="shared" si="7"/>
        <v>-12.651924828545296</v>
      </c>
      <c r="N72">
        <v>1.5</v>
      </c>
      <c r="O72">
        <v>1.2</v>
      </c>
      <c r="P72">
        <v>1.5</v>
      </c>
      <c r="Q72">
        <v>1.1000000000000001</v>
      </c>
      <c r="R72">
        <v>2</v>
      </c>
      <c r="S72">
        <v>1.2</v>
      </c>
      <c r="T72">
        <v>1.05</v>
      </c>
      <c r="U72">
        <f t="shared" si="8"/>
        <v>0.47095746419981693</v>
      </c>
    </row>
    <row r="73" spans="1:21" x14ac:dyDescent="0.2">
      <c r="A73" t="s">
        <v>316</v>
      </c>
      <c r="B73" s="52">
        <f>5.21708333333333E-06*(1-B61)</f>
        <v>2.0156912878787868E-6</v>
      </c>
      <c r="C73" t="s">
        <v>56</v>
      </c>
      <c r="D73" t="s">
        <v>100</v>
      </c>
      <c r="F73" t="s">
        <v>99</v>
      </c>
      <c r="H73" t="s">
        <v>131</v>
      </c>
      <c r="I73" t="s">
        <v>399</v>
      </c>
      <c r="K73" t="str">
        <f>B40</f>
        <v>synthetic natural gas from biological methanation, transported by pipeline, produced by Electrolysis, PEM using water and electricity from grid, and carbon from MSWI</v>
      </c>
      <c r="L73">
        <v>0</v>
      </c>
      <c r="M73" t="str">
        <f t="shared" si="7"/>
        <v/>
      </c>
    </row>
    <row r="74" spans="1:21" x14ac:dyDescent="0.2">
      <c r="A74" t="s">
        <v>372</v>
      </c>
      <c r="B74" s="52">
        <v>5.97180555555556E-10</v>
      </c>
      <c r="C74" t="s">
        <v>56</v>
      </c>
      <c r="D74" t="s">
        <v>100</v>
      </c>
      <c r="F74" t="s">
        <v>99</v>
      </c>
      <c r="H74" t="s">
        <v>131</v>
      </c>
      <c r="I74" t="s">
        <v>399</v>
      </c>
      <c r="K74" t="str">
        <f>B40</f>
        <v>synthetic natural gas from biological methanation, transported by pipeline, produced by Electrolysis, PEM using water and electricity from grid, and carbon from MSWI</v>
      </c>
      <c r="L74">
        <f t="shared" ref="L74:L75" si="9">IF(OR(B74&lt;0,B74=0),1,2)</f>
        <v>2</v>
      </c>
      <c r="M74">
        <f t="shared" si="7"/>
        <v>-21.238801610144623</v>
      </c>
      <c r="N74">
        <v>1.5</v>
      </c>
      <c r="O74">
        <v>1.2</v>
      </c>
      <c r="P74">
        <v>1.5</v>
      </c>
      <c r="Q74">
        <v>1.1000000000000001</v>
      </c>
      <c r="R74">
        <v>2</v>
      </c>
      <c r="S74">
        <v>1.2</v>
      </c>
      <c r="T74">
        <v>1.5</v>
      </c>
      <c r="U74">
        <f t="shared" ref="U74:U75" si="10">LN(SQRT(EXP(
SQRT(
+POWER(LN(N74),2)
+POWER(LN(O74),2)
+POWER(LN(P74),2)
+POWER(LN(Q74),2)
+POWER(LN(R74),2)
+POWER(LN(S74),2)
+POWER(LN(T74),2)
)
)))</f>
        <v>0.51215847306170115</v>
      </c>
    </row>
    <row r="75" spans="1:21" x14ac:dyDescent="0.2">
      <c r="A75" t="s">
        <v>373</v>
      </c>
      <c r="B75" s="52">
        <f>B66*B59*(B52/1000)*B61</f>
        <v>5.8295454545454549E-5</v>
      </c>
      <c r="C75" t="s">
        <v>56</v>
      </c>
      <c r="D75" t="s">
        <v>100</v>
      </c>
      <c r="F75" t="s">
        <v>99</v>
      </c>
      <c r="H75" t="s">
        <v>131</v>
      </c>
      <c r="I75" t="s">
        <v>1221</v>
      </c>
      <c r="K75" t="str">
        <f>B40</f>
        <v>synthetic natural gas from biological methanation, transported by pipeline, produced by Electrolysis, PEM using water and electricity from grid, and carbon from MSWI</v>
      </c>
      <c r="L75">
        <f t="shared" si="9"/>
        <v>2</v>
      </c>
      <c r="M75">
        <f t="shared" si="7"/>
        <v>-9.7499864342776661</v>
      </c>
      <c r="N75">
        <v>1.5</v>
      </c>
      <c r="O75">
        <v>1.2</v>
      </c>
      <c r="P75">
        <v>1.5</v>
      </c>
      <c r="Q75">
        <v>1.1000000000000001</v>
      </c>
      <c r="R75">
        <v>2</v>
      </c>
      <c r="S75">
        <v>1.2</v>
      </c>
      <c r="T75">
        <v>1.5</v>
      </c>
      <c r="U75">
        <f t="shared" si="10"/>
        <v>0.51215847306170115</v>
      </c>
    </row>
    <row r="76" spans="1:21" x14ac:dyDescent="0.2">
      <c r="A76" t="s">
        <v>320</v>
      </c>
      <c r="B76" s="52">
        <f>B66*B59*(B52/1000)*(1-B61)</f>
        <v>3.6704545454545456E-5</v>
      </c>
      <c r="C76" t="s">
        <v>56</v>
      </c>
      <c r="D76" t="s">
        <v>100</v>
      </c>
      <c r="F76" t="s">
        <v>99</v>
      </c>
      <c r="H76" t="s">
        <v>131</v>
      </c>
      <c r="I76" t="s">
        <v>1221</v>
      </c>
      <c r="K76" t="str">
        <f>B40</f>
        <v>synthetic natural gas from biological methanation, transported by pipeline, produced by Electrolysis, PEM using water and electricity from grid, and carbon from MSWI</v>
      </c>
      <c r="L76">
        <v>0</v>
      </c>
      <c r="M76" t="str">
        <f t="shared" si="7"/>
        <v/>
      </c>
    </row>
    <row r="77" spans="1:21" x14ac:dyDescent="0.2">
      <c r="A77" t="s">
        <v>374</v>
      </c>
      <c r="B77" s="52">
        <v>1.8050000000000001E-6</v>
      </c>
      <c r="C77" t="s">
        <v>56</v>
      </c>
      <c r="D77" t="s">
        <v>100</v>
      </c>
      <c r="F77" t="s">
        <v>99</v>
      </c>
      <c r="H77" t="s">
        <v>131</v>
      </c>
      <c r="I77" t="s">
        <v>399</v>
      </c>
      <c r="K77" t="str">
        <f>B40</f>
        <v>synthetic natural gas from biological methanation, transported by pipeline, produced by Electrolysis, PEM using water and electricity from grid, and carbon from MSWI</v>
      </c>
      <c r="L77">
        <f t="shared" ref="L77" si="11">IF(OR(B77&lt;0,B77=0),1,2)</f>
        <v>2</v>
      </c>
      <c r="M77">
        <f t="shared" si="7"/>
        <v>-13.22494996617943</v>
      </c>
      <c r="N77">
        <v>1.5</v>
      </c>
      <c r="O77">
        <v>1.2</v>
      </c>
      <c r="P77">
        <v>1.5</v>
      </c>
      <c r="Q77">
        <v>1.1000000000000001</v>
      </c>
      <c r="R77">
        <v>2</v>
      </c>
      <c r="S77">
        <v>1.2</v>
      </c>
      <c r="T77">
        <v>1.5</v>
      </c>
      <c r="U77">
        <f t="shared" ref="U77" si="12">LN(SQRT(EXP(
SQRT(
+POWER(LN(N77),2)
+POWER(LN(O77),2)
+POWER(LN(P77),2)
+POWER(LN(Q77),2)
+POWER(LN(R77),2)
+POWER(LN(S77),2)
+POWER(LN(T77),2)
)
)))</f>
        <v>0.51215847306170115</v>
      </c>
    </row>
    <row r="78" spans="1:21" x14ac:dyDescent="0.2">
      <c r="B78" s="45"/>
    </row>
    <row r="79" spans="1:21" x14ac:dyDescent="0.2">
      <c r="A79" s="2" t="s">
        <v>50</v>
      </c>
      <c r="B79" s="44" t="str">
        <f>B89&amp;", transported by "&amp;B90&amp;", produced by "&amp;B94&amp;" using "&amp;B95&amp;" from "&amp;B96&amp;", and carbon from "&amp;B97</f>
        <v>synthetic natural gas from biological methanation, transported by pipeline, produced by Electrolysis, PEM using water and electricity from grid, and carbon from Cement plant</v>
      </c>
    </row>
    <row r="80" spans="1:21" x14ac:dyDescent="0.2">
      <c r="A80" t="s">
        <v>51</v>
      </c>
      <c r="B80" s="45" t="str">
        <f>"This dataset represents the supply of 1 kilogram of synthetic natural gas The gas is transported by "&amp;B90&amp;" over "&amp;B91&amp;" km from regional storage. "&amp;" The "&amp;B89&amp;" is produced by  "&amp;B94&amp;", with "&amp;B95&amp;" from "&amp;B96&amp;" as feedstock. "&amp;A98&amp;": "&amp;(B98*100)&amp;"%. "&amp;A99&amp;": "&amp;(B99*100)&amp;".  For more information, refer to: "&amp;B81</f>
        <v>This dataset represents the supply of 1 kilogram of synthetic natural gas The gas is transported by pipeline over 500 km from regional storage.  The synthetic natural gas from biological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81" spans="1:2" x14ac:dyDescent="0.2">
      <c r="A81" t="s">
        <v>63</v>
      </c>
      <c r="B81" s="45" t="s">
        <v>1223</v>
      </c>
    </row>
    <row r="82" spans="1:2" x14ac:dyDescent="0.2">
      <c r="A82" t="s">
        <v>52</v>
      </c>
      <c r="B82" s="45" t="s">
        <v>64</v>
      </c>
    </row>
    <row r="83" spans="1:2" x14ac:dyDescent="0.2">
      <c r="A83" t="s">
        <v>48</v>
      </c>
      <c r="B83" s="45">
        <v>179</v>
      </c>
    </row>
    <row r="84" spans="1:2" x14ac:dyDescent="0.2">
      <c r="A84" t="s">
        <v>54</v>
      </c>
      <c r="B84" s="45" t="s">
        <v>1157</v>
      </c>
    </row>
    <row r="85" spans="1:2" x14ac:dyDescent="0.2">
      <c r="A85" t="s">
        <v>55</v>
      </c>
      <c r="B85" s="45" t="s">
        <v>56</v>
      </c>
    </row>
    <row r="86" spans="1:2" x14ac:dyDescent="0.2">
      <c r="A86" t="s">
        <v>0</v>
      </c>
      <c r="B86" s="45" t="str">
        <f>INDEX(overview!$B$4:$R$338,MATCH('synthetic nat gas - supply'!B83,overview!$A$4:$A$338,0),MATCH('synthetic nat gas - supply'!A86,overview!$B$3:$R$3,0))</f>
        <v>Switzerland</v>
      </c>
    </row>
    <row r="87" spans="1:2" x14ac:dyDescent="0.2">
      <c r="A87" t="s">
        <v>1</v>
      </c>
      <c r="B87" s="45">
        <f>INDEX(overview!$B$4:$R$338,MATCH('synthetic nat gas - supply'!B83,overview!$A$4:$A$338,0),MATCH('synthetic nat gas - supply'!A87,overview!$B$3:$R$3,0))</f>
        <v>2020</v>
      </c>
    </row>
    <row r="88" spans="1:2" x14ac:dyDescent="0.2">
      <c r="A88" t="s">
        <v>2</v>
      </c>
      <c r="B88" s="45" t="s">
        <v>1168</v>
      </c>
    </row>
    <row r="89" spans="1:2" x14ac:dyDescent="0.2">
      <c r="A89" t="s">
        <v>5</v>
      </c>
      <c r="B89" s="45" t="str">
        <f>INDEX(overview!$B$4:$R$338,MATCH('synthetic nat gas - supply'!B83,overview!$A$4:$A$338,0),MATCH('synthetic nat gas - supply'!A89,overview!$B$3:$R$3,0))</f>
        <v>synthetic natural gas from biological methanation</v>
      </c>
    </row>
    <row r="90" spans="1:2" x14ac:dyDescent="0.2">
      <c r="A90" t="s">
        <v>4</v>
      </c>
      <c r="B90" s="45" t="str">
        <f>INDEX(overview!$B$4:$R$338,MATCH('synthetic nat gas - supply'!B83,overview!$A$4:$A$338,0),MATCH('synthetic nat gas - supply'!A90,overview!$B$3:$R$3,0))</f>
        <v>pipeline</v>
      </c>
    </row>
    <row r="91" spans="1:2" x14ac:dyDescent="0.2">
      <c r="A91" t="s">
        <v>38</v>
      </c>
      <c r="B91" s="45">
        <f>INDEX(overview!$B$4:$R$338,MATCH('synthetic nat gas - supply'!B83,overview!$A$4:$A$338,0),MATCH('synthetic nat gas - supply'!A91,overview!$B$3:$R$3,0))</f>
        <v>500</v>
      </c>
    </row>
    <row r="92" spans="1:2" x14ac:dyDescent="0.2">
      <c r="A92" t="s">
        <v>12</v>
      </c>
      <c r="B92" s="45" t="str">
        <f>INDEX(overview!$B$4:$R$338,MATCH('synthetic nat gas - supply'!B83,overview!$A$4:$A$338,0),MATCH('synthetic nat gas - supply'!A92,overview!$B$3:$R$3,0))</f>
        <v>Above surface pressure vessel</v>
      </c>
    </row>
    <row r="93" spans="1:2" x14ac:dyDescent="0.2">
      <c r="A93" t="s">
        <v>34</v>
      </c>
      <c r="B93" s="45" t="str">
        <f>INDEX(overview!$B$4:$R$338,MATCH('synthetic nat gas - supply'!B83,overview!$A$4:$A$338,0),MATCH('synthetic nat gas - supply'!A93,overview!$B$3:$R$3,0))</f>
        <v>biological</v>
      </c>
    </row>
    <row r="94" spans="1:2" x14ac:dyDescent="0.2">
      <c r="A94" t="s">
        <v>15</v>
      </c>
      <c r="B94" s="45" t="str">
        <f>INDEX(overview!$B$4:$R$338,MATCH('synthetic nat gas - supply'!B83,overview!$A$4:$A$338,0),MATCH('synthetic nat gas - supply'!A94,overview!$B$3:$R$3,0))</f>
        <v>Electrolysis, PEM</v>
      </c>
    </row>
    <row r="95" spans="1:2" x14ac:dyDescent="0.2">
      <c r="A95" t="s">
        <v>14</v>
      </c>
      <c r="B95" s="45" t="str">
        <f>INDEX(overview!$B$4:$R$338,MATCH('synthetic nat gas - supply'!B83,overview!$A$4:$A$338,0),MATCH('synthetic nat gas - supply'!A95,overview!$B$3:$R$3,0))</f>
        <v>water and electricity</v>
      </c>
    </row>
    <row r="96" spans="1:2" x14ac:dyDescent="0.2">
      <c r="A96" t="s">
        <v>26</v>
      </c>
      <c r="B96" s="45" t="str">
        <f>INDEX(overview!$B$4:$R$338,MATCH('synthetic nat gas - supply'!B83,overview!$A$4:$A$338,0),MATCH('synthetic nat gas - supply'!A96,overview!$B$3:$R$3,0))</f>
        <v>grid</v>
      </c>
    </row>
    <row r="97" spans="1:22" x14ac:dyDescent="0.2">
      <c r="A97" t="s">
        <v>29</v>
      </c>
      <c r="B97" s="45" t="str">
        <f>INDEX(overview!$B$4:$R$338,MATCH('synthetic nat gas - supply'!B83,overview!$A$4:$A$338,0),MATCH('synthetic nat gas - supply'!A97,overview!$B$3:$R$3,0))</f>
        <v>Cement plant</v>
      </c>
    </row>
    <row r="98" spans="1:22" x14ac:dyDescent="0.2">
      <c r="A98" t="s">
        <v>45</v>
      </c>
      <c r="B98" s="69">
        <v>1.9000000000000001E-4</v>
      </c>
    </row>
    <row r="99" spans="1:22" x14ac:dyDescent="0.2">
      <c r="A99" t="s">
        <v>1133</v>
      </c>
      <c r="B99" s="49">
        <v>0</v>
      </c>
    </row>
    <row r="100" spans="1:22" x14ac:dyDescent="0.2">
      <c r="A100" t="s">
        <v>82</v>
      </c>
      <c r="B100" s="46">
        <f>IF(B97&lt;&gt;0,VLOOKUP(B97,parameters!$A$26:$B$28,2,0),"")</f>
        <v>5.8751529987760093E-2</v>
      </c>
    </row>
    <row r="101" spans="1:22" x14ac:dyDescent="0.2">
      <c r="B101" s="45"/>
    </row>
    <row r="102" spans="1:22" x14ac:dyDescent="0.2">
      <c r="A102" s="3" t="s">
        <v>57</v>
      </c>
      <c r="B102" s="45"/>
    </row>
    <row r="103" spans="1:22" x14ac:dyDescent="0.2">
      <c r="A103" s="2" t="s">
        <v>58</v>
      </c>
      <c r="B103" s="44" t="s">
        <v>59</v>
      </c>
      <c r="C103" s="2" t="s">
        <v>55</v>
      </c>
      <c r="D103" s="2" t="s">
        <v>60</v>
      </c>
      <c r="E103" s="2" t="s">
        <v>52</v>
      </c>
      <c r="F103" s="2" t="s">
        <v>61</v>
      </c>
      <c r="G103" s="2" t="s">
        <v>54</v>
      </c>
      <c r="H103" s="2" t="s">
        <v>87</v>
      </c>
      <c r="I103" s="2" t="s">
        <v>51</v>
      </c>
      <c r="J103" s="2" t="s">
        <v>138</v>
      </c>
      <c r="K103" s="2" t="s">
        <v>136</v>
      </c>
      <c r="L103" s="2" t="s">
        <v>221</v>
      </c>
      <c r="M103" s="2" t="s">
        <v>379</v>
      </c>
      <c r="N103" s="2" t="s">
        <v>1059</v>
      </c>
      <c r="O103" s="2" t="s">
        <v>1060</v>
      </c>
      <c r="P103" s="2" t="s">
        <v>1061</v>
      </c>
      <c r="Q103" s="2" t="s">
        <v>1062</v>
      </c>
      <c r="R103" s="2" t="s">
        <v>1063</v>
      </c>
      <c r="S103" s="2" t="s">
        <v>1064</v>
      </c>
      <c r="T103" s="2" t="s">
        <v>1065</v>
      </c>
      <c r="U103" s="2" t="s">
        <v>380</v>
      </c>
      <c r="V103" s="2" t="s">
        <v>1128</v>
      </c>
    </row>
    <row r="104" spans="1:22" x14ac:dyDescent="0.2">
      <c r="A104" t="str">
        <f>B79</f>
        <v>synthetic natural gas from biological methanation, transported by pipeline, produced by Electrolysis, PEM using water and electricity from grid, and carbon from Cement plant</v>
      </c>
      <c r="B104" s="45">
        <v>1</v>
      </c>
      <c r="C104" t="str">
        <f>B85</f>
        <v>kilogram</v>
      </c>
      <c r="E104" t="str">
        <f>B82</f>
        <v>CH</v>
      </c>
      <c r="F104" t="s">
        <v>62</v>
      </c>
      <c r="G104" t="str">
        <f>B84</f>
        <v>synthetic natural gas, from pipeline</v>
      </c>
      <c r="K104" t="str">
        <f>B79</f>
        <v>synthetic natural gas from biological methanation, transported by pipeline, produced by Electrolysis, PEM using water and electricity from grid, and carbon from Cement plant</v>
      </c>
    </row>
    <row r="105" spans="1:22" x14ac:dyDescent="0.2">
      <c r="A105" t="str">
        <f>VLOOKUP(J105,'dataset mapping'!$A$4:$E$69,2,0)</f>
        <v>methane, from biological methanation, with carbon from municipal waste incineration plant</v>
      </c>
      <c r="B105" s="52">
        <v>1</v>
      </c>
      <c r="C105" t="str">
        <f>VLOOKUP(J105,'dataset mapping'!$A$4:$E$69,5,0)</f>
        <v>kilogram</v>
      </c>
      <c r="E105" t="str">
        <f>VLOOKUP(J105,'dataset mapping'!$A$4:$E$69,4,0)</f>
        <v>CH</v>
      </c>
      <c r="F105" t="s">
        <v>86</v>
      </c>
      <c r="G105" t="str">
        <f>VLOOKUP(J105,'dataset mapping'!$A$4:$E$69,3,0)</f>
        <v>methane, from biological methanation</v>
      </c>
      <c r="H105" t="s">
        <v>76</v>
      </c>
      <c r="I105" t="s">
        <v>1055</v>
      </c>
      <c r="J105" t="s">
        <v>862</v>
      </c>
      <c r="K105" t="str">
        <f>B79</f>
        <v>synthetic natural gas from biological methanation, transported by pipeline, produced by Electrolysis, PEM using water and electricity from grid, and carbon from Cement plant</v>
      </c>
      <c r="L105">
        <f t="shared" ref="L105:L111" si="13">IF(OR(B105&lt;0,B105=0),1,2)</f>
        <v>2</v>
      </c>
      <c r="M105">
        <f t="shared" ref="M105:M116" si="14">IF(L105=2,LN(B105),"")</f>
        <v>0</v>
      </c>
      <c r="N105">
        <v>1.5</v>
      </c>
      <c r="O105">
        <v>1.2</v>
      </c>
      <c r="P105">
        <v>1.5</v>
      </c>
      <c r="Q105">
        <v>1.1000000000000001</v>
      </c>
      <c r="R105">
        <v>2</v>
      </c>
      <c r="S105">
        <v>1.2</v>
      </c>
      <c r="T105">
        <v>1.05</v>
      </c>
      <c r="U105">
        <f t="shared" ref="U105:U111" si="15">LN(SQRT(EXP(
SQRT(
+POWER(LN(N105),2)
+POWER(LN(O105),2)
+POWER(LN(P105),2)
+POWER(LN(Q105),2)
+POWER(LN(R105),2)
+POWER(LN(S105),2)
+POWER(LN(T105),2)
)
)))</f>
        <v>0.47095746419981693</v>
      </c>
    </row>
    <row r="106" spans="1:22" x14ac:dyDescent="0.2">
      <c r="A106" t="str">
        <f>VLOOKUP(J106,'dataset mapping'!$A$4:$E$69,2,0)</f>
        <v>methane, from biological methanation, with carbon from municipal waste incineration plant</v>
      </c>
      <c r="B106" s="52">
        <f>SUM(B114:B115)</f>
        <v>9.4999999999999992E-5</v>
      </c>
      <c r="C106" t="str">
        <f>VLOOKUP(J106,'dataset mapping'!$A$4:$E$69,5,0)</f>
        <v>kilogram</v>
      </c>
      <c r="E106" t="str">
        <f>VLOOKUP(J106,'dataset mapping'!$A$4:$E$69,4,0)</f>
        <v>CH</v>
      </c>
      <c r="F106" t="s">
        <v>86</v>
      </c>
      <c r="G106" t="str">
        <f>VLOOKUP(J106,'dataset mapping'!$A$4:$E$69,3,0)</f>
        <v>methane, from biological methanation</v>
      </c>
      <c r="H106" t="s">
        <v>159</v>
      </c>
      <c r="I106" t="s">
        <v>161</v>
      </c>
      <c r="J106" t="s">
        <v>862</v>
      </c>
      <c r="K106" t="str">
        <f>B79</f>
        <v>synthetic natural gas from biological methanation, transported by pipeline, produced by Electrolysis, PEM using water and electricity from grid, and carbon from Cement plant</v>
      </c>
      <c r="L106">
        <f t="shared" si="13"/>
        <v>2</v>
      </c>
      <c r="M106">
        <f t="shared" si="14"/>
        <v>-9.2616336663637338</v>
      </c>
      <c r="N106">
        <v>1.5</v>
      </c>
      <c r="O106">
        <v>1.2</v>
      </c>
      <c r="P106">
        <v>1.5</v>
      </c>
      <c r="Q106">
        <v>1.1000000000000001</v>
      </c>
      <c r="R106">
        <v>2</v>
      </c>
      <c r="S106">
        <v>1.2</v>
      </c>
      <c r="T106">
        <v>1.05</v>
      </c>
      <c r="U106">
        <f t="shared" si="15"/>
        <v>0.47095746419981693</v>
      </c>
    </row>
    <row r="107" spans="1:22" x14ac:dyDescent="0.2">
      <c r="A107" t="str">
        <f>VLOOKUP(J107,'dataset mapping'!$A$4:$E$69,2,0)</f>
        <v>pipeline construction, natural gas, high pressure distribution network</v>
      </c>
      <c r="B107" s="52">
        <f>0.0000000000625*SUM(B105:B106)*B91*0.29</f>
        <v>9.0633609375000005E-9</v>
      </c>
      <c r="C107" t="str">
        <f>VLOOKUP(J107,'dataset mapping'!$A$4:$E$69,5,0)</f>
        <v>kilometer</v>
      </c>
      <c r="E107" t="str">
        <f>VLOOKUP(J107,'dataset mapping'!$A$4:$E$69,4,0)</f>
        <v>CH</v>
      </c>
      <c r="F107" t="s">
        <v>86</v>
      </c>
      <c r="G107" t="str">
        <f>VLOOKUP(J107,'dataset mapping'!$A$4:$E$69,3,0)</f>
        <v>pipeline, natural gas, high pressure distribution network</v>
      </c>
      <c r="H107" t="s">
        <v>88</v>
      </c>
      <c r="I107" t="s">
        <v>1034</v>
      </c>
      <c r="J107" t="s">
        <v>398</v>
      </c>
      <c r="K107" t="str">
        <f>B79</f>
        <v>synthetic natural gas from biological methanation, transported by pipeline, produced by Electrolysis, PEM using water and electricity from grid, and carbon from Cement plant</v>
      </c>
      <c r="L107">
        <f t="shared" si="13"/>
        <v>2</v>
      </c>
      <c r="M107">
        <f t="shared" si="14"/>
        <v>-18.519025821277832</v>
      </c>
      <c r="N107">
        <v>1.5</v>
      </c>
      <c r="O107">
        <v>1.2</v>
      </c>
      <c r="P107">
        <v>1.5</v>
      </c>
      <c r="Q107">
        <v>1.1000000000000001</v>
      </c>
      <c r="R107">
        <v>2</v>
      </c>
      <c r="S107">
        <v>1.2</v>
      </c>
      <c r="T107">
        <v>3</v>
      </c>
      <c r="U107">
        <f t="shared" si="15"/>
        <v>0.72314801614797197</v>
      </c>
    </row>
    <row r="108" spans="1:22" x14ac:dyDescent="0.2">
      <c r="A108" t="s">
        <v>1032</v>
      </c>
      <c r="B108" s="52">
        <f>0.0000000000625*SUM(B105:B106)*B91*0.71</f>
        <v>2.2189607812499999E-8</v>
      </c>
      <c r="C108" t="str">
        <f>VLOOKUP(J108,'dataset mapping'!$A$4:$E$69,5,0)</f>
        <v>kilometer</v>
      </c>
      <c r="E108" t="str">
        <f>VLOOKUP(J108,'dataset mapping'!$A$4:$E$69,4,0)</f>
        <v>CH</v>
      </c>
      <c r="F108" t="s">
        <v>86</v>
      </c>
      <c r="G108" t="s">
        <v>1033</v>
      </c>
      <c r="H108" t="s">
        <v>88</v>
      </c>
      <c r="I108" t="s">
        <v>1034</v>
      </c>
      <c r="J108" t="s">
        <v>398</v>
      </c>
      <c r="K108" t="str">
        <f>B79</f>
        <v>synthetic natural gas from biological methanation, transported by pipeline, produced by Electrolysis, PEM using water and electricity from grid, and carbon from Cement plant</v>
      </c>
      <c r="L108">
        <f t="shared" si="13"/>
        <v>2</v>
      </c>
      <c r="M108">
        <f t="shared" si="14"/>
        <v>-17.623641774222992</v>
      </c>
      <c r="N108">
        <v>1.5</v>
      </c>
      <c r="O108">
        <v>1.2</v>
      </c>
      <c r="P108">
        <v>1.5</v>
      </c>
      <c r="Q108">
        <v>1.1000000000000001</v>
      </c>
      <c r="R108">
        <v>2</v>
      </c>
      <c r="S108">
        <v>1.2</v>
      </c>
      <c r="T108">
        <v>3</v>
      </c>
      <c r="U108">
        <f t="shared" si="15"/>
        <v>0.72314801614797197</v>
      </c>
    </row>
    <row r="109" spans="1:22" x14ac:dyDescent="0.2">
      <c r="A109" t="s">
        <v>130</v>
      </c>
      <c r="B109" s="52">
        <v>2.82E-3</v>
      </c>
      <c r="C109" t="s">
        <v>92</v>
      </c>
      <c r="E109" t="s">
        <v>64</v>
      </c>
      <c r="F109" t="s">
        <v>86</v>
      </c>
      <c r="G109" t="s">
        <v>93</v>
      </c>
      <c r="H109" t="s">
        <v>78</v>
      </c>
      <c r="I109" t="s">
        <v>855</v>
      </c>
      <c r="J109" t="s">
        <v>67</v>
      </c>
      <c r="K109" t="str">
        <f>B79</f>
        <v>synthetic natural gas from biological methanation, transported by pipeline, produced by Electrolysis, PEM using water and electricity from grid, and carbon from Cement plant</v>
      </c>
      <c r="L109">
        <f t="shared" si="13"/>
        <v>2</v>
      </c>
      <c r="M109">
        <f t="shared" si="14"/>
        <v>-5.8710183940321148</v>
      </c>
      <c r="N109">
        <v>1.5</v>
      </c>
      <c r="O109">
        <v>1.2</v>
      </c>
      <c r="P109">
        <v>1.5</v>
      </c>
      <c r="Q109">
        <v>1.1000000000000001</v>
      </c>
      <c r="R109">
        <v>2</v>
      </c>
      <c r="S109">
        <v>1.2</v>
      </c>
      <c r="T109">
        <v>1.05</v>
      </c>
      <c r="U109">
        <f t="shared" si="15"/>
        <v>0.47095746419981693</v>
      </c>
    </row>
    <row r="110" spans="1:22" x14ac:dyDescent="0.2">
      <c r="A110" t="s">
        <v>1163</v>
      </c>
      <c r="B110" s="52">
        <v>6.1873999999999998E-2</v>
      </c>
      <c r="C110" t="s">
        <v>65</v>
      </c>
      <c r="E110" t="s">
        <v>64</v>
      </c>
      <c r="F110" t="s">
        <v>86</v>
      </c>
      <c r="G110" t="s">
        <v>66</v>
      </c>
      <c r="I110" t="s">
        <v>1159</v>
      </c>
      <c r="K110" t="str">
        <f>B79</f>
        <v>synthetic natural gas from biological methanation, transported by pipeline, produced by Electrolysis, PEM using water and electricity from grid, and carbon from Cement plant</v>
      </c>
      <c r="L110">
        <f t="shared" si="13"/>
        <v>2</v>
      </c>
      <c r="M110">
        <f t="shared" si="14"/>
        <v>-2.7826552198400445</v>
      </c>
      <c r="N110">
        <v>1.5</v>
      </c>
      <c r="O110">
        <v>1.2</v>
      </c>
      <c r="P110">
        <v>1.5</v>
      </c>
      <c r="Q110">
        <v>1.1000000000000001</v>
      </c>
      <c r="R110">
        <v>2</v>
      </c>
      <c r="S110">
        <v>1.2</v>
      </c>
      <c r="T110">
        <v>1.05</v>
      </c>
      <c r="U110">
        <f t="shared" si="15"/>
        <v>0.47095746419981693</v>
      </c>
    </row>
    <row r="111" spans="1:22" x14ac:dyDescent="0.2">
      <c r="A111" t="s">
        <v>371</v>
      </c>
      <c r="B111" s="52">
        <f>5.21708333333333E-06*B100</f>
        <v>3.0651162790697655E-7</v>
      </c>
      <c r="C111" t="s">
        <v>56</v>
      </c>
      <c r="D111" t="s">
        <v>100</v>
      </c>
      <c r="F111" t="s">
        <v>99</v>
      </c>
      <c r="H111" t="s">
        <v>131</v>
      </c>
      <c r="I111" t="s">
        <v>399</v>
      </c>
      <c r="K111" t="str">
        <f>B79</f>
        <v>synthetic natural gas from biological methanation, transported by pipeline, produced by Electrolysis, PEM using water and electricity from grid, and carbon from Cement plant</v>
      </c>
      <c r="L111">
        <f t="shared" si="13"/>
        <v>2</v>
      </c>
      <c r="M111">
        <f t="shared" si="14"/>
        <v>-14.998010144583477</v>
      </c>
      <c r="N111">
        <v>1.5</v>
      </c>
      <c r="O111">
        <v>1.2</v>
      </c>
      <c r="P111">
        <v>1.5</v>
      </c>
      <c r="Q111">
        <v>1.1000000000000001</v>
      </c>
      <c r="R111">
        <v>2</v>
      </c>
      <c r="S111">
        <v>1.2</v>
      </c>
      <c r="T111">
        <v>1.05</v>
      </c>
      <c r="U111">
        <f t="shared" si="15"/>
        <v>0.47095746419981693</v>
      </c>
    </row>
    <row r="112" spans="1:22" x14ac:dyDescent="0.2">
      <c r="A112" t="s">
        <v>316</v>
      </c>
      <c r="B112" s="52">
        <f>5.21708333333333E-06*(1-B100)</f>
        <v>4.9105717054263534E-6</v>
      </c>
      <c r="C112" t="s">
        <v>56</v>
      </c>
      <c r="D112" t="s">
        <v>100</v>
      </c>
      <c r="F112" t="s">
        <v>99</v>
      </c>
      <c r="H112" t="s">
        <v>131</v>
      </c>
      <c r="I112" t="s">
        <v>399</v>
      </c>
      <c r="K112" t="str">
        <f>B79</f>
        <v>synthetic natural gas from biological methanation, transported by pipeline, produced by Electrolysis, PEM using water and electricity from grid, and carbon from Cement plant</v>
      </c>
      <c r="L112">
        <v>0</v>
      </c>
      <c r="M112" t="str">
        <f t="shared" si="14"/>
        <v/>
      </c>
    </row>
    <row r="113" spans="1:21" x14ac:dyDescent="0.2">
      <c r="A113" t="s">
        <v>372</v>
      </c>
      <c r="B113" s="52">
        <v>5.97180555555556E-10</v>
      </c>
      <c r="C113" t="s">
        <v>56</v>
      </c>
      <c r="D113" t="s">
        <v>100</v>
      </c>
      <c r="F113" t="s">
        <v>99</v>
      </c>
      <c r="H113" t="s">
        <v>131</v>
      </c>
      <c r="I113" t="s">
        <v>399</v>
      </c>
      <c r="K113" t="str">
        <f>B79</f>
        <v>synthetic natural gas from biological methanation, transported by pipeline, produced by Electrolysis, PEM using water and electricity from grid, and carbon from Cement plant</v>
      </c>
      <c r="L113">
        <f t="shared" ref="L113:L114" si="16">IF(OR(B113&lt;0,B113=0),1,2)</f>
        <v>2</v>
      </c>
      <c r="M113">
        <f t="shared" si="14"/>
        <v>-21.238801610144623</v>
      </c>
      <c r="N113">
        <v>1.5</v>
      </c>
      <c r="O113">
        <v>1.2</v>
      </c>
      <c r="P113">
        <v>1.5</v>
      </c>
      <c r="Q113">
        <v>1.1000000000000001</v>
      </c>
      <c r="R113">
        <v>2</v>
      </c>
      <c r="S113">
        <v>1.2</v>
      </c>
      <c r="T113">
        <v>1.5</v>
      </c>
      <c r="U113">
        <f t="shared" ref="U113:U114" si="17">LN(SQRT(EXP(
SQRT(
+POWER(LN(N113),2)
+POWER(LN(O113),2)
+POWER(LN(P113),2)
+POWER(LN(Q113),2)
+POWER(LN(R113),2)
+POWER(LN(S113),2)
+POWER(LN(T113),2)
)
)))</f>
        <v>0.51215847306170115</v>
      </c>
    </row>
    <row r="114" spans="1:21" x14ac:dyDescent="0.2">
      <c r="A114" t="s">
        <v>373</v>
      </c>
      <c r="B114" s="52">
        <f>B105*B98*(B91/1000)*B100</f>
        <v>5.5813953488372092E-6</v>
      </c>
      <c r="C114" t="s">
        <v>56</v>
      </c>
      <c r="D114" t="s">
        <v>100</v>
      </c>
      <c r="F114" t="s">
        <v>99</v>
      </c>
      <c r="H114" t="s">
        <v>131</v>
      </c>
      <c r="I114" t="s">
        <v>1221</v>
      </c>
      <c r="K114" t="str">
        <f>B79</f>
        <v>synthetic natural gas from biological methanation, transported by pipeline, produced by Electrolysis, PEM using water and electricity from grid, and carbon from Cement plant</v>
      </c>
      <c r="L114">
        <f t="shared" si="16"/>
        <v>2</v>
      </c>
      <c r="M114">
        <f t="shared" si="14"/>
        <v>-12.096071750315845</v>
      </c>
      <c r="N114">
        <v>1.5</v>
      </c>
      <c r="O114">
        <v>1.2</v>
      </c>
      <c r="P114">
        <v>1.5</v>
      </c>
      <c r="Q114">
        <v>1.1000000000000001</v>
      </c>
      <c r="R114">
        <v>2</v>
      </c>
      <c r="S114">
        <v>1.2</v>
      </c>
      <c r="T114">
        <v>1.5</v>
      </c>
      <c r="U114">
        <f t="shared" si="17"/>
        <v>0.51215847306170115</v>
      </c>
    </row>
    <row r="115" spans="1:21" x14ac:dyDescent="0.2">
      <c r="A115" t="s">
        <v>320</v>
      </c>
      <c r="B115" s="52">
        <f>B105*B98*(B91/1000)*(1-B100)</f>
        <v>8.9418604651162788E-5</v>
      </c>
      <c r="C115" t="s">
        <v>56</v>
      </c>
      <c r="D115" t="s">
        <v>100</v>
      </c>
      <c r="F115" t="s">
        <v>99</v>
      </c>
      <c r="H115" t="s">
        <v>131</v>
      </c>
      <c r="I115" t="s">
        <v>1221</v>
      </c>
      <c r="K115" t="str">
        <f>B79</f>
        <v>synthetic natural gas from biological methanation, transported by pipeline, produced by Electrolysis, PEM using water and electricity from grid, and carbon from Cement plant</v>
      </c>
      <c r="L115">
        <v>0</v>
      </c>
      <c r="M115" t="str">
        <f t="shared" si="14"/>
        <v/>
      </c>
    </row>
    <row r="116" spans="1:21" x14ac:dyDescent="0.2">
      <c r="A116" t="s">
        <v>374</v>
      </c>
      <c r="B116" s="52">
        <v>1.8050000000000001E-6</v>
      </c>
      <c r="C116" t="s">
        <v>56</v>
      </c>
      <c r="D116" t="s">
        <v>100</v>
      </c>
      <c r="F116" t="s">
        <v>99</v>
      </c>
      <c r="H116" t="s">
        <v>131</v>
      </c>
      <c r="I116" t="s">
        <v>399</v>
      </c>
      <c r="K116" t="str">
        <f>B79</f>
        <v>synthetic natural gas from biological methanation, transported by pipeline, produced by Electrolysis, PEM using water and electricity from grid, and carbon from Cement plant</v>
      </c>
      <c r="L116">
        <f t="shared" ref="L116" si="18">IF(OR(B116&lt;0,B116=0),1,2)</f>
        <v>2</v>
      </c>
      <c r="M116">
        <f t="shared" si="14"/>
        <v>-13.22494996617943</v>
      </c>
      <c r="N116">
        <v>1.5</v>
      </c>
      <c r="O116">
        <v>1.2</v>
      </c>
      <c r="P116">
        <v>1.5</v>
      </c>
      <c r="Q116">
        <v>1.1000000000000001</v>
      </c>
      <c r="R116">
        <v>2</v>
      </c>
      <c r="S116">
        <v>1.2</v>
      </c>
      <c r="T116">
        <v>1.5</v>
      </c>
      <c r="U116">
        <f t="shared" ref="U116" si="19">LN(SQRT(EXP(
SQRT(
+POWER(LN(N116),2)
+POWER(LN(O116),2)
+POWER(LN(P116),2)
+POWER(LN(Q116),2)
+POWER(LN(R116),2)
+POWER(LN(S116),2)
+POWER(LN(T116),2)
)
)))</f>
        <v>0.51215847306170115</v>
      </c>
    </row>
    <row r="117" spans="1:21" x14ac:dyDescent="0.2">
      <c r="B117" s="45"/>
    </row>
    <row r="118" spans="1:21" x14ac:dyDescent="0.2">
      <c r="A118" s="2" t="s">
        <v>50</v>
      </c>
      <c r="B118" s="44" t="str">
        <f>B128&amp;", transported by "&amp;B129&amp;", produced by "&amp;B133&amp;" using "&amp;B134&amp;" from "&amp;B135&amp;", and carbon from "&amp;B136</f>
        <v>synthetic natural gas from catalytic methanation, transported by pipeline, produced by Electrolysis, PEM using water and electricity from grid, and carbon from DAC</v>
      </c>
    </row>
    <row r="119" spans="1:21" x14ac:dyDescent="0.2">
      <c r="A119" t="s">
        <v>51</v>
      </c>
      <c r="B119" s="45" t="str">
        <f>"This dataset represents the supply of 1 kilogram of synthetic natural gas The gas is transported by "&amp;B129&amp;" over "&amp;B130&amp;" km from regional storage. "&amp;" The "&amp;B128&amp;" is produced by  "&amp;B133&amp;", with "&amp;B134&amp;" from "&amp;B135&amp;" as feedstock. "&amp;A137&amp;": "&amp;(B137*100)&amp;"%. "&amp;A138&amp;": "&amp;(B138*100)&amp;".  For more information, refer to: "&amp;B120</f>
        <v>This dataset represents the supply of 1 kilogram of synthetic natural gas The gas is transported by pipeline over 500 km from regional storage.  The synthetic natural gas from catalytic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120" spans="1:21" x14ac:dyDescent="0.2">
      <c r="A120" t="s">
        <v>63</v>
      </c>
      <c r="B120" s="45" t="s">
        <v>1223</v>
      </c>
    </row>
    <row r="121" spans="1:21" x14ac:dyDescent="0.2">
      <c r="A121" t="s">
        <v>52</v>
      </c>
      <c r="B121" s="45" t="s">
        <v>64</v>
      </c>
    </row>
    <row r="122" spans="1:21" x14ac:dyDescent="0.2">
      <c r="A122" t="s">
        <v>48</v>
      </c>
      <c r="B122" s="45">
        <v>180</v>
      </c>
    </row>
    <row r="123" spans="1:21" x14ac:dyDescent="0.2">
      <c r="A123" t="s">
        <v>54</v>
      </c>
      <c r="B123" s="45" t="s">
        <v>1157</v>
      </c>
    </row>
    <row r="124" spans="1:21" x14ac:dyDescent="0.2">
      <c r="A124" t="s">
        <v>55</v>
      </c>
      <c r="B124" s="45" t="s">
        <v>56</v>
      </c>
    </row>
    <row r="125" spans="1:21" x14ac:dyDescent="0.2">
      <c r="A125" t="s">
        <v>0</v>
      </c>
      <c r="B125" s="45" t="str">
        <f>INDEX(overview!$B$4:$R$338,MATCH('synthetic nat gas - supply'!B122,overview!$A$4:$A$338,0),MATCH('synthetic nat gas - supply'!A125,overview!$B$3:$R$3,0))</f>
        <v>Switzerland</v>
      </c>
    </row>
    <row r="126" spans="1:21" x14ac:dyDescent="0.2">
      <c r="A126" t="s">
        <v>1</v>
      </c>
      <c r="B126" s="45">
        <f>INDEX(overview!$B$4:$R$338,MATCH('synthetic nat gas - supply'!B122,overview!$A$4:$A$338,0),MATCH('synthetic nat gas - supply'!A126,overview!$B$3:$R$3,0))</f>
        <v>2020</v>
      </c>
    </row>
    <row r="127" spans="1:21" x14ac:dyDescent="0.2">
      <c r="A127" t="s">
        <v>2</v>
      </c>
      <c r="B127" s="45" t="s">
        <v>1168</v>
      </c>
    </row>
    <row r="128" spans="1:21" x14ac:dyDescent="0.2">
      <c r="A128" t="s">
        <v>5</v>
      </c>
      <c r="B128" s="45" t="str">
        <f>INDEX(overview!$B$4:$R$338,MATCH('synthetic nat gas - supply'!B122,overview!$A$4:$A$338,0),MATCH('synthetic nat gas - supply'!A128,overview!$B$3:$R$3,0))</f>
        <v>synthetic natural gas from catalytic methanation</v>
      </c>
    </row>
    <row r="129" spans="1:22" x14ac:dyDescent="0.2">
      <c r="A129" t="s">
        <v>4</v>
      </c>
      <c r="B129" s="45" t="str">
        <f>INDEX(overview!$B$4:$R$338,MATCH('synthetic nat gas - supply'!B122,overview!$A$4:$A$338,0),MATCH('synthetic nat gas - supply'!A129,overview!$B$3:$R$3,0))</f>
        <v>pipeline</v>
      </c>
    </row>
    <row r="130" spans="1:22" x14ac:dyDescent="0.2">
      <c r="A130" t="s">
        <v>38</v>
      </c>
      <c r="B130" s="45">
        <f>INDEX(overview!$B$4:$R$338,MATCH('synthetic nat gas - supply'!B122,overview!$A$4:$A$338,0),MATCH('synthetic nat gas - supply'!A130,overview!$B$3:$R$3,0))</f>
        <v>500</v>
      </c>
    </row>
    <row r="131" spans="1:22" x14ac:dyDescent="0.2">
      <c r="A131" t="s">
        <v>12</v>
      </c>
      <c r="B131" s="45" t="str">
        <f>INDEX(overview!$B$4:$R$338,MATCH('synthetic nat gas - supply'!B122,overview!$A$4:$A$338,0),MATCH('synthetic nat gas - supply'!A131,overview!$B$3:$R$3,0))</f>
        <v>Above surface pressure vessel</v>
      </c>
    </row>
    <row r="132" spans="1:22" x14ac:dyDescent="0.2">
      <c r="A132" t="s">
        <v>34</v>
      </c>
      <c r="B132" s="45" t="str">
        <f>INDEX(overview!$B$4:$R$338,MATCH('synthetic nat gas - supply'!B122,overview!$A$4:$A$338,0),MATCH('synthetic nat gas - supply'!A132,overview!$B$3:$R$3,0))</f>
        <v>catalytic</v>
      </c>
    </row>
    <row r="133" spans="1:22" x14ac:dyDescent="0.2">
      <c r="A133" t="s">
        <v>15</v>
      </c>
      <c r="B133" s="45" t="str">
        <f>INDEX(overview!$B$4:$R$338,MATCH('synthetic nat gas - supply'!B122,overview!$A$4:$A$338,0),MATCH('synthetic nat gas - supply'!A133,overview!$B$3:$R$3,0))</f>
        <v>Electrolysis, PEM</v>
      </c>
    </row>
    <row r="134" spans="1:22" x14ac:dyDescent="0.2">
      <c r="A134" t="s">
        <v>14</v>
      </c>
      <c r="B134" s="45" t="str">
        <f>INDEX(overview!$B$4:$R$338,MATCH('synthetic nat gas - supply'!B122,overview!$A$4:$A$338,0),MATCH('synthetic nat gas - supply'!A134,overview!$B$3:$R$3,0))</f>
        <v>water and electricity</v>
      </c>
    </row>
    <row r="135" spans="1:22" x14ac:dyDescent="0.2">
      <c r="A135" t="s">
        <v>26</v>
      </c>
      <c r="B135" s="45" t="str">
        <f>INDEX(overview!$B$4:$R$338,MATCH('synthetic nat gas - supply'!B122,overview!$A$4:$A$338,0),MATCH('synthetic nat gas - supply'!A135,overview!$B$3:$R$3,0))</f>
        <v>grid</v>
      </c>
    </row>
    <row r="136" spans="1:22" x14ac:dyDescent="0.2">
      <c r="A136" t="s">
        <v>29</v>
      </c>
      <c r="B136" s="45" t="str">
        <f>INDEX(overview!$B$4:$R$338,MATCH('synthetic nat gas - supply'!B122,overview!$A$4:$A$338,0),MATCH('synthetic nat gas - supply'!A136,overview!$B$3:$R$3,0))</f>
        <v>DAC</v>
      </c>
    </row>
    <row r="137" spans="1:22" x14ac:dyDescent="0.2">
      <c r="A137" t="s">
        <v>45</v>
      </c>
      <c r="B137" s="69">
        <v>1.9000000000000001E-4</v>
      </c>
    </row>
    <row r="138" spans="1:22" x14ac:dyDescent="0.2">
      <c r="A138" t="s">
        <v>1133</v>
      </c>
      <c r="B138" s="49">
        <v>0</v>
      </c>
    </row>
    <row r="139" spans="1:22" x14ac:dyDescent="0.2">
      <c r="A139" t="s">
        <v>82</v>
      </c>
      <c r="B139" s="46">
        <f>IF(B136&lt;&gt;0,VLOOKUP(B136,parameters!$A$26:$B$28,2,0),"")</f>
        <v>1</v>
      </c>
    </row>
    <row r="140" spans="1:22" x14ac:dyDescent="0.2">
      <c r="B140" s="45"/>
    </row>
    <row r="141" spans="1:22" x14ac:dyDescent="0.2">
      <c r="A141" s="3" t="s">
        <v>57</v>
      </c>
      <c r="B141" s="45"/>
    </row>
    <row r="142" spans="1:22" x14ac:dyDescent="0.2">
      <c r="A142" s="2" t="s">
        <v>58</v>
      </c>
      <c r="B142" s="44" t="s">
        <v>59</v>
      </c>
      <c r="C142" s="2" t="s">
        <v>55</v>
      </c>
      <c r="D142" s="2" t="s">
        <v>60</v>
      </c>
      <c r="E142" s="2" t="s">
        <v>52</v>
      </c>
      <c r="F142" s="2" t="s">
        <v>61</v>
      </c>
      <c r="G142" s="2" t="s">
        <v>54</v>
      </c>
      <c r="H142" s="2" t="s">
        <v>87</v>
      </c>
      <c r="I142" s="2" t="s">
        <v>51</v>
      </c>
      <c r="J142" s="2" t="s">
        <v>138</v>
      </c>
      <c r="K142" s="2" t="s">
        <v>136</v>
      </c>
      <c r="L142" s="2" t="s">
        <v>221</v>
      </c>
      <c r="M142" s="2" t="s">
        <v>379</v>
      </c>
      <c r="N142" s="2" t="s">
        <v>1059</v>
      </c>
      <c r="O142" s="2" t="s">
        <v>1060</v>
      </c>
      <c r="P142" s="2" t="s">
        <v>1061</v>
      </c>
      <c r="Q142" s="2" t="s">
        <v>1062</v>
      </c>
      <c r="R142" s="2" t="s">
        <v>1063</v>
      </c>
      <c r="S142" s="2" t="s">
        <v>1064</v>
      </c>
      <c r="T142" s="2" t="s">
        <v>1065</v>
      </c>
      <c r="U142" s="2" t="s">
        <v>380</v>
      </c>
      <c r="V142" s="2" t="s">
        <v>1128</v>
      </c>
    </row>
    <row r="143" spans="1:22" x14ac:dyDescent="0.2">
      <c r="A143" t="str">
        <f>B118</f>
        <v>synthetic natural gas from catalytic methanation, transported by pipeline, produced by Electrolysis, PEM using water and electricity from grid, and carbon from DAC</v>
      </c>
      <c r="B143" s="45">
        <v>1</v>
      </c>
      <c r="C143" t="str">
        <f>B124</f>
        <v>kilogram</v>
      </c>
      <c r="E143" t="str">
        <f>B121</f>
        <v>CH</v>
      </c>
      <c r="F143" t="s">
        <v>62</v>
      </c>
      <c r="G143" t="str">
        <f>B123</f>
        <v>synthetic natural gas, from pipeline</v>
      </c>
      <c r="K143" t="str">
        <f>B118</f>
        <v>synthetic natural gas from catalytic methanation, transported by pipeline, produced by Electrolysis, PEM using water and electricity from grid, and carbon from DAC</v>
      </c>
    </row>
    <row r="144" spans="1:22" x14ac:dyDescent="0.2">
      <c r="A144" t="str">
        <f>VLOOKUP(J144,'dataset mapping'!$A$4:$E$69,2,0)</f>
        <v>methane, from electrochemical methanation, with carbon from atmospheric CO2 capture</v>
      </c>
      <c r="B144" s="52">
        <v>1</v>
      </c>
      <c r="C144" t="str">
        <f>VLOOKUP(J144,'dataset mapping'!$A$4:$E$69,5,0)</f>
        <v>kilogram</v>
      </c>
      <c r="E144" t="str">
        <f>VLOOKUP(J144,'dataset mapping'!$A$4:$E$69,4,0)</f>
        <v>CH</v>
      </c>
      <c r="F144" t="s">
        <v>86</v>
      </c>
      <c r="G144" t="str">
        <f>VLOOKUP(J144,'dataset mapping'!$A$4:$E$69,3,0)</f>
        <v>methane, from electrochemical methanation</v>
      </c>
      <c r="H144" t="s">
        <v>76</v>
      </c>
      <c r="I144" t="s">
        <v>1055</v>
      </c>
      <c r="J144" t="s">
        <v>858</v>
      </c>
      <c r="K144" t="str">
        <f>B118</f>
        <v>synthetic natural gas from catalytic methanation, transported by pipeline, produced by Electrolysis, PEM using water and electricity from grid, and carbon from DAC</v>
      </c>
      <c r="L144">
        <f t="shared" ref="L144:L150" si="20">IF(OR(B144&lt;0,B144=0),1,2)</f>
        <v>2</v>
      </c>
      <c r="M144">
        <f t="shared" ref="M144:M155" si="21">IF(L144=2,LN(B144),"")</f>
        <v>0</v>
      </c>
      <c r="N144">
        <v>1.5</v>
      </c>
      <c r="O144">
        <v>1.2</v>
      </c>
      <c r="P144">
        <v>1.5</v>
      </c>
      <c r="Q144">
        <v>1.1000000000000001</v>
      </c>
      <c r="R144">
        <v>2</v>
      </c>
      <c r="S144">
        <v>1.2</v>
      </c>
      <c r="T144">
        <v>1.05</v>
      </c>
      <c r="U144">
        <f t="shared" ref="U144:U150" si="22">LN(SQRT(EXP(
SQRT(
+POWER(LN(N144),2)
+POWER(LN(O144),2)
+POWER(LN(P144),2)
+POWER(LN(Q144),2)
+POWER(LN(R144),2)
+POWER(LN(S144),2)
+POWER(LN(T144),2)
)
)))</f>
        <v>0.47095746419981693</v>
      </c>
    </row>
    <row r="145" spans="1:21" x14ac:dyDescent="0.2">
      <c r="A145" t="str">
        <f>VLOOKUP(J145,'dataset mapping'!$A$4:$E$69,2,0)</f>
        <v>methane, from electrochemical methanation, with carbon from atmospheric CO2 capture</v>
      </c>
      <c r="B145" s="52">
        <f>SUM(B153:B154)</f>
        <v>9.5000000000000005E-5</v>
      </c>
      <c r="C145" t="str">
        <f>VLOOKUP(J145,'dataset mapping'!$A$4:$E$69,5,0)</f>
        <v>kilogram</v>
      </c>
      <c r="E145" t="str">
        <f>VLOOKUP(J145,'dataset mapping'!$A$4:$E$69,4,0)</f>
        <v>CH</v>
      </c>
      <c r="F145" t="s">
        <v>86</v>
      </c>
      <c r="G145" t="str">
        <f>VLOOKUP(J145,'dataset mapping'!$A$4:$E$69,3,0)</f>
        <v>methane, from electrochemical methanation</v>
      </c>
      <c r="H145" t="s">
        <v>159</v>
      </c>
      <c r="I145" t="s">
        <v>161</v>
      </c>
      <c r="J145" t="s">
        <v>858</v>
      </c>
      <c r="K145" t="str">
        <f>B118</f>
        <v>synthetic natural gas from catalytic methanation, transported by pipeline, produced by Electrolysis, PEM using water and electricity from grid, and carbon from DAC</v>
      </c>
      <c r="L145">
        <f t="shared" si="20"/>
        <v>2</v>
      </c>
      <c r="M145">
        <f t="shared" si="21"/>
        <v>-9.2616336663637338</v>
      </c>
      <c r="N145">
        <v>1.5</v>
      </c>
      <c r="O145">
        <v>1.2</v>
      </c>
      <c r="P145">
        <v>1.5</v>
      </c>
      <c r="Q145">
        <v>1.1000000000000001</v>
      </c>
      <c r="R145">
        <v>2</v>
      </c>
      <c r="S145">
        <v>1.2</v>
      </c>
      <c r="T145">
        <v>1.05</v>
      </c>
      <c r="U145">
        <f t="shared" si="22"/>
        <v>0.47095746419981693</v>
      </c>
    </row>
    <row r="146" spans="1:21" x14ac:dyDescent="0.2">
      <c r="A146" t="str">
        <f>VLOOKUP(J146,'dataset mapping'!$A$4:$E$69,2,0)</f>
        <v>pipeline construction, natural gas, high pressure distribution network</v>
      </c>
      <c r="B146" s="52">
        <f>0.0000000000625*SUM(B144:B145)*B130*0.29</f>
        <v>9.0633609375000005E-9</v>
      </c>
      <c r="C146" t="str">
        <f>VLOOKUP(J146,'dataset mapping'!$A$4:$E$69,5,0)</f>
        <v>kilometer</v>
      </c>
      <c r="E146" t="str">
        <f>VLOOKUP(J146,'dataset mapping'!$A$4:$E$69,4,0)</f>
        <v>CH</v>
      </c>
      <c r="F146" t="s">
        <v>86</v>
      </c>
      <c r="G146" t="str">
        <f>VLOOKUP(J146,'dataset mapping'!$A$4:$E$69,3,0)</f>
        <v>pipeline, natural gas, high pressure distribution network</v>
      </c>
      <c r="H146" t="s">
        <v>88</v>
      </c>
      <c r="I146" t="s">
        <v>1034</v>
      </c>
      <c r="J146" t="s">
        <v>398</v>
      </c>
      <c r="K146" t="str">
        <f>B118</f>
        <v>synthetic natural gas from catalytic methanation, transported by pipeline, produced by Electrolysis, PEM using water and electricity from grid, and carbon from DAC</v>
      </c>
      <c r="L146">
        <f t="shared" si="20"/>
        <v>2</v>
      </c>
      <c r="M146">
        <f t="shared" si="21"/>
        <v>-18.519025821277832</v>
      </c>
      <c r="N146">
        <v>1.5</v>
      </c>
      <c r="O146">
        <v>1.2</v>
      </c>
      <c r="P146">
        <v>1.5</v>
      </c>
      <c r="Q146">
        <v>1.1000000000000001</v>
      </c>
      <c r="R146">
        <v>2</v>
      </c>
      <c r="S146">
        <v>1.2</v>
      </c>
      <c r="T146">
        <v>3</v>
      </c>
      <c r="U146">
        <f t="shared" si="22"/>
        <v>0.72314801614797197</v>
      </c>
    </row>
    <row r="147" spans="1:21" x14ac:dyDescent="0.2">
      <c r="A147" t="s">
        <v>1032</v>
      </c>
      <c r="B147" s="52">
        <f>0.0000000000625*SUM(B144:B145)*B130*0.71</f>
        <v>2.2189607812499999E-8</v>
      </c>
      <c r="C147" t="str">
        <f>VLOOKUP(J147,'dataset mapping'!$A$4:$E$69,5,0)</f>
        <v>kilometer</v>
      </c>
      <c r="E147" t="str">
        <f>VLOOKUP(J147,'dataset mapping'!$A$4:$E$69,4,0)</f>
        <v>CH</v>
      </c>
      <c r="F147" t="s">
        <v>86</v>
      </c>
      <c r="G147" t="s">
        <v>1033</v>
      </c>
      <c r="H147" t="s">
        <v>88</v>
      </c>
      <c r="I147" t="s">
        <v>1034</v>
      </c>
      <c r="J147" t="s">
        <v>398</v>
      </c>
      <c r="K147" t="str">
        <f>B118</f>
        <v>synthetic natural gas from catalytic methanation, transported by pipeline, produced by Electrolysis, PEM using water and electricity from grid, and carbon from DAC</v>
      </c>
      <c r="L147">
        <f t="shared" si="20"/>
        <v>2</v>
      </c>
      <c r="M147">
        <f t="shared" si="21"/>
        <v>-17.623641774222992</v>
      </c>
      <c r="N147">
        <v>1.5</v>
      </c>
      <c r="O147">
        <v>1.2</v>
      </c>
      <c r="P147">
        <v>1.5</v>
      </c>
      <c r="Q147">
        <v>1.1000000000000001</v>
      </c>
      <c r="R147">
        <v>2</v>
      </c>
      <c r="S147">
        <v>1.2</v>
      </c>
      <c r="T147">
        <v>3</v>
      </c>
      <c r="U147">
        <f t="shared" si="22"/>
        <v>0.72314801614797197</v>
      </c>
    </row>
    <row r="148" spans="1:21" x14ac:dyDescent="0.2">
      <c r="A148" t="s">
        <v>130</v>
      </c>
      <c r="B148" s="52">
        <v>2.82E-3</v>
      </c>
      <c r="C148" t="s">
        <v>92</v>
      </c>
      <c r="E148" t="s">
        <v>64</v>
      </c>
      <c r="F148" t="s">
        <v>86</v>
      </c>
      <c r="G148" t="s">
        <v>93</v>
      </c>
      <c r="H148" t="s">
        <v>78</v>
      </c>
      <c r="I148" t="s">
        <v>855</v>
      </c>
      <c r="J148" t="s">
        <v>67</v>
      </c>
      <c r="K148" t="str">
        <f>B118</f>
        <v>synthetic natural gas from catalytic methanation, transported by pipeline, produced by Electrolysis, PEM using water and electricity from grid, and carbon from DAC</v>
      </c>
      <c r="L148">
        <f t="shared" si="20"/>
        <v>2</v>
      </c>
      <c r="M148">
        <f t="shared" si="21"/>
        <v>-5.8710183940321148</v>
      </c>
      <c r="N148">
        <v>1.5</v>
      </c>
      <c r="O148">
        <v>1.2</v>
      </c>
      <c r="P148">
        <v>1.5</v>
      </c>
      <c r="Q148">
        <v>1.1000000000000001</v>
      </c>
      <c r="R148">
        <v>2</v>
      </c>
      <c r="S148">
        <v>1.2</v>
      </c>
      <c r="T148">
        <v>1.05</v>
      </c>
      <c r="U148">
        <f t="shared" si="22"/>
        <v>0.47095746419981693</v>
      </c>
    </row>
    <row r="149" spans="1:21" x14ac:dyDescent="0.2">
      <c r="A149" t="s">
        <v>1161</v>
      </c>
      <c r="B149" s="52">
        <v>6.1873999999999998E-2</v>
      </c>
      <c r="C149" t="s">
        <v>65</v>
      </c>
      <c r="E149" t="s">
        <v>64</v>
      </c>
      <c r="F149" t="s">
        <v>86</v>
      </c>
      <c r="G149" t="s">
        <v>66</v>
      </c>
      <c r="I149" t="s">
        <v>1159</v>
      </c>
      <c r="K149" t="str">
        <f>B118</f>
        <v>synthetic natural gas from catalytic methanation, transported by pipeline, produced by Electrolysis, PEM using water and electricity from grid, and carbon from DAC</v>
      </c>
      <c r="L149">
        <f t="shared" si="20"/>
        <v>2</v>
      </c>
      <c r="M149">
        <f t="shared" si="21"/>
        <v>-2.7826552198400445</v>
      </c>
      <c r="N149">
        <v>1.5</v>
      </c>
      <c r="O149">
        <v>1.2</v>
      </c>
      <c r="P149">
        <v>1.5</v>
      </c>
      <c r="Q149">
        <v>1.1000000000000001</v>
      </c>
      <c r="R149">
        <v>2</v>
      </c>
      <c r="S149">
        <v>1.2</v>
      </c>
      <c r="T149">
        <v>1.05</v>
      </c>
      <c r="U149">
        <f t="shared" si="22"/>
        <v>0.47095746419981693</v>
      </c>
    </row>
    <row r="150" spans="1:21" x14ac:dyDescent="0.2">
      <c r="A150" t="s">
        <v>371</v>
      </c>
      <c r="B150" s="52">
        <f>5.21708333333333E-06*B139</f>
        <v>5.2170833333333303E-6</v>
      </c>
      <c r="C150" t="s">
        <v>56</v>
      </c>
      <c r="D150" t="s">
        <v>100</v>
      </c>
      <c r="F150" t="s">
        <v>99</v>
      </c>
      <c r="H150" t="s">
        <v>131</v>
      </c>
      <c r="I150" t="s">
        <v>399</v>
      </c>
      <c r="K150" t="str">
        <f>B118</f>
        <v>synthetic natural gas from catalytic methanation, transported by pipeline, produced by Electrolysis, PEM using water and electricity from grid, and carbon from DAC</v>
      </c>
      <c r="L150">
        <f t="shared" si="20"/>
        <v>2</v>
      </c>
      <c r="M150">
        <f t="shared" si="21"/>
        <v>-12.163572060631363</v>
      </c>
      <c r="N150">
        <v>1.5</v>
      </c>
      <c r="O150">
        <v>1.2</v>
      </c>
      <c r="P150">
        <v>1.5</v>
      </c>
      <c r="Q150">
        <v>1.1000000000000001</v>
      </c>
      <c r="R150">
        <v>2</v>
      </c>
      <c r="S150">
        <v>1.2</v>
      </c>
      <c r="T150">
        <v>1.05</v>
      </c>
      <c r="U150">
        <f t="shared" si="22"/>
        <v>0.47095746419981693</v>
      </c>
    </row>
    <row r="151" spans="1:21" x14ac:dyDescent="0.2">
      <c r="A151" t="s">
        <v>316</v>
      </c>
      <c r="B151" s="52">
        <f>5.21708333333333E-06*(1-B139)</f>
        <v>0</v>
      </c>
      <c r="C151" t="s">
        <v>56</v>
      </c>
      <c r="D151" t="s">
        <v>100</v>
      </c>
      <c r="F151" t="s">
        <v>99</v>
      </c>
      <c r="H151" t="s">
        <v>131</v>
      </c>
      <c r="I151" t="s">
        <v>399</v>
      </c>
      <c r="K151" t="str">
        <f>B118</f>
        <v>synthetic natural gas from catalytic methanation, transported by pipeline, produced by Electrolysis, PEM using water and electricity from grid, and carbon from DAC</v>
      </c>
      <c r="L151">
        <v>0</v>
      </c>
      <c r="M151" t="str">
        <f t="shared" si="21"/>
        <v/>
      </c>
    </row>
    <row r="152" spans="1:21" x14ac:dyDescent="0.2">
      <c r="A152" t="s">
        <v>372</v>
      </c>
      <c r="B152" s="52">
        <v>5.97180555555556E-10</v>
      </c>
      <c r="C152" t="s">
        <v>56</v>
      </c>
      <c r="D152" t="s">
        <v>100</v>
      </c>
      <c r="F152" t="s">
        <v>99</v>
      </c>
      <c r="H152" t="s">
        <v>131</v>
      </c>
      <c r="I152" t="s">
        <v>399</v>
      </c>
      <c r="K152" t="str">
        <f>B118</f>
        <v>synthetic natural gas from catalytic methanation, transported by pipeline, produced by Electrolysis, PEM using water and electricity from grid, and carbon from DAC</v>
      </c>
      <c r="L152">
        <f t="shared" ref="L152:L153" si="23">IF(OR(B152&lt;0,B152=0),1,2)</f>
        <v>2</v>
      </c>
      <c r="M152">
        <f t="shared" si="21"/>
        <v>-21.238801610144623</v>
      </c>
      <c r="N152">
        <v>1.5</v>
      </c>
      <c r="O152">
        <v>1.2</v>
      </c>
      <c r="P152">
        <v>1.5</v>
      </c>
      <c r="Q152">
        <v>1.1000000000000001</v>
      </c>
      <c r="R152">
        <v>2</v>
      </c>
      <c r="S152">
        <v>1.2</v>
      </c>
      <c r="T152">
        <v>1.5</v>
      </c>
      <c r="U152">
        <f t="shared" ref="U152:U153" si="24">LN(SQRT(EXP(
SQRT(
+POWER(LN(N152),2)
+POWER(LN(O152),2)
+POWER(LN(P152),2)
+POWER(LN(Q152),2)
+POWER(LN(R152),2)
+POWER(LN(S152),2)
+POWER(LN(T152),2)
)
)))</f>
        <v>0.51215847306170115</v>
      </c>
    </row>
    <row r="153" spans="1:21" x14ac:dyDescent="0.2">
      <c r="A153" t="s">
        <v>373</v>
      </c>
      <c r="B153" s="52">
        <f>B144*B137*(B130/1000)*B139</f>
        <v>9.5000000000000005E-5</v>
      </c>
      <c r="C153" t="s">
        <v>56</v>
      </c>
      <c r="D153" t="s">
        <v>100</v>
      </c>
      <c r="F153" t="s">
        <v>99</v>
      </c>
      <c r="H153" t="s">
        <v>131</v>
      </c>
      <c r="I153" t="s">
        <v>1221</v>
      </c>
      <c r="K153" t="str">
        <f>B118</f>
        <v>synthetic natural gas from catalytic methanation, transported by pipeline, produced by Electrolysis, PEM using water and electricity from grid, and carbon from DAC</v>
      </c>
      <c r="L153">
        <f t="shared" si="23"/>
        <v>2</v>
      </c>
      <c r="M153">
        <f t="shared" si="21"/>
        <v>-9.2616336663637338</v>
      </c>
      <c r="N153">
        <v>1.5</v>
      </c>
      <c r="O153">
        <v>1.2</v>
      </c>
      <c r="P153">
        <v>1.5</v>
      </c>
      <c r="Q153">
        <v>1.1000000000000001</v>
      </c>
      <c r="R153">
        <v>2</v>
      </c>
      <c r="S153">
        <v>1.2</v>
      </c>
      <c r="T153">
        <v>1.5</v>
      </c>
      <c r="U153">
        <f t="shared" si="24"/>
        <v>0.51215847306170115</v>
      </c>
    </row>
    <row r="154" spans="1:21" x14ac:dyDescent="0.2">
      <c r="A154" t="s">
        <v>320</v>
      </c>
      <c r="B154" s="52">
        <f>B144*B137*(B130/1000)*(1-B139)</f>
        <v>0</v>
      </c>
      <c r="C154" t="s">
        <v>56</v>
      </c>
      <c r="D154" t="s">
        <v>100</v>
      </c>
      <c r="F154" t="s">
        <v>99</v>
      </c>
      <c r="H154" t="s">
        <v>131</v>
      </c>
      <c r="I154" t="s">
        <v>1221</v>
      </c>
      <c r="K154" t="str">
        <f>B118</f>
        <v>synthetic natural gas from catalytic methanation, transported by pipeline, produced by Electrolysis, PEM using water and electricity from grid, and carbon from DAC</v>
      </c>
      <c r="L154">
        <v>0</v>
      </c>
      <c r="M154" t="str">
        <f t="shared" si="21"/>
        <v/>
      </c>
    </row>
    <row r="155" spans="1:21" x14ac:dyDescent="0.2">
      <c r="A155" t="s">
        <v>374</v>
      </c>
      <c r="B155" s="52">
        <v>1.8050000000000001E-6</v>
      </c>
      <c r="C155" t="s">
        <v>56</v>
      </c>
      <c r="D155" t="s">
        <v>100</v>
      </c>
      <c r="F155" t="s">
        <v>99</v>
      </c>
      <c r="H155" t="s">
        <v>131</v>
      </c>
      <c r="I155" t="s">
        <v>399</v>
      </c>
      <c r="K155" t="str">
        <f>B118</f>
        <v>synthetic natural gas from catalytic methanation, transported by pipeline, produced by Electrolysis, PEM using water and electricity from grid, and carbon from DAC</v>
      </c>
      <c r="L155">
        <f t="shared" ref="L155" si="25">IF(OR(B155&lt;0,B155=0),1,2)</f>
        <v>2</v>
      </c>
      <c r="M155">
        <f t="shared" si="21"/>
        <v>-13.22494996617943</v>
      </c>
      <c r="N155">
        <v>1.5</v>
      </c>
      <c r="O155">
        <v>1.2</v>
      </c>
      <c r="P155">
        <v>1.5</v>
      </c>
      <c r="Q155">
        <v>1.1000000000000001</v>
      </c>
      <c r="R155">
        <v>2</v>
      </c>
      <c r="S155">
        <v>1.2</v>
      </c>
      <c r="T155">
        <v>1.5</v>
      </c>
      <c r="U155">
        <f t="shared" ref="U155" si="26">LN(SQRT(EXP(
SQRT(
+POWER(LN(N155),2)
+POWER(LN(O155),2)
+POWER(LN(P155),2)
+POWER(LN(Q155),2)
+POWER(LN(R155),2)
+POWER(LN(S155),2)
+POWER(LN(T155),2)
)
)))</f>
        <v>0.51215847306170115</v>
      </c>
    </row>
    <row r="156" spans="1:21" x14ac:dyDescent="0.2">
      <c r="B156" s="45"/>
    </row>
    <row r="157" spans="1:21" x14ac:dyDescent="0.2">
      <c r="A157" s="2" t="s">
        <v>50</v>
      </c>
      <c r="B157" s="44" t="str">
        <f>B167&amp;", transported by "&amp;B168&amp;", produced by "&amp;B172&amp;" using "&amp;B173&amp;" from "&amp;B174&amp;", and carbon from "&amp;B175</f>
        <v>synthetic natural gas from catalytic methanation, transported by pipeline, produced by Electrolysis, PEM using water and electricity from grid, and carbon from MSWI</v>
      </c>
    </row>
    <row r="158" spans="1:21" x14ac:dyDescent="0.2">
      <c r="A158" t="s">
        <v>51</v>
      </c>
      <c r="B158" s="45" t="str">
        <f>"This dataset represents the supply of 1 kilogram of synthetic natural gas The gas is transported by "&amp;B168&amp;" over "&amp;B169&amp;" km from regional storage. "&amp;" The "&amp;B167&amp;" is produced by  "&amp;B172&amp;", with "&amp;B173&amp;" from "&amp;B174&amp;" as feedstock. "&amp;A176&amp;": "&amp;(B176*100)&amp;"%. "&amp;A177&amp;": "&amp;(B177*100)&amp;".  For more information, refer to: "&amp;B159</f>
        <v>This dataset represents the supply of 1 kilogram of synthetic natural gas The gas is transported by pipeline over 500 km from regional storage.  The synthetic natural gas from catalytic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159" spans="1:21" x14ac:dyDescent="0.2">
      <c r="A159" t="s">
        <v>63</v>
      </c>
      <c r="B159" s="45" t="s">
        <v>1223</v>
      </c>
    </row>
    <row r="160" spans="1:21" x14ac:dyDescent="0.2">
      <c r="A160" t="s">
        <v>52</v>
      </c>
      <c r="B160" s="45" t="s">
        <v>64</v>
      </c>
    </row>
    <row r="161" spans="1:2" x14ac:dyDescent="0.2">
      <c r="A161" t="s">
        <v>48</v>
      </c>
      <c r="B161" s="45">
        <v>181</v>
      </c>
    </row>
    <row r="162" spans="1:2" x14ac:dyDescent="0.2">
      <c r="A162" t="s">
        <v>54</v>
      </c>
      <c r="B162" s="45" t="s">
        <v>1157</v>
      </c>
    </row>
    <row r="163" spans="1:2" x14ac:dyDescent="0.2">
      <c r="A163" t="s">
        <v>55</v>
      </c>
      <c r="B163" s="45" t="s">
        <v>56</v>
      </c>
    </row>
    <row r="164" spans="1:2" x14ac:dyDescent="0.2">
      <c r="A164" t="s">
        <v>0</v>
      </c>
      <c r="B164" s="45" t="str">
        <f>INDEX(overview!$B$4:$R$338,MATCH('synthetic nat gas - supply'!B161,overview!$A$4:$A$338,0),MATCH('synthetic nat gas - supply'!A164,overview!$B$3:$R$3,0))</f>
        <v>Switzerland</v>
      </c>
    </row>
    <row r="165" spans="1:2" x14ac:dyDescent="0.2">
      <c r="A165" t="s">
        <v>1</v>
      </c>
      <c r="B165" s="45">
        <f>INDEX(overview!$B$4:$R$338,MATCH('synthetic nat gas - supply'!B161,overview!$A$4:$A$338,0),MATCH('synthetic nat gas - supply'!A165,overview!$B$3:$R$3,0))</f>
        <v>2020</v>
      </c>
    </row>
    <row r="166" spans="1:2" x14ac:dyDescent="0.2">
      <c r="A166" t="s">
        <v>2</v>
      </c>
      <c r="B166" s="45" t="s">
        <v>1168</v>
      </c>
    </row>
    <row r="167" spans="1:2" x14ac:dyDescent="0.2">
      <c r="A167" t="s">
        <v>5</v>
      </c>
      <c r="B167" s="45" t="str">
        <f>INDEX(overview!$B$4:$R$338,MATCH('synthetic nat gas - supply'!B161,overview!$A$4:$A$338,0),MATCH('synthetic nat gas - supply'!A167,overview!$B$3:$R$3,0))</f>
        <v>synthetic natural gas from catalytic methanation</v>
      </c>
    </row>
    <row r="168" spans="1:2" x14ac:dyDescent="0.2">
      <c r="A168" t="s">
        <v>4</v>
      </c>
      <c r="B168" s="45" t="str">
        <f>INDEX(overview!$B$4:$R$338,MATCH('synthetic nat gas - supply'!B161,overview!$A$4:$A$338,0),MATCH('synthetic nat gas - supply'!A168,overview!$B$3:$R$3,0))</f>
        <v>pipeline</v>
      </c>
    </row>
    <row r="169" spans="1:2" x14ac:dyDescent="0.2">
      <c r="A169" t="s">
        <v>38</v>
      </c>
      <c r="B169" s="45">
        <f>INDEX(overview!$B$4:$R$338,MATCH('synthetic nat gas - supply'!B161,overview!$A$4:$A$338,0),MATCH('synthetic nat gas - supply'!A169,overview!$B$3:$R$3,0))</f>
        <v>500</v>
      </c>
    </row>
    <row r="170" spans="1:2" x14ac:dyDescent="0.2">
      <c r="A170" t="s">
        <v>12</v>
      </c>
      <c r="B170" s="45" t="str">
        <f>INDEX(overview!$B$4:$R$338,MATCH('synthetic nat gas - supply'!B161,overview!$A$4:$A$338,0),MATCH('synthetic nat gas - supply'!A170,overview!$B$3:$R$3,0))</f>
        <v>Above surface pressure vessel</v>
      </c>
    </row>
    <row r="171" spans="1:2" x14ac:dyDescent="0.2">
      <c r="A171" t="s">
        <v>34</v>
      </c>
      <c r="B171" s="45" t="str">
        <f>INDEX(overview!$B$4:$R$338,MATCH('synthetic nat gas - supply'!B161,overview!$A$4:$A$338,0),MATCH('synthetic nat gas - supply'!A171,overview!$B$3:$R$3,0))</f>
        <v>catalytic</v>
      </c>
    </row>
    <row r="172" spans="1:2" x14ac:dyDescent="0.2">
      <c r="A172" t="s">
        <v>15</v>
      </c>
      <c r="B172" s="45" t="str">
        <f>INDEX(overview!$B$4:$R$338,MATCH('synthetic nat gas - supply'!B161,overview!$A$4:$A$338,0),MATCH('synthetic nat gas - supply'!A172,overview!$B$3:$R$3,0))</f>
        <v>Electrolysis, PEM</v>
      </c>
    </row>
    <row r="173" spans="1:2" x14ac:dyDescent="0.2">
      <c r="A173" t="s">
        <v>14</v>
      </c>
      <c r="B173" s="45" t="str">
        <f>INDEX(overview!$B$4:$R$338,MATCH('synthetic nat gas - supply'!B161,overview!$A$4:$A$338,0),MATCH('synthetic nat gas - supply'!A173,overview!$B$3:$R$3,0))</f>
        <v>water and electricity</v>
      </c>
    </row>
    <row r="174" spans="1:2" x14ac:dyDescent="0.2">
      <c r="A174" t="s">
        <v>26</v>
      </c>
      <c r="B174" s="45" t="str">
        <f>INDEX(overview!$B$4:$R$338,MATCH('synthetic nat gas - supply'!B161,overview!$A$4:$A$338,0),MATCH('synthetic nat gas - supply'!A174,overview!$B$3:$R$3,0))</f>
        <v>grid</v>
      </c>
    </row>
    <row r="175" spans="1:2" x14ac:dyDescent="0.2">
      <c r="A175" t="s">
        <v>29</v>
      </c>
      <c r="B175" s="45" t="str">
        <f>INDEX(overview!$B$4:$R$338,MATCH('synthetic nat gas - supply'!B161,overview!$A$4:$A$338,0),MATCH('synthetic nat gas - supply'!A175,overview!$B$3:$R$3,0))</f>
        <v>MSWI</v>
      </c>
    </row>
    <row r="176" spans="1:2" x14ac:dyDescent="0.2">
      <c r="A176" t="s">
        <v>45</v>
      </c>
      <c r="B176" s="69">
        <v>1.9000000000000001E-4</v>
      </c>
    </row>
    <row r="177" spans="1:22" x14ac:dyDescent="0.2">
      <c r="A177" t="s">
        <v>1133</v>
      </c>
      <c r="B177" s="49">
        <v>0</v>
      </c>
    </row>
    <row r="178" spans="1:22" x14ac:dyDescent="0.2">
      <c r="A178" t="s">
        <v>82</v>
      </c>
      <c r="B178" s="46">
        <f>IF(B175&lt;&gt;0,VLOOKUP(B175,parameters!$A$26:$B$28,2,0),"")</f>
        <v>0.61363636363636365</v>
      </c>
    </row>
    <row r="179" spans="1:22" x14ac:dyDescent="0.2">
      <c r="B179" s="45"/>
    </row>
    <row r="180" spans="1:22" x14ac:dyDescent="0.2">
      <c r="A180" s="3" t="s">
        <v>57</v>
      </c>
      <c r="B180" s="45"/>
    </row>
    <row r="181" spans="1:22" x14ac:dyDescent="0.2">
      <c r="A181" s="2" t="s">
        <v>58</v>
      </c>
      <c r="B181" s="44" t="s">
        <v>59</v>
      </c>
      <c r="C181" s="2" t="s">
        <v>55</v>
      </c>
      <c r="D181" s="2" t="s">
        <v>60</v>
      </c>
      <c r="E181" s="2" t="s">
        <v>52</v>
      </c>
      <c r="F181" s="2" t="s">
        <v>61</v>
      </c>
      <c r="G181" s="2" t="s">
        <v>54</v>
      </c>
      <c r="H181" s="2" t="s">
        <v>87</v>
      </c>
      <c r="I181" s="2" t="s">
        <v>51</v>
      </c>
      <c r="J181" s="2" t="s">
        <v>138</v>
      </c>
      <c r="K181" s="2" t="s">
        <v>136</v>
      </c>
      <c r="L181" s="2" t="s">
        <v>221</v>
      </c>
      <c r="M181" s="2" t="s">
        <v>379</v>
      </c>
      <c r="N181" s="2" t="s">
        <v>1059</v>
      </c>
      <c r="O181" s="2" t="s">
        <v>1060</v>
      </c>
      <c r="P181" s="2" t="s">
        <v>1061</v>
      </c>
      <c r="Q181" s="2" t="s">
        <v>1062</v>
      </c>
      <c r="R181" s="2" t="s">
        <v>1063</v>
      </c>
      <c r="S181" s="2" t="s">
        <v>1064</v>
      </c>
      <c r="T181" s="2" t="s">
        <v>1065</v>
      </c>
      <c r="U181" s="2" t="s">
        <v>380</v>
      </c>
      <c r="V181" s="2" t="s">
        <v>1128</v>
      </c>
    </row>
    <row r="182" spans="1:22" x14ac:dyDescent="0.2">
      <c r="A182" t="str">
        <f>B157</f>
        <v>synthetic natural gas from catalytic methanation, transported by pipeline, produced by Electrolysis, PEM using water and electricity from grid, and carbon from MSWI</v>
      </c>
      <c r="B182" s="45">
        <v>1</v>
      </c>
      <c r="C182" t="str">
        <f>B163</f>
        <v>kilogram</v>
      </c>
      <c r="E182" t="str">
        <f>B160</f>
        <v>CH</v>
      </c>
      <c r="F182" t="s">
        <v>62</v>
      </c>
      <c r="G182" t="str">
        <f>B162</f>
        <v>synthetic natural gas, from pipeline</v>
      </c>
      <c r="K182" t="str">
        <f>B157</f>
        <v>synthetic natural gas from catalytic methanation, transported by pipeline, produced by Electrolysis, PEM using water and electricity from grid, and carbon from MSWI</v>
      </c>
    </row>
    <row r="183" spans="1:22" x14ac:dyDescent="0.2">
      <c r="A183" t="str">
        <f>VLOOKUP(J183,'dataset mapping'!$A$4:$E$69,2,0)</f>
        <v>methane, from electrochemical methanation, with carbon from municipal waste incineration plant</v>
      </c>
      <c r="B183" s="52">
        <v>1</v>
      </c>
      <c r="C183" t="str">
        <f>VLOOKUP(J183,'dataset mapping'!$A$4:$E$69,5,0)</f>
        <v>kilogram</v>
      </c>
      <c r="E183" t="str">
        <f>VLOOKUP(J183,'dataset mapping'!$A$4:$E$69,4,0)</f>
        <v>CH</v>
      </c>
      <c r="F183" t="s">
        <v>86</v>
      </c>
      <c r="G183" t="str">
        <f>VLOOKUP(J183,'dataset mapping'!$A$4:$E$69,3,0)</f>
        <v>methane, from electrochemical methanation</v>
      </c>
      <c r="H183" t="s">
        <v>76</v>
      </c>
      <c r="I183" t="s">
        <v>1055</v>
      </c>
      <c r="J183" t="s">
        <v>859</v>
      </c>
      <c r="K183" t="str">
        <f>B157</f>
        <v>synthetic natural gas from catalytic methanation, transported by pipeline, produced by Electrolysis, PEM using water and electricity from grid, and carbon from MSWI</v>
      </c>
      <c r="L183">
        <f t="shared" ref="L183:L189" si="27">IF(OR(B183&lt;0,B183=0),1,2)</f>
        <v>2</v>
      </c>
      <c r="M183">
        <f t="shared" ref="M183:M194" si="28">IF(L183=2,LN(B183),"")</f>
        <v>0</v>
      </c>
      <c r="N183">
        <v>1.5</v>
      </c>
      <c r="O183">
        <v>1.2</v>
      </c>
      <c r="P183">
        <v>1.5</v>
      </c>
      <c r="Q183">
        <v>1.1000000000000001</v>
      </c>
      <c r="R183">
        <v>2</v>
      </c>
      <c r="S183">
        <v>1.2</v>
      </c>
      <c r="T183">
        <v>1.05</v>
      </c>
      <c r="U183">
        <f t="shared" ref="U183:U189" si="29">LN(SQRT(EXP(
SQRT(
+POWER(LN(N183),2)
+POWER(LN(O183),2)
+POWER(LN(P183),2)
+POWER(LN(Q183),2)
+POWER(LN(R183),2)
+POWER(LN(S183),2)
+POWER(LN(T183),2)
)
)))</f>
        <v>0.47095746419981693</v>
      </c>
    </row>
    <row r="184" spans="1:22" x14ac:dyDescent="0.2">
      <c r="A184" t="str">
        <f>VLOOKUP(J184,'dataset mapping'!$A$4:$E$69,2,0)</f>
        <v>methane, from electrochemical methanation, with carbon from municipal waste incineration plant</v>
      </c>
      <c r="B184" s="52">
        <f>SUM(B192:B193)</f>
        <v>9.5000000000000005E-5</v>
      </c>
      <c r="C184" t="str">
        <f>VLOOKUP(J184,'dataset mapping'!$A$4:$E$69,5,0)</f>
        <v>kilogram</v>
      </c>
      <c r="E184" t="str">
        <f>VLOOKUP(J184,'dataset mapping'!$A$4:$E$69,4,0)</f>
        <v>CH</v>
      </c>
      <c r="F184" t="s">
        <v>86</v>
      </c>
      <c r="G184" t="str">
        <f>VLOOKUP(J184,'dataset mapping'!$A$4:$E$69,3,0)</f>
        <v>methane, from electrochemical methanation</v>
      </c>
      <c r="H184" t="s">
        <v>159</v>
      </c>
      <c r="I184" t="s">
        <v>161</v>
      </c>
      <c r="J184" t="s">
        <v>859</v>
      </c>
      <c r="K184" t="str">
        <f>B157</f>
        <v>synthetic natural gas from catalytic methanation, transported by pipeline, produced by Electrolysis, PEM using water and electricity from grid, and carbon from MSWI</v>
      </c>
      <c r="L184">
        <f t="shared" si="27"/>
        <v>2</v>
      </c>
      <c r="M184">
        <f t="shared" si="28"/>
        <v>-9.2616336663637338</v>
      </c>
      <c r="N184">
        <v>1.5</v>
      </c>
      <c r="O184">
        <v>1.2</v>
      </c>
      <c r="P184">
        <v>1.5</v>
      </c>
      <c r="Q184">
        <v>1.1000000000000001</v>
      </c>
      <c r="R184">
        <v>2</v>
      </c>
      <c r="S184">
        <v>1.2</v>
      </c>
      <c r="T184">
        <v>1.05</v>
      </c>
      <c r="U184">
        <f t="shared" si="29"/>
        <v>0.47095746419981693</v>
      </c>
    </row>
    <row r="185" spans="1:22" x14ac:dyDescent="0.2">
      <c r="A185" t="str">
        <f>VLOOKUP(J185,'dataset mapping'!$A$4:$E$69,2,0)</f>
        <v>pipeline construction, natural gas, high pressure distribution network</v>
      </c>
      <c r="B185" s="52">
        <f>0.0000000000625*SUM(B183:B184)*B169*0.29</f>
        <v>9.0633609375000005E-9</v>
      </c>
      <c r="C185" t="str">
        <f>VLOOKUP(J185,'dataset mapping'!$A$4:$E$69,5,0)</f>
        <v>kilometer</v>
      </c>
      <c r="E185" t="str">
        <f>VLOOKUP(J185,'dataset mapping'!$A$4:$E$69,4,0)</f>
        <v>CH</v>
      </c>
      <c r="F185" t="s">
        <v>86</v>
      </c>
      <c r="G185" t="str">
        <f>VLOOKUP(J185,'dataset mapping'!$A$4:$E$69,3,0)</f>
        <v>pipeline, natural gas, high pressure distribution network</v>
      </c>
      <c r="H185" t="s">
        <v>88</v>
      </c>
      <c r="I185" t="s">
        <v>1034</v>
      </c>
      <c r="J185" t="s">
        <v>398</v>
      </c>
      <c r="K185" t="str">
        <f>B157</f>
        <v>synthetic natural gas from catalytic methanation, transported by pipeline, produced by Electrolysis, PEM using water and electricity from grid, and carbon from MSWI</v>
      </c>
      <c r="L185">
        <f t="shared" si="27"/>
        <v>2</v>
      </c>
      <c r="M185">
        <f t="shared" si="28"/>
        <v>-18.519025821277832</v>
      </c>
      <c r="N185">
        <v>1.5</v>
      </c>
      <c r="O185">
        <v>1.2</v>
      </c>
      <c r="P185">
        <v>1.5</v>
      </c>
      <c r="Q185">
        <v>1.1000000000000001</v>
      </c>
      <c r="R185">
        <v>2</v>
      </c>
      <c r="S185">
        <v>1.2</v>
      </c>
      <c r="T185">
        <v>3</v>
      </c>
      <c r="U185">
        <f t="shared" si="29"/>
        <v>0.72314801614797197</v>
      </c>
    </row>
    <row r="186" spans="1:22" x14ac:dyDescent="0.2">
      <c r="A186" t="s">
        <v>1032</v>
      </c>
      <c r="B186" s="52">
        <f>0.0000000000625*SUM(B183:B184)*B169*0.71</f>
        <v>2.2189607812499999E-8</v>
      </c>
      <c r="C186" t="str">
        <f>VLOOKUP(J186,'dataset mapping'!$A$4:$E$69,5,0)</f>
        <v>kilometer</v>
      </c>
      <c r="E186" t="str">
        <f>VLOOKUP(J186,'dataset mapping'!$A$4:$E$69,4,0)</f>
        <v>CH</v>
      </c>
      <c r="F186" t="s">
        <v>86</v>
      </c>
      <c r="G186" t="s">
        <v>1033</v>
      </c>
      <c r="H186" t="s">
        <v>88</v>
      </c>
      <c r="I186" t="s">
        <v>1034</v>
      </c>
      <c r="J186" t="s">
        <v>398</v>
      </c>
      <c r="K186" t="str">
        <f>B157</f>
        <v>synthetic natural gas from catalytic methanation, transported by pipeline, produced by Electrolysis, PEM using water and electricity from grid, and carbon from MSWI</v>
      </c>
      <c r="L186">
        <f t="shared" si="27"/>
        <v>2</v>
      </c>
      <c r="M186">
        <f t="shared" si="28"/>
        <v>-17.623641774222992</v>
      </c>
      <c r="N186">
        <v>1.5</v>
      </c>
      <c r="O186">
        <v>1.2</v>
      </c>
      <c r="P186">
        <v>1.5</v>
      </c>
      <c r="Q186">
        <v>1.1000000000000001</v>
      </c>
      <c r="R186">
        <v>2</v>
      </c>
      <c r="S186">
        <v>1.2</v>
      </c>
      <c r="T186">
        <v>3</v>
      </c>
      <c r="U186">
        <f t="shared" si="29"/>
        <v>0.72314801614797197</v>
      </c>
    </row>
    <row r="187" spans="1:22" x14ac:dyDescent="0.2">
      <c r="A187" t="s">
        <v>130</v>
      </c>
      <c r="B187" s="52">
        <v>2.82E-3</v>
      </c>
      <c r="C187" t="s">
        <v>92</v>
      </c>
      <c r="E187" t="s">
        <v>64</v>
      </c>
      <c r="F187" t="s">
        <v>86</v>
      </c>
      <c r="G187" t="s">
        <v>93</v>
      </c>
      <c r="H187" t="s">
        <v>78</v>
      </c>
      <c r="I187" t="s">
        <v>855</v>
      </c>
      <c r="J187" t="s">
        <v>67</v>
      </c>
      <c r="K187" t="str">
        <f>B157</f>
        <v>synthetic natural gas from catalytic methanation, transported by pipeline, produced by Electrolysis, PEM using water and electricity from grid, and carbon from MSWI</v>
      </c>
      <c r="L187">
        <f t="shared" si="27"/>
        <v>2</v>
      </c>
      <c r="M187">
        <f t="shared" si="28"/>
        <v>-5.8710183940321148</v>
      </c>
      <c r="N187">
        <v>1.5</v>
      </c>
      <c r="O187">
        <v>1.2</v>
      </c>
      <c r="P187">
        <v>1.5</v>
      </c>
      <c r="Q187">
        <v>1.1000000000000001</v>
      </c>
      <c r="R187">
        <v>2</v>
      </c>
      <c r="S187">
        <v>1.2</v>
      </c>
      <c r="T187">
        <v>1.05</v>
      </c>
      <c r="U187">
        <f t="shared" si="29"/>
        <v>0.47095746419981693</v>
      </c>
    </row>
    <row r="188" spans="1:22" x14ac:dyDescent="0.2">
      <c r="A188" t="s">
        <v>1162</v>
      </c>
      <c r="B188" s="52">
        <v>6.1873999999999998E-2</v>
      </c>
      <c r="C188" t="s">
        <v>65</v>
      </c>
      <c r="E188" t="s">
        <v>64</v>
      </c>
      <c r="F188" t="s">
        <v>86</v>
      </c>
      <c r="G188" t="s">
        <v>66</v>
      </c>
      <c r="I188" t="s">
        <v>1159</v>
      </c>
      <c r="K188" t="str">
        <f>B157</f>
        <v>synthetic natural gas from catalytic methanation, transported by pipeline, produced by Electrolysis, PEM using water and electricity from grid, and carbon from MSWI</v>
      </c>
      <c r="L188">
        <f t="shared" si="27"/>
        <v>2</v>
      </c>
      <c r="M188">
        <f t="shared" si="28"/>
        <v>-2.7826552198400445</v>
      </c>
      <c r="N188">
        <v>1.5</v>
      </c>
      <c r="O188">
        <v>1.2</v>
      </c>
      <c r="P188">
        <v>1.5</v>
      </c>
      <c r="Q188">
        <v>1.1000000000000001</v>
      </c>
      <c r="R188">
        <v>2</v>
      </c>
      <c r="S188">
        <v>1.2</v>
      </c>
      <c r="T188">
        <v>1.05</v>
      </c>
      <c r="U188">
        <f t="shared" si="29"/>
        <v>0.47095746419981693</v>
      </c>
    </row>
    <row r="189" spans="1:22" x14ac:dyDescent="0.2">
      <c r="A189" t="s">
        <v>371</v>
      </c>
      <c r="B189" s="52">
        <f>5.21708333333333E-06*B178</f>
        <v>3.2013920454545435E-6</v>
      </c>
      <c r="C189" t="s">
        <v>56</v>
      </c>
      <c r="D189" t="s">
        <v>100</v>
      </c>
      <c r="F189" t="s">
        <v>99</v>
      </c>
      <c r="H189" t="s">
        <v>131</v>
      </c>
      <c r="I189" t="s">
        <v>399</v>
      </c>
      <c r="K189" t="str">
        <f>B157</f>
        <v>synthetic natural gas from catalytic methanation, transported by pipeline, produced by Electrolysis, PEM using water and electricity from grid, and carbon from MSWI</v>
      </c>
      <c r="L189">
        <f t="shared" si="27"/>
        <v>2</v>
      </c>
      <c r="M189">
        <f t="shared" si="28"/>
        <v>-12.651924828545296</v>
      </c>
      <c r="N189">
        <v>1.5</v>
      </c>
      <c r="O189">
        <v>1.2</v>
      </c>
      <c r="P189">
        <v>1.5</v>
      </c>
      <c r="Q189">
        <v>1.1000000000000001</v>
      </c>
      <c r="R189">
        <v>2</v>
      </c>
      <c r="S189">
        <v>1.2</v>
      </c>
      <c r="T189">
        <v>1.05</v>
      </c>
      <c r="U189">
        <f t="shared" si="29"/>
        <v>0.47095746419981693</v>
      </c>
    </row>
    <row r="190" spans="1:22" x14ac:dyDescent="0.2">
      <c r="A190" t="s">
        <v>316</v>
      </c>
      <c r="B190" s="52">
        <f>5.21708333333333E-06*(1-B178)</f>
        <v>2.0156912878787868E-6</v>
      </c>
      <c r="C190" t="s">
        <v>56</v>
      </c>
      <c r="D190" t="s">
        <v>100</v>
      </c>
      <c r="F190" t="s">
        <v>99</v>
      </c>
      <c r="H190" t="s">
        <v>131</v>
      </c>
      <c r="I190" t="s">
        <v>399</v>
      </c>
      <c r="K190" t="str">
        <f>B157</f>
        <v>synthetic natural gas from catalytic methanation, transported by pipeline, produced by Electrolysis, PEM using water and electricity from grid, and carbon from MSWI</v>
      </c>
      <c r="L190">
        <v>0</v>
      </c>
      <c r="M190" t="str">
        <f t="shared" si="28"/>
        <v/>
      </c>
    </row>
    <row r="191" spans="1:22" x14ac:dyDescent="0.2">
      <c r="A191" t="s">
        <v>372</v>
      </c>
      <c r="B191" s="52">
        <v>5.97180555555556E-10</v>
      </c>
      <c r="C191" t="s">
        <v>56</v>
      </c>
      <c r="D191" t="s">
        <v>100</v>
      </c>
      <c r="F191" t="s">
        <v>99</v>
      </c>
      <c r="H191" t="s">
        <v>131</v>
      </c>
      <c r="I191" t="s">
        <v>399</v>
      </c>
      <c r="K191" t="str">
        <f>B157</f>
        <v>synthetic natural gas from catalytic methanation, transported by pipeline, produced by Electrolysis, PEM using water and electricity from grid, and carbon from MSWI</v>
      </c>
      <c r="L191">
        <f t="shared" ref="L191:L192" si="30">IF(OR(B191&lt;0,B191=0),1,2)</f>
        <v>2</v>
      </c>
      <c r="M191">
        <f t="shared" si="28"/>
        <v>-21.238801610144623</v>
      </c>
      <c r="N191">
        <v>1.5</v>
      </c>
      <c r="O191">
        <v>1.2</v>
      </c>
      <c r="P191">
        <v>1.5</v>
      </c>
      <c r="Q191">
        <v>1.1000000000000001</v>
      </c>
      <c r="R191">
        <v>2</v>
      </c>
      <c r="S191">
        <v>1.2</v>
      </c>
      <c r="T191">
        <v>1.5</v>
      </c>
      <c r="U191">
        <f t="shared" ref="U191:U192" si="31">LN(SQRT(EXP(
SQRT(
+POWER(LN(N191),2)
+POWER(LN(O191),2)
+POWER(LN(P191),2)
+POWER(LN(Q191),2)
+POWER(LN(R191),2)
+POWER(LN(S191),2)
+POWER(LN(T191),2)
)
)))</f>
        <v>0.51215847306170115</v>
      </c>
    </row>
    <row r="192" spans="1:22" x14ac:dyDescent="0.2">
      <c r="A192" t="s">
        <v>373</v>
      </c>
      <c r="B192" s="52">
        <f>B183*B176*(B169/1000)*B178</f>
        <v>5.8295454545454549E-5</v>
      </c>
      <c r="C192" t="s">
        <v>56</v>
      </c>
      <c r="D192" t="s">
        <v>100</v>
      </c>
      <c r="F192" t="s">
        <v>99</v>
      </c>
      <c r="H192" t="s">
        <v>131</v>
      </c>
      <c r="I192" t="s">
        <v>1221</v>
      </c>
      <c r="K192" t="str">
        <f>B157</f>
        <v>synthetic natural gas from catalytic methanation, transported by pipeline, produced by Electrolysis, PEM using water and electricity from grid, and carbon from MSWI</v>
      </c>
      <c r="L192">
        <f t="shared" si="30"/>
        <v>2</v>
      </c>
      <c r="M192">
        <f t="shared" si="28"/>
        <v>-9.7499864342776661</v>
      </c>
      <c r="N192">
        <v>1.5</v>
      </c>
      <c r="O192">
        <v>1.2</v>
      </c>
      <c r="P192">
        <v>1.5</v>
      </c>
      <c r="Q192">
        <v>1.1000000000000001</v>
      </c>
      <c r="R192">
        <v>2</v>
      </c>
      <c r="S192">
        <v>1.2</v>
      </c>
      <c r="T192">
        <v>1.5</v>
      </c>
      <c r="U192">
        <f t="shared" si="31"/>
        <v>0.51215847306170115</v>
      </c>
    </row>
    <row r="193" spans="1:21" x14ac:dyDescent="0.2">
      <c r="A193" t="s">
        <v>320</v>
      </c>
      <c r="B193" s="52">
        <f>B183*B176*(B169/1000)*(1-B178)</f>
        <v>3.6704545454545456E-5</v>
      </c>
      <c r="C193" t="s">
        <v>56</v>
      </c>
      <c r="D193" t="s">
        <v>100</v>
      </c>
      <c r="F193" t="s">
        <v>99</v>
      </c>
      <c r="H193" t="s">
        <v>131</v>
      </c>
      <c r="I193" t="s">
        <v>1221</v>
      </c>
      <c r="K193" t="str">
        <f>B157</f>
        <v>synthetic natural gas from catalytic methanation, transported by pipeline, produced by Electrolysis, PEM using water and electricity from grid, and carbon from MSWI</v>
      </c>
      <c r="L193">
        <v>0</v>
      </c>
      <c r="M193" t="str">
        <f t="shared" si="28"/>
        <v/>
      </c>
    </row>
    <row r="194" spans="1:21" x14ac:dyDescent="0.2">
      <c r="A194" t="s">
        <v>374</v>
      </c>
      <c r="B194" s="52">
        <v>1.8050000000000001E-6</v>
      </c>
      <c r="C194" t="s">
        <v>56</v>
      </c>
      <c r="D194" t="s">
        <v>100</v>
      </c>
      <c r="F194" t="s">
        <v>99</v>
      </c>
      <c r="H194" t="s">
        <v>131</v>
      </c>
      <c r="I194" t="s">
        <v>399</v>
      </c>
      <c r="K194" t="str">
        <f>B157</f>
        <v>synthetic natural gas from catalytic methanation, transported by pipeline, produced by Electrolysis, PEM using water and electricity from grid, and carbon from MSWI</v>
      </c>
      <c r="L194">
        <f t="shared" ref="L194" si="32">IF(OR(B194&lt;0,B194=0),1,2)</f>
        <v>2</v>
      </c>
      <c r="M194">
        <f t="shared" si="28"/>
        <v>-13.22494996617943</v>
      </c>
      <c r="N194">
        <v>1.5</v>
      </c>
      <c r="O194">
        <v>1.2</v>
      </c>
      <c r="P194">
        <v>1.5</v>
      </c>
      <c r="Q194">
        <v>1.1000000000000001</v>
      </c>
      <c r="R194">
        <v>2</v>
      </c>
      <c r="S194">
        <v>1.2</v>
      </c>
      <c r="T194">
        <v>1.5</v>
      </c>
      <c r="U194">
        <f t="shared" ref="U194" si="33">LN(SQRT(EXP(
SQRT(
+POWER(LN(N194),2)
+POWER(LN(O194),2)
+POWER(LN(P194),2)
+POWER(LN(Q194),2)
+POWER(LN(R194),2)
+POWER(LN(S194),2)
+POWER(LN(T194),2)
)
)))</f>
        <v>0.51215847306170115</v>
      </c>
    </row>
    <row r="195" spans="1:21" x14ac:dyDescent="0.2">
      <c r="B195" s="45"/>
    </row>
    <row r="196" spans="1:21" x14ac:dyDescent="0.2">
      <c r="A196" s="2" t="s">
        <v>50</v>
      </c>
      <c r="B196" s="44" t="str">
        <f>B206&amp;", transported by "&amp;B207&amp;", produced by "&amp;B211&amp;" using "&amp;B212&amp;" from "&amp;B213&amp;", and carbon from "&amp;B214</f>
        <v>synthetic natural gas from catalytic methanation, transported by pipeline, produced by Electrolysis, PEM using water and electricity from grid, and carbon from Cement plant</v>
      </c>
    </row>
    <row r="197" spans="1:21" x14ac:dyDescent="0.2">
      <c r="A197" t="s">
        <v>51</v>
      </c>
      <c r="B197" s="45" t="str">
        <f>"This dataset represents the supply of 1 kilogram of synthetic natural gas The gas is transported by "&amp;B207&amp;" over "&amp;B208&amp;" km from regional storage. "&amp;" The "&amp;B206&amp;" is produced by  "&amp;B211&amp;", with "&amp;B212&amp;" from "&amp;B213&amp;" as feedstock. "&amp;A215&amp;": "&amp;(B215*100)&amp;"%. "&amp;A216&amp;": "&amp;(B216*100)&amp;".  For more information, refer to: "&amp;B198</f>
        <v>This dataset represents the supply of 1 kilogram of synthetic natural gas The gas is transported by pipeline over 500 km from regional storage.  The synthetic natural gas from catalytic methanation is produced by  Electrolysis, PEM, with water and electricity from grid as feedstock. Distribution loss [% output]: 0.019%. Regional storage loss [% output]: 0.  For more information, refer to: Sacchi, R. and Bauer, C. Life Cycle Assessment of Power-to-X processes and associated electricity and heat applications in the residential sector. Paul Scherrer Institut, 2023.</v>
      </c>
    </row>
    <row r="198" spans="1:21" x14ac:dyDescent="0.2">
      <c r="A198" t="s">
        <v>63</v>
      </c>
      <c r="B198" s="45" t="s">
        <v>1223</v>
      </c>
    </row>
    <row r="199" spans="1:21" x14ac:dyDescent="0.2">
      <c r="A199" t="s">
        <v>52</v>
      </c>
      <c r="B199" s="45" t="s">
        <v>64</v>
      </c>
    </row>
    <row r="200" spans="1:21" x14ac:dyDescent="0.2">
      <c r="A200" t="s">
        <v>48</v>
      </c>
      <c r="B200" s="45">
        <v>182</v>
      </c>
    </row>
    <row r="201" spans="1:21" x14ac:dyDescent="0.2">
      <c r="A201" t="s">
        <v>54</v>
      </c>
      <c r="B201" s="45" t="s">
        <v>1157</v>
      </c>
    </row>
    <row r="202" spans="1:21" x14ac:dyDescent="0.2">
      <c r="A202" t="s">
        <v>55</v>
      </c>
      <c r="B202" s="45" t="s">
        <v>56</v>
      </c>
    </row>
    <row r="203" spans="1:21" x14ac:dyDescent="0.2">
      <c r="A203" t="s">
        <v>0</v>
      </c>
      <c r="B203" s="45" t="str">
        <f>INDEX(overview!$B$4:$R$338,MATCH('synthetic nat gas - supply'!B200,overview!$A$4:$A$338,0),MATCH('synthetic nat gas - supply'!A203,overview!$B$3:$R$3,0))</f>
        <v>Switzerland</v>
      </c>
    </row>
    <row r="204" spans="1:21" x14ac:dyDescent="0.2">
      <c r="A204" t="s">
        <v>1</v>
      </c>
      <c r="B204" s="45">
        <f>INDEX(overview!$B$4:$R$338,MATCH('synthetic nat gas - supply'!B200,overview!$A$4:$A$338,0),MATCH('synthetic nat gas - supply'!A204,overview!$B$3:$R$3,0))</f>
        <v>2020</v>
      </c>
    </row>
    <row r="205" spans="1:21" x14ac:dyDescent="0.2">
      <c r="A205" t="s">
        <v>2</v>
      </c>
      <c r="B205" s="45" t="s">
        <v>1168</v>
      </c>
    </row>
    <row r="206" spans="1:21" x14ac:dyDescent="0.2">
      <c r="A206" t="s">
        <v>5</v>
      </c>
      <c r="B206" s="45" t="str">
        <f>INDEX(overview!$B$4:$R$338,MATCH('synthetic nat gas - supply'!B200,overview!$A$4:$A$338,0),MATCH('synthetic nat gas - supply'!A206,overview!$B$3:$R$3,0))</f>
        <v>synthetic natural gas from catalytic methanation</v>
      </c>
    </row>
    <row r="207" spans="1:21" x14ac:dyDescent="0.2">
      <c r="A207" t="s">
        <v>4</v>
      </c>
      <c r="B207" s="45" t="str">
        <f>INDEX(overview!$B$4:$R$338,MATCH('synthetic nat gas - supply'!B200,overview!$A$4:$A$338,0),MATCH('synthetic nat gas - supply'!A207,overview!$B$3:$R$3,0))</f>
        <v>pipeline</v>
      </c>
    </row>
    <row r="208" spans="1:21" x14ac:dyDescent="0.2">
      <c r="A208" t="s">
        <v>38</v>
      </c>
      <c r="B208" s="45">
        <f>INDEX(overview!$B$4:$R$338,MATCH('synthetic nat gas - supply'!B200,overview!$A$4:$A$338,0),MATCH('synthetic nat gas - supply'!A208,overview!$B$3:$R$3,0))</f>
        <v>500</v>
      </c>
    </row>
    <row r="209" spans="1:22" x14ac:dyDescent="0.2">
      <c r="A209" t="s">
        <v>12</v>
      </c>
      <c r="B209" s="45" t="str">
        <f>INDEX(overview!$B$4:$R$338,MATCH('synthetic nat gas - supply'!B200,overview!$A$4:$A$338,0),MATCH('synthetic nat gas - supply'!A209,overview!$B$3:$R$3,0))</f>
        <v>Above surface pressure vessel</v>
      </c>
    </row>
    <row r="210" spans="1:22" x14ac:dyDescent="0.2">
      <c r="A210" t="s">
        <v>34</v>
      </c>
      <c r="B210" s="45" t="str">
        <f>INDEX(overview!$B$4:$R$338,MATCH('synthetic nat gas - supply'!B200,overview!$A$4:$A$338,0),MATCH('synthetic nat gas - supply'!A210,overview!$B$3:$R$3,0))</f>
        <v>catalytic</v>
      </c>
    </row>
    <row r="211" spans="1:22" x14ac:dyDescent="0.2">
      <c r="A211" t="s">
        <v>15</v>
      </c>
      <c r="B211" s="45" t="str">
        <f>INDEX(overview!$B$4:$R$338,MATCH('synthetic nat gas - supply'!B200,overview!$A$4:$A$338,0),MATCH('synthetic nat gas - supply'!A211,overview!$B$3:$R$3,0))</f>
        <v>Electrolysis, PEM</v>
      </c>
    </row>
    <row r="212" spans="1:22" x14ac:dyDescent="0.2">
      <c r="A212" t="s">
        <v>14</v>
      </c>
      <c r="B212" s="45" t="str">
        <f>INDEX(overview!$B$4:$R$338,MATCH('synthetic nat gas - supply'!B200,overview!$A$4:$A$338,0),MATCH('synthetic nat gas - supply'!A212,overview!$B$3:$R$3,0))</f>
        <v>water and electricity</v>
      </c>
    </row>
    <row r="213" spans="1:22" x14ac:dyDescent="0.2">
      <c r="A213" t="s">
        <v>26</v>
      </c>
      <c r="B213" s="45" t="str">
        <f>INDEX(overview!$B$4:$R$338,MATCH('synthetic nat gas - supply'!B200,overview!$A$4:$A$338,0),MATCH('synthetic nat gas - supply'!A213,overview!$B$3:$R$3,0))</f>
        <v>grid</v>
      </c>
    </row>
    <row r="214" spans="1:22" x14ac:dyDescent="0.2">
      <c r="A214" t="s">
        <v>29</v>
      </c>
      <c r="B214" s="45" t="str">
        <f>INDEX(overview!$B$4:$R$338,MATCH('synthetic nat gas - supply'!B200,overview!$A$4:$A$338,0),MATCH('synthetic nat gas - supply'!A214,overview!$B$3:$R$3,0))</f>
        <v>Cement plant</v>
      </c>
    </row>
    <row r="215" spans="1:22" x14ac:dyDescent="0.2">
      <c r="A215" t="s">
        <v>45</v>
      </c>
      <c r="B215" s="69">
        <v>1.9000000000000001E-4</v>
      </c>
    </row>
    <row r="216" spans="1:22" x14ac:dyDescent="0.2">
      <c r="A216" t="s">
        <v>1133</v>
      </c>
      <c r="B216" s="49">
        <v>0</v>
      </c>
    </row>
    <row r="217" spans="1:22" x14ac:dyDescent="0.2">
      <c r="A217" t="s">
        <v>82</v>
      </c>
      <c r="B217" s="46">
        <f>IF(B214&lt;&gt;0,VLOOKUP(B214,parameters!$A$26:$B$28,2,0),"")</f>
        <v>5.8751529987760093E-2</v>
      </c>
    </row>
    <row r="218" spans="1:22" x14ac:dyDescent="0.2">
      <c r="B218" s="45"/>
    </row>
    <row r="219" spans="1:22" x14ac:dyDescent="0.2">
      <c r="A219" s="3" t="s">
        <v>57</v>
      </c>
      <c r="B219" s="45"/>
    </row>
    <row r="220" spans="1:22" x14ac:dyDescent="0.2">
      <c r="A220" s="2" t="s">
        <v>58</v>
      </c>
      <c r="B220" s="44" t="s">
        <v>59</v>
      </c>
      <c r="C220" s="2" t="s">
        <v>55</v>
      </c>
      <c r="D220" s="2" t="s">
        <v>60</v>
      </c>
      <c r="E220" s="2" t="s">
        <v>52</v>
      </c>
      <c r="F220" s="2" t="s">
        <v>61</v>
      </c>
      <c r="G220" s="2" t="s">
        <v>54</v>
      </c>
      <c r="H220" s="2" t="s">
        <v>87</v>
      </c>
      <c r="I220" s="2" t="s">
        <v>51</v>
      </c>
      <c r="J220" s="2" t="s">
        <v>138</v>
      </c>
      <c r="K220" s="2" t="s">
        <v>136</v>
      </c>
      <c r="L220" s="2" t="s">
        <v>221</v>
      </c>
      <c r="M220" s="2" t="s">
        <v>379</v>
      </c>
      <c r="N220" s="2" t="s">
        <v>1059</v>
      </c>
      <c r="O220" s="2" t="s">
        <v>1060</v>
      </c>
      <c r="P220" s="2" t="s">
        <v>1061</v>
      </c>
      <c r="Q220" s="2" t="s">
        <v>1062</v>
      </c>
      <c r="R220" s="2" t="s">
        <v>1063</v>
      </c>
      <c r="S220" s="2" t="s">
        <v>1064</v>
      </c>
      <c r="T220" s="2" t="s">
        <v>1065</v>
      </c>
      <c r="U220" s="2" t="s">
        <v>380</v>
      </c>
      <c r="V220" s="2" t="s">
        <v>1128</v>
      </c>
    </row>
    <row r="221" spans="1:22" x14ac:dyDescent="0.2">
      <c r="A221" t="str">
        <f>B196</f>
        <v>synthetic natural gas from catalytic methanation, transported by pipeline, produced by Electrolysis, PEM using water and electricity from grid, and carbon from Cement plant</v>
      </c>
      <c r="B221" s="45">
        <v>1</v>
      </c>
      <c r="C221" t="str">
        <f>B202</f>
        <v>kilogram</v>
      </c>
      <c r="E221" t="str">
        <f>B199</f>
        <v>CH</v>
      </c>
      <c r="F221" t="s">
        <v>62</v>
      </c>
      <c r="G221" t="str">
        <f>B201</f>
        <v>synthetic natural gas, from pipeline</v>
      </c>
      <c r="K221" t="str">
        <f>B196</f>
        <v>synthetic natural gas from catalytic methanation, transported by pipeline, produced by Electrolysis, PEM using water and electricity from grid, and carbon from Cement plant</v>
      </c>
    </row>
    <row r="222" spans="1:22" x14ac:dyDescent="0.2">
      <c r="A222" t="str">
        <f>VLOOKUP(J222,'dataset mapping'!$A$4:$E$69,2,0)</f>
        <v>methane, from electrochemical methanation, with carbon from municipal waste incineration plant</v>
      </c>
      <c r="B222" s="52">
        <v>1</v>
      </c>
      <c r="C222" t="str">
        <f>VLOOKUP(J222,'dataset mapping'!$A$4:$E$69,5,0)</f>
        <v>kilogram</v>
      </c>
      <c r="E222" t="str">
        <f>VLOOKUP(J222,'dataset mapping'!$A$4:$E$69,4,0)</f>
        <v>CH</v>
      </c>
      <c r="F222" t="s">
        <v>86</v>
      </c>
      <c r="G222" t="str">
        <f>VLOOKUP(J222,'dataset mapping'!$A$4:$E$69,3,0)</f>
        <v>methane, from electrochemical methanation</v>
      </c>
      <c r="H222" t="s">
        <v>76</v>
      </c>
      <c r="I222" t="s">
        <v>1055</v>
      </c>
      <c r="J222" t="s">
        <v>859</v>
      </c>
      <c r="K222" t="str">
        <f>B196</f>
        <v>synthetic natural gas from catalytic methanation, transported by pipeline, produced by Electrolysis, PEM using water and electricity from grid, and carbon from Cement plant</v>
      </c>
      <c r="L222">
        <f t="shared" ref="L222:L228" si="34">IF(OR(B222&lt;0,B222=0),1,2)</f>
        <v>2</v>
      </c>
      <c r="M222">
        <f t="shared" ref="M222:M233" si="35">IF(L222=2,LN(B222),"")</f>
        <v>0</v>
      </c>
      <c r="N222">
        <v>1.5</v>
      </c>
      <c r="O222">
        <v>1.2</v>
      </c>
      <c r="P222">
        <v>1.5</v>
      </c>
      <c r="Q222">
        <v>1.1000000000000001</v>
      </c>
      <c r="R222">
        <v>2</v>
      </c>
      <c r="S222">
        <v>1.2</v>
      </c>
      <c r="T222">
        <v>1.05</v>
      </c>
      <c r="U222">
        <f t="shared" ref="U222:U228" si="36">LN(SQRT(EXP(
SQRT(
+POWER(LN(N222),2)
+POWER(LN(O222),2)
+POWER(LN(P222),2)
+POWER(LN(Q222),2)
+POWER(LN(R222),2)
+POWER(LN(S222),2)
+POWER(LN(T222),2)
)
)))</f>
        <v>0.47095746419981693</v>
      </c>
    </row>
    <row r="223" spans="1:22" x14ac:dyDescent="0.2">
      <c r="A223" t="str">
        <f>VLOOKUP(J223,'dataset mapping'!$A$4:$E$69,2,0)</f>
        <v>methane, from electrochemical methanation, with carbon from municipal waste incineration plant</v>
      </c>
      <c r="B223" s="52">
        <f>SUM(B231:B232)</f>
        <v>9.4999999999999992E-5</v>
      </c>
      <c r="C223" t="str">
        <f>VLOOKUP(J223,'dataset mapping'!$A$4:$E$69,5,0)</f>
        <v>kilogram</v>
      </c>
      <c r="E223" t="str">
        <f>VLOOKUP(J223,'dataset mapping'!$A$4:$E$69,4,0)</f>
        <v>CH</v>
      </c>
      <c r="F223" t="s">
        <v>86</v>
      </c>
      <c r="G223" t="str">
        <f>VLOOKUP(J223,'dataset mapping'!$A$4:$E$69,3,0)</f>
        <v>methane, from electrochemical methanation</v>
      </c>
      <c r="H223" t="s">
        <v>159</v>
      </c>
      <c r="I223" t="s">
        <v>161</v>
      </c>
      <c r="J223" t="s">
        <v>859</v>
      </c>
      <c r="K223" t="str">
        <f>B196</f>
        <v>synthetic natural gas from catalytic methanation, transported by pipeline, produced by Electrolysis, PEM using water and electricity from grid, and carbon from Cement plant</v>
      </c>
      <c r="L223">
        <f t="shared" si="34"/>
        <v>2</v>
      </c>
      <c r="M223">
        <f t="shared" si="35"/>
        <v>-9.2616336663637338</v>
      </c>
      <c r="N223">
        <v>1.5</v>
      </c>
      <c r="O223">
        <v>1.2</v>
      </c>
      <c r="P223">
        <v>1.5</v>
      </c>
      <c r="Q223">
        <v>1.1000000000000001</v>
      </c>
      <c r="R223">
        <v>2</v>
      </c>
      <c r="S223">
        <v>1.2</v>
      </c>
      <c r="T223">
        <v>1.05</v>
      </c>
      <c r="U223">
        <f t="shared" si="36"/>
        <v>0.47095746419981693</v>
      </c>
    </row>
    <row r="224" spans="1:22" x14ac:dyDescent="0.2">
      <c r="A224" t="str">
        <f>VLOOKUP(J224,'dataset mapping'!$A$4:$E$69,2,0)</f>
        <v>pipeline construction, natural gas, high pressure distribution network</v>
      </c>
      <c r="B224" s="52">
        <f>0.0000000000625*SUM(B222:B223)*B208*0.29</f>
        <v>9.0633609375000005E-9</v>
      </c>
      <c r="C224" t="str">
        <f>VLOOKUP(J224,'dataset mapping'!$A$4:$E$69,5,0)</f>
        <v>kilometer</v>
      </c>
      <c r="E224" t="str">
        <f>VLOOKUP(J224,'dataset mapping'!$A$4:$E$69,4,0)</f>
        <v>CH</v>
      </c>
      <c r="F224" t="s">
        <v>86</v>
      </c>
      <c r="G224" t="str">
        <f>VLOOKUP(J224,'dataset mapping'!$A$4:$E$69,3,0)</f>
        <v>pipeline, natural gas, high pressure distribution network</v>
      </c>
      <c r="H224" t="s">
        <v>88</v>
      </c>
      <c r="I224" t="s">
        <v>1034</v>
      </c>
      <c r="J224" t="s">
        <v>398</v>
      </c>
      <c r="K224" t="str">
        <f>B196</f>
        <v>synthetic natural gas from catalytic methanation, transported by pipeline, produced by Electrolysis, PEM using water and electricity from grid, and carbon from Cement plant</v>
      </c>
      <c r="L224">
        <f t="shared" si="34"/>
        <v>2</v>
      </c>
      <c r="M224">
        <f t="shared" si="35"/>
        <v>-18.519025821277832</v>
      </c>
      <c r="N224">
        <v>1.5</v>
      </c>
      <c r="O224">
        <v>1.2</v>
      </c>
      <c r="P224">
        <v>1.5</v>
      </c>
      <c r="Q224">
        <v>1.1000000000000001</v>
      </c>
      <c r="R224">
        <v>2</v>
      </c>
      <c r="S224">
        <v>1.2</v>
      </c>
      <c r="T224">
        <v>3</v>
      </c>
      <c r="U224">
        <f t="shared" si="36"/>
        <v>0.72314801614797197</v>
      </c>
    </row>
    <row r="225" spans="1:22" x14ac:dyDescent="0.2">
      <c r="A225" t="s">
        <v>1032</v>
      </c>
      <c r="B225" s="52">
        <f>0.0000000000625*SUM(B222:B223)*B208*0.71</f>
        <v>2.2189607812499999E-8</v>
      </c>
      <c r="C225" t="str">
        <f>VLOOKUP(J225,'dataset mapping'!$A$4:$E$69,5,0)</f>
        <v>kilometer</v>
      </c>
      <c r="E225" t="str">
        <f>VLOOKUP(J225,'dataset mapping'!$A$4:$E$69,4,0)</f>
        <v>CH</v>
      </c>
      <c r="F225" t="s">
        <v>86</v>
      </c>
      <c r="G225" t="s">
        <v>1033</v>
      </c>
      <c r="H225" t="s">
        <v>88</v>
      </c>
      <c r="I225" t="s">
        <v>1034</v>
      </c>
      <c r="J225" t="s">
        <v>398</v>
      </c>
      <c r="K225" t="str">
        <f>B196</f>
        <v>synthetic natural gas from catalytic methanation, transported by pipeline, produced by Electrolysis, PEM using water and electricity from grid, and carbon from Cement plant</v>
      </c>
      <c r="L225">
        <f t="shared" si="34"/>
        <v>2</v>
      </c>
      <c r="M225">
        <f t="shared" si="35"/>
        <v>-17.623641774222992</v>
      </c>
      <c r="N225">
        <v>1.5</v>
      </c>
      <c r="O225">
        <v>1.2</v>
      </c>
      <c r="P225">
        <v>1.5</v>
      </c>
      <c r="Q225">
        <v>1.1000000000000001</v>
      </c>
      <c r="R225">
        <v>2</v>
      </c>
      <c r="S225">
        <v>1.2</v>
      </c>
      <c r="T225">
        <v>3</v>
      </c>
      <c r="U225">
        <f t="shared" si="36"/>
        <v>0.72314801614797197</v>
      </c>
    </row>
    <row r="226" spans="1:22" x14ac:dyDescent="0.2">
      <c r="A226" t="s">
        <v>130</v>
      </c>
      <c r="B226" s="52">
        <v>2.82E-3</v>
      </c>
      <c r="C226" t="s">
        <v>92</v>
      </c>
      <c r="E226" t="s">
        <v>64</v>
      </c>
      <c r="F226" t="s">
        <v>86</v>
      </c>
      <c r="G226" t="s">
        <v>93</v>
      </c>
      <c r="H226" t="s">
        <v>78</v>
      </c>
      <c r="I226" t="s">
        <v>855</v>
      </c>
      <c r="J226" t="s">
        <v>67</v>
      </c>
      <c r="K226" t="str">
        <f>B196</f>
        <v>synthetic natural gas from catalytic methanation, transported by pipeline, produced by Electrolysis, PEM using water and electricity from grid, and carbon from Cement plant</v>
      </c>
      <c r="L226">
        <f t="shared" si="34"/>
        <v>2</v>
      </c>
      <c r="M226">
        <f t="shared" si="35"/>
        <v>-5.8710183940321148</v>
      </c>
      <c r="N226">
        <v>1.5</v>
      </c>
      <c r="O226">
        <v>1.2</v>
      </c>
      <c r="P226">
        <v>1.5</v>
      </c>
      <c r="Q226">
        <v>1.1000000000000001</v>
      </c>
      <c r="R226">
        <v>2</v>
      </c>
      <c r="S226">
        <v>1.2</v>
      </c>
      <c r="T226">
        <v>1.05</v>
      </c>
      <c r="U226">
        <f t="shared" si="36"/>
        <v>0.47095746419981693</v>
      </c>
    </row>
    <row r="227" spans="1:22" x14ac:dyDescent="0.2">
      <c r="A227" t="s">
        <v>1163</v>
      </c>
      <c r="B227" s="52">
        <v>6.1873999999999998E-2</v>
      </c>
      <c r="C227" t="s">
        <v>65</v>
      </c>
      <c r="E227" t="s">
        <v>64</v>
      </c>
      <c r="F227" t="s">
        <v>86</v>
      </c>
      <c r="G227" t="s">
        <v>66</v>
      </c>
      <c r="I227" t="s">
        <v>1159</v>
      </c>
      <c r="K227" t="str">
        <f>B196</f>
        <v>synthetic natural gas from catalytic methanation, transported by pipeline, produced by Electrolysis, PEM using water and electricity from grid, and carbon from Cement plant</v>
      </c>
      <c r="L227">
        <f t="shared" si="34"/>
        <v>2</v>
      </c>
      <c r="M227">
        <f t="shared" si="35"/>
        <v>-2.7826552198400445</v>
      </c>
      <c r="N227">
        <v>1.5</v>
      </c>
      <c r="O227">
        <v>1.2</v>
      </c>
      <c r="P227">
        <v>1.5</v>
      </c>
      <c r="Q227">
        <v>1.1000000000000001</v>
      </c>
      <c r="R227">
        <v>2</v>
      </c>
      <c r="S227">
        <v>1.2</v>
      </c>
      <c r="T227">
        <v>1.05</v>
      </c>
      <c r="U227">
        <f t="shared" si="36"/>
        <v>0.47095746419981693</v>
      </c>
    </row>
    <row r="228" spans="1:22" x14ac:dyDescent="0.2">
      <c r="A228" t="s">
        <v>371</v>
      </c>
      <c r="B228" s="52">
        <f>5.21708333333333E-06*B217</f>
        <v>3.0651162790697655E-7</v>
      </c>
      <c r="C228" t="s">
        <v>56</v>
      </c>
      <c r="D228" t="s">
        <v>100</v>
      </c>
      <c r="F228" t="s">
        <v>99</v>
      </c>
      <c r="H228" t="s">
        <v>131</v>
      </c>
      <c r="I228" t="s">
        <v>399</v>
      </c>
      <c r="K228" t="str">
        <f>B196</f>
        <v>synthetic natural gas from catalytic methanation, transported by pipeline, produced by Electrolysis, PEM using water and electricity from grid, and carbon from Cement plant</v>
      </c>
      <c r="L228">
        <f t="shared" si="34"/>
        <v>2</v>
      </c>
      <c r="M228">
        <f t="shared" si="35"/>
        <v>-14.998010144583477</v>
      </c>
      <c r="N228">
        <v>1.5</v>
      </c>
      <c r="O228">
        <v>1.2</v>
      </c>
      <c r="P228">
        <v>1.5</v>
      </c>
      <c r="Q228">
        <v>1.1000000000000001</v>
      </c>
      <c r="R228">
        <v>2</v>
      </c>
      <c r="S228">
        <v>1.2</v>
      </c>
      <c r="T228">
        <v>1.05</v>
      </c>
      <c r="U228">
        <f t="shared" si="36"/>
        <v>0.47095746419981693</v>
      </c>
    </row>
    <row r="229" spans="1:22" x14ac:dyDescent="0.2">
      <c r="A229" t="s">
        <v>316</v>
      </c>
      <c r="B229" s="52">
        <f>5.21708333333333E-06*(1-B217)</f>
        <v>4.9105717054263534E-6</v>
      </c>
      <c r="C229" t="s">
        <v>56</v>
      </c>
      <c r="D229" t="s">
        <v>100</v>
      </c>
      <c r="F229" t="s">
        <v>99</v>
      </c>
      <c r="H229" t="s">
        <v>131</v>
      </c>
      <c r="I229" t="s">
        <v>399</v>
      </c>
      <c r="K229" t="str">
        <f>B196</f>
        <v>synthetic natural gas from catalytic methanation, transported by pipeline, produced by Electrolysis, PEM using water and electricity from grid, and carbon from Cement plant</v>
      </c>
      <c r="L229">
        <v>0</v>
      </c>
      <c r="M229" t="str">
        <f t="shared" si="35"/>
        <v/>
      </c>
    </row>
    <row r="230" spans="1:22" x14ac:dyDescent="0.2">
      <c r="A230" t="s">
        <v>372</v>
      </c>
      <c r="B230" s="52">
        <v>5.97180555555556E-10</v>
      </c>
      <c r="C230" t="s">
        <v>56</v>
      </c>
      <c r="D230" t="s">
        <v>100</v>
      </c>
      <c r="F230" t="s">
        <v>99</v>
      </c>
      <c r="H230" t="s">
        <v>131</v>
      </c>
      <c r="I230" t="s">
        <v>399</v>
      </c>
      <c r="K230" t="str">
        <f>B196</f>
        <v>synthetic natural gas from catalytic methanation, transported by pipeline, produced by Electrolysis, PEM using water and electricity from grid, and carbon from Cement plant</v>
      </c>
      <c r="L230">
        <f t="shared" ref="L230:L231" si="37">IF(OR(B230&lt;0,B230=0),1,2)</f>
        <v>2</v>
      </c>
      <c r="M230">
        <f t="shared" si="35"/>
        <v>-21.238801610144623</v>
      </c>
      <c r="N230">
        <v>1.5</v>
      </c>
      <c r="O230">
        <v>1.2</v>
      </c>
      <c r="P230">
        <v>1.5</v>
      </c>
      <c r="Q230">
        <v>1.1000000000000001</v>
      </c>
      <c r="R230">
        <v>2</v>
      </c>
      <c r="S230">
        <v>1.2</v>
      </c>
      <c r="T230">
        <v>1.5</v>
      </c>
      <c r="U230">
        <f t="shared" ref="U230:U231" si="38">LN(SQRT(EXP(
SQRT(
+POWER(LN(N230),2)
+POWER(LN(O230),2)
+POWER(LN(P230),2)
+POWER(LN(Q230),2)
+POWER(LN(R230),2)
+POWER(LN(S230),2)
+POWER(LN(T230),2)
)
)))</f>
        <v>0.51215847306170115</v>
      </c>
    </row>
    <row r="231" spans="1:22" x14ac:dyDescent="0.2">
      <c r="A231" t="s">
        <v>373</v>
      </c>
      <c r="B231" s="52">
        <f>B222*B215*(B208/1000)*B217</f>
        <v>5.5813953488372092E-6</v>
      </c>
      <c r="C231" t="s">
        <v>56</v>
      </c>
      <c r="D231" t="s">
        <v>100</v>
      </c>
      <c r="F231" t="s">
        <v>99</v>
      </c>
      <c r="H231" t="s">
        <v>131</v>
      </c>
      <c r="I231" t="s">
        <v>1221</v>
      </c>
      <c r="K231" t="str">
        <f>B196</f>
        <v>synthetic natural gas from catalytic methanation, transported by pipeline, produced by Electrolysis, PEM using water and electricity from grid, and carbon from Cement plant</v>
      </c>
      <c r="L231">
        <f t="shared" si="37"/>
        <v>2</v>
      </c>
      <c r="M231">
        <f t="shared" si="35"/>
        <v>-12.096071750315845</v>
      </c>
      <c r="N231">
        <v>1.5</v>
      </c>
      <c r="O231">
        <v>1.2</v>
      </c>
      <c r="P231">
        <v>1.5</v>
      </c>
      <c r="Q231">
        <v>1.1000000000000001</v>
      </c>
      <c r="R231">
        <v>2</v>
      </c>
      <c r="S231">
        <v>1.2</v>
      </c>
      <c r="T231">
        <v>1.5</v>
      </c>
      <c r="U231">
        <f t="shared" si="38"/>
        <v>0.51215847306170115</v>
      </c>
    </row>
    <row r="232" spans="1:22" x14ac:dyDescent="0.2">
      <c r="A232" t="s">
        <v>320</v>
      </c>
      <c r="B232" s="52">
        <f>B222*B215*(B208/1000)*(1-B217)</f>
        <v>8.9418604651162788E-5</v>
      </c>
      <c r="C232" t="s">
        <v>56</v>
      </c>
      <c r="D232" t="s">
        <v>100</v>
      </c>
      <c r="F232" t="s">
        <v>99</v>
      </c>
      <c r="H232" t="s">
        <v>131</v>
      </c>
      <c r="I232" t="s">
        <v>1221</v>
      </c>
      <c r="K232" t="str">
        <f>B196</f>
        <v>synthetic natural gas from catalytic methanation, transported by pipeline, produced by Electrolysis, PEM using water and electricity from grid, and carbon from Cement plant</v>
      </c>
      <c r="L232">
        <v>0</v>
      </c>
      <c r="M232" t="str">
        <f t="shared" si="35"/>
        <v/>
      </c>
    </row>
    <row r="233" spans="1:22" x14ac:dyDescent="0.2">
      <c r="A233" t="s">
        <v>374</v>
      </c>
      <c r="B233" s="52">
        <v>1.8050000000000001E-6</v>
      </c>
      <c r="C233" t="s">
        <v>56</v>
      </c>
      <c r="D233" t="s">
        <v>100</v>
      </c>
      <c r="F233" t="s">
        <v>99</v>
      </c>
      <c r="H233" t="s">
        <v>131</v>
      </c>
      <c r="I233" t="s">
        <v>399</v>
      </c>
      <c r="K233" t="str">
        <f>B196</f>
        <v>synthetic natural gas from catalytic methanation, transported by pipeline, produced by Electrolysis, PEM using water and electricity from grid, and carbon from Cement plant</v>
      </c>
      <c r="L233">
        <f t="shared" ref="L233" si="39">IF(OR(B233&lt;0,B233=0),1,2)</f>
        <v>2</v>
      </c>
      <c r="M233">
        <f t="shared" si="35"/>
        <v>-13.22494996617943</v>
      </c>
      <c r="N233">
        <v>1.5</v>
      </c>
      <c r="O233">
        <v>1.2</v>
      </c>
      <c r="P233">
        <v>1.5</v>
      </c>
      <c r="Q233">
        <v>1.1000000000000001</v>
      </c>
      <c r="R233">
        <v>2</v>
      </c>
      <c r="S233">
        <v>1.2</v>
      </c>
      <c r="T233">
        <v>1.5</v>
      </c>
      <c r="U233">
        <f t="shared" ref="U233" si="40">LN(SQRT(EXP(
SQRT(
+POWER(LN(N233),2)
+POWER(LN(O233),2)
+POWER(LN(P233),2)
+POWER(LN(Q233),2)
+POWER(LN(R233),2)
+POWER(LN(S233),2)
+POWER(LN(T233),2)
)
)))</f>
        <v>0.51215847306170115</v>
      </c>
    </row>
    <row r="234" spans="1:22" x14ac:dyDescent="0.2">
      <c r="B234" s="45"/>
    </row>
    <row r="235" spans="1:22" x14ac:dyDescent="0.2">
      <c r="B235" s="45"/>
    </row>
    <row r="236" spans="1:22" x14ac:dyDescent="0.2">
      <c r="B236" s="66"/>
    </row>
    <row r="237" spans="1:22" x14ac:dyDescent="0.2">
      <c r="B237" s="49"/>
    </row>
    <row r="238" spans="1:22" x14ac:dyDescent="0.2">
      <c r="B238" s="45"/>
    </row>
    <row r="239" spans="1:22" x14ac:dyDescent="0.2">
      <c r="A239" s="3"/>
      <c r="B239" s="45"/>
    </row>
    <row r="240" spans="1:22" x14ac:dyDescent="0.2">
      <c r="A240" s="2"/>
      <c r="B240" s="44"/>
      <c r="C240" s="2"/>
      <c r="D240" s="2"/>
      <c r="E240" s="2"/>
      <c r="F240" s="2"/>
      <c r="G240" s="2"/>
      <c r="H240" s="2"/>
      <c r="I240" s="2"/>
      <c r="J240" s="2"/>
      <c r="K240" s="2"/>
      <c r="L240" s="2"/>
      <c r="M240" s="2"/>
      <c r="N240" s="2"/>
      <c r="O240" s="2"/>
      <c r="P240" s="2"/>
      <c r="Q240" s="2"/>
      <c r="R240" s="2"/>
      <c r="S240" s="2"/>
      <c r="T240" s="2"/>
      <c r="U240" s="2"/>
      <c r="V240" s="2"/>
    </row>
    <row r="241" spans="1:15" x14ac:dyDescent="0.2">
      <c r="B241" s="45"/>
    </row>
    <row r="242" spans="1:15" x14ac:dyDescent="0.2">
      <c r="B242" s="53"/>
      <c r="O242" s="15"/>
    </row>
    <row r="243" spans="1:15" x14ac:dyDescent="0.2">
      <c r="B243" s="53"/>
      <c r="O243" s="15"/>
    </row>
    <row r="244" spans="1:15" x14ac:dyDescent="0.2">
      <c r="B244" s="45"/>
      <c r="O244" s="15"/>
    </row>
    <row r="245" spans="1:15" x14ac:dyDescent="0.2">
      <c r="B245" s="45"/>
      <c r="O245" s="15"/>
    </row>
    <row r="246" spans="1:15" x14ac:dyDescent="0.2">
      <c r="B246" s="53"/>
      <c r="O246" s="15"/>
    </row>
    <row r="247" spans="1:15" x14ac:dyDescent="0.2">
      <c r="B247" s="52"/>
      <c r="O247" s="15"/>
    </row>
    <row r="248" spans="1:15" x14ac:dyDescent="0.2">
      <c r="B248" s="52"/>
      <c r="O248" s="15"/>
    </row>
    <row r="249" spans="1:15" x14ac:dyDescent="0.2">
      <c r="B249" s="53"/>
      <c r="O249" s="15"/>
    </row>
    <row r="250" spans="1:15" x14ac:dyDescent="0.2">
      <c r="B250" s="45"/>
    </row>
    <row r="251" spans="1:15" x14ac:dyDescent="0.2">
      <c r="A251" s="2"/>
      <c r="B251" s="44"/>
    </row>
    <row r="252" spans="1:15" x14ac:dyDescent="0.2">
      <c r="B252" s="45"/>
    </row>
    <row r="253" spans="1:15" x14ac:dyDescent="0.2">
      <c r="B253" s="45"/>
    </row>
    <row r="254" spans="1:15" x14ac:dyDescent="0.2">
      <c r="B254" s="45"/>
    </row>
    <row r="255" spans="1:15" x14ac:dyDescent="0.2">
      <c r="B255" s="45"/>
    </row>
    <row r="256" spans="1:15" x14ac:dyDescent="0.2">
      <c r="B256" s="45"/>
    </row>
    <row r="257" spans="2:2" x14ac:dyDescent="0.2">
      <c r="B257" s="45"/>
    </row>
    <row r="258" spans="2:2" x14ac:dyDescent="0.2">
      <c r="B258" s="45"/>
    </row>
    <row r="259" spans="2:2" x14ac:dyDescent="0.2">
      <c r="B259" s="45"/>
    </row>
    <row r="260" spans="2:2" x14ac:dyDescent="0.2">
      <c r="B260" s="45"/>
    </row>
    <row r="261" spans="2:2" x14ac:dyDescent="0.2">
      <c r="B261" s="45"/>
    </row>
    <row r="262" spans="2:2" x14ac:dyDescent="0.2">
      <c r="B262" s="45"/>
    </row>
    <row r="263" spans="2:2" x14ac:dyDescent="0.2">
      <c r="B263" s="45"/>
    </row>
    <row r="264" spans="2:2" x14ac:dyDescent="0.2">
      <c r="B264" s="45"/>
    </row>
    <row r="265" spans="2:2" x14ac:dyDescent="0.2">
      <c r="B265" s="45"/>
    </row>
    <row r="266" spans="2:2" x14ac:dyDescent="0.2">
      <c r="B266" s="45"/>
    </row>
    <row r="267" spans="2:2" x14ac:dyDescent="0.2">
      <c r="B267" s="45"/>
    </row>
    <row r="268" spans="2:2" x14ac:dyDescent="0.2">
      <c r="B268" s="45"/>
    </row>
    <row r="269" spans="2:2" x14ac:dyDescent="0.2">
      <c r="B269" s="45"/>
    </row>
    <row r="270" spans="2:2" x14ac:dyDescent="0.2">
      <c r="B270" s="66"/>
    </row>
    <row r="271" spans="2:2" x14ac:dyDescent="0.2">
      <c r="B271" s="49"/>
    </row>
    <row r="272" spans="2:2" x14ac:dyDescent="0.2">
      <c r="B272" s="45"/>
    </row>
    <row r="273" spans="1:22" x14ac:dyDescent="0.2">
      <c r="A273" s="3"/>
      <c r="B273" s="45"/>
    </row>
    <row r="274" spans="1:22" x14ac:dyDescent="0.2">
      <c r="A274" s="2"/>
      <c r="B274" s="44"/>
      <c r="C274" s="2"/>
      <c r="D274" s="2"/>
      <c r="E274" s="2"/>
      <c r="F274" s="2"/>
      <c r="G274" s="2"/>
      <c r="H274" s="2"/>
      <c r="I274" s="2"/>
      <c r="J274" s="2"/>
      <c r="K274" s="2"/>
      <c r="L274" s="2"/>
      <c r="M274" s="2"/>
      <c r="N274" s="2"/>
      <c r="O274" s="2"/>
      <c r="P274" s="2"/>
      <c r="Q274" s="2"/>
      <c r="R274" s="2"/>
      <c r="S274" s="2"/>
      <c r="T274" s="2"/>
      <c r="U274" s="2"/>
      <c r="V274" s="2"/>
    </row>
    <row r="275" spans="1:22" x14ac:dyDescent="0.2">
      <c r="B275" s="45"/>
    </row>
    <row r="276" spans="1:22" x14ac:dyDescent="0.2">
      <c r="B276" s="53"/>
      <c r="O276" s="15"/>
    </row>
    <row r="277" spans="1:22" x14ac:dyDescent="0.2">
      <c r="B277" s="53"/>
      <c r="O277" s="15"/>
    </row>
    <row r="278" spans="1:22" x14ac:dyDescent="0.2">
      <c r="B278" s="45"/>
      <c r="O278" s="15"/>
    </row>
    <row r="279" spans="1:22" x14ac:dyDescent="0.2">
      <c r="B279" s="53"/>
      <c r="O279" s="15"/>
    </row>
    <row r="280" spans="1:22" x14ac:dyDescent="0.2">
      <c r="B280" s="52"/>
      <c r="O280" s="15"/>
    </row>
    <row r="281" spans="1:22" x14ac:dyDescent="0.2">
      <c r="B281" s="53"/>
      <c r="O281" s="15"/>
    </row>
    <row r="282" spans="1:22" x14ac:dyDescent="0.2">
      <c r="B282" s="45"/>
    </row>
    <row r="283" spans="1:22" x14ac:dyDescent="0.2">
      <c r="A283" s="2"/>
      <c r="B283" s="44"/>
    </row>
    <row r="284" spans="1:22" x14ac:dyDescent="0.2">
      <c r="B284" s="45"/>
    </row>
    <row r="285" spans="1:22" x14ac:dyDescent="0.2">
      <c r="B285" s="45"/>
    </row>
    <row r="286" spans="1:22" x14ac:dyDescent="0.2">
      <c r="B286" s="45"/>
    </row>
    <row r="287" spans="1:22" x14ac:dyDescent="0.2">
      <c r="B287" s="45"/>
    </row>
    <row r="288" spans="1:22" x14ac:dyDescent="0.2">
      <c r="B288" s="45"/>
    </row>
    <row r="289" spans="2:2" x14ac:dyDescent="0.2">
      <c r="B289" s="45"/>
    </row>
    <row r="290" spans="2:2" x14ac:dyDescent="0.2">
      <c r="B290" s="45"/>
    </row>
    <row r="291" spans="2:2" x14ac:dyDescent="0.2">
      <c r="B291" s="45"/>
    </row>
    <row r="292" spans="2:2" x14ac:dyDescent="0.2">
      <c r="B292" s="45"/>
    </row>
    <row r="293" spans="2:2" x14ac:dyDescent="0.2">
      <c r="B293" s="45"/>
    </row>
    <row r="294" spans="2:2" x14ac:dyDescent="0.2">
      <c r="B294" s="45"/>
    </row>
    <row r="295" spans="2:2" x14ac:dyDescent="0.2">
      <c r="B295" s="45"/>
    </row>
    <row r="296" spans="2:2" x14ac:dyDescent="0.2">
      <c r="B296" s="45"/>
    </row>
    <row r="297" spans="2:2" x14ac:dyDescent="0.2">
      <c r="B297" s="45"/>
    </row>
    <row r="298" spans="2:2" x14ac:dyDescent="0.2">
      <c r="B298" s="45"/>
    </row>
    <row r="299" spans="2:2" x14ac:dyDescent="0.2">
      <c r="B299" s="45"/>
    </row>
    <row r="300" spans="2:2" x14ac:dyDescent="0.2">
      <c r="B300" s="45"/>
    </row>
    <row r="301" spans="2:2" x14ac:dyDescent="0.2">
      <c r="B301" s="45"/>
    </row>
    <row r="302" spans="2:2" x14ac:dyDescent="0.2">
      <c r="B302" s="66"/>
    </row>
    <row r="303" spans="2:2" x14ac:dyDescent="0.2">
      <c r="B303" s="49"/>
    </row>
    <row r="304" spans="2:2" x14ac:dyDescent="0.2">
      <c r="B304" s="45"/>
    </row>
    <row r="305" spans="1:22" x14ac:dyDescent="0.2">
      <c r="A305" s="3"/>
      <c r="B305" s="45"/>
    </row>
    <row r="306" spans="1:22" x14ac:dyDescent="0.2">
      <c r="A306" s="2"/>
      <c r="B306" s="44"/>
      <c r="C306" s="2"/>
      <c r="D306" s="2"/>
      <c r="E306" s="2"/>
      <c r="F306" s="2"/>
      <c r="G306" s="2"/>
      <c r="H306" s="2"/>
      <c r="I306" s="2"/>
      <c r="J306" s="2"/>
      <c r="K306" s="2"/>
      <c r="L306" s="2"/>
      <c r="M306" s="2"/>
      <c r="N306" s="2"/>
      <c r="O306" s="2"/>
      <c r="P306" s="2"/>
      <c r="Q306" s="2"/>
      <c r="R306" s="2"/>
      <c r="S306" s="2"/>
      <c r="T306" s="2"/>
      <c r="U306" s="2"/>
      <c r="V306" s="2"/>
    </row>
    <row r="307" spans="1:22" x14ac:dyDescent="0.2">
      <c r="B307" s="45"/>
    </row>
    <row r="308" spans="1:22" x14ac:dyDescent="0.2">
      <c r="B308" s="53"/>
      <c r="O308" s="15"/>
    </row>
    <row r="309" spans="1:22" x14ac:dyDescent="0.2">
      <c r="B309" s="53"/>
      <c r="O309" s="15"/>
    </row>
    <row r="310" spans="1:22" x14ac:dyDescent="0.2">
      <c r="B310" s="45"/>
      <c r="O310" s="15"/>
    </row>
    <row r="311" spans="1:22" x14ac:dyDescent="0.2">
      <c r="B311" s="45"/>
      <c r="O311" s="15"/>
    </row>
    <row r="312" spans="1:22" x14ac:dyDescent="0.2">
      <c r="B312" s="53"/>
      <c r="O312" s="15"/>
    </row>
    <row r="313" spans="1:22" x14ac:dyDescent="0.2">
      <c r="B313" s="52"/>
      <c r="O313" s="15"/>
    </row>
    <row r="314" spans="1:22" x14ac:dyDescent="0.2">
      <c r="B314" s="52"/>
      <c r="O314" s="15"/>
    </row>
    <row r="315" spans="1:22" x14ac:dyDescent="0.2">
      <c r="B315" s="53"/>
      <c r="O315" s="15"/>
    </row>
    <row r="316" spans="1:22" x14ac:dyDescent="0.2">
      <c r="B316" s="45"/>
    </row>
    <row r="317" spans="1:22" x14ac:dyDescent="0.2">
      <c r="A317" s="2"/>
      <c r="B317" s="44"/>
    </row>
    <row r="318" spans="1:22" x14ac:dyDescent="0.2">
      <c r="B318" s="45"/>
    </row>
    <row r="319" spans="1:22" x14ac:dyDescent="0.2">
      <c r="B319" s="45"/>
    </row>
    <row r="320" spans="1:22" x14ac:dyDescent="0.2">
      <c r="B320" s="45"/>
    </row>
    <row r="321" spans="2:2" x14ac:dyDescent="0.2">
      <c r="B321" s="45"/>
    </row>
    <row r="322" spans="2:2" x14ac:dyDescent="0.2">
      <c r="B322" s="45"/>
    </row>
    <row r="323" spans="2:2" x14ac:dyDescent="0.2">
      <c r="B323" s="45"/>
    </row>
    <row r="324" spans="2:2" x14ac:dyDescent="0.2">
      <c r="B324" s="45"/>
    </row>
    <row r="325" spans="2:2" x14ac:dyDescent="0.2">
      <c r="B325" s="45"/>
    </row>
    <row r="326" spans="2:2" x14ac:dyDescent="0.2">
      <c r="B326" s="45"/>
    </row>
    <row r="327" spans="2:2" x14ac:dyDescent="0.2">
      <c r="B327" s="45"/>
    </row>
    <row r="328" spans="2:2" x14ac:dyDescent="0.2">
      <c r="B328" s="45"/>
    </row>
    <row r="329" spans="2:2" x14ac:dyDescent="0.2">
      <c r="B329" s="45"/>
    </row>
    <row r="330" spans="2:2" x14ac:dyDescent="0.2">
      <c r="B330" s="45"/>
    </row>
    <row r="331" spans="2:2" x14ac:dyDescent="0.2">
      <c r="B331" s="45"/>
    </row>
    <row r="332" spans="2:2" x14ac:dyDescent="0.2">
      <c r="B332" s="45"/>
    </row>
    <row r="333" spans="2:2" x14ac:dyDescent="0.2">
      <c r="B333" s="45"/>
    </row>
    <row r="334" spans="2:2" x14ac:dyDescent="0.2">
      <c r="B334" s="45"/>
    </row>
    <row r="335" spans="2:2" x14ac:dyDescent="0.2">
      <c r="B335" s="45"/>
    </row>
    <row r="336" spans="2:2" x14ac:dyDescent="0.2">
      <c r="B336" s="66"/>
    </row>
    <row r="337" spans="1:22" x14ac:dyDescent="0.2">
      <c r="B337" s="49"/>
    </row>
    <row r="338" spans="1:22" x14ac:dyDescent="0.2">
      <c r="B338" s="45"/>
    </row>
    <row r="339" spans="1:22" x14ac:dyDescent="0.2">
      <c r="A339" s="3"/>
      <c r="B339" s="45"/>
    </row>
    <row r="340" spans="1:22" x14ac:dyDescent="0.2">
      <c r="A340" s="2"/>
      <c r="B340" s="44"/>
      <c r="C340" s="2"/>
      <c r="D340" s="2"/>
      <c r="E340" s="2"/>
      <c r="F340" s="2"/>
      <c r="G340" s="2"/>
      <c r="H340" s="2"/>
      <c r="I340" s="2"/>
      <c r="J340" s="2"/>
      <c r="K340" s="2"/>
      <c r="L340" s="2"/>
      <c r="M340" s="2"/>
      <c r="N340" s="2"/>
      <c r="O340" s="2"/>
      <c r="P340" s="2"/>
      <c r="Q340" s="2"/>
      <c r="R340" s="2"/>
      <c r="S340" s="2"/>
      <c r="T340" s="2"/>
      <c r="U340" s="2"/>
      <c r="V340" s="2"/>
    </row>
    <row r="341" spans="1:22" x14ac:dyDescent="0.2">
      <c r="B341" s="45"/>
    </row>
    <row r="342" spans="1:22" x14ac:dyDescent="0.2">
      <c r="B342" s="53"/>
      <c r="O342" s="15"/>
    </row>
    <row r="343" spans="1:22" x14ac:dyDescent="0.2">
      <c r="B343" s="53"/>
      <c r="O343" s="15"/>
    </row>
    <row r="344" spans="1:22" x14ac:dyDescent="0.2">
      <c r="B344" s="45"/>
      <c r="O344" s="15"/>
    </row>
    <row r="345" spans="1:22" x14ac:dyDescent="0.2">
      <c r="B345" s="53"/>
      <c r="O345" s="15"/>
    </row>
    <row r="346" spans="1:22" x14ac:dyDescent="0.2">
      <c r="B346" s="52"/>
      <c r="O346" s="15"/>
    </row>
    <row r="347" spans="1:22" x14ac:dyDescent="0.2">
      <c r="B347" s="53"/>
      <c r="O347" s="15"/>
    </row>
    <row r="348" spans="1:22" x14ac:dyDescent="0.2">
      <c r="B348" s="45"/>
    </row>
    <row r="349" spans="1:22" x14ac:dyDescent="0.2">
      <c r="A349" s="2"/>
      <c r="B349" s="44"/>
    </row>
    <row r="350" spans="1:22" x14ac:dyDescent="0.2">
      <c r="B350" s="45"/>
    </row>
    <row r="351" spans="1:22" x14ac:dyDescent="0.2">
      <c r="B351" s="45"/>
    </row>
    <row r="352" spans="1:22" x14ac:dyDescent="0.2">
      <c r="B352" s="45"/>
    </row>
    <row r="353" spans="2:2" x14ac:dyDescent="0.2">
      <c r="B353" s="45"/>
    </row>
    <row r="354" spans="2:2" x14ac:dyDescent="0.2">
      <c r="B354" s="45"/>
    </row>
    <row r="355" spans="2:2" x14ac:dyDescent="0.2">
      <c r="B355" s="45"/>
    </row>
    <row r="356" spans="2:2" x14ac:dyDescent="0.2">
      <c r="B356" s="45"/>
    </row>
    <row r="357" spans="2:2" x14ac:dyDescent="0.2">
      <c r="B357" s="45"/>
    </row>
    <row r="358" spans="2:2" x14ac:dyDescent="0.2">
      <c r="B358" s="45"/>
    </row>
    <row r="359" spans="2:2" x14ac:dyDescent="0.2">
      <c r="B359" s="45"/>
    </row>
    <row r="360" spans="2:2" x14ac:dyDescent="0.2">
      <c r="B360" s="45"/>
    </row>
    <row r="361" spans="2:2" x14ac:dyDescent="0.2">
      <c r="B361" s="45"/>
    </row>
    <row r="362" spans="2:2" x14ac:dyDescent="0.2">
      <c r="B362" s="45"/>
    </row>
    <row r="363" spans="2:2" x14ac:dyDescent="0.2">
      <c r="B363" s="45"/>
    </row>
    <row r="364" spans="2:2" x14ac:dyDescent="0.2">
      <c r="B364" s="45"/>
    </row>
    <row r="365" spans="2:2" x14ac:dyDescent="0.2">
      <c r="B365" s="45"/>
    </row>
    <row r="366" spans="2:2" x14ac:dyDescent="0.2">
      <c r="B366" s="45"/>
    </row>
    <row r="367" spans="2:2" x14ac:dyDescent="0.2">
      <c r="B367" s="45"/>
    </row>
    <row r="368" spans="2:2" x14ac:dyDescent="0.2">
      <c r="B368" s="66"/>
    </row>
    <row r="369" spans="1:22" x14ac:dyDescent="0.2">
      <c r="B369" s="49"/>
    </row>
    <row r="370" spans="1:22" x14ac:dyDescent="0.2">
      <c r="B370" s="45"/>
    </row>
    <row r="371" spans="1:22" x14ac:dyDescent="0.2">
      <c r="A371" s="3"/>
      <c r="B371" s="45"/>
    </row>
    <row r="372" spans="1:22" x14ac:dyDescent="0.2">
      <c r="A372" s="2"/>
      <c r="B372" s="44"/>
      <c r="C372" s="2"/>
      <c r="D372" s="2"/>
      <c r="E372" s="2"/>
      <c r="F372" s="2"/>
      <c r="G372" s="2"/>
      <c r="H372" s="2"/>
      <c r="I372" s="2"/>
      <c r="J372" s="2"/>
      <c r="K372" s="2"/>
      <c r="L372" s="2"/>
      <c r="M372" s="2"/>
      <c r="N372" s="2"/>
      <c r="O372" s="2"/>
      <c r="P372" s="2"/>
      <c r="Q372" s="2"/>
      <c r="R372" s="2"/>
      <c r="S372" s="2"/>
      <c r="T372" s="2"/>
      <c r="U372" s="2"/>
      <c r="V372" s="2"/>
    </row>
    <row r="373" spans="1:22" x14ac:dyDescent="0.2">
      <c r="B373" s="45"/>
    </row>
    <row r="374" spans="1:22" x14ac:dyDescent="0.2">
      <c r="B374" s="53"/>
      <c r="O374" s="15"/>
    </row>
    <row r="375" spans="1:22" x14ac:dyDescent="0.2">
      <c r="B375" s="53"/>
      <c r="O375" s="15"/>
    </row>
    <row r="376" spans="1:22" x14ac:dyDescent="0.2">
      <c r="B376" s="45"/>
      <c r="O376" s="15"/>
    </row>
    <row r="377" spans="1:22" x14ac:dyDescent="0.2">
      <c r="B377" s="45"/>
      <c r="O377" s="15"/>
    </row>
    <row r="378" spans="1:22" x14ac:dyDescent="0.2">
      <c r="B378" s="53"/>
      <c r="O378" s="15"/>
    </row>
    <row r="379" spans="1:22" x14ac:dyDescent="0.2">
      <c r="B379" s="52"/>
      <c r="O379" s="15"/>
    </row>
    <row r="380" spans="1:22" x14ac:dyDescent="0.2">
      <c r="B380" s="52"/>
      <c r="O380" s="15"/>
    </row>
    <row r="381" spans="1:22" x14ac:dyDescent="0.2">
      <c r="B381" s="53"/>
      <c r="O381" s="15"/>
    </row>
    <row r="382" spans="1:22" x14ac:dyDescent="0.2">
      <c r="B382" s="45"/>
    </row>
    <row r="383" spans="1:22" x14ac:dyDescent="0.2">
      <c r="A383" s="2"/>
      <c r="B383" s="44"/>
    </row>
    <row r="384" spans="1:22" x14ac:dyDescent="0.2">
      <c r="B384" s="45"/>
    </row>
    <row r="385" spans="2:2" x14ac:dyDescent="0.2">
      <c r="B385" s="45"/>
    </row>
    <row r="386" spans="2:2" x14ac:dyDescent="0.2">
      <c r="B386" s="45"/>
    </row>
    <row r="387" spans="2:2" x14ac:dyDescent="0.2">
      <c r="B387" s="45"/>
    </row>
    <row r="388" spans="2:2" x14ac:dyDescent="0.2">
      <c r="B388" s="45"/>
    </row>
    <row r="389" spans="2:2" x14ac:dyDescent="0.2">
      <c r="B389" s="45"/>
    </row>
    <row r="390" spans="2:2" x14ac:dyDescent="0.2">
      <c r="B390" s="45"/>
    </row>
    <row r="391" spans="2:2" x14ac:dyDescent="0.2">
      <c r="B391" s="45"/>
    </row>
    <row r="392" spans="2:2" x14ac:dyDescent="0.2">
      <c r="B392" s="45"/>
    </row>
    <row r="393" spans="2:2" x14ac:dyDescent="0.2">
      <c r="B393" s="45"/>
    </row>
    <row r="394" spans="2:2" x14ac:dyDescent="0.2">
      <c r="B394" s="45"/>
    </row>
    <row r="395" spans="2:2" x14ac:dyDescent="0.2">
      <c r="B395" s="45"/>
    </row>
    <row r="396" spans="2:2" x14ac:dyDescent="0.2">
      <c r="B396" s="45"/>
    </row>
    <row r="397" spans="2:2" x14ac:dyDescent="0.2">
      <c r="B397" s="45"/>
    </row>
    <row r="398" spans="2:2" x14ac:dyDescent="0.2">
      <c r="B398" s="45"/>
    </row>
    <row r="399" spans="2:2" x14ac:dyDescent="0.2">
      <c r="B399" s="45"/>
    </row>
    <row r="400" spans="2:2" x14ac:dyDescent="0.2">
      <c r="B400" s="45"/>
    </row>
    <row r="401" spans="1:22" x14ac:dyDescent="0.2">
      <c r="B401" s="45"/>
    </row>
    <row r="402" spans="1:22" x14ac:dyDescent="0.2">
      <c r="B402" s="66"/>
    </row>
    <row r="403" spans="1:22" x14ac:dyDescent="0.2">
      <c r="B403" s="49"/>
    </row>
    <row r="404" spans="1:22" x14ac:dyDescent="0.2">
      <c r="B404" s="45"/>
    </row>
    <row r="405" spans="1:22" x14ac:dyDescent="0.2">
      <c r="A405" s="3"/>
      <c r="B405" s="45"/>
    </row>
    <row r="406" spans="1:22" x14ac:dyDescent="0.2">
      <c r="A406" s="2"/>
      <c r="B406" s="44"/>
      <c r="C406" s="2"/>
      <c r="D406" s="2"/>
      <c r="E406" s="2"/>
      <c r="F406" s="2"/>
      <c r="G406" s="2"/>
      <c r="H406" s="2"/>
      <c r="I406" s="2"/>
      <c r="J406" s="2"/>
      <c r="K406" s="2"/>
      <c r="L406" s="2"/>
      <c r="M406" s="2"/>
      <c r="N406" s="2"/>
      <c r="O406" s="2"/>
      <c r="P406" s="2"/>
      <c r="Q406" s="2"/>
      <c r="R406" s="2"/>
      <c r="S406" s="2"/>
      <c r="T406" s="2"/>
      <c r="U406" s="2"/>
      <c r="V406" s="2"/>
    </row>
    <row r="407" spans="1:22" x14ac:dyDescent="0.2">
      <c r="B407" s="45"/>
    </row>
    <row r="408" spans="1:22" x14ac:dyDescent="0.2">
      <c r="B408" s="53"/>
      <c r="O408" s="15"/>
    </row>
    <row r="409" spans="1:22" x14ac:dyDescent="0.2">
      <c r="B409" s="53"/>
      <c r="O409" s="15"/>
    </row>
    <row r="410" spans="1:22" x14ac:dyDescent="0.2">
      <c r="B410" s="45"/>
      <c r="O410" s="15"/>
    </row>
    <row r="411" spans="1:22" x14ac:dyDescent="0.2">
      <c r="B411" s="53"/>
      <c r="O411" s="15"/>
    </row>
    <row r="412" spans="1:22" x14ac:dyDescent="0.2">
      <c r="B412" s="52"/>
      <c r="O412" s="15"/>
    </row>
    <row r="413" spans="1:22" x14ac:dyDescent="0.2">
      <c r="B413" s="53"/>
      <c r="O413" s="15"/>
    </row>
    <row r="414" spans="1:22" x14ac:dyDescent="0.2">
      <c r="B414" s="45"/>
    </row>
    <row r="415" spans="1:22" x14ac:dyDescent="0.2">
      <c r="A415" s="2"/>
      <c r="B415" s="44"/>
    </row>
    <row r="416" spans="1:22" x14ac:dyDescent="0.2">
      <c r="B416" s="45"/>
    </row>
    <row r="417" spans="2:2" x14ac:dyDescent="0.2">
      <c r="B417" s="45"/>
    </row>
    <row r="418" spans="2:2" x14ac:dyDescent="0.2">
      <c r="B418" s="45"/>
    </row>
    <row r="419" spans="2:2" x14ac:dyDescent="0.2">
      <c r="B419" s="45"/>
    </row>
    <row r="420" spans="2:2" x14ac:dyDescent="0.2">
      <c r="B420" s="45"/>
    </row>
    <row r="421" spans="2:2" x14ac:dyDescent="0.2">
      <c r="B421" s="45"/>
    </row>
    <row r="422" spans="2:2" x14ac:dyDescent="0.2">
      <c r="B422" s="45"/>
    </row>
    <row r="423" spans="2:2" x14ac:dyDescent="0.2">
      <c r="B423" s="45"/>
    </row>
    <row r="424" spans="2:2" x14ac:dyDescent="0.2">
      <c r="B424" s="45"/>
    </row>
    <row r="425" spans="2:2" x14ac:dyDescent="0.2">
      <c r="B425" s="45"/>
    </row>
    <row r="426" spans="2:2" x14ac:dyDescent="0.2">
      <c r="B426" s="45"/>
    </row>
    <row r="427" spans="2:2" x14ac:dyDescent="0.2">
      <c r="B427" s="45"/>
    </row>
    <row r="428" spans="2:2" x14ac:dyDescent="0.2">
      <c r="B428" s="45"/>
    </row>
    <row r="429" spans="2:2" x14ac:dyDescent="0.2">
      <c r="B429" s="45"/>
    </row>
    <row r="430" spans="2:2" x14ac:dyDescent="0.2">
      <c r="B430" s="45"/>
    </row>
    <row r="431" spans="2:2" x14ac:dyDescent="0.2">
      <c r="B431" s="45"/>
    </row>
    <row r="432" spans="2:2" x14ac:dyDescent="0.2">
      <c r="B432" s="45"/>
    </row>
    <row r="433" spans="1:22" x14ac:dyDescent="0.2">
      <c r="B433" s="45"/>
    </row>
    <row r="434" spans="1:22" x14ac:dyDescent="0.2">
      <c r="B434" s="66"/>
    </row>
    <row r="435" spans="1:22" x14ac:dyDescent="0.2">
      <c r="B435" s="49"/>
    </row>
    <row r="436" spans="1:22" x14ac:dyDescent="0.2">
      <c r="B436" s="45"/>
    </row>
    <row r="437" spans="1:22" x14ac:dyDescent="0.2">
      <c r="A437" s="3"/>
      <c r="B437" s="45"/>
    </row>
    <row r="438" spans="1:22" x14ac:dyDescent="0.2">
      <c r="A438" s="2"/>
      <c r="B438" s="44"/>
      <c r="C438" s="2"/>
      <c r="D438" s="2"/>
      <c r="E438" s="2"/>
      <c r="F438" s="2"/>
      <c r="G438" s="2"/>
      <c r="H438" s="2"/>
      <c r="I438" s="2"/>
      <c r="J438" s="2"/>
      <c r="K438" s="2"/>
      <c r="L438" s="2"/>
      <c r="M438" s="2"/>
      <c r="N438" s="2"/>
      <c r="O438" s="2"/>
      <c r="P438" s="2"/>
      <c r="Q438" s="2"/>
      <c r="R438" s="2"/>
      <c r="S438" s="2"/>
      <c r="T438" s="2"/>
      <c r="U438" s="2"/>
      <c r="V438" s="2"/>
    </row>
    <row r="439" spans="1:22" x14ac:dyDescent="0.2">
      <c r="B439" s="45"/>
    </row>
    <row r="440" spans="1:22" x14ac:dyDescent="0.2">
      <c r="B440" s="53"/>
      <c r="O440" s="15"/>
    </row>
    <row r="441" spans="1:22" x14ac:dyDescent="0.2">
      <c r="B441" s="53"/>
      <c r="O441" s="15"/>
    </row>
    <row r="442" spans="1:22" x14ac:dyDescent="0.2">
      <c r="B442" s="45"/>
      <c r="O442" s="15"/>
    </row>
    <row r="443" spans="1:22" x14ac:dyDescent="0.2">
      <c r="B443" s="45"/>
      <c r="O443" s="15"/>
    </row>
    <row r="444" spans="1:22" x14ac:dyDescent="0.2">
      <c r="B444" s="53"/>
      <c r="O444" s="15"/>
    </row>
    <row r="445" spans="1:22" x14ac:dyDescent="0.2">
      <c r="B445" s="52"/>
      <c r="O445" s="15"/>
    </row>
    <row r="446" spans="1:22" x14ac:dyDescent="0.2">
      <c r="B446" s="52"/>
      <c r="O446" s="15"/>
    </row>
    <row r="447" spans="1:22" x14ac:dyDescent="0.2">
      <c r="B447" s="53"/>
      <c r="O447" s="15"/>
    </row>
    <row r="448" spans="1:22" x14ac:dyDescent="0.2">
      <c r="B448" s="45"/>
    </row>
    <row r="449" spans="1:2" x14ac:dyDescent="0.2">
      <c r="A449" s="2"/>
      <c r="B449" s="44"/>
    </row>
    <row r="450" spans="1:2" x14ac:dyDescent="0.2">
      <c r="B450" s="45"/>
    </row>
    <row r="451" spans="1:2" x14ac:dyDescent="0.2">
      <c r="B451" s="45"/>
    </row>
    <row r="452" spans="1:2" x14ac:dyDescent="0.2">
      <c r="B452" s="45"/>
    </row>
    <row r="453" spans="1:2" x14ac:dyDescent="0.2">
      <c r="B453" s="45"/>
    </row>
    <row r="454" spans="1:2" x14ac:dyDescent="0.2">
      <c r="B454" s="45"/>
    </row>
    <row r="455" spans="1:2" x14ac:dyDescent="0.2">
      <c r="B455" s="45"/>
    </row>
    <row r="456" spans="1:2" x14ac:dyDescent="0.2">
      <c r="B456" s="45"/>
    </row>
    <row r="457" spans="1:2" x14ac:dyDescent="0.2">
      <c r="B457" s="45"/>
    </row>
    <row r="458" spans="1:2" x14ac:dyDescent="0.2">
      <c r="B458" s="45"/>
    </row>
    <row r="459" spans="1:2" x14ac:dyDescent="0.2">
      <c r="B459" s="45"/>
    </row>
    <row r="460" spans="1:2" x14ac:dyDescent="0.2">
      <c r="B460" s="45"/>
    </row>
    <row r="461" spans="1:2" x14ac:dyDescent="0.2">
      <c r="B461" s="45"/>
    </row>
    <row r="462" spans="1:2" x14ac:dyDescent="0.2">
      <c r="B462" s="45"/>
    </row>
    <row r="463" spans="1:2" x14ac:dyDescent="0.2">
      <c r="B463" s="45"/>
    </row>
    <row r="464" spans="1:2" x14ac:dyDescent="0.2">
      <c r="B464" s="45"/>
    </row>
    <row r="465" spans="1:22" x14ac:dyDescent="0.2">
      <c r="B465" s="45"/>
    </row>
    <row r="466" spans="1:22" x14ac:dyDescent="0.2">
      <c r="B466" s="45"/>
    </row>
    <row r="467" spans="1:22" x14ac:dyDescent="0.2">
      <c r="B467" s="45"/>
    </row>
    <row r="468" spans="1:22" x14ac:dyDescent="0.2">
      <c r="B468" s="66"/>
    </row>
    <row r="469" spans="1:22" x14ac:dyDescent="0.2">
      <c r="B469" s="49"/>
    </row>
    <row r="470" spans="1:22" x14ac:dyDescent="0.2">
      <c r="B470" s="45"/>
    </row>
    <row r="471" spans="1:22" x14ac:dyDescent="0.2">
      <c r="A471" s="3"/>
      <c r="B471" s="45"/>
    </row>
    <row r="472" spans="1:22" x14ac:dyDescent="0.2">
      <c r="A472" s="2"/>
      <c r="B472" s="44"/>
      <c r="C472" s="2"/>
      <c r="D472" s="2"/>
      <c r="E472" s="2"/>
      <c r="F472" s="2"/>
      <c r="G472" s="2"/>
      <c r="H472" s="2"/>
      <c r="I472" s="2"/>
      <c r="J472" s="2"/>
      <c r="K472" s="2"/>
      <c r="L472" s="2"/>
      <c r="M472" s="2"/>
      <c r="N472" s="2"/>
      <c r="O472" s="2"/>
      <c r="P472" s="2"/>
      <c r="Q472" s="2"/>
      <c r="R472" s="2"/>
      <c r="S472" s="2"/>
      <c r="T472" s="2"/>
      <c r="U472" s="2"/>
      <c r="V472" s="2"/>
    </row>
    <row r="473" spans="1:22" x14ac:dyDescent="0.2">
      <c r="B473" s="45"/>
    </row>
    <row r="474" spans="1:22" x14ac:dyDescent="0.2">
      <c r="B474" s="53"/>
      <c r="O474" s="15"/>
    </row>
    <row r="475" spans="1:22" x14ac:dyDescent="0.2">
      <c r="B475" s="53"/>
      <c r="O475" s="15"/>
    </row>
    <row r="476" spans="1:22" x14ac:dyDescent="0.2">
      <c r="B476" s="45"/>
      <c r="O476" s="15"/>
    </row>
    <row r="477" spans="1:22" x14ac:dyDescent="0.2">
      <c r="B477" s="53"/>
      <c r="O477" s="15"/>
    </row>
    <row r="478" spans="1:22" x14ac:dyDescent="0.2">
      <c r="B478" s="52"/>
      <c r="O478" s="15"/>
    </row>
    <row r="479" spans="1:22" x14ac:dyDescent="0.2">
      <c r="B479" s="53"/>
      <c r="O479" s="15"/>
    </row>
    <row r="480" spans="1:22" x14ac:dyDescent="0.2">
      <c r="B480" s="45"/>
    </row>
    <row r="481" spans="1:2" x14ac:dyDescent="0.2">
      <c r="A481" s="2"/>
      <c r="B481" s="44"/>
    </row>
    <row r="482" spans="1:2" x14ac:dyDescent="0.2">
      <c r="B482" s="45"/>
    </row>
    <row r="483" spans="1:2" x14ac:dyDescent="0.2">
      <c r="B483" s="45"/>
    </row>
    <row r="484" spans="1:2" x14ac:dyDescent="0.2">
      <c r="B484" s="45"/>
    </row>
    <row r="485" spans="1:2" x14ac:dyDescent="0.2">
      <c r="B485" s="45"/>
    </row>
    <row r="486" spans="1:2" x14ac:dyDescent="0.2">
      <c r="B486" s="45"/>
    </row>
    <row r="487" spans="1:2" x14ac:dyDescent="0.2">
      <c r="B487" s="45"/>
    </row>
    <row r="488" spans="1:2" x14ac:dyDescent="0.2">
      <c r="B488" s="45"/>
    </row>
    <row r="489" spans="1:2" x14ac:dyDescent="0.2">
      <c r="B489" s="45"/>
    </row>
    <row r="490" spans="1:2" x14ac:dyDescent="0.2">
      <c r="B490" s="45"/>
    </row>
    <row r="491" spans="1:2" x14ac:dyDescent="0.2">
      <c r="B491" s="45"/>
    </row>
    <row r="492" spans="1:2" x14ac:dyDescent="0.2">
      <c r="B492" s="45"/>
    </row>
    <row r="493" spans="1:2" x14ac:dyDescent="0.2">
      <c r="B493" s="45"/>
    </row>
    <row r="494" spans="1:2" x14ac:dyDescent="0.2">
      <c r="B494" s="45"/>
    </row>
    <row r="495" spans="1:2" x14ac:dyDescent="0.2">
      <c r="B495" s="45"/>
    </row>
    <row r="496" spans="1:2" x14ac:dyDescent="0.2">
      <c r="B496" s="45"/>
    </row>
    <row r="497" spans="1:22" x14ac:dyDescent="0.2">
      <c r="B497" s="45"/>
    </row>
    <row r="498" spans="1:22" x14ac:dyDescent="0.2">
      <c r="B498" s="45"/>
    </row>
    <row r="499" spans="1:22" x14ac:dyDescent="0.2">
      <c r="B499" s="45"/>
    </row>
    <row r="500" spans="1:22" x14ac:dyDescent="0.2">
      <c r="B500" s="66"/>
    </row>
    <row r="501" spans="1:22" x14ac:dyDescent="0.2">
      <c r="B501" s="49"/>
    </row>
    <row r="502" spans="1:22" x14ac:dyDescent="0.2">
      <c r="B502" s="45"/>
    </row>
    <row r="503" spans="1:22" x14ac:dyDescent="0.2">
      <c r="A503" s="3"/>
      <c r="B503" s="45"/>
    </row>
    <row r="504" spans="1:22" x14ac:dyDescent="0.2">
      <c r="A504" s="2"/>
      <c r="B504" s="44"/>
      <c r="C504" s="2"/>
      <c r="D504" s="2"/>
      <c r="E504" s="2"/>
      <c r="F504" s="2"/>
      <c r="G504" s="2"/>
      <c r="H504" s="2"/>
      <c r="I504" s="2"/>
      <c r="J504" s="2"/>
      <c r="K504" s="2"/>
      <c r="L504" s="2"/>
      <c r="M504" s="2"/>
      <c r="N504" s="2"/>
      <c r="O504" s="2"/>
      <c r="P504" s="2"/>
      <c r="Q504" s="2"/>
      <c r="R504" s="2"/>
      <c r="S504" s="2"/>
      <c r="T504" s="2"/>
      <c r="U504" s="2"/>
      <c r="V504" s="2"/>
    </row>
    <row r="505" spans="1:22" x14ac:dyDescent="0.2">
      <c r="B505" s="45"/>
    </row>
    <row r="506" spans="1:22" x14ac:dyDescent="0.2">
      <c r="B506" s="53"/>
      <c r="O506" s="15"/>
    </row>
    <row r="507" spans="1:22" x14ac:dyDescent="0.2">
      <c r="B507" s="53"/>
      <c r="O507" s="15"/>
    </row>
    <row r="508" spans="1:22" x14ac:dyDescent="0.2">
      <c r="B508" s="45"/>
      <c r="O508" s="15"/>
    </row>
    <row r="509" spans="1:22" x14ac:dyDescent="0.2">
      <c r="B509" s="45"/>
      <c r="O509" s="15"/>
    </row>
    <row r="510" spans="1:22" x14ac:dyDescent="0.2">
      <c r="B510" s="53"/>
      <c r="O510" s="15"/>
    </row>
    <row r="511" spans="1:22" x14ac:dyDescent="0.2">
      <c r="B511" s="52"/>
      <c r="O511" s="15"/>
    </row>
    <row r="512" spans="1:22" x14ac:dyDescent="0.2">
      <c r="B512" s="52"/>
      <c r="O512" s="15"/>
    </row>
    <row r="513" spans="1:15" x14ac:dyDescent="0.2">
      <c r="B513" s="53"/>
      <c r="O513" s="15"/>
    </row>
    <row r="514" spans="1:15" x14ac:dyDescent="0.2">
      <c r="B514" s="45"/>
    </row>
    <row r="515" spans="1:15" x14ac:dyDescent="0.2">
      <c r="A515" s="2"/>
      <c r="B515" s="44"/>
    </row>
    <row r="516" spans="1:15" x14ac:dyDescent="0.2">
      <c r="B516" s="45"/>
    </row>
    <row r="517" spans="1:15" x14ac:dyDescent="0.2">
      <c r="B517" s="45"/>
    </row>
    <row r="518" spans="1:15" x14ac:dyDescent="0.2">
      <c r="B518" s="45"/>
    </row>
    <row r="519" spans="1:15" x14ac:dyDescent="0.2">
      <c r="B519" s="45"/>
    </row>
    <row r="520" spans="1:15" x14ac:dyDescent="0.2">
      <c r="B520" s="45"/>
    </row>
    <row r="521" spans="1:15" x14ac:dyDescent="0.2">
      <c r="B521" s="45"/>
    </row>
    <row r="522" spans="1:15" x14ac:dyDescent="0.2">
      <c r="B522" s="45"/>
    </row>
    <row r="523" spans="1:15" x14ac:dyDescent="0.2">
      <c r="B523" s="45"/>
    </row>
    <row r="524" spans="1:15" x14ac:dyDescent="0.2">
      <c r="B524" s="45"/>
    </row>
    <row r="525" spans="1:15" x14ac:dyDescent="0.2">
      <c r="B525" s="45"/>
    </row>
    <row r="526" spans="1:15" x14ac:dyDescent="0.2">
      <c r="B526" s="45"/>
    </row>
    <row r="527" spans="1:15" x14ac:dyDescent="0.2">
      <c r="B527" s="45"/>
    </row>
    <row r="528" spans="1:15" x14ac:dyDescent="0.2">
      <c r="B528" s="45"/>
    </row>
    <row r="529" spans="1:22" x14ac:dyDescent="0.2">
      <c r="B529" s="45"/>
    </row>
    <row r="530" spans="1:22" x14ac:dyDescent="0.2">
      <c r="B530" s="45"/>
    </row>
    <row r="531" spans="1:22" x14ac:dyDescent="0.2">
      <c r="B531" s="45"/>
    </row>
    <row r="532" spans="1:22" x14ac:dyDescent="0.2">
      <c r="B532" s="45"/>
    </row>
    <row r="533" spans="1:22" x14ac:dyDescent="0.2">
      <c r="B533" s="45"/>
    </row>
    <row r="534" spans="1:22" x14ac:dyDescent="0.2">
      <c r="B534" s="66"/>
    </row>
    <row r="535" spans="1:22" x14ac:dyDescent="0.2">
      <c r="B535" s="49"/>
    </row>
    <row r="536" spans="1:22" x14ac:dyDescent="0.2">
      <c r="B536" s="45"/>
    </row>
    <row r="537" spans="1:22" x14ac:dyDescent="0.2">
      <c r="A537" s="3"/>
      <c r="B537" s="45"/>
    </row>
    <row r="538" spans="1:22" x14ac:dyDescent="0.2">
      <c r="A538" s="2"/>
      <c r="B538" s="44"/>
      <c r="C538" s="2"/>
      <c r="D538" s="2"/>
      <c r="E538" s="2"/>
      <c r="F538" s="2"/>
      <c r="G538" s="2"/>
      <c r="H538" s="2"/>
      <c r="I538" s="2"/>
      <c r="J538" s="2"/>
      <c r="K538" s="2"/>
      <c r="L538" s="2"/>
      <c r="M538" s="2"/>
      <c r="N538" s="2"/>
      <c r="O538" s="2"/>
      <c r="P538" s="2"/>
      <c r="Q538" s="2"/>
      <c r="R538" s="2"/>
      <c r="S538" s="2"/>
      <c r="T538" s="2"/>
      <c r="U538" s="2"/>
      <c r="V538" s="2"/>
    </row>
    <row r="539" spans="1:22" x14ac:dyDescent="0.2">
      <c r="B539" s="45"/>
    </row>
    <row r="540" spans="1:22" x14ac:dyDescent="0.2">
      <c r="B540" s="53"/>
      <c r="O540" s="15"/>
    </row>
    <row r="541" spans="1:22" x14ac:dyDescent="0.2">
      <c r="B541" s="53"/>
      <c r="O541" s="15"/>
    </row>
    <row r="542" spans="1:22" x14ac:dyDescent="0.2">
      <c r="B542" s="45"/>
      <c r="O542" s="15"/>
    </row>
    <row r="543" spans="1:22" x14ac:dyDescent="0.2">
      <c r="B543" s="53"/>
      <c r="O543" s="15"/>
    </row>
    <row r="544" spans="1:22" x14ac:dyDescent="0.2">
      <c r="B544" s="52"/>
      <c r="O544" s="15"/>
    </row>
    <row r="545" spans="1:15" x14ac:dyDescent="0.2">
      <c r="B545" s="53"/>
      <c r="O545" s="15"/>
    </row>
    <row r="546" spans="1:15" x14ac:dyDescent="0.2">
      <c r="B546" s="45"/>
    </row>
    <row r="548" spans="1:15" x14ac:dyDescent="0.2">
      <c r="A548" s="2"/>
      <c r="B548" s="44"/>
    </row>
    <row r="549" spans="1:15" x14ac:dyDescent="0.2">
      <c r="B549" s="45"/>
    </row>
    <row r="550" spans="1:15" x14ac:dyDescent="0.2">
      <c r="B550" s="45"/>
    </row>
    <row r="551" spans="1:15" x14ac:dyDescent="0.2">
      <c r="B551" s="45"/>
    </row>
    <row r="552" spans="1:15" x14ac:dyDescent="0.2">
      <c r="B552" s="45"/>
    </row>
    <row r="553" spans="1:15" x14ac:dyDescent="0.2">
      <c r="B553" s="45"/>
    </row>
    <row r="554" spans="1:15" x14ac:dyDescent="0.2">
      <c r="B554" s="45"/>
    </row>
    <row r="555" spans="1:15" x14ac:dyDescent="0.2">
      <c r="B555" s="45"/>
    </row>
    <row r="556" spans="1:15" x14ac:dyDescent="0.2">
      <c r="B556" s="45"/>
    </row>
    <row r="557" spans="1:15" x14ac:dyDescent="0.2">
      <c r="B557" s="45"/>
    </row>
    <row r="558" spans="1:15" x14ac:dyDescent="0.2">
      <c r="B558" s="45"/>
    </row>
    <row r="559" spans="1:15" x14ac:dyDescent="0.2">
      <c r="B559" s="45"/>
    </row>
    <row r="560" spans="1:15" x14ac:dyDescent="0.2">
      <c r="B560" s="45"/>
    </row>
    <row r="561" spans="1:22" x14ac:dyDescent="0.2">
      <c r="B561" s="45"/>
    </row>
    <row r="562" spans="1:22" x14ac:dyDescent="0.2">
      <c r="B562" s="45"/>
    </row>
    <row r="563" spans="1:22" x14ac:dyDescent="0.2">
      <c r="B563" s="45"/>
    </row>
    <row r="564" spans="1:22" x14ac:dyDescent="0.2">
      <c r="B564" s="45"/>
    </row>
    <row r="565" spans="1:22" x14ac:dyDescent="0.2">
      <c r="B565" s="45"/>
    </row>
    <row r="566" spans="1:22" x14ac:dyDescent="0.2">
      <c r="B566" s="45"/>
    </row>
    <row r="567" spans="1:22" x14ac:dyDescent="0.2">
      <c r="B567" s="66"/>
    </row>
    <row r="568" spans="1:22" x14ac:dyDescent="0.2">
      <c r="B568" s="49"/>
    </row>
    <row r="569" spans="1:22" x14ac:dyDescent="0.2">
      <c r="B569" s="45"/>
    </row>
    <row r="570" spans="1:22" x14ac:dyDescent="0.2">
      <c r="A570" s="3"/>
      <c r="B570" s="45"/>
    </row>
    <row r="571" spans="1:22" x14ac:dyDescent="0.2">
      <c r="A571" s="2"/>
      <c r="B571" s="44"/>
      <c r="C571" s="2"/>
      <c r="D571" s="2"/>
      <c r="E571" s="2"/>
      <c r="F571" s="2"/>
      <c r="G571" s="2"/>
      <c r="H571" s="2"/>
      <c r="I571" s="2"/>
      <c r="J571" s="2"/>
      <c r="K571" s="2"/>
      <c r="L571" s="2"/>
      <c r="M571" s="2"/>
      <c r="N571" s="2"/>
      <c r="O571" s="2"/>
      <c r="P571" s="2"/>
      <c r="Q571" s="2"/>
      <c r="R571" s="2"/>
      <c r="S571" s="2"/>
      <c r="T571" s="2"/>
      <c r="U571" s="2"/>
      <c r="V571" s="2"/>
    </row>
    <row r="572" spans="1:22" x14ac:dyDescent="0.2">
      <c r="B572" s="45"/>
    </row>
    <row r="573" spans="1:22" x14ac:dyDescent="0.2">
      <c r="B573" s="53"/>
      <c r="O573" s="15"/>
    </row>
    <row r="574" spans="1:22" x14ac:dyDescent="0.2">
      <c r="B574" s="53"/>
      <c r="O574" s="15"/>
    </row>
    <row r="575" spans="1:22" x14ac:dyDescent="0.2">
      <c r="B575" s="45"/>
      <c r="O575" s="15"/>
    </row>
    <row r="576" spans="1:22" x14ac:dyDescent="0.2">
      <c r="B576" s="45"/>
      <c r="O576" s="15"/>
    </row>
    <row r="577" spans="1:15" x14ac:dyDescent="0.2">
      <c r="B577" s="53"/>
      <c r="O577" s="15"/>
    </row>
    <row r="578" spans="1:15" x14ac:dyDescent="0.2">
      <c r="B578" s="52"/>
      <c r="O578" s="15"/>
    </row>
    <row r="579" spans="1:15" x14ac:dyDescent="0.2">
      <c r="B579" s="52"/>
      <c r="O579" s="15"/>
    </row>
    <row r="580" spans="1:15" x14ac:dyDescent="0.2">
      <c r="B580" s="53"/>
      <c r="O580" s="15"/>
    </row>
    <row r="581" spans="1:15" x14ac:dyDescent="0.2">
      <c r="B581" s="45"/>
    </row>
    <row r="582" spans="1:15" x14ac:dyDescent="0.2">
      <c r="A582" s="2"/>
      <c r="B582" s="44"/>
    </row>
    <row r="583" spans="1:15" x14ac:dyDescent="0.2">
      <c r="B583" s="45"/>
    </row>
    <row r="584" spans="1:15" x14ac:dyDescent="0.2">
      <c r="B584" s="45"/>
    </row>
    <row r="585" spans="1:15" x14ac:dyDescent="0.2">
      <c r="B585" s="45"/>
    </row>
    <row r="586" spans="1:15" x14ac:dyDescent="0.2">
      <c r="B586" s="45"/>
    </row>
    <row r="587" spans="1:15" x14ac:dyDescent="0.2">
      <c r="B587" s="45"/>
    </row>
    <row r="588" spans="1:15" x14ac:dyDescent="0.2">
      <c r="B588" s="45"/>
    </row>
    <row r="589" spans="1:15" x14ac:dyDescent="0.2">
      <c r="B589" s="45"/>
    </row>
    <row r="590" spans="1:15" x14ac:dyDescent="0.2">
      <c r="B590" s="45"/>
    </row>
    <row r="591" spans="1:15" x14ac:dyDescent="0.2">
      <c r="B591" s="45"/>
    </row>
    <row r="592" spans="1:15" x14ac:dyDescent="0.2">
      <c r="B592" s="45"/>
    </row>
    <row r="593" spans="1:22" x14ac:dyDescent="0.2">
      <c r="B593" s="45"/>
    </row>
    <row r="594" spans="1:22" x14ac:dyDescent="0.2">
      <c r="B594" s="45"/>
    </row>
    <row r="595" spans="1:22" x14ac:dyDescent="0.2">
      <c r="B595" s="45"/>
    </row>
    <row r="596" spans="1:22" x14ac:dyDescent="0.2">
      <c r="B596" s="45"/>
    </row>
    <row r="597" spans="1:22" x14ac:dyDescent="0.2">
      <c r="B597" s="45"/>
    </row>
    <row r="598" spans="1:22" x14ac:dyDescent="0.2">
      <c r="B598" s="45"/>
    </row>
    <row r="599" spans="1:22" x14ac:dyDescent="0.2">
      <c r="B599" s="45"/>
    </row>
    <row r="600" spans="1:22" x14ac:dyDescent="0.2">
      <c r="B600" s="45"/>
    </row>
    <row r="601" spans="1:22" x14ac:dyDescent="0.2">
      <c r="B601" s="66"/>
    </row>
    <row r="602" spans="1:22" x14ac:dyDescent="0.2">
      <c r="B602" s="49"/>
    </row>
    <row r="603" spans="1:22" x14ac:dyDescent="0.2">
      <c r="B603" s="45"/>
    </row>
    <row r="604" spans="1:22" x14ac:dyDescent="0.2">
      <c r="A604" s="3"/>
      <c r="B604" s="45"/>
    </row>
    <row r="605" spans="1:22" x14ac:dyDescent="0.2">
      <c r="A605" s="2"/>
      <c r="B605" s="44"/>
      <c r="C605" s="2"/>
      <c r="D605" s="2"/>
      <c r="E605" s="2"/>
      <c r="F605" s="2"/>
      <c r="G605" s="2"/>
      <c r="H605" s="2"/>
      <c r="I605" s="2"/>
      <c r="J605" s="2"/>
      <c r="K605" s="2"/>
      <c r="L605" s="2"/>
      <c r="M605" s="2"/>
      <c r="N605" s="2"/>
      <c r="O605" s="2"/>
      <c r="P605" s="2"/>
      <c r="Q605" s="2"/>
      <c r="R605" s="2"/>
      <c r="S605" s="2"/>
      <c r="T605" s="2"/>
      <c r="U605" s="2"/>
      <c r="V605" s="2"/>
    </row>
    <row r="606" spans="1:22" x14ac:dyDescent="0.2">
      <c r="B606" s="45"/>
    </row>
    <row r="607" spans="1:22" x14ac:dyDescent="0.2">
      <c r="B607" s="53"/>
      <c r="O607" s="15"/>
    </row>
    <row r="608" spans="1:22" x14ac:dyDescent="0.2">
      <c r="B608" s="53"/>
      <c r="O608" s="15"/>
    </row>
    <row r="609" spans="1:15" x14ac:dyDescent="0.2">
      <c r="B609" s="45"/>
      <c r="O609" s="15"/>
    </row>
    <row r="610" spans="1:15" x14ac:dyDescent="0.2">
      <c r="B610" s="53"/>
      <c r="O610" s="15"/>
    </row>
    <row r="611" spans="1:15" x14ac:dyDescent="0.2">
      <c r="B611" s="52"/>
      <c r="O611" s="15"/>
    </row>
    <row r="612" spans="1:15" x14ac:dyDescent="0.2">
      <c r="B612" s="53"/>
      <c r="O612" s="15"/>
    </row>
    <row r="613" spans="1:15" x14ac:dyDescent="0.2">
      <c r="B613" s="45"/>
    </row>
    <row r="614" spans="1:15" x14ac:dyDescent="0.2">
      <c r="A614" s="2"/>
      <c r="B614" s="44"/>
    </row>
    <row r="615" spans="1:15" x14ac:dyDescent="0.2">
      <c r="B615" s="45"/>
    </row>
    <row r="616" spans="1:15" x14ac:dyDescent="0.2">
      <c r="B616" s="45"/>
    </row>
    <row r="617" spans="1:15" x14ac:dyDescent="0.2">
      <c r="B617" s="45"/>
    </row>
    <row r="618" spans="1:15" x14ac:dyDescent="0.2">
      <c r="B618" s="45"/>
    </row>
    <row r="619" spans="1:15" x14ac:dyDescent="0.2">
      <c r="B619" s="45"/>
    </row>
    <row r="620" spans="1:15" x14ac:dyDescent="0.2">
      <c r="B620" s="45"/>
    </row>
    <row r="621" spans="1:15" x14ac:dyDescent="0.2">
      <c r="B621" s="45"/>
    </row>
    <row r="622" spans="1:15" x14ac:dyDescent="0.2">
      <c r="B622" s="45"/>
    </row>
    <row r="623" spans="1:15" x14ac:dyDescent="0.2">
      <c r="B623" s="45"/>
    </row>
    <row r="624" spans="1:15" x14ac:dyDescent="0.2">
      <c r="B624" s="45"/>
    </row>
    <row r="625" spans="1:22" x14ac:dyDescent="0.2">
      <c r="B625" s="45"/>
    </row>
    <row r="626" spans="1:22" x14ac:dyDescent="0.2">
      <c r="B626" s="45"/>
    </row>
    <row r="627" spans="1:22" x14ac:dyDescent="0.2">
      <c r="B627" s="45"/>
    </row>
    <row r="628" spans="1:22" x14ac:dyDescent="0.2">
      <c r="B628" s="45"/>
    </row>
    <row r="629" spans="1:22" x14ac:dyDescent="0.2">
      <c r="B629" s="45"/>
    </row>
    <row r="630" spans="1:22" x14ac:dyDescent="0.2">
      <c r="B630" s="45"/>
    </row>
    <row r="631" spans="1:22" x14ac:dyDescent="0.2">
      <c r="B631" s="45"/>
    </row>
    <row r="632" spans="1:22" x14ac:dyDescent="0.2">
      <c r="B632" s="45"/>
    </row>
    <row r="633" spans="1:22" x14ac:dyDescent="0.2">
      <c r="B633" s="66"/>
    </row>
    <row r="634" spans="1:22" x14ac:dyDescent="0.2">
      <c r="B634" s="49"/>
    </row>
    <row r="635" spans="1:22" x14ac:dyDescent="0.2">
      <c r="B635" s="45"/>
    </row>
    <row r="636" spans="1:22" x14ac:dyDescent="0.2">
      <c r="A636" s="3"/>
      <c r="B636" s="45"/>
    </row>
    <row r="637" spans="1:22" x14ac:dyDescent="0.2">
      <c r="A637" s="2"/>
      <c r="B637" s="44"/>
      <c r="C637" s="2"/>
      <c r="D637" s="2"/>
      <c r="E637" s="2"/>
      <c r="F637" s="2"/>
      <c r="G637" s="2"/>
      <c r="H637" s="2"/>
      <c r="I637" s="2"/>
      <c r="J637" s="2"/>
      <c r="K637" s="2"/>
      <c r="L637" s="2"/>
      <c r="M637" s="2"/>
      <c r="N637" s="2"/>
      <c r="O637" s="2"/>
      <c r="P637" s="2"/>
      <c r="Q637" s="2"/>
      <c r="R637" s="2"/>
      <c r="S637" s="2"/>
      <c r="T637" s="2"/>
      <c r="U637" s="2"/>
      <c r="V637" s="2"/>
    </row>
    <row r="638" spans="1:22" x14ac:dyDescent="0.2">
      <c r="B638" s="45"/>
    </row>
    <row r="639" spans="1:22" x14ac:dyDescent="0.2">
      <c r="B639" s="53"/>
      <c r="O639" s="15"/>
    </row>
    <row r="640" spans="1:22" x14ac:dyDescent="0.2">
      <c r="B640" s="53"/>
      <c r="O640" s="15"/>
    </row>
    <row r="641" spans="1:15" x14ac:dyDescent="0.2">
      <c r="B641" s="45"/>
      <c r="O641" s="15"/>
    </row>
    <row r="642" spans="1:15" x14ac:dyDescent="0.2">
      <c r="B642" s="45"/>
      <c r="O642" s="15"/>
    </row>
    <row r="643" spans="1:15" x14ac:dyDescent="0.2">
      <c r="B643" s="53"/>
      <c r="O643" s="15"/>
    </row>
    <row r="644" spans="1:15" x14ac:dyDescent="0.2">
      <c r="B644" s="52"/>
      <c r="O644" s="15"/>
    </row>
    <row r="645" spans="1:15" x14ac:dyDescent="0.2">
      <c r="B645" s="52"/>
      <c r="O645" s="15"/>
    </row>
    <row r="646" spans="1:15" x14ac:dyDescent="0.2">
      <c r="B646" s="53"/>
      <c r="O646" s="15"/>
    </row>
    <row r="647" spans="1:15" x14ac:dyDescent="0.2">
      <c r="B647" s="45"/>
    </row>
    <row r="648" spans="1:15" x14ac:dyDescent="0.2">
      <c r="A648" s="2"/>
      <c r="B648" s="44"/>
    </row>
    <row r="649" spans="1:15" x14ac:dyDescent="0.2">
      <c r="B649" s="45"/>
    </row>
    <row r="650" spans="1:15" x14ac:dyDescent="0.2">
      <c r="B650" s="45"/>
    </row>
    <row r="651" spans="1:15" x14ac:dyDescent="0.2">
      <c r="B651" s="45"/>
    </row>
    <row r="652" spans="1:15" x14ac:dyDescent="0.2">
      <c r="B652" s="45"/>
    </row>
    <row r="653" spans="1:15" x14ac:dyDescent="0.2">
      <c r="B653" s="45"/>
    </row>
    <row r="654" spans="1:15" x14ac:dyDescent="0.2">
      <c r="B654" s="45"/>
    </row>
    <row r="655" spans="1:15" x14ac:dyDescent="0.2">
      <c r="B655" s="45"/>
    </row>
    <row r="656" spans="1:15" x14ac:dyDescent="0.2">
      <c r="B656" s="45"/>
    </row>
    <row r="657" spans="1:22" x14ac:dyDescent="0.2">
      <c r="B657" s="45"/>
    </row>
    <row r="658" spans="1:22" x14ac:dyDescent="0.2">
      <c r="B658" s="45"/>
    </row>
    <row r="659" spans="1:22" x14ac:dyDescent="0.2">
      <c r="B659" s="45"/>
    </row>
    <row r="660" spans="1:22" x14ac:dyDescent="0.2">
      <c r="B660" s="45"/>
    </row>
    <row r="661" spans="1:22" x14ac:dyDescent="0.2">
      <c r="B661" s="45"/>
    </row>
    <row r="662" spans="1:22" x14ac:dyDescent="0.2">
      <c r="B662" s="45"/>
    </row>
    <row r="663" spans="1:22" x14ac:dyDescent="0.2">
      <c r="B663" s="45"/>
    </row>
    <row r="664" spans="1:22" x14ac:dyDescent="0.2">
      <c r="B664" s="45"/>
    </row>
    <row r="665" spans="1:22" x14ac:dyDescent="0.2">
      <c r="B665" s="45"/>
    </row>
    <row r="666" spans="1:22" x14ac:dyDescent="0.2">
      <c r="B666" s="45"/>
    </row>
    <row r="667" spans="1:22" x14ac:dyDescent="0.2">
      <c r="B667" s="66"/>
    </row>
    <row r="668" spans="1:22" x14ac:dyDescent="0.2">
      <c r="B668" s="49"/>
    </row>
    <row r="669" spans="1:22" x14ac:dyDescent="0.2">
      <c r="B669" s="45"/>
    </row>
    <row r="670" spans="1:22" x14ac:dyDescent="0.2">
      <c r="A670" s="3"/>
      <c r="B670" s="45"/>
    </row>
    <row r="671" spans="1:22" x14ac:dyDescent="0.2">
      <c r="A671" s="2"/>
      <c r="B671" s="44"/>
      <c r="C671" s="2"/>
      <c r="D671" s="2"/>
      <c r="E671" s="2"/>
      <c r="F671" s="2"/>
      <c r="G671" s="2"/>
      <c r="H671" s="2"/>
      <c r="I671" s="2"/>
      <c r="J671" s="2"/>
      <c r="K671" s="2"/>
      <c r="L671" s="2"/>
      <c r="M671" s="2"/>
      <c r="N671" s="2"/>
      <c r="O671" s="2"/>
      <c r="P671" s="2"/>
      <c r="Q671" s="2"/>
      <c r="R671" s="2"/>
      <c r="S671" s="2"/>
      <c r="T671" s="2"/>
      <c r="U671" s="2"/>
      <c r="V671" s="2"/>
    </row>
    <row r="672" spans="1:22" x14ac:dyDescent="0.2">
      <c r="B672" s="45"/>
    </row>
    <row r="673" spans="1:15" x14ac:dyDescent="0.2">
      <c r="B673" s="53"/>
      <c r="O673" s="15"/>
    </row>
    <row r="674" spans="1:15" x14ac:dyDescent="0.2">
      <c r="B674" s="53"/>
      <c r="O674" s="15"/>
    </row>
    <row r="675" spans="1:15" x14ac:dyDescent="0.2">
      <c r="B675" s="45"/>
      <c r="O675" s="15"/>
    </row>
    <row r="676" spans="1:15" x14ac:dyDescent="0.2">
      <c r="B676" s="53"/>
      <c r="O676" s="15"/>
    </row>
    <row r="677" spans="1:15" x14ac:dyDescent="0.2">
      <c r="B677" s="52"/>
      <c r="O677" s="15"/>
    </row>
    <row r="678" spans="1:15" x14ac:dyDescent="0.2">
      <c r="B678" s="53"/>
      <c r="O678" s="15"/>
    </row>
    <row r="680" spans="1:15" x14ac:dyDescent="0.2">
      <c r="A680" s="2"/>
      <c r="B680" s="44"/>
    </row>
    <row r="681" spans="1:15" x14ac:dyDescent="0.2">
      <c r="B681" s="45"/>
    </row>
    <row r="682" spans="1:15" x14ac:dyDescent="0.2">
      <c r="B682" s="45"/>
    </row>
    <row r="683" spans="1:15" x14ac:dyDescent="0.2">
      <c r="B683" s="45"/>
    </row>
    <row r="684" spans="1:15" x14ac:dyDescent="0.2">
      <c r="B684" s="45"/>
    </row>
    <row r="685" spans="1:15" x14ac:dyDescent="0.2">
      <c r="B685" s="45"/>
    </row>
    <row r="686" spans="1:15" x14ac:dyDescent="0.2">
      <c r="B686" s="45"/>
    </row>
    <row r="687" spans="1:15" x14ac:dyDescent="0.2">
      <c r="B687" s="45"/>
    </row>
    <row r="688" spans="1:15" x14ac:dyDescent="0.2">
      <c r="B688" s="45"/>
    </row>
    <row r="689" spans="1:22" x14ac:dyDescent="0.2">
      <c r="B689" s="45"/>
    </row>
    <row r="690" spans="1:22" x14ac:dyDescent="0.2">
      <c r="B690" s="45"/>
    </row>
    <row r="691" spans="1:22" x14ac:dyDescent="0.2">
      <c r="B691" s="45"/>
    </row>
    <row r="692" spans="1:22" x14ac:dyDescent="0.2">
      <c r="B692" s="45"/>
    </row>
    <row r="693" spans="1:22" x14ac:dyDescent="0.2">
      <c r="B693" s="45"/>
    </row>
    <row r="694" spans="1:22" x14ac:dyDescent="0.2">
      <c r="B694" s="45"/>
    </row>
    <row r="695" spans="1:22" x14ac:dyDescent="0.2">
      <c r="B695" s="45"/>
    </row>
    <row r="696" spans="1:22" x14ac:dyDescent="0.2">
      <c r="B696" s="45"/>
    </row>
    <row r="697" spans="1:22" x14ac:dyDescent="0.2">
      <c r="B697" s="45"/>
    </row>
    <row r="698" spans="1:22" x14ac:dyDescent="0.2">
      <c r="B698" s="45"/>
    </row>
    <row r="699" spans="1:22" x14ac:dyDescent="0.2">
      <c r="B699" s="66"/>
    </row>
    <row r="700" spans="1:22" x14ac:dyDescent="0.2">
      <c r="B700" s="49"/>
    </row>
    <row r="701" spans="1:22" x14ac:dyDescent="0.2">
      <c r="B701" s="45"/>
    </row>
    <row r="702" spans="1:22" x14ac:dyDescent="0.2">
      <c r="A702" s="3"/>
      <c r="B702" s="45"/>
    </row>
    <row r="703" spans="1:22" x14ac:dyDescent="0.2">
      <c r="A703" s="2"/>
      <c r="B703" s="44"/>
      <c r="C703" s="2"/>
      <c r="D703" s="2"/>
      <c r="E703" s="2"/>
      <c r="F703" s="2"/>
      <c r="G703" s="2"/>
      <c r="H703" s="2"/>
      <c r="I703" s="2"/>
      <c r="J703" s="2"/>
      <c r="K703" s="2"/>
      <c r="L703" s="2"/>
      <c r="M703" s="2"/>
      <c r="N703" s="2"/>
      <c r="O703" s="2"/>
      <c r="P703" s="2"/>
      <c r="Q703" s="2"/>
      <c r="R703" s="2"/>
      <c r="S703" s="2"/>
      <c r="T703" s="2"/>
      <c r="U703" s="2"/>
      <c r="V703" s="2"/>
    </row>
    <row r="704" spans="1:22" x14ac:dyDescent="0.2">
      <c r="B704" s="45"/>
    </row>
    <row r="705" spans="1:15" x14ac:dyDescent="0.2">
      <c r="B705" s="53"/>
      <c r="O705" s="15"/>
    </row>
    <row r="706" spans="1:15" x14ac:dyDescent="0.2">
      <c r="B706" s="53"/>
      <c r="O706" s="15"/>
    </row>
    <row r="707" spans="1:15" x14ac:dyDescent="0.2">
      <c r="B707" s="45"/>
      <c r="O707" s="15"/>
    </row>
    <row r="708" spans="1:15" x14ac:dyDescent="0.2">
      <c r="B708" s="45"/>
      <c r="O708" s="15"/>
    </row>
    <row r="709" spans="1:15" x14ac:dyDescent="0.2">
      <c r="B709" s="53"/>
      <c r="O709" s="15"/>
    </row>
    <row r="710" spans="1:15" x14ac:dyDescent="0.2">
      <c r="B710" s="52"/>
      <c r="O710" s="15"/>
    </row>
    <row r="711" spans="1:15" x14ac:dyDescent="0.2">
      <c r="B711" s="52"/>
      <c r="O711" s="15"/>
    </row>
    <row r="712" spans="1:15" x14ac:dyDescent="0.2">
      <c r="B712" s="53"/>
      <c r="O712" s="15"/>
    </row>
    <row r="713" spans="1:15" x14ac:dyDescent="0.2">
      <c r="B713" s="45"/>
    </row>
    <row r="714" spans="1:15" x14ac:dyDescent="0.2">
      <c r="A714" s="2"/>
      <c r="B714" s="44"/>
    </row>
    <row r="715" spans="1:15" x14ac:dyDescent="0.2">
      <c r="B715" s="45"/>
    </row>
    <row r="716" spans="1:15" x14ac:dyDescent="0.2">
      <c r="B716" s="45"/>
    </row>
    <row r="717" spans="1:15" x14ac:dyDescent="0.2">
      <c r="B717" s="45"/>
    </row>
    <row r="718" spans="1:15" x14ac:dyDescent="0.2">
      <c r="B718" s="45"/>
    </row>
    <row r="719" spans="1:15" x14ac:dyDescent="0.2">
      <c r="B719" s="45"/>
    </row>
    <row r="720" spans="1:15" x14ac:dyDescent="0.2">
      <c r="B720" s="45"/>
    </row>
    <row r="721" spans="1:2" x14ac:dyDescent="0.2">
      <c r="B721" s="45"/>
    </row>
    <row r="722" spans="1:2" x14ac:dyDescent="0.2">
      <c r="B722" s="45"/>
    </row>
    <row r="723" spans="1:2" x14ac:dyDescent="0.2">
      <c r="B723" s="45"/>
    </row>
    <row r="724" spans="1:2" x14ac:dyDescent="0.2">
      <c r="B724" s="45"/>
    </row>
    <row r="725" spans="1:2" x14ac:dyDescent="0.2">
      <c r="B725" s="45"/>
    </row>
    <row r="726" spans="1:2" x14ac:dyDescent="0.2">
      <c r="B726" s="45"/>
    </row>
    <row r="727" spans="1:2" x14ac:dyDescent="0.2">
      <c r="B727" s="45"/>
    </row>
    <row r="728" spans="1:2" x14ac:dyDescent="0.2">
      <c r="B728" s="45"/>
    </row>
    <row r="729" spans="1:2" x14ac:dyDescent="0.2">
      <c r="B729" s="45"/>
    </row>
    <row r="730" spans="1:2" x14ac:dyDescent="0.2">
      <c r="B730" s="45"/>
    </row>
    <row r="731" spans="1:2" x14ac:dyDescent="0.2">
      <c r="B731" s="45"/>
    </row>
    <row r="732" spans="1:2" x14ac:dyDescent="0.2">
      <c r="B732" s="45"/>
    </row>
    <row r="733" spans="1:2" x14ac:dyDescent="0.2">
      <c r="B733" s="66"/>
    </row>
    <row r="734" spans="1:2" x14ac:dyDescent="0.2">
      <c r="B734" s="49"/>
    </row>
    <row r="735" spans="1:2" x14ac:dyDescent="0.2">
      <c r="B735" s="45"/>
    </row>
    <row r="736" spans="1:2" x14ac:dyDescent="0.2">
      <c r="A736" s="3"/>
      <c r="B736" s="45"/>
    </row>
    <row r="737" spans="1:22" x14ac:dyDescent="0.2">
      <c r="A737" s="2"/>
      <c r="B737" s="44"/>
      <c r="C737" s="2"/>
      <c r="D737" s="2"/>
      <c r="E737" s="2"/>
      <c r="F737" s="2"/>
      <c r="G737" s="2"/>
      <c r="H737" s="2"/>
      <c r="I737" s="2"/>
      <c r="J737" s="2"/>
      <c r="K737" s="2"/>
      <c r="L737" s="2"/>
      <c r="M737" s="2"/>
      <c r="N737" s="2"/>
      <c r="O737" s="2"/>
      <c r="P737" s="2"/>
      <c r="Q737" s="2"/>
      <c r="R737" s="2"/>
      <c r="S737" s="2"/>
      <c r="T737" s="2"/>
      <c r="U737" s="2"/>
      <c r="V737" s="2"/>
    </row>
    <row r="738" spans="1:22" x14ac:dyDescent="0.2">
      <c r="B738" s="45"/>
    </row>
    <row r="739" spans="1:22" x14ac:dyDescent="0.2">
      <c r="B739" s="53"/>
      <c r="O739" s="15"/>
    </row>
    <row r="740" spans="1:22" x14ac:dyDescent="0.2">
      <c r="B740" s="53"/>
      <c r="O740" s="15"/>
    </row>
    <row r="741" spans="1:22" x14ac:dyDescent="0.2">
      <c r="B741" s="45"/>
      <c r="O741" s="15"/>
    </row>
    <row r="742" spans="1:22" x14ac:dyDescent="0.2">
      <c r="B742" s="53"/>
      <c r="O742" s="15"/>
    </row>
    <row r="743" spans="1:22" x14ac:dyDescent="0.2">
      <c r="B743" s="52"/>
      <c r="O743" s="15"/>
    </row>
    <row r="744" spans="1:22" x14ac:dyDescent="0.2">
      <c r="B744" s="53"/>
      <c r="O744" s="15"/>
    </row>
    <row r="746" spans="1:22" x14ac:dyDescent="0.2">
      <c r="A746" s="2"/>
      <c r="B746" s="44"/>
    </row>
    <row r="747" spans="1:22" x14ac:dyDescent="0.2">
      <c r="B747" s="45"/>
    </row>
    <row r="748" spans="1:22" x14ac:dyDescent="0.2">
      <c r="B748" s="45"/>
    </row>
    <row r="749" spans="1:22" x14ac:dyDescent="0.2">
      <c r="B749" s="45"/>
    </row>
    <row r="750" spans="1:22" x14ac:dyDescent="0.2">
      <c r="B750" s="45"/>
    </row>
    <row r="751" spans="1:22" x14ac:dyDescent="0.2">
      <c r="B751" s="45"/>
    </row>
    <row r="752" spans="1:22" x14ac:dyDescent="0.2">
      <c r="B752" s="45"/>
    </row>
    <row r="753" spans="1:2" x14ac:dyDescent="0.2">
      <c r="B753" s="45"/>
    </row>
    <row r="754" spans="1:2" x14ac:dyDescent="0.2">
      <c r="B754" s="45"/>
    </row>
    <row r="755" spans="1:2" x14ac:dyDescent="0.2">
      <c r="B755" s="45"/>
    </row>
    <row r="756" spans="1:2" x14ac:dyDescent="0.2">
      <c r="B756" s="45"/>
    </row>
    <row r="757" spans="1:2" x14ac:dyDescent="0.2">
      <c r="B757" s="45"/>
    </row>
    <row r="758" spans="1:2" x14ac:dyDescent="0.2">
      <c r="B758" s="45"/>
    </row>
    <row r="759" spans="1:2" x14ac:dyDescent="0.2">
      <c r="B759" s="45"/>
    </row>
    <row r="760" spans="1:2" x14ac:dyDescent="0.2">
      <c r="B760" s="45"/>
    </row>
    <row r="761" spans="1:2" x14ac:dyDescent="0.2">
      <c r="B761" s="45"/>
    </row>
    <row r="762" spans="1:2" x14ac:dyDescent="0.2">
      <c r="B762" s="45"/>
    </row>
    <row r="763" spans="1:2" x14ac:dyDescent="0.2">
      <c r="B763" s="45"/>
    </row>
    <row r="764" spans="1:2" x14ac:dyDescent="0.2">
      <c r="B764" s="45"/>
    </row>
    <row r="765" spans="1:2" x14ac:dyDescent="0.2">
      <c r="B765" s="66"/>
    </row>
    <row r="766" spans="1:2" x14ac:dyDescent="0.2">
      <c r="B766" s="49"/>
    </row>
    <row r="767" spans="1:2" x14ac:dyDescent="0.2">
      <c r="B767" s="45"/>
    </row>
    <row r="768" spans="1:2" x14ac:dyDescent="0.2">
      <c r="A768" s="3"/>
      <c r="B768" s="45"/>
    </row>
    <row r="769" spans="1:22" x14ac:dyDescent="0.2">
      <c r="A769" s="2"/>
      <c r="B769" s="44"/>
      <c r="C769" s="2"/>
      <c r="D769" s="2"/>
      <c r="E769" s="2"/>
      <c r="F769" s="2"/>
      <c r="G769" s="2"/>
      <c r="H769" s="2"/>
      <c r="I769" s="2"/>
      <c r="J769" s="2"/>
      <c r="K769" s="2"/>
      <c r="L769" s="2"/>
      <c r="M769" s="2"/>
      <c r="N769" s="2"/>
      <c r="O769" s="2"/>
      <c r="P769" s="2"/>
      <c r="Q769" s="2"/>
      <c r="R769" s="2"/>
      <c r="S769" s="2"/>
      <c r="T769" s="2"/>
      <c r="U769" s="2"/>
      <c r="V769" s="2"/>
    </row>
    <row r="770" spans="1:22" x14ac:dyDescent="0.2">
      <c r="B770" s="45"/>
    </row>
    <row r="771" spans="1:22" x14ac:dyDescent="0.2">
      <c r="B771" s="53"/>
      <c r="O771" s="15"/>
    </row>
    <row r="772" spans="1:22" x14ac:dyDescent="0.2">
      <c r="B772" s="53"/>
      <c r="O772" s="15"/>
    </row>
    <row r="773" spans="1:22" x14ac:dyDescent="0.2">
      <c r="B773" s="45"/>
      <c r="O773" s="15"/>
    </row>
    <row r="774" spans="1:22" x14ac:dyDescent="0.2">
      <c r="B774" s="45"/>
      <c r="O774" s="15"/>
    </row>
    <row r="775" spans="1:22" x14ac:dyDescent="0.2">
      <c r="B775" s="53"/>
      <c r="O775" s="15"/>
    </row>
    <row r="776" spans="1:22" x14ac:dyDescent="0.2">
      <c r="B776" s="52"/>
      <c r="O776" s="15"/>
    </row>
    <row r="777" spans="1:22" x14ac:dyDescent="0.2">
      <c r="B777" s="52"/>
      <c r="O777" s="15"/>
    </row>
    <row r="778" spans="1:22" x14ac:dyDescent="0.2">
      <c r="B778" s="53"/>
      <c r="O778" s="15"/>
    </row>
    <row r="779" spans="1:22" x14ac:dyDescent="0.2">
      <c r="B779" s="45"/>
    </row>
    <row r="780" spans="1:22" x14ac:dyDescent="0.2">
      <c r="A780" s="2"/>
      <c r="B780" s="44"/>
    </row>
    <row r="781" spans="1:22" x14ac:dyDescent="0.2">
      <c r="B781" s="45"/>
    </row>
    <row r="782" spans="1:22" x14ac:dyDescent="0.2">
      <c r="B782" s="45"/>
    </row>
    <row r="783" spans="1:22" x14ac:dyDescent="0.2">
      <c r="B783" s="45"/>
    </row>
    <row r="784" spans="1:22" x14ac:dyDescent="0.2">
      <c r="B784" s="45"/>
    </row>
    <row r="785" spans="2:2" x14ac:dyDescent="0.2">
      <c r="B785" s="45"/>
    </row>
    <row r="786" spans="2:2" x14ac:dyDescent="0.2">
      <c r="B786" s="45"/>
    </row>
    <row r="787" spans="2:2" x14ac:dyDescent="0.2">
      <c r="B787" s="45"/>
    </row>
    <row r="788" spans="2:2" x14ac:dyDescent="0.2">
      <c r="B788" s="45"/>
    </row>
    <row r="789" spans="2:2" x14ac:dyDescent="0.2">
      <c r="B789" s="45"/>
    </row>
    <row r="790" spans="2:2" x14ac:dyDescent="0.2">
      <c r="B790" s="45"/>
    </row>
    <row r="791" spans="2:2" x14ac:dyDescent="0.2">
      <c r="B791" s="45"/>
    </row>
    <row r="792" spans="2:2" x14ac:dyDescent="0.2">
      <c r="B792" s="45"/>
    </row>
    <row r="793" spans="2:2" x14ac:dyDescent="0.2">
      <c r="B793" s="45"/>
    </row>
    <row r="794" spans="2:2" x14ac:dyDescent="0.2">
      <c r="B794" s="45"/>
    </row>
    <row r="795" spans="2:2" x14ac:dyDescent="0.2">
      <c r="B795" s="45"/>
    </row>
    <row r="796" spans="2:2" x14ac:dyDescent="0.2">
      <c r="B796" s="45"/>
    </row>
    <row r="797" spans="2:2" x14ac:dyDescent="0.2">
      <c r="B797" s="45"/>
    </row>
    <row r="798" spans="2:2" x14ac:dyDescent="0.2">
      <c r="B798" s="45"/>
    </row>
    <row r="799" spans="2:2" x14ac:dyDescent="0.2">
      <c r="B799" s="66"/>
    </row>
    <row r="800" spans="2:2" x14ac:dyDescent="0.2">
      <c r="B800" s="49"/>
    </row>
    <row r="801" spans="1:22" x14ac:dyDescent="0.2">
      <c r="B801" s="45"/>
    </row>
    <row r="802" spans="1:22" x14ac:dyDescent="0.2">
      <c r="A802" s="3"/>
      <c r="B802" s="45"/>
    </row>
    <row r="803" spans="1:22" x14ac:dyDescent="0.2">
      <c r="A803" s="2"/>
      <c r="B803" s="44"/>
      <c r="C803" s="2"/>
      <c r="D803" s="2"/>
      <c r="E803" s="2"/>
      <c r="F803" s="2"/>
      <c r="G803" s="2"/>
      <c r="H803" s="2"/>
      <c r="I803" s="2"/>
      <c r="J803" s="2"/>
      <c r="K803" s="2"/>
      <c r="L803" s="2"/>
      <c r="M803" s="2"/>
      <c r="N803" s="2"/>
      <c r="O803" s="2"/>
      <c r="P803" s="2"/>
      <c r="Q803" s="2"/>
      <c r="R803" s="2"/>
      <c r="S803" s="2"/>
      <c r="T803" s="2"/>
      <c r="U803" s="2"/>
      <c r="V803" s="2"/>
    </row>
    <row r="804" spans="1:22" x14ac:dyDescent="0.2">
      <c r="B804" s="45"/>
    </row>
    <row r="805" spans="1:22" x14ac:dyDescent="0.2">
      <c r="B805" s="53"/>
      <c r="O805" s="15"/>
    </row>
    <row r="806" spans="1:22" x14ac:dyDescent="0.2">
      <c r="B806" s="53"/>
      <c r="O806" s="15"/>
    </row>
    <row r="807" spans="1:22" x14ac:dyDescent="0.2">
      <c r="B807" s="45"/>
      <c r="O807" s="15"/>
    </row>
    <row r="808" spans="1:22" x14ac:dyDescent="0.2">
      <c r="B808" s="53"/>
      <c r="O808" s="15"/>
    </row>
    <row r="809" spans="1:22" x14ac:dyDescent="0.2">
      <c r="B809" s="52"/>
      <c r="O809" s="15"/>
    </row>
    <row r="810" spans="1:22" x14ac:dyDescent="0.2">
      <c r="B810" s="53"/>
      <c r="O810" s="15"/>
    </row>
    <row r="813" spans="1:22" x14ac:dyDescent="0.2">
      <c r="A813" s="2"/>
      <c r="B813" s="44"/>
    </row>
    <row r="814" spans="1:22" x14ac:dyDescent="0.2">
      <c r="B814" s="45"/>
    </row>
    <row r="815" spans="1:22" x14ac:dyDescent="0.2">
      <c r="B815" s="45"/>
    </row>
    <row r="816" spans="1:22" x14ac:dyDescent="0.2">
      <c r="B816" s="45"/>
    </row>
    <row r="817" spans="2:2" x14ac:dyDescent="0.2">
      <c r="B817" s="45"/>
    </row>
    <row r="818" spans="2:2" x14ac:dyDescent="0.2">
      <c r="B818" s="45"/>
    </row>
    <row r="819" spans="2:2" x14ac:dyDescent="0.2">
      <c r="B819" s="45"/>
    </row>
    <row r="820" spans="2:2" x14ac:dyDescent="0.2">
      <c r="B820" s="45"/>
    </row>
    <row r="821" spans="2:2" x14ac:dyDescent="0.2">
      <c r="B821" s="45"/>
    </row>
    <row r="822" spans="2:2" x14ac:dyDescent="0.2">
      <c r="B822" s="45"/>
    </row>
    <row r="823" spans="2:2" x14ac:dyDescent="0.2">
      <c r="B823" s="45"/>
    </row>
    <row r="824" spans="2:2" x14ac:dyDescent="0.2">
      <c r="B824" s="45"/>
    </row>
    <row r="825" spans="2:2" x14ac:dyDescent="0.2">
      <c r="B825" s="45"/>
    </row>
    <row r="826" spans="2:2" x14ac:dyDescent="0.2">
      <c r="B826" s="45"/>
    </row>
    <row r="827" spans="2:2" x14ac:dyDescent="0.2">
      <c r="B827" s="45"/>
    </row>
    <row r="828" spans="2:2" x14ac:dyDescent="0.2">
      <c r="B828" s="45"/>
    </row>
    <row r="829" spans="2:2" x14ac:dyDescent="0.2">
      <c r="B829" s="45"/>
    </row>
    <row r="830" spans="2:2" x14ac:dyDescent="0.2">
      <c r="B830" s="45"/>
    </row>
    <row r="831" spans="2:2" x14ac:dyDescent="0.2">
      <c r="B831" s="45"/>
    </row>
    <row r="832" spans="2:2" x14ac:dyDescent="0.2">
      <c r="B832" s="66"/>
    </row>
    <row r="833" spans="1:22" x14ac:dyDescent="0.2">
      <c r="B833" s="49"/>
    </row>
    <row r="834" spans="1:22" x14ac:dyDescent="0.2">
      <c r="B834" s="45"/>
    </row>
    <row r="835" spans="1:22" x14ac:dyDescent="0.2">
      <c r="A835" s="3"/>
      <c r="B835" s="45"/>
    </row>
    <row r="836" spans="1:22" x14ac:dyDescent="0.2">
      <c r="A836" s="2"/>
      <c r="B836" s="44"/>
      <c r="C836" s="2"/>
      <c r="D836" s="2"/>
      <c r="E836" s="2"/>
      <c r="F836" s="2"/>
      <c r="G836" s="2"/>
      <c r="H836" s="2"/>
      <c r="I836" s="2"/>
      <c r="J836" s="2"/>
      <c r="K836" s="2"/>
      <c r="L836" s="2"/>
      <c r="M836" s="2"/>
      <c r="N836" s="2"/>
      <c r="O836" s="2"/>
      <c r="P836" s="2"/>
      <c r="Q836" s="2"/>
      <c r="R836" s="2"/>
      <c r="S836" s="2"/>
      <c r="T836" s="2"/>
      <c r="U836" s="2"/>
      <c r="V836" s="2"/>
    </row>
    <row r="837" spans="1:22" x14ac:dyDescent="0.2">
      <c r="B837" s="45"/>
    </row>
    <row r="838" spans="1:22" x14ac:dyDescent="0.2">
      <c r="B838" s="53"/>
      <c r="O838" s="15"/>
    </row>
    <row r="839" spans="1:22" x14ac:dyDescent="0.2">
      <c r="B839" s="53"/>
      <c r="O839" s="15"/>
    </row>
    <row r="840" spans="1:22" x14ac:dyDescent="0.2">
      <c r="B840" s="45"/>
      <c r="O840" s="15"/>
    </row>
    <row r="841" spans="1:22" x14ac:dyDescent="0.2">
      <c r="B841" s="45"/>
      <c r="O841" s="15"/>
    </row>
    <row r="842" spans="1:22" x14ac:dyDescent="0.2">
      <c r="B842" s="53"/>
      <c r="O842" s="15"/>
    </row>
    <row r="843" spans="1:22" x14ac:dyDescent="0.2">
      <c r="B843" s="52"/>
      <c r="O843" s="15"/>
    </row>
    <row r="844" spans="1:22" x14ac:dyDescent="0.2">
      <c r="B844" s="52"/>
      <c r="O844" s="15"/>
    </row>
    <row r="845" spans="1:22" x14ac:dyDescent="0.2">
      <c r="B845" s="53"/>
      <c r="O845" s="15"/>
    </row>
    <row r="846" spans="1:22" x14ac:dyDescent="0.2">
      <c r="B846" s="45"/>
    </row>
    <row r="847" spans="1:22" x14ac:dyDescent="0.2">
      <c r="A847" s="2"/>
      <c r="B847" s="44"/>
    </row>
    <row r="848" spans="1:22" x14ac:dyDescent="0.2">
      <c r="B848" s="45"/>
    </row>
    <row r="849" spans="2:2" x14ac:dyDescent="0.2">
      <c r="B849" s="45"/>
    </row>
    <row r="850" spans="2:2" x14ac:dyDescent="0.2">
      <c r="B850" s="45"/>
    </row>
    <row r="851" spans="2:2" x14ac:dyDescent="0.2">
      <c r="B851" s="45"/>
    </row>
    <row r="852" spans="2:2" x14ac:dyDescent="0.2">
      <c r="B852" s="45"/>
    </row>
    <row r="853" spans="2:2" x14ac:dyDescent="0.2">
      <c r="B853" s="45"/>
    </row>
    <row r="854" spans="2:2" x14ac:dyDescent="0.2">
      <c r="B854" s="45"/>
    </row>
    <row r="855" spans="2:2" x14ac:dyDescent="0.2">
      <c r="B855" s="45"/>
    </row>
    <row r="856" spans="2:2" x14ac:dyDescent="0.2">
      <c r="B856" s="45"/>
    </row>
    <row r="857" spans="2:2" x14ac:dyDescent="0.2">
      <c r="B857" s="45"/>
    </row>
    <row r="858" spans="2:2" x14ac:dyDescent="0.2">
      <c r="B858" s="45"/>
    </row>
    <row r="859" spans="2:2" x14ac:dyDescent="0.2">
      <c r="B859" s="45"/>
    </row>
    <row r="860" spans="2:2" x14ac:dyDescent="0.2">
      <c r="B860" s="45"/>
    </row>
    <row r="861" spans="2:2" x14ac:dyDescent="0.2">
      <c r="B861" s="45"/>
    </row>
    <row r="862" spans="2:2" x14ac:dyDescent="0.2">
      <c r="B862" s="45"/>
    </row>
    <row r="863" spans="2:2" x14ac:dyDescent="0.2">
      <c r="B863" s="45"/>
    </row>
    <row r="864" spans="2:2" x14ac:dyDescent="0.2">
      <c r="B864" s="45"/>
    </row>
    <row r="865" spans="1:22" x14ac:dyDescent="0.2">
      <c r="B865" s="45"/>
    </row>
    <row r="866" spans="1:22" x14ac:dyDescent="0.2">
      <c r="B866" s="66"/>
    </row>
    <row r="867" spans="1:22" x14ac:dyDescent="0.2">
      <c r="B867" s="49"/>
    </row>
    <row r="868" spans="1:22" x14ac:dyDescent="0.2">
      <c r="B868" s="45"/>
    </row>
    <row r="869" spans="1:22" x14ac:dyDescent="0.2">
      <c r="A869" s="3"/>
      <c r="B869" s="45"/>
    </row>
    <row r="870" spans="1:22" x14ac:dyDescent="0.2">
      <c r="A870" s="2"/>
      <c r="B870" s="44"/>
      <c r="C870" s="2"/>
      <c r="D870" s="2"/>
      <c r="E870" s="2"/>
      <c r="F870" s="2"/>
      <c r="G870" s="2"/>
      <c r="H870" s="2"/>
      <c r="I870" s="2"/>
      <c r="J870" s="2"/>
      <c r="K870" s="2"/>
      <c r="L870" s="2"/>
      <c r="M870" s="2"/>
      <c r="N870" s="2"/>
      <c r="O870" s="2"/>
      <c r="P870" s="2"/>
      <c r="Q870" s="2"/>
      <c r="R870" s="2"/>
      <c r="S870" s="2"/>
      <c r="T870" s="2"/>
      <c r="U870" s="2"/>
      <c r="V870" s="2"/>
    </row>
    <row r="871" spans="1:22" x14ac:dyDescent="0.2">
      <c r="B871" s="45"/>
    </row>
    <row r="872" spans="1:22" x14ac:dyDescent="0.2">
      <c r="B872" s="53"/>
      <c r="O872" s="15"/>
    </row>
    <row r="873" spans="1:22" x14ac:dyDescent="0.2">
      <c r="B873" s="53"/>
      <c r="O873" s="15"/>
    </row>
    <row r="874" spans="1:22" x14ac:dyDescent="0.2">
      <c r="B874" s="45"/>
      <c r="O874" s="15"/>
    </row>
    <row r="875" spans="1:22" x14ac:dyDescent="0.2">
      <c r="B875" s="53"/>
      <c r="O875" s="15"/>
    </row>
    <row r="876" spans="1:22" x14ac:dyDescent="0.2">
      <c r="B876" s="52"/>
      <c r="O876" s="15"/>
    </row>
    <row r="877" spans="1:22" x14ac:dyDescent="0.2">
      <c r="B877" s="53"/>
      <c r="O877" s="15"/>
    </row>
    <row r="879" spans="1:22" x14ac:dyDescent="0.2">
      <c r="A879" s="2"/>
      <c r="B879" s="44"/>
    </row>
    <row r="880" spans="1:22" x14ac:dyDescent="0.2">
      <c r="B880" s="45"/>
    </row>
    <row r="881" spans="2:2" x14ac:dyDescent="0.2">
      <c r="B881" s="45"/>
    </row>
    <row r="882" spans="2:2" x14ac:dyDescent="0.2">
      <c r="B882" s="45"/>
    </row>
    <row r="883" spans="2:2" x14ac:dyDescent="0.2">
      <c r="B883" s="45"/>
    </row>
    <row r="884" spans="2:2" x14ac:dyDescent="0.2">
      <c r="B884" s="45"/>
    </row>
    <row r="885" spans="2:2" x14ac:dyDescent="0.2">
      <c r="B885" s="45"/>
    </row>
    <row r="886" spans="2:2" x14ac:dyDescent="0.2">
      <c r="B886" s="45"/>
    </row>
    <row r="887" spans="2:2" x14ac:dyDescent="0.2">
      <c r="B887" s="45"/>
    </row>
    <row r="888" spans="2:2" x14ac:dyDescent="0.2">
      <c r="B888" s="45"/>
    </row>
    <row r="889" spans="2:2" x14ac:dyDescent="0.2">
      <c r="B889" s="45"/>
    </row>
    <row r="890" spans="2:2" x14ac:dyDescent="0.2">
      <c r="B890" s="45"/>
    </row>
    <row r="891" spans="2:2" x14ac:dyDescent="0.2">
      <c r="B891" s="45"/>
    </row>
    <row r="892" spans="2:2" x14ac:dyDescent="0.2">
      <c r="B892" s="45"/>
    </row>
    <row r="893" spans="2:2" x14ac:dyDescent="0.2">
      <c r="B893" s="45"/>
    </row>
    <row r="894" spans="2:2" x14ac:dyDescent="0.2">
      <c r="B894" s="45"/>
    </row>
    <row r="895" spans="2:2" x14ac:dyDescent="0.2">
      <c r="B895" s="45"/>
    </row>
    <row r="896" spans="2:2" x14ac:dyDescent="0.2">
      <c r="B896" s="45"/>
    </row>
    <row r="897" spans="1:22" x14ac:dyDescent="0.2">
      <c r="B897" s="45"/>
    </row>
    <row r="898" spans="1:22" x14ac:dyDescent="0.2">
      <c r="B898" s="66"/>
    </row>
    <row r="899" spans="1:22" x14ac:dyDescent="0.2">
      <c r="B899" s="49"/>
    </row>
    <row r="900" spans="1:22" x14ac:dyDescent="0.2">
      <c r="B900" s="45"/>
    </row>
    <row r="901" spans="1:22" x14ac:dyDescent="0.2">
      <c r="A901" s="3"/>
      <c r="B901" s="45"/>
    </row>
    <row r="902" spans="1:22" x14ac:dyDescent="0.2">
      <c r="A902" s="2"/>
      <c r="B902" s="44"/>
      <c r="C902" s="2"/>
      <c r="D902" s="2"/>
      <c r="E902" s="2"/>
      <c r="F902" s="2"/>
      <c r="G902" s="2"/>
      <c r="H902" s="2"/>
      <c r="I902" s="2"/>
      <c r="J902" s="2"/>
      <c r="K902" s="2"/>
      <c r="L902" s="2"/>
      <c r="M902" s="2"/>
      <c r="N902" s="2"/>
      <c r="O902" s="2"/>
      <c r="P902" s="2"/>
      <c r="Q902" s="2"/>
      <c r="R902" s="2"/>
      <c r="S902" s="2"/>
      <c r="T902" s="2"/>
      <c r="U902" s="2"/>
      <c r="V902" s="2"/>
    </row>
    <row r="903" spans="1:22" x14ac:dyDescent="0.2">
      <c r="B903" s="45"/>
    </row>
    <row r="904" spans="1:22" x14ac:dyDescent="0.2">
      <c r="B904" s="53"/>
      <c r="O904" s="15"/>
    </row>
    <row r="905" spans="1:22" x14ac:dyDescent="0.2">
      <c r="B905" s="53"/>
      <c r="O905" s="15"/>
    </row>
    <row r="906" spans="1:22" x14ac:dyDescent="0.2">
      <c r="B906" s="45"/>
      <c r="O906" s="15"/>
    </row>
    <row r="907" spans="1:22" x14ac:dyDescent="0.2">
      <c r="B907" s="45"/>
      <c r="O907" s="15"/>
    </row>
    <row r="908" spans="1:22" x14ac:dyDescent="0.2">
      <c r="B908" s="53"/>
      <c r="O908" s="15"/>
    </row>
    <row r="909" spans="1:22" x14ac:dyDescent="0.2">
      <c r="B909" s="52"/>
      <c r="O909" s="15"/>
    </row>
    <row r="910" spans="1:22" x14ac:dyDescent="0.2">
      <c r="B910" s="52"/>
      <c r="O910" s="15"/>
    </row>
    <row r="911" spans="1:22" x14ac:dyDescent="0.2">
      <c r="B911" s="53"/>
      <c r="O911" s="15"/>
    </row>
    <row r="912" spans="1:22" x14ac:dyDescent="0.2">
      <c r="B912" s="45"/>
    </row>
    <row r="913" spans="1:2" x14ac:dyDescent="0.2">
      <c r="A913" s="2"/>
      <c r="B913" s="44"/>
    </row>
    <row r="914" spans="1:2" x14ac:dyDescent="0.2">
      <c r="B914" s="45"/>
    </row>
    <row r="915" spans="1:2" x14ac:dyDescent="0.2">
      <c r="B915" s="45"/>
    </row>
    <row r="916" spans="1:2" x14ac:dyDescent="0.2">
      <c r="B916" s="45"/>
    </row>
    <row r="917" spans="1:2" x14ac:dyDescent="0.2">
      <c r="B917" s="45"/>
    </row>
    <row r="918" spans="1:2" x14ac:dyDescent="0.2">
      <c r="B918" s="45"/>
    </row>
    <row r="919" spans="1:2" x14ac:dyDescent="0.2">
      <c r="B919" s="45"/>
    </row>
    <row r="920" spans="1:2" x14ac:dyDescent="0.2">
      <c r="B920" s="45"/>
    </row>
    <row r="921" spans="1:2" x14ac:dyDescent="0.2">
      <c r="B921" s="45"/>
    </row>
    <row r="922" spans="1:2" x14ac:dyDescent="0.2">
      <c r="B922" s="45"/>
    </row>
    <row r="923" spans="1:2" x14ac:dyDescent="0.2">
      <c r="B923" s="45"/>
    </row>
    <row r="924" spans="1:2" x14ac:dyDescent="0.2">
      <c r="B924" s="45"/>
    </row>
    <row r="925" spans="1:2" x14ac:dyDescent="0.2">
      <c r="B925" s="45"/>
    </row>
    <row r="926" spans="1:2" x14ac:dyDescent="0.2">
      <c r="B926" s="45"/>
    </row>
    <row r="927" spans="1:2" x14ac:dyDescent="0.2">
      <c r="B927" s="45"/>
    </row>
    <row r="928" spans="1:2" x14ac:dyDescent="0.2">
      <c r="B928" s="45"/>
    </row>
    <row r="929" spans="1:22" x14ac:dyDescent="0.2">
      <c r="B929" s="45"/>
    </row>
    <row r="930" spans="1:22" x14ac:dyDescent="0.2">
      <c r="B930" s="45"/>
    </row>
    <row r="931" spans="1:22" x14ac:dyDescent="0.2">
      <c r="B931" s="45"/>
    </row>
    <row r="932" spans="1:22" x14ac:dyDescent="0.2">
      <c r="B932" s="66"/>
    </row>
    <row r="933" spans="1:22" x14ac:dyDescent="0.2">
      <c r="B933" s="49"/>
    </row>
    <row r="934" spans="1:22" x14ac:dyDescent="0.2">
      <c r="B934" s="45"/>
    </row>
    <row r="935" spans="1:22" x14ac:dyDescent="0.2">
      <c r="A935" s="3"/>
      <c r="B935" s="45"/>
    </row>
    <row r="936" spans="1:22" x14ac:dyDescent="0.2">
      <c r="A936" s="2"/>
      <c r="B936" s="44"/>
      <c r="C936" s="2"/>
      <c r="D936" s="2"/>
      <c r="E936" s="2"/>
      <c r="F936" s="2"/>
      <c r="G936" s="2"/>
      <c r="H936" s="2"/>
      <c r="I936" s="2"/>
      <c r="J936" s="2"/>
      <c r="K936" s="2"/>
      <c r="L936" s="2"/>
      <c r="M936" s="2"/>
      <c r="N936" s="2"/>
      <c r="O936" s="2"/>
      <c r="P936" s="2"/>
      <c r="Q936" s="2"/>
      <c r="R936" s="2"/>
      <c r="S936" s="2"/>
      <c r="T936" s="2"/>
      <c r="U936" s="2"/>
      <c r="V936" s="2"/>
    </row>
    <row r="937" spans="1:22" x14ac:dyDescent="0.2">
      <c r="B937" s="45"/>
    </row>
    <row r="938" spans="1:22" x14ac:dyDescent="0.2">
      <c r="B938" s="53"/>
      <c r="O938" s="15"/>
    </row>
    <row r="939" spans="1:22" x14ac:dyDescent="0.2">
      <c r="B939" s="53"/>
      <c r="O939" s="15"/>
    </row>
    <row r="940" spans="1:22" x14ac:dyDescent="0.2">
      <c r="B940" s="45"/>
      <c r="O940" s="15"/>
    </row>
    <row r="941" spans="1:22" x14ac:dyDescent="0.2">
      <c r="B941" s="53"/>
      <c r="O941" s="15"/>
    </row>
    <row r="942" spans="1:22" x14ac:dyDescent="0.2">
      <c r="B942" s="52"/>
      <c r="O942" s="15"/>
    </row>
    <row r="943" spans="1:22" x14ac:dyDescent="0.2">
      <c r="B943" s="53"/>
      <c r="O943" s="15"/>
    </row>
    <row r="945" spans="1:2" x14ac:dyDescent="0.2">
      <c r="A945" s="2"/>
      <c r="B945" s="44"/>
    </row>
    <row r="946" spans="1:2" x14ac:dyDescent="0.2">
      <c r="B946" s="45"/>
    </row>
    <row r="947" spans="1:2" x14ac:dyDescent="0.2">
      <c r="B947" s="45"/>
    </row>
    <row r="948" spans="1:2" x14ac:dyDescent="0.2">
      <c r="B948" s="45"/>
    </row>
    <row r="949" spans="1:2" x14ac:dyDescent="0.2">
      <c r="B949" s="45"/>
    </row>
    <row r="950" spans="1:2" x14ac:dyDescent="0.2">
      <c r="B950" s="45"/>
    </row>
    <row r="951" spans="1:2" x14ac:dyDescent="0.2">
      <c r="B951" s="45"/>
    </row>
    <row r="952" spans="1:2" x14ac:dyDescent="0.2">
      <c r="B952" s="45"/>
    </row>
    <row r="953" spans="1:2" x14ac:dyDescent="0.2">
      <c r="B953" s="45"/>
    </row>
    <row r="954" spans="1:2" x14ac:dyDescent="0.2">
      <c r="B954" s="45"/>
    </row>
    <row r="955" spans="1:2" x14ac:dyDescent="0.2">
      <c r="B955" s="45"/>
    </row>
    <row r="956" spans="1:2" x14ac:dyDescent="0.2">
      <c r="B956" s="45"/>
    </row>
    <row r="957" spans="1:2" x14ac:dyDescent="0.2">
      <c r="B957" s="45"/>
    </row>
    <row r="958" spans="1:2" x14ac:dyDescent="0.2">
      <c r="B958" s="45"/>
    </row>
    <row r="959" spans="1:2" x14ac:dyDescent="0.2">
      <c r="B959" s="45"/>
    </row>
    <row r="960" spans="1:2" x14ac:dyDescent="0.2">
      <c r="B960" s="45"/>
    </row>
    <row r="961" spans="1:22" x14ac:dyDescent="0.2">
      <c r="B961" s="45"/>
    </row>
    <row r="962" spans="1:22" x14ac:dyDescent="0.2">
      <c r="B962" s="45"/>
    </row>
    <row r="963" spans="1:22" x14ac:dyDescent="0.2">
      <c r="B963" s="45"/>
    </row>
    <row r="964" spans="1:22" x14ac:dyDescent="0.2">
      <c r="B964" s="66"/>
    </row>
    <row r="965" spans="1:22" x14ac:dyDescent="0.2">
      <c r="B965" s="49"/>
    </row>
    <row r="966" spans="1:22" x14ac:dyDescent="0.2">
      <c r="B966" s="45"/>
    </row>
    <row r="967" spans="1:22" x14ac:dyDescent="0.2">
      <c r="A967" s="3"/>
      <c r="B967" s="45"/>
    </row>
    <row r="968" spans="1:22" x14ac:dyDescent="0.2">
      <c r="A968" s="2"/>
      <c r="B968" s="44"/>
      <c r="C968" s="2"/>
      <c r="D968" s="2"/>
      <c r="E968" s="2"/>
      <c r="F968" s="2"/>
      <c r="G968" s="2"/>
      <c r="H968" s="2"/>
      <c r="I968" s="2"/>
      <c r="J968" s="2"/>
      <c r="K968" s="2"/>
      <c r="L968" s="2"/>
      <c r="M968" s="2"/>
      <c r="N968" s="2"/>
      <c r="O968" s="2"/>
      <c r="P968" s="2"/>
      <c r="Q968" s="2"/>
      <c r="R968" s="2"/>
      <c r="S968" s="2"/>
      <c r="T968" s="2"/>
      <c r="U968" s="2"/>
      <c r="V968" s="2"/>
    </row>
    <row r="969" spans="1:22" x14ac:dyDescent="0.2">
      <c r="B969" s="45"/>
    </row>
    <row r="970" spans="1:22" x14ac:dyDescent="0.2">
      <c r="B970" s="53"/>
      <c r="O970" s="15"/>
    </row>
    <row r="971" spans="1:22" x14ac:dyDescent="0.2">
      <c r="B971" s="53"/>
      <c r="O971" s="15"/>
    </row>
    <row r="972" spans="1:22" x14ac:dyDescent="0.2">
      <c r="B972" s="45"/>
      <c r="O972" s="15"/>
    </row>
    <row r="973" spans="1:22" x14ac:dyDescent="0.2">
      <c r="B973" s="45"/>
      <c r="O973" s="15"/>
    </row>
    <row r="974" spans="1:22" x14ac:dyDescent="0.2">
      <c r="B974" s="53"/>
      <c r="O974" s="15"/>
    </row>
    <row r="975" spans="1:22" x14ac:dyDescent="0.2">
      <c r="B975" s="52"/>
      <c r="O975" s="15"/>
    </row>
    <row r="976" spans="1:22" x14ac:dyDescent="0.2">
      <c r="B976" s="52"/>
      <c r="O976" s="15"/>
    </row>
    <row r="977" spans="1:15" x14ac:dyDescent="0.2">
      <c r="B977" s="53"/>
      <c r="O977" s="15"/>
    </row>
    <row r="978" spans="1:15" x14ac:dyDescent="0.2">
      <c r="B978" s="45"/>
    </row>
    <row r="979" spans="1:15" x14ac:dyDescent="0.2">
      <c r="A979" s="2"/>
      <c r="B979" s="44"/>
    </row>
    <row r="980" spans="1:15" x14ac:dyDescent="0.2">
      <c r="B980" s="45"/>
    </row>
    <row r="981" spans="1:15" x14ac:dyDescent="0.2">
      <c r="B981" s="45"/>
    </row>
    <row r="982" spans="1:15" x14ac:dyDescent="0.2">
      <c r="B982" s="45"/>
    </row>
    <row r="983" spans="1:15" x14ac:dyDescent="0.2">
      <c r="B983" s="45"/>
    </row>
    <row r="984" spans="1:15" x14ac:dyDescent="0.2">
      <c r="B984" s="45"/>
    </row>
    <row r="985" spans="1:15" x14ac:dyDescent="0.2">
      <c r="B985" s="45"/>
    </row>
    <row r="986" spans="1:15" x14ac:dyDescent="0.2">
      <c r="B986" s="45"/>
    </row>
    <row r="987" spans="1:15" x14ac:dyDescent="0.2">
      <c r="B987" s="45"/>
    </row>
    <row r="988" spans="1:15" x14ac:dyDescent="0.2">
      <c r="B988" s="45"/>
    </row>
    <row r="989" spans="1:15" x14ac:dyDescent="0.2">
      <c r="B989" s="45"/>
    </row>
    <row r="990" spans="1:15" x14ac:dyDescent="0.2">
      <c r="B990" s="45"/>
    </row>
    <row r="991" spans="1:15" x14ac:dyDescent="0.2">
      <c r="B991" s="45"/>
    </row>
    <row r="992" spans="1:15" x14ac:dyDescent="0.2">
      <c r="B992" s="45"/>
    </row>
    <row r="993" spans="1:22" x14ac:dyDescent="0.2">
      <c r="B993" s="45"/>
    </row>
    <row r="994" spans="1:22" x14ac:dyDescent="0.2">
      <c r="B994" s="45"/>
    </row>
    <row r="995" spans="1:22" x14ac:dyDescent="0.2">
      <c r="B995" s="45"/>
    </row>
    <row r="996" spans="1:22" x14ac:dyDescent="0.2">
      <c r="B996" s="45"/>
    </row>
    <row r="997" spans="1:22" x14ac:dyDescent="0.2">
      <c r="B997" s="45"/>
    </row>
    <row r="998" spans="1:22" x14ac:dyDescent="0.2">
      <c r="B998" s="66"/>
    </row>
    <row r="999" spans="1:22" x14ac:dyDescent="0.2">
      <c r="B999" s="49"/>
    </row>
    <row r="1000" spans="1:22" x14ac:dyDescent="0.2">
      <c r="B1000" s="45"/>
    </row>
    <row r="1001" spans="1:22" x14ac:dyDescent="0.2">
      <c r="A1001" s="3"/>
      <c r="B1001" s="45"/>
    </row>
    <row r="1002" spans="1:22" x14ac:dyDescent="0.2">
      <c r="A1002" s="2"/>
      <c r="B1002" s="44"/>
      <c r="C1002" s="2"/>
      <c r="D1002" s="2"/>
      <c r="E1002" s="2"/>
      <c r="F1002" s="2"/>
      <c r="G1002" s="2"/>
      <c r="H1002" s="2"/>
      <c r="I1002" s="2"/>
      <c r="J1002" s="2"/>
      <c r="K1002" s="2"/>
      <c r="L1002" s="2"/>
      <c r="M1002" s="2"/>
      <c r="N1002" s="2"/>
      <c r="O1002" s="2"/>
      <c r="P1002" s="2"/>
      <c r="Q1002" s="2"/>
      <c r="R1002" s="2"/>
      <c r="S1002" s="2"/>
      <c r="T1002" s="2"/>
      <c r="U1002" s="2"/>
      <c r="V1002" s="2"/>
    </row>
    <row r="1003" spans="1:22" x14ac:dyDescent="0.2">
      <c r="B1003" s="45"/>
    </row>
    <row r="1004" spans="1:22" x14ac:dyDescent="0.2">
      <c r="B1004" s="53"/>
      <c r="O1004" s="15"/>
    </row>
    <row r="1005" spans="1:22" x14ac:dyDescent="0.2">
      <c r="B1005" s="53"/>
      <c r="O1005" s="15"/>
    </row>
    <row r="1006" spans="1:22" x14ac:dyDescent="0.2">
      <c r="B1006" s="45"/>
      <c r="O1006" s="15"/>
    </row>
    <row r="1007" spans="1:22" x14ac:dyDescent="0.2">
      <c r="B1007" s="53"/>
      <c r="O1007" s="15"/>
    </row>
    <row r="1008" spans="1:22" x14ac:dyDescent="0.2">
      <c r="B1008" s="52"/>
      <c r="O1008" s="15"/>
    </row>
    <row r="1009" spans="1:15" x14ac:dyDescent="0.2">
      <c r="B1009" s="53"/>
      <c r="O1009" s="15"/>
    </row>
    <row r="1011" spans="1:15" x14ac:dyDescent="0.2">
      <c r="A1011" s="2"/>
      <c r="B1011" s="44"/>
    </row>
    <row r="1012" spans="1:15" x14ac:dyDescent="0.2">
      <c r="B1012" s="45"/>
    </row>
    <row r="1013" spans="1:15" x14ac:dyDescent="0.2">
      <c r="B1013" s="45"/>
    </row>
    <row r="1014" spans="1:15" x14ac:dyDescent="0.2">
      <c r="B1014" s="45"/>
    </row>
    <row r="1015" spans="1:15" x14ac:dyDescent="0.2">
      <c r="B1015" s="45"/>
    </row>
    <row r="1016" spans="1:15" x14ac:dyDescent="0.2">
      <c r="B1016" s="45"/>
    </row>
    <row r="1017" spans="1:15" x14ac:dyDescent="0.2">
      <c r="B1017" s="45"/>
    </row>
    <row r="1018" spans="1:15" x14ac:dyDescent="0.2">
      <c r="B1018" s="45"/>
    </row>
    <row r="1019" spans="1:15" x14ac:dyDescent="0.2">
      <c r="B1019" s="45"/>
    </row>
    <row r="1020" spans="1:15" x14ac:dyDescent="0.2">
      <c r="B1020" s="45"/>
    </row>
    <row r="1021" spans="1:15" x14ac:dyDescent="0.2">
      <c r="B1021" s="45"/>
    </row>
    <row r="1022" spans="1:15" x14ac:dyDescent="0.2">
      <c r="B1022" s="45"/>
    </row>
    <row r="1023" spans="1:15" x14ac:dyDescent="0.2">
      <c r="B1023" s="45"/>
    </row>
    <row r="1024" spans="1:15" x14ac:dyDescent="0.2">
      <c r="B1024" s="45"/>
    </row>
    <row r="1025" spans="1:22" x14ac:dyDescent="0.2">
      <c r="B1025" s="45"/>
    </row>
    <row r="1026" spans="1:22" x14ac:dyDescent="0.2">
      <c r="B1026" s="45"/>
    </row>
    <row r="1027" spans="1:22" x14ac:dyDescent="0.2">
      <c r="B1027" s="45"/>
    </row>
    <row r="1028" spans="1:22" x14ac:dyDescent="0.2">
      <c r="B1028" s="45"/>
    </row>
    <row r="1029" spans="1:22" x14ac:dyDescent="0.2">
      <c r="B1029" s="45"/>
    </row>
    <row r="1030" spans="1:22" x14ac:dyDescent="0.2">
      <c r="B1030" s="66"/>
    </row>
    <row r="1031" spans="1:22" x14ac:dyDescent="0.2">
      <c r="B1031" s="49"/>
    </row>
    <row r="1032" spans="1:22" x14ac:dyDescent="0.2">
      <c r="B1032" s="45"/>
    </row>
    <row r="1033" spans="1:22" x14ac:dyDescent="0.2">
      <c r="A1033" s="3"/>
      <c r="B1033" s="45"/>
    </row>
    <row r="1034" spans="1:22" x14ac:dyDescent="0.2">
      <c r="A1034" s="2"/>
      <c r="B1034" s="44"/>
      <c r="C1034" s="2"/>
      <c r="D1034" s="2"/>
      <c r="E1034" s="2"/>
      <c r="F1034" s="2"/>
      <c r="G1034" s="2"/>
      <c r="H1034" s="2"/>
      <c r="I1034" s="2"/>
      <c r="J1034" s="2"/>
      <c r="K1034" s="2"/>
      <c r="L1034" s="2"/>
      <c r="M1034" s="2"/>
      <c r="N1034" s="2"/>
      <c r="O1034" s="2"/>
      <c r="P1034" s="2"/>
      <c r="Q1034" s="2"/>
      <c r="R1034" s="2"/>
      <c r="S1034" s="2"/>
      <c r="T1034" s="2"/>
      <c r="U1034" s="2"/>
      <c r="V1034" s="2"/>
    </row>
    <row r="1035" spans="1:22" x14ac:dyDescent="0.2">
      <c r="B1035" s="45"/>
    </row>
    <row r="1036" spans="1:22" x14ac:dyDescent="0.2">
      <c r="B1036" s="53"/>
      <c r="O1036" s="15"/>
    </row>
    <row r="1037" spans="1:22" x14ac:dyDescent="0.2">
      <c r="B1037" s="53"/>
      <c r="O1037" s="15"/>
    </row>
    <row r="1038" spans="1:22" x14ac:dyDescent="0.2">
      <c r="B1038" s="45"/>
      <c r="O1038" s="15"/>
    </row>
    <row r="1039" spans="1:22" x14ac:dyDescent="0.2">
      <c r="B1039" s="45"/>
      <c r="O1039" s="15"/>
    </row>
    <row r="1040" spans="1:22" x14ac:dyDescent="0.2">
      <c r="B1040" s="53"/>
      <c r="O1040" s="15"/>
    </row>
    <row r="1041" spans="1:15" x14ac:dyDescent="0.2">
      <c r="B1041" s="52"/>
      <c r="O1041" s="15"/>
    </row>
    <row r="1042" spans="1:15" x14ac:dyDescent="0.2">
      <c r="B1042" s="52"/>
      <c r="O1042" s="15"/>
    </row>
    <row r="1043" spans="1:15" x14ac:dyDescent="0.2">
      <c r="B1043" s="53"/>
      <c r="O1043" s="15"/>
    </row>
    <row r="1044" spans="1:15" x14ac:dyDescent="0.2">
      <c r="B1044" s="45"/>
    </row>
    <row r="1045" spans="1:15" x14ac:dyDescent="0.2">
      <c r="A1045" s="2"/>
      <c r="B1045" s="44"/>
    </row>
    <row r="1046" spans="1:15" x14ac:dyDescent="0.2">
      <c r="B1046" s="45"/>
    </row>
    <row r="1047" spans="1:15" x14ac:dyDescent="0.2">
      <c r="B1047" s="45"/>
    </row>
    <row r="1048" spans="1:15" x14ac:dyDescent="0.2">
      <c r="B1048" s="45"/>
    </row>
    <row r="1049" spans="1:15" x14ac:dyDescent="0.2">
      <c r="B1049" s="45"/>
    </row>
    <row r="1050" spans="1:15" x14ac:dyDescent="0.2">
      <c r="B1050" s="45"/>
    </row>
    <row r="1051" spans="1:15" x14ac:dyDescent="0.2">
      <c r="B1051" s="45"/>
    </row>
    <row r="1052" spans="1:15" x14ac:dyDescent="0.2">
      <c r="B1052" s="45"/>
    </row>
    <row r="1053" spans="1:15" x14ac:dyDescent="0.2">
      <c r="B1053" s="45"/>
    </row>
    <row r="1054" spans="1:15" x14ac:dyDescent="0.2">
      <c r="B1054" s="45"/>
    </row>
    <row r="1055" spans="1:15" x14ac:dyDescent="0.2">
      <c r="B1055" s="45"/>
    </row>
    <row r="1056" spans="1:15" x14ac:dyDescent="0.2">
      <c r="B1056" s="45"/>
    </row>
    <row r="1057" spans="1:22" x14ac:dyDescent="0.2">
      <c r="B1057" s="45"/>
    </row>
    <row r="1058" spans="1:22" x14ac:dyDescent="0.2">
      <c r="B1058" s="45"/>
    </row>
    <row r="1059" spans="1:22" x14ac:dyDescent="0.2">
      <c r="B1059" s="45"/>
    </row>
    <row r="1060" spans="1:22" x14ac:dyDescent="0.2">
      <c r="B1060" s="45"/>
    </row>
    <row r="1061" spans="1:22" x14ac:dyDescent="0.2">
      <c r="B1061" s="45"/>
    </row>
    <row r="1062" spans="1:22" x14ac:dyDescent="0.2">
      <c r="B1062" s="45"/>
    </row>
    <row r="1063" spans="1:22" x14ac:dyDescent="0.2">
      <c r="B1063" s="45"/>
    </row>
    <row r="1064" spans="1:22" x14ac:dyDescent="0.2">
      <c r="B1064" s="66"/>
    </row>
    <row r="1065" spans="1:22" x14ac:dyDescent="0.2">
      <c r="B1065" s="49"/>
    </row>
    <row r="1066" spans="1:22" x14ac:dyDescent="0.2">
      <c r="B1066" s="45"/>
    </row>
    <row r="1067" spans="1:22" x14ac:dyDescent="0.2">
      <c r="A1067" s="3"/>
      <c r="B1067" s="45"/>
    </row>
    <row r="1068" spans="1:22" x14ac:dyDescent="0.2">
      <c r="A1068" s="2"/>
      <c r="B1068" s="44"/>
      <c r="C1068" s="2"/>
      <c r="D1068" s="2"/>
      <c r="E1068" s="2"/>
      <c r="F1068" s="2"/>
      <c r="G1068" s="2"/>
      <c r="H1068" s="2"/>
      <c r="I1068" s="2"/>
      <c r="J1068" s="2"/>
      <c r="K1068" s="2"/>
      <c r="L1068" s="2"/>
      <c r="M1068" s="2"/>
      <c r="N1068" s="2"/>
      <c r="O1068" s="2"/>
      <c r="P1068" s="2"/>
      <c r="Q1068" s="2"/>
      <c r="R1068" s="2"/>
      <c r="S1068" s="2"/>
      <c r="T1068" s="2"/>
      <c r="U1068" s="2"/>
      <c r="V1068" s="2"/>
    </row>
    <row r="1069" spans="1:22" x14ac:dyDescent="0.2">
      <c r="B1069" s="45"/>
    </row>
    <row r="1070" spans="1:22" x14ac:dyDescent="0.2">
      <c r="B1070" s="53"/>
      <c r="O1070" s="15"/>
    </row>
    <row r="1071" spans="1:22" x14ac:dyDescent="0.2">
      <c r="B1071" s="53"/>
      <c r="O1071" s="15"/>
    </row>
    <row r="1072" spans="1:22" x14ac:dyDescent="0.2">
      <c r="B1072" s="45"/>
      <c r="O1072" s="15"/>
    </row>
    <row r="1073" spans="1:15" x14ac:dyDescent="0.2">
      <c r="B1073" s="53"/>
      <c r="O1073" s="15"/>
    </row>
    <row r="1074" spans="1:15" x14ac:dyDescent="0.2">
      <c r="B1074" s="52"/>
      <c r="O1074" s="15"/>
    </row>
    <row r="1075" spans="1:15" x14ac:dyDescent="0.2">
      <c r="B1075" s="53"/>
      <c r="O1075" s="15"/>
    </row>
    <row r="1077" spans="1:15" x14ac:dyDescent="0.2">
      <c r="A1077" s="2"/>
      <c r="B1077" s="44"/>
    </row>
    <row r="1078" spans="1:15" x14ac:dyDescent="0.2">
      <c r="B1078" s="45"/>
    </row>
    <row r="1079" spans="1:15" x14ac:dyDescent="0.2">
      <c r="B1079" s="45"/>
    </row>
    <row r="1080" spans="1:15" x14ac:dyDescent="0.2">
      <c r="B1080" s="45"/>
    </row>
    <row r="1081" spans="1:15" x14ac:dyDescent="0.2">
      <c r="B1081" s="45"/>
    </row>
    <row r="1082" spans="1:15" x14ac:dyDescent="0.2">
      <c r="B1082" s="45"/>
    </row>
    <row r="1083" spans="1:15" x14ac:dyDescent="0.2">
      <c r="B1083" s="45"/>
    </row>
    <row r="1084" spans="1:15" x14ac:dyDescent="0.2">
      <c r="B1084" s="45"/>
    </row>
    <row r="1085" spans="1:15" x14ac:dyDescent="0.2">
      <c r="B1085" s="45"/>
    </row>
    <row r="1086" spans="1:15" x14ac:dyDescent="0.2">
      <c r="B1086" s="45"/>
    </row>
    <row r="1087" spans="1:15" x14ac:dyDescent="0.2">
      <c r="B1087" s="45"/>
    </row>
    <row r="1088" spans="1:15" x14ac:dyDescent="0.2">
      <c r="B1088" s="45"/>
    </row>
    <row r="1089" spans="1:22" x14ac:dyDescent="0.2">
      <c r="B1089" s="45"/>
    </row>
    <row r="1090" spans="1:22" x14ac:dyDescent="0.2">
      <c r="B1090" s="45"/>
    </row>
    <row r="1091" spans="1:22" x14ac:dyDescent="0.2">
      <c r="B1091" s="45"/>
    </row>
    <row r="1092" spans="1:22" x14ac:dyDescent="0.2">
      <c r="B1092" s="45"/>
    </row>
    <row r="1093" spans="1:22" x14ac:dyDescent="0.2">
      <c r="B1093" s="45"/>
    </row>
    <row r="1094" spans="1:22" x14ac:dyDescent="0.2">
      <c r="B1094" s="45"/>
    </row>
    <row r="1095" spans="1:22" x14ac:dyDescent="0.2">
      <c r="B1095" s="45"/>
    </row>
    <row r="1096" spans="1:22" x14ac:dyDescent="0.2">
      <c r="B1096" s="66"/>
    </row>
    <row r="1097" spans="1:22" x14ac:dyDescent="0.2">
      <c r="B1097" s="49"/>
    </row>
    <row r="1098" spans="1:22" x14ac:dyDescent="0.2">
      <c r="B1098" s="45"/>
    </row>
    <row r="1099" spans="1:22" x14ac:dyDescent="0.2">
      <c r="A1099" s="3"/>
      <c r="B1099" s="45"/>
    </row>
    <row r="1100" spans="1:22" x14ac:dyDescent="0.2">
      <c r="A1100" s="2"/>
      <c r="B1100" s="44"/>
      <c r="C1100" s="2"/>
      <c r="D1100" s="2"/>
      <c r="E1100" s="2"/>
      <c r="F1100" s="2"/>
      <c r="G1100" s="2"/>
      <c r="H1100" s="2"/>
      <c r="I1100" s="2"/>
      <c r="J1100" s="2"/>
      <c r="K1100" s="2"/>
      <c r="L1100" s="2"/>
      <c r="M1100" s="2"/>
      <c r="N1100" s="2"/>
      <c r="O1100" s="2"/>
      <c r="P1100" s="2"/>
      <c r="Q1100" s="2"/>
      <c r="R1100" s="2"/>
      <c r="S1100" s="2"/>
      <c r="T1100" s="2"/>
      <c r="U1100" s="2"/>
      <c r="V1100" s="2"/>
    </row>
    <row r="1101" spans="1:22" x14ac:dyDescent="0.2">
      <c r="B1101" s="45"/>
    </row>
    <row r="1102" spans="1:22" x14ac:dyDescent="0.2">
      <c r="B1102" s="53"/>
      <c r="O1102" s="15"/>
    </row>
    <row r="1103" spans="1:22" x14ac:dyDescent="0.2">
      <c r="B1103" s="53"/>
      <c r="O1103" s="15"/>
    </row>
    <row r="1104" spans="1:22" x14ac:dyDescent="0.2">
      <c r="B1104" s="45"/>
      <c r="O1104" s="15"/>
    </row>
    <row r="1105" spans="1:15" x14ac:dyDescent="0.2">
      <c r="B1105" s="45"/>
      <c r="O1105" s="15"/>
    </row>
    <row r="1106" spans="1:15" x14ac:dyDescent="0.2">
      <c r="B1106" s="53"/>
      <c r="O1106" s="15"/>
    </row>
    <row r="1107" spans="1:15" x14ac:dyDescent="0.2">
      <c r="B1107" s="52"/>
      <c r="O1107" s="15"/>
    </row>
    <row r="1108" spans="1:15" x14ac:dyDescent="0.2">
      <c r="B1108" s="52"/>
      <c r="O1108" s="15"/>
    </row>
    <row r="1109" spans="1:15" x14ac:dyDescent="0.2">
      <c r="B1109" s="53"/>
      <c r="O1109" s="15"/>
    </row>
    <row r="1110" spans="1:15" x14ac:dyDescent="0.2">
      <c r="B1110" s="45"/>
    </row>
    <row r="1111" spans="1:15" x14ac:dyDescent="0.2">
      <c r="A1111" s="2"/>
      <c r="B1111" s="44"/>
    </row>
    <row r="1112" spans="1:15" x14ac:dyDescent="0.2">
      <c r="B1112" s="45"/>
    </row>
    <row r="1113" spans="1:15" x14ac:dyDescent="0.2">
      <c r="B1113" s="45"/>
    </row>
    <row r="1114" spans="1:15" x14ac:dyDescent="0.2">
      <c r="B1114" s="45"/>
    </row>
    <row r="1115" spans="1:15" x14ac:dyDescent="0.2">
      <c r="B1115" s="45"/>
    </row>
    <row r="1116" spans="1:15" x14ac:dyDescent="0.2">
      <c r="B1116" s="45"/>
    </row>
    <row r="1117" spans="1:15" x14ac:dyDescent="0.2">
      <c r="B1117" s="45"/>
    </row>
    <row r="1118" spans="1:15" x14ac:dyDescent="0.2">
      <c r="B1118" s="45"/>
    </row>
    <row r="1119" spans="1:15" x14ac:dyDescent="0.2">
      <c r="B1119" s="45"/>
    </row>
    <row r="1120" spans="1:15" x14ac:dyDescent="0.2">
      <c r="B1120" s="45"/>
    </row>
    <row r="1121" spans="1:22" x14ac:dyDescent="0.2">
      <c r="B1121" s="45"/>
    </row>
    <row r="1122" spans="1:22" x14ac:dyDescent="0.2">
      <c r="B1122" s="45"/>
    </row>
    <row r="1123" spans="1:22" x14ac:dyDescent="0.2">
      <c r="B1123" s="45"/>
    </row>
    <row r="1124" spans="1:22" x14ac:dyDescent="0.2">
      <c r="B1124" s="45"/>
    </row>
    <row r="1125" spans="1:22" x14ac:dyDescent="0.2">
      <c r="B1125" s="45"/>
    </row>
    <row r="1126" spans="1:22" x14ac:dyDescent="0.2">
      <c r="B1126" s="45"/>
    </row>
    <row r="1127" spans="1:22" x14ac:dyDescent="0.2">
      <c r="B1127" s="45"/>
    </row>
    <row r="1128" spans="1:22" x14ac:dyDescent="0.2">
      <c r="B1128" s="45"/>
    </row>
    <row r="1129" spans="1:22" x14ac:dyDescent="0.2">
      <c r="B1129" s="45"/>
    </row>
    <row r="1130" spans="1:22" x14ac:dyDescent="0.2">
      <c r="B1130" s="66"/>
    </row>
    <row r="1131" spans="1:22" x14ac:dyDescent="0.2">
      <c r="B1131" s="49"/>
    </row>
    <row r="1132" spans="1:22" x14ac:dyDescent="0.2">
      <c r="B1132" s="45"/>
    </row>
    <row r="1133" spans="1:22" x14ac:dyDescent="0.2">
      <c r="A1133" s="3"/>
      <c r="B1133" s="45"/>
    </row>
    <row r="1134" spans="1:22" x14ac:dyDescent="0.2">
      <c r="A1134" s="2"/>
      <c r="B1134" s="44"/>
      <c r="C1134" s="2"/>
      <c r="D1134" s="2"/>
      <c r="E1134" s="2"/>
      <c r="F1134" s="2"/>
      <c r="G1134" s="2"/>
      <c r="H1134" s="2"/>
      <c r="I1134" s="2"/>
      <c r="J1134" s="2"/>
      <c r="K1134" s="2"/>
      <c r="L1134" s="2"/>
      <c r="M1134" s="2"/>
      <c r="N1134" s="2"/>
      <c r="O1134" s="2"/>
      <c r="P1134" s="2"/>
      <c r="Q1134" s="2"/>
      <c r="R1134" s="2"/>
      <c r="S1134" s="2"/>
      <c r="T1134" s="2"/>
      <c r="U1134" s="2"/>
      <c r="V1134" s="2"/>
    </row>
    <row r="1135" spans="1:22" x14ac:dyDescent="0.2">
      <c r="B1135" s="45"/>
    </row>
    <row r="1136" spans="1:22" x14ac:dyDescent="0.2">
      <c r="B1136" s="53"/>
      <c r="O1136" s="15"/>
    </row>
    <row r="1137" spans="1:15" x14ac:dyDescent="0.2">
      <c r="B1137" s="53"/>
      <c r="O1137" s="15"/>
    </row>
    <row r="1138" spans="1:15" x14ac:dyDescent="0.2">
      <c r="B1138" s="45"/>
      <c r="O1138" s="15"/>
    </row>
    <row r="1139" spans="1:15" x14ac:dyDescent="0.2">
      <c r="B1139" s="53"/>
      <c r="O1139" s="15"/>
    </row>
    <row r="1140" spans="1:15" x14ac:dyDescent="0.2">
      <c r="B1140" s="52"/>
      <c r="O1140" s="15"/>
    </row>
    <row r="1141" spans="1:15" x14ac:dyDescent="0.2">
      <c r="B1141" s="53"/>
      <c r="O1141" s="15"/>
    </row>
    <row r="1143" spans="1:15" x14ac:dyDescent="0.2">
      <c r="A1143" s="2"/>
      <c r="B1143" s="44"/>
    </row>
    <row r="1144" spans="1:15" x14ac:dyDescent="0.2">
      <c r="B1144" s="45"/>
    </row>
    <row r="1145" spans="1:15" x14ac:dyDescent="0.2">
      <c r="B1145" s="45"/>
    </row>
    <row r="1146" spans="1:15" x14ac:dyDescent="0.2">
      <c r="B1146" s="45"/>
    </row>
    <row r="1147" spans="1:15" x14ac:dyDescent="0.2">
      <c r="B1147" s="45"/>
    </row>
    <row r="1148" spans="1:15" x14ac:dyDescent="0.2">
      <c r="B1148" s="45"/>
    </row>
    <row r="1149" spans="1:15" x14ac:dyDescent="0.2">
      <c r="B1149" s="45"/>
    </row>
    <row r="1150" spans="1:15" x14ac:dyDescent="0.2">
      <c r="B1150" s="45"/>
    </row>
    <row r="1151" spans="1:15" x14ac:dyDescent="0.2">
      <c r="B1151" s="45"/>
    </row>
    <row r="1152" spans="1:15" x14ac:dyDescent="0.2">
      <c r="B1152" s="45"/>
    </row>
    <row r="1153" spans="1:22" x14ac:dyDescent="0.2">
      <c r="B1153" s="45"/>
    </row>
    <row r="1154" spans="1:22" x14ac:dyDescent="0.2">
      <c r="B1154" s="45"/>
    </row>
    <row r="1155" spans="1:22" x14ac:dyDescent="0.2">
      <c r="B1155" s="45"/>
    </row>
    <row r="1156" spans="1:22" x14ac:dyDescent="0.2">
      <c r="B1156" s="45"/>
    </row>
    <row r="1157" spans="1:22" x14ac:dyDescent="0.2">
      <c r="B1157" s="45"/>
    </row>
    <row r="1158" spans="1:22" x14ac:dyDescent="0.2">
      <c r="B1158" s="45"/>
    </row>
    <row r="1159" spans="1:22" x14ac:dyDescent="0.2">
      <c r="B1159" s="45"/>
    </row>
    <row r="1160" spans="1:22" x14ac:dyDescent="0.2">
      <c r="B1160" s="45"/>
    </row>
    <row r="1161" spans="1:22" x14ac:dyDescent="0.2">
      <c r="B1161" s="45"/>
    </row>
    <row r="1162" spans="1:22" x14ac:dyDescent="0.2">
      <c r="B1162" s="66"/>
    </row>
    <row r="1163" spans="1:22" x14ac:dyDescent="0.2">
      <c r="B1163" s="49"/>
    </row>
    <row r="1164" spans="1:22" x14ac:dyDescent="0.2">
      <c r="B1164" s="45"/>
    </row>
    <row r="1165" spans="1:22" x14ac:dyDescent="0.2">
      <c r="A1165" s="3"/>
      <c r="B1165" s="45"/>
    </row>
    <row r="1166" spans="1:22" x14ac:dyDescent="0.2">
      <c r="A1166" s="2"/>
      <c r="B1166" s="44"/>
      <c r="C1166" s="2"/>
      <c r="D1166" s="2"/>
      <c r="E1166" s="2"/>
      <c r="F1166" s="2"/>
      <c r="G1166" s="2"/>
      <c r="H1166" s="2"/>
      <c r="I1166" s="2"/>
      <c r="J1166" s="2"/>
      <c r="K1166" s="2"/>
      <c r="L1166" s="2"/>
      <c r="M1166" s="2"/>
      <c r="N1166" s="2"/>
      <c r="O1166" s="2"/>
      <c r="P1166" s="2"/>
      <c r="Q1166" s="2"/>
      <c r="R1166" s="2"/>
      <c r="S1166" s="2"/>
      <c r="T1166" s="2"/>
      <c r="U1166" s="2"/>
      <c r="V1166" s="2"/>
    </row>
    <row r="1167" spans="1:22" x14ac:dyDescent="0.2">
      <c r="B1167" s="45"/>
    </row>
    <row r="1168" spans="1:22" x14ac:dyDescent="0.2">
      <c r="B1168" s="53"/>
      <c r="O1168" s="15"/>
    </row>
    <row r="1169" spans="1:15" x14ac:dyDescent="0.2">
      <c r="B1169" s="53"/>
      <c r="O1169" s="15"/>
    </row>
    <row r="1170" spans="1:15" x14ac:dyDescent="0.2">
      <c r="B1170" s="45"/>
      <c r="O1170" s="15"/>
    </row>
    <row r="1171" spans="1:15" x14ac:dyDescent="0.2">
      <c r="B1171" s="45"/>
      <c r="O1171" s="15"/>
    </row>
    <row r="1172" spans="1:15" x14ac:dyDescent="0.2">
      <c r="B1172" s="53"/>
      <c r="O1172" s="15"/>
    </row>
    <row r="1173" spans="1:15" x14ac:dyDescent="0.2">
      <c r="B1173" s="52"/>
      <c r="O1173" s="15"/>
    </row>
    <row r="1174" spans="1:15" x14ac:dyDescent="0.2">
      <c r="B1174" s="52"/>
      <c r="O1174" s="15"/>
    </row>
    <row r="1175" spans="1:15" x14ac:dyDescent="0.2">
      <c r="B1175" s="53"/>
      <c r="O1175" s="15"/>
    </row>
    <row r="1176" spans="1:15" x14ac:dyDescent="0.2">
      <c r="B1176" s="45"/>
    </row>
    <row r="1177" spans="1:15" x14ac:dyDescent="0.2">
      <c r="A1177" s="2"/>
      <c r="B1177" s="44"/>
    </row>
    <row r="1178" spans="1:15" x14ac:dyDescent="0.2">
      <c r="B1178" s="45"/>
    </row>
    <row r="1179" spans="1:15" x14ac:dyDescent="0.2">
      <c r="B1179" s="45"/>
    </row>
    <row r="1180" spans="1:15" x14ac:dyDescent="0.2">
      <c r="B1180" s="45"/>
    </row>
    <row r="1181" spans="1:15" x14ac:dyDescent="0.2">
      <c r="B1181" s="45"/>
    </row>
    <row r="1182" spans="1:15" x14ac:dyDescent="0.2">
      <c r="B1182" s="45"/>
    </row>
    <row r="1183" spans="1:15" x14ac:dyDescent="0.2">
      <c r="B1183" s="45"/>
    </row>
    <row r="1184" spans="1:15" x14ac:dyDescent="0.2">
      <c r="B1184" s="45"/>
    </row>
    <row r="1185" spans="1:22" x14ac:dyDescent="0.2">
      <c r="B1185" s="45"/>
    </row>
    <row r="1186" spans="1:22" x14ac:dyDescent="0.2">
      <c r="B1186" s="45"/>
    </row>
    <row r="1187" spans="1:22" x14ac:dyDescent="0.2">
      <c r="B1187" s="45"/>
    </row>
    <row r="1188" spans="1:22" x14ac:dyDescent="0.2">
      <c r="B1188" s="45"/>
    </row>
    <row r="1189" spans="1:22" x14ac:dyDescent="0.2">
      <c r="B1189" s="45"/>
    </row>
    <row r="1190" spans="1:22" x14ac:dyDescent="0.2">
      <c r="B1190" s="45"/>
    </row>
    <row r="1191" spans="1:22" x14ac:dyDescent="0.2">
      <c r="B1191" s="45"/>
    </row>
    <row r="1192" spans="1:22" x14ac:dyDescent="0.2">
      <c r="B1192" s="45"/>
    </row>
    <row r="1193" spans="1:22" x14ac:dyDescent="0.2">
      <c r="B1193" s="45"/>
    </row>
    <row r="1194" spans="1:22" x14ac:dyDescent="0.2">
      <c r="B1194" s="45"/>
    </row>
    <row r="1195" spans="1:22" x14ac:dyDescent="0.2">
      <c r="B1195" s="45"/>
    </row>
    <row r="1196" spans="1:22" x14ac:dyDescent="0.2">
      <c r="B1196" s="66"/>
    </row>
    <row r="1197" spans="1:22" x14ac:dyDescent="0.2">
      <c r="B1197" s="49"/>
    </row>
    <row r="1198" spans="1:22" x14ac:dyDescent="0.2">
      <c r="B1198" s="45"/>
    </row>
    <row r="1199" spans="1:22" x14ac:dyDescent="0.2">
      <c r="A1199" s="3"/>
      <c r="B1199" s="45"/>
    </row>
    <row r="1200" spans="1:22" x14ac:dyDescent="0.2">
      <c r="A1200" s="2"/>
      <c r="B1200" s="44"/>
      <c r="C1200" s="2"/>
      <c r="D1200" s="2"/>
      <c r="E1200" s="2"/>
      <c r="F1200" s="2"/>
      <c r="G1200" s="2"/>
      <c r="H1200" s="2"/>
      <c r="I1200" s="2"/>
      <c r="J1200" s="2"/>
      <c r="K1200" s="2"/>
      <c r="L1200" s="2"/>
      <c r="M1200" s="2"/>
      <c r="N1200" s="2"/>
      <c r="O1200" s="2"/>
      <c r="P1200" s="2"/>
      <c r="Q1200" s="2"/>
      <c r="R1200" s="2"/>
      <c r="S1200" s="2"/>
      <c r="T1200" s="2"/>
      <c r="U1200" s="2"/>
      <c r="V1200" s="2"/>
    </row>
    <row r="1201" spans="1:15" x14ac:dyDescent="0.2">
      <c r="B1201" s="45"/>
    </row>
    <row r="1202" spans="1:15" x14ac:dyDescent="0.2">
      <c r="B1202" s="53"/>
      <c r="O1202" s="15"/>
    </row>
    <row r="1203" spans="1:15" x14ac:dyDescent="0.2">
      <c r="B1203" s="53"/>
      <c r="O1203" s="15"/>
    </row>
    <row r="1204" spans="1:15" x14ac:dyDescent="0.2">
      <c r="B1204" s="45"/>
      <c r="O1204" s="15"/>
    </row>
    <row r="1205" spans="1:15" x14ac:dyDescent="0.2">
      <c r="B1205" s="53"/>
      <c r="O1205" s="15"/>
    </row>
    <row r="1206" spans="1:15" x14ac:dyDescent="0.2">
      <c r="B1206" s="52"/>
      <c r="O1206" s="15"/>
    </row>
    <row r="1207" spans="1:15" x14ac:dyDescent="0.2">
      <c r="B1207" s="53"/>
      <c r="O1207" s="15"/>
    </row>
    <row r="1209" spans="1:15" x14ac:dyDescent="0.2">
      <c r="A1209" s="2"/>
      <c r="B1209" s="44"/>
    </row>
    <row r="1210" spans="1:15" x14ac:dyDescent="0.2">
      <c r="B1210" s="45"/>
    </row>
    <row r="1211" spans="1:15" x14ac:dyDescent="0.2">
      <c r="B1211" s="45"/>
    </row>
    <row r="1212" spans="1:15" x14ac:dyDescent="0.2">
      <c r="B1212" s="45"/>
    </row>
    <row r="1213" spans="1:15" x14ac:dyDescent="0.2">
      <c r="B1213" s="45"/>
    </row>
    <row r="1214" spans="1:15" x14ac:dyDescent="0.2">
      <c r="B1214" s="45"/>
    </row>
    <row r="1215" spans="1:15" x14ac:dyDescent="0.2">
      <c r="B1215" s="45"/>
    </row>
    <row r="1216" spans="1:15" x14ac:dyDescent="0.2">
      <c r="B1216" s="45"/>
    </row>
    <row r="1217" spans="1:22" x14ac:dyDescent="0.2">
      <c r="B1217" s="45"/>
    </row>
    <row r="1218" spans="1:22" x14ac:dyDescent="0.2">
      <c r="B1218" s="45"/>
    </row>
    <row r="1219" spans="1:22" x14ac:dyDescent="0.2">
      <c r="B1219" s="45"/>
    </row>
    <row r="1220" spans="1:22" x14ac:dyDescent="0.2">
      <c r="B1220" s="45"/>
    </row>
    <row r="1221" spans="1:22" x14ac:dyDescent="0.2">
      <c r="B1221" s="45"/>
    </row>
    <row r="1222" spans="1:22" x14ac:dyDescent="0.2">
      <c r="B1222" s="45"/>
    </row>
    <row r="1223" spans="1:22" x14ac:dyDescent="0.2">
      <c r="B1223" s="45"/>
    </row>
    <row r="1224" spans="1:22" x14ac:dyDescent="0.2">
      <c r="B1224" s="45"/>
    </row>
    <row r="1225" spans="1:22" x14ac:dyDescent="0.2">
      <c r="B1225" s="45"/>
    </row>
    <row r="1226" spans="1:22" x14ac:dyDescent="0.2">
      <c r="B1226" s="45"/>
    </row>
    <row r="1227" spans="1:22" x14ac:dyDescent="0.2">
      <c r="B1227" s="45"/>
    </row>
    <row r="1228" spans="1:22" x14ac:dyDescent="0.2">
      <c r="B1228" s="66"/>
    </row>
    <row r="1229" spans="1:22" x14ac:dyDescent="0.2">
      <c r="B1229" s="49"/>
    </row>
    <row r="1230" spans="1:22" x14ac:dyDescent="0.2">
      <c r="B1230" s="45"/>
    </row>
    <row r="1231" spans="1:22" x14ac:dyDescent="0.2">
      <c r="A1231" s="3"/>
      <c r="B1231" s="45"/>
    </row>
    <row r="1232" spans="1:22" x14ac:dyDescent="0.2">
      <c r="A1232" s="2"/>
      <c r="B1232" s="44"/>
      <c r="C1232" s="2"/>
      <c r="D1232" s="2"/>
      <c r="E1232" s="2"/>
      <c r="F1232" s="2"/>
      <c r="G1232" s="2"/>
      <c r="H1232" s="2"/>
      <c r="I1232" s="2"/>
      <c r="J1232" s="2"/>
      <c r="K1232" s="2"/>
      <c r="L1232" s="2"/>
      <c r="M1232" s="2"/>
      <c r="N1232" s="2"/>
      <c r="O1232" s="2"/>
      <c r="P1232" s="2"/>
      <c r="Q1232" s="2"/>
      <c r="R1232" s="2"/>
      <c r="S1232" s="2"/>
      <c r="T1232" s="2"/>
      <c r="U1232" s="2"/>
      <c r="V1232" s="2"/>
    </row>
    <row r="1233" spans="1:15" x14ac:dyDescent="0.2">
      <c r="B1233" s="45"/>
    </row>
    <row r="1234" spans="1:15" x14ac:dyDescent="0.2">
      <c r="B1234" s="53"/>
      <c r="O1234" s="15"/>
    </row>
    <row r="1235" spans="1:15" x14ac:dyDescent="0.2">
      <c r="B1235" s="53"/>
      <c r="O1235" s="15"/>
    </row>
    <row r="1236" spans="1:15" x14ac:dyDescent="0.2">
      <c r="B1236" s="45"/>
      <c r="O1236" s="15"/>
    </row>
    <row r="1237" spans="1:15" x14ac:dyDescent="0.2">
      <c r="B1237" s="45"/>
      <c r="O1237" s="15"/>
    </row>
    <row r="1238" spans="1:15" x14ac:dyDescent="0.2">
      <c r="B1238" s="53"/>
      <c r="O1238" s="15"/>
    </row>
    <row r="1239" spans="1:15" x14ac:dyDescent="0.2">
      <c r="B1239" s="52"/>
      <c r="O1239" s="15"/>
    </row>
    <row r="1240" spans="1:15" x14ac:dyDescent="0.2">
      <c r="B1240" s="52"/>
      <c r="O1240" s="15"/>
    </row>
    <row r="1241" spans="1:15" x14ac:dyDescent="0.2">
      <c r="B1241" s="53"/>
      <c r="O1241" s="15"/>
    </row>
    <row r="1242" spans="1:15" x14ac:dyDescent="0.2">
      <c r="B1242" s="45"/>
    </row>
    <row r="1243" spans="1:15" x14ac:dyDescent="0.2">
      <c r="A1243" s="2"/>
      <c r="B1243" s="44"/>
    </row>
    <row r="1244" spans="1:15" x14ac:dyDescent="0.2">
      <c r="B1244" s="45"/>
    </row>
    <row r="1245" spans="1:15" x14ac:dyDescent="0.2">
      <c r="B1245" s="45"/>
    </row>
    <row r="1246" spans="1:15" x14ac:dyDescent="0.2">
      <c r="B1246" s="45"/>
    </row>
    <row r="1247" spans="1:15" x14ac:dyDescent="0.2">
      <c r="B1247" s="45"/>
    </row>
    <row r="1248" spans="1:15" x14ac:dyDescent="0.2">
      <c r="B1248" s="45"/>
    </row>
    <row r="1249" spans="2:2" x14ac:dyDescent="0.2">
      <c r="B1249" s="45"/>
    </row>
    <row r="1250" spans="2:2" x14ac:dyDescent="0.2">
      <c r="B1250" s="45"/>
    </row>
    <row r="1251" spans="2:2" x14ac:dyDescent="0.2">
      <c r="B1251" s="45"/>
    </row>
    <row r="1252" spans="2:2" x14ac:dyDescent="0.2">
      <c r="B1252" s="45"/>
    </row>
    <row r="1253" spans="2:2" x14ac:dyDescent="0.2">
      <c r="B1253" s="45"/>
    </row>
    <row r="1254" spans="2:2" x14ac:dyDescent="0.2">
      <c r="B1254" s="45"/>
    </row>
    <row r="1255" spans="2:2" x14ac:dyDescent="0.2">
      <c r="B1255" s="45"/>
    </row>
    <row r="1256" spans="2:2" x14ac:dyDescent="0.2">
      <c r="B1256" s="45"/>
    </row>
    <row r="1257" spans="2:2" x14ac:dyDescent="0.2">
      <c r="B1257" s="45"/>
    </row>
    <row r="1258" spans="2:2" x14ac:dyDescent="0.2">
      <c r="B1258" s="45"/>
    </row>
    <row r="1259" spans="2:2" x14ac:dyDescent="0.2">
      <c r="B1259" s="45"/>
    </row>
    <row r="1260" spans="2:2" x14ac:dyDescent="0.2">
      <c r="B1260" s="45"/>
    </row>
    <row r="1261" spans="2:2" x14ac:dyDescent="0.2">
      <c r="B1261" s="45"/>
    </row>
    <row r="1262" spans="2:2" x14ac:dyDescent="0.2">
      <c r="B1262" s="66"/>
    </row>
    <row r="1263" spans="2:2" x14ac:dyDescent="0.2">
      <c r="B1263" s="49"/>
    </row>
    <row r="1264" spans="2:2" x14ac:dyDescent="0.2">
      <c r="B1264" s="45"/>
    </row>
    <row r="1265" spans="1:22" x14ac:dyDescent="0.2">
      <c r="A1265" s="3"/>
      <c r="B1265" s="45"/>
    </row>
    <row r="1266" spans="1:22" x14ac:dyDescent="0.2">
      <c r="A1266" s="2"/>
      <c r="B1266" s="44"/>
      <c r="C1266" s="2"/>
      <c r="D1266" s="2"/>
      <c r="E1266" s="2"/>
      <c r="F1266" s="2"/>
      <c r="G1266" s="2"/>
      <c r="H1266" s="2"/>
      <c r="I1266" s="2"/>
      <c r="J1266" s="2"/>
      <c r="K1266" s="2"/>
      <c r="L1266" s="2"/>
      <c r="M1266" s="2"/>
      <c r="N1266" s="2"/>
      <c r="O1266" s="2"/>
      <c r="P1266" s="2"/>
      <c r="Q1266" s="2"/>
      <c r="R1266" s="2"/>
      <c r="S1266" s="2"/>
      <c r="T1266" s="2"/>
      <c r="U1266" s="2"/>
      <c r="V1266" s="2"/>
    </row>
    <row r="1267" spans="1:22" x14ac:dyDescent="0.2">
      <c r="B1267" s="45"/>
    </row>
    <row r="1268" spans="1:22" x14ac:dyDescent="0.2">
      <c r="B1268" s="53"/>
      <c r="O1268" s="15"/>
    </row>
    <row r="1269" spans="1:22" x14ac:dyDescent="0.2">
      <c r="B1269" s="53"/>
      <c r="O1269" s="15"/>
    </row>
    <row r="1270" spans="1:22" x14ac:dyDescent="0.2">
      <c r="B1270" s="45"/>
      <c r="O1270" s="15"/>
    </row>
    <row r="1271" spans="1:22" x14ac:dyDescent="0.2">
      <c r="B1271" s="53"/>
      <c r="O1271" s="15"/>
    </row>
    <row r="1272" spans="1:22" x14ac:dyDescent="0.2">
      <c r="B1272" s="52"/>
      <c r="O1272" s="15"/>
    </row>
    <row r="1273" spans="1:22" x14ac:dyDescent="0.2">
      <c r="B1273" s="53"/>
      <c r="O1273" s="15"/>
    </row>
    <row r="1275" spans="1:22" x14ac:dyDescent="0.2">
      <c r="A1275" s="2"/>
      <c r="B1275" s="44"/>
    </row>
    <row r="1276" spans="1:22" x14ac:dyDescent="0.2">
      <c r="B1276" s="45"/>
    </row>
    <row r="1277" spans="1:22" x14ac:dyDescent="0.2">
      <c r="B1277" s="45"/>
    </row>
    <row r="1278" spans="1:22" x14ac:dyDescent="0.2">
      <c r="B1278" s="45"/>
    </row>
    <row r="1279" spans="1:22" x14ac:dyDescent="0.2">
      <c r="B1279" s="45"/>
    </row>
    <row r="1280" spans="1:22" x14ac:dyDescent="0.2">
      <c r="B1280" s="45"/>
    </row>
    <row r="1281" spans="2:2" x14ac:dyDescent="0.2">
      <c r="B1281" s="45"/>
    </row>
    <row r="1282" spans="2:2" x14ac:dyDescent="0.2">
      <c r="B1282" s="45"/>
    </row>
    <row r="1283" spans="2:2" x14ac:dyDescent="0.2">
      <c r="B1283" s="45"/>
    </row>
    <row r="1284" spans="2:2" x14ac:dyDescent="0.2">
      <c r="B1284" s="45"/>
    </row>
    <row r="1285" spans="2:2" x14ac:dyDescent="0.2">
      <c r="B1285" s="45"/>
    </row>
    <row r="1286" spans="2:2" x14ac:dyDescent="0.2">
      <c r="B1286" s="45"/>
    </row>
    <row r="1287" spans="2:2" x14ac:dyDescent="0.2">
      <c r="B1287" s="45"/>
    </row>
    <row r="1288" spans="2:2" x14ac:dyDescent="0.2">
      <c r="B1288" s="45"/>
    </row>
    <row r="1289" spans="2:2" x14ac:dyDescent="0.2">
      <c r="B1289" s="45"/>
    </row>
    <row r="1290" spans="2:2" x14ac:dyDescent="0.2">
      <c r="B1290" s="45"/>
    </row>
    <row r="1291" spans="2:2" x14ac:dyDescent="0.2">
      <c r="B1291" s="45"/>
    </row>
    <row r="1292" spans="2:2" x14ac:dyDescent="0.2">
      <c r="B1292" s="45"/>
    </row>
    <row r="1293" spans="2:2" x14ac:dyDescent="0.2">
      <c r="B1293" s="45"/>
    </row>
    <row r="1294" spans="2:2" x14ac:dyDescent="0.2">
      <c r="B1294" s="66"/>
    </row>
    <row r="1295" spans="2:2" x14ac:dyDescent="0.2">
      <c r="B1295" s="49"/>
    </row>
    <row r="1296" spans="2:2" x14ac:dyDescent="0.2">
      <c r="B1296" s="45"/>
    </row>
    <row r="1297" spans="1:22" x14ac:dyDescent="0.2">
      <c r="A1297" s="3"/>
      <c r="B1297" s="45"/>
    </row>
    <row r="1298" spans="1:22" x14ac:dyDescent="0.2">
      <c r="A1298" s="2"/>
      <c r="B1298" s="44"/>
      <c r="C1298" s="2"/>
      <c r="D1298" s="2"/>
      <c r="E1298" s="2"/>
      <c r="F1298" s="2"/>
      <c r="G1298" s="2"/>
      <c r="H1298" s="2"/>
      <c r="I1298" s="2"/>
      <c r="J1298" s="2"/>
      <c r="K1298" s="2"/>
      <c r="L1298" s="2"/>
      <c r="M1298" s="2"/>
      <c r="N1298" s="2"/>
      <c r="O1298" s="2"/>
      <c r="P1298" s="2"/>
      <c r="Q1298" s="2"/>
      <c r="R1298" s="2"/>
      <c r="S1298" s="2"/>
      <c r="T1298" s="2"/>
      <c r="U1298" s="2"/>
      <c r="V1298" s="2"/>
    </row>
    <row r="1299" spans="1:22" x14ac:dyDescent="0.2">
      <c r="B1299" s="45"/>
    </row>
    <row r="1300" spans="1:22" x14ac:dyDescent="0.2">
      <c r="B1300" s="53"/>
      <c r="O1300" s="15"/>
    </row>
    <row r="1301" spans="1:22" x14ac:dyDescent="0.2">
      <c r="B1301" s="53"/>
      <c r="O1301" s="15"/>
    </row>
    <row r="1302" spans="1:22" x14ac:dyDescent="0.2">
      <c r="B1302" s="45"/>
      <c r="O1302" s="15"/>
    </row>
    <row r="1303" spans="1:22" x14ac:dyDescent="0.2">
      <c r="B1303" s="45"/>
      <c r="O1303" s="15"/>
    </row>
    <row r="1304" spans="1:22" x14ac:dyDescent="0.2">
      <c r="B1304" s="53"/>
      <c r="O1304" s="15"/>
    </row>
    <row r="1305" spans="1:22" x14ac:dyDescent="0.2">
      <c r="B1305" s="52"/>
      <c r="O1305" s="15"/>
    </row>
    <row r="1306" spans="1:22" x14ac:dyDescent="0.2">
      <c r="B1306" s="52"/>
      <c r="O1306" s="15"/>
    </row>
    <row r="1307" spans="1:22" x14ac:dyDescent="0.2">
      <c r="B1307" s="53"/>
      <c r="O1307" s="15"/>
    </row>
    <row r="1308" spans="1:22" x14ac:dyDescent="0.2">
      <c r="B1308" s="45"/>
    </row>
    <row r="1309" spans="1:22" x14ac:dyDescent="0.2">
      <c r="A1309" s="2"/>
      <c r="B1309" s="44"/>
    </row>
    <row r="1310" spans="1:22" x14ac:dyDescent="0.2">
      <c r="B1310" s="45"/>
    </row>
    <row r="1311" spans="1:22" x14ac:dyDescent="0.2">
      <c r="B1311" s="45"/>
    </row>
    <row r="1312" spans="1:22" x14ac:dyDescent="0.2">
      <c r="B1312" s="45"/>
    </row>
    <row r="1313" spans="2:2" x14ac:dyDescent="0.2">
      <c r="B1313" s="45"/>
    </row>
    <row r="1314" spans="2:2" x14ac:dyDescent="0.2">
      <c r="B1314" s="45"/>
    </row>
    <row r="1315" spans="2:2" x14ac:dyDescent="0.2">
      <c r="B1315" s="45"/>
    </row>
    <row r="1316" spans="2:2" x14ac:dyDescent="0.2">
      <c r="B1316" s="45"/>
    </row>
    <row r="1317" spans="2:2" x14ac:dyDescent="0.2">
      <c r="B1317" s="45"/>
    </row>
    <row r="1318" spans="2:2" x14ac:dyDescent="0.2">
      <c r="B1318" s="45"/>
    </row>
    <row r="1319" spans="2:2" x14ac:dyDescent="0.2">
      <c r="B1319" s="45"/>
    </row>
    <row r="1320" spans="2:2" x14ac:dyDescent="0.2">
      <c r="B1320" s="45"/>
    </row>
    <row r="1321" spans="2:2" x14ac:dyDescent="0.2">
      <c r="B1321" s="45"/>
    </row>
    <row r="1322" spans="2:2" x14ac:dyDescent="0.2">
      <c r="B1322" s="45"/>
    </row>
    <row r="1323" spans="2:2" x14ac:dyDescent="0.2">
      <c r="B1323" s="45"/>
    </row>
    <row r="1324" spans="2:2" x14ac:dyDescent="0.2">
      <c r="B1324" s="45"/>
    </row>
    <row r="1325" spans="2:2" x14ac:dyDescent="0.2">
      <c r="B1325" s="45"/>
    </row>
    <row r="1326" spans="2:2" x14ac:dyDescent="0.2">
      <c r="B1326" s="45"/>
    </row>
    <row r="1327" spans="2:2" x14ac:dyDescent="0.2">
      <c r="B1327" s="45"/>
    </row>
    <row r="1328" spans="2:2" x14ac:dyDescent="0.2">
      <c r="B1328" s="66"/>
    </row>
    <row r="1329" spans="1:22" x14ac:dyDescent="0.2">
      <c r="B1329" s="49"/>
    </row>
    <row r="1330" spans="1:22" x14ac:dyDescent="0.2">
      <c r="B1330" s="45"/>
    </row>
    <row r="1331" spans="1:22" x14ac:dyDescent="0.2">
      <c r="A1331" s="3"/>
      <c r="B1331" s="45"/>
    </row>
    <row r="1332" spans="1:22" x14ac:dyDescent="0.2">
      <c r="A1332" s="2"/>
      <c r="B1332" s="44"/>
      <c r="C1332" s="2"/>
      <c r="D1332" s="2"/>
      <c r="E1332" s="2"/>
      <c r="F1332" s="2"/>
      <c r="G1332" s="2"/>
      <c r="H1332" s="2"/>
      <c r="I1332" s="2"/>
      <c r="J1332" s="2"/>
      <c r="K1332" s="2"/>
      <c r="L1332" s="2"/>
      <c r="M1332" s="2"/>
      <c r="N1332" s="2"/>
      <c r="O1332" s="2"/>
      <c r="P1332" s="2"/>
      <c r="Q1332" s="2"/>
      <c r="R1332" s="2"/>
      <c r="S1332" s="2"/>
      <c r="T1332" s="2"/>
      <c r="U1332" s="2"/>
      <c r="V1332" s="2"/>
    </row>
    <row r="1333" spans="1:22" x14ac:dyDescent="0.2">
      <c r="B1333" s="45"/>
    </row>
    <row r="1334" spans="1:22" x14ac:dyDescent="0.2">
      <c r="B1334" s="53"/>
      <c r="O1334" s="15"/>
    </row>
    <row r="1335" spans="1:22" x14ac:dyDescent="0.2">
      <c r="B1335" s="53"/>
      <c r="O1335" s="15"/>
    </row>
    <row r="1336" spans="1:22" x14ac:dyDescent="0.2">
      <c r="B1336" s="45"/>
      <c r="O1336" s="15"/>
    </row>
    <row r="1337" spans="1:22" x14ac:dyDescent="0.2">
      <c r="B1337" s="53"/>
      <c r="O1337" s="15"/>
    </row>
    <row r="1338" spans="1:22" x14ac:dyDescent="0.2">
      <c r="B1338" s="52"/>
      <c r="O1338" s="15"/>
    </row>
    <row r="1339" spans="1:22" x14ac:dyDescent="0.2">
      <c r="B1339" s="53"/>
      <c r="O1339" s="15"/>
    </row>
    <row r="1341" spans="1:22" x14ac:dyDescent="0.2">
      <c r="A1341" s="2"/>
      <c r="B1341" s="44"/>
    </row>
    <row r="1342" spans="1:22" x14ac:dyDescent="0.2">
      <c r="B1342" s="45"/>
    </row>
    <row r="1343" spans="1:22" x14ac:dyDescent="0.2">
      <c r="B1343" s="45"/>
    </row>
    <row r="1344" spans="1:22" x14ac:dyDescent="0.2">
      <c r="B1344" s="45"/>
    </row>
    <row r="1345" spans="2:2" x14ac:dyDescent="0.2">
      <c r="B1345" s="45"/>
    </row>
    <row r="1346" spans="2:2" x14ac:dyDescent="0.2">
      <c r="B1346" s="45"/>
    </row>
    <row r="1347" spans="2:2" x14ac:dyDescent="0.2">
      <c r="B1347" s="45"/>
    </row>
    <row r="1348" spans="2:2" x14ac:dyDescent="0.2">
      <c r="B1348" s="45"/>
    </row>
    <row r="1349" spans="2:2" x14ac:dyDescent="0.2">
      <c r="B1349" s="45"/>
    </row>
    <row r="1350" spans="2:2" x14ac:dyDescent="0.2">
      <c r="B1350" s="45"/>
    </row>
    <row r="1351" spans="2:2" x14ac:dyDescent="0.2">
      <c r="B1351" s="45"/>
    </row>
    <row r="1352" spans="2:2" x14ac:dyDescent="0.2">
      <c r="B1352" s="45"/>
    </row>
    <row r="1353" spans="2:2" x14ac:dyDescent="0.2">
      <c r="B1353" s="45"/>
    </row>
    <row r="1354" spans="2:2" x14ac:dyDescent="0.2">
      <c r="B1354" s="45"/>
    </row>
    <row r="1355" spans="2:2" x14ac:dyDescent="0.2">
      <c r="B1355" s="45"/>
    </row>
    <row r="1356" spans="2:2" x14ac:dyDescent="0.2">
      <c r="B1356" s="45"/>
    </row>
    <row r="1357" spans="2:2" x14ac:dyDescent="0.2">
      <c r="B1357" s="45"/>
    </row>
    <row r="1358" spans="2:2" x14ac:dyDescent="0.2">
      <c r="B1358" s="45"/>
    </row>
    <row r="1359" spans="2:2" x14ac:dyDescent="0.2">
      <c r="B1359" s="45"/>
    </row>
    <row r="1360" spans="2:2" x14ac:dyDescent="0.2">
      <c r="B1360" s="66"/>
    </row>
    <row r="1361" spans="1:22" x14ac:dyDescent="0.2">
      <c r="B1361" s="49"/>
    </row>
    <row r="1362" spans="1:22" x14ac:dyDescent="0.2">
      <c r="B1362" s="45"/>
    </row>
    <row r="1363" spans="1:22" x14ac:dyDescent="0.2">
      <c r="A1363" s="3"/>
      <c r="B1363" s="45"/>
    </row>
    <row r="1364" spans="1:22" x14ac:dyDescent="0.2">
      <c r="A1364" s="2"/>
      <c r="B1364" s="44"/>
      <c r="C1364" s="2"/>
      <c r="D1364" s="2"/>
      <c r="E1364" s="2"/>
      <c r="F1364" s="2"/>
      <c r="G1364" s="2"/>
      <c r="H1364" s="2"/>
      <c r="I1364" s="2"/>
      <c r="J1364" s="2"/>
      <c r="K1364" s="2"/>
      <c r="L1364" s="2"/>
      <c r="M1364" s="2"/>
      <c r="N1364" s="2"/>
      <c r="O1364" s="2"/>
      <c r="P1364" s="2"/>
      <c r="Q1364" s="2"/>
      <c r="R1364" s="2"/>
      <c r="S1364" s="2"/>
      <c r="T1364" s="2"/>
      <c r="U1364" s="2"/>
      <c r="V1364" s="2"/>
    </row>
    <row r="1365" spans="1:22" x14ac:dyDescent="0.2">
      <c r="B1365" s="45"/>
    </row>
    <row r="1366" spans="1:22" x14ac:dyDescent="0.2">
      <c r="B1366" s="53"/>
      <c r="O1366" s="15"/>
    </row>
    <row r="1367" spans="1:22" x14ac:dyDescent="0.2">
      <c r="B1367" s="53"/>
      <c r="O1367" s="15"/>
    </row>
    <row r="1368" spans="1:22" x14ac:dyDescent="0.2">
      <c r="B1368" s="45"/>
      <c r="O1368" s="15"/>
    </row>
    <row r="1369" spans="1:22" x14ac:dyDescent="0.2">
      <c r="B1369" s="45"/>
      <c r="O1369" s="15"/>
    </row>
    <row r="1370" spans="1:22" x14ac:dyDescent="0.2">
      <c r="B1370" s="53"/>
      <c r="O1370" s="15"/>
    </row>
    <row r="1371" spans="1:22" x14ac:dyDescent="0.2">
      <c r="B1371" s="52"/>
      <c r="O1371" s="15"/>
    </row>
    <row r="1372" spans="1:22" x14ac:dyDescent="0.2">
      <c r="B1372" s="52"/>
      <c r="O1372" s="15"/>
    </row>
    <row r="1373" spans="1:22" x14ac:dyDescent="0.2">
      <c r="B1373" s="53"/>
      <c r="O1373" s="15"/>
    </row>
    <row r="1374" spans="1:22" x14ac:dyDescent="0.2">
      <c r="B1374" s="45"/>
    </row>
    <row r="1375" spans="1:22" x14ac:dyDescent="0.2">
      <c r="A1375" s="2"/>
      <c r="B1375" s="44"/>
    </row>
    <row r="1376" spans="1:22" x14ac:dyDescent="0.2">
      <c r="B1376" s="45"/>
    </row>
    <row r="1377" spans="2:2" x14ac:dyDescent="0.2">
      <c r="B1377" s="45"/>
    </row>
    <row r="1378" spans="2:2" x14ac:dyDescent="0.2">
      <c r="B1378" s="45"/>
    </row>
    <row r="1379" spans="2:2" x14ac:dyDescent="0.2">
      <c r="B1379" s="45"/>
    </row>
    <row r="1380" spans="2:2" x14ac:dyDescent="0.2">
      <c r="B1380" s="45"/>
    </row>
    <row r="1381" spans="2:2" x14ac:dyDescent="0.2">
      <c r="B1381" s="45"/>
    </row>
    <row r="1382" spans="2:2" x14ac:dyDescent="0.2">
      <c r="B1382" s="45"/>
    </row>
    <row r="1383" spans="2:2" x14ac:dyDescent="0.2">
      <c r="B1383" s="45"/>
    </row>
    <row r="1384" spans="2:2" x14ac:dyDescent="0.2">
      <c r="B1384" s="45"/>
    </row>
    <row r="1385" spans="2:2" x14ac:dyDescent="0.2">
      <c r="B1385" s="45"/>
    </row>
    <row r="1386" spans="2:2" x14ac:dyDescent="0.2">
      <c r="B1386" s="45"/>
    </row>
    <row r="1387" spans="2:2" x14ac:dyDescent="0.2">
      <c r="B1387" s="45"/>
    </row>
    <row r="1388" spans="2:2" x14ac:dyDescent="0.2">
      <c r="B1388" s="45"/>
    </row>
    <row r="1389" spans="2:2" x14ac:dyDescent="0.2">
      <c r="B1389" s="45"/>
    </row>
    <row r="1390" spans="2:2" x14ac:dyDescent="0.2">
      <c r="B1390" s="45"/>
    </row>
    <row r="1391" spans="2:2" x14ac:dyDescent="0.2">
      <c r="B1391" s="45"/>
    </row>
    <row r="1392" spans="2:2" x14ac:dyDescent="0.2">
      <c r="B1392" s="45"/>
    </row>
    <row r="1393" spans="1:22" x14ac:dyDescent="0.2">
      <c r="B1393" s="45"/>
    </row>
    <row r="1394" spans="1:22" x14ac:dyDescent="0.2">
      <c r="B1394" s="66"/>
    </row>
    <row r="1395" spans="1:22" x14ac:dyDescent="0.2">
      <c r="B1395" s="49"/>
    </row>
    <row r="1396" spans="1:22" x14ac:dyDescent="0.2">
      <c r="B1396" s="45"/>
    </row>
    <row r="1397" spans="1:22" x14ac:dyDescent="0.2">
      <c r="A1397" s="3"/>
      <c r="B1397" s="45"/>
    </row>
    <row r="1398" spans="1:22" x14ac:dyDescent="0.2">
      <c r="A1398" s="2"/>
      <c r="B1398" s="44"/>
      <c r="C1398" s="2"/>
      <c r="D1398" s="2"/>
      <c r="E1398" s="2"/>
      <c r="F1398" s="2"/>
      <c r="G1398" s="2"/>
      <c r="H1398" s="2"/>
      <c r="I1398" s="2"/>
      <c r="J1398" s="2"/>
      <c r="K1398" s="2"/>
      <c r="L1398" s="2"/>
      <c r="M1398" s="2"/>
      <c r="N1398" s="2"/>
      <c r="O1398" s="2"/>
      <c r="P1398" s="2"/>
      <c r="Q1398" s="2"/>
      <c r="R1398" s="2"/>
      <c r="S1398" s="2"/>
      <c r="T1398" s="2"/>
      <c r="U1398" s="2"/>
      <c r="V1398" s="2"/>
    </row>
    <row r="1399" spans="1:22" x14ac:dyDescent="0.2">
      <c r="B1399" s="45"/>
    </row>
    <row r="1400" spans="1:22" x14ac:dyDescent="0.2">
      <c r="B1400" s="53"/>
      <c r="O1400" s="15"/>
    </row>
    <row r="1401" spans="1:22" x14ac:dyDescent="0.2">
      <c r="B1401" s="53"/>
      <c r="O1401" s="15"/>
    </row>
    <row r="1402" spans="1:22" x14ac:dyDescent="0.2">
      <c r="B1402" s="45"/>
      <c r="O1402" s="15"/>
    </row>
    <row r="1403" spans="1:22" x14ac:dyDescent="0.2">
      <c r="B1403" s="53"/>
      <c r="O1403" s="15"/>
    </row>
    <row r="1404" spans="1:22" x14ac:dyDescent="0.2">
      <c r="B1404" s="52"/>
      <c r="O1404" s="15"/>
    </row>
    <row r="1405" spans="1:22" x14ac:dyDescent="0.2">
      <c r="B1405" s="53"/>
      <c r="O1405" s="15"/>
    </row>
    <row r="1407" spans="1:22" x14ac:dyDescent="0.2">
      <c r="A1407" s="2"/>
      <c r="B1407" s="44"/>
    </row>
    <row r="1408" spans="1:22" x14ac:dyDescent="0.2">
      <c r="B1408" s="45"/>
    </row>
    <row r="1409" spans="2:2" x14ac:dyDescent="0.2">
      <c r="B1409" s="45"/>
    </row>
    <row r="1410" spans="2:2" x14ac:dyDescent="0.2">
      <c r="B1410" s="45"/>
    </row>
    <row r="1411" spans="2:2" x14ac:dyDescent="0.2">
      <c r="B1411" s="45"/>
    </row>
    <row r="1412" spans="2:2" x14ac:dyDescent="0.2">
      <c r="B1412" s="45"/>
    </row>
    <row r="1413" spans="2:2" x14ac:dyDescent="0.2">
      <c r="B1413" s="45"/>
    </row>
    <row r="1414" spans="2:2" x14ac:dyDescent="0.2">
      <c r="B1414" s="45"/>
    </row>
    <row r="1415" spans="2:2" x14ac:dyDescent="0.2">
      <c r="B1415" s="45"/>
    </row>
    <row r="1416" spans="2:2" x14ac:dyDescent="0.2">
      <c r="B1416" s="45"/>
    </row>
    <row r="1417" spans="2:2" x14ac:dyDescent="0.2">
      <c r="B1417" s="45"/>
    </row>
    <row r="1418" spans="2:2" x14ac:dyDescent="0.2">
      <c r="B1418" s="45"/>
    </row>
    <row r="1419" spans="2:2" x14ac:dyDescent="0.2">
      <c r="B1419" s="45"/>
    </row>
    <row r="1420" spans="2:2" x14ac:dyDescent="0.2">
      <c r="B1420" s="45"/>
    </row>
    <row r="1421" spans="2:2" x14ac:dyDescent="0.2">
      <c r="B1421" s="45"/>
    </row>
    <row r="1422" spans="2:2" x14ac:dyDescent="0.2">
      <c r="B1422" s="45"/>
    </row>
    <row r="1423" spans="2:2" x14ac:dyDescent="0.2">
      <c r="B1423" s="45"/>
    </row>
    <row r="1424" spans="2:2" x14ac:dyDescent="0.2">
      <c r="B1424" s="45"/>
    </row>
    <row r="1425" spans="1:22" x14ac:dyDescent="0.2">
      <c r="B1425" s="45"/>
    </row>
    <row r="1426" spans="1:22" x14ac:dyDescent="0.2">
      <c r="B1426" s="66"/>
    </row>
    <row r="1427" spans="1:22" x14ac:dyDescent="0.2">
      <c r="B1427" s="49"/>
    </row>
    <row r="1428" spans="1:22" x14ac:dyDescent="0.2">
      <c r="B1428" s="45"/>
    </row>
    <row r="1429" spans="1:22" x14ac:dyDescent="0.2">
      <c r="A1429" s="3"/>
      <c r="B1429" s="45"/>
    </row>
    <row r="1430" spans="1:22" x14ac:dyDescent="0.2">
      <c r="A1430" s="2"/>
      <c r="B1430" s="44"/>
      <c r="C1430" s="2"/>
      <c r="D1430" s="2"/>
      <c r="E1430" s="2"/>
      <c r="F1430" s="2"/>
      <c r="G1430" s="2"/>
      <c r="H1430" s="2"/>
      <c r="I1430" s="2"/>
      <c r="J1430" s="2"/>
      <c r="K1430" s="2"/>
      <c r="L1430" s="2"/>
      <c r="M1430" s="2"/>
      <c r="N1430" s="2"/>
      <c r="O1430" s="2"/>
      <c r="P1430" s="2"/>
      <c r="Q1430" s="2"/>
      <c r="R1430" s="2"/>
      <c r="S1430" s="2"/>
      <c r="T1430" s="2"/>
      <c r="U1430" s="2"/>
      <c r="V1430" s="2"/>
    </row>
    <row r="1431" spans="1:22" x14ac:dyDescent="0.2">
      <c r="B1431" s="45"/>
    </row>
    <row r="1432" spans="1:22" x14ac:dyDescent="0.2">
      <c r="B1432" s="53"/>
      <c r="O1432" s="15"/>
    </row>
    <row r="1433" spans="1:22" x14ac:dyDescent="0.2">
      <c r="B1433" s="53"/>
      <c r="O1433" s="15"/>
    </row>
    <row r="1434" spans="1:22" x14ac:dyDescent="0.2">
      <c r="B1434" s="45"/>
      <c r="O1434" s="15"/>
    </row>
    <row r="1435" spans="1:22" x14ac:dyDescent="0.2">
      <c r="B1435" s="45"/>
      <c r="O1435" s="15"/>
    </row>
    <row r="1436" spans="1:22" x14ac:dyDescent="0.2">
      <c r="B1436" s="53"/>
      <c r="O1436" s="15"/>
    </row>
    <row r="1437" spans="1:22" x14ac:dyDescent="0.2">
      <c r="B1437" s="52"/>
      <c r="O1437" s="15"/>
    </row>
    <row r="1438" spans="1:22" x14ac:dyDescent="0.2">
      <c r="B1438" s="52"/>
      <c r="O1438" s="15"/>
    </row>
    <row r="1439" spans="1:22" x14ac:dyDescent="0.2">
      <c r="B1439" s="53"/>
      <c r="O1439" s="15"/>
    </row>
    <row r="1440" spans="1:22" x14ac:dyDescent="0.2">
      <c r="B1440" s="45"/>
    </row>
    <row r="1441" spans="1:2" x14ac:dyDescent="0.2">
      <c r="A1441" s="2"/>
      <c r="B1441" s="44"/>
    </row>
    <row r="1442" spans="1:2" x14ac:dyDescent="0.2">
      <c r="B1442" s="45"/>
    </row>
    <row r="1443" spans="1:2" x14ac:dyDescent="0.2">
      <c r="B1443" s="45"/>
    </row>
    <row r="1444" spans="1:2" x14ac:dyDescent="0.2">
      <c r="B1444" s="45"/>
    </row>
    <row r="1445" spans="1:2" x14ac:dyDescent="0.2">
      <c r="B1445" s="45"/>
    </row>
    <row r="1446" spans="1:2" x14ac:dyDescent="0.2">
      <c r="B1446" s="45"/>
    </row>
    <row r="1447" spans="1:2" x14ac:dyDescent="0.2">
      <c r="B1447" s="45"/>
    </row>
    <row r="1448" spans="1:2" x14ac:dyDescent="0.2">
      <c r="B1448" s="45"/>
    </row>
    <row r="1449" spans="1:2" x14ac:dyDescent="0.2">
      <c r="B1449" s="45"/>
    </row>
    <row r="1450" spans="1:2" x14ac:dyDescent="0.2">
      <c r="B1450" s="45"/>
    </row>
    <row r="1451" spans="1:2" x14ac:dyDescent="0.2">
      <c r="B1451" s="45"/>
    </row>
    <row r="1452" spans="1:2" x14ac:dyDescent="0.2">
      <c r="B1452" s="45"/>
    </row>
    <row r="1453" spans="1:2" x14ac:dyDescent="0.2">
      <c r="B1453" s="45"/>
    </row>
    <row r="1454" spans="1:2" x14ac:dyDescent="0.2">
      <c r="B1454" s="45"/>
    </row>
    <row r="1455" spans="1:2" x14ac:dyDescent="0.2">
      <c r="B1455" s="45"/>
    </row>
    <row r="1456" spans="1:2" x14ac:dyDescent="0.2">
      <c r="B1456" s="45"/>
    </row>
    <row r="1457" spans="1:22" x14ac:dyDescent="0.2">
      <c r="B1457" s="45"/>
    </row>
    <row r="1458" spans="1:22" x14ac:dyDescent="0.2">
      <c r="B1458" s="45"/>
    </row>
    <row r="1459" spans="1:22" x14ac:dyDescent="0.2">
      <c r="B1459" s="45"/>
    </row>
    <row r="1460" spans="1:22" x14ac:dyDescent="0.2">
      <c r="B1460" s="66"/>
    </row>
    <row r="1461" spans="1:22" x14ac:dyDescent="0.2">
      <c r="B1461" s="49"/>
    </row>
    <row r="1462" spans="1:22" x14ac:dyDescent="0.2">
      <c r="B1462" s="45"/>
    </row>
    <row r="1463" spans="1:22" x14ac:dyDescent="0.2">
      <c r="A1463" s="3"/>
      <c r="B1463" s="45"/>
    </row>
    <row r="1464" spans="1:22" x14ac:dyDescent="0.2">
      <c r="A1464" s="2"/>
      <c r="B1464" s="44"/>
      <c r="C1464" s="2"/>
      <c r="D1464" s="2"/>
      <c r="E1464" s="2"/>
      <c r="F1464" s="2"/>
      <c r="G1464" s="2"/>
      <c r="H1464" s="2"/>
      <c r="I1464" s="2"/>
      <c r="J1464" s="2"/>
      <c r="K1464" s="2"/>
      <c r="L1464" s="2"/>
      <c r="M1464" s="2"/>
      <c r="N1464" s="2"/>
      <c r="O1464" s="2"/>
      <c r="P1464" s="2"/>
      <c r="Q1464" s="2"/>
      <c r="R1464" s="2"/>
      <c r="S1464" s="2"/>
      <c r="T1464" s="2"/>
      <c r="U1464" s="2"/>
      <c r="V1464" s="2"/>
    </row>
    <row r="1465" spans="1:22" x14ac:dyDescent="0.2">
      <c r="B1465" s="45"/>
    </row>
    <row r="1466" spans="1:22" x14ac:dyDescent="0.2">
      <c r="B1466" s="53"/>
      <c r="O1466" s="15"/>
    </row>
    <row r="1467" spans="1:22" x14ac:dyDescent="0.2">
      <c r="B1467" s="53"/>
      <c r="O1467" s="15"/>
    </row>
    <row r="1468" spans="1:22" x14ac:dyDescent="0.2">
      <c r="B1468" s="45"/>
      <c r="O1468" s="15"/>
    </row>
    <row r="1469" spans="1:22" x14ac:dyDescent="0.2">
      <c r="B1469" s="53"/>
      <c r="O1469" s="15"/>
    </row>
    <row r="1470" spans="1:22" x14ac:dyDescent="0.2">
      <c r="B1470" s="52"/>
      <c r="O1470" s="15"/>
    </row>
    <row r="1471" spans="1:22" x14ac:dyDescent="0.2">
      <c r="B1471" s="53"/>
      <c r="O1471" s="15"/>
    </row>
    <row r="1473" spans="1:2" x14ac:dyDescent="0.2">
      <c r="A1473" s="2"/>
      <c r="B1473" s="44"/>
    </row>
    <row r="1474" spans="1:2" x14ac:dyDescent="0.2">
      <c r="B1474" s="45"/>
    </row>
    <row r="1475" spans="1:2" x14ac:dyDescent="0.2">
      <c r="B1475" s="45"/>
    </row>
    <row r="1476" spans="1:2" x14ac:dyDescent="0.2">
      <c r="B1476" s="45"/>
    </row>
    <row r="1477" spans="1:2" x14ac:dyDescent="0.2">
      <c r="B1477" s="45"/>
    </row>
    <row r="1478" spans="1:2" x14ac:dyDescent="0.2">
      <c r="B1478" s="45"/>
    </row>
    <row r="1479" spans="1:2" x14ac:dyDescent="0.2">
      <c r="B1479" s="45"/>
    </row>
    <row r="1480" spans="1:2" x14ac:dyDescent="0.2">
      <c r="B1480" s="45"/>
    </row>
    <row r="1481" spans="1:2" x14ac:dyDescent="0.2">
      <c r="B1481" s="45"/>
    </row>
    <row r="1482" spans="1:2" x14ac:dyDescent="0.2">
      <c r="B1482" s="45"/>
    </row>
    <row r="1483" spans="1:2" x14ac:dyDescent="0.2">
      <c r="B1483" s="45"/>
    </row>
    <row r="1484" spans="1:2" x14ac:dyDescent="0.2">
      <c r="B1484" s="45"/>
    </row>
    <row r="1485" spans="1:2" x14ac:dyDescent="0.2">
      <c r="B1485" s="45"/>
    </row>
    <row r="1486" spans="1:2" x14ac:dyDescent="0.2">
      <c r="B1486" s="45"/>
    </row>
    <row r="1487" spans="1:2" x14ac:dyDescent="0.2">
      <c r="B1487" s="45"/>
    </row>
    <row r="1488" spans="1:2" x14ac:dyDescent="0.2">
      <c r="B1488" s="45"/>
    </row>
    <row r="1489" spans="1:22" x14ac:dyDescent="0.2">
      <c r="B1489" s="45"/>
    </row>
    <row r="1490" spans="1:22" x14ac:dyDescent="0.2">
      <c r="B1490" s="45"/>
    </row>
    <row r="1491" spans="1:22" x14ac:dyDescent="0.2">
      <c r="B1491" s="45"/>
    </row>
    <row r="1492" spans="1:22" x14ac:dyDescent="0.2">
      <c r="B1492" s="66"/>
    </row>
    <row r="1493" spans="1:22" x14ac:dyDescent="0.2">
      <c r="B1493" s="49"/>
    </row>
    <row r="1494" spans="1:22" x14ac:dyDescent="0.2">
      <c r="B1494" s="45"/>
    </row>
    <row r="1495" spans="1:22" x14ac:dyDescent="0.2">
      <c r="A1495" s="3"/>
      <c r="B1495" s="45"/>
    </row>
    <row r="1496" spans="1:22" x14ac:dyDescent="0.2">
      <c r="A1496" s="2"/>
      <c r="B1496" s="44"/>
      <c r="C1496" s="2"/>
      <c r="D1496" s="2"/>
      <c r="E1496" s="2"/>
      <c r="F1496" s="2"/>
      <c r="G1496" s="2"/>
      <c r="H1496" s="2"/>
      <c r="I1496" s="2"/>
      <c r="J1496" s="2"/>
      <c r="K1496" s="2"/>
      <c r="L1496" s="2"/>
      <c r="M1496" s="2"/>
      <c r="N1496" s="2"/>
      <c r="O1496" s="2"/>
      <c r="P1496" s="2"/>
      <c r="Q1496" s="2"/>
      <c r="R1496" s="2"/>
      <c r="S1496" s="2"/>
      <c r="T1496" s="2"/>
      <c r="U1496" s="2"/>
      <c r="V1496" s="2"/>
    </row>
    <row r="1497" spans="1:22" x14ac:dyDescent="0.2">
      <c r="B1497" s="45"/>
    </row>
    <row r="1498" spans="1:22" x14ac:dyDescent="0.2">
      <c r="B1498" s="53"/>
      <c r="O1498" s="15"/>
    </row>
    <row r="1499" spans="1:22" x14ac:dyDescent="0.2">
      <c r="B1499" s="53"/>
      <c r="O1499" s="15"/>
    </row>
    <row r="1500" spans="1:22" x14ac:dyDescent="0.2">
      <c r="B1500" s="45"/>
      <c r="O1500" s="15"/>
    </row>
    <row r="1501" spans="1:22" x14ac:dyDescent="0.2">
      <c r="B1501" s="45"/>
      <c r="O1501" s="15"/>
    </row>
    <row r="1502" spans="1:22" x14ac:dyDescent="0.2">
      <c r="B1502" s="53"/>
      <c r="O1502" s="15"/>
    </row>
    <row r="1503" spans="1:22" x14ac:dyDescent="0.2">
      <c r="B1503" s="52"/>
      <c r="O1503" s="15"/>
    </row>
    <row r="1504" spans="1:22" x14ac:dyDescent="0.2">
      <c r="B1504" s="52"/>
      <c r="O1504" s="15"/>
    </row>
    <row r="1505" spans="1:15" x14ac:dyDescent="0.2">
      <c r="B1505" s="53"/>
      <c r="O1505" s="15"/>
    </row>
    <row r="1506" spans="1:15" x14ac:dyDescent="0.2">
      <c r="B1506" s="45"/>
    </row>
    <row r="1507" spans="1:15" x14ac:dyDescent="0.2">
      <c r="A1507" s="2"/>
      <c r="B1507" s="44"/>
    </row>
    <row r="1508" spans="1:15" x14ac:dyDescent="0.2">
      <c r="B1508" s="45"/>
    </row>
    <row r="1509" spans="1:15" x14ac:dyDescent="0.2">
      <c r="B1509" s="45"/>
    </row>
    <row r="1510" spans="1:15" x14ac:dyDescent="0.2">
      <c r="B1510" s="45"/>
    </row>
    <row r="1511" spans="1:15" x14ac:dyDescent="0.2">
      <c r="B1511" s="45"/>
    </row>
    <row r="1512" spans="1:15" x14ac:dyDescent="0.2">
      <c r="B1512" s="45"/>
    </row>
    <row r="1513" spans="1:15" x14ac:dyDescent="0.2">
      <c r="B1513" s="45"/>
    </row>
    <row r="1514" spans="1:15" x14ac:dyDescent="0.2">
      <c r="B1514" s="45"/>
    </row>
    <row r="1515" spans="1:15" x14ac:dyDescent="0.2">
      <c r="B1515" s="45"/>
    </row>
    <row r="1516" spans="1:15" x14ac:dyDescent="0.2">
      <c r="B1516" s="45"/>
    </row>
    <row r="1517" spans="1:15" x14ac:dyDescent="0.2">
      <c r="B1517" s="45"/>
    </row>
    <row r="1518" spans="1:15" x14ac:dyDescent="0.2">
      <c r="B1518" s="45"/>
    </row>
    <row r="1519" spans="1:15" x14ac:dyDescent="0.2">
      <c r="B1519" s="45"/>
    </row>
    <row r="1520" spans="1:15" x14ac:dyDescent="0.2">
      <c r="B1520" s="45"/>
    </row>
    <row r="1521" spans="1:22" x14ac:dyDescent="0.2">
      <c r="B1521" s="45"/>
    </row>
    <row r="1522" spans="1:22" x14ac:dyDescent="0.2">
      <c r="B1522" s="45"/>
    </row>
    <row r="1523" spans="1:22" x14ac:dyDescent="0.2">
      <c r="B1523" s="45"/>
    </row>
    <row r="1524" spans="1:22" x14ac:dyDescent="0.2">
      <c r="B1524" s="45"/>
    </row>
    <row r="1525" spans="1:22" x14ac:dyDescent="0.2">
      <c r="B1525" s="45"/>
    </row>
    <row r="1526" spans="1:22" x14ac:dyDescent="0.2">
      <c r="B1526" s="66"/>
    </row>
    <row r="1527" spans="1:22" x14ac:dyDescent="0.2">
      <c r="B1527" s="49"/>
    </row>
    <row r="1528" spans="1:22" x14ac:dyDescent="0.2">
      <c r="B1528" s="45"/>
    </row>
    <row r="1529" spans="1:22" x14ac:dyDescent="0.2">
      <c r="A1529" s="3"/>
      <c r="B1529" s="45"/>
    </row>
    <row r="1530" spans="1:22" x14ac:dyDescent="0.2">
      <c r="A1530" s="2"/>
      <c r="B1530" s="44"/>
      <c r="C1530" s="2"/>
      <c r="D1530" s="2"/>
      <c r="E1530" s="2"/>
      <c r="F1530" s="2"/>
      <c r="G1530" s="2"/>
      <c r="H1530" s="2"/>
      <c r="I1530" s="2"/>
      <c r="J1530" s="2"/>
      <c r="K1530" s="2"/>
      <c r="L1530" s="2"/>
      <c r="M1530" s="2"/>
      <c r="N1530" s="2"/>
      <c r="O1530" s="2"/>
      <c r="P1530" s="2"/>
      <c r="Q1530" s="2"/>
      <c r="R1530" s="2"/>
      <c r="S1530" s="2"/>
      <c r="T1530" s="2"/>
      <c r="U1530" s="2"/>
      <c r="V1530" s="2"/>
    </row>
    <row r="1531" spans="1:22" x14ac:dyDescent="0.2">
      <c r="B1531" s="45"/>
    </row>
    <row r="1532" spans="1:22" x14ac:dyDescent="0.2">
      <c r="B1532" s="53"/>
      <c r="O1532" s="15"/>
    </row>
    <row r="1533" spans="1:22" x14ac:dyDescent="0.2">
      <c r="B1533" s="53"/>
      <c r="O1533" s="15"/>
    </row>
    <row r="1534" spans="1:22" x14ac:dyDescent="0.2">
      <c r="B1534" s="45"/>
      <c r="O1534" s="15"/>
    </row>
    <row r="1535" spans="1:22" x14ac:dyDescent="0.2">
      <c r="B1535" s="53"/>
      <c r="O1535" s="15"/>
    </row>
    <row r="1536" spans="1:22" x14ac:dyDescent="0.2">
      <c r="B1536" s="52"/>
      <c r="O1536" s="15"/>
    </row>
    <row r="1537" spans="2:15" x14ac:dyDescent="0.2">
      <c r="B1537" s="53"/>
      <c r="O1537" s="15"/>
    </row>
  </sheetData>
  <autoFilter ref="A1:V1537" xr:uid="{E3801355-8527-6349-965C-0A4E4EC0971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8B59D-02B8-ED44-8FBC-F0A60FD5A175}">
  <sheetPr filterMode="1"/>
  <dimension ref="A1:V416"/>
  <sheetViews>
    <sheetView workbookViewId="0">
      <selection activeCell="F441" sqref="F441"/>
    </sheetView>
  </sheetViews>
  <sheetFormatPr baseColWidth="10" defaultRowHeight="16" x14ac:dyDescent="0.2"/>
  <cols>
    <col min="1" max="1" width="70.33203125" customWidth="1"/>
    <col min="2" max="2" width="12.1640625" style="45" bestFit="1" customWidth="1"/>
    <col min="7" max="7" width="32.6640625" bestFit="1" customWidth="1"/>
    <col min="8" max="8" width="18.33203125" bestFit="1" customWidth="1"/>
    <col min="10" max="10" width="25.83203125" customWidth="1"/>
  </cols>
  <sheetData>
    <row r="1" spans="1:2" x14ac:dyDescent="0.2">
      <c r="A1" s="2" t="s">
        <v>50</v>
      </c>
      <c r="B1" s="44" t="str">
        <f>IF(B7="megajoule","heat","electricity")&amp;", residential, by "&amp;B12&amp;" of "&amp;B11&amp;" using "&amp;B13&amp;IF(B14&lt;&gt;0,"allocated by "&amp;B14,"")&amp;", transported by "&amp;B15&amp;", produced by "&amp;B19&amp;" using "&amp;B20&amp;" from "&amp;B21&amp;" and carbon sourced from "&amp;B22</f>
        <v>heat, residential, by combustion of synthetic natural gas from biological methanation using boiler, transported by pipeline, produced by Electrolysis, PEM using water and electricity from grid and carbon sourced from DAC</v>
      </c>
    </row>
    <row r="2" spans="1:2" hidden="1" x14ac:dyDescent="0.2">
      <c r="A2" t="s">
        <v>51</v>
      </c>
      <c r="B2" s="45" t="str">
        <f>"This dataset represents the supply of 1 "&amp;IF(B7="megajoule","megajoule of heat","kilowatt hour of electricity")&amp;" in a residence, by "&amp;B11&amp;" "&amp;B12&amp;" in a "&amp;B13&amp;". "&amp;" The "&amp;B11&amp;" is produced by  "&amp;B19&amp;", with "&amp;B20&amp;" from "&amp;B21&amp;" as feedstock. The carbon is sourced from "&amp;B22&amp;".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synthetic natural gas from biological methanation combustion in a boiler.  The synthetic natural gas from biological methanation is produced by  Electrolysis, PEM, with water and electricity from grid as feedstock. The carbon is sourced from DAC. Heat conversion efficiency [% LHV input]: 111.111111111111%. LHV [MJ/kg]: 47.5. Market price [€/MJ]: 0.0266666666666667. Distribution loss [% output]: 0.019%. Storage loss [% output]: 0%. Synthesis efficiency [% LHV input]: 0%. Hydrogen production efficiency [% LHV input]: 0. Grid loss [%]: 0.06. CO2 biogenic share [%]: 100%. Power [kW]: 15. Lifetime [years]: 20. Annual operation [hours]: 2100. : .  For more information, refer to: Sacchi, R. and Bauer, C. Life Cycle Assessment of Power-to-X processes and associated electricity and heat applications in the residential sector. Paul Scherrer Institut, 2023.</v>
      </c>
    </row>
    <row r="3" spans="1:2" hidden="1" x14ac:dyDescent="0.2">
      <c r="A3" t="s">
        <v>63</v>
      </c>
      <c r="B3" s="45" t="s">
        <v>1223</v>
      </c>
    </row>
    <row r="4" spans="1:2" hidden="1" x14ac:dyDescent="0.2">
      <c r="A4" t="s">
        <v>52</v>
      </c>
      <c r="B4" s="45" t="s">
        <v>64</v>
      </c>
    </row>
    <row r="5" spans="1:2" hidden="1" x14ac:dyDescent="0.2">
      <c r="A5" t="s">
        <v>48</v>
      </c>
      <c r="B5" s="45">
        <v>177</v>
      </c>
    </row>
    <row r="6" spans="1:2" hidden="1" x14ac:dyDescent="0.2">
      <c r="A6" t="s">
        <v>54</v>
      </c>
      <c r="B6" s="45" t="str">
        <f>INDEX(overview!$B$4:$R$338,MATCH(B5,overview!$A$4:$A$338,0),MATCH(A6,overview!$B$3:$R$3,0))</f>
        <v>heat, from residential heating system</v>
      </c>
    </row>
    <row r="7" spans="1:2" hidden="1" x14ac:dyDescent="0.2">
      <c r="A7" t="s">
        <v>55</v>
      </c>
      <c r="B7" s="45" t="str">
        <f>INDEX(overview!$B$4:$R$338,MATCH(B5,overview!$A$4:$A$338,0),MATCH(A7,overview!$B$3:$R$3,0))</f>
        <v>megajoule</v>
      </c>
    </row>
    <row r="8" spans="1:2" hidden="1" x14ac:dyDescent="0.2">
      <c r="A8" t="s">
        <v>0</v>
      </c>
      <c r="B8" s="45" t="str">
        <f>INDEX(overview!$B$4:$R$338,MATCH(B5,overview!$A$4:$A$338,0),MATCH(A8,overview!$B$3:$R$3,0))</f>
        <v>Switzerland</v>
      </c>
    </row>
    <row r="9" spans="1:2" hidden="1" x14ac:dyDescent="0.2">
      <c r="A9" t="s">
        <v>1</v>
      </c>
      <c r="B9" s="45">
        <f>INDEX(overview!$B$4:$R$338,MATCH(B5,overview!$A$4:$A$338,0),MATCH(A9,overview!$B$3:$R$3,0))</f>
        <v>2020</v>
      </c>
    </row>
    <row r="10" spans="1:2" hidden="1" x14ac:dyDescent="0.2">
      <c r="A10" t="s">
        <v>2</v>
      </c>
      <c r="B10" s="45" t="str">
        <f>INDEX(overview!$B$4:$R$338,MATCH(B5,overview!$A$4:$A$338,0),MATCH(A10,overview!$B$3:$R$3,0))</f>
        <v>1 MJ heat</v>
      </c>
    </row>
    <row r="11" spans="1:2" hidden="1" x14ac:dyDescent="0.2">
      <c r="A11" t="s">
        <v>5</v>
      </c>
      <c r="B11" s="45" t="str">
        <f>INDEX(overview!$B$4:$R$338,MATCH(B5,overview!$A$4:$A$338,0),MATCH(A11,overview!$B$3:$R$3,0))</f>
        <v>synthetic natural gas from biological methanation</v>
      </c>
    </row>
    <row r="12" spans="1:2" hidden="1" x14ac:dyDescent="0.2">
      <c r="A12" t="s">
        <v>3</v>
      </c>
      <c r="B12" s="45" t="str">
        <f>INDEX(overview!$B$4:$R$338,MATCH(B5,overview!$A$4:$A$338,0),MATCH(A12,overview!$B$3:$R$3,0))</f>
        <v>combustion</v>
      </c>
    </row>
    <row r="13" spans="1:2" hidden="1" x14ac:dyDescent="0.2">
      <c r="A13" t="s">
        <v>6</v>
      </c>
      <c r="B13" s="45" t="str">
        <f>INDEX(overview!$B$4:$R$338,MATCH(B5,overview!$A$4:$A$338,0),MATCH(A13,overview!$B$3:$R$3,0))</f>
        <v>boiler</v>
      </c>
    </row>
    <row r="14" spans="1:2" hidden="1" x14ac:dyDescent="0.2">
      <c r="A14" t="s">
        <v>39</v>
      </c>
      <c r="B14" s="45">
        <f>INDEX(overview!$B$4:$R$338,MATCH(B5,overview!$A$4:$A$338,0),MATCH(A14,overview!$B$3:$R$3,0))</f>
        <v>0</v>
      </c>
    </row>
    <row r="15" spans="1:2" hidden="1" x14ac:dyDescent="0.2">
      <c r="A15" t="s">
        <v>4</v>
      </c>
      <c r="B15" s="45" t="str">
        <f>INDEX(overview!$B$4:$R$338,MATCH(B5,overview!$A$4:$A$338,0),MATCH(A15,overview!$B$3:$R$3,0))</f>
        <v>pipeline</v>
      </c>
    </row>
    <row r="16" spans="1:2" hidden="1" x14ac:dyDescent="0.2">
      <c r="A16" t="s">
        <v>38</v>
      </c>
      <c r="B16" s="45">
        <f>INDEX(overview!$B$4:$R$338,MATCH(B5,overview!$A$4:$A$338,0),MATCH(A16,overview!$B$3:$R$3,0))</f>
        <v>500</v>
      </c>
    </row>
    <row r="17" spans="1:2" hidden="1" x14ac:dyDescent="0.2">
      <c r="A17" t="s">
        <v>12</v>
      </c>
      <c r="B17" s="45" t="str">
        <f>INDEX(overview!$B$4:$R$338,MATCH(B5,overview!$A$4:$A$338,0),MATCH(A17,overview!$B$3:$R$3,0))</f>
        <v>Above surface pressure vessel</v>
      </c>
    </row>
    <row r="18" spans="1:2" hidden="1" x14ac:dyDescent="0.2">
      <c r="A18" t="s">
        <v>34</v>
      </c>
      <c r="B18" s="45" t="str">
        <f>INDEX(overview!$B$4:$R$338,MATCH(B5,overview!$A$4:$A$338,0),MATCH(A18,overview!$B$3:$R$3,0))</f>
        <v>biological</v>
      </c>
    </row>
    <row r="19" spans="1:2" hidden="1" x14ac:dyDescent="0.2">
      <c r="A19" t="s">
        <v>15</v>
      </c>
      <c r="B19" s="45" t="str">
        <f>INDEX(overview!$B$4:$R$338,MATCH(B5,overview!$A$4:$A$338,0),MATCH(A19,overview!$B$3:$R$3,0))</f>
        <v>Electrolysis, PEM</v>
      </c>
    </row>
    <row r="20" spans="1:2" hidden="1" x14ac:dyDescent="0.2">
      <c r="A20" t="s">
        <v>14</v>
      </c>
      <c r="B20" s="45" t="str">
        <f>INDEX(overview!$B$4:$R$338,MATCH(B5,overview!$A$4:$A$338,0),MATCH(A20,overview!$B$3:$R$3,0))</f>
        <v>water and electricity</v>
      </c>
    </row>
    <row r="21" spans="1:2" hidden="1" x14ac:dyDescent="0.2">
      <c r="A21" t="s">
        <v>26</v>
      </c>
      <c r="B21" s="45" t="str">
        <f>INDEX(overview!$B$4:$R$338,MATCH(B5,overview!$A$4:$A$338,0),MATCH(A21,overview!$B$3:$R$3,0))</f>
        <v>grid</v>
      </c>
    </row>
    <row r="22" spans="1:2" hidden="1" x14ac:dyDescent="0.2">
      <c r="A22" t="s">
        <v>29</v>
      </c>
      <c r="B22" s="45" t="str">
        <f>INDEX(overview!$B$4:$R$338,MATCH(B5,overview!$A$4:$A$338,0),MATCH(A22,overview!$B$3:$R$3,0))</f>
        <v>DAC</v>
      </c>
    </row>
    <row r="23" spans="1:2" hidden="1" x14ac:dyDescent="0.2">
      <c r="A23" t="s">
        <v>632</v>
      </c>
      <c r="B23" s="46">
        <f>INDEX(parameters!$D$4:$N$20,MATCH(B11&amp;B13,parameters!$A$4:$A$20,0),MATCH(A23,parameters!$D$3:$N$3,0))</f>
        <v>1.1111111111111112</v>
      </c>
    </row>
    <row r="24" spans="1:2" hidden="1" x14ac:dyDescent="0.2">
      <c r="A24" t="s">
        <v>40</v>
      </c>
      <c r="B24" s="47">
        <f>INDEX(parameters!$D$4:$N$20,MATCH(B11&amp;B13,parameters!$A$4:$A$20,0),MATCH(A24,parameters!$D$3:$N$3,0))</f>
        <v>47.5</v>
      </c>
    </row>
    <row r="25" spans="1:2" hidden="1" x14ac:dyDescent="0.2">
      <c r="A25" t="s">
        <v>41</v>
      </c>
      <c r="B25" s="48">
        <f>INDEX(parameters!$D$4:$N$20,MATCH(B11&amp;B13,parameters!$A$4:$A$20,0),MATCH(A25,parameters!$D$3:$N$3,0))</f>
        <v>2.6666666666666665E-2</v>
      </c>
    </row>
    <row r="26" spans="1:2" hidden="1" x14ac:dyDescent="0.2">
      <c r="A26" t="s">
        <v>45</v>
      </c>
      <c r="B26" s="49">
        <f>INDEX(parameters!$D$4:$N$20,MATCH(B11&amp;B13,parameters!$A$4:$A$20,0),MATCH(A26,parameters!$D$3:$N$3,0))</f>
        <v>1.9000000000000001E-4</v>
      </c>
    </row>
    <row r="27" spans="1:2" hidden="1" x14ac:dyDescent="0.2">
      <c r="A27" t="s">
        <v>46</v>
      </c>
      <c r="B27" s="49">
        <f>INDEX(parameters!$D$4:$N$20,MATCH(B11&amp;B13,parameters!$A$4:$A$20,0),MATCH(A27,parameters!$D$3:$N$3,0))</f>
        <v>0</v>
      </c>
    </row>
    <row r="28" spans="1:2" hidden="1" x14ac:dyDescent="0.2">
      <c r="A28" t="s">
        <v>43</v>
      </c>
      <c r="B28" s="49">
        <f>INDEX(parameters!$D$4:$N$20,MATCH(B11&amp;B13,parameters!$A$4:$A$20,0),MATCH(A28,parameters!$D$3:$N$3,0))</f>
        <v>0</v>
      </c>
    </row>
    <row r="29" spans="1:2" hidden="1" x14ac:dyDescent="0.2">
      <c r="A29" t="s">
        <v>44</v>
      </c>
      <c r="B29" s="49">
        <f>INDEX(parameters!$D$4:$N$20,MATCH(B11&amp;B13,parameters!$A$4:$A$20,0),MATCH(A29,parameters!$D$3:$N$3,0))</f>
        <v>0</v>
      </c>
    </row>
    <row r="30" spans="1:2" hidden="1" x14ac:dyDescent="0.2">
      <c r="A30" t="s">
        <v>47</v>
      </c>
      <c r="B30" s="49">
        <f>INDEX(parameters!$D$4:$N$20,MATCH(B11&amp;B13,parameters!$A$4:$A$20,0),MATCH(A30,parameters!$D$3:$N$3,0))</f>
        <v>0.06</v>
      </c>
    </row>
    <row r="31" spans="1:2" hidden="1" x14ac:dyDescent="0.2">
      <c r="A31" t="s">
        <v>82</v>
      </c>
      <c r="B31" s="46">
        <f>IF(B22&lt;&gt;0,VLOOKUP(B22,parameters!$A$26:$B$28,2,0),"")</f>
        <v>1</v>
      </c>
    </row>
    <row r="32" spans="1:2" hidden="1" x14ac:dyDescent="0.2">
      <c r="A32" t="s">
        <v>548</v>
      </c>
      <c r="B32" s="50">
        <f>INDEX(parameters!$D$4:$P$20,MATCH(B11&amp;B13,parameters!$A$4:$A$20,0),MATCH(A32,parameters!$D$3:$P$3,0))</f>
        <v>15</v>
      </c>
    </row>
    <row r="33" spans="1:22" hidden="1" x14ac:dyDescent="0.2">
      <c r="A33" t="s">
        <v>547</v>
      </c>
      <c r="B33" s="51">
        <f>INDEX(parameters!$D$4:$P$20,MATCH(B11&amp;B13,parameters!$A$4:$A$20,0),MATCH(A33,parameters!$D$3:$P$3,0))</f>
        <v>20</v>
      </c>
    </row>
    <row r="34" spans="1:22" hidden="1" x14ac:dyDescent="0.2">
      <c r="A34" t="s">
        <v>630</v>
      </c>
      <c r="B34" s="51">
        <f>INDEX(parameters!$D$4:$T$20,MATCH(B11&amp;B13,parameters!$A$4:$A$20,0),MATCH(A34,parameters!$D$3:$T$3,0))</f>
        <v>2100</v>
      </c>
    </row>
    <row r="35" spans="1:22" hidden="1" x14ac:dyDescent="0.2"/>
    <row r="36" spans="1:22" hidden="1" x14ac:dyDescent="0.2">
      <c r="A36" s="3" t="s">
        <v>57</v>
      </c>
    </row>
    <row r="37" spans="1:22" hidden="1" x14ac:dyDescent="0.2">
      <c r="A37" s="2" t="s">
        <v>58</v>
      </c>
      <c r="B37" s="44" t="s">
        <v>59</v>
      </c>
      <c r="C37" s="2" t="s">
        <v>55</v>
      </c>
      <c r="D37" s="2" t="s">
        <v>60</v>
      </c>
      <c r="E37" s="2" t="s">
        <v>52</v>
      </c>
      <c r="F37" s="2" t="s">
        <v>61</v>
      </c>
      <c r="G37" s="2" t="s">
        <v>54</v>
      </c>
      <c r="H37" s="2" t="s">
        <v>87</v>
      </c>
      <c r="I37" s="2" t="s">
        <v>51</v>
      </c>
      <c r="J37" s="2" t="s">
        <v>138</v>
      </c>
      <c r="K37" s="2" t="s">
        <v>136</v>
      </c>
      <c r="L37" s="2" t="s">
        <v>221</v>
      </c>
      <c r="M37" s="2" t="s">
        <v>379</v>
      </c>
      <c r="N37" s="2" t="s">
        <v>1059</v>
      </c>
      <c r="O37" s="2" t="s">
        <v>1060</v>
      </c>
      <c r="P37" s="2" t="s">
        <v>1061</v>
      </c>
      <c r="Q37" s="2" t="s">
        <v>1062</v>
      </c>
      <c r="R37" s="2" t="s">
        <v>1063</v>
      </c>
      <c r="S37" s="2" t="s">
        <v>1064</v>
      </c>
      <c r="T37" s="2" t="s">
        <v>1065</v>
      </c>
      <c r="U37" s="2" t="s">
        <v>380</v>
      </c>
      <c r="V37" s="2" t="s">
        <v>1128</v>
      </c>
    </row>
    <row r="38" spans="1:22" x14ac:dyDescent="0.2">
      <c r="A38" t="str">
        <f>B1</f>
        <v>heat, residential, by combustion of synthetic natural gas from biological methanation using boiler, transported by pipeline, produced by Electrolysis, PEM using water and electricity from grid and carbon sourced from DAC</v>
      </c>
      <c r="B38" s="45">
        <v>1</v>
      </c>
      <c r="C38" t="str">
        <f>B7</f>
        <v>megajoule</v>
      </c>
      <c r="E38" t="str">
        <f>B4</f>
        <v>CH</v>
      </c>
      <c r="F38" t="s">
        <v>62</v>
      </c>
      <c r="G38" t="str">
        <f>B6</f>
        <v>heat, from residential heating system</v>
      </c>
      <c r="K38" t="str">
        <f>B1</f>
        <v>heat, residential, by combustion of synthetic natural gas from biological methanation using boiler, transported by pipeline, produced by Electrolysis, PEM using water and electricity from grid and carbon sourced from DAC</v>
      </c>
    </row>
    <row r="39" spans="1:22" hidden="1" x14ac:dyDescent="0.2">
      <c r="A39" t="s">
        <v>83</v>
      </c>
      <c r="B39" s="52">
        <f>1/(B32*B34*B33*3.6)</f>
        <v>4.4091710758377425E-7</v>
      </c>
      <c r="C39" t="s">
        <v>55</v>
      </c>
      <c r="E39" t="s">
        <v>85</v>
      </c>
      <c r="F39" t="s">
        <v>86</v>
      </c>
      <c r="G39" t="s">
        <v>84</v>
      </c>
      <c r="H39" t="s">
        <v>88</v>
      </c>
      <c r="K39" t="str">
        <f>B1</f>
        <v>heat, residential, by combustion of synthetic natural gas from biological methanation using boiler, transported by pipeline, produced by Electrolysis, PEM using water and electricity from grid and carbon sourced from DAC</v>
      </c>
      <c r="L39">
        <f t="shared" ref="L39" si="0">IF(OR(B39&lt;0,B39=0),1,2)</f>
        <v>2</v>
      </c>
      <c r="M39">
        <f t="shared" ref="M39" si="1">IF(L39=2,LN(B39),"")</f>
        <v>-14.634408943829779</v>
      </c>
      <c r="N39">
        <v>1.05</v>
      </c>
      <c r="O39">
        <v>1.2</v>
      </c>
      <c r="P39">
        <v>1</v>
      </c>
      <c r="Q39">
        <v>1.01</v>
      </c>
      <c r="R39">
        <v>1.2</v>
      </c>
      <c r="S39">
        <v>1.2</v>
      </c>
      <c r="T39">
        <v>3</v>
      </c>
      <c r="U39">
        <f t="shared" ref="U39:U68" si="2">LN(SQRT(EXP(
SQRT(
+POWER(LN(N39),2)
+POWER(LN(O39),2)
+POWER(LN(P39),2)
+POWER(LN(Q39),2)
+POWER(LN(R39),2)
+POWER(LN(S39),2)
+POWER(LN(T39),2)
)
)))</f>
        <v>0.57209088006881903</v>
      </c>
    </row>
    <row r="40" spans="1:22" hidden="1" x14ac:dyDescent="0.2">
      <c r="A40" t="s">
        <v>500</v>
      </c>
      <c r="B40" s="52">
        <f>B39*2</f>
        <v>8.8183421516754851E-7</v>
      </c>
      <c r="C40" t="s">
        <v>267</v>
      </c>
      <c r="E40" t="s">
        <v>85</v>
      </c>
      <c r="F40" t="s">
        <v>86</v>
      </c>
      <c r="G40" t="s">
        <v>501</v>
      </c>
      <c r="H40" t="s">
        <v>88</v>
      </c>
      <c r="I40" t="s">
        <v>621</v>
      </c>
      <c r="K40" t="str">
        <f>B1</f>
        <v>heat, residential, by combustion of synthetic natural gas from biological methanation using boiler, transported by pipeline, produced by Electrolysis, PEM using water and electricity from grid and carbon sourced from DAC</v>
      </c>
      <c r="L40">
        <f t="shared" ref="L40:L68" si="3">IF(OR(B40&lt;0,B40=0),1,2)</f>
        <v>2</v>
      </c>
      <c r="M40">
        <f t="shared" ref="M40:M68" si="4">IF(L40=2,LN(B40),"")</f>
        <v>-13.941261763269834</v>
      </c>
      <c r="N40">
        <v>1.05</v>
      </c>
      <c r="O40">
        <v>1.2</v>
      </c>
      <c r="P40">
        <v>1</v>
      </c>
      <c r="Q40">
        <v>1.01</v>
      </c>
      <c r="R40">
        <v>1.2</v>
      </c>
      <c r="S40">
        <v>1.2</v>
      </c>
      <c r="T40">
        <v>3</v>
      </c>
      <c r="U40">
        <f t="shared" si="2"/>
        <v>0.57209088006881903</v>
      </c>
    </row>
    <row r="41" spans="1:22" hidden="1" x14ac:dyDescent="0.2">
      <c r="A41" t="s">
        <v>130</v>
      </c>
      <c r="B41" s="52">
        <v>2.64E-3</v>
      </c>
      <c r="C41" t="s">
        <v>92</v>
      </c>
      <c r="E41" t="s">
        <v>64</v>
      </c>
      <c r="F41" t="s">
        <v>86</v>
      </c>
      <c r="G41" t="s">
        <v>93</v>
      </c>
      <c r="H41" t="s">
        <v>78</v>
      </c>
      <c r="I41" t="s">
        <v>270</v>
      </c>
      <c r="J41" t="s">
        <v>67</v>
      </c>
      <c r="K41" t="str">
        <f>B1</f>
        <v>heat, residential, by combustion of synthetic natural gas from biological methanation using boiler, transported by pipeline, produced by Electrolysis, PEM using water and electricity from grid and carbon sourced from DAC</v>
      </c>
      <c r="L41">
        <f t="shared" si="3"/>
        <v>2</v>
      </c>
      <c r="M41">
        <f t="shared" si="4"/>
        <v>-5.9369763618239126</v>
      </c>
      <c r="N41">
        <v>1.05</v>
      </c>
      <c r="O41">
        <v>1.2</v>
      </c>
      <c r="P41">
        <v>1</v>
      </c>
      <c r="Q41">
        <v>1.01</v>
      </c>
      <c r="R41">
        <v>1.2</v>
      </c>
      <c r="S41">
        <v>1.2</v>
      </c>
      <c r="T41">
        <v>1.05</v>
      </c>
      <c r="U41">
        <f t="shared" si="2"/>
        <v>0.16169679924070957</v>
      </c>
    </row>
    <row r="42" spans="1:22" hidden="1" x14ac:dyDescent="0.2">
      <c r="A42" t="s">
        <v>1164</v>
      </c>
      <c r="B42" s="53">
        <f>(B38/B24)/B23</f>
        <v>1.8947368421052629E-2</v>
      </c>
      <c r="C42" t="str">
        <f>VLOOKUP(J42,'dataset mapping'!$A$4:$E$69,5,0)</f>
        <v>kilogram</v>
      </c>
      <c r="E42" t="str">
        <f>VLOOKUP(J42,'dataset mapping'!$A$4:$E$69,4,0)</f>
        <v>CH</v>
      </c>
      <c r="F42" t="s">
        <v>86</v>
      </c>
      <c r="G42" t="s">
        <v>1157</v>
      </c>
      <c r="H42" t="s">
        <v>1187</v>
      </c>
      <c r="I42" t="s">
        <v>1055</v>
      </c>
      <c r="J42" t="s">
        <v>861</v>
      </c>
      <c r="K42" t="str">
        <f>B1</f>
        <v>heat, residential, by combustion of synthetic natural gas from biological methanation using boiler, transported by pipeline, produced by Electrolysis, PEM using water and electricity from grid and carbon sourced from DAC</v>
      </c>
      <c r="L42">
        <f t="shared" si="3"/>
        <v>2</v>
      </c>
      <c r="M42">
        <f t="shared" si="4"/>
        <v>-3.9660902266984221</v>
      </c>
      <c r="N42">
        <v>1.05</v>
      </c>
      <c r="O42">
        <v>1.2</v>
      </c>
      <c r="P42">
        <v>1</v>
      </c>
      <c r="Q42">
        <v>1.01</v>
      </c>
      <c r="R42">
        <v>1.2</v>
      </c>
      <c r="S42">
        <v>1.2</v>
      </c>
      <c r="T42">
        <v>1.05</v>
      </c>
      <c r="U42">
        <f t="shared" si="2"/>
        <v>0.16169679924070957</v>
      </c>
    </row>
    <row r="43" spans="1:22" hidden="1" x14ac:dyDescent="0.2">
      <c r="A43" t="s">
        <v>311</v>
      </c>
      <c r="B43" s="52">
        <v>9.7999999999999992E-10</v>
      </c>
      <c r="C43" t="s">
        <v>56</v>
      </c>
      <c r="D43" t="s">
        <v>408</v>
      </c>
      <c r="F43" t="s">
        <v>99</v>
      </c>
      <c r="H43" t="s">
        <v>131</v>
      </c>
      <c r="I43" t="s">
        <v>410</v>
      </c>
      <c r="L43">
        <f t="shared" si="3"/>
        <v>2</v>
      </c>
      <c r="M43">
        <f t="shared" si="4"/>
        <v>-20.74346854426393</v>
      </c>
      <c r="N43">
        <v>1.5</v>
      </c>
      <c r="O43">
        <v>1.2</v>
      </c>
      <c r="P43">
        <v>1.5</v>
      </c>
      <c r="Q43">
        <v>1.1000000000000001</v>
      </c>
      <c r="R43">
        <v>2</v>
      </c>
      <c r="S43">
        <v>1.2</v>
      </c>
      <c r="T43">
        <v>1.5</v>
      </c>
      <c r="U43">
        <f t="shared" si="2"/>
        <v>0.51215847306170115</v>
      </c>
    </row>
    <row r="44" spans="1:22" hidden="1" x14ac:dyDescent="0.2">
      <c r="A44" t="s">
        <v>312</v>
      </c>
      <c r="B44" s="52">
        <v>1.4700000000000001E-7</v>
      </c>
      <c r="C44" t="s">
        <v>56</v>
      </c>
      <c r="D44" t="s">
        <v>408</v>
      </c>
      <c r="F44" t="s">
        <v>99</v>
      </c>
      <c r="H44" t="s">
        <v>131</v>
      </c>
      <c r="I44" t="s">
        <v>410</v>
      </c>
      <c r="L44">
        <f t="shared" si="3"/>
        <v>2</v>
      </c>
      <c r="M44">
        <f t="shared" si="4"/>
        <v>-15.732833250167674</v>
      </c>
      <c r="N44">
        <v>1.5</v>
      </c>
      <c r="O44">
        <v>1.2</v>
      </c>
      <c r="P44">
        <v>1.5</v>
      </c>
      <c r="Q44">
        <v>1.1000000000000001</v>
      </c>
      <c r="R44">
        <v>2</v>
      </c>
      <c r="S44">
        <v>1.2</v>
      </c>
      <c r="T44">
        <v>1.5</v>
      </c>
      <c r="U44">
        <f t="shared" si="2"/>
        <v>0.51215847306170115</v>
      </c>
    </row>
    <row r="45" spans="1:22" hidden="1" x14ac:dyDescent="0.2">
      <c r="A45" t="s">
        <v>313</v>
      </c>
      <c r="B45" s="52">
        <v>3.9200000000000002E-7</v>
      </c>
      <c r="C45" t="s">
        <v>56</v>
      </c>
      <c r="D45" t="s">
        <v>408</v>
      </c>
      <c r="F45" t="s">
        <v>99</v>
      </c>
      <c r="H45" t="s">
        <v>131</v>
      </c>
      <c r="I45" t="s">
        <v>410</v>
      </c>
      <c r="L45">
        <f t="shared" si="3"/>
        <v>2</v>
      </c>
      <c r="M45">
        <f t="shared" si="4"/>
        <v>-14.752003997155949</v>
      </c>
      <c r="N45">
        <v>1.5</v>
      </c>
      <c r="O45">
        <v>1.2</v>
      </c>
      <c r="P45">
        <v>1.5</v>
      </c>
      <c r="Q45">
        <v>1.1000000000000001</v>
      </c>
      <c r="R45">
        <v>2</v>
      </c>
      <c r="S45">
        <v>1.2</v>
      </c>
      <c r="T45">
        <v>1.5</v>
      </c>
      <c r="U45">
        <f t="shared" si="2"/>
        <v>0.51215847306170115</v>
      </c>
    </row>
    <row r="46" spans="1:22" hidden="1" x14ac:dyDescent="0.2">
      <c r="A46" t="s">
        <v>314</v>
      </c>
      <c r="B46" s="52">
        <v>9.7999999999999994E-12</v>
      </c>
      <c r="C46" t="s">
        <v>56</v>
      </c>
      <c r="D46" t="s">
        <v>408</v>
      </c>
      <c r="F46" t="s">
        <v>99</v>
      </c>
      <c r="H46" t="s">
        <v>131</v>
      </c>
      <c r="I46" t="s">
        <v>410</v>
      </c>
      <c r="L46">
        <f t="shared" si="3"/>
        <v>2</v>
      </c>
      <c r="M46">
        <f t="shared" si="4"/>
        <v>-25.348638730252024</v>
      </c>
      <c r="N46">
        <v>1.5</v>
      </c>
      <c r="O46">
        <v>1.2</v>
      </c>
      <c r="P46">
        <v>1.5</v>
      </c>
      <c r="Q46">
        <v>1.1000000000000001</v>
      </c>
      <c r="R46">
        <v>2</v>
      </c>
      <c r="S46">
        <v>1.2</v>
      </c>
      <c r="T46">
        <v>1.5</v>
      </c>
      <c r="U46">
        <f t="shared" si="2"/>
        <v>0.51215847306170115</v>
      </c>
    </row>
    <row r="47" spans="1:22" hidden="1" x14ac:dyDescent="0.2">
      <c r="A47" t="s">
        <v>315</v>
      </c>
      <c r="B47" s="52">
        <v>6.8599999999999998E-7</v>
      </c>
      <c r="C47" t="s">
        <v>56</v>
      </c>
      <c r="D47" t="s">
        <v>408</v>
      </c>
      <c r="F47" t="s">
        <v>99</v>
      </c>
      <c r="H47" t="s">
        <v>131</v>
      </c>
      <c r="I47" t="s">
        <v>410</v>
      </c>
      <c r="L47">
        <f t="shared" si="3"/>
        <v>2</v>
      </c>
      <c r="M47">
        <f t="shared" si="4"/>
        <v>-14.192388209220526</v>
      </c>
      <c r="N47">
        <v>1.5</v>
      </c>
      <c r="O47">
        <v>1.2</v>
      </c>
      <c r="P47">
        <v>1.5</v>
      </c>
      <c r="Q47">
        <v>1.1000000000000001</v>
      </c>
      <c r="R47">
        <v>2</v>
      </c>
      <c r="S47">
        <v>1.2</v>
      </c>
      <c r="T47">
        <v>1.5</v>
      </c>
      <c r="U47">
        <f t="shared" si="2"/>
        <v>0.51215847306170115</v>
      </c>
    </row>
    <row r="48" spans="1:22" hidden="1" x14ac:dyDescent="0.2">
      <c r="A48" t="s">
        <v>316</v>
      </c>
      <c r="B48" s="54">
        <f>2.74*B42*(1-B31)</f>
        <v>0</v>
      </c>
      <c r="C48" t="s">
        <v>56</v>
      </c>
      <c r="D48" t="s">
        <v>408</v>
      </c>
      <c r="F48" t="s">
        <v>99</v>
      </c>
      <c r="H48" t="s">
        <v>131</v>
      </c>
      <c r="I48" t="s">
        <v>410</v>
      </c>
      <c r="L48">
        <v>0</v>
      </c>
      <c r="M48" t="str">
        <f t="shared" si="4"/>
        <v/>
      </c>
    </row>
    <row r="49" spans="1:21" hidden="1" x14ac:dyDescent="0.2">
      <c r="A49" t="s">
        <v>371</v>
      </c>
      <c r="B49" s="54">
        <f>2.74*B42*B31</f>
        <v>5.1915789473684207E-2</v>
      </c>
      <c r="C49" t="s">
        <v>56</v>
      </c>
      <c r="D49" t="s">
        <v>408</v>
      </c>
      <c r="F49" t="s">
        <v>99</v>
      </c>
      <c r="H49" t="s">
        <v>131</v>
      </c>
      <c r="I49" t="s">
        <v>410</v>
      </c>
      <c r="L49">
        <f t="shared" si="3"/>
        <v>2</v>
      </c>
      <c r="M49">
        <f t="shared" si="4"/>
        <v>-2.958132306298443</v>
      </c>
      <c r="N49">
        <v>1.5</v>
      </c>
      <c r="O49">
        <v>1.2</v>
      </c>
      <c r="P49">
        <v>1.5</v>
      </c>
      <c r="Q49">
        <v>1.1000000000000001</v>
      </c>
      <c r="R49">
        <v>2</v>
      </c>
      <c r="S49">
        <v>1.2</v>
      </c>
      <c r="T49">
        <v>1.05</v>
      </c>
      <c r="U49">
        <f t="shared" si="2"/>
        <v>0.47095746419981693</v>
      </c>
    </row>
    <row r="50" spans="1:21" hidden="1" x14ac:dyDescent="0.2">
      <c r="A50" t="s">
        <v>400</v>
      </c>
      <c r="B50" s="52">
        <v>5.7819999999999999E-6</v>
      </c>
      <c r="C50" t="s">
        <v>56</v>
      </c>
      <c r="D50" t="s">
        <v>408</v>
      </c>
      <c r="F50" t="s">
        <v>99</v>
      </c>
      <c r="H50" t="s">
        <v>131</v>
      </c>
      <c r="I50" t="s">
        <v>410</v>
      </c>
      <c r="L50">
        <f t="shared" si="3"/>
        <v>2</v>
      </c>
      <c r="M50">
        <f t="shared" si="4"/>
        <v>-12.060760914370119</v>
      </c>
      <c r="N50">
        <v>1.5</v>
      </c>
      <c r="O50">
        <v>1.2</v>
      </c>
      <c r="P50">
        <v>1.5</v>
      </c>
      <c r="Q50">
        <v>1.1000000000000001</v>
      </c>
      <c r="R50">
        <v>2</v>
      </c>
      <c r="S50">
        <v>1.2</v>
      </c>
      <c r="T50">
        <v>5</v>
      </c>
      <c r="U50">
        <f t="shared" si="2"/>
        <v>0.93208283513358414</v>
      </c>
    </row>
    <row r="51" spans="1:21" hidden="1" x14ac:dyDescent="0.2">
      <c r="A51" t="s">
        <v>318</v>
      </c>
      <c r="B51" s="52">
        <v>4.8999999999999997E-7</v>
      </c>
      <c r="C51" t="s">
        <v>56</v>
      </c>
      <c r="D51" t="s">
        <v>408</v>
      </c>
      <c r="F51" t="s">
        <v>99</v>
      </c>
      <c r="H51" t="s">
        <v>131</v>
      </c>
      <c r="I51" t="s">
        <v>410</v>
      </c>
      <c r="L51">
        <f t="shared" si="3"/>
        <v>2</v>
      </c>
      <c r="M51">
        <f t="shared" si="4"/>
        <v>-14.528860445841739</v>
      </c>
      <c r="N51">
        <v>1.5</v>
      </c>
      <c r="O51">
        <v>1.2</v>
      </c>
      <c r="P51">
        <v>1.5</v>
      </c>
      <c r="Q51">
        <v>1.1000000000000001</v>
      </c>
      <c r="R51">
        <v>2</v>
      </c>
      <c r="S51">
        <v>1.2</v>
      </c>
      <c r="T51">
        <v>1.5</v>
      </c>
      <c r="U51">
        <f t="shared" si="2"/>
        <v>0.51215847306170115</v>
      </c>
    </row>
    <row r="52" spans="1:21" hidden="1" x14ac:dyDescent="0.2">
      <c r="A52" t="s">
        <v>401</v>
      </c>
      <c r="B52" s="52">
        <v>2.9400000000000001E-17</v>
      </c>
      <c r="C52" t="s">
        <v>56</v>
      </c>
      <c r="D52" t="s">
        <v>408</v>
      </c>
      <c r="F52" t="s">
        <v>99</v>
      </c>
      <c r="H52" t="s">
        <v>131</v>
      </c>
      <c r="I52" t="s">
        <v>410</v>
      </c>
      <c r="L52">
        <f t="shared" si="3"/>
        <v>2</v>
      </c>
      <c r="M52">
        <f t="shared" si="4"/>
        <v>-38.065536999548186</v>
      </c>
      <c r="N52">
        <v>1.5</v>
      </c>
      <c r="O52">
        <v>1.2</v>
      </c>
      <c r="P52">
        <v>1.5</v>
      </c>
      <c r="Q52">
        <v>1.1000000000000001</v>
      </c>
      <c r="R52">
        <v>2</v>
      </c>
      <c r="S52">
        <v>1.2</v>
      </c>
      <c r="T52">
        <v>1.5</v>
      </c>
      <c r="U52">
        <f t="shared" si="2"/>
        <v>0.51215847306170115</v>
      </c>
    </row>
    <row r="53" spans="1:21" hidden="1" x14ac:dyDescent="0.2">
      <c r="A53" t="s">
        <v>319</v>
      </c>
      <c r="B53" s="52">
        <v>9.8000000000000004E-8</v>
      </c>
      <c r="C53" t="s">
        <v>56</v>
      </c>
      <c r="D53" t="s">
        <v>408</v>
      </c>
      <c r="F53" t="s">
        <v>99</v>
      </c>
      <c r="H53" t="s">
        <v>131</v>
      </c>
      <c r="I53" t="s">
        <v>410</v>
      </c>
      <c r="L53">
        <f t="shared" si="3"/>
        <v>2</v>
      </c>
      <c r="M53">
        <f t="shared" si="4"/>
        <v>-16.13829835827584</v>
      </c>
      <c r="N53">
        <v>1.5</v>
      </c>
      <c r="O53">
        <v>1.2</v>
      </c>
      <c r="P53">
        <v>1.5</v>
      </c>
      <c r="Q53">
        <v>1.1000000000000001</v>
      </c>
      <c r="R53">
        <v>2</v>
      </c>
      <c r="S53">
        <v>1.2</v>
      </c>
      <c r="T53">
        <v>1.5</v>
      </c>
      <c r="U53">
        <f t="shared" si="2"/>
        <v>0.51215847306170115</v>
      </c>
    </row>
    <row r="54" spans="1:21" hidden="1" x14ac:dyDescent="0.2">
      <c r="A54" t="s">
        <v>402</v>
      </c>
      <c r="B54" s="52">
        <v>2.9400000000000003E-11</v>
      </c>
      <c r="C54" t="s">
        <v>56</v>
      </c>
      <c r="D54" t="s">
        <v>408</v>
      </c>
      <c r="F54" t="s">
        <v>99</v>
      </c>
      <c r="H54" t="s">
        <v>131</v>
      </c>
      <c r="I54" t="s">
        <v>410</v>
      </c>
      <c r="L54">
        <f t="shared" si="3"/>
        <v>2</v>
      </c>
      <c r="M54">
        <f t="shared" si="4"/>
        <v>-24.250026441583913</v>
      </c>
      <c r="N54">
        <v>1.5</v>
      </c>
      <c r="O54">
        <v>1.2</v>
      </c>
      <c r="P54">
        <v>1.5</v>
      </c>
      <c r="Q54">
        <v>1.1000000000000001</v>
      </c>
      <c r="R54">
        <v>2</v>
      </c>
      <c r="S54">
        <v>1.2</v>
      </c>
      <c r="T54">
        <v>5</v>
      </c>
      <c r="U54">
        <f t="shared" si="2"/>
        <v>0.93208283513358414</v>
      </c>
    </row>
    <row r="55" spans="1:21" hidden="1" x14ac:dyDescent="0.2">
      <c r="A55" t="s">
        <v>373</v>
      </c>
      <c r="B55" s="52">
        <f>0.00000196*B31</f>
        <v>1.9599999999999999E-6</v>
      </c>
      <c r="C55" t="s">
        <v>56</v>
      </c>
      <c r="D55" t="s">
        <v>408</v>
      </c>
      <c r="F55" t="s">
        <v>99</v>
      </c>
      <c r="H55" t="s">
        <v>131</v>
      </c>
      <c r="I55" t="s">
        <v>410</v>
      </c>
      <c r="L55">
        <f t="shared" si="3"/>
        <v>2</v>
      </c>
      <c r="M55">
        <f t="shared" si="4"/>
        <v>-13.142566084721848</v>
      </c>
      <c r="N55">
        <v>1.5</v>
      </c>
      <c r="O55">
        <v>1.2</v>
      </c>
      <c r="P55">
        <v>1.5</v>
      </c>
      <c r="Q55">
        <v>1.1000000000000001</v>
      </c>
      <c r="R55">
        <v>2</v>
      </c>
      <c r="S55">
        <v>1.2</v>
      </c>
      <c r="T55">
        <v>1.5</v>
      </c>
      <c r="U55">
        <f t="shared" si="2"/>
        <v>0.51215847306170115</v>
      </c>
    </row>
    <row r="56" spans="1:21" hidden="1" x14ac:dyDescent="0.2">
      <c r="A56" t="s">
        <v>320</v>
      </c>
      <c r="B56" s="52">
        <f>0.00000196*(1-B31)</f>
        <v>0</v>
      </c>
      <c r="C56" t="s">
        <v>56</v>
      </c>
      <c r="D56" t="s">
        <v>408</v>
      </c>
      <c r="F56" t="s">
        <v>99</v>
      </c>
      <c r="H56" t="s">
        <v>131</v>
      </c>
      <c r="I56" t="s">
        <v>410</v>
      </c>
      <c r="L56">
        <v>0</v>
      </c>
      <c r="M56" t="str">
        <f t="shared" si="4"/>
        <v/>
      </c>
    </row>
    <row r="57" spans="1:21" hidden="1" x14ac:dyDescent="0.2">
      <c r="A57" t="s">
        <v>135</v>
      </c>
      <c r="B57" s="52">
        <v>9.7019999999999996E-6</v>
      </c>
      <c r="C57" t="s">
        <v>56</v>
      </c>
      <c r="D57" t="s">
        <v>408</v>
      </c>
      <c r="F57" t="s">
        <v>99</v>
      </c>
      <c r="H57" t="s">
        <v>131</v>
      </c>
      <c r="I57" t="s">
        <v>410</v>
      </c>
      <c r="L57">
        <f t="shared" si="3"/>
        <v>2</v>
      </c>
      <c r="M57">
        <f t="shared" si="4"/>
        <v>-11.543178508141249</v>
      </c>
      <c r="N57">
        <v>1.5</v>
      </c>
      <c r="O57">
        <v>1.2</v>
      </c>
      <c r="P57">
        <v>1.5</v>
      </c>
      <c r="Q57">
        <v>1.1000000000000001</v>
      </c>
      <c r="R57">
        <v>2</v>
      </c>
      <c r="S57">
        <v>1.2</v>
      </c>
      <c r="T57">
        <v>1.5</v>
      </c>
      <c r="U57">
        <f t="shared" si="2"/>
        <v>0.51215847306170115</v>
      </c>
    </row>
    <row r="58" spans="1:21" hidden="1" x14ac:dyDescent="0.2">
      <c r="A58" t="s">
        <v>321</v>
      </c>
      <c r="B58" s="52">
        <v>9.8000000000000001E-9</v>
      </c>
      <c r="C58" t="s">
        <v>56</v>
      </c>
      <c r="D58" t="s">
        <v>408</v>
      </c>
      <c r="F58" t="s">
        <v>99</v>
      </c>
      <c r="H58" t="s">
        <v>131</v>
      </c>
      <c r="I58" t="s">
        <v>410</v>
      </c>
      <c r="L58">
        <f t="shared" si="3"/>
        <v>2</v>
      </c>
      <c r="M58">
        <f t="shared" si="4"/>
        <v>-18.440883451269883</v>
      </c>
      <c r="N58">
        <v>1.5</v>
      </c>
      <c r="O58">
        <v>1.2</v>
      </c>
      <c r="P58">
        <v>1.5</v>
      </c>
      <c r="Q58">
        <v>1.1000000000000001</v>
      </c>
      <c r="R58">
        <v>2</v>
      </c>
      <c r="S58">
        <v>1.2</v>
      </c>
      <c r="T58">
        <v>3</v>
      </c>
      <c r="U58">
        <f t="shared" si="2"/>
        <v>0.72314801614797197</v>
      </c>
    </row>
    <row r="59" spans="1:21" hidden="1" x14ac:dyDescent="0.2">
      <c r="A59" t="s">
        <v>403</v>
      </c>
      <c r="B59" s="52">
        <v>9.8000000000000004E-8</v>
      </c>
      <c r="C59" t="s">
        <v>56</v>
      </c>
      <c r="D59" t="s">
        <v>408</v>
      </c>
      <c r="F59" t="s">
        <v>99</v>
      </c>
      <c r="H59" t="s">
        <v>131</v>
      </c>
      <c r="I59" t="s">
        <v>410</v>
      </c>
      <c r="L59">
        <f t="shared" si="3"/>
        <v>2</v>
      </c>
      <c r="M59">
        <f t="shared" si="4"/>
        <v>-16.13829835827584</v>
      </c>
      <c r="N59">
        <v>1.5</v>
      </c>
      <c r="O59">
        <v>1.2</v>
      </c>
      <c r="P59">
        <v>1.5</v>
      </c>
      <c r="Q59">
        <v>1.1000000000000001</v>
      </c>
      <c r="R59">
        <v>2</v>
      </c>
      <c r="S59">
        <v>1.2</v>
      </c>
      <c r="T59">
        <v>3</v>
      </c>
      <c r="U59">
        <f t="shared" si="2"/>
        <v>0.72314801614797197</v>
      </c>
    </row>
    <row r="60" spans="1:21" hidden="1" x14ac:dyDescent="0.2">
      <c r="A60" t="s">
        <v>322</v>
      </c>
      <c r="B60" s="52">
        <v>1.176E-6</v>
      </c>
      <c r="C60" t="s">
        <v>56</v>
      </c>
      <c r="D60" t="s">
        <v>408</v>
      </c>
      <c r="F60" t="s">
        <v>99</v>
      </c>
      <c r="H60" t="s">
        <v>131</v>
      </c>
      <c r="I60" t="s">
        <v>410</v>
      </c>
      <c r="L60">
        <f t="shared" si="3"/>
        <v>2</v>
      </c>
      <c r="M60">
        <f t="shared" si="4"/>
        <v>-13.653391708487838</v>
      </c>
      <c r="N60">
        <v>1.5</v>
      </c>
      <c r="O60">
        <v>1.2</v>
      </c>
      <c r="P60">
        <v>1.5</v>
      </c>
      <c r="Q60">
        <v>1.1000000000000001</v>
      </c>
      <c r="R60">
        <v>2</v>
      </c>
      <c r="S60">
        <v>1.2</v>
      </c>
      <c r="T60">
        <v>1.5</v>
      </c>
      <c r="U60">
        <f t="shared" si="2"/>
        <v>0.51215847306170115</v>
      </c>
    </row>
    <row r="61" spans="1:21" hidden="1" x14ac:dyDescent="0.2">
      <c r="A61" t="s">
        <v>323</v>
      </c>
      <c r="B61" s="52">
        <v>1.9600000000000001E-7</v>
      </c>
      <c r="C61" t="s">
        <v>56</v>
      </c>
      <c r="D61" t="s">
        <v>408</v>
      </c>
      <c r="F61" t="s">
        <v>99</v>
      </c>
      <c r="H61" t="s">
        <v>131</v>
      </c>
      <c r="I61" t="s">
        <v>410</v>
      </c>
      <c r="L61">
        <f t="shared" si="3"/>
        <v>2</v>
      </c>
      <c r="M61">
        <f t="shared" si="4"/>
        <v>-15.445151177715895</v>
      </c>
      <c r="N61">
        <v>1.5</v>
      </c>
      <c r="O61">
        <v>1.2</v>
      </c>
      <c r="P61">
        <v>1.5</v>
      </c>
      <c r="Q61">
        <v>1.1000000000000001</v>
      </c>
      <c r="R61">
        <v>2</v>
      </c>
      <c r="S61">
        <v>1.2</v>
      </c>
      <c r="T61">
        <v>1.5</v>
      </c>
      <c r="U61">
        <f t="shared" si="2"/>
        <v>0.51215847306170115</v>
      </c>
    </row>
    <row r="62" spans="1:21" hidden="1" x14ac:dyDescent="0.2">
      <c r="A62" t="s">
        <v>324</v>
      </c>
      <c r="B62" s="52">
        <v>1.96E-8</v>
      </c>
      <c r="C62" t="s">
        <v>56</v>
      </c>
      <c r="D62" t="s">
        <v>408</v>
      </c>
      <c r="F62" t="s">
        <v>99</v>
      </c>
      <c r="H62" t="s">
        <v>131</v>
      </c>
      <c r="I62" t="s">
        <v>410</v>
      </c>
      <c r="L62">
        <f t="shared" si="3"/>
        <v>2</v>
      </c>
      <c r="M62">
        <f t="shared" si="4"/>
        <v>-17.74773627070994</v>
      </c>
      <c r="N62">
        <v>1.5</v>
      </c>
      <c r="O62">
        <v>1.2</v>
      </c>
      <c r="P62">
        <v>1.5</v>
      </c>
      <c r="Q62">
        <v>1.1000000000000001</v>
      </c>
      <c r="R62">
        <v>2</v>
      </c>
      <c r="S62">
        <v>1.2</v>
      </c>
      <c r="T62">
        <v>1.5</v>
      </c>
      <c r="U62">
        <f t="shared" si="2"/>
        <v>0.51215847306170115</v>
      </c>
    </row>
    <row r="63" spans="1:21" hidden="1" x14ac:dyDescent="0.2">
      <c r="A63" t="s">
        <v>325</v>
      </c>
      <c r="B63" s="52">
        <v>4.8999999999999997E-7</v>
      </c>
      <c r="C63" t="s">
        <v>56</v>
      </c>
      <c r="D63" t="s">
        <v>408</v>
      </c>
      <c r="F63" t="s">
        <v>99</v>
      </c>
      <c r="H63" t="s">
        <v>131</v>
      </c>
      <c r="I63" t="s">
        <v>410</v>
      </c>
      <c r="L63">
        <f t="shared" si="3"/>
        <v>2</v>
      </c>
      <c r="M63">
        <f t="shared" si="4"/>
        <v>-14.528860445841739</v>
      </c>
      <c r="N63">
        <v>1.5</v>
      </c>
      <c r="O63">
        <v>1.2</v>
      </c>
      <c r="P63">
        <v>1.5</v>
      </c>
      <c r="Q63">
        <v>1.1000000000000001</v>
      </c>
      <c r="R63">
        <v>2</v>
      </c>
      <c r="S63">
        <v>1.2</v>
      </c>
      <c r="T63">
        <v>1.5</v>
      </c>
      <c r="U63">
        <f t="shared" si="2"/>
        <v>0.51215847306170115</v>
      </c>
    </row>
    <row r="64" spans="1:21" hidden="1" x14ac:dyDescent="0.2">
      <c r="A64" t="s">
        <v>326</v>
      </c>
      <c r="B64" s="52">
        <v>1.9600000000000001E-7</v>
      </c>
      <c r="C64" t="s">
        <v>56</v>
      </c>
      <c r="D64" t="s">
        <v>408</v>
      </c>
      <c r="F64" t="s">
        <v>99</v>
      </c>
      <c r="H64" t="s">
        <v>131</v>
      </c>
      <c r="I64" t="s">
        <v>410</v>
      </c>
      <c r="L64">
        <f t="shared" si="3"/>
        <v>2</v>
      </c>
      <c r="M64">
        <f t="shared" si="4"/>
        <v>-15.445151177715895</v>
      </c>
      <c r="N64">
        <v>1.5</v>
      </c>
      <c r="O64">
        <v>1.2</v>
      </c>
      <c r="P64">
        <v>1.5</v>
      </c>
      <c r="Q64">
        <v>1.1000000000000001</v>
      </c>
      <c r="R64">
        <v>2</v>
      </c>
      <c r="S64">
        <v>1.2</v>
      </c>
      <c r="T64">
        <v>1.5</v>
      </c>
      <c r="U64">
        <f t="shared" si="2"/>
        <v>0.51215847306170115</v>
      </c>
    </row>
    <row r="65" spans="1:21" hidden="1" x14ac:dyDescent="0.2">
      <c r="A65" t="s">
        <v>404</v>
      </c>
      <c r="B65" s="52">
        <v>1.2739999999999999E-7</v>
      </c>
      <c r="C65" t="s">
        <v>56</v>
      </c>
      <c r="D65" t="s">
        <v>409</v>
      </c>
      <c r="F65" t="s">
        <v>99</v>
      </c>
      <c r="H65" t="s">
        <v>131</v>
      </c>
      <c r="I65" t="s">
        <v>410</v>
      </c>
      <c r="L65">
        <f t="shared" si="3"/>
        <v>2</v>
      </c>
      <c r="M65">
        <f t="shared" si="4"/>
        <v>-15.875934093808349</v>
      </c>
      <c r="N65">
        <v>1.5</v>
      </c>
      <c r="O65">
        <v>1.2</v>
      </c>
      <c r="P65">
        <v>1.5</v>
      </c>
      <c r="Q65">
        <v>1.1000000000000001</v>
      </c>
      <c r="R65">
        <v>2</v>
      </c>
      <c r="S65">
        <v>1.2</v>
      </c>
      <c r="T65">
        <v>1.5</v>
      </c>
      <c r="U65">
        <f t="shared" si="2"/>
        <v>0.51215847306170115</v>
      </c>
    </row>
    <row r="66" spans="1:21" hidden="1" x14ac:dyDescent="0.2">
      <c r="A66" t="s">
        <v>405</v>
      </c>
      <c r="B66" s="52">
        <v>2.9400000000000002E-9</v>
      </c>
      <c r="C66" t="s">
        <v>56</v>
      </c>
      <c r="D66" t="s">
        <v>409</v>
      </c>
      <c r="F66" t="s">
        <v>99</v>
      </c>
      <c r="H66" t="s">
        <v>131</v>
      </c>
      <c r="I66" t="s">
        <v>410</v>
      </c>
      <c r="L66">
        <f t="shared" si="3"/>
        <v>2</v>
      </c>
      <c r="M66">
        <f t="shared" si="4"/>
        <v>-19.644856255595823</v>
      </c>
      <c r="N66">
        <v>1.5</v>
      </c>
      <c r="O66">
        <v>1.2</v>
      </c>
      <c r="P66">
        <v>1.5</v>
      </c>
      <c r="Q66">
        <v>1.1000000000000001</v>
      </c>
      <c r="R66">
        <v>2</v>
      </c>
      <c r="S66">
        <v>1.2</v>
      </c>
      <c r="T66">
        <v>1.5</v>
      </c>
      <c r="U66">
        <f t="shared" si="2"/>
        <v>0.51215847306170115</v>
      </c>
    </row>
    <row r="67" spans="1:21" hidden="1" x14ac:dyDescent="0.2">
      <c r="A67" t="s">
        <v>406</v>
      </c>
      <c r="B67" s="52">
        <v>4.9000000000000002E-8</v>
      </c>
      <c r="C67" t="s">
        <v>56</v>
      </c>
      <c r="D67" t="s">
        <v>409</v>
      </c>
      <c r="F67" t="s">
        <v>99</v>
      </c>
      <c r="H67" t="s">
        <v>131</v>
      </c>
      <c r="I67" t="s">
        <v>410</v>
      </c>
      <c r="L67">
        <f t="shared" si="3"/>
        <v>2</v>
      </c>
      <c r="M67">
        <f t="shared" si="4"/>
        <v>-16.831445538835784</v>
      </c>
      <c r="N67">
        <v>1.5</v>
      </c>
      <c r="O67">
        <v>1.2</v>
      </c>
      <c r="P67">
        <v>1.5</v>
      </c>
      <c r="Q67">
        <v>1.1000000000000001</v>
      </c>
      <c r="R67">
        <v>2</v>
      </c>
      <c r="S67">
        <v>1.2</v>
      </c>
      <c r="T67">
        <v>1.5</v>
      </c>
      <c r="U67">
        <f t="shared" si="2"/>
        <v>0.51215847306170115</v>
      </c>
    </row>
    <row r="68" spans="1:21" hidden="1" x14ac:dyDescent="0.2">
      <c r="A68" t="s">
        <v>407</v>
      </c>
      <c r="B68" s="52">
        <v>4.9000000000000002E-8</v>
      </c>
      <c r="C68" t="s">
        <v>56</v>
      </c>
      <c r="D68" t="s">
        <v>409</v>
      </c>
      <c r="F68" t="s">
        <v>99</v>
      </c>
      <c r="H68" t="s">
        <v>131</v>
      </c>
      <c r="I68" t="s">
        <v>410</v>
      </c>
      <c r="L68">
        <f t="shared" si="3"/>
        <v>2</v>
      </c>
      <c r="M68">
        <f t="shared" si="4"/>
        <v>-16.831445538835784</v>
      </c>
      <c r="N68">
        <v>1.5</v>
      </c>
      <c r="O68">
        <v>1.2</v>
      </c>
      <c r="P68">
        <v>1.5</v>
      </c>
      <c r="Q68">
        <v>1.1000000000000001</v>
      </c>
      <c r="R68">
        <v>2</v>
      </c>
      <c r="S68">
        <v>1.2</v>
      </c>
      <c r="T68">
        <v>1.5</v>
      </c>
      <c r="U68">
        <f t="shared" si="2"/>
        <v>0.51215847306170115</v>
      </c>
    </row>
    <row r="69" spans="1:21" hidden="1" x14ac:dyDescent="0.2"/>
    <row r="70" spans="1:21" hidden="1" x14ac:dyDescent="0.2"/>
    <row r="71" spans="1:21" hidden="1" x14ac:dyDescent="0.2">
      <c r="A71" s="2" t="s">
        <v>50</v>
      </c>
      <c r="B71" s="44" t="str">
        <f>IF(B77="megajoule","heat","electricity")&amp;", residential, by "&amp;B82&amp;" of "&amp;B81&amp;" using "&amp;B83&amp;IF(B84&lt;&gt;0,"allocated by "&amp;B84,"")&amp;", transported by "&amp;B85&amp;", produced by "&amp;B89&amp;" using "&amp;B90&amp;" from "&amp;B91&amp;" and carbon sourced from "&amp;B92</f>
        <v>heat, residential, by combustion of synthetic natural gas from biological methanation using boiler, transported by pipeline, produced by Electrolysis, PEM using water and electricity from grid and carbon sourced from MSWI</v>
      </c>
    </row>
    <row r="72" spans="1:21" hidden="1" x14ac:dyDescent="0.2">
      <c r="A72" t="s">
        <v>51</v>
      </c>
      <c r="B72" s="45" t="str">
        <f>"This dataset represents the supply of 1 megajoule of heat in a residence, by "&amp;B81&amp;" "&amp;B82&amp;" in a "&amp;B83&amp;". "&amp;" The "&amp;B81&amp;" is transported by "&amp;B85&amp;" over "&amp;B86&amp;" km from regional storage. "&amp;" The "&amp;B81&amp;" is produced by  "&amp;B89&amp;", with "&amp;B90&amp;" from "&amp;B91&amp;" as feedstock. The carbon is sourced from "&amp;B92&amp;". "&amp;A93&amp;": "&amp;(B93*100)&amp;"%. "&amp;A94&amp;": "&amp;B94&amp;". "&amp;A95&amp;": "&amp;B95&amp;". "&amp;A96&amp;": "&amp;(B96*100)&amp;"%. "&amp;A97&amp;": "&amp;(B97*100)&amp;"%. "&amp;A98&amp;": "&amp;(B98*100)&amp;"%. "&amp;A99&amp;": "&amp;B99&amp;". "&amp;A100&amp;": "&amp;B100&amp;". "&amp;A101&amp;": "&amp;(B101*100)&amp;"%. "&amp;A102&amp;": "&amp;B102&amp;". "&amp;A103&amp;": "&amp;B103&amp;". "&amp;A104&amp;": "&amp;B104&amp;". "&amp;A105&amp;": "&amp;B105&amp;".  For more information, refer to: "&amp;B73</f>
        <v>This dataset represents the supply of 1 megajoule of heat in a residence, by synthetic natural gas from biological methanation combustion in a boiler.  The synthetic natural gas from biological methanation is transported by pipeline over 500 km from regional storage.  The synthetic natural gas from biological methanation is produced by  Electrolysis, PEM, with water and electricity from grid as feedstock. The carbon is sourced from MSWI. Heat conversion efficiency [% LHV input]: 111.111111111111%. LHV [MJ/kg]: 47.5. Market price [€/MJ]: 0.0266666666666667. Distribution loss [% output]: 0.019%. Storage loss [% output]: 0%. Synthesis efficiency [% LHV input]: 0%. Hydrogen production efficiency [% LHV input]: 0. Grid loss [%]: 0.06. CO2 biogenic share [%]: 61.3636363636364%. Power [kW]: 15. Lifetime [years]: 20. Annual operation [hours]: 2100. : .  For more information, refer to: Sacchi, R. and Bauer, C. Life Cycle Assessment of Power-to-X processes and associated electricity and heat applications in the residential sector. Paul Scherrer Institut, 2023.</v>
      </c>
    </row>
    <row r="73" spans="1:21" hidden="1" x14ac:dyDescent="0.2">
      <c r="A73" t="s">
        <v>63</v>
      </c>
      <c r="B73" s="45" t="s">
        <v>1223</v>
      </c>
    </row>
    <row r="74" spans="1:21" hidden="1" x14ac:dyDescent="0.2">
      <c r="A74" t="s">
        <v>52</v>
      </c>
      <c r="B74" s="45" t="s">
        <v>64</v>
      </c>
    </row>
    <row r="75" spans="1:21" hidden="1" x14ac:dyDescent="0.2">
      <c r="A75" t="s">
        <v>48</v>
      </c>
      <c r="B75" s="45">
        <v>178</v>
      </c>
    </row>
    <row r="76" spans="1:21" hidden="1" x14ac:dyDescent="0.2">
      <c r="A76" t="s">
        <v>54</v>
      </c>
      <c r="B76" s="45" t="str">
        <f>INDEX(overview!$B$4:$R$338,MATCH(B75,overview!$A$4:$A$338,0),MATCH(A76,overview!$B$3:$R$3,0))</f>
        <v>heat, from residential heating system</v>
      </c>
    </row>
    <row r="77" spans="1:21" hidden="1" x14ac:dyDescent="0.2">
      <c r="A77" t="s">
        <v>55</v>
      </c>
      <c r="B77" s="45" t="str">
        <f>INDEX(overview!$B$4:$R$338,MATCH(B75,overview!$A$4:$A$338,0),MATCH(A77,overview!$B$3:$R$3,0))</f>
        <v>megajoule</v>
      </c>
    </row>
    <row r="78" spans="1:21" hidden="1" x14ac:dyDescent="0.2">
      <c r="A78" t="s">
        <v>0</v>
      </c>
      <c r="B78" s="45" t="str">
        <f>INDEX(overview!$B$4:$R$338,MATCH(B75,overview!$A$4:$A$338,0),MATCH(A78,overview!$B$3:$R$3,0))</f>
        <v>Switzerland</v>
      </c>
    </row>
    <row r="79" spans="1:21" hidden="1" x14ac:dyDescent="0.2">
      <c r="A79" t="s">
        <v>1</v>
      </c>
      <c r="B79" s="45">
        <f>INDEX(overview!$B$4:$R$338,MATCH(B75,overview!$A$4:$A$338,0),MATCH(A79,overview!$B$3:$R$3,0))</f>
        <v>2020</v>
      </c>
    </row>
    <row r="80" spans="1:21" hidden="1" x14ac:dyDescent="0.2">
      <c r="A80" t="s">
        <v>2</v>
      </c>
      <c r="B80" s="45" t="str">
        <f>INDEX(overview!$B$4:$R$338,MATCH(B75,overview!$A$4:$A$338,0),MATCH(A80,overview!$B$3:$R$3,0))</f>
        <v>1 MJ heat</v>
      </c>
    </row>
    <row r="81" spans="1:2" hidden="1" x14ac:dyDescent="0.2">
      <c r="A81" t="s">
        <v>5</v>
      </c>
      <c r="B81" s="45" t="str">
        <f>INDEX(overview!$B$4:$R$338,MATCH(B75,overview!$A$4:$A$338,0),MATCH(A81,overview!$B$3:$R$3,0))</f>
        <v>synthetic natural gas from biological methanation</v>
      </c>
    </row>
    <row r="82" spans="1:2" hidden="1" x14ac:dyDescent="0.2">
      <c r="A82" t="s">
        <v>3</v>
      </c>
      <c r="B82" s="45" t="str">
        <f>INDEX(overview!$B$4:$R$338,MATCH(B75,overview!$A$4:$A$338,0),MATCH(A82,overview!$B$3:$R$3,0))</f>
        <v>combustion</v>
      </c>
    </row>
    <row r="83" spans="1:2" hidden="1" x14ac:dyDescent="0.2">
      <c r="A83" t="s">
        <v>6</v>
      </c>
      <c r="B83" s="45" t="str">
        <f>INDEX(overview!$B$4:$R$338,MATCH(B75,overview!$A$4:$A$338,0),MATCH(A83,overview!$B$3:$R$3,0))</f>
        <v>boiler</v>
      </c>
    </row>
    <row r="84" spans="1:2" hidden="1" x14ac:dyDescent="0.2">
      <c r="A84" t="s">
        <v>39</v>
      </c>
      <c r="B84" s="45">
        <f>INDEX(overview!$B$4:$R$338,MATCH(B75,overview!$A$4:$A$338,0),MATCH(A84,overview!$B$3:$R$3,0))</f>
        <v>0</v>
      </c>
    </row>
    <row r="85" spans="1:2" hidden="1" x14ac:dyDescent="0.2">
      <c r="A85" t="s">
        <v>4</v>
      </c>
      <c r="B85" s="45" t="str">
        <f>INDEX(overview!$B$4:$R$338,MATCH(B75,overview!$A$4:$A$338,0),MATCH(A85,overview!$B$3:$R$3,0))</f>
        <v>pipeline</v>
      </c>
    </row>
    <row r="86" spans="1:2" hidden="1" x14ac:dyDescent="0.2">
      <c r="A86" t="s">
        <v>38</v>
      </c>
      <c r="B86" s="45">
        <f>INDEX(overview!$B$4:$R$338,MATCH(B75,overview!$A$4:$A$338,0),MATCH(A86,overview!$B$3:$R$3,0))</f>
        <v>500</v>
      </c>
    </row>
    <row r="87" spans="1:2" hidden="1" x14ac:dyDescent="0.2">
      <c r="A87" t="s">
        <v>12</v>
      </c>
      <c r="B87" s="45" t="str">
        <f>INDEX(overview!$B$4:$R$338,MATCH(B75,overview!$A$4:$A$338,0),MATCH(A87,overview!$B$3:$R$3,0))</f>
        <v>Above surface pressure vessel</v>
      </c>
    </row>
    <row r="88" spans="1:2" hidden="1" x14ac:dyDescent="0.2">
      <c r="A88" t="s">
        <v>34</v>
      </c>
      <c r="B88" s="45" t="str">
        <f>INDEX(overview!$B$4:$R$338,MATCH(B75,overview!$A$4:$A$338,0),MATCH(A88,overview!$B$3:$R$3,0))</f>
        <v>biological</v>
      </c>
    </row>
    <row r="89" spans="1:2" hidden="1" x14ac:dyDescent="0.2">
      <c r="A89" t="s">
        <v>15</v>
      </c>
      <c r="B89" s="45" t="str">
        <f>INDEX(overview!$B$4:$R$338,MATCH(B75,overview!$A$4:$A$338,0),MATCH(A89,overview!$B$3:$R$3,0))</f>
        <v>Electrolysis, PEM</v>
      </c>
    </row>
    <row r="90" spans="1:2" hidden="1" x14ac:dyDescent="0.2">
      <c r="A90" t="s">
        <v>14</v>
      </c>
      <c r="B90" s="45" t="str">
        <f>INDEX(overview!$B$4:$R$338,MATCH(B75,overview!$A$4:$A$338,0),MATCH(A90,overview!$B$3:$R$3,0))</f>
        <v>water and electricity</v>
      </c>
    </row>
    <row r="91" spans="1:2" hidden="1" x14ac:dyDescent="0.2">
      <c r="A91" t="s">
        <v>26</v>
      </c>
      <c r="B91" s="45" t="str">
        <f>INDEX(overview!$B$4:$R$338,MATCH(B75,overview!$A$4:$A$338,0),MATCH(A91,overview!$B$3:$R$3,0))</f>
        <v>grid</v>
      </c>
    </row>
    <row r="92" spans="1:2" hidden="1" x14ac:dyDescent="0.2">
      <c r="A92" t="s">
        <v>29</v>
      </c>
      <c r="B92" s="45" t="str">
        <f>INDEX(overview!$B$4:$R$338,MATCH(B75,overview!$A$4:$A$338,0),MATCH(A92,overview!$B$3:$R$3,0))</f>
        <v>MSWI</v>
      </c>
    </row>
    <row r="93" spans="1:2" hidden="1" x14ac:dyDescent="0.2">
      <c r="A93" t="s">
        <v>632</v>
      </c>
      <c r="B93" s="46">
        <f>INDEX(parameters!$D$4:$N$20,MATCH(B81&amp;B83,parameters!$A$4:$A$20,0),MATCH(A93,parameters!$D$3:$N$3,0))</f>
        <v>1.1111111111111112</v>
      </c>
    </row>
    <row r="94" spans="1:2" hidden="1" x14ac:dyDescent="0.2">
      <c r="A94" t="s">
        <v>40</v>
      </c>
      <c r="B94" s="47">
        <f>INDEX(parameters!$D$4:$N$20,MATCH(B81&amp;B83,parameters!$A$4:$A$20,0),MATCH(A94,parameters!$D$3:$N$3,0))</f>
        <v>47.5</v>
      </c>
    </row>
    <row r="95" spans="1:2" hidden="1" x14ac:dyDescent="0.2">
      <c r="A95" t="s">
        <v>41</v>
      </c>
      <c r="B95" s="48">
        <f>INDEX(parameters!$D$4:$N$20,MATCH(B81&amp;B83,parameters!$A$4:$A$20,0),MATCH(A95,parameters!$D$3:$N$3,0))</f>
        <v>2.6666666666666665E-2</v>
      </c>
    </row>
    <row r="96" spans="1:2" hidden="1" x14ac:dyDescent="0.2">
      <c r="A96" t="s">
        <v>45</v>
      </c>
      <c r="B96" s="49">
        <f>INDEX(parameters!$D$4:$N$20,MATCH(B81&amp;B83,parameters!$A$4:$A$20,0),MATCH(A96,parameters!$D$3:$N$3,0))</f>
        <v>1.9000000000000001E-4</v>
      </c>
    </row>
    <row r="97" spans="1:22" hidden="1" x14ac:dyDescent="0.2">
      <c r="A97" t="s">
        <v>46</v>
      </c>
      <c r="B97" s="49">
        <f>INDEX(parameters!$D$4:$N$20,MATCH(B81&amp;B83,parameters!$A$4:$A$20,0),MATCH(A97,parameters!$D$3:$N$3,0))</f>
        <v>0</v>
      </c>
    </row>
    <row r="98" spans="1:22" hidden="1" x14ac:dyDescent="0.2">
      <c r="A98" t="s">
        <v>43</v>
      </c>
      <c r="B98" s="49">
        <f>INDEX(parameters!$D$4:$N$20,MATCH(B81&amp;B83,parameters!$A$4:$A$20,0),MATCH(A98,parameters!$D$3:$N$3,0))</f>
        <v>0</v>
      </c>
    </row>
    <row r="99" spans="1:22" hidden="1" x14ac:dyDescent="0.2">
      <c r="A99" t="s">
        <v>44</v>
      </c>
      <c r="B99" s="49">
        <f>INDEX(parameters!$D$4:$N$20,MATCH(B81&amp;B83,parameters!$A$4:$A$20,0),MATCH(A99,parameters!$D$3:$N$3,0))</f>
        <v>0</v>
      </c>
    </row>
    <row r="100" spans="1:22" hidden="1" x14ac:dyDescent="0.2">
      <c r="A100" t="s">
        <v>47</v>
      </c>
      <c r="B100" s="49">
        <f>INDEX(parameters!$D$4:$N$20,MATCH(B81&amp;B83,parameters!$A$4:$A$20,0),MATCH(A100,parameters!$D$3:$N$3,0))</f>
        <v>0.06</v>
      </c>
    </row>
    <row r="101" spans="1:22" hidden="1" x14ac:dyDescent="0.2">
      <c r="A101" t="s">
        <v>82</v>
      </c>
      <c r="B101" s="46">
        <f>IF(B92&lt;&gt;0,VLOOKUP(B92,parameters!$A$26:$B$28,2,0),"")</f>
        <v>0.61363636363636365</v>
      </c>
    </row>
    <row r="102" spans="1:22" hidden="1" x14ac:dyDescent="0.2">
      <c r="A102" t="s">
        <v>548</v>
      </c>
      <c r="B102" s="50">
        <f>INDEX(parameters!$D$4:$P$20,MATCH(B81&amp;B83,parameters!$A$4:$A$20,0),MATCH(A102,parameters!$D$3:$P$3,0))</f>
        <v>15</v>
      </c>
    </row>
    <row r="103" spans="1:22" hidden="1" x14ac:dyDescent="0.2">
      <c r="A103" t="s">
        <v>547</v>
      </c>
      <c r="B103" s="51">
        <f>INDEX(parameters!$D$4:$P$20,MATCH(B81&amp;B83,parameters!$A$4:$A$20,0),MATCH(A103,parameters!$D$3:$P$3,0))</f>
        <v>20</v>
      </c>
    </row>
    <row r="104" spans="1:22" hidden="1" x14ac:dyDescent="0.2">
      <c r="A104" t="s">
        <v>630</v>
      </c>
      <c r="B104" s="51">
        <f>INDEX(parameters!$D$4:$T$20,MATCH(B81&amp;B83,parameters!$A$4:$A$20,0),MATCH(A104,parameters!$D$3:$T$3,0))</f>
        <v>2100</v>
      </c>
    </row>
    <row r="105" spans="1:22" hidden="1" x14ac:dyDescent="0.2"/>
    <row r="106" spans="1:22" hidden="1" x14ac:dyDescent="0.2">
      <c r="A106" s="3" t="s">
        <v>57</v>
      </c>
    </row>
    <row r="107" spans="1:22" hidden="1" x14ac:dyDescent="0.2">
      <c r="A107" s="2" t="s">
        <v>58</v>
      </c>
      <c r="B107" s="44" t="s">
        <v>59</v>
      </c>
      <c r="C107" s="2" t="s">
        <v>55</v>
      </c>
      <c r="D107" s="2" t="s">
        <v>60</v>
      </c>
      <c r="E107" s="2" t="s">
        <v>52</v>
      </c>
      <c r="F107" s="2" t="s">
        <v>61</v>
      </c>
      <c r="G107" s="2" t="s">
        <v>54</v>
      </c>
      <c r="H107" s="2" t="s">
        <v>87</v>
      </c>
      <c r="I107" s="2" t="s">
        <v>51</v>
      </c>
      <c r="J107" s="2" t="s">
        <v>138</v>
      </c>
      <c r="K107" s="2" t="s">
        <v>136</v>
      </c>
      <c r="L107" s="2" t="s">
        <v>221</v>
      </c>
      <c r="M107" s="2" t="s">
        <v>379</v>
      </c>
      <c r="N107" s="2" t="s">
        <v>1059</v>
      </c>
      <c r="O107" s="2" t="s">
        <v>1060</v>
      </c>
      <c r="P107" s="2" t="s">
        <v>1061</v>
      </c>
      <c r="Q107" s="2" t="s">
        <v>1062</v>
      </c>
      <c r="R107" s="2" t="s">
        <v>1063</v>
      </c>
      <c r="S107" s="2" t="s">
        <v>1064</v>
      </c>
      <c r="T107" s="2" t="s">
        <v>1065</v>
      </c>
      <c r="U107" s="2" t="s">
        <v>380</v>
      </c>
      <c r="V107" s="2" t="s">
        <v>1128</v>
      </c>
    </row>
    <row r="108" spans="1:22" x14ac:dyDescent="0.2">
      <c r="A108" t="str">
        <f>B71</f>
        <v>heat, residential, by combustion of synthetic natural gas from biological methanation using boiler, transported by pipeline, produced by Electrolysis, PEM using water and electricity from grid and carbon sourced from MSWI</v>
      </c>
      <c r="B108" s="45">
        <v>1</v>
      </c>
      <c r="C108" t="str">
        <f>B77</f>
        <v>megajoule</v>
      </c>
      <c r="E108" t="str">
        <f>B74</f>
        <v>CH</v>
      </c>
      <c r="F108" t="s">
        <v>62</v>
      </c>
      <c r="G108" t="str">
        <f>B76</f>
        <v>heat, from residential heating system</v>
      </c>
      <c r="K108" t="str">
        <f>B71</f>
        <v>heat, residential, by combustion of synthetic natural gas from biological methanation using boiler, transported by pipeline, produced by Electrolysis, PEM using water and electricity from grid and carbon sourced from MSWI</v>
      </c>
    </row>
    <row r="109" spans="1:22" hidden="1" x14ac:dyDescent="0.2">
      <c r="A109" t="s">
        <v>83</v>
      </c>
      <c r="B109" s="52">
        <f>1/(B102*B104*B103*3.6)</f>
        <v>4.4091710758377425E-7</v>
      </c>
      <c r="C109" t="s">
        <v>55</v>
      </c>
      <c r="E109" t="s">
        <v>85</v>
      </c>
      <c r="F109" t="s">
        <v>86</v>
      </c>
      <c r="G109" t="s">
        <v>84</v>
      </c>
      <c r="H109" t="s">
        <v>88</v>
      </c>
      <c r="K109" t="str">
        <f>B71</f>
        <v>heat, residential, by combustion of synthetic natural gas from biological methanation using boiler, transported by pipeline, produced by Electrolysis, PEM using water and electricity from grid and carbon sourced from MSWI</v>
      </c>
      <c r="L109">
        <f t="shared" ref="L109:L138" si="5">IF(OR(B109&lt;0,B109=0),1,2)</f>
        <v>2</v>
      </c>
      <c r="M109">
        <f t="shared" ref="M109:M138" si="6">IF(L109=2,LN(B109),"")</f>
        <v>-14.634408943829779</v>
      </c>
      <c r="N109">
        <v>1.05</v>
      </c>
      <c r="O109">
        <v>1.2</v>
      </c>
      <c r="P109">
        <v>1</v>
      </c>
      <c r="Q109">
        <v>1.01</v>
      </c>
      <c r="R109">
        <v>1.2</v>
      </c>
      <c r="S109">
        <v>1.2</v>
      </c>
      <c r="T109">
        <v>3</v>
      </c>
      <c r="U109">
        <f t="shared" ref="U109:U138" si="7">LN(SQRT(EXP(
SQRT(
+POWER(LN(N109),2)
+POWER(LN(O109),2)
+POWER(LN(P109),2)
+POWER(LN(Q109),2)
+POWER(LN(R109),2)
+POWER(LN(S109),2)
+POWER(LN(T109),2)
)
)))</f>
        <v>0.57209088006881903</v>
      </c>
    </row>
    <row r="110" spans="1:22" hidden="1" x14ac:dyDescent="0.2">
      <c r="A110" t="s">
        <v>500</v>
      </c>
      <c r="B110" s="52">
        <f>B109*2</f>
        <v>8.8183421516754851E-7</v>
      </c>
      <c r="C110" t="s">
        <v>267</v>
      </c>
      <c r="E110" t="s">
        <v>85</v>
      </c>
      <c r="F110" t="s">
        <v>86</v>
      </c>
      <c r="G110" t="s">
        <v>501</v>
      </c>
      <c r="H110" t="s">
        <v>88</v>
      </c>
      <c r="I110" t="s">
        <v>621</v>
      </c>
      <c r="K110" t="str">
        <f>B71</f>
        <v>heat, residential, by combustion of synthetic natural gas from biological methanation using boiler, transported by pipeline, produced by Electrolysis, PEM using water and electricity from grid and carbon sourced from MSWI</v>
      </c>
      <c r="L110">
        <f t="shared" si="5"/>
        <v>2</v>
      </c>
      <c r="M110">
        <f t="shared" si="6"/>
        <v>-13.941261763269834</v>
      </c>
      <c r="N110">
        <v>1.05</v>
      </c>
      <c r="O110">
        <v>1.2</v>
      </c>
      <c r="P110">
        <v>1</v>
      </c>
      <c r="Q110">
        <v>1.01</v>
      </c>
      <c r="R110">
        <v>1.2</v>
      </c>
      <c r="S110">
        <v>1.2</v>
      </c>
      <c r="T110">
        <v>3</v>
      </c>
      <c r="U110">
        <f t="shared" si="7"/>
        <v>0.57209088006881903</v>
      </c>
    </row>
    <row r="111" spans="1:22" hidden="1" x14ac:dyDescent="0.2">
      <c r="A111" t="s">
        <v>130</v>
      </c>
      <c r="B111" s="52">
        <v>2.64E-3</v>
      </c>
      <c r="C111" t="s">
        <v>92</v>
      </c>
      <c r="E111" t="s">
        <v>64</v>
      </c>
      <c r="F111" t="s">
        <v>86</v>
      </c>
      <c r="G111" t="s">
        <v>93</v>
      </c>
      <c r="H111" t="s">
        <v>78</v>
      </c>
      <c r="I111" t="s">
        <v>270</v>
      </c>
      <c r="J111" t="s">
        <v>67</v>
      </c>
      <c r="K111" t="str">
        <f>B71</f>
        <v>heat, residential, by combustion of synthetic natural gas from biological methanation using boiler, transported by pipeline, produced by Electrolysis, PEM using water and electricity from grid and carbon sourced from MSWI</v>
      </c>
      <c r="L111">
        <f t="shared" si="5"/>
        <v>2</v>
      </c>
      <c r="M111">
        <f t="shared" si="6"/>
        <v>-5.9369763618239126</v>
      </c>
      <c r="N111">
        <v>1.05</v>
      </c>
      <c r="O111">
        <v>1.2</v>
      </c>
      <c r="P111">
        <v>1</v>
      </c>
      <c r="Q111">
        <v>1.01</v>
      </c>
      <c r="R111">
        <v>1.2</v>
      </c>
      <c r="S111">
        <v>1.2</v>
      </c>
      <c r="T111">
        <v>1.05</v>
      </c>
      <c r="U111">
        <f t="shared" si="7"/>
        <v>0.16169679924070957</v>
      </c>
    </row>
    <row r="112" spans="1:22" hidden="1" x14ac:dyDescent="0.2">
      <c r="A112" t="s">
        <v>1165</v>
      </c>
      <c r="B112" s="53">
        <f>(B108/B94)/B93</f>
        <v>1.8947368421052629E-2</v>
      </c>
      <c r="C112" t="str">
        <f>VLOOKUP(J112,'dataset mapping'!$A$4:$E$69,5,0)</f>
        <v>kilogram</v>
      </c>
      <c r="E112" t="str">
        <f>VLOOKUP(J112,'dataset mapping'!$A$4:$E$69,4,0)</f>
        <v>CH</v>
      </c>
      <c r="F112" t="s">
        <v>86</v>
      </c>
      <c r="G112" t="s">
        <v>1157</v>
      </c>
      <c r="H112" t="s">
        <v>1187</v>
      </c>
      <c r="I112" t="s">
        <v>1055</v>
      </c>
      <c r="J112" t="s">
        <v>862</v>
      </c>
      <c r="K112" t="str">
        <f>B71</f>
        <v>heat, residential, by combustion of synthetic natural gas from biological methanation using boiler, transported by pipeline, produced by Electrolysis, PEM using water and electricity from grid and carbon sourced from MSWI</v>
      </c>
      <c r="L112">
        <f t="shared" si="5"/>
        <v>2</v>
      </c>
      <c r="M112">
        <f t="shared" si="6"/>
        <v>-3.9660902266984221</v>
      </c>
      <c r="N112">
        <v>1.05</v>
      </c>
      <c r="O112">
        <v>1.2</v>
      </c>
      <c r="P112">
        <v>1</v>
      </c>
      <c r="Q112">
        <v>1.01</v>
      </c>
      <c r="R112">
        <v>1.2</v>
      </c>
      <c r="S112">
        <v>1.2</v>
      </c>
      <c r="T112">
        <v>1.05</v>
      </c>
      <c r="U112">
        <f t="shared" si="7"/>
        <v>0.16169679924070957</v>
      </c>
    </row>
    <row r="113" spans="1:21" hidden="1" x14ac:dyDescent="0.2">
      <c r="A113" t="s">
        <v>311</v>
      </c>
      <c r="B113" s="52">
        <v>9.7999999999999992E-10</v>
      </c>
      <c r="C113" t="s">
        <v>56</v>
      </c>
      <c r="D113" t="s">
        <v>408</v>
      </c>
      <c r="F113" t="s">
        <v>99</v>
      </c>
      <c r="H113" t="s">
        <v>131</v>
      </c>
      <c r="I113" t="s">
        <v>410</v>
      </c>
      <c r="L113">
        <f t="shared" si="5"/>
        <v>2</v>
      </c>
      <c r="M113">
        <f t="shared" si="6"/>
        <v>-20.74346854426393</v>
      </c>
      <c r="N113">
        <v>1.5</v>
      </c>
      <c r="O113">
        <v>1.2</v>
      </c>
      <c r="P113">
        <v>1.5</v>
      </c>
      <c r="Q113">
        <v>1.1000000000000001</v>
      </c>
      <c r="R113">
        <v>2</v>
      </c>
      <c r="S113">
        <v>1.2</v>
      </c>
      <c r="T113">
        <v>1.5</v>
      </c>
      <c r="U113">
        <f t="shared" si="7"/>
        <v>0.51215847306170115</v>
      </c>
    </row>
    <row r="114" spans="1:21" hidden="1" x14ac:dyDescent="0.2">
      <c r="A114" t="s">
        <v>312</v>
      </c>
      <c r="B114" s="52">
        <v>1.4700000000000001E-7</v>
      </c>
      <c r="C114" t="s">
        <v>56</v>
      </c>
      <c r="D114" t="s">
        <v>408</v>
      </c>
      <c r="F114" t="s">
        <v>99</v>
      </c>
      <c r="H114" t="s">
        <v>131</v>
      </c>
      <c r="I114" t="s">
        <v>410</v>
      </c>
      <c r="L114">
        <f t="shared" si="5"/>
        <v>2</v>
      </c>
      <c r="M114">
        <f t="shared" si="6"/>
        <v>-15.732833250167674</v>
      </c>
      <c r="N114">
        <v>1.5</v>
      </c>
      <c r="O114">
        <v>1.2</v>
      </c>
      <c r="P114">
        <v>1.5</v>
      </c>
      <c r="Q114">
        <v>1.1000000000000001</v>
      </c>
      <c r="R114">
        <v>2</v>
      </c>
      <c r="S114">
        <v>1.2</v>
      </c>
      <c r="T114">
        <v>1.5</v>
      </c>
      <c r="U114">
        <f t="shared" si="7"/>
        <v>0.51215847306170115</v>
      </c>
    </row>
    <row r="115" spans="1:21" hidden="1" x14ac:dyDescent="0.2">
      <c r="A115" t="s">
        <v>313</v>
      </c>
      <c r="B115" s="52">
        <v>3.9200000000000002E-7</v>
      </c>
      <c r="C115" t="s">
        <v>56</v>
      </c>
      <c r="D115" t="s">
        <v>408</v>
      </c>
      <c r="F115" t="s">
        <v>99</v>
      </c>
      <c r="H115" t="s">
        <v>131</v>
      </c>
      <c r="I115" t="s">
        <v>410</v>
      </c>
      <c r="L115">
        <f t="shared" si="5"/>
        <v>2</v>
      </c>
      <c r="M115">
        <f t="shared" si="6"/>
        <v>-14.752003997155949</v>
      </c>
      <c r="N115">
        <v>1.5</v>
      </c>
      <c r="O115">
        <v>1.2</v>
      </c>
      <c r="P115">
        <v>1.5</v>
      </c>
      <c r="Q115">
        <v>1.1000000000000001</v>
      </c>
      <c r="R115">
        <v>2</v>
      </c>
      <c r="S115">
        <v>1.2</v>
      </c>
      <c r="T115">
        <v>1.5</v>
      </c>
      <c r="U115">
        <f t="shared" si="7"/>
        <v>0.51215847306170115</v>
      </c>
    </row>
    <row r="116" spans="1:21" hidden="1" x14ac:dyDescent="0.2">
      <c r="A116" t="s">
        <v>314</v>
      </c>
      <c r="B116" s="52">
        <v>9.7999999999999994E-12</v>
      </c>
      <c r="C116" t="s">
        <v>56</v>
      </c>
      <c r="D116" t="s">
        <v>408</v>
      </c>
      <c r="F116" t="s">
        <v>99</v>
      </c>
      <c r="H116" t="s">
        <v>131</v>
      </c>
      <c r="I116" t="s">
        <v>410</v>
      </c>
      <c r="L116">
        <f t="shared" si="5"/>
        <v>2</v>
      </c>
      <c r="M116">
        <f t="shared" si="6"/>
        <v>-25.348638730252024</v>
      </c>
      <c r="N116">
        <v>1.5</v>
      </c>
      <c r="O116">
        <v>1.2</v>
      </c>
      <c r="P116">
        <v>1.5</v>
      </c>
      <c r="Q116">
        <v>1.1000000000000001</v>
      </c>
      <c r="R116">
        <v>2</v>
      </c>
      <c r="S116">
        <v>1.2</v>
      </c>
      <c r="T116">
        <v>1.5</v>
      </c>
      <c r="U116">
        <f t="shared" si="7"/>
        <v>0.51215847306170115</v>
      </c>
    </row>
    <row r="117" spans="1:21" hidden="1" x14ac:dyDescent="0.2">
      <c r="A117" t="s">
        <v>315</v>
      </c>
      <c r="B117" s="52">
        <v>6.8599999999999998E-7</v>
      </c>
      <c r="C117" t="s">
        <v>56</v>
      </c>
      <c r="D117" t="s">
        <v>408</v>
      </c>
      <c r="F117" t="s">
        <v>99</v>
      </c>
      <c r="H117" t="s">
        <v>131</v>
      </c>
      <c r="I117" t="s">
        <v>410</v>
      </c>
      <c r="L117">
        <f t="shared" si="5"/>
        <v>2</v>
      </c>
      <c r="M117">
        <f t="shared" si="6"/>
        <v>-14.192388209220526</v>
      </c>
      <c r="N117">
        <v>1.5</v>
      </c>
      <c r="O117">
        <v>1.2</v>
      </c>
      <c r="P117">
        <v>1.5</v>
      </c>
      <c r="Q117">
        <v>1.1000000000000001</v>
      </c>
      <c r="R117">
        <v>2</v>
      </c>
      <c r="S117">
        <v>1.2</v>
      </c>
      <c r="T117">
        <v>1.5</v>
      </c>
      <c r="U117">
        <f t="shared" si="7"/>
        <v>0.51215847306170115</v>
      </c>
    </row>
    <row r="118" spans="1:21" hidden="1" x14ac:dyDescent="0.2">
      <c r="A118" t="s">
        <v>316</v>
      </c>
      <c r="B118" s="54">
        <f>2.74*B112*(1-B101)</f>
        <v>2.0058373205741626E-2</v>
      </c>
      <c r="C118" t="s">
        <v>56</v>
      </c>
      <c r="D118" t="s">
        <v>408</v>
      </c>
      <c r="F118" t="s">
        <v>99</v>
      </c>
      <c r="H118" t="s">
        <v>131</v>
      </c>
      <c r="I118" t="s">
        <v>410</v>
      </c>
      <c r="L118">
        <f t="shared" si="5"/>
        <v>2</v>
      </c>
      <c r="M118">
        <f t="shared" si="6"/>
        <v>-3.9091085961604879</v>
      </c>
      <c r="N118">
        <v>1.5</v>
      </c>
      <c r="O118">
        <v>1.2</v>
      </c>
      <c r="P118">
        <v>1.5</v>
      </c>
      <c r="Q118">
        <v>1.1000000000000001</v>
      </c>
      <c r="R118">
        <v>2</v>
      </c>
      <c r="S118">
        <v>1.2</v>
      </c>
      <c r="T118">
        <v>1.05</v>
      </c>
      <c r="U118">
        <f t="shared" si="7"/>
        <v>0.47095746419981693</v>
      </c>
    </row>
    <row r="119" spans="1:21" hidden="1" x14ac:dyDescent="0.2">
      <c r="A119" t="s">
        <v>371</v>
      </c>
      <c r="B119" s="54">
        <f>2.74*B112*B101</f>
        <v>3.1857416267942584E-2</v>
      </c>
      <c r="C119" t="s">
        <v>56</v>
      </c>
      <c r="D119" t="s">
        <v>408</v>
      </c>
      <c r="F119" t="s">
        <v>99</v>
      </c>
      <c r="H119" t="s">
        <v>131</v>
      </c>
      <c r="I119" t="s">
        <v>410</v>
      </c>
      <c r="L119">
        <f t="shared" si="5"/>
        <v>2</v>
      </c>
      <c r="M119">
        <f t="shared" si="6"/>
        <v>-3.4464850742123749</v>
      </c>
      <c r="N119">
        <v>1.5</v>
      </c>
      <c r="O119">
        <v>1.2</v>
      </c>
      <c r="P119">
        <v>1.5</v>
      </c>
      <c r="Q119">
        <v>1.1000000000000001</v>
      </c>
      <c r="R119">
        <v>2</v>
      </c>
      <c r="S119">
        <v>1.2</v>
      </c>
      <c r="T119">
        <v>1.05</v>
      </c>
      <c r="U119">
        <f t="shared" si="7"/>
        <v>0.47095746419981693</v>
      </c>
    </row>
    <row r="120" spans="1:21" hidden="1" x14ac:dyDescent="0.2">
      <c r="A120" t="s">
        <v>400</v>
      </c>
      <c r="B120" s="52">
        <v>5.7819999999999999E-6</v>
      </c>
      <c r="C120" t="s">
        <v>56</v>
      </c>
      <c r="D120" t="s">
        <v>408</v>
      </c>
      <c r="F120" t="s">
        <v>99</v>
      </c>
      <c r="H120" t="s">
        <v>131</v>
      </c>
      <c r="I120" t="s">
        <v>410</v>
      </c>
      <c r="L120">
        <f t="shared" si="5"/>
        <v>2</v>
      </c>
      <c r="M120">
        <f t="shared" si="6"/>
        <v>-12.060760914370119</v>
      </c>
      <c r="N120">
        <v>1.5</v>
      </c>
      <c r="O120">
        <v>1.2</v>
      </c>
      <c r="P120">
        <v>1.5</v>
      </c>
      <c r="Q120">
        <v>1.1000000000000001</v>
      </c>
      <c r="R120">
        <v>2</v>
      </c>
      <c r="S120">
        <v>1.2</v>
      </c>
      <c r="T120">
        <v>5</v>
      </c>
      <c r="U120">
        <f t="shared" si="7"/>
        <v>0.93208283513358414</v>
      </c>
    </row>
    <row r="121" spans="1:21" hidden="1" x14ac:dyDescent="0.2">
      <c r="A121" t="s">
        <v>318</v>
      </c>
      <c r="B121" s="52">
        <v>4.8999999999999997E-7</v>
      </c>
      <c r="C121" t="s">
        <v>56</v>
      </c>
      <c r="D121" t="s">
        <v>408</v>
      </c>
      <c r="F121" t="s">
        <v>99</v>
      </c>
      <c r="H121" t="s">
        <v>131</v>
      </c>
      <c r="I121" t="s">
        <v>410</v>
      </c>
      <c r="L121">
        <f t="shared" si="5"/>
        <v>2</v>
      </c>
      <c r="M121">
        <f t="shared" si="6"/>
        <v>-14.528860445841739</v>
      </c>
      <c r="N121">
        <v>1.5</v>
      </c>
      <c r="O121">
        <v>1.2</v>
      </c>
      <c r="P121">
        <v>1.5</v>
      </c>
      <c r="Q121">
        <v>1.1000000000000001</v>
      </c>
      <c r="R121">
        <v>2</v>
      </c>
      <c r="S121">
        <v>1.2</v>
      </c>
      <c r="T121">
        <v>1.5</v>
      </c>
      <c r="U121">
        <f t="shared" si="7"/>
        <v>0.51215847306170115</v>
      </c>
    </row>
    <row r="122" spans="1:21" hidden="1" x14ac:dyDescent="0.2">
      <c r="A122" t="s">
        <v>401</v>
      </c>
      <c r="B122" s="52">
        <v>2.9400000000000001E-17</v>
      </c>
      <c r="C122" t="s">
        <v>56</v>
      </c>
      <c r="D122" t="s">
        <v>408</v>
      </c>
      <c r="F122" t="s">
        <v>99</v>
      </c>
      <c r="H122" t="s">
        <v>131</v>
      </c>
      <c r="I122" t="s">
        <v>410</v>
      </c>
      <c r="L122">
        <f t="shared" si="5"/>
        <v>2</v>
      </c>
      <c r="M122">
        <f t="shared" si="6"/>
        <v>-38.065536999548186</v>
      </c>
      <c r="N122">
        <v>1.5</v>
      </c>
      <c r="O122">
        <v>1.2</v>
      </c>
      <c r="P122">
        <v>1.5</v>
      </c>
      <c r="Q122">
        <v>1.1000000000000001</v>
      </c>
      <c r="R122">
        <v>2</v>
      </c>
      <c r="S122">
        <v>1.2</v>
      </c>
      <c r="T122">
        <v>1.5</v>
      </c>
      <c r="U122">
        <f t="shared" si="7"/>
        <v>0.51215847306170115</v>
      </c>
    </row>
    <row r="123" spans="1:21" hidden="1" x14ac:dyDescent="0.2">
      <c r="A123" t="s">
        <v>319</v>
      </c>
      <c r="B123" s="52">
        <v>9.8000000000000004E-8</v>
      </c>
      <c r="C123" t="s">
        <v>56</v>
      </c>
      <c r="D123" t="s">
        <v>408</v>
      </c>
      <c r="F123" t="s">
        <v>99</v>
      </c>
      <c r="H123" t="s">
        <v>131</v>
      </c>
      <c r="I123" t="s">
        <v>410</v>
      </c>
      <c r="L123">
        <f t="shared" si="5"/>
        <v>2</v>
      </c>
      <c r="M123">
        <f t="shared" si="6"/>
        <v>-16.13829835827584</v>
      </c>
      <c r="N123">
        <v>1.5</v>
      </c>
      <c r="O123">
        <v>1.2</v>
      </c>
      <c r="P123">
        <v>1.5</v>
      </c>
      <c r="Q123">
        <v>1.1000000000000001</v>
      </c>
      <c r="R123">
        <v>2</v>
      </c>
      <c r="S123">
        <v>1.2</v>
      </c>
      <c r="T123">
        <v>1.5</v>
      </c>
      <c r="U123">
        <f t="shared" si="7"/>
        <v>0.51215847306170115</v>
      </c>
    </row>
    <row r="124" spans="1:21" hidden="1" x14ac:dyDescent="0.2">
      <c r="A124" t="s">
        <v>402</v>
      </c>
      <c r="B124" s="52">
        <v>2.9400000000000003E-11</v>
      </c>
      <c r="C124" t="s">
        <v>56</v>
      </c>
      <c r="D124" t="s">
        <v>408</v>
      </c>
      <c r="F124" t="s">
        <v>99</v>
      </c>
      <c r="H124" t="s">
        <v>131</v>
      </c>
      <c r="I124" t="s">
        <v>410</v>
      </c>
      <c r="L124">
        <f t="shared" si="5"/>
        <v>2</v>
      </c>
      <c r="M124">
        <f t="shared" si="6"/>
        <v>-24.250026441583913</v>
      </c>
      <c r="N124">
        <v>1.5</v>
      </c>
      <c r="O124">
        <v>1.2</v>
      </c>
      <c r="P124">
        <v>1.5</v>
      </c>
      <c r="Q124">
        <v>1.1000000000000001</v>
      </c>
      <c r="R124">
        <v>2</v>
      </c>
      <c r="S124">
        <v>1.2</v>
      </c>
      <c r="T124">
        <v>5</v>
      </c>
      <c r="U124">
        <f t="shared" si="7"/>
        <v>0.93208283513358414</v>
      </c>
    </row>
    <row r="125" spans="1:21" hidden="1" x14ac:dyDescent="0.2">
      <c r="A125" t="s">
        <v>373</v>
      </c>
      <c r="B125" s="52">
        <f>0.00000196*B101</f>
        <v>1.2027272727272726E-6</v>
      </c>
      <c r="C125" t="s">
        <v>56</v>
      </c>
      <c r="D125" t="s">
        <v>408</v>
      </c>
      <c r="F125" t="s">
        <v>99</v>
      </c>
      <c r="H125" t="s">
        <v>131</v>
      </c>
      <c r="I125" t="s">
        <v>410</v>
      </c>
      <c r="L125">
        <f t="shared" si="5"/>
        <v>2</v>
      </c>
      <c r="M125">
        <f t="shared" si="6"/>
        <v>-13.63091885263578</v>
      </c>
      <c r="N125">
        <v>1.5</v>
      </c>
      <c r="O125">
        <v>1.2</v>
      </c>
      <c r="P125">
        <v>1.5</v>
      </c>
      <c r="Q125">
        <v>1.1000000000000001</v>
      </c>
      <c r="R125">
        <v>2</v>
      </c>
      <c r="S125">
        <v>1.2</v>
      </c>
      <c r="T125">
        <v>1.5</v>
      </c>
      <c r="U125">
        <f t="shared" si="7"/>
        <v>0.51215847306170115</v>
      </c>
    </row>
    <row r="126" spans="1:21" hidden="1" x14ac:dyDescent="0.2">
      <c r="A126" t="s">
        <v>320</v>
      </c>
      <c r="B126" s="52">
        <f>0.00000196*(1-B101)</f>
        <v>7.5727272727272724E-7</v>
      </c>
      <c r="C126" t="s">
        <v>56</v>
      </c>
      <c r="D126" t="s">
        <v>408</v>
      </c>
      <c r="F126" t="s">
        <v>99</v>
      </c>
      <c r="H126" t="s">
        <v>131</v>
      </c>
      <c r="I126" t="s">
        <v>410</v>
      </c>
      <c r="L126">
        <f t="shared" si="5"/>
        <v>2</v>
      </c>
      <c r="M126">
        <f t="shared" si="6"/>
        <v>-14.093542374583894</v>
      </c>
      <c r="N126">
        <v>1.5</v>
      </c>
      <c r="O126">
        <v>1.2</v>
      </c>
      <c r="P126">
        <v>1.5</v>
      </c>
      <c r="Q126">
        <v>1.1000000000000001</v>
      </c>
      <c r="R126">
        <v>2</v>
      </c>
      <c r="S126">
        <v>1.2</v>
      </c>
      <c r="T126">
        <v>1.5</v>
      </c>
      <c r="U126">
        <f t="shared" si="7"/>
        <v>0.51215847306170115</v>
      </c>
    </row>
    <row r="127" spans="1:21" hidden="1" x14ac:dyDescent="0.2">
      <c r="A127" t="s">
        <v>135</v>
      </c>
      <c r="B127" s="52">
        <v>9.7019999999999996E-6</v>
      </c>
      <c r="C127" t="s">
        <v>56</v>
      </c>
      <c r="D127" t="s">
        <v>408</v>
      </c>
      <c r="F127" t="s">
        <v>99</v>
      </c>
      <c r="H127" t="s">
        <v>131</v>
      </c>
      <c r="I127" t="s">
        <v>410</v>
      </c>
      <c r="L127">
        <f t="shared" si="5"/>
        <v>2</v>
      </c>
      <c r="M127">
        <f t="shared" si="6"/>
        <v>-11.543178508141249</v>
      </c>
      <c r="N127">
        <v>1.5</v>
      </c>
      <c r="O127">
        <v>1.2</v>
      </c>
      <c r="P127">
        <v>1.5</v>
      </c>
      <c r="Q127">
        <v>1.1000000000000001</v>
      </c>
      <c r="R127">
        <v>2</v>
      </c>
      <c r="S127">
        <v>1.2</v>
      </c>
      <c r="T127">
        <v>1.5</v>
      </c>
      <c r="U127">
        <f t="shared" si="7"/>
        <v>0.51215847306170115</v>
      </c>
    </row>
    <row r="128" spans="1:21" hidden="1" x14ac:dyDescent="0.2">
      <c r="A128" t="s">
        <v>321</v>
      </c>
      <c r="B128" s="52">
        <v>9.8000000000000001E-9</v>
      </c>
      <c r="C128" t="s">
        <v>56</v>
      </c>
      <c r="D128" t="s">
        <v>408</v>
      </c>
      <c r="F128" t="s">
        <v>99</v>
      </c>
      <c r="H128" t="s">
        <v>131</v>
      </c>
      <c r="I128" t="s">
        <v>410</v>
      </c>
      <c r="L128">
        <f t="shared" si="5"/>
        <v>2</v>
      </c>
      <c r="M128">
        <f t="shared" si="6"/>
        <v>-18.440883451269883</v>
      </c>
      <c r="N128">
        <v>1.5</v>
      </c>
      <c r="O128">
        <v>1.2</v>
      </c>
      <c r="P128">
        <v>1.5</v>
      </c>
      <c r="Q128">
        <v>1.1000000000000001</v>
      </c>
      <c r="R128">
        <v>2</v>
      </c>
      <c r="S128">
        <v>1.2</v>
      </c>
      <c r="T128">
        <v>3</v>
      </c>
      <c r="U128">
        <f t="shared" si="7"/>
        <v>0.72314801614797197</v>
      </c>
    </row>
    <row r="129" spans="1:21" hidden="1" x14ac:dyDescent="0.2">
      <c r="A129" t="s">
        <v>403</v>
      </c>
      <c r="B129" s="52">
        <v>9.8000000000000004E-8</v>
      </c>
      <c r="C129" t="s">
        <v>56</v>
      </c>
      <c r="D129" t="s">
        <v>408</v>
      </c>
      <c r="F129" t="s">
        <v>99</v>
      </c>
      <c r="H129" t="s">
        <v>131</v>
      </c>
      <c r="I129" t="s">
        <v>410</v>
      </c>
      <c r="L129">
        <f t="shared" si="5"/>
        <v>2</v>
      </c>
      <c r="M129">
        <f t="shared" si="6"/>
        <v>-16.13829835827584</v>
      </c>
      <c r="N129">
        <v>1.5</v>
      </c>
      <c r="O129">
        <v>1.2</v>
      </c>
      <c r="P129">
        <v>1.5</v>
      </c>
      <c r="Q129">
        <v>1.1000000000000001</v>
      </c>
      <c r="R129">
        <v>2</v>
      </c>
      <c r="S129">
        <v>1.2</v>
      </c>
      <c r="T129">
        <v>3</v>
      </c>
      <c r="U129">
        <f t="shared" si="7"/>
        <v>0.72314801614797197</v>
      </c>
    </row>
    <row r="130" spans="1:21" hidden="1" x14ac:dyDescent="0.2">
      <c r="A130" t="s">
        <v>322</v>
      </c>
      <c r="B130" s="52">
        <v>1.176E-6</v>
      </c>
      <c r="C130" t="s">
        <v>56</v>
      </c>
      <c r="D130" t="s">
        <v>408</v>
      </c>
      <c r="F130" t="s">
        <v>99</v>
      </c>
      <c r="H130" t="s">
        <v>131</v>
      </c>
      <c r="I130" t="s">
        <v>410</v>
      </c>
      <c r="L130">
        <f t="shared" si="5"/>
        <v>2</v>
      </c>
      <c r="M130">
        <f t="shared" si="6"/>
        <v>-13.653391708487838</v>
      </c>
      <c r="N130">
        <v>1.5</v>
      </c>
      <c r="O130">
        <v>1.2</v>
      </c>
      <c r="P130">
        <v>1.5</v>
      </c>
      <c r="Q130">
        <v>1.1000000000000001</v>
      </c>
      <c r="R130">
        <v>2</v>
      </c>
      <c r="S130">
        <v>1.2</v>
      </c>
      <c r="T130">
        <v>1.5</v>
      </c>
      <c r="U130">
        <f t="shared" si="7"/>
        <v>0.51215847306170115</v>
      </c>
    </row>
    <row r="131" spans="1:21" hidden="1" x14ac:dyDescent="0.2">
      <c r="A131" t="s">
        <v>323</v>
      </c>
      <c r="B131" s="52">
        <v>1.9600000000000001E-7</v>
      </c>
      <c r="C131" t="s">
        <v>56</v>
      </c>
      <c r="D131" t="s">
        <v>408</v>
      </c>
      <c r="F131" t="s">
        <v>99</v>
      </c>
      <c r="H131" t="s">
        <v>131</v>
      </c>
      <c r="I131" t="s">
        <v>410</v>
      </c>
      <c r="L131">
        <f t="shared" si="5"/>
        <v>2</v>
      </c>
      <c r="M131">
        <f t="shared" si="6"/>
        <v>-15.445151177715895</v>
      </c>
      <c r="N131">
        <v>1.5</v>
      </c>
      <c r="O131">
        <v>1.2</v>
      </c>
      <c r="P131">
        <v>1.5</v>
      </c>
      <c r="Q131">
        <v>1.1000000000000001</v>
      </c>
      <c r="R131">
        <v>2</v>
      </c>
      <c r="S131">
        <v>1.2</v>
      </c>
      <c r="T131">
        <v>1.5</v>
      </c>
      <c r="U131">
        <f t="shared" si="7"/>
        <v>0.51215847306170115</v>
      </c>
    </row>
    <row r="132" spans="1:21" hidden="1" x14ac:dyDescent="0.2">
      <c r="A132" t="s">
        <v>324</v>
      </c>
      <c r="B132" s="52">
        <v>1.96E-8</v>
      </c>
      <c r="C132" t="s">
        <v>56</v>
      </c>
      <c r="D132" t="s">
        <v>408</v>
      </c>
      <c r="F132" t="s">
        <v>99</v>
      </c>
      <c r="H132" t="s">
        <v>131</v>
      </c>
      <c r="I132" t="s">
        <v>410</v>
      </c>
      <c r="L132">
        <f t="shared" si="5"/>
        <v>2</v>
      </c>
      <c r="M132">
        <f t="shared" si="6"/>
        <v>-17.74773627070994</v>
      </c>
      <c r="N132">
        <v>1.5</v>
      </c>
      <c r="O132">
        <v>1.2</v>
      </c>
      <c r="P132">
        <v>1.5</v>
      </c>
      <c r="Q132">
        <v>1.1000000000000001</v>
      </c>
      <c r="R132">
        <v>2</v>
      </c>
      <c r="S132">
        <v>1.2</v>
      </c>
      <c r="T132">
        <v>1.5</v>
      </c>
      <c r="U132">
        <f t="shared" si="7"/>
        <v>0.51215847306170115</v>
      </c>
    </row>
    <row r="133" spans="1:21" hidden="1" x14ac:dyDescent="0.2">
      <c r="A133" t="s">
        <v>325</v>
      </c>
      <c r="B133" s="52">
        <v>4.8999999999999997E-7</v>
      </c>
      <c r="C133" t="s">
        <v>56</v>
      </c>
      <c r="D133" t="s">
        <v>408</v>
      </c>
      <c r="F133" t="s">
        <v>99</v>
      </c>
      <c r="H133" t="s">
        <v>131</v>
      </c>
      <c r="I133" t="s">
        <v>410</v>
      </c>
      <c r="L133">
        <f t="shared" si="5"/>
        <v>2</v>
      </c>
      <c r="M133">
        <f t="shared" si="6"/>
        <v>-14.528860445841739</v>
      </c>
      <c r="N133">
        <v>1.5</v>
      </c>
      <c r="O133">
        <v>1.2</v>
      </c>
      <c r="P133">
        <v>1.5</v>
      </c>
      <c r="Q133">
        <v>1.1000000000000001</v>
      </c>
      <c r="R133">
        <v>2</v>
      </c>
      <c r="S133">
        <v>1.2</v>
      </c>
      <c r="T133">
        <v>1.5</v>
      </c>
      <c r="U133">
        <f t="shared" si="7"/>
        <v>0.51215847306170115</v>
      </c>
    </row>
    <row r="134" spans="1:21" hidden="1" x14ac:dyDescent="0.2">
      <c r="A134" t="s">
        <v>326</v>
      </c>
      <c r="B134" s="52">
        <v>1.9600000000000001E-7</v>
      </c>
      <c r="C134" t="s">
        <v>56</v>
      </c>
      <c r="D134" t="s">
        <v>408</v>
      </c>
      <c r="F134" t="s">
        <v>99</v>
      </c>
      <c r="H134" t="s">
        <v>131</v>
      </c>
      <c r="I134" t="s">
        <v>410</v>
      </c>
      <c r="L134">
        <f t="shared" si="5"/>
        <v>2</v>
      </c>
      <c r="M134">
        <f t="shared" si="6"/>
        <v>-15.445151177715895</v>
      </c>
      <c r="N134">
        <v>1.5</v>
      </c>
      <c r="O134">
        <v>1.2</v>
      </c>
      <c r="P134">
        <v>1.5</v>
      </c>
      <c r="Q134">
        <v>1.1000000000000001</v>
      </c>
      <c r="R134">
        <v>2</v>
      </c>
      <c r="S134">
        <v>1.2</v>
      </c>
      <c r="T134">
        <v>1.5</v>
      </c>
      <c r="U134">
        <f t="shared" si="7"/>
        <v>0.51215847306170115</v>
      </c>
    </row>
    <row r="135" spans="1:21" hidden="1" x14ac:dyDescent="0.2">
      <c r="A135" t="s">
        <v>404</v>
      </c>
      <c r="B135" s="52">
        <v>1.2739999999999999E-7</v>
      </c>
      <c r="C135" t="s">
        <v>56</v>
      </c>
      <c r="D135" t="s">
        <v>409</v>
      </c>
      <c r="F135" t="s">
        <v>99</v>
      </c>
      <c r="H135" t="s">
        <v>131</v>
      </c>
      <c r="I135" t="s">
        <v>410</v>
      </c>
      <c r="L135">
        <f t="shared" si="5"/>
        <v>2</v>
      </c>
      <c r="M135">
        <f t="shared" si="6"/>
        <v>-15.875934093808349</v>
      </c>
      <c r="N135">
        <v>1.5</v>
      </c>
      <c r="O135">
        <v>1.2</v>
      </c>
      <c r="P135">
        <v>1.5</v>
      </c>
      <c r="Q135">
        <v>1.1000000000000001</v>
      </c>
      <c r="R135">
        <v>2</v>
      </c>
      <c r="S135">
        <v>1.2</v>
      </c>
      <c r="T135">
        <v>1.5</v>
      </c>
      <c r="U135">
        <f t="shared" si="7"/>
        <v>0.51215847306170115</v>
      </c>
    </row>
    <row r="136" spans="1:21" hidden="1" x14ac:dyDescent="0.2">
      <c r="A136" t="s">
        <v>405</v>
      </c>
      <c r="B136" s="52">
        <v>2.9400000000000002E-9</v>
      </c>
      <c r="C136" t="s">
        <v>56</v>
      </c>
      <c r="D136" t="s">
        <v>409</v>
      </c>
      <c r="F136" t="s">
        <v>99</v>
      </c>
      <c r="H136" t="s">
        <v>131</v>
      </c>
      <c r="I136" t="s">
        <v>410</v>
      </c>
      <c r="L136">
        <f t="shared" si="5"/>
        <v>2</v>
      </c>
      <c r="M136">
        <f t="shared" si="6"/>
        <v>-19.644856255595823</v>
      </c>
      <c r="N136">
        <v>1.5</v>
      </c>
      <c r="O136">
        <v>1.2</v>
      </c>
      <c r="P136">
        <v>1.5</v>
      </c>
      <c r="Q136">
        <v>1.1000000000000001</v>
      </c>
      <c r="R136">
        <v>2</v>
      </c>
      <c r="S136">
        <v>1.2</v>
      </c>
      <c r="T136">
        <v>1.5</v>
      </c>
      <c r="U136">
        <f t="shared" si="7"/>
        <v>0.51215847306170115</v>
      </c>
    </row>
    <row r="137" spans="1:21" hidden="1" x14ac:dyDescent="0.2">
      <c r="A137" t="s">
        <v>406</v>
      </c>
      <c r="B137" s="52">
        <v>4.9000000000000002E-8</v>
      </c>
      <c r="C137" t="s">
        <v>56</v>
      </c>
      <c r="D137" t="s">
        <v>409</v>
      </c>
      <c r="F137" t="s">
        <v>99</v>
      </c>
      <c r="H137" t="s">
        <v>131</v>
      </c>
      <c r="I137" t="s">
        <v>410</v>
      </c>
      <c r="L137">
        <f t="shared" si="5"/>
        <v>2</v>
      </c>
      <c r="M137">
        <f t="shared" si="6"/>
        <v>-16.831445538835784</v>
      </c>
      <c r="N137">
        <v>1.5</v>
      </c>
      <c r="O137">
        <v>1.2</v>
      </c>
      <c r="P137">
        <v>1.5</v>
      </c>
      <c r="Q137">
        <v>1.1000000000000001</v>
      </c>
      <c r="R137">
        <v>2</v>
      </c>
      <c r="S137">
        <v>1.2</v>
      </c>
      <c r="T137">
        <v>1.5</v>
      </c>
      <c r="U137">
        <f t="shared" si="7"/>
        <v>0.51215847306170115</v>
      </c>
    </row>
    <row r="138" spans="1:21" hidden="1" x14ac:dyDescent="0.2">
      <c r="A138" t="s">
        <v>407</v>
      </c>
      <c r="B138" s="52">
        <v>4.9000000000000002E-8</v>
      </c>
      <c r="C138" t="s">
        <v>56</v>
      </c>
      <c r="D138" t="s">
        <v>409</v>
      </c>
      <c r="F138" t="s">
        <v>99</v>
      </c>
      <c r="H138" t="s">
        <v>131</v>
      </c>
      <c r="I138" t="s">
        <v>410</v>
      </c>
      <c r="L138">
        <f t="shared" si="5"/>
        <v>2</v>
      </c>
      <c r="M138">
        <f t="shared" si="6"/>
        <v>-16.831445538835784</v>
      </c>
      <c r="N138">
        <v>1.5</v>
      </c>
      <c r="O138">
        <v>1.2</v>
      </c>
      <c r="P138">
        <v>1.5</v>
      </c>
      <c r="Q138">
        <v>1.1000000000000001</v>
      </c>
      <c r="R138">
        <v>2</v>
      </c>
      <c r="S138">
        <v>1.2</v>
      </c>
      <c r="T138">
        <v>1.5</v>
      </c>
      <c r="U138">
        <f t="shared" si="7"/>
        <v>0.51215847306170115</v>
      </c>
    </row>
    <row r="139" spans="1:21" hidden="1" x14ac:dyDescent="0.2"/>
    <row r="140" spans="1:21" hidden="1" x14ac:dyDescent="0.2">
      <c r="A140" s="2" t="s">
        <v>50</v>
      </c>
      <c r="B140" s="44" t="str">
        <f>IF(B146="megajoule","heat","electricity")&amp;", residential, by "&amp;B151&amp;" of "&amp;B150&amp;" using "&amp;B152&amp;IF(B153&lt;&gt;0,"allocated by "&amp;B153,"")&amp;", transported by "&amp;B154&amp;", produced by "&amp;B158&amp;" using "&amp;B159&amp;" from "&amp;B160&amp;" and carbon sourced from "&amp;B161</f>
        <v>heat, residential, by combustion of synthetic natural gas from biological methanation using boiler, transported by pipeline, produced by Electrolysis, PEM using water and electricity from grid and carbon sourced from Cement plant</v>
      </c>
    </row>
    <row r="141" spans="1:21" hidden="1" x14ac:dyDescent="0.2">
      <c r="A141" t="s">
        <v>51</v>
      </c>
      <c r="B141" s="45" t="str">
        <f>"This dataset represents the supply of 1 megajoule of heat in a residence, by "&amp;B150&amp;" "&amp;B151&amp;" in a "&amp;B152&amp;". "&amp;" The "&amp;B150&amp;" is transported by "&amp;B154&amp;" over "&amp;B155&amp;" km from regional storage. "&amp;" The "&amp;B150&amp;" is produced by  "&amp;B158&amp;", with "&amp;B159&amp;" from "&amp;B160&amp;" as feedstock. The carbon is sourced from "&amp;B161&amp;". "&amp;A162&amp;": "&amp;(B162*100)&amp;"%. "&amp;A163&amp;": "&amp;B163&amp;". "&amp;A164&amp;": "&amp;B164&amp;". "&amp;A165&amp;": "&amp;(B165*100)&amp;"%. "&amp;A166&amp;": "&amp;(B166*100)&amp;"%. "&amp;A167&amp;": "&amp;(B167*100)&amp;"%. "&amp;A168&amp;": "&amp;B168&amp;". "&amp;A169&amp;": "&amp;B169&amp;". "&amp;A170&amp;": "&amp;(B170*100)&amp;"%. "&amp;A171&amp;": "&amp;B171&amp;". "&amp;A172&amp;": "&amp;B172&amp;". "&amp;A173&amp;": "&amp;B173&amp;". "&amp;A174&amp;": "&amp;B174&amp;".  For more information, refer to: "&amp;B142</f>
        <v>This dataset represents the supply of 1 megajoule of heat in a residence, by synthetic natural gas from biological methanation combustion in a boiler.  The synthetic natural gas from biological methanation is transported by pipeline over 500 km from regional storage.  The synthetic natural gas from biological methanation is produced by  Electrolysis, PEM, with water and electricity from grid as feedstock. The carbon is sourced from Cement plant. Heat conversion efficiency [% LHV input]: 111.111111111111%. LHV [MJ/kg]: 47.5. Market price [€/MJ]: 0.0266666666666667. Distribution loss [% output]: 0.019%. Storage loss [% output]: 0%. Synthesis efficiency [% LHV input]: 0%. Hydrogen production efficiency [% LHV input]: 0. Grid loss [%]: 0.06. CO2 biogenic share [%]: 5.87515299877601%. Power [kW]: 15. Lifetime [years]: 20. Annual operation [hours]: 2100. : .  For more information, refer to: Sacchi, R. and Bauer, C. Life Cycle Assessment of Power-to-X processes and associated electricity and heat applications in the residential sector. Paul Scherrer Institut, 2023.</v>
      </c>
    </row>
    <row r="142" spans="1:21" hidden="1" x14ac:dyDescent="0.2">
      <c r="A142" t="s">
        <v>63</v>
      </c>
      <c r="B142" s="45" t="s">
        <v>1223</v>
      </c>
    </row>
    <row r="143" spans="1:21" hidden="1" x14ac:dyDescent="0.2">
      <c r="A143" t="s">
        <v>52</v>
      </c>
      <c r="B143" s="45" t="s">
        <v>64</v>
      </c>
    </row>
    <row r="144" spans="1:21" hidden="1" x14ac:dyDescent="0.2">
      <c r="A144" t="s">
        <v>48</v>
      </c>
      <c r="B144" s="45">
        <v>179</v>
      </c>
    </row>
    <row r="145" spans="1:2" hidden="1" x14ac:dyDescent="0.2">
      <c r="A145" t="s">
        <v>54</v>
      </c>
      <c r="B145" s="45" t="str">
        <f>INDEX(overview!$B$4:$R$338,MATCH(B144,overview!$A$4:$A$338,0),MATCH(A145,overview!$B$3:$R$3,0))</f>
        <v>heat, from residential heating system</v>
      </c>
    </row>
    <row r="146" spans="1:2" hidden="1" x14ac:dyDescent="0.2">
      <c r="A146" t="s">
        <v>55</v>
      </c>
      <c r="B146" s="45" t="str">
        <f>INDEX(overview!$B$4:$R$338,MATCH(B144,overview!$A$4:$A$338,0),MATCH(A146,overview!$B$3:$R$3,0))</f>
        <v>megajoule</v>
      </c>
    </row>
    <row r="147" spans="1:2" hidden="1" x14ac:dyDescent="0.2">
      <c r="A147" t="s">
        <v>0</v>
      </c>
      <c r="B147" s="45" t="str">
        <f>INDEX(overview!$B$4:$R$338,MATCH(B144,overview!$A$4:$A$338,0),MATCH(A147,overview!$B$3:$R$3,0))</f>
        <v>Switzerland</v>
      </c>
    </row>
    <row r="148" spans="1:2" hidden="1" x14ac:dyDescent="0.2">
      <c r="A148" t="s">
        <v>1</v>
      </c>
      <c r="B148" s="45">
        <f>INDEX(overview!$B$4:$R$338,MATCH(B144,overview!$A$4:$A$338,0),MATCH(A148,overview!$B$3:$R$3,0))</f>
        <v>2020</v>
      </c>
    </row>
    <row r="149" spans="1:2" hidden="1" x14ac:dyDescent="0.2">
      <c r="A149" t="s">
        <v>2</v>
      </c>
      <c r="B149" s="45" t="str">
        <f>INDEX(overview!$B$4:$R$338,MATCH(B144,overview!$A$4:$A$338,0),MATCH(A149,overview!$B$3:$R$3,0))</f>
        <v>1 MJ heat</v>
      </c>
    </row>
    <row r="150" spans="1:2" hidden="1" x14ac:dyDescent="0.2">
      <c r="A150" t="s">
        <v>5</v>
      </c>
      <c r="B150" s="45" t="str">
        <f>INDEX(overview!$B$4:$R$338,MATCH(B144,overview!$A$4:$A$338,0),MATCH(A150,overview!$B$3:$R$3,0))</f>
        <v>synthetic natural gas from biological methanation</v>
      </c>
    </row>
    <row r="151" spans="1:2" hidden="1" x14ac:dyDescent="0.2">
      <c r="A151" t="s">
        <v>3</v>
      </c>
      <c r="B151" s="45" t="str">
        <f>INDEX(overview!$B$4:$R$338,MATCH(B144,overview!$A$4:$A$338,0),MATCH(A151,overview!$B$3:$R$3,0))</f>
        <v>combustion</v>
      </c>
    </row>
    <row r="152" spans="1:2" hidden="1" x14ac:dyDescent="0.2">
      <c r="A152" t="s">
        <v>6</v>
      </c>
      <c r="B152" s="45" t="str">
        <f>INDEX(overview!$B$4:$R$338,MATCH(B144,overview!$A$4:$A$338,0),MATCH(A152,overview!$B$3:$R$3,0))</f>
        <v>boiler</v>
      </c>
    </row>
    <row r="153" spans="1:2" hidden="1" x14ac:dyDescent="0.2">
      <c r="A153" t="s">
        <v>39</v>
      </c>
      <c r="B153" s="45">
        <f>INDEX(overview!$B$4:$R$338,MATCH(B144,overview!$A$4:$A$338,0),MATCH(A153,overview!$B$3:$R$3,0))</f>
        <v>0</v>
      </c>
    </row>
    <row r="154" spans="1:2" hidden="1" x14ac:dyDescent="0.2">
      <c r="A154" t="s">
        <v>4</v>
      </c>
      <c r="B154" s="45" t="str">
        <f>INDEX(overview!$B$4:$R$338,MATCH(B144,overview!$A$4:$A$338,0),MATCH(A154,overview!$B$3:$R$3,0))</f>
        <v>pipeline</v>
      </c>
    </row>
    <row r="155" spans="1:2" hidden="1" x14ac:dyDescent="0.2">
      <c r="A155" t="s">
        <v>38</v>
      </c>
      <c r="B155" s="45">
        <f>INDEX(overview!$B$4:$R$338,MATCH(B144,overview!$A$4:$A$338,0),MATCH(A155,overview!$B$3:$R$3,0))</f>
        <v>500</v>
      </c>
    </row>
    <row r="156" spans="1:2" hidden="1" x14ac:dyDescent="0.2">
      <c r="A156" t="s">
        <v>12</v>
      </c>
      <c r="B156" s="45" t="str">
        <f>INDEX(overview!$B$4:$R$338,MATCH(B144,overview!$A$4:$A$338,0),MATCH(A156,overview!$B$3:$R$3,0))</f>
        <v>Above surface pressure vessel</v>
      </c>
    </row>
    <row r="157" spans="1:2" hidden="1" x14ac:dyDescent="0.2">
      <c r="A157" t="s">
        <v>34</v>
      </c>
      <c r="B157" s="45" t="str">
        <f>INDEX(overview!$B$4:$R$338,MATCH(B144,overview!$A$4:$A$338,0),MATCH(A157,overview!$B$3:$R$3,0))</f>
        <v>biological</v>
      </c>
    </row>
    <row r="158" spans="1:2" hidden="1" x14ac:dyDescent="0.2">
      <c r="A158" t="s">
        <v>15</v>
      </c>
      <c r="B158" s="45" t="str">
        <f>INDEX(overview!$B$4:$R$338,MATCH(B144,overview!$A$4:$A$338,0),MATCH(A158,overview!$B$3:$R$3,0))</f>
        <v>Electrolysis, PEM</v>
      </c>
    </row>
    <row r="159" spans="1:2" hidden="1" x14ac:dyDescent="0.2">
      <c r="A159" t="s">
        <v>14</v>
      </c>
      <c r="B159" s="45" t="str">
        <f>INDEX(overview!$B$4:$R$338,MATCH(B144,overview!$A$4:$A$338,0),MATCH(A159,overview!$B$3:$R$3,0))</f>
        <v>water and electricity</v>
      </c>
    </row>
    <row r="160" spans="1:2" hidden="1" x14ac:dyDescent="0.2">
      <c r="A160" t="s">
        <v>26</v>
      </c>
      <c r="B160" s="45" t="str">
        <f>INDEX(overview!$B$4:$R$338,MATCH(B144,overview!$A$4:$A$338,0),MATCH(A160,overview!$B$3:$R$3,0))</f>
        <v>grid</v>
      </c>
    </row>
    <row r="161" spans="1:22" hidden="1" x14ac:dyDescent="0.2">
      <c r="A161" t="s">
        <v>29</v>
      </c>
      <c r="B161" s="45" t="str">
        <f>INDEX(overview!$B$4:$R$338,MATCH(B144,overview!$A$4:$A$338,0),MATCH(A161,overview!$B$3:$R$3,0))</f>
        <v>Cement plant</v>
      </c>
    </row>
    <row r="162" spans="1:22" hidden="1" x14ac:dyDescent="0.2">
      <c r="A162" t="s">
        <v>632</v>
      </c>
      <c r="B162" s="46">
        <f>INDEX(parameters!$D$4:$N$20,MATCH(B150&amp;B152,parameters!$A$4:$A$20,0),MATCH(A162,parameters!$D$3:$N$3,0))</f>
        <v>1.1111111111111112</v>
      </c>
    </row>
    <row r="163" spans="1:22" hidden="1" x14ac:dyDescent="0.2">
      <c r="A163" t="s">
        <v>40</v>
      </c>
      <c r="B163" s="47">
        <f>INDEX(parameters!$D$4:$N$20,MATCH(B150&amp;B152,parameters!$A$4:$A$20,0),MATCH(A163,parameters!$D$3:$N$3,0))</f>
        <v>47.5</v>
      </c>
    </row>
    <row r="164" spans="1:22" hidden="1" x14ac:dyDescent="0.2">
      <c r="A164" t="s">
        <v>41</v>
      </c>
      <c r="B164" s="48">
        <f>INDEX(parameters!$D$4:$N$20,MATCH(B150&amp;B152,parameters!$A$4:$A$20,0),MATCH(A164,parameters!$D$3:$N$3,0))</f>
        <v>2.6666666666666665E-2</v>
      </c>
    </row>
    <row r="165" spans="1:22" hidden="1" x14ac:dyDescent="0.2">
      <c r="A165" t="s">
        <v>45</v>
      </c>
      <c r="B165" s="49">
        <f>INDEX(parameters!$D$4:$N$20,MATCH(B150&amp;B152,parameters!$A$4:$A$20,0),MATCH(A165,parameters!$D$3:$N$3,0))</f>
        <v>1.9000000000000001E-4</v>
      </c>
    </row>
    <row r="166" spans="1:22" hidden="1" x14ac:dyDescent="0.2">
      <c r="A166" t="s">
        <v>46</v>
      </c>
      <c r="B166" s="49">
        <f>INDEX(parameters!$D$4:$N$20,MATCH(B150&amp;B152,parameters!$A$4:$A$20,0),MATCH(A166,parameters!$D$3:$N$3,0))</f>
        <v>0</v>
      </c>
    </row>
    <row r="167" spans="1:22" hidden="1" x14ac:dyDescent="0.2">
      <c r="A167" t="s">
        <v>43</v>
      </c>
      <c r="B167" s="49">
        <f>INDEX(parameters!$D$4:$N$20,MATCH(B150&amp;B152,parameters!$A$4:$A$20,0),MATCH(A167,parameters!$D$3:$N$3,0))</f>
        <v>0</v>
      </c>
    </row>
    <row r="168" spans="1:22" hidden="1" x14ac:dyDescent="0.2">
      <c r="A168" t="s">
        <v>44</v>
      </c>
      <c r="B168" s="49">
        <f>INDEX(parameters!$D$4:$N$20,MATCH(B150&amp;B152,parameters!$A$4:$A$20,0),MATCH(A168,parameters!$D$3:$N$3,0))</f>
        <v>0</v>
      </c>
    </row>
    <row r="169" spans="1:22" hidden="1" x14ac:dyDescent="0.2">
      <c r="A169" t="s">
        <v>47</v>
      </c>
      <c r="B169" s="49">
        <f>INDEX(parameters!$D$4:$N$20,MATCH(B150&amp;B152,parameters!$A$4:$A$20,0),MATCH(A169,parameters!$D$3:$N$3,0))</f>
        <v>0.06</v>
      </c>
    </row>
    <row r="170" spans="1:22" hidden="1" x14ac:dyDescent="0.2">
      <c r="A170" t="s">
        <v>82</v>
      </c>
      <c r="B170" s="46">
        <f>IF(B161&lt;&gt;0,VLOOKUP(B161,parameters!$A$26:$B$28,2,0),"")</f>
        <v>5.8751529987760093E-2</v>
      </c>
    </row>
    <row r="171" spans="1:22" hidden="1" x14ac:dyDescent="0.2">
      <c r="A171" t="s">
        <v>548</v>
      </c>
      <c r="B171" s="50">
        <f>INDEX(parameters!$D$4:$P$20,MATCH(B150&amp;B152,parameters!$A$4:$A$20,0),MATCH(A171,parameters!$D$3:$P$3,0))</f>
        <v>15</v>
      </c>
    </row>
    <row r="172" spans="1:22" hidden="1" x14ac:dyDescent="0.2">
      <c r="A172" t="s">
        <v>547</v>
      </c>
      <c r="B172" s="51">
        <f>INDEX(parameters!$D$4:$P$20,MATCH(B150&amp;B152,parameters!$A$4:$A$20,0),MATCH(A172,parameters!$D$3:$P$3,0))</f>
        <v>20</v>
      </c>
    </row>
    <row r="173" spans="1:22" hidden="1" x14ac:dyDescent="0.2">
      <c r="A173" t="s">
        <v>630</v>
      </c>
      <c r="B173" s="51">
        <f>INDEX(parameters!$D$4:$T$20,MATCH(B150&amp;B152,parameters!$A$4:$A$20,0),MATCH(A173,parameters!$D$3:$T$3,0))</f>
        <v>2100</v>
      </c>
    </row>
    <row r="174" spans="1:22" hidden="1" x14ac:dyDescent="0.2"/>
    <row r="175" spans="1:22" hidden="1" x14ac:dyDescent="0.2">
      <c r="A175" s="3" t="s">
        <v>57</v>
      </c>
    </row>
    <row r="176" spans="1:22" hidden="1" x14ac:dyDescent="0.2">
      <c r="A176" s="2" t="s">
        <v>58</v>
      </c>
      <c r="B176" s="44" t="s">
        <v>59</v>
      </c>
      <c r="C176" s="2" t="s">
        <v>55</v>
      </c>
      <c r="D176" s="2" t="s">
        <v>60</v>
      </c>
      <c r="E176" s="2" t="s">
        <v>52</v>
      </c>
      <c r="F176" s="2" t="s">
        <v>61</v>
      </c>
      <c r="G176" s="2" t="s">
        <v>54</v>
      </c>
      <c r="H176" s="2" t="s">
        <v>87</v>
      </c>
      <c r="I176" s="2" t="s">
        <v>51</v>
      </c>
      <c r="J176" s="2" t="s">
        <v>138</v>
      </c>
      <c r="K176" s="2" t="s">
        <v>136</v>
      </c>
      <c r="L176" s="2" t="s">
        <v>221</v>
      </c>
      <c r="M176" s="2" t="s">
        <v>379</v>
      </c>
      <c r="N176" s="2" t="s">
        <v>1059</v>
      </c>
      <c r="O176" s="2" t="s">
        <v>1060</v>
      </c>
      <c r="P176" s="2" t="s">
        <v>1061</v>
      </c>
      <c r="Q176" s="2" t="s">
        <v>1062</v>
      </c>
      <c r="R176" s="2" t="s">
        <v>1063</v>
      </c>
      <c r="S176" s="2" t="s">
        <v>1064</v>
      </c>
      <c r="T176" s="2" t="s">
        <v>1065</v>
      </c>
      <c r="U176" s="2" t="s">
        <v>380</v>
      </c>
      <c r="V176" s="2" t="s">
        <v>1128</v>
      </c>
    </row>
    <row r="177" spans="1:21" x14ac:dyDescent="0.2">
      <c r="A177" t="str">
        <f>B140</f>
        <v>heat, residential, by combustion of synthetic natural gas from biological methanation using boiler, transported by pipeline, produced by Electrolysis, PEM using water and electricity from grid and carbon sourced from Cement plant</v>
      </c>
      <c r="B177" s="45">
        <v>1</v>
      </c>
      <c r="C177" t="str">
        <f>B146</f>
        <v>megajoule</v>
      </c>
      <c r="E177" t="str">
        <f>B143</f>
        <v>CH</v>
      </c>
      <c r="F177" t="s">
        <v>62</v>
      </c>
      <c r="G177" t="str">
        <f>B145</f>
        <v>heat, from residential heating system</v>
      </c>
      <c r="K177" t="str">
        <f>B140</f>
        <v>heat, residential, by combustion of synthetic natural gas from biological methanation using boiler, transported by pipeline, produced by Electrolysis, PEM using water and electricity from grid and carbon sourced from Cement plant</v>
      </c>
    </row>
    <row r="178" spans="1:21" hidden="1" x14ac:dyDescent="0.2">
      <c r="A178" t="s">
        <v>83</v>
      </c>
      <c r="B178" s="52">
        <f>1/(B171*B173*B172*3.6)</f>
        <v>4.4091710758377425E-7</v>
      </c>
      <c r="C178" t="s">
        <v>55</v>
      </c>
      <c r="E178" t="s">
        <v>85</v>
      </c>
      <c r="F178" t="s">
        <v>86</v>
      </c>
      <c r="G178" t="s">
        <v>84</v>
      </c>
      <c r="H178" t="s">
        <v>88</v>
      </c>
      <c r="K178" t="str">
        <f>B140</f>
        <v>heat, residential, by combustion of synthetic natural gas from biological methanation using boiler, transported by pipeline, produced by Electrolysis, PEM using water and electricity from grid and carbon sourced from Cement plant</v>
      </c>
      <c r="L178">
        <f t="shared" ref="L178:L207" si="8">IF(OR(B178&lt;0,B178=0),1,2)</f>
        <v>2</v>
      </c>
      <c r="M178">
        <f t="shared" ref="M178:M207" si="9">IF(L178=2,LN(B178),"")</f>
        <v>-14.634408943829779</v>
      </c>
      <c r="N178">
        <v>1.05</v>
      </c>
      <c r="O178">
        <v>1.2</v>
      </c>
      <c r="P178">
        <v>1</v>
      </c>
      <c r="Q178">
        <v>1.01</v>
      </c>
      <c r="R178">
        <v>1.2</v>
      </c>
      <c r="S178">
        <v>1.2</v>
      </c>
      <c r="T178">
        <v>3</v>
      </c>
      <c r="U178">
        <f t="shared" ref="U178:U207" si="10">LN(SQRT(EXP(
SQRT(
+POWER(LN(N178),2)
+POWER(LN(O178),2)
+POWER(LN(P178),2)
+POWER(LN(Q178),2)
+POWER(LN(R178),2)
+POWER(LN(S178),2)
+POWER(LN(T178),2)
)
)))</f>
        <v>0.57209088006881903</v>
      </c>
    </row>
    <row r="179" spans="1:21" hidden="1" x14ac:dyDescent="0.2">
      <c r="A179" t="s">
        <v>500</v>
      </c>
      <c r="B179" s="52">
        <f>B178*2</f>
        <v>8.8183421516754851E-7</v>
      </c>
      <c r="C179" t="s">
        <v>267</v>
      </c>
      <c r="E179" t="s">
        <v>85</v>
      </c>
      <c r="F179" t="s">
        <v>86</v>
      </c>
      <c r="G179" t="s">
        <v>501</v>
      </c>
      <c r="H179" t="s">
        <v>88</v>
      </c>
      <c r="I179" t="s">
        <v>621</v>
      </c>
      <c r="K179" t="str">
        <f>B140</f>
        <v>heat, residential, by combustion of synthetic natural gas from biological methanation using boiler, transported by pipeline, produced by Electrolysis, PEM using water and electricity from grid and carbon sourced from Cement plant</v>
      </c>
      <c r="L179">
        <f t="shared" si="8"/>
        <v>2</v>
      </c>
      <c r="M179">
        <f t="shared" si="9"/>
        <v>-13.941261763269834</v>
      </c>
      <c r="N179">
        <v>1.05</v>
      </c>
      <c r="O179">
        <v>1.2</v>
      </c>
      <c r="P179">
        <v>1</v>
      </c>
      <c r="Q179">
        <v>1.01</v>
      </c>
      <c r="R179">
        <v>1.2</v>
      </c>
      <c r="S179">
        <v>1.2</v>
      </c>
      <c r="T179">
        <v>3</v>
      </c>
      <c r="U179">
        <f t="shared" si="10"/>
        <v>0.57209088006881903</v>
      </c>
    </row>
    <row r="180" spans="1:21" hidden="1" x14ac:dyDescent="0.2">
      <c r="A180" t="s">
        <v>130</v>
      </c>
      <c r="B180" s="52">
        <v>2.64E-3</v>
      </c>
      <c r="C180" t="s">
        <v>92</v>
      </c>
      <c r="E180" t="s">
        <v>64</v>
      </c>
      <c r="F180" t="s">
        <v>86</v>
      </c>
      <c r="G180" t="s">
        <v>93</v>
      </c>
      <c r="H180" t="s">
        <v>78</v>
      </c>
      <c r="I180" t="s">
        <v>270</v>
      </c>
      <c r="J180" t="s">
        <v>67</v>
      </c>
      <c r="K180" t="str">
        <f>B140</f>
        <v>heat, residential, by combustion of synthetic natural gas from biological methanation using boiler, transported by pipeline, produced by Electrolysis, PEM using water and electricity from grid and carbon sourced from Cement plant</v>
      </c>
      <c r="L180">
        <f t="shared" si="8"/>
        <v>2</v>
      </c>
      <c r="M180">
        <f t="shared" si="9"/>
        <v>-5.9369763618239126</v>
      </c>
      <c r="N180">
        <v>1.05</v>
      </c>
      <c r="O180">
        <v>1.2</v>
      </c>
      <c r="P180">
        <v>1</v>
      </c>
      <c r="Q180">
        <v>1.01</v>
      </c>
      <c r="R180">
        <v>1.2</v>
      </c>
      <c r="S180">
        <v>1.2</v>
      </c>
      <c r="T180">
        <v>1.05</v>
      </c>
      <c r="U180">
        <f t="shared" si="10"/>
        <v>0.16169679924070957</v>
      </c>
    </row>
    <row r="181" spans="1:21" hidden="1" x14ac:dyDescent="0.2">
      <c r="A181" t="s">
        <v>1166</v>
      </c>
      <c r="B181" s="53">
        <f>(B177/B163)/B162</f>
        <v>1.8947368421052629E-2</v>
      </c>
      <c r="C181" t="str">
        <f>VLOOKUP(J181,'dataset mapping'!$A$4:$E$69,5,0)</f>
        <v>kilogram</v>
      </c>
      <c r="E181" t="str">
        <f>VLOOKUP(J181,'dataset mapping'!$A$4:$E$69,4,0)</f>
        <v>CH</v>
      </c>
      <c r="F181" t="s">
        <v>86</v>
      </c>
      <c r="G181" t="s">
        <v>1157</v>
      </c>
      <c r="H181" t="s">
        <v>1187</v>
      </c>
      <c r="I181" t="s">
        <v>1055</v>
      </c>
      <c r="J181" t="s">
        <v>863</v>
      </c>
      <c r="K181" t="str">
        <f>B140</f>
        <v>heat, residential, by combustion of synthetic natural gas from biological methanation using boiler, transported by pipeline, produced by Electrolysis, PEM using water and electricity from grid and carbon sourced from Cement plant</v>
      </c>
      <c r="L181">
        <f t="shared" si="8"/>
        <v>2</v>
      </c>
      <c r="M181">
        <f t="shared" si="9"/>
        <v>-3.9660902266984221</v>
      </c>
      <c r="N181">
        <v>1.05</v>
      </c>
      <c r="O181">
        <v>1.2</v>
      </c>
      <c r="P181">
        <v>1</v>
      </c>
      <c r="Q181">
        <v>1.01</v>
      </c>
      <c r="R181">
        <v>1.2</v>
      </c>
      <c r="S181">
        <v>1.2</v>
      </c>
      <c r="T181">
        <v>1.05</v>
      </c>
      <c r="U181">
        <f t="shared" si="10"/>
        <v>0.16169679924070957</v>
      </c>
    </row>
    <row r="182" spans="1:21" hidden="1" x14ac:dyDescent="0.2">
      <c r="A182" t="s">
        <v>311</v>
      </c>
      <c r="B182" s="52">
        <v>9.7999999999999992E-10</v>
      </c>
      <c r="C182" t="s">
        <v>56</v>
      </c>
      <c r="D182" t="s">
        <v>408</v>
      </c>
      <c r="F182" t="s">
        <v>99</v>
      </c>
      <c r="H182" t="s">
        <v>131</v>
      </c>
      <c r="I182" t="s">
        <v>410</v>
      </c>
      <c r="L182">
        <f t="shared" si="8"/>
        <v>2</v>
      </c>
      <c r="M182">
        <f t="shared" si="9"/>
        <v>-20.74346854426393</v>
      </c>
      <c r="N182">
        <v>1.5</v>
      </c>
      <c r="O182">
        <v>1.2</v>
      </c>
      <c r="P182">
        <v>1.5</v>
      </c>
      <c r="Q182">
        <v>1.1000000000000001</v>
      </c>
      <c r="R182">
        <v>2</v>
      </c>
      <c r="S182">
        <v>1.2</v>
      </c>
      <c r="T182">
        <v>1.5</v>
      </c>
      <c r="U182">
        <f t="shared" si="10"/>
        <v>0.51215847306170115</v>
      </c>
    </row>
    <row r="183" spans="1:21" hidden="1" x14ac:dyDescent="0.2">
      <c r="A183" t="s">
        <v>312</v>
      </c>
      <c r="B183" s="52">
        <v>1.4700000000000001E-7</v>
      </c>
      <c r="C183" t="s">
        <v>56</v>
      </c>
      <c r="D183" t="s">
        <v>408</v>
      </c>
      <c r="F183" t="s">
        <v>99</v>
      </c>
      <c r="H183" t="s">
        <v>131</v>
      </c>
      <c r="I183" t="s">
        <v>410</v>
      </c>
      <c r="L183">
        <f t="shared" si="8"/>
        <v>2</v>
      </c>
      <c r="M183">
        <f t="shared" si="9"/>
        <v>-15.732833250167674</v>
      </c>
      <c r="N183">
        <v>1.5</v>
      </c>
      <c r="O183">
        <v>1.2</v>
      </c>
      <c r="P183">
        <v>1.5</v>
      </c>
      <c r="Q183">
        <v>1.1000000000000001</v>
      </c>
      <c r="R183">
        <v>2</v>
      </c>
      <c r="S183">
        <v>1.2</v>
      </c>
      <c r="T183">
        <v>1.5</v>
      </c>
      <c r="U183">
        <f t="shared" si="10"/>
        <v>0.51215847306170115</v>
      </c>
    </row>
    <row r="184" spans="1:21" hidden="1" x14ac:dyDescent="0.2">
      <c r="A184" t="s">
        <v>313</v>
      </c>
      <c r="B184" s="52">
        <v>3.9200000000000002E-7</v>
      </c>
      <c r="C184" t="s">
        <v>56</v>
      </c>
      <c r="D184" t="s">
        <v>408</v>
      </c>
      <c r="F184" t="s">
        <v>99</v>
      </c>
      <c r="H184" t="s">
        <v>131</v>
      </c>
      <c r="I184" t="s">
        <v>410</v>
      </c>
      <c r="L184">
        <f t="shared" si="8"/>
        <v>2</v>
      </c>
      <c r="M184">
        <f t="shared" si="9"/>
        <v>-14.752003997155949</v>
      </c>
      <c r="N184">
        <v>1.5</v>
      </c>
      <c r="O184">
        <v>1.2</v>
      </c>
      <c r="P184">
        <v>1.5</v>
      </c>
      <c r="Q184">
        <v>1.1000000000000001</v>
      </c>
      <c r="R184">
        <v>2</v>
      </c>
      <c r="S184">
        <v>1.2</v>
      </c>
      <c r="T184">
        <v>1.5</v>
      </c>
      <c r="U184">
        <f t="shared" si="10"/>
        <v>0.51215847306170115</v>
      </c>
    </row>
    <row r="185" spans="1:21" hidden="1" x14ac:dyDescent="0.2">
      <c r="A185" t="s">
        <v>314</v>
      </c>
      <c r="B185" s="52">
        <v>9.7999999999999994E-12</v>
      </c>
      <c r="C185" t="s">
        <v>56</v>
      </c>
      <c r="D185" t="s">
        <v>408</v>
      </c>
      <c r="F185" t="s">
        <v>99</v>
      </c>
      <c r="H185" t="s">
        <v>131</v>
      </c>
      <c r="I185" t="s">
        <v>410</v>
      </c>
      <c r="L185">
        <f t="shared" si="8"/>
        <v>2</v>
      </c>
      <c r="M185">
        <f t="shared" si="9"/>
        <v>-25.348638730252024</v>
      </c>
      <c r="N185">
        <v>1.5</v>
      </c>
      <c r="O185">
        <v>1.2</v>
      </c>
      <c r="P185">
        <v>1.5</v>
      </c>
      <c r="Q185">
        <v>1.1000000000000001</v>
      </c>
      <c r="R185">
        <v>2</v>
      </c>
      <c r="S185">
        <v>1.2</v>
      </c>
      <c r="T185">
        <v>1.5</v>
      </c>
      <c r="U185">
        <f t="shared" si="10"/>
        <v>0.51215847306170115</v>
      </c>
    </row>
    <row r="186" spans="1:21" hidden="1" x14ac:dyDescent="0.2">
      <c r="A186" t="s">
        <v>315</v>
      </c>
      <c r="B186" s="52">
        <v>6.8599999999999998E-7</v>
      </c>
      <c r="C186" t="s">
        <v>56</v>
      </c>
      <c r="D186" t="s">
        <v>408</v>
      </c>
      <c r="F186" t="s">
        <v>99</v>
      </c>
      <c r="H186" t="s">
        <v>131</v>
      </c>
      <c r="I186" t="s">
        <v>410</v>
      </c>
      <c r="L186">
        <f t="shared" si="8"/>
        <v>2</v>
      </c>
      <c r="M186">
        <f t="shared" si="9"/>
        <v>-14.192388209220526</v>
      </c>
      <c r="N186">
        <v>1.5</v>
      </c>
      <c r="O186">
        <v>1.2</v>
      </c>
      <c r="P186">
        <v>1.5</v>
      </c>
      <c r="Q186">
        <v>1.1000000000000001</v>
      </c>
      <c r="R186">
        <v>2</v>
      </c>
      <c r="S186">
        <v>1.2</v>
      </c>
      <c r="T186">
        <v>1.5</v>
      </c>
      <c r="U186">
        <f t="shared" si="10"/>
        <v>0.51215847306170115</v>
      </c>
    </row>
    <row r="187" spans="1:21" hidden="1" x14ac:dyDescent="0.2">
      <c r="A187" t="s">
        <v>316</v>
      </c>
      <c r="B187" s="54">
        <f>2.74*B181*(1-B170)</f>
        <v>4.8865657411582809E-2</v>
      </c>
      <c r="C187" t="s">
        <v>56</v>
      </c>
      <c r="D187" t="s">
        <v>408</v>
      </c>
      <c r="F187" t="s">
        <v>99</v>
      </c>
      <c r="H187" t="s">
        <v>131</v>
      </c>
      <c r="I187" t="s">
        <v>410</v>
      </c>
      <c r="L187">
        <f t="shared" si="8"/>
        <v>2</v>
      </c>
      <c r="M187">
        <f t="shared" si="9"/>
        <v>-3.0186804316528018</v>
      </c>
      <c r="N187">
        <v>1.5</v>
      </c>
      <c r="O187">
        <v>1.2</v>
      </c>
      <c r="P187">
        <v>1.5</v>
      </c>
      <c r="Q187">
        <v>1.1000000000000001</v>
      </c>
      <c r="R187">
        <v>2</v>
      </c>
      <c r="S187">
        <v>1.2</v>
      </c>
      <c r="T187">
        <v>1.05</v>
      </c>
      <c r="U187">
        <f t="shared" si="10"/>
        <v>0.47095746419981693</v>
      </c>
    </row>
    <row r="188" spans="1:21" hidden="1" x14ac:dyDescent="0.2">
      <c r="A188" t="s">
        <v>371</v>
      </c>
      <c r="B188" s="54">
        <f>2.74*B181*B170</f>
        <v>3.0501320621013975E-3</v>
      </c>
      <c r="C188" t="s">
        <v>56</v>
      </c>
      <c r="D188" t="s">
        <v>408</v>
      </c>
      <c r="F188" t="s">
        <v>99</v>
      </c>
      <c r="H188" t="s">
        <v>131</v>
      </c>
      <c r="I188" t="s">
        <v>410</v>
      </c>
      <c r="L188">
        <f t="shared" si="8"/>
        <v>2</v>
      </c>
      <c r="M188">
        <f t="shared" si="9"/>
        <v>-5.792570390250555</v>
      </c>
      <c r="N188">
        <v>1.5</v>
      </c>
      <c r="O188">
        <v>1.2</v>
      </c>
      <c r="P188">
        <v>1.5</v>
      </c>
      <c r="Q188">
        <v>1.1000000000000001</v>
      </c>
      <c r="R188">
        <v>2</v>
      </c>
      <c r="S188">
        <v>1.2</v>
      </c>
      <c r="T188">
        <v>1.05</v>
      </c>
      <c r="U188">
        <f t="shared" si="10"/>
        <v>0.47095746419981693</v>
      </c>
    </row>
    <row r="189" spans="1:21" hidden="1" x14ac:dyDescent="0.2">
      <c r="A189" t="s">
        <v>400</v>
      </c>
      <c r="B189" s="52">
        <v>5.7819999999999999E-6</v>
      </c>
      <c r="C189" t="s">
        <v>56</v>
      </c>
      <c r="D189" t="s">
        <v>408</v>
      </c>
      <c r="F189" t="s">
        <v>99</v>
      </c>
      <c r="H189" t="s">
        <v>131</v>
      </c>
      <c r="I189" t="s">
        <v>410</v>
      </c>
      <c r="L189">
        <f t="shared" si="8"/>
        <v>2</v>
      </c>
      <c r="M189">
        <f t="shared" si="9"/>
        <v>-12.060760914370119</v>
      </c>
      <c r="N189">
        <v>1.5</v>
      </c>
      <c r="O189">
        <v>1.2</v>
      </c>
      <c r="P189">
        <v>1.5</v>
      </c>
      <c r="Q189">
        <v>1.1000000000000001</v>
      </c>
      <c r="R189">
        <v>2</v>
      </c>
      <c r="S189">
        <v>1.2</v>
      </c>
      <c r="T189">
        <v>5</v>
      </c>
      <c r="U189">
        <f t="shared" si="10"/>
        <v>0.93208283513358414</v>
      </c>
    </row>
    <row r="190" spans="1:21" hidden="1" x14ac:dyDescent="0.2">
      <c r="A190" t="s">
        <v>318</v>
      </c>
      <c r="B190" s="52">
        <v>4.8999999999999997E-7</v>
      </c>
      <c r="C190" t="s">
        <v>56</v>
      </c>
      <c r="D190" t="s">
        <v>408</v>
      </c>
      <c r="F190" t="s">
        <v>99</v>
      </c>
      <c r="H190" t="s">
        <v>131</v>
      </c>
      <c r="I190" t="s">
        <v>410</v>
      </c>
      <c r="L190">
        <f t="shared" si="8"/>
        <v>2</v>
      </c>
      <c r="M190">
        <f t="shared" si="9"/>
        <v>-14.528860445841739</v>
      </c>
      <c r="N190">
        <v>1.5</v>
      </c>
      <c r="O190">
        <v>1.2</v>
      </c>
      <c r="P190">
        <v>1.5</v>
      </c>
      <c r="Q190">
        <v>1.1000000000000001</v>
      </c>
      <c r="R190">
        <v>2</v>
      </c>
      <c r="S190">
        <v>1.2</v>
      </c>
      <c r="T190">
        <v>1.5</v>
      </c>
      <c r="U190">
        <f t="shared" si="10"/>
        <v>0.51215847306170115</v>
      </c>
    </row>
    <row r="191" spans="1:21" hidden="1" x14ac:dyDescent="0.2">
      <c r="A191" t="s">
        <v>401</v>
      </c>
      <c r="B191" s="52">
        <v>2.9400000000000001E-17</v>
      </c>
      <c r="C191" t="s">
        <v>56</v>
      </c>
      <c r="D191" t="s">
        <v>408</v>
      </c>
      <c r="F191" t="s">
        <v>99</v>
      </c>
      <c r="H191" t="s">
        <v>131</v>
      </c>
      <c r="I191" t="s">
        <v>410</v>
      </c>
      <c r="L191">
        <f t="shared" si="8"/>
        <v>2</v>
      </c>
      <c r="M191">
        <f t="shared" si="9"/>
        <v>-38.065536999548186</v>
      </c>
      <c r="N191">
        <v>1.5</v>
      </c>
      <c r="O191">
        <v>1.2</v>
      </c>
      <c r="P191">
        <v>1.5</v>
      </c>
      <c r="Q191">
        <v>1.1000000000000001</v>
      </c>
      <c r="R191">
        <v>2</v>
      </c>
      <c r="S191">
        <v>1.2</v>
      </c>
      <c r="T191">
        <v>1.5</v>
      </c>
      <c r="U191">
        <f t="shared" si="10"/>
        <v>0.51215847306170115</v>
      </c>
    </row>
    <row r="192" spans="1:21" hidden="1" x14ac:dyDescent="0.2">
      <c r="A192" t="s">
        <v>319</v>
      </c>
      <c r="B192" s="52">
        <v>9.8000000000000004E-8</v>
      </c>
      <c r="C192" t="s">
        <v>56</v>
      </c>
      <c r="D192" t="s">
        <v>408</v>
      </c>
      <c r="F192" t="s">
        <v>99</v>
      </c>
      <c r="H192" t="s">
        <v>131</v>
      </c>
      <c r="I192" t="s">
        <v>410</v>
      </c>
      <c r="L192">
        <f t="shared" si="8"/>
        <v>2</v>
      </c>
      <c r="M192">
        <f t="shared" si="9"/>
        <v>-16.13829835827584</v>
      </c>
      <c r="N192">
        <v>1.5</v>
      </c>
      <c r="O192">
        <v>1.2</v>
      </c>
      <c r="P192">
        <v>1.5</v>
      </c>
      <c r="Q192">
        <v>1.1000000000000001</v>
      </c>
      <c r="R192">
        <v>2</v>
      </c>
      <c r="S192">
        <v>1.2</v>
      </c>
      <c r="T192">
        <v>1.5</v>
      </c>
      <c r="U192">
        <f t="shared" si="10"/>
        <v>0.51215847306170115</v>
      </c>
    </row>
    <row r="193" spans="1:21" hidden="1" x14ac:dyDescent="0.2">
      <c r="A193" t="s">
        <v>402</v>
      </c>
      <c r="B193" s="52">
        <v>2.9400000000000003E-11</v>
      </c>
      <c r="C193" t="s">
        <v>56</v>
      </c>
      <c r="D193" t="s">
        <v>408</v>
      </c>
      <c r="F193" t="s">
        <v>99</v>
      </c>
      <c r="H193" t="s">
        <v>131</v>
      </c>
      <c r="I193" t="s">
        <v>410</v>
      </c>
      <c r="L193">
        <f t="shared" si="8"/>
        <v>2</v>
      </c>
      <c r="M193">
        <f t="shared" si="9"/>
        <v>-24.250026441583913</v>
      </c>
      <c r="N193">
        <v>1.5</v>
      </c>
      <c r="O193">
        <v>1.2</v>
      </c>
      <c r="P193">
        <v>1.5</v>
      </c>
      <c r="Q193">
        <v>1.1000000000000001</v>
      </c>
      <c r="R193">
        <v>2</v>
      </c>
      <c r="S193">
        <v>1.2</v>
      </c>
      <c r="T193">
        <v>5</v>
      </c>
      <c r="U193">
        <f t="shared" si="10"/>
        <v>0.93208283513358414</v>
      </c>
    </row>
    <row r="194" spans="1:21" hidden="1" x14ac:dyDescent="0.2">
      <c r="A194" t="s">
        <v>373</v>
      </c>
      <c r="B194" s="52">
        <f>0.00000196*B170</f>
        <v>1.1515299877600977E-7</v>
      </c>
      <c r="C194" t="s">
        <v>56</v>
      </c>
      <c r="D194" t="s">
        <v>408</v>
      </c>
      <c r="F194" t="s">
        <v>99</v>
      </c>
      <c r="H194" t="s">
        <v>131</v>
      </c>
      <c r="I194" t="s">
        <v>410</v>
      </c>
      <c r="L194">
        <f t="shared" si="8"/>
        <v>2</v>
      </c>
      <c r="M194">
        <f t="shared" si="9"/>
        <v>-15.977004168673961</v>
      </c>
      <c r="N194">
        <v>1.5</v>
      </c>
      <c r="O194">
        <v>1.2</v>
      </c>
      <c r="P194">
        <v>1.5</v>
      </c>
      <c r="Q194">
        <v>1.1000000000000001</v>
      </c>
      <c r="R194">
        <v>2</v>
      </c>
      <c r="S194">
        <v>1.2</v>
      </c>
      <c r="T194">
        <v>1.5</v>
      </c>
      <c r="U194">
        <f t="shared" si="10"/>
        <v>0.51215847306170115</v>
      </c>
    </row>
    <row r="195" spans="1:21" hidden="1" x14ac:dyDescent="0.2">
      <c r="A195" t="s">
        <v>320</v>
      </c>
      <c r="B195" s="52">
        <f>0.00000196*(1-B170)</f>
        <v>1.8448470012239901E-6</v>
      </c>
      <c r="C195" t="s">
        <v>56</v>
      </c>
      <c r="D195" t="s">
        <v>408</v>
      </c>
      <c r="F195" t="s">
        <v>99</v>
      </c>
      <c r="H195" t="s">
        <v>131</v>
      </c>
      <c r="I195" t="s">
        <v>410</v>
      </c>
      <c r="L195">
        <f t="shared" si="8"/>
        <v>2</v>
      </c>
      <c r="M195">
        <f t="shared" si="9"/>
        <v>-13.203114210076206</v>
      </c>
      <c r="N195">
        <v>1.5</v>
      </c>
      <c r="O195">
        <v>1.2</v>
      </c>
      <c r="P195">
        <v>1.5</v>
      </c>
      <c r="Q195">
        <v>1.1000000000000001</v>
      </c>
      <c r="R195">
        <v>2</v>
      </c>
      <c r="S195">
        <v>1.2</v>
      </c>
      <c r="T195">
        <v>1.5</v>
      </c>
      <c r="U195">
        <f t="shared" si="10"/>
        <v>0.51215847306170115</v>
      </c>
    </row>
    <row r="196" spans="1:21" hidden="1" x14ac:dyDescent="0.2">
      <c r="A196" t="s">
        <v>135</v>
      </c>
      <c r="B196" s="52">
        <v>9.7019999999999996E-6</v>
      </c>
      <c r="C196" t="s">
        <v>56</v>
      </c>
      <c r="D196" t="s">
        <v>408</v>
      </c>
      <c r="F196" t="s">
        <v>99</v>
      </c>
      <c r="H196" t="s">
        <v>131</v>
      </c>
      <c r="I196" t="s">
        <v>410</v>
      </c>
      <c r="L196">
        <f t="shared" si="8"/>
        <v>2</v>
      </c>
      <c r="M196">
        <f t="shared" si="9"/>
        <v>-11.543178508141249</v>
      </c>
      <c r="N196">
        <v>1.5</v>
      </c>
      <c r="O196">
        <v>1.2</v>
      </c>
      <c r="P196">
        <v>1.5</v>
      </c>
      <c r="Q196">
        <v>1.1000000000000001</v>
      </c>
      <c r="R196">
        <v>2</v>
      </c>
      <c r="S196">
        <v>1.2</v>
      </c>
      <c r="T196">
        <v>1.5</v>
      </c>
      <c r="U196">
        <f t="shared" si="10"/>
        <v>0.51215847306170115</v>
      </c>
    </row>
    <row r="197" spans="1:21" hidden="1" x14ac:dyDescent="0.2">
      <c r="A197" t="s">
        <v>321</v>
      </c>
      <c r="B197" s="52">
        <v>9.8000000000000001E-9</v>
      </c>
      <c r="C197" t="s">
        <v>56</v>
      </c>
      <c r="D197" t="s">
        <v>408</v>
      </c>
      <c r="F197" t="s">
        <v>99</v>
      </c>
      <c r="H197" t="s">
        <v>131</v>
      </c>
      <c r="I197" t="s">
        <v>410</v>
      </c>
      <c r="L197">
        <f t="shared" si="8"/>
        <v>2</v>
      </c>
      <c r="M197">
        <f t="shared" si="9"/>
        <v>-18.440883451269883</v>
      </c>
      <c r="N197">
        <v>1.5</v>
      </c>
      <c r="O197">
        <v>1.2</v>
      </c>
      <c r="P197">
        <v>1.5</v>
      </c>
      <c r="Q197">
        <v>1.1000000000000001</v>
      </c>
      <c r="R197">
        <v>2</v>
      </c>
      <c r="S197">
        <v>1.2</v>
      </c>
      <c r="T197">
        <v>3</v>
      </c>
      <c r="U197">
        <f t="shared" si="10"/>
        <v>0.72314801614797197</v>
      </c>
    </row>
    <row r="198" spans="1:21" hidden="1" x14ac:dyDescent="0.2">
      <c r="A198" t="s">
        <v>403</v>
      </c>
      <c r="B198" s="52">
        <v>9.8000000000000004E-8</v>
      </c>
      <c r="C198" t="s">
        <v>56</v>
      </c>
      <c r="D198" t="s">
        <v>408</v>
      </c>
      <c r="F198" t="s">
        <v>99</v>
      </c>
      <c r="H198" t="s">
        <v>131</v>
      </c>
      <c r="I198" t="s">
        <v>410</v>
      </c>
      <c r="L198">
        <f t="shared" si="8"/>
        <v>2</v>
      </c>
      <c r="M198">
        <f t="shared" si="9"/>
        <v>-16.13829835827584</v>
      </c>
      <c r="N198">
        <v>1.5</v>
      </c>
      <c r="O198">
        <v>1.2</v>
      </c>
      <c r="P198">
        <v>1.5</v>
      </c>
      <c r="Q198">
        <v>1.1000000000000001</v>
      </c>
      <c r="R198">
        <v>2</v>
      </c>
      <c r="S198">
        <v>1.2</v>
      </c>
      <c r="T198">
        <v>3</v>
      </c>
      <c r="U198">
        <f t="shared" si="10"/>
        <v>0.72314801614797197</v>
      </c>
    </row>
    <row r="199" spans="1:21" hidden="1" x14ac:dyDescent="0.2">
      <c r="A199" t="s">
        <v>322</v>
      </c>
      <c r="B199" s="52">
        <v>1.176E-6</v>
      </c>
      <c r="C199" t="s">
        <v>56</v>
      </c>
      <c r="D199" t="s">
        <v>408</v>
      </c>
      <c r="F199" t="s">
        <v>99</v>
      </c>
      <c r="H199" t="s">
        <v>131</v>
      </c>
      <c r="I199" t="s">
        <v>410</v>
      </c>
      <c r="L199">
        <f t="shared" si="8"/>
        <v>2</v>
      </c>
      <c r="M199">
        <f t="shared" si="9"/>
        <v>-13.653391708487838</v>
      </c>
      <c r="N199">
        <v>1.5</v>
      </c>
      <c r="O199">
        <v>1.2</v>
      </c>
      <c r="P199">
        <v>1.5</v>
      </c>
      <c r="Q199">
        <v>1.1000000000000001</v>
      </c>
      <c r="R199">
        <v>2</v>
      </c>
      <c r="S199">
        <v>1.2</v>
      </c>
      <c r="T199">
        <v>1.5</v>
      </c>
      <c r="U199">
        <f t="shared" si="10"/>
        <v>0.51215847306170115</v>
      </c>
    </row>
    <row r="200" spans="1:21" hidden="1" x14ac:dyDescent="0.2">
      <c r="A200" t="s">
        <v>323</v>
      </c>
      <c r="B200" s="52">
        <v>1.9600000000000001E-7</v>
      </c>
      <c r="C200" t="s">
        <v>56</v>
      </c>
      <c r="D200" t="s">
        <v>408</v>
      </c>
      <c r="F200" t="s">
        <v>99</v>
      </c>
      <c r="H200" t="s">
        <v>131</v>
      </c>
      <c r="I200" t="s">
        <v>410</v>
      </c>
      <c r="L200">
        <f t="shared" si="8"/>
        <v>2</v>
      </c>
      <c r="M200">
        <f t="shared" si="9"/>
        <v>-15.445151177715895</v>
      </c>
      <c r="N200">
        <v>1.5</v>
      </c>
      <c r="O200">
        <v>1.2</v>
      </c>
      <c r="P200">
        <v>1.5</v>
      </c>
      <c r="Q200">
        <v>1.1000000000000001</v>
      </c>
      <c r="R200">
        <v>2</v>
      </c>
      <c r="S200">
        <v>1.2</v>
      </c>
      <c r="T200">
        <v>1.5</v>
      </c>
      <c r="U200">
        <f t="shared" si="10"/>
        <v>0.51215847306170115</v>
      </c>
    </row>
    <row r="201" spans="1:21" hidden="1" x14ac:dyDescent="0.2">
      <c r="A201" t="s">
        <v>324</v>
      </c>
      <c r="B201" s="52">
        <v>1.96E-8</v>
      </c>
      <c r="C201" t="s">
        <v>56</v>
      </c>
      <c r="D201" t="s">
        <v>408</v>
      </c>
      <c r="F201" t="s">
        <v>99</v>
      </c>
      <c r="H201" t="s">
        <v>131</v>
      </c>
      <c r="I201" t="s">
        <v>410</v>
      </c>
      <c r="L201">
        <f t="shared" si="8"/>
        <v>2</v>
      </c>
      <c r="M201">
        <f t="shared" si="9"/>
        <v>-17.74773627070994</v>
      </c>
      <c r="N201">
        <v>1.5</v>
      </c>
      <c r="O201">
        <v>1.2</v>
      </c>
      <c r="P201">
        <v>1.5</v>
      </c>
      <c r="Q201">
        <v>1.1000000000000001</v>
      </c>
      <c r="R201">
        <v>2</v>
      </c>
      <c r="S201">
        <v>1.2</v>
      </c>
      <c r="T201">
        <v>1.5</v>
      </c>
      <c r="U201">
        <f t="shared" si="10"/>
        <v>0.51215847306170115</v>
      </c>
    </row>
    <row r="202" spans="1:21" hidden="1" x14ac:dyDescent="0.2">
      <c r="A202" t="s">
        <v>325</v>
      </c>
      <c r="B202" s="52">
        <v>4.8999999999999997E-7</v>
      </c>
      <c r="C202" t="s">
        <v>56</v>
      </c>
      <c r="D202" t="s">
        <v>408</v>
      </c>
      <c r="F202" t="s">
        <v>99</v>
      </c>
      <c r="H202" t="s">
        <v>131</v>
      </c>
      <c r="I202" t="s">
        <v>410</v>
      </c>
      <c r="L202">
        <f t="shared" si="8"/>
        <v>2</v>
      </c>
      <c r="M202">
        <f t="shared" si="9"/>
        <v>-14.528860445841739</v>
      </c>
      <c r="N202">
        <v>1.5</v>
      </c>
      <c r="O202">
        <v>1.2</v>
      </c>
      <c r="P202">
        <v>1.5</v>
      </c>
      <c r="Q202">
        <v>1.1000000000000001</v>
      </c>
      <c r="R202">
        <v>2</v>
      </c>
      <c r="S202">
        <v>1.2</v>
      </c>
      <c r="T202">
        <v>1.5</v>
      </c>
      <c r="U202">
        <f t="shared" si="10"/>
        <v>0.51215847306170115</v>
      </c>
    </row>
    <row r="203" spans="1:21" hidden="1" x14ac:dyDescent="0.2">
      <c r="A203" t="s">
        <v>326</v>
      </c>
      <c r="B203" s="52">
        <v>1.9600000000000001E-7</v>
      </c>
      <c r="C203" t="s">
        <v>56</v>
      </c>
      <c r="D203" t="s">
        <v>408</v>
      </c>
      <c r="F203" t="s">
        <v>99</v>
      </c>
      <c r="H203" t="s">
        <v>131</v>
      </c>
      <c r="I203" t="s">
        <v>410</v>
      </c>
      <c r="L203">
        <f t="shared" si="8"/>
        <v>2</v>
      </c>
      <c r="M203">
        <f t="shared" si="9"/>
        <v>-15.445151177715895</v>
      </c>
      <c r="N203">
        <v>1.5</v>
      </c>
      <c r="O203">
        <v>1.2</v>
      </c>
      <c r="P203">
        <v>1.5</v>
      </c>
      <c r="Q203">
        <v>1.1000000000000001</v>
      </c>
      <c r="R203">
        <v>2</v>
      </c>
      <c r="S203">
        <v>1.2</v>
      </c>
      <c r="T203">
        <v>1.5</v>
      </c>
      <c r="U203">
        <f t="shared" si="10"/>
        <v>0.51215847306170115</v>
      </c>
    </row>
    <row r="204" spans="1:21" hidden="1" x14ac:dyDescent="0.2">
      <c r="A204" t="s">
        <v>404</v>
      </c>
      <c r="B204" s="52">
        <v>1.2739999999999999E-7</v>
      </c>
      <c r="C204" t="s">
        <v>56</v>
      </c>
      <c r="D204" t="s">
        <v>409</v>
      </c>
      <c r="F204" t="s">
        <v>99</v>
      </c>
      <c r="H204" t="s">
        <v>131</v>
      </c>
      <c r="I204" t="s">
        <v>410</v>
      </c>
      <c r="L204">
        <f t="shared" si="8"/>
        <v>2</v>
      </c>
      <c r="M204">
        <f t="shared" si="9"/>
        <v>-15.875934093808349</v>
      </c>
      <c r="N204">
        <v>1.5</v>
      </c>
      <c r="O204">
        <v>1.2</v>
      </c>
      <c r="P204">
        <v>1.5</v>
      </c>
      <c r="Q204">
        <v>1.1000000000000001</v>
      </c>
      <c r="R204">
        <v>2</v>
      </c>
      <c r="S204">
        <v>1.2</v>
      </c>
      <c r="T204">
        <v>1.5</v>
      </c>
      <c r="U204">
        <f t="shared" si="10"/>
        <v>0.51215847306170115</v>
      </c>
    </row>
    <row r="205" spans="1:21" hidden="1" x14ac:dyDescent="0.2">
      <c r="A205" t="s">
        <v>405</v>
      </c>
      <c r="B205" s="52">
        <v>2.9400000000000002E-9</v>
      </c>
      <c r="C205" t="s">
        <v>56</v>
      </c>
      <c r="D205" t="s">
        <v>409</v>
      </c>
      <c r="F205" t="s">
        <v>99</v>
      </c>
      <c r="H205" t="s">
        <v>131</v>
      </c>
      <c r="I205" t="s">
        <v>410</v>
      </c>
      <c r="L205">
        <f t="shared" si="8"/>
        <v>2</v>
      </c>
      <c r="M205">
        <f t="shared" si="9"/>
        <v>-19.644856255595823</v>
      </c>
      <c r="N205">
        <v>1.5</v>
      </c>
      <c r="O205">
        <v>1.2</v>
      </c>
      <c r="P205">
        <v>1.5</v>
      </c>
      <c r="Q205">
        <v>1.1000000000000001</v>
      </c>
      <c r="R205">
        <v>2</v>
      </c>
      <c r="S205">
        <v>1.2</v>
      </c>
      <c r="T205">
        <v>1.5</v>
      </c>
      <c r="U205">
        <f t="shared" si="10"/>
        <v>0.51215847306170115</v>
      </c>
    </row>
    <row r="206" spans="1:21" hidden="1" x14ac:dyDescent="0.2">
      <c r="A206" t="s">
        <v>406</v>
      </c>
      <c r="B206" s="52">
        <v>4.9000000000000002E-8</v>
      </c>
      <c r="C206" t="s">
        <v>56</v>
      </c>
      <c r="D206" t="s">
        <v>409</v>
      </c>
      <c r="F206" t="s">
        <v>99</v>
      </c>
      <c r="H206" t="s">
        <v>131</v>
      </c>
      <c r="I206" t="s">
        <v>410</v>
      </c>
      <c r="L206">
        <f t="shared" si="8"/>
        <v>2</v>
      </c>
      <c r="M206">
        <f t="shared" si="9"/>
        <v>-16.831445538835784</v>
      </c>
      <c r="N206">
        <v>1.5</v>
      </c>
      <c r="O206">
        <v>1.2</v>
      </c>
      <c r="P206">
        <v>1.5</v>
      </c>
      <c r="Q206">
        <v>1.1000000000000001</v>
      </c>
      <c r="R206">
        <v>2</v>
      </c>
      <c r="S206">
        <v>1.2</v>
      </c>
      <c r="T206">
        <v>1.5</v>
      </c>
      <c r="U206">
        <f t="shared" si="10"/>
        <v>0.51215847306170115</v>
      </c>
    </row>
    <row r="207" spans="1:21" hidden="1" x14ac:dyDescent="0.2">
      <c r="A207" t="s">
        <v>407</v>
      </c>
      <c r="B207" s="52">
        <v>4.9000000000000002E-8</v>
      </c>
      <c r="C207" t="s">
        <v>56</v>
      </c>
      <c r="D207" t="s">
        <v>409</v>
      </c>
      <c r="F207" t="s">
        <v>99</v>
      </c>
      <c r="H207" t="s">
        <v>131</v>
      </c>
      <c r="I207" t="s">
        <v>410</v>
      </c>
      <c r="L207">
        <f t="shared" si="8"/>
        <v>2</v>
      </c>
      <c r="M207">
        <f t="shared" si="9"/>
        <v>-16.831445538835784</v>
      </c>
      <c r="N207">
        <v>1.5</v>
      </c>
      <c r="O207">
        <v>1.2</v>
      </c>
      <c r="P207">
        <v>1.5</v>
      </c>
      <c r="Q207">
        <v>1.1000000000000001</v>
      </c>
      <c r="R207">
        <v>2</v>
      </c>
      <c r="S207">
        <v>1.2</v>
      </c>
      <c r="T207">
        <v>1.5</v>
      </c>
      <c r="U207">
        <f t="shared" si="10"/>
        <v>0.51215847306170115</v>
      </c>
    </row>
    <row r="208" spans="1:21" hidden="1" x14ac:dyDescent="0.2"/>
    <row r="209" spans="1:2" hidden="1" x14ac:dyDescent="0.2"/>
    <row r="210" spans="1:2" hidden="1" x14ac:dyDescent="0.2">
      <c r="A210" s="2" t="s">
        <v>50</v>
      </c>
      <c r="B210" s="44" t="str">
        <f>IF(B216="megajoule","heat","electricity")&amp;", residential, by "&amp;B221&amp;" of "&amp;B220&amp;" using "&amp;B222&amp;IF(B223&lt;&gt;0,"allocated by "&amp;B223,"")&amp;", transported by "&amp;B224&amp;", produced by "&amp;B228&amp;" using "&amp;B229&amp;" from "&amp;B230&amp;" and carbon sourced from "&amp;B231</f>
        <v>heat, residential, by combustion of synthetic natural gas from catalytic methanation using boiler, transported by pipeline, produced by Electrolysis, PEM using water and electricity from grid and carbon sourced from DAC</v>
      </c>
    </row>
    <row r="211" spans="1:2" hidden="1" x14ac:dyDescent="0.2">
      <c r="A211" t="s">
        <v>51</v>
      </c>
      <c r="B211" s="45" t="str">
        <f>"This dataset represents the supply of 1 megajoule of heat in a residence, by "&amp;B220&amp;" "&amp;B221&amp;" in a "&amp;B222&amp;". "&amp;" The "&amp;B220&amp;" is transported by "&amp;B224&amp;" over "&amp;B225&amp;" km from regional storage. "&amp;" The "&amp;B220&amp;" is produced by  "&amp;B228&amp;", with "&amp;B229&amp;" from "&amp;B230&amp;" as feedstock. The carbon is sourced from "&amp;B231&amp;". "&amp;A232&amp;": "&amp;(B232*100)&amp;"%. "&amp;A233&amp;": "&amp;B233&amp;". "&amp;A234&amp;": "&amp;B234&amp;". "&amp;A235&amp;": "&amp;(B235*100)&amp;"%. "&amp;A236&amp;": "&amp;(B236*100)&amp;"%. "&amp;A237&amp;": "&amp;(B237*100)&amp;"%. "&amp;A238&amp;": "&amp;B238&amp;". "&amp;A239&amp;": "&amp;B239&amp;". "&amp;A240&amp;": "&amp;(B240*100)&amp;"%. "&amp;A241&amp;": "&amp;B241&amp;". "&amp;A242&amp;": "&amp;B242&amp;". "&amp;A243&amp;": "&amp;B243&amp;". "&amp;A244&amp;": "&amp;B244&amp;".  For more information, refer to: "&amp;B212</f>
        <v>This dataset represents the supply of 1 megajoule of heat in a residence, by synthetic natural gas from catalytic methanation combustion in a boiler.  The synthetic natural gas from catalytic methanation is transported by pipeline over 500 km from regional storage.  The synthetic natural gas from catalytic methanation is produced by  Electrolysis, PEM, with water and electricity from grid as feedstock. The carbon is sourced from DAC. Heat conversion efficiency [% LHV input]: 111.111111111111%. LHV [MJ/kg]: 47.5. Market price [€/MJ]: 0.0266666666666667. Distribution loss [% output]: 0.019%. Storage loss [% output]: 0%. Synthesis efficiency [% LHV input]: 0%. Hydrogen production efficiency [% LHV input]: 0. Grid loss [%]: 0.06. CO2 biogenic share [%]: 100%. Power [kW]: 15. Lifetime [years]: 20. Annual operation [hours]: 2100. : .  For more information, refer to: Sacchi, R. and Bauer, C. Life Cycle Assessment of Power-to-X processes and associated electricity and heat applications in the residential sector. Paul Scherrer Institut, 2023.</v>
      </c>
    </row>
    <row r="212" spans="1:2" hidden="1" x14ac:dyDescent="0.2">
      <c r="A212" t="s">
        <v>63</v>
      </c>
      <c r="B212" s="45" t="s">
        <v>1223</v>
      </c>
    </row>
    <row r="213" spans="1:2" hidden="1" x14ac:dyDescent="0.2">
      <c r="A213" t="s">
        <v>52</v>
      </c>
      <c r="B213" s="45" t="s">
        <v>64</v>
      </c>
    </row>
    <row r="214" spans="1:2" hidden="1" x14ac:dyDescent="0.2">
      <c r="A214" t="s">
        <v>48</v>
      </c>
      <c r="B214" s="45">
        <v>180</v>
      </c>
    </row>
    <row r="215" spans="1:2" hidden="1" x14ac:dyDescent="0.2">
      <c r="A215" t="s">
        <v>54</v>
      </c>
      <c r="B215" s="45" t="str">
        <f>INDEX(overview!$B$4:$R$338,MATCH(B214,overview!$A$4:$A$338,0),MATCH(A215,overview!$B$3:$R$3,0))</f>
        <v>heat, from residential heating system</v>
      </c>
    </row>
    <row r="216" spans="1:2" hidden="1" x14ac:dyDescent="0.2">
      <c r="A216" t="s">
        <v>55</v>
      </c>
      <c r="B216" s="45" t="str">
        <f>INDEX(overview!$B$4:$R$338,MATCH(B214,overview!$A$4:$A$338,0),MATCH(A216,overview!$B$3:$R$3,0))</f>
        <v>megajoule</v>
      </c>
    </row>
    <row r="217" spans="1:2" hidden="1" x14ac:dyDescent="0.2">
      <c r="A217" t="s">
        <v>0</v>
      </c>
      <c r="B217" s="45" t="str">
        <f>INDEX(overview!$B$4:$R$338,MATCH(B214,overview!$A$4:$A$338,0),MATCH(A217,overview!$B$3:$R$3,0))</f>
        <v>Switzerland</v>
      </c>
    </row>
    <row r="218" spans="1:2" hidden="1" x14ac:dyDescent="0.2">
      <c r="A218" t="s">
        <v>1</v>
      </c>
      <c r="B218" s="45">
        <f>INDEX(overview!$B$4:$R$338,MATCH(B214,overview!$A$4:$A$338,0),MATCH(A218,overview!$B$3:$R$3,0))</f>
        <v>2020</v>
      </c>
    </row>
    <row r="219" spans="1:2" hidden="1" x14ac:dyDescent="0.2">
      <c r="A219" t="s">
        <v>2</v>
      </c>
      <c r="B219" s="45" t="str">
        <f>INDEX(overview!$B$4:$R$338,MATCH(B214,overview!$A$4:$A$338,0),MATCH(A219,overview!$B$3:$R$3,0))</f>
        <v>1 MJ heat</v>
      </c>
    </row>
    <row r="220" spans="1:2" hidden="1" x14ac:dyDescent="0.2">
      <c r="A220" t="s">
        <v>5</v>
      </c>
      <c r="B220" s="45" t="str">
        <f>INDEX(overview!$B$4:$R$338,MATCH(B214,overview!$A$4:$A$338,0),MATCH(A220,overview!$B$3:$R$3,0))</f>
        <v>synthetic natural gas from catalytic methanation</v>
      </c>
    </row>
    <row r="221" spans="1:2" hidden="1" x14ac:dyDescent="0.2">
      <c r="A221" t="s">
        <v>3</v>
      </c>
      <c r="B221" s="45" t="str">
        <f>INDEX(overview!$B$4:$R$338,MATCH(B214,overview!$A$4:$A$338,0),MATCH(A221,overview!$B$3:$R$3,0))</f>
        <v>combustion</v>
      </c>
    </row>
    <row r="222" spans="1:2" hidden="1" x14ac:dyDescent="0.2">
      <c r="A222" t="s">
        <v>6</v>
      </c>
      <c r="B222" s="45" t="str">
        <f>INDEX(overview!$B$4:$R$338,MATCH(B214,overview!$A$4:$A$338,0),MATCH(A222,overview!$B$3:$R$3,0))</f>
        <v>boiler</v>
      </c>
    </row>
    <row r="223" spans="1:2" hidden="1" x14ac:dyDescent="0.2">
      <c r="A223" t="s">
        <v>39</v>
      </c>
      <c r="B223" s="45">
        <f>INDEX(overview!$B$4:$R$338,MATCH(B214,overview!$A$4:$A$338,0),MATCH(A223,overview!$B$3:$R$3,0))</f>
        <v>0</v>
      </c>
    </row>
    <row r="224" spans="1:2" hidden="1" x14ac:dyDescent="0.2">
      <c r="A224" t="s">
        <v>4</v>
      </c>
      <c r="B224" s="45" t="str">
        <f>INDEX(overview!$B$4:$R$338,MATCH(B214,overview!$A$4:$A$338,0),MATCH(A224,overview!$B$3:$R$3,0))</f>
        <v>pipeline</v>
      </c>
    </row>
    <row r="225" spans="1:2" hidden="1" x14ac:dyDescent="0.2">
      <c r="A225" t="s">
        <v>38</v>
      </c>
      <c r="B225" s="45">
        <f>INDEX(overview!$B$4:$R$338,MATCH(B214,overview!$A$4:$A$338,0),MATCH(A225,overview!$B$3:$R$3,0))</f>
        <v>500</v>
      </c>
    </row>
    <row r="226" spans="1:2" hidden="1" x14ac:dyDescent="0.2">
      <c r="A226" t="s">
        <v>12</v>
      </c>
      <c r="B226" s="45" t="str">
        <f>INDEX(overview!$B$4:$R$338,MATCH(B214,overview!$A$4:$A$338,0),MATCH(A226,overview!$B$3:$R$3,0))</f>
        <v>Above surface pressure vessel</v>
      </c>
    </row>
    <row r="227" spans="1:2" hidden="1" x14ac:dyDescent="0.2">
      <c r="A227" t="s">
        <v>34</v>
      </c>
      <c r="B227" s="45" t="str">
        <f>INDEX(overview!$B$4:$R$338,MATCH(B214,overview!$A$4:$A$338,0),MATCH(A227,overview!$B$3:$R$3,0))</f>
        <v>catalytic</v>
      </c>
    </row>
    <row r="228" spans="1:2" hidden="1" x14ac:dyDescent="0.2">
      <c r="A228" t="s">
        <v>15</v>
      </c>
      <c r="B228" s="45" t="str">
        <f>INDEX(overview!$B$4:$R$338,MATCH(B214,overview!$A$4:$A$338,0),MATCH(A228,overview!$B$3:$R$3,0))</f>
        <v>Electrolysis, PEM</v>
      </c>
    </row>
    <row r="229" spans="1:2" hidden="1" x14ac:dyDescent="0.2">
      <c r="A229" t="s">
        <v>14</v>
      </c>
      <c r="B229" s="45" t="str">
        <f>INDEX(overview!$B$4:$R$338,MATCH(B214,overview!$A$4:$A$338,0),MATCH(A229,overview!$B$3:$R$3,0))</f>
        <v>water and electricity</v>
      </c>
    </row>
    <row r="230" spans="1:2" hidden="1" x14ac:dyDescent="0.2">
      <c r="A230" t="s">
        <v>26</v>
      </c>
      <c r="B230" s="45" t="str">
        <f>INDEX(overview!$B$4:$R$338,MATCH(B214,overview!$A$4:$A$338,0),MATCH(A230,overview!$B$3:$R$3,0))</f>
        <v>grid</v>
      </c>
    </row>
    <row r="231" spans="1:2" hidden="1" x14ac:dyDescent="0.2">
      <c r="A231" t="s">
        <v>29</v>
      </c>
      <c r="B231" s="45" t="str">
        <f>INDEX(overview!$B$4:$R$338,MATCH(B214,overview!$A$4:$A$338,0),MATCH(A231,overview!$B$3:$R$3,0))</f>
        <v>DAC</v>
      </c>
    </row>
    <row r="232" spans="1:2" hidden="1" x14ac:dyDescent="0.2">
      <c r="A232" t="s">
        <v>632</v>
      </c>
      <c r="B232" s="46">
        <f>INDEX(parameters!$D$4:$N$20,MATCH(B220&amp;B222,parameters!$A$4:$A$20,0),MATCH(A232,parameters!$D$3:$N$3,0))</f>
        <v>1.1111111111111112</v>
      </c>
    </row>
    <row r="233" spans="1:2" hidden="1" x14ac:dyDescent="0.2">
      <c r="A233" t="s">
        <v>40</v>
      </c>
      <c r="B233" s="47">
        <f>INDEX(parameters!$D$4:$N$20,MATCH(B220&amp;B222,parameters!$A$4:$A$20,0),MATCH(A233,parameters!$D$3:$N$3,0))</f>
        <v>47.5</v>
      </c>
    </row>
    <row r="234" spans="1:2" hidden="1" x14ac:dyDescent="0.2">
      <c r="A234" t="s">
        <v>41</v>
      </c>
      <c r="B234" s="48">
        <f>INDEX(parameters!$D$4:$N$20,MATCH(B220&amp;B222,parameters!$A$4:$A$20,0),MATCH(A234,parameters!$D$3:$N$3,0))</f>
        <v>2.6666666666666665E-2</v>
      </c>
    </row>
    <row r="235" spans="1:2" hidden="1" x14ac:dyDescent="0.2">
      <c r="A235" t="s">
        <v>45</v>
      </c>
      <c r="B235" s="49">
        <f>INDEX(parameters!$D$4:$N$20,MATCH(B220&amp;B222,parameters!$A$4:$A$20,0),MATCH(A235,parameters!$D$3:$N$3,0))</f>
        <v>1.9000000000000001E-4</v>
      </c>
    </row>
    <row r="236" spans="1:2" hidden="1" x14ac:dyDescent="0.2">
      <c r="A236" t="s">
        <v>46</v>
      </c>
      <c r="B236" s="49">
        <f>INDEX(parameters!$D$4:$N$20,MATCH(B220&amp;B222,parameters!$A$4:$A$20,0),MATCH(A236,parameters!$D$3:$N$3,0))</f>
        <v>0</v>
      </c>
    </row>
    <row r="237" spans="1:2" hidden="1" x14ac:dyDescent="0.2">
      <c r="A237" t="s">
        <v>43</v>
      </c>
      <c r="B237" s="49">
        <f>INDEX(parameters!$D$4:$N$20,MATCH(B220&amp;B222,parameters!$A$4:$A$20,0),MATCH(A237,parameters!$D$3:$N$3,0))</f>
        <v>0</v>
      </c>
    </row>
    <row r="238" spans="1:2" hidden="1" x14ac:dyDescent="0.2">
      <c r="A238" t="s">
        <v>44</v>
      </c>
      <c r="B238" s="49">
        <f>INDEX(parameters!$D$4:$N$20,MATCH(B220&amp;B222,parameters!$A$4:$A$20,0),MATCH(A238,parameters!$D$3:$N$3,0))</f>
        <v>0</v>
      </c>
    </row>
    <row r="239" spans="1:2" hidden="1" x14ac:dyDescent="0.2">
      <c r="A239" t="s">
        <v>47</v>
      </c>
      <c r="B239" s="49">
        <f>INDEX(parameters!$D$4:$N$20,MATCH(B220&amp;B222,parameters!$A$4:$A$20,0),MATCH(A239,parameters!$D$3:$N$3,0))</f>
        <v>0.06</v>
      </c>
    </row>
    <row r="240" spans="1:2" hidden="1" x14ac:dyDescent="0.2">
      <c r="A240" t="s">
        <v>82</v>
      </c>
      <c r="B240" s="46">
        <f>IF(B231&lt;&gt;0,VLOOKUP(B231,parameters!$A$26:$B$28,2,0),"")</f>
        <v>1</v>
      </c>
    </row>
    <row r="241" spans="1:22" hidden="1" x14ac:dyDescent="0.2">
      <c r="A241" t="s">
        <v>548</v>
      </c>
      <c r="B241" s="50">
        <f>INDEX(parameters!$D$4:$P$20,MATCH(B220&amp;B222,parameters!$A$4:$A$20,0),MATCH(A241,parameters!$D$3:$P$3,0))</f>
        <v>15</v>
      </c>
    </row>
    <row r="242" spans="1:22" hidden="1" x14ac:dyDescent="0.2">
      <c r="A242" t="s">
        <v>547</v>
      </c>
      <c r="B242" s="51">
        <f>INDEX(parameters!$D$4:$P$20,MATCH(B220&amp;B222,parameters!$A$4:$A$20,0),MATCH(A242,parameters!$D$3:$P$3,0))</f>
        <v>20</v>
      </c>
    </row>
    <row r="243" spans="1:22" hidden="1" x14ac:dyDescent="0.2">
      <c r="A243" t="s">
        <v>630</v>
      </c>
      <c r="B243" s="51">
        <f>INDEX(parameters!$D$4:$T$20,MATCH(B220&amp;B222,parameters!$A$4:$A$20,0),MATCH(A243,parameters!$D$3:$T$3,0))</f>
        <v>2100</v>
      </c>
    </row>
    <row r="244" spans="1:22" hidden="1" x14ac:dyDescent="0.2"/>
    <row r="245" spans="1:22" hidden="1" x14ac:dyDescent="0.2">
      <c r="A245" s="3" t="s">
        <v>57</v>
      </c>
    </row>
    <row r="246" spans="1:22" hidden="1" x14ac:dyDescent="0.2">
      <c r="A246" s="2" t="s">
        <v>58</v>
      </c>
      <c r="B246" s="44" t="s">
        <v>59</v>
      </c>
      <c r="C246" s="2" t="s">
        <v>55</v>
      </c>
      <c r="D246" s="2" t="s">
        <v>60</v>
      </c>
      <c r="E246" s="2" t="s">
        <v>52</v>
      </c>
      <c r="F246" s="2" t="s">
        <v>61</v>
      </c>
      <c r="G246" s="2" t="s">
        <v>54</v>
      </c>
      <c r="H246" s="2" t="s">
        <v>87</v>
      </c>
      <c r="I246" s="2" t="s">
        <v>51</v>
      </c>
      <c r="J246" s="2" t="s">
        <v>138</v>
      </c>
      <c r="K246" s="2" t="s">
        <v>136</v>
      </c>
      <c r="L246" s="2" t="s">
        <v>221</v>
      </c>
      <c r="M246" s="2" t="s">
        <v>379</v>
      </c>
      <c r="N246" s="2" t="s">
        <v>1059</v>
      </c>
      <c r="O246" s="2" t="s">
        <v>1060</v>
      </c>
      <c r="P246" s="2" t="s">
        <v>1061</v>
      </c>
      <c r="Q246" s="2" t="s">
        <v>1062</v>
      </c>
      <c r="R246" s="2" t="s">
        <v>1063</v>
      </c>
      <c r="S246" s="2" t="s">
        <v>1064</v>
      </c>
      <c r="T246" s="2" t="s">
        <v>1065</v>
      </c>
      <c r="U246" s="2" t="s">
        <v>380</v>
      </c>
      <c r="V246" s="2" t="s">
        <v>1128</v>
      </c>
    </row>
    <row r="247" spans="1:22" x14ac:dyDescent="0.2">
      <c r="A247" t="str">
        <f>B210</f>
        <v>heat, residential, by combustion of synthetic natural gas from catalytic methanation using boiler, transported by pipeline, produced by Electrolysis, PEM using water and electricity from grid and carbon sourced from DAC</v>
      </c>
      <c r="B247" s="45">
        <v>1</v>
      </c>
      <c r="C247" t="str">
        <f>B216</f>
        <v>megajoule</v>
      </c>
      <c r="E247" t="str">
        <f>B213</f>
        <v>CH</v>
      </c>
      <c r="F247" t="s">
        <v>62</v>
      </c>
      <c r="G247" t="str">
        <f>B215</f>
        <v>heat, from residential heating system</v>
      </c>
      <c r="K247" t="str">
        <f>B210</f>
        <v>heat, residential, by combustion of synthetic natural gas from catalytic methanation using boiler, transported by pipeline, produced by Electrolysis, PEM using water and electricity from grid and carbon sourced from DAC</v>
      </c>
    </row>
    <row r="248" spans="1:22" hidden="1" x14ac:dyDescent="0.2">
      <c r="A248" t="s">
        <v>83</v>
      </c>
      <c r="B248" s="52">
        <f>1/(B241*B243*B242*3.6)</f>
        <v>4.4091710758377425E-7</v>
      </c>
      <c r="C248" t="s">
        <v>55</v>
      </c>
      <c r="E248" t="s">
        <v>85</v>
      </c>
      <c r="F248" t="s">
        <v>86</v>
      </c>
      <c r="G248" t="s">
        <v>84</v>
      </c>
      <c r="H248" t="s">
        <v>88</v>
      </c>
      <c r="K248" t="str">
        <f>B210</f>
        <v>heat, residential, by combustion of synthetic natural gas from catalytic methanation using boiler, transported by pipeline, produced by Electrolysis, PEM using water and electricity from grid and carbon sourced from DAC</v>
      </c>
      <c r="L248">
        <f t="shared" ref="L248:L277" si="11">IF(OR(B248&lt;0,B248=0),1,2)</f>
        <v>2</v>
      </c>
      <c r="M248">
        <f t="shared" ref="M248:M277" si="12">IF(L248=2,LN(B248),"")</f>
        <v>-14.634408943829779</v>
      </c>
      <c r="N248">
        <v>1.05</v>
      </c>
      <c r="O248">
        <v>1.2</v>
      </c>
      <c r="P248">
        <v>1</v>
      </c>
      <c r="Q248">
        <v>1.01</v>
      </c>
      <c r="R248">
        <v>1.2</v>
      </c>
      <c r="S248">
        <v>1.2</v>
      </c>
      <c r="T248">
        <v>3</v>
      </c>
      <c r="U248">
        <f t="shared" ref="U248:U277" si="13">LN(SQRT(EXP(
SQRT(
+POWER(LN(N248),2)
+POWER(LN(O248),2)
+POWER(LN(P248),2)
+POWER(LN(Q248),2)
+POWER(LN(R248),2)
+POWER(LN(S248),2)
+POWER(LN(T248),2)
)
)))</f>
        <v>0.57209088006881903</v>
      </c>
    </row>
    <row r="249" spans="1:22" hidden="1" x14ac:dyDescent="0.2">
      <c r="A249" t="s">
        <v>500</v>
      </c>
      <c r="B249" s="52">
        <f>B248*2</f>
        <v>8.8183421516754851E-7</v>
      </c>
      <c r="C249" t="s">
        <v>267</v>
      </c>
      <c r="E249" t="s">
        <v>85</v>
      </c>
      <c r="F249" t="s">
        <v>86</v>
      </c>
      <c r="G249" t="s">
        <v>501</v>
      </c>
      <c r="H249" t="s">
        <v>88</v>
      </c>
      <c r="I249" t="s">
        <v>621</v>
      </c>
      <c r="K249" t="str">
        <f>B210</f>
        <v>heat, residential, by combustion of synthetic natural gas from catalytic methanation using boiler, transported by pipeline, produced by Electrolysis, PEM using water and electricity from grid and carbon sourced from DAC</v>
      </c>
      <c r="L249">
        <f t="shared" si="11"/>
        <v>2</v>
      </c>
      <c r="M249">
        <f t="shared" si="12"/>
        <v>-13.941261763269834</v>
      </c>
      <c r="N249">
        <v>1.05</v>
      </c>
      <c r="O249">
        <v>1.2</v>
      </c>
      <c r="P249">
        <v>1</v>
      </c>
      <c r="Q249">
        <v>1.01</v>
      </c>
      <c r="R249">
        <v>1.2</v>
      </c>
      <c r="S249">
        <v>1.2</v>
      </c>
      <c r="T249">
        <v>3</v>
      </c>
      <c r="U249">
        <f t="shared" si="13"/>
        <v>0.57209088006881903</v>
      </c>
    </row>
    <row r="250" spans="1:22" hidden="1" x14ac:dyDescent="0.2">
      <c r="A250" t="s">
        <v>130</v>
      </c>
      <c r="B250" s="52">
        <v>2.64E-3</v>
      </c>
      <c r="C250" t="s">
        <v>92</v>
      </c>
      <c r="E250" t="s">
        <v>64</v>
      </c>
      <c r="F250" t="s">
        <v>86</v>
      </c>
      <c r="G250" t="s">
        <v>93</v>
      </c>
      <c r="H250" t="s">
        <v>78</v>
      </c>
      <c r="I250" t="s">
        <v>270</v>
      </c>
      <c r="J250" t="s">
        <v>67</v>
      </c>
      <c r="K250" t="str">
        <f>B210</f>
        <v>heat, residential, by combustion of synthetic natural gas from catalytic methanation using boiler, transported by pipeline, produced by Electrolysis, PEM using water and electricity from grid and carbon sourced from DAC</v>
      </c>
      <c r="L250">
        <f t="shared" si="11"/>
        <v>2</v>
      </c>
      <c r="M250">
        <f t="shared" si="12"/>
        <v>-5.9369763618239126</v>
      </c>
      <c r="N250">
        <v>1.05</v>
      </c>
      <c r="O250">
        <v>1.2</v>
      </c>
      <c r="P250">
        <v>1</v>
      </c>
      <c r="Q250">
        <v>1.01</v>
      </c>
      <c r="R250">
        <v>1.2</v>
      </c>
      <c r="S250">
        <v>1.2</v>
      </c>
      <c r="T250">
        <v>1.05</v>
      </c>
      <c r="U250">
        <f t="shared" si="13"/>
        <v>0.16169679924070957</v>
      </c>
    </row>
    <row r="251" spans="1:22" hidden="1" x14ac:dyDescent="0.2">
      <c r="A251" t="s">
        <v>1184</v>
      </c>
      <c r="B251" s="53">
        <f>(B247/B233)/B232</f>
        <v>1.8947368421052629E-2</v>
      </c>
      <c r="C251" t="str">
        <f>VLOOKUP(J251,'dataset mapping'!$A$4:$E$69,5,0)</f>
        <v>kilogram</v>
      </c>
      <c r="E251" t="str">
        <f>VLOOKUP(J251,'dataset mapping'!$A$4:$E$69,4,0)</f>
        <v>CH</v>
      </c>
      <c r="F251" t="s">
        <v>86</v>
      </c>
      <c r="G251" t="s">
        <v>1157</v>
      </c>
      <c r="H251" t="s">
        <v>1187</v>
      </c>
      <c r="I251" t="s">
        <v>1055</v>
      </c>
      <c r="J251" t="s">
        <v>858</v>
      </c>
      <c r="K251" t="str">
        <f>B210</f>
        <v>heat, residential, by combustion of synthetic natural gas from catalytic methanation using boiler, transported by pipeline, produced by Electrolysis, PEM using water and electricity from grid and carbon sourced from DAC</v>
      </c>
      <c r="L251">
        <f t="shared" si="11"/>
        <v>2</v>
      </c>
      <c r="M251">
        <f t="shared" si="12"/>
        <v>-3.9660902266984221</v>
      </c>
      <c r="N251">
        <v>1.05</v>
      </c>
      <c r="O251">
        <v>1.2</v>
      </c>
      <c r="P251">
        <v>1</v>
      </c>
      <c r="Q251">
        <v>1.01</v>
      </c>
      <c r="R251">
        <v>1.2</v>
      </c>
      <c r="S251">
        <v>1.2</v>
      </c>
      <c r="T251">
        <v>1.05</v>
      </c>
      <c r="U251">
        <f t="shared" si="13"/>
        <v>0.16169679924070957</v>
      </c>
    </row>
    <row r="252" spans="1:22" hidden="1" x14ac:dyDescent="0.2">
      <c r="A252" t="s">
        <v>311</v>
      </c>
      <c r="B252" s="52">
        <v>9.7999999999999992E-10</v>
      </c>
      <c r="C252" t="s">
        <v>56</v>
      </c>
      <c r="D252" t="s">
        <v>408</v>
      </c>
      <c r="F252" t="s">
        <v>99</v>
      </c>
      <c r="H252" t="s">
        <v>131</v>
      </c>
      <c r="I252" t="s">
        <v>410</v>
      </c>
      <c r="L252">
        <f t="shared" si="11"/>
        <v>2</v>
      </c>
      <c r="M252">
        <f t="shared" si="12"/>
        <v>-20.74346854426393</v>
      </c>
      <c r="N252">
        <v>1.5</v>
      </c>
      <c r="O252">
        <v>1.2</v>
      </c>
      <c r="P252">
        <v>1.5</v>
      </c>
      <c r="Q252">
        <v>1.1000000000000001</v>
      </c>
      <c r="R252">
        <v>2</v>
      </c>
      <c r="S252">
        <v>1.2</v>
      </c>
      <c r="T252">
        <v>1.5</v>
      </c>
      <c r="U252">
        <f t="shared" si="13"/>
        <v>0.51215847306170115</v>
      </c>
    </row>
    <row r="253" spans="1:22" hidden="1" x14ac:dyDescent="0.2">
      <c r="A253" t="s">
        <v>312</v>
      </c>
      <c r="B253" s="52">
        <v>1.4700000000000001E-7</v>
      </c>
      <c r="C253" t="s">
        <v>56</v>
      </c>
      <c r="D253" t="s">
        <v>408</v>
      </c>
      <c r="F253" t="s">
        <v>99</v>
      </c>
      <c r="H253" t="s">
        <v>131</v>
      </c>
      <c r="I253" t="s">
        <v>410</v>
      </c>
      <c r="L253">
        <f t="shared" si="11"/>
        <v>2</v>
      </c>
      <c r="M253">
        <f t="shared" si="12"/>
        <v>-15.732833250167674</v>
      </c>
      <c r="N253">
        <v>1.5</v>
      </c>
      <c r="O253">
        <v>1.2</v>
      </c>
      <c r="P253">
        <v>1.5</v>
      </c>
      <c r="Q253">
        <v>1.1000000000000001</v>
      </c>
      <c r="R253">
        <v>2</v>
      </c>
      <c r="S253">
        <v>1.2</v>
      </c>
      <c r="T253">
        <v>1.5</v>
      </c>
      <c r="U253">
        <f t="shared" si="13"/>
        <v>0.51215847306170115</v>
      </c>
    </row>
    <row r="254" spans="1:22" hidden="1" x14ac:dyDescent="0.2">
      <c r="A254" t="s">
        <v>313</v>
      </c>
      <c r="B254" s="52">
        <v>3.9200000000000002E-7</v>
      </c>
      <c r="C254" t="s">
        <v>56</v>
      </c>
      <c r="D254" t="s">
        <v>408</v>
      </c>
      <c r="F254" t="s">
        <v>99</v>
      </c>
      <c r="H254" t="s">
        <v>131</v>
      </c>
      <c r="I254" t="s">
        <v>410</v>
      </c>
      <c r="L254">
        <f t="shared" si="11"/>
        <v>2</v>
      </c>
      <c r="M254">
        <f t="shared" si="12"/>
        <v>-14.752003997155949</v>
      </c>
      <c r="N254">
        <v>1.5</v>
      </c>
      <c r="O254">
        <v>1.2</v>
      </c>
      <c r="P254">
        <v>1.5</v>
      </c>
      <c r="Q254">
        <v>1.1000000000000001</v>
      </c>
      <c r="R254">
        <v>2</v>
      </c>
      <c r="S254">
        <v>1.2</v>
      </c>
      <c r="T254">
        <v>1.5</v>
      </c>
      <c r="U254">
        <f t="shared" si="13"/>
        <v>0.51215847306170115</v>
      </c>
    </row>
    <row r="255" spans="1:22" hidden="1" x14ac:dyDescent="0.2">
      <c r="A255" t="s">
        <v>314</v>
      </c>
      <c r="B255" s="52">
        <v>9.7999999999999994E-12</v>
      </c>
      <c r="C255" t="s">
        <v>56</v>
      </c>
      <c r="D255" t="s">
        <v>408</v>
      </c>
      <c r="F255" t="s">
        <v>99</v>
      </c>
      <c r="H255" t="s">
        <v>131</v>
      </c>
      <c r="I255" t="s">
        <v>410</v>
      </c>
      <c r="L255">
        <f t="shared" si="11"/>
        <v>2</v>
      </c>
      <c r="M255">
        <f t="shared" si="12"/>
        <v>-25.348638730252024</v>
      </c>
      <c r="N255">
        <v>1.5</v>
      </c>
      <c r="O255">
        <v>1.2</v>
      </c>
      <c r="P255">
        <v>1.5</v>
      </c>
      <c r="Q255">
        <v>1.1000000000000001</v>
      </c>
      <c r="R255">
        <v>2</v>
      </c>
      <c r="S255">
        <v>1.2</v>
      </c>
      <c r="T255">
        <v>1.5</v>
      </c>
      <c r="U255">
        <f t="shared" si="13"/>
        <v>0.51215847306170115</v>
      </c>
    </row>
    <row r="256" spans="1:22" hidden="1" x14ac:dyDescent="0.2">
      <c r="A256" t="s">
        <v>315</v>
      </c>
      <c r="B256" s="52">
        <v>6.8599999999999998E-7</v>
      </c>
      <c r="C256" t="s">
        <v>56</v>
      </c>
      <c r="D256" t="s">
        <v>408</v>
      </c>
      <c r="F256" t="s">
        <v>99</v>
      </c>
      <c r="H256" t="s">
        <v>131</v>
      </c>
      <c r="I256" t="s">
        <v>410</v>
      </c>
      <c r="L256">
        <f t="shared" si="11"/>
        <v>2</v>
      </c>
      <c r="M256">
        <f t="shared" si="12"/>
        <v>-14.192388209220526</v>
      </c>
      <c r="N256">
        <v>1.5</v>
      </c>
      <c r="O256">
        <v>1.2</v>
      </c>
      <c r="P256">
        <v>1.5</v>
      </c>
      <c r="Q256">
        <v>1.1000000000000001</v>
      </c>
      <c r="R256">
        <v>2</v>
      </c>
      <c r="S256">
        <v>1.2</v>
      </c>
      <c r="T256">
        <v>1.5</v>
      </c>
      <c r="U256">
        <f t="shared" si="13"/>
        <v>0.51215847306170115</v>
      </c>
    </row>
    <row r="257" spans="1:21" hidden="1" x14ac:dyDescent="0.2">
      <c r="A257" t="s">
        <v>316</v>
      </c>
      <c r="B257" s="54">
        <f>2.74*B251*(1-B240)</f>
        <v>0</v>
      </c>
      <c r="C257" t="s">
        <v>56</v>
      </c>
      <c r="D257" t="s">
        <v>408</v>
      </c>
      <c r="F257" t="s">
        <v>99</v>
      </c>
      <c r="H257" t="s">
        <v>131</v>
      </c>
      <c r="I257" t="s">
        <v>410</v>
      </c>
      <c r="L257">
        <v>0</v>
      </c>
      <c r="M257" t="str">
        <f t="shared" si="12"/>
        <v/>
      </c>
    </row>
    <row r="258" spans="1:21" hidden="1" x14ac:dyDescent="0.2">
      <c r="A258" t="s">
        <v>371</v>
      </c>
      <c r="B258" s="54">
        <f>2.74*B251*B240</f>
        <v>5.1915789473684207E-2</v>
      </c>
      <c r="C258" t="s">
        <v>56</v>
      </c>
      <c r="D258" t="s">
        <v>408</v>
      </c>
      <c r="F258" t="s">
        <v>99</v>
      </c>
      <c r="H258" t="s">
        <v>131</v>
      </c>
      <c r="I258" t="s">
        <v>410</v>
      </c>
      <c r="L258">
        <f t="shared" si="11"/>
        <v>2</v>
      </c>
      <c r="M258">
        <f t="shared" si="12"/>
        <v>-2.958132306298443</v>
      </c>
      <c r="N258">
        <v>1.5</v>
      </c>
      <c r="O258">
        <v>1.2</v>
      </c>
      <c r="P258">
        <v>1.5</v>
      </c>
      <c r="Q258">
        <v>1.1000000000000001</v>
      </c>
      <c r="R258">
        <v>2</v>
      </c>
      <c r="S258">
        <v>1.2</v>
      </c>
      <c r="T258">
        <v>1.05</v>
      </c>
      <c r="U258">
        <f t="shared" si="13"/>
        <v>0.47095746419981693</v>
      </c>
    </row>
    <row r="259" spans="1:21" hidden="1" x14ac:dyDescent="0.2">
      <c r="A259" t="s">
        <v>400</v>
      </c>
      <c r="B259" s="52">
        <v>5.7819999999999999E-6</v>
      </c>
      <c r="C259" t="s">
        <v>56</v>
      </c>
      <c r="D259" t="s">
        <v>408</v>
      </c>
      <c r="F259" t="s">
        <v>99</v>
      </c>
      <c r="H259" t="s">
        <v>131</v>
      </c>
      <c r="I259" t="s">
        <v>410</v>
      </c>
      <c r="L259">
        <f t="shared" si="11"/>
        <v>2</v>
      </c>
      <c r="M259">
        <f t="shared" si="12"/>
        <v>-12.060760914370119</v>
      </c>
      <c r="N259">
        <v>1.5</v>
      </c>
      <c r="O259">
        <v>1.2</v>
      </c>
      <c r="P259">
        <v>1.5</v>
      </c>
      <c r="Q259">
        <v>1.1000000000000001</v>
      </c>
      <c r="R259">
        <v>2</v>
      </c>
      <c r="S259">
        <v>1.2</v>
      </c>
      <c r="T259">
        <v>5</v>
      </c>
      <c r="U259">
        <f t="shared" si="13"/>
        <v>0.93208283513358414</v>
      </c>
    </row>
    <row r="260" spans="1:21" hidden="1" x14ac:dyDescent="0.2">
      <c r="A260" t="s">
        <v>318</v>
      </c>
      <c r="B260" s="52">
        <v>4.8999999999999997E-7</v>
      </c>
      <c r="C260" t="s">
        <v>56</v>
      </c>
      <c r="D260" t="s">
        <v>408</v>
      </c>
      <c r="F260" t="s">
        <v>99</v>
      </c>
      <c r="H260" t="s">
        <v>131</v>
      </c>
      <c r="I260" t="s">
        <v>410</v>
      </c>
      <c r="L260">
        <f t="shared" si="11"/>
        <v>2</v>
      </c>
      <c r="M260">
        <f t="shared" si="12"/>
        <v>-14.528860445841739</v>
      </c>
      <c r="N260">
        <v>1.5</v>
      </c>
      <c r="O260">
        <v>1.2</v>
      </c>
      <c r="P260">
        <v>1.5</v>
      </c>
      <c r="Q260">
        <v>1.1000000000000001</v>
      </c>
      <c r="R260">
        <v>2</v>
      </c>
      <c r="S260">
        <v>1.2</v>
      </c>
      <c r="T260">
        <v>1.5</v>
      </c>
      <c r="U260">
        <f t="shared" si="13"/>
        <v>0.51215847306170115</v>
      </c>
    </row>
    <row r="261" spans="1:21" hidden="1" x14ac:dyDescent="0.2">
      <c r="A261" t="s">
        <v>401</v>
      </c>
      <c r="B261" s="52">
        <v>2.9400000000000001E-17</v>
      </c>
      <c r="C261" t="s">
        <v>56</v>
      </c>
      <c r="D261" t="s">
        <v>408</v>
      </c>
      <c r="F261" t="s">
        <v>99</v>
      </c>
      <c r="H261" t="s">
        <v>131</v>
      </c>
      <c r="I261" t="s">
        <v>410</v>
      </c>
      <c r="L261">
        <f t="shared" si="11"/>
        <v>2</v>
      </c>
      <c r="M261">
        <f t="shared" si="12"/>
        <v>-38.065536999548186</v>
      </c>
      <c r="N261">
        <v>1.5</v>
      </c>
      <c r="O261">
        <v>1.2</v>
      </c>
      <c r="P261">
        <v>1.5</v>
      </c>
      <c r="Q261">
        <v>1.1000000000000001</v>
      </c>
      <c r="R261">
        <v>2</v>
      </c>
      <c r="S261">
        <v>1.2</v>
      </c>
      <c r="T261">
        <v>1.5</v>
      </c>
      <c r="U261">
        <f t="shared" si="13"/>
        <v>0.51215847306170115</v>
      </c>
    </row>
    <row r="262" spans="1:21" hidden="1" x14ac:dyDescent="0.2">
      <c r="A262" t="s">
        <v>319</v>
      </c>
      <c r="B262" s="52">
        <v>9.8000000000000004E-8</v>
      </c>
      <c r="C262" t="s">
        <v>56</v>
      </c>
      <c r="D262" t="s">
        <v>408</v>
      </c>
      <c r="F262" t="s">
        <v>99</v>
      </c>
      <c r="H262" t="s">
        <v>131</v>
      </c>
      <c r="I262" t="s">
        <v>410</v>
      </c>
      <c r="L262">
        <f t="shared" si="11"/>
        <v>2</v>
      </c>
      <c r="M262">
        <f t="shared" si="12"/>
        <v>-16.13829835827584</v>
      </c>
      <c r="N262">
        <v>1.5</v>
      </c>
      <c r="O262">
        <v>1.2</v>
      </c>
      <c r="P262">
        <v>1.5</v>
      </c>
      <c r="Q262">
        <v>1.1000000000000001</v>
      </c>
      <c r="R262">
        <v>2</v>
      </c>
      <c r="S262">
        <v>1.2</v>
      </c>
      <c r="T262">
        <v>1.5</v>
      </c>
      <c r="U262">
        <f t="shared" si="13"/>
        <v>0.51215847306170115</v>
      </c>
    </row>
    <row r="263" spans="1:21" hidden="1" x14ac:dyDescent="0.2">
      <c r="A263" t="s">
        <v>402</v>
      </c>
      <c r="B263" s="52">
        <v>2.9400000000000003E-11</v>
      </c>
      <c r="C263" t="s">
        <v>56</v>
      </c>
      <c r="D263" t="s">
        <v>408</v>
      </c>
      <c r="F263" t="s">
        <v>99</v>
      </c>
      <c r="H263" t="s">
        <v>131</v>
      </c>
      <c r="I263" t="s">
        <v>410</v>
      </c>
      <c r="L263">
        <f t="shared" si="11"/>
        <v>2</v>
      </c>
      <c r="M263">
        <f t="shared" si="12"/>
        <v>-24.250026441583913</v>
      </c>
      <c r="N263">
        <v>1.5</v>
      </c>
      <c r="O263">
        <v>1.2</v>
      </c>
      <c r="P263">
        <v>1.5</v>
      </c>
      <c r="Q263">
        <v>1.1000000000000001</v>
      </c>
      <c r="R263">
        <v>2</v>
      </c>
      <c r="S263">
        <v>1.2</v>
      </c>
      <c r="T263">
        <v>5</v>
      </c>
      <c r="U263">
        <f t="shared" si="13"/>
        <v>0.93208283513358414</v>
      </c>
    </row>
    <row r="264" spans="1:21" hidden="1" x14ac:dyDescent="0.2">
      <c r="A264" t="s">
        <v>373</v>
      </c>
      <c r="B264" s="52">
        <f>0.00000196*B240</f>
        <v>1.9599999999999999E-6</v>
      </c>
      <c r="C264" t="s">
        <v>56</v>
      </c>
      <c r="D264" t="s">
        <v>408</v>
      </c>
      <c r="F264" t="s">
        <v>99</v>
      </c>
      <c r="H264" t="s">
        <v>131</v>
      </c>
      <c r="I264" t="s">
        <v>410</v>
      </c>
      <c r="L264">
        <f t="shared" si="11"/>
        <v>2</v>
      </c>
      <c r="M264">
        <f t="shared" si="12"/>
        <v>-13.142566084721848</v>
      </c>
      <c r="N264">
        <v>1.5</v>
      </c>
      <c r="O264">
        <v>1.2</v>
      </c>
      <c r="P264">
        <v>1.5</v>
      </c>
      <c r="Q264">
        <v>1.1000000000000001</v>
      </c>
      <c r="R264">
        <v>2</v>
      </c>
      <c r="S264">
        <v>1.2</v>
      </c>
      <c r="T264">
        <v>1.5</v>
      </c>
      <c r="U264">
        <f t="shared" si="13"/>
        <v>0.51215847306170115</v>
      </c>
    </row>
    <row r="265" spans="1:21" hidden="1" x14ac:dyDescent="0.2">
      <c r="A265" t="s">
        <v>320</v>
      </c>
      <c r="B265" s="52">
        <f>0.00000196*(1-B240)</f>
        <v>0</v>
      </c>
      <c r="C265" t="s">
        <v>56</v>
      </c>
      <c r="D265" t="s">
        <v>408</v>
      </c>
      <c r="F265" t="s">
        <v>99</v>
      </c>
      <c r="H265" t="s">
        <v>131</v>
      </c>
      <c r="I265" t="s">
        <v>410</v>
      </c>
      <c r="L265">
        <v>0</v>
      </c>
      <c r="M265" t="str">
        <f t="shared" si="12"/>
        <v/>
      </c>
    </row>
    <row r="266" spans="1:21" hidden="1" x14ac:dyDescent="0.2">
      <c r="A266" t="s">
        <v>135</v>
      </c>
      <c r="B266" s="52">
        <v>9.7019999999999996E-6</v>
      </c>
      <c r="C266" t="s">
        <v>56</v>
      </c>
      <c r="D266" t="s">
        <v>408</v>
      </c>
      <c r="F266" t="s">
        <v>99</v>
      </c>
      <c r="H266" t="s">
        <v>131</v>
      </c>
      <c r="I266" t="s">
        <v>410</v>
      </c>
      <c r="L266">
        <f t="shared" si="11"/>
        <v>2</v>
      </c>
      <c r="M266">
        <f t="shared" si="12"/>
        <v>-11.543178508141249</v>
      </c>
      <c r="N266">
        <v>1.5</v>
      </c>
      <c r="O266">
        <v>1.2</v>
      </c>
      <c r="P266">
        <v>1.5</v>
      </c>
      <c r="Q266">
        <v>1.1000000000000001</v>
      </c>
      <c r="R266">
        <v>2</v>
      </c>
      <c r="S266">
        <v>1.2</v>
      </c>
      <c r="T266">
        <v>1.5</v>
      </c>
      <c r="U266">
        <f t="shared" si="13"/>
        <v>0.51215847306170115</v>
      </c>
    </row>
    <row r="267" spans="1:21" hidden="1" x14ac:dyDescent="0.2">
      <c r="A267" t="s">
        <v>321</v>
      </c>
      <c r="B267" s="52">
        <v>9.8000000000000001E-9</v>
      </c>
      <c r="C267" t="s">
        <v>56</v>
      </c>
      <c r="D267" t="s">
        <v>408</v>
      </c>
      <c r="F267" t="s">
        <v>99</v>
      </c>
      <c r="H267" t="s">
        <v>131</v>
      </c>
      <c r="I267" t="s">
        <v>410</v>
      </c>
      <c r="L267">
        <f t="shared" si="11"/>
        <v>2</v>
      </c>
      <c r="M267">
        <f t="shared" si="12"/>
        <v>-18.440883451269883</v>
      </c>
      <c r="N267">
        <v>1.5</v>
      </c>
      <c r="O267">
        <v>1.2</v>
      </c>
      <c r="P267">
        <v>1.5</v>
      </c>
      <c r="Q267">
        <v>1.1000000000000001</v>
      </c>
      <c r="R267">
        <v>2</v>
      </c>
      <c r="S267">
        <v>1.2</v>
      </c>
      <c r="T267">
        <v>3</v>
      </c>
      <c r="U267">
        <f t="shared" si="13"/>
        <v>0.72314801614797197</v>
      </c>
    </row>
    <row r="268" spans="1:21" hidden="1" x14ac:dyDescent="0.2">
      <c r="A268" t="s">
        <v>403</v>
      </c>
      <c r="B268" s="52">
        <v>9.8000000000000004E-8</v>
      </c>
      <c r="C268" t="s">
        <v>56</v>
      </c>
      <c r="D268" t="s">
        <v>408</v>
      </c>
      <c r="F268" t="s">
        <v>99</v>
      </c>
      <c r="H268" t="s">
        <v>131</v>
      </c>
      <c r="I268" t="s">
        <v>410</v>
      </c>
      <c r="L268">
        <f t="shared" si="11"/>
        <v>2</v>
      </c>
      <c r="M268">
        <f t="shared" si="12"/>
        <v>-16.13829835827584</v>
      </c>
      <c r="N268">
        <v>1.5</v>
      </c>
      <c r="O268">
        <v>1.2</v>
      </c>
      <c r="P268">
        <v>1.5</v>
      </c>
      <c r="Q268">
        <v>1.1000000000000001</v>
      </c>
      <c r="R268">
        <v>2</v>
      </c>
      <c r="S268">
        <v>1.2</v>
      </c>
      <c r="T268">
        <v>3</v>
      </c>
      <c r="U268">
        <f t="shared" si="13"/>
        <v>0.72314801614797197</v>
      </c>
    </row>
    <row r="269" spans="1:21" hidden="1" x14ac:dyDescent="0.2">
      <c r="A269" t="s">
        <v>322</v>
      </c>
      <c r="B269" s="52">
        <v>1.176E-6</v>
      </c>
      <c r="C269" t="s">
        <v>56</v>
      </c>
      <c r="D269" t="s">
        <v>408</v>
      </c>
      <c r="F269" t="s">
        <v>99</v>
      </c>
      <c r="H269" t="s">
        <v>131</v>
      </c>
      <c r="I269" t="s">
        <v>410</v>
      </c>
      <c r="L269">
        <f t="shared" si="11"/>
        <v>2</v>
      </c>
      <c r="M269">
        <f t="shared" si="12"/>
        <v>-13.653391708487838</v>
      </c>
      <c r="N269">
        <v>1.5</v>
      </c>
      <c r="O269">
        <v>1.2</v>
      </c>
      <c r="P269">
        <v>1.5</v>
      </c>
      <c r="Q269">
        <v>1.1000000000000001</v>
      </c>
      <c r="R269">
        <v>2</v>
      </c>
      <c r="S269">
        <v>1.2</v>
      </c>
      <c r="T269">
        <v>1.5</v>
      </c>
      <c r="U269">
        <f t="shared" si="13"/>
        <v>0.51215847306170115</v>
      </c>
    </row>
    <row r="270" spans="1:21" hidden="1" x14ac:dyDescent="0.2">
      <c r="A270" t="s">
        <v>323</v>
      </c>
      <c r="B270" s="52">
        <v>1.9600000000000001E-7</v>
      </c>
      <c r="C270" t="s">
        <v>56</v>
      </c>
      <c r="D270" t="s">
        <v>408</v>
      </c>
      <c r="F270" t="s">
        <v>99</v>
      </c>
      <c r="H270" t="s">
        <v>131</v>
      </c>
      <c r="I270" t="s">
        <v>410</v>
      </c>
      <c r="L270">
        <f t="shared" si="11"/>
        <v>2</v>
      </c>
      <c r="M270">
        <f t="shared" si="12"/>
        <v>-15.445151177715895</v>
      </c>
      <c r="N270">
        <v>1.5</v>
      </c>
      <c r="O270">
        <v>1.2</v>
      </c>
      <c r="P270">
        <v>1.5</v>
      </c>
      <c r="Q270">
        <v>1.1000000000000001</v>
      </c>
      <c r="R270">
        <v>2</v>
      </c>
      <c r="S270">
        <v>1.2</v>
      </c>
      <c r="T270">
        <v>1.5</v>
      </c>
      <c r="U270">
        <f t="shared" si="13"/>
        <v>0.51215847306170115</v>
      </c>
    </row>
    <row r="271" spans="1:21" hidden="1" x14ac:dyDescent="0.2">
      <c r="A271" t="s">
        <v>324</v>
      </c>
      <c r="B271" s="52">
        <v>1.96E-8</v>
      </c>
      <c r="C271" t="s">
        <v>56</v>
      </c>
      <c r="D271" t="s">
        <v>408</v>
      </c>
      <c r="F271" t="s">
        <v>99</v>
      </c>
      <c r="H271" t="s">
        <v>131</v>
      </c>
      <c r="I271" t="s">
        <v>410</v>
      </c>
      <c r="L271">
        <f t="shared" si="11"/>
        <v>2</v>
      </c>
      <c r="M271">
        <f t="shared" si="12"/>
        <v>-17.74773627070994</v>
      </c>
      <c r="N271">
        <v>1.5</v>
      </c>
      <c r="O271">
        <v>1.2</v>
      </c>
      <c r="P271">
        <v>1.5</v>
      </c>
      <c r="Q271">
        <v>1.1000000000000001</v>
      </c>
      <c r="R271">
        <v>2</v>
      </c>
      <c r="S271">
        <v>1.2</v>
      </c>
      <c r="T271">
        <v>1.5</v>
      </c>
      <c r="U271">
        <f t="shared" si="13"/>
        <v>0.51215847306170115</v>
      </c>
    </row>
    <row r="272" spans="1:21" hidden="1" x14ac:dyDescent="0.2">
      <c r="A272" t="s">
        <v>325</v>
      </c>
      <c r="B272" s="52">
        <v>4.8999999999999997E-7</v>
      </c>
      <c r="C272" t="s">
        <v>56</v>
      </c>
      <c r="D272" t="s">
        <v>408</v>
      </c>
      <c r="F272" t="s">
        <v>99</v>
      </c>
      <c r="H272" t="s">
        <v>131</v>
      </c>
      <c r="I272" t="s">
        <v>410</v>
      </c>
      <c r="L272">
        <f t="shared" si="11"/>
        <v>2</v>
      </c>
      <c r="M272">
        <f t="shared" si="12"/>
        <v>-14.528860445841739</v>
      </c>
      <c r="N272">
        <v>1.5</v>
      </c>
      <c r="O272">
        <v>1.2</v>
      </c>
      <c r="P272">
        <v>1.5</v>
      </c>
      <c r="Q272">
        <v>1.1000000000000001</v>
      </c>
      <c r="R272">
        <v>2</v>
      </c>
      <c r="S272">
        <v>1.2</v>
      </c>
      <c r="T272">
        <v>1.5</v>
      </c>
      <c r="U272">
        <f t="shared" si="13"/>
        <v>0.51215847306170115</v>
      </c>
    </row>
    <row r="273" spans="1:21" hidden="1" x14ac:dyDescent="0.2">
      <c r="A273" t="s">
        <v>326</v>
      </c>
      <c r="B273" s="52">
        <v>1.9600000000000001E-7</v>
      </c>
      <c r="C273" t="s">
        <v>56</v>
      </c>
      <c r="D273" t="s">
        <v>408</v>
      </c>
      <c r="F273" t="s">
        <v>99</v>
      </c>
      <c r="H273" t="s">
        <v>131</v>
      </c>
      <c r="I273" t="s">
        <v>410</v>
      </c>
      <c r="L273">
        <f t="shared" si="11"/>
        <v>2</v>
      </c>
      <c r="M273">
        <f t="shared" si="12"/>
        <v>-15.445151177715895</v>
      </c>
      <c r="N273">
        <v>1.5</v>
      </c>
      <c r="O273">
        <v>1.2</v>
      </c>
      <c r="P273">
        <v>1.5</v>
      </c>
      <c r="Q273">
        <v>1.1000000000000001</v>
      </c>
      <c r="R273">
        <v>2</v>
      </c>
      <c r="S273">
        <v>1.2</v>
      </c>
      <c r="T273">
        <v>1.5</v>
      </c>
      <c r="U273">
        <f t="shared" si="13"/>
        <v>0.51215847306170115</v>
      </c>
    </row>
    <row r="274" spans="1:21" hidden="1" x14ac:dyDescent="0.2">
      <c r="A274" t="s">
        <v>404</v>
      </c>
      <c r="B274" s="52">
        <v>1.2739999999999999E-7</v>
      </c>
      <c r="C274" t="s">
        <v>56</v>
      </c>
      <c r="D274" t="s">
        <v>409</v>
      </c>
      <c r="F274" t="s">
        <v>99</v>
      </c>
      <c r="H274" t="s">
        <v>131</v>
      </c>
      <c r="I274" t="s">
        <v>410</v>
      </c>
      <c r="L274">
        <f t="shared" si="11"/>
        <v>2</v>
      </c>
      <c r="M274">
        <f t="shared" si="12"/>
        <v>-15.875934093808349</v>
      </c>
      <c r="N274">
        <v>1.5</v>
      </c>
      <c r="O274">
        <v>1.2</v>
      </c>
      <c r="P274">
        <v>1.5</v>
      </c>
      <c r="Q274">
        <v>1.1000000000000001</v>
      </c>
      <c r="R274">
        <v>2</v>
      </c>
      <c r="S274">
        <v>1.2</v>
      </c>
      <c r="T274">
        <v>1.5</v>
      </c>
      <c r="U274">
        <f t="shared" si="13"/>
        <v>0.51215847306170115</v>
      </c>
    </row>
    <row r="275" spans="1:21" hidden="1" x14ac:dyDescent="0.2">
      <c r="A275" t="s">
        <v>405</v>
      </c>
      <c r="B275" s="52">
        <v>2.9400000000000002E-9</v>
      </c>
      <c r="C275" t="s">
        <v>56</v>
      </c>
      <c r="D275" t="s">
        <v>409</v>
      </c>
      <c r="F275" t="s">
        <v>99</v>
      </c>
      <c r="H275" t="s">
        <v>131</v>
      </c>
      <c r="I275" t="s">
        <v>410</v>
      </c>
      <c r="L275">
        <f t="shared" si="11"/>
        <v>2</v>
      </c>
      <c r="M275">
        <f t="shared" si="12"/>
        <v>-19.644856255595823</v>
      </c>
      <c r="N275">
        <v>1.5</v>
      </c>
      <c r="O275">
        <v>1.2</v>
      </c>
      <c r="P275">
        <v>1.5</v>
      </c>
      <c r="Q275">
        <v>1.1000000000000001</v>
      </c>
      <c r="R275">
        <v>2</v>
      </c>
      <c r="S275">
        <v>1.2</v>
      </c>
      <c r="T275">
        <v>1.5</v>
      </c>
      <c r="U275">
        <f t="shared" si="13"/>
        <v>0.51215847306170115</v>
      </c>
    </row>
    <row r="276" spans="1:21" hidden="1" x14ac:dyDescent="0.2">
      <c r="A276" t="s">
        <v>406</v>
      </c>
      <c r="B276" s="52">
        <v>4.9000000000000002E-8</v>
      </c>
      <c r="C276" t="s">
        <v>56</v>
      </c>
      <c r="D276" t="s">
        <v>409</v>
      </c>
      <c r="F276" t="s">
        <v>99</v>
      </c>
      <c r="H276" t="s">
        <v>131</v>
      </c>
      <c r="I276" t="s">
        <v>410</v>
      </c>
      <c r="L276">
        <f t="shared" si="11"/>
        <v>2</v>
      </c>
      <c r="M276">
        <f t="shared" si="12"/>
        <v>-16.831445538835784</v>
      </c>
      <c r="N276">
        <v>1.5</v>
      </c>
      <c r="O276">
        <v>1.2</v>
      </c>
      <c r="P276">
        <v>1.5</v>
      </c>
      <c r="Q276">
        <v>1.1000000000000001</v>
      </c>
      <c r="R276">
        <v>2</v>
      </c>
      <c r="S276">
        <v>1.2</v>
      </c>
      <c r="T276">
        <v>1.5</v>
      </c>
      <c r="U276">
        <f t="shared" si="13"/>
        <v>0.51215847306170115</v>
      </c>
    </row>
    <row r="277" spans="1:21" hidden="1" x14ac:dyDescent="0.2">
      <c r="A277" t="s">
        <v>407</v>
      </c>
      <c r="B277" s="52">
        <v>4.9000000000000002E-8</v>
      </c>
      <c r="C277" t="s">
        <v>56</v>
      </c>
      <c r="D277" t="s">
        <v>409</v>
      </c>
      <c r="F277" t="s">
        <v>99</v>
      </c>
      <c r="H277" t="s">
        <v>131</v>
      </c>
      <c r="I277" t="s">
        <v>410</v>
      </c>
      <c r="L277">
        <f t="shared" si="11"/>
        <v>2</v>
      </c>
      <c r="M277">
        <f t="shared" si="12"/>
        <v>-16.831445538835784</v>
      </c>
      <c r="N277">
        <v>1.5</v>
      </c>
      <c r="O277">
        <v>1.2</v>
      </c>
      <c r="P277">
        <v>1.5</v>
      </c>
      <c r="Q277">
        <v>1.1000000000000001</v>
      </c>
      <c r="R277">
        <v>2</v>
      </c>
      <c r="S277">
        <v>1.2</v>
      </c>
      <c r="T277">
        <v>1.5</v>
      </c>
      <c r="U277">
        <f t="shared" si="13"/>
        <v>0.51215847306170115</v>
      </c>
    </row>
    <row r="278" spans="1:21" hidden="1" x14ac:dyDescent="0.2"/>
    <row r="279" spans="1:21" hidden="1" x14ac:dyDescent="0.2"/>
    <row r="280" spans="1:21" hidden="1" x14ac:dyDescent="0.2">
      <c r="A280" s="2" t="s">
        <v>50</v>
      </c>
      <c r="B280" s="44" t="str">
        <f>IF(B286="megajoule","heat","electricity")&amp;", residential, by "&amp;B291&amp;" of "&amp;B290&amp;" using "&amp;B292&amp;IF(B293&lt;&gt;0,"allocated by "&amp;B293,"")&amp;", transported by "&amp;B294&amp;", produced by "&amp;B298&amp;" using "&amp;B299&amp;" from "&amp;B300&amp;" and carbon sourced from "&amp;B301</f>
        <v>heat, residential, by combustion of synthetic natural gas from catalytic methanation using boiler, transported by pipeline, produced by Electrolysis, PEM using water and electricity from grid and carbon sourced from MSWI</v>
      </c>
    </row>
    <row r="281" spans="1:21" hidden="1" x14ac:dyDescent="0.2">
      <c r="A281" t="s">
        <v>51</v>
      </c>
      <c r="B281" s="45" t="str">
        <f>"This dataset represents the supply of 1 megajoule of heat in a residence, by "&amp;B290&amp;" "&amp;B291&amp;" in a "&amp;B292&amp;". "&amp;" The "&amp;B290&amp;" is transported by "&amp;B294&amp;" over "&amp;B295&amp;" km from regional storage. "&amp;" The "&amp;B290&amp;" is produced by  "&amp;B298&amp;", with "&amp;B299&amp;" from "&amp;B300&amp;" as feedstock. The carbon is sourced from "&amp;B301&amp;". "&amp;A302&amp;": "&amp;(B302*100)&amp;"%. "&amp;A303&amp;": "&amp;B303&amp;". "&amp;A304&amp;": "&amp;B304&amp;". "&amp;A305&amp;": "&amp;(B305*100)&amp;"%. "&amp;A306&amp;": "&amp;(B306*100)&amp;"%. "&amp;A307&amp;": "&amp;(B307*100)&amp;"%. "&amp;A308&amp;": "&amp;B308&amp;". "&amp;A309&amp;": "&amp;B309&amp;". "&amp;A310&amp;": "&amp;(B310*100)&amp;"%. "&amp;A311&amp;": "&amp;B311&amp;". "&amp;A312&amp;": "&amp;B312&amp;". "&amp;A313&amp;": "&amp;B313&amp;". "&amp;A314&amp;": "&amp;B314&amp;".  For more information, refer to: "&amp;B282</f>
        <v>This dataset represents the supply of 1 megajoule of heat in a residence, by synthetic natural gas from catalytic methanation combustion in a boiler.  The synthetic natural gas from catalytic methanation is transported by pipeline over 500 km from regional storage.  The synthetic natural gas from catalytic methanation is produced by  Electrolysis, PEM, with water and electricity from grid as feedstock. The carbon is sourced from MSWI. Heat conversion efficiency [% LHV input]: 111.111111111111%. LHV [MJ/kg]: 47.5. Market price [€/MJ]: 0.0266666666666667. Distribution loss [% output]: 0.019%. Storage loss [% output]: 0%. Synthesis efficiency [% LHV input]: 0%. Hydrogen production efficiency [% LHV input]: 0. Grid loss [%]: 0.06. CO2 biogenic share [%]: 61.3636363636364%. Power [kW]: 15. Lifetime [years]: 20. Annual operation [hours]: 2100. : .  For more information, refer to: Sacchi, R. and Bauer, C. Life Cycle Assessment of Power-to-X processes and associated electricity and heat applications in the residential sector. Paul Scherrer Institut, 2023.</v>
      </c>
    </row>
    <row r="282" spans="1:21" hidden="1" x14ac:dyDescent="0.2">
      <c r="A282" t="s">
        <v>63</v>
      </c>
      <c r="B282" s="45" t="s">
        <v>1223</v>
      </c>
    </row>
    <row r="283" spans="1:21" hidden="1" x14ac:dyDescent="0.2">
      <c r="A283" t="s">
        <v>52</v>
      </c>
      <c r="B283" s="45" t="s">
        <v>64</v>
      </c>
    </row>
    <row r="284" spans="1:21" hidden="1" x14ac:dyDescent="0.2">
      <c r="A284" t="s">
        <v>48</v>
      </c>
      <c r="B284" s="45">
        <v>181</v>
      </c>
    </row>
    <row r="285" spans="1:21" hidden="1" x14ac:dyDescent="0.2">
      <c r="A285" t="s">
        <v>54</v>
      </c>
      <c r="B285" s="45" t="str">
        <f>INDEX(overview!$B$4:$R$338,MATCH(B284,overview!$A$4:$A$338,0),MATCH(A285,overview!$B$3:$R$3,0))</f>
        <v>heat, from residential heating system</v>
      </c>
    </row>
    <row r="286" spans="1:21" hidden="1" x14ac:dyDescent="0.2">
      <c r="A286" t="s">
        <v>55</v>
      </c>
      <c r="B286" s="45" t="str">
        <f>INDEX(overview!$B$4:$R$338,MATCH(B284,overview!$A$4:$A$338,0),MATCH(A286,overview!$B$3:$R$3,0))</f>
        <v>megajoule</v>
      </c>
    </row>
    <row r="287" spans="1:21" hidden="1" x14ac:dyDescent="0.2">
      <c r="A287" t="s">
        <v>0</v>
      </c>
      <c r="B287" s="45" t="str">
        <f>INDEX(overview!$B$4:$R$338,MATCH(B284,overview!$A$4:$A$338,0),MATCH(A287,overview!$B$3:$R$3,0))</f>
        <v>Switzerland</v>
      </c>
    </row>
    <row r="288" spans="1:21" hidden="1" x14ac:dyDescent="0.2">
      <c r="A288" t="s">
        <v>1</v>
      </c>
      <c r="B288" s="45">
        <f>INDEX(overview!$B$4:$R$338,MATCH(B284,overview!$A$4:$A$338,0),MATCH(A288,overview!$B$3:$R$3,0))</f>
        <v>2020</v>
      </c>
    </row>
    <row r="289" spans="1:2" hidden="1" x14ac:dyDescent="0.2">
      <c r="A289" t="s">
        <v>2</v>
      </c>
      <c r="B289" s="45" t="str">
        <f>INDEX(overview!$B$4:$R$338,MATCH(B284,overview!$A$4:$A$338,0),MATCH(A289,overview!$B$3:$R$3,0))</f>
        <v>1 MJ heat</v>
      </c>
    </row>
    <row r="290" spans="1:2" hidden="1" x14ac:dyDescent="0.2">
      <c r="A290" t="s">
        <v>5</v>
      </c>
      <c r="B290" s="45" t="str">
        <f>INDEX(overview!$B$4:$R$338,MATCH(B284,overview!$A$4:$A$338,0),MATCH(A290,overview!$B$3:$R$3,0))</f>
        <v>synthetic natural gas from catalytic methanation</v>
      </c>
    </row>
    <row r="291" spans="1:2" hidden="1" x14ac:dyDescent="0.2">
      <c r="A291" t="s">
        <v>3</v>
      </c>
      <c r="B291" s="45" t="str">
        <f>INDEX(overview!$B$4:$R$338,MATCH(B284,overview!$A$4:$A$338,0),MATCH(A291,overview!$B$3:$R$3,0))</f>
        <v>combustion</v>
      </c>
    </row>
    <row r="292" spans="1:2" hidden="1" x14ac:dyDescent="0.2">
      <c r="A292" t="s">
        <v>6</v>
      </c>
      <c r="B292" s="45" t="str">
        <f>INDEX(overview!$B$4:$R$338,MATCH(B284,overview!$A$4:$A$338,0),MATCH(A292,overview!$B$3:$R$3,0))</f>
        <v>boiler</v>
      </c>
    </row>
    <row r="293" spans="1:2" hidden="1" x14ac:dyDescent="0.2">
      <c r="A293" t="s">
        <v>39</v>
      </c>
      <c r="B293" s="45">
        <f>INDEX(overview!$B$4:$R$338,MATCH(B284,overview!$A$4:$A$338,0),MATCH(A293,overview!$B$3:$R$3,0))</f>
        <v>0</v>
      </c>
    </row>
    <row r="294" spans="1:2" hidden="1" x14ac:dyDescent="0.2">
      <c r="A294" t="s">
        <v>4</v>
      </c>
      <c r="B294" s="45" t="str">
        <f>INDEX(overview!$B$4:$R$338,MATCH(B284,overview!$A$4:$A$338,0),MATCH(A294,overview!$B$3:$R$3,0))</f>
        <v>pipeline</v>
      </c>
    </row>
    <row r="295" spans="1:2" hidden="1" x14ac:dyDescent="0.2">
      <c r="A295" t="s">
        <v>38</v>
      </c>
      <c r="B295" s="45">
        <f>INDEX(overview!$B$4:$R$338,MATCH(B284,overview!$A$4:$A$338,0),MATCH(A295,overview!$B$3:$R$3,0))</f>
        <v>500</v>
      </c>
    </row>
    <row r="296" spans="1:2" hidden="1" x14ac:dyDescent="0.2">
      <c r="A296" t="s">
        <v>12</v>
      </c>
      <c r="B296" s="45" t="str">
        <f>INDEX(overview!$B$4:$R$338,MATCH(B284,overview!$A$4:$A$338,0),MATCH(A296,overview!$B$3:$R$3,0))</f>
        <v>Above surface pressure vessel</v>
      </c>
    </row>
    <row r="297" spans="1:2" hidden="1" x14ac:dyDescent="0.2">
      <c r="A297" t="s">
        <v>34</v>
      </c>
      <c r="B297" s="45" t="str">
        <f>INDEX(overview!$B$4:$R$338,MATCH(B284,overview!$A$4:$A$338,0),MATCH(A297,overview!$B$3:$R$3,0))</f>
        <v>catalytic</v>
      </c>
    </row>
    <row r="298" spans="1:2" hidden="1" x14ac:dyDescent="0.2">
      <c r="A298" t="s">
        <v>15</v>
      </c>
      <c r="B298" s="45" t="str">
        <f>INDEX(overview!$B$4:$R$338,MATCH(B284,overview!$A$4:$A$338,0),MATCH(A298,overview!$B$3:$R$3,0))</f>
        <v>Electrolysis, PEM</v>
      </c>
    </row>
    <row r="299" spans="1:2" hidden="1" x14ac:dyDescent="0.2">
      <c r="A299" t="s">
        <v>14</v>
      </c>
      <c r="B299" s="45" t="str">
        <f>INDEX(overview!$B$4:$R$338,MATCH(B284,overview!$A$4:$A$338,0),MATCH(A299,overview!$B$3:$R$3,0))</f>
        <v>water and electricity</v>
      </c>
    </row>
    <row r="300" spans="1:2" hidden="1" x14ac:dyDescent="0.2">
      <c r="A300" t="s">
        <v>26</v>
      </c>
      <c r="B300" s="45" t="str">
        <f>INDEX(overview!$B$4:$R$338,MATCH(B284,overview!$A$4:$A$338,0),MATCH(A300,overview!$B$3:$R$3,0))</f>
        <v>grid</v>
      </c>
    </row>
    <row r="301" spans="1:2" hidden="1" x14ac:dyDescent="0.2">
      <c r="A301" t="s">
        <v>29</v>
      </c>
      <c r="B301" s="45" t="str">
        <f>INDEX(overview!$B$4:$R$338,MATCH(B284,overview!$A$4:$A$338,0),MATCH(A301,overview!$B$3:$R$3,0))</f>
        <v>MSWI</v>
      </c>
    </row>
    <row r="302" spans="1:2" hidden="1" x14ac:dyDescent="0.2">
      <c r="A302" t="s">
        <v>632</v>
      </c>
      <c r="B302" s="46">
        <f>INDEX(parameters!$D$4:$N$20,MATCH(B290&amp;B292,parameters!$A$4:$A$20,0),MATCH(A302,parameters!$D$3:$N$3,0))</f>
        <v>1.1111111111111112</v>
      </c>
    </row>
    <row r="303" spans="1:2" hidden="1" x14ac:dyDescent="0.2">
      <c r="A303" t="s">
        <v>40</v>
      </c>
      <c r="B303" s="47">
        <f>INDEX(parameters!$D$4:$N$20,MATCH(B290&amp;B292,parameters!$A$4:$A$20,0),MATCH(A303,parameters!$D$3:$N$3,0))</f>
        <v>47.5</v>
      </c>
    </row>
    <row r="304" spans="1:2" hidden="1" x14ac:dyDescent="0.2">
      <c r="A304" t="s">
        <v>41</v>
      </c>
      <c r="B304" s="48">
        <f>INDEX(parameters!$D$4:$N$20,MATCH(B290&amp;B292,parameters!$A$4:$A$20,0),MATCH(A304,parameters!$D$3:$N$3,0))</f>
        <v>2.6666666666666665E-2</v>
      </c>
    </row>
    <row r="305" spans="1:22" hidden="1" x14ac:dyDescent="0.2">
      <c r="A305" t="s">
        <v>45</v>
      </c>
      <c r="B305" s="49">
        <f>INDEX(parameters!$D$4:$N$20,MATCH(B290&amp;B292,parameters!$A$4:$A$20,0),MATCH(A305,parameters!$D$3:$N$3,0))</f>
        <v>1.9000000000000001E-4</v>
      </c>
    </row>
    <row r="306" spans="1:22" hidden="1" x14ac:dyDescent="0.2">
      <c r="A306" t="s">
        <v>46</v>
      </c>
      <c r="B306" s="49">
        <f>INDEX(parameters!$D$4:$N$20,MATCH(B290&amp;B292,parameters!$A$4:$A$20,0),MATCH(A306,parameters!$D$3:$N$3,0))</f>
        <v>0</v>
      </c>
    </row>
    <row r="307" spans="1:22" hidden="1" x14ac:dyDescent="0.2">
      <c r="A307" t="s">
        <v>43</v>
      </c>
      <c r="B307" s="49">
        <f>INDEX(parameters!$D$4:$N$20,MATCH(B290&amp;B292,parameters!$A$4:$A$20,0),MATCH(A307,parameters!$D$3:$N$3,0))</f>
        <v>0</v>
      </c>
    </row>
    <row r="308" spans="1:22" hidden="1" x14ac:dyDescent="0.2">
      <c r="A308" t="s">
        <v>44</v>
      </c>
      <c r="B308" s="49">
        <f>INDEX(parameters!$D$4:$N$20,MATCH(B290&amp;B292,parameters!$A$4:$A$20,0),MATCH(A308,parameters!$D$3:$N$3,0))</f>
        <v>0</v>
      </c>
    </row>
    <row r="309" spans="1:22" hidden="1" x14ac:dyDescent="0.2">
      <c r="A309" t="s">
        <v>47</v>
      </c>
      <c r="B309" s="49">
        <f>INDEX(parameters!$D$4:$N$20,MATCH(B290&amp;B292,parameters!$A$4:$A$20,0),MATCH(A309,parameters!$D$3:$N$3,0))</f>
        <v>0.06</v>
      </c>
    </row>
    <row r="310" spans="1:22" hidden="1" x14ac:dyDescent="0.2">
      <c r="A310" t="s">
        <v>82</v>
      </c>
      <c r="B310" s="46">
        <f>IF(B301&lt;&gt;0,VLOOKUP(B301,parameters!$A$26:$B$28,2,0),"")</f>
        <v>0.61363636363636365</v>
      </c>
    </row>
    <row r="311" spans="1:22" hidden="1" x14ac:dyDescent="0.2">
      <c r="A311" t="s">
        <v>548</v>
      </c>
      <c r="B311" s="50">
        <f>INDEX(parameters!$D$4:$P$20,MATCH(B290&amp;B292,parameters!$A$4:$A$20,0),MATCH(A311,parameters!$D$3:$P$3,0))</f>
        <v>15</v>
      </c>
    </row>
    <row r="312" spans="1:22" hidden="1" x14ac:dyDescent="0.2">
      <c r="A312" t="s">
        <v>547</v>
      </c>
      <c r="B312" s="51">
        <f>INDEX(parameters!$D$4:$P$20,MATCH(B290&amp;B292,parameters!$A$4:$A$20,0),MATCH(A312,parameters!$D$3:$P$3,0))</f>
        <v>20</v>
      </c>
    </row>
    <row r="313" spans="1:22" hidden="1" x14ac:dyDescent="0.2">
      <c r="A313" t="s">
        <v>630</v>
      </c>
      <c r="B313" s="51">
        <f>INDEX(parameters!$D$4:$T$20,MATCH(B290&amp;B292,parameters!$A$4:$A$20,0),MATCH(A313,parameters!$D$3:$T$3,0))</f>
        <v>2100</v>
      </c>
    </row>
    <row r="314" spans="1:22" hidden="1" x14ac:dyDescent="0.2"/>
    <row r="315" spans="1:22" hidden="1" x14ac:dyDescent="0.2">
      <c r="A315" s="3" t="s">
        <v>57</v>
      </c>
    </row>
    <row r="316" spans="1:22" hidden="1" x14ac:dyDescent="0.2">
      <c r="A316" s="2" t="s">
        <v>58</v>
      </c>
      <c r="B316" s="44" t="s">
        <v>59</v>
      </c>
      <c r="C316" s="2" t="s">
        <v>55</v>
      </c>
      <c r="D316" s="2" t="s">
        <v>60</v>
      </c>
      <c r="E316" s="2" t="s">
        <v>52</v>
      </c>
      <c r="F316" s="2" t="s">
        <v>61</v>
      </c>
      <c r="G316" s="2" t="s">
        <v>54</v>
      </c>
      <c r="H316" s="2" t="s">
        <v>87</v>
      </c>
      <c r="I316" s="2" t="s">
        <v>51</v>
      </c>
      <c r="J316" s="2" t="s">
        <v>138</v>
      </c>
      <c r="K316" s="2" t="s">
        <v>136</v>
      </c>
      <c r="L316" s="2" t="s">
        <v>221</v>
      </c>
      <c r="M316" s="2" t="s">
        <v>379</v>
      </c>
      <c r="N316" s="2" t="s">
        <v>1059</v>
      </c>
      <c r="O316" s="2" t="s">
        <v>1060</v>
      </c>
      <c r="P316" s="2" t="s">
        <v>1061</v>
      </c>
      <c r="Q316" s="2" t="s">
        <v>1062</v>
      </c>
      <c r="R316" s="2" t="s">
        <v>1063</v>
      </c>
      <c r="S316" s="2" t="s">
        <v>1064</v>
      </c>
      <c r="T316" s="2" t="s">
        <v>1065</v>
      </c>
      <c r="U316" s="2" t="s">
        <v>380</v>
      </c>
      <c r="V316" s="2" t="s">
        <v>1128</v>
      </c>
    </row>
    <row r="317" spans="1:22" x14ac:dyDescent="0.2">
      <c r="A317" t="str">
        <f>B280</f>
        <v>heat, residential, by combustion of synthetic natural gas from catalytic methanation using boiler, transported by pipeline, produced by Electrolysis, PEM using water and electricity from grid and carbon sourced from MSWI</v>
      </c>
      <c r="B317" s="45">
        <v>1</v>
      </c>
      <c r="C317" t="str">
        <f>B286</f>
        <v>megajoule</v>
      </c>
      <c r="E317" t="str">
        <f>B283</f>
        <v>CH</v>
      </c>
      <c r="F317" t="s">
        <v>62</v>
      </c>
      <c r="G317" t="str">
        <f>B285</f>
        <v>heat, from residential heating system</v>
      </c>
      <c r="K317" t="str">
        <f>B280</f>
        <v>heat, residential, by combustion of synthetic natural gas from catalytic methanation using boiler, transported by pipeline, produced by Electrolysis, PEM using water and electricity from grid and carbon sourced from MSWI</v>
      </c>
    </row>
    <row r="318" spans="1:22" hidden="1" x14ac:dyDescent="0.2">
      <c r="A318" t="s">
        <v>83</v>
      </c>
      <c r="B318" s="52">
        <f>1/(B311*B313*B312*3.6)</f>
        <v>4.4091710758377425E-7</v>
      </c>
      <c r="C318" t="s">
        <v>55</v>
      </c>
      <c r="E318" t="s">
        <v>85</v>
      </c>
      <c r="F318" t="s">
        <v>86</v>
      </c>
      <c r="G318" t="s">
        <v>84</v>
      </c>
      <c r="H318" t="s">
        <v>88</v>
      </c>
      <c r="K318" t="str">
        <f>B280</f>
        <v>heat, residential, by combustion of synthetic natural gas from catalytic methanation using boiler, transported by pipeline, produced by Electrolysis, PEM using water and electricity from grid and carbon sourced from MSWI</v>
      </c>
      <c r="L318">
        <f t="shared" ref="L318:L347" si="14">IF(OR(B318&lt;0,B318=0),1,2)</f>
        <v>2</v>
      </c>
      <c r="M318">
        <f t="shared" ref="M318:M347" si="15">IF(L318=2,LN(B318),"")</f>
        <v>-14.634408943829779</v>
      </c>
      <c r="N318">
        <v>1.05</v>
      </c>
      <c r="O318">
        <v>1.2</v>
      </c>
      <c r="P318">
        <v>1</v>
      </c>
      <c r="Q318">
        <v>1.01</v>
      </c>
      <c r="R318">
        <v>1.2</v>
      </c>
      <c r="S318">
        <v>1.2</v>
      </c>
      <c r="T318">
        <v>3</v>
      </c>
      <c r="U318">
        <f t="shared" ref="U318:U347" si="16">LN(SQRT(EXP(
SQRT(
+POWER(LN(N318),2)
+POWER(LN(O318),2)
+POWER(LN(P318),2)
+POWER(LN(Q318),2)
+POWER(LN(R318),2)
+POWER(LN(S318),2)
+POWER(LN(T318),2)
)
)))</f>
        <v>0.57209088006881903</v>
      </c>
    </row>
    <row r="319" spans="1:22" hidden="1" x14ac:dyDescent="0.2">
      <c r="A319" t="s">
        <v>500</v>
      </c>
      <c r="B319" s="52">
        <f>B318*2</f>
        <v>8.8183421516754851E-7</v>
      </c>
      <c r="C319" t="s">
        <v>267</v>
      </c>
      <c r="E319" t="s">
        <v>85</v>
      </c>
      <c r="F319" t="s">
        <v>86</v>
      </c>
      <c r="G319" t="s">
        <v>501</v>
      </c>
      <c r="H319" t="s">
        <v>88</v>
      </c>
      <c r="I319" t="s">
        <v>621</v>
      </c>
      <c r="K319" t="str">
        <f>B280</f>
        <v>heat, residential, by combustion of synthetic natural gas from catalytic methanation using boiler, transported by pipeline, produced by Electrolysis, PEM using water and electricity from grid and carbon sourced from MSWI</v>
      </c>
      <c r="L319">
        <f t="shared" si="14"/>
        <v>2</v>
      </c>
      <c r="M319">
        <f t="shared" si="15"/>
        <v>-13.941261763269834</v>
      </c>
      <c r="N319">
        <v>1.05</v>
      </c>
      <c r="O319">
        <v>1.2</v>
      </c>
      <c r="P319">
        <v>1</v>
      </c>
      <c r="Q319">
        <v>1.01</v>
      </c>
      <c r="R319">
        <v>1.2</v>
      </c>
      <c r="S319">
        <v>1.2</v>
      </c>
      <c r="T319">
        <v>3</v>
      </c>
      <c r="U319">
        <f t="shared" si="16"/>
        <v>0.57209088006881903</v>
      </c>
    </row>
    <row r="320" spans="1:22" hidden="1" x14ac:dyDescent="0.2">
      <c r="A320" t="s">
        <v>130</v>
      </c>
      <c r="B320" s="52">
        <v>2.64E-3</v>
      </c>
      <c r="C320" t="s">
        <v>92</v>
      </c>
      <c r="E320" t="s">
        <v>64</v>
      </c>
      <c r="F320" t="s">
        <v>86</v>
      </c>
      <c r="G320" t="s">
        <v>93</v>
      </c>
      <c r="H320" t="s">
        <v>78</v>
      </c>
      <c r="I320" t="s">
        <v>270</v>
      </c>
      <c r="J320" t="s">
        <v>67</v>
      </c>
      <c r="K320" t="str">
        <f>B280</f>
        <v>heat, residential, by combustion of synthetic natural gas from catalytic methanation using boiler, transported by pipeline, produced by Electrolysis, PEM using water and electricity from grid and carbon sourced from MSWI</v>
      </c>
      <c r="L320">
        <f t="shared" si="14"/>
        <v>2</v>
      </c>
      <c r="M320">
        <f t="shared" si="15"/>
        <v>-5.9369763618239126</v>
      </c>
      <c r="N320">
        <v>1.05</v>
      </c>
      <c r="O320">
        <v>1.2</v>
      </c>
      <c r="P320">
        <v>1</v>
      </c>
      <c r="Q320">
        <v>1.01</v>
      </c>
      <c r="R320">
        <v>1.2</v>
      </c>
      <c r="S320">
        <v>1.2</v>
      </c>
      <c r="T320">
        <v>1.05</v>
      </c>
      <c r="U320">
        <f t="shared" si="16"/>
        <v>0.16169679924070957</v>
      </c>
    </row>
    <row r="321" spans="1:21" hidden="1" x14ac:dyDescent="0.2">
      <c r="A321" t="s">
        <v>1185</v>
      </c>
      <c r="B321" s="53">
        <f>(B317/B303)/B302</f>
        <v>1.8947368421052629E-2</v>
      </c>
      <c r="C321" t="str">
        <f>VLOOKUP(J321,'dataset mapping'!$A$4:$E$69,5,0)</f>
        <v>kilogram</v>
      </c>
      <c r="E321" t="str">
        <f>VLOOKUP(J321,'dataset mapping'!$A$4:$E$69,4,0)</f>
        <v>CH</v>
      </c>
      <c r="F321" t="s">
        <v>86</v>
      </c>
      <c r="G321" t="s">
        <v>1157</v>
      </c>
      <c r="H321" t="s">
        <v>1187</v>
      </c>
      <c r="I321" t="s">
        <v>1055</v>
      </c>
      <c r="J321" t="s">
        <v>859</v>
      </c>
      <c r="K321" t="str">
        <f>B280</f>
        <v>heat, residential, by combustion of synthetic natural gas from catalytic methanation using boiler, transported by pipeline, produced by Electrolysis, PEM using water and electricity from grid and carbon sourced from MSWI</v>
      </c>
      <c r="L321">
        <f t="shared" si="14"/>
        <v>2</v>
      </c>
      <c r="M321">
        <f t="shared" si="15"/>
        <v>-3.9660902266984221</v>
      </c>
      <c r="N321">
        <v>1.05</v>
      </c>
      <c r="O321">
        <v>1.2</v>
      </c>
      <c r="P321">
        <v>1</v>
      </c>
      <c r="Q321">
        <v>1.01</v>
      </c>
      <c r="R321">
        <v>1.2</v>
      </c>
      <c r="S321">
        <v>1.2</v>
      </c>
      <c r="T321">
        <v>1.05</v>
      </c>
      <c r="U321">
        <f t="shared" si="16"/>
        <v>0.16169679924070957</v>
      </c>
    </row>
    <row r="322" spans="1:21" hidden="1" x14ac:dyDescent="0.2">
      <c r="A322" t="s">
        <v>311</v>
      </c>
      <c r="B322" s="52">
        <v>9.7999999999999992E-10</v>
      </c>
      <c r="C322" t="s">
        <v>56</v>
      </c>
      <c r="D322" t="s">
        <v>408</v>
      </c>
      <c r="F322" t="s">
        <v>99</v>
      </c>
      <c r="H322" t="s">
        <v>131</v>
      </c>
      <c r="I322" t="s">
        <v>410</v>
      </c>
      <c r="L322">
        <f t="shared" si="14"/>
        <v>2</v>
      </c>
      <c r="M322">
        <f t="shared" si="15"/>
        <v>-20.74346854426393</v>
      </c>
      <c r="N322">
        <v>1.5</v>
      </c>
      <c r="O322">
        <v>1.2</v>
      </c>
      <c r="P322">
        <v>1.5</v>
      </c>
      <c r="Q322">
        <v>1.1000000000000001</v>
      </c>
      <c r="R322">
        <v>2</v>
      </c>
      <c r="S322">
        <v>1.2</v>
      </c>
      <c r="T322">
        <v>1.5</v>
      </c>
      <c r="U322">
        <f t="shared" si="16"/>
        <v>0.51215847306170115</v>
      </c>
    </row>
    <row r="323" spans="1:21" hidden="1" x14ac:dyDescent="0.2">
      <c r="A323" t="s">
        <v>312</v>
      </c>
      <c r="B323" s="52">
        <v>1.4700000000000001E-7</v>
      </c>
      <c r="C323" t="s">
        <v>56</v>
      </c>
      <c r="D323" t="s">
        <v>408</v>
      </c>
      <c r="F323" t="s">
        <v>99</v>
      </c>
      <c r="H323" t="s">
        <v>131</v>
      </c>
      <c r="I323" t="s">
        <v>410</v>
      </c>
      <c r="L323">
        <f t="shared" si="14"/>
        <v>2</v>
      </c>
      <c r="M323">
        <f t="shared" si="15"/>
        <v>-15.732833250167674</v>
      </c>
      <c r="N323">
        <v>1.5</v>
      </c>
      <c r="O323">
        <v>1.2</v>
      </c>
      <c r="P323">
        <v>1.5</v>
      </c>
      <c r="Q323">
        <v>1.1000000000000001</v>
      </c>
      <c r="R323">
        <v>2</v>
      </c>
      <c r="S323">
        <v>1.2</v>
      </c>
      <c r="T323">
        <v>1.5</v>
      </c>
      <c r="U323">
        <f t="shared" si="16"/>
        <v>0.51215847306170115</v>
      </c>
    </row>
    <row r="324" spans="1:21" hidden="1" x14ac:dyDescent="0.2">
      <c r="A324" t="s">
        <v>313</v>
      </c>
      <c r="B324" s="52">
        <v>3.9200000000000002E-7</v>
      </c>
      <c r="C324" t="s">
        <v>56</v>
      </c>
      <c r="D324" t="s">
        <v>408</v>
      </c>
      <c r="F324" t="s">
        <v>99</v>
      </c>
      <c r="H324" t="s">
        <v>131</v>
      </c>
      <c r="I324" t="s">
        <v>410</v>
      </c>
      <c r="L324">
        <f t="shared" si="14"/>
        <v>2</v>
      </c>
      <c r="M324">
        <f t="shared" si="15"/>
        <v>-14.752003997155949</v>
      </c>
      <c r="N324">
        <v>1.5</v>
      </c>
      <c r="O324">
        <v>1.2</v>
      </c>
      <c r="P324">
        <v>1.5</v>
      </c>
      <c r="Q324">
        <v>1.1000000000000001</v>
      </c>
      <c r="R324">
        <v>2</v>
      </c>
      <c r="S324">
        <v>1.2</v>
      </c>
      <c r="T324">
        <v>1.5</v>
      </c>
      <c r="U324">
        <f t="shared" si="16"/>
        <v>0.51215847306170115</v>
      </c>
    </row>
    <row r="325" spans="1:21" hidden="1" x14ac:dyDescent="0.2">
      <c r="A325" t="s">
        <v>314</v>
      </c>
      <c r="B325" s="52">
        <v>9.7999999999999994E-12</v>
      </c>
      <c r="C325" t="s">
        <v>56</v>
      </c>
      <c r="D325" t="s">
        <v>408</v>
      </c>
      <c r="F325" t="s">
        <v>99</v>
      </c>
      <c r="H325" t="s">
        <v>131</v>
      </c>
      <c r="I325" t="s">
        <v>410</v>
      </c>
      <c r="L325">
        <f t="shared" si="14"/>
        <v>2</v>
      </c>
      <c r="M325">
        <f t="shared" si="15"/>
        <v>-25.348638730252024</v>
      </c>
      <c r="N325">
        <v>1.5</v>
      </c>
      <c r="O325">
        <v>1.2</v>
      </c>
      <c r="P325">
        <v>1.5</v>
      </c>
      <c r="Q325">
        <v>1.1000000000000001</v>
      </c>
      <c r="R325">
        <v>2</v>
      </c>
      <c r="S325">
        <v>1.2</v>
      </c>
      <c r="T325">
        <v>1.5</v>
      </c>
      <c r="U325">
        <f t="shared" si="16"/>
        <v>0.51215847306170115</v>
      </c>
    </row>
    <row r="326" spans="1:21" hidden="1" x14ac:dyDescent="0.2">
      <c r="A326" t="s">
        <v>315</v>
      </c>
      <c r="B326" s="52">
        <v>6.8599999999999998E-7</v>
      </c>
      <c r="C326" t="s">
        <v>56</v>
      </c>
      <c r="D326" t="s">
        <v>408</v>
      </c>
      <c r="F326" t="s">
        <v>99</v>
      </c>
      <c r="H326" t="s">
        <v>131</v>
      </c>
      <c r="I326" t="s">
        <v>410</v>
      </c>
      <c r="L326">
        <f t="shared" si="14"/>
        <v>2</v>
      </c>
      <c r="M326">
        <f t="shared" si="15"/>
        <v>-14.192388209220526</v>
      </c>
      <c r="N326">
        <v>1.5</v>
      </c>
      <c r="O326">
        <v>1.2</v>
      </c>
      <c r="P326">
        <v>1.5</v>
      </c>
      <c r="Q326">
        <v>1.1000000000000001</v>
      </c>
      <c r="R326">
        <v>2</v>
      </c>
      <c r="S326">
        <v>1.2</v>
      </c>
      <c r="T326">
        <v>1.5</v>
      </c>
      <c r="U326">
        <f t="shared" si="16"/>
        <v>0.51215847306170115</v>
      </c>
    </row>
    <row r="327" spans="1:21" hidden="1" x14ac:dyDescent="0.2">
      <c r="A327" t="s">
        <v>316</v>
      </c>
      <c r="B327" s="54">
        <f>2.74*B321*(1-B310)</f>
        <v>2.0058373205741626E-2</v>
      </c>
      <c r="C327" t="s">
        <v>56</v>
      </c>
      <c r="D327" t="s">
        <v>408</v>
      </c>
      <c r="F327" t="s">
        <v>99</v>
      </c>
      <c r="H327" t="s">
        <v>131</v>
      </c>
      <c r="I327" t="s">
        <v>410</v>
      </c>
      <c r="L327">
        <f t="shared" si="14"/>
        <v>2</v>
      </c>
      <c r="M327">
        <f t="shared" si="15"/>
        <v>-3.9091085961604879</v>
      </c>
      <c r="N327">
        <v>1.5</v>
      </c>
      <c r="O327">
        <v>1.2</v>
      </c>
      <c r="P327">
        <v>1.5</v>
      </c>
      <c r="Q327">
        <v>1.1000000000000001</v>
      </c>
      <c r="R327">
        <v>2</v>
      </c>
      <c r="S327">
        <v>1.2</v>
      </c>
      <c r="T327">
        <v>1.05</v>
      </c>
      <c r="U327">
        <f t="shared" si="16"/>
        <v>0.47095746419981693</v>
      </c>
    </row>
    <row r="328" spans="1:21" hidden="1" x14ac:dyDescent="0.2">
      <c r="A328" t="s">
        <v>371</v>
      </c>
      <c r="B328" s="54">
        <f>2.74*B321*B310</f>
        <v>3.1857416267942584E-2</v>
      </c>
      <c r="C328" t="s">
        <v>56</v>
      </c>
      <c r="D328" t="s">
        <v>408</v>
      </c>
      <c r="F328" t="s">
        <v>99</v>
      </c>
      <c r="H328" t="s">
        <v>131</v>
      </c>
      <c r="I328" t="s">
        <v>410</v>
      </c>
      <c r="L328">
        <f t="shared" si="14"/>
        <v>2</v>
      </c>
      <c r="M328">
        <f t="shared" si="15"/>
        <v>-3.4464850742123749</v>
      </c>
      <c r="N328">
        <v>1.5</v>
      </c>
      <c r="O328">
        <v>1.2</v>
      </c>
      <c r="P328">
        <v>1.5</v>
      </c>
      <c r="Q328">
        <v>1.1000000000000001</v>
      </c>
      <c r="R328">
        <v>2</v>
      </c>
      <c r="S328">
        <v>1.2</v>
      </c>
      <c r="T328">
        <v>1.05</v>
      </c>
      <c r="U328">
        <f t="shared" si="16"/>
        <v>0.47095746419981693</v>
      </c>
    </row>
    <row r="329" spans="1:21" hidden="1" x14ac:dyDescent="0.2">
      <c r="A329" t="s">
        <v>400</v>
      </c>
      <c r="B329" s="52">
        <v>5.7819999999999999E-6</v>
      </c>
      <c r="C329" t="s">
        <v>56</v>
      </c>
      <c r="D329" t="s">
        <v>408</v>
      </c>
      <c r="F329" t="s">
        <v>99</v>
      </c>
      <c r="H329" t="s">
        <v>131</v>
      </c>
      <c r="I329" t="s">
        <v>410</v>
      </c>
      <c r="L329">
        <f t="shared" si="14"/>
        <v>2</v>
      </c>
      <c r="M329">
        <f t="shared" si="15"/>
        <v>-12.060760914370119</v>
      </c>
      <c r="N329">
        <v>1.5</v>
      </c>
      <c r="O329">
        <v>1.2</v>
      </c>
      <c r="P329">
        <v>1.5</v>
      </c>
      <c r="Q329">
        <v>1.1000000000000001</v>
      </c>
      <c r="R329">
        <v>2</v>
      </c>
      <c r="S329">
        <v>1.2</v>
      </c>
      <c r="T329">
        <v>5</v>
      </c>
      <c r="U329">
        <f t="shared" si="16"/>
        <v>0.93208283513358414</v>
      </c>
    </row>
    <row r="330" spans="1:21" hidden="1" x14ac:dyDescent="0.2">
      <c r="A330" t="s">
        <v>318</v>
      </c>
      <c r="B330" s="52">
        <v>4.8999999999999997E-7</v>
      </c>
      <c r="C330" t="s">
        <v>56</v>
      </c>
      <c r="D330" t="s">
        <v>408</v>
      </c>
      <c r="F330" t="s">
        <v>99</v>
      </c>
      <c r="H330" t="s">
        <v>131</v>
      </c>
      <c r="I330" t="s">
        <v>410</v>
      </c>
      <c r="L330">
        <f t="shared" si="14"/>
        <v>2</v>
      </c>
      <c r="M330">
        <f t="shared" si="15"/>
        <v>-14.528860445841739</v>
      </c>
      <c r="N330">
        <v>1.5</v>
      </c>
      <c r="O330">
        <v>1.2</v>
      </c>
      <c r="P330">
        <v>1.5</v>
      </c>
      <c r="Q330">
        <v>1.1000000000000001</v>
      </c>
      <c r="R330">
        <v>2</v>
      </c>
      <c r="S330">
        <v>1.2</v>
      </c>
      <c r="T330">
        <v>1.5</v>
      </c>
      <c r="U330">
        <f t="shared" si="16"/>
        <v>0.51215847306170115</v>
      </c>
    </row>
    <row r="331" spans="1:21" hidden="1" x14ac:dyDescent="0.2">
      <c r="A331" t="s">
        <v>401</v>
      </c>
      <c r="B331" s="52">
        <v>2.9400000000000001E-17</v>
      </c>
      <c r="C331" t="s">
        <v>56</v>
      </c>
      <c r="D331" t="s">
        <v>408</v>
      </c>
      <c r="F331" t="s">
        <v>99</v>
      </c>
      <c r="H331" t="s">
        <v>131</v>
      </c>
      <c r="I331" t="s">
        <v>410</v>
      </c>
      <c r="L331">
        <f t="shared" si="14"/>
        <v>2</v>
      </c>
      <c r="M331">
        <f t="shared" si="15"/>
        <v>-38.065536999548186</v>
      </c>
      <c r="N331">
        <v>1.5</v>
      </c>
      <c r="O331">
        <v>1.2</v>
      </c>
      <c r="P331">
        <v>1.5</v>
      </c>
      <c r="Q331">
        <v>1.1000000000000001</v>
      </c>
      <c r="R331">
        <v>2</v>
      </c>
      <c r="S331">
        <v>1.2</v>
      </c>
      <c r="T331">
        <v>1.5</v>
      </c>
      <c r="U331">
        <f t="shared" si="16"/>
        <v>0.51215847306170115</v>
      </c>
    </row>
    <row r="332" spans="1:21" hidden="1" x14ac:dyDescent="0.2">
      <c r="A332" t="s">
        <v>319</v>
      </c>
      <c r="B332" s="52">
        <v>9.8000000000000004E-8</v>
      </c>
      <c r="C332" t="s">
        <v>56</v>
      </c>
      <c r="D332" t="s">
        <v>408</v>
      </c>
      <c r="F332" t="s">
        <v>99</v>
      </c>
      <c r="H332" t="s">
        <v>131</v>
      </c>
      <c r="I332" t="s">
        <v>410</v>
      </c>
      <c r="L332">
        <f t="shared" si="14"/>
        <v>2</v>
      </c>
      <c r="M332">
        <f t="shared" si="15"/>
        <v>-16.13829835827584</v>
      </c>
      <c r="N332">
        <v>1.5</v>
      </c>
      <c r="O332">
        <v>1.2</v>
      </c>
      <c r="P332">
        <v>1.5</v>
      </c>
      <c r="Q332">
        <v>1.1000000000000001</v>
      </c>
      <c r="R332">
        <v>2</v>
      </c>
      <c r="S332">
        <v>1.2</v>
      </c>
      <c r="T332">
        <v>1.5</v>
      </c>
      <c r="U332">
        <f t="shared" si="16"/>
        <v>0.51215847306170115</v>
      </c>
    </row>
    <row r="333" spans="1:21" hidden="1" x14ac:dyDescent="0.2">
      <c r="A333" t="s">
        <v>402</v>
      </c>
      <c r="B333" s="52">
        <v>2.9400000000000003E-11</v>
      </c>
      <c r="C333" t="s">
        <v>56</v>
      </c>
      <c r="D333" t="s">
        <v>408</v>
      </c>
      <c r="F333" t="s">
        <v>99</v>
      </c>
      <c r="H333" t="s">
        <v>131</v>
      </c>
      <c r="I333" t="s">
        <v>410</v>
      </c>
      <c r="L333">
        <f t="shared" si="14"/>
        <v>2</v>
      </c>
      <c r="M333">
        <f t="shared" si="15"/>
        <v>-24.250026441583913</v>
      </c>
      <c r="N333">
        <v>1.5</v>
      </c>
      <c r="O333">
        <v>1.2</v>
      </c>
      <c r="P333">
        <v>1.5</v>
      </c>
      <c r="Q333">
        <v>1.1000000000000001</v>
      </c>
      <c r="R333">
        <v>2</v>
      </c>
      <c r="S333">
        <v>1.2</v>
      </c>
      <c r="T333">
        <v>5</v>
      </c>
      <c r="U333">
        <f t="shared" si="16"/>
        <v>0.93208283513358414</v>
      </c>
    </row>
    <row r="334" spans="1:21" hidden="1" x14ac:dyDescent="0.2">
      <c r="A334" t="s">
        <v>373</v>
      </c>
      <c r="B334" s="52">
        <f>0.00000196*B310</f>
        <v>1.2027272727272726E-6</v>
      </c>
      <c r="C334" t="s">
        <v>56</v>
      </c>
      <c r="D334" t="s">
        <v>408</v>
      </c>
      <c r="F334" t="s">
        <v>99</v>
      </c>
      <c r="H334" t="s">
        <v>131</v>
      </c>
      <c r="I334" t="s">
        <v>410</v>
      </c>
      <c r="L334">
        <f t="shared" si="14"/>
        <v>2</v>
      </c>
      <c r="M334">
        <f t="shared" si="15"/>
        <v>-13.63091885263578</v>
      </c>
      <c r="N334">
        <v>1.5</v>
      </c>
      <c r="O334">
        <v>1.2</v>
      </c>
      <c r="P334">
        <v>1.5</v>
      </c>
      <c r="Q334">
        <v>1.1000000000000001</v>
      </c>
      <c r="R334">
        <v>2</v>
      </c>
      <c r="S334">
        <v>1.2</v>
      </c>
      <c r="T334">
        <v>1.5</v>
      </c>
      <c r="U334">
        <f t="shared" si="16"/>
        <v>0.51215847306170115</v>
      </c>
    </row>
    <row r="335" spans="1:21" hidden="1" x14ac:dyDescent="0.2">
      <c r="A335" t="s">
        <v>320</v>
      </c>
      <c r="B335" s="52">
        <f>0.00000196*(1-B310)</f>
        <v>7.5727272727272724E-7</v>
      </c>
      <c r="C335" t="s">
        <v>56</v>
      </c>
      <c r="D335" t="s">
        <v>408</v>
      </c>
      <c r="F335" t="s">
        <v>99</v>
      </c>
      <c r="H335" t="s">
        <v>131</v>
      </c>
      <c r="I335" t="s">
        <v>410</v>
      </c>
      <c r="L335">
        <f t="shared" si="14"/>
        <v>2</v>
      </c>
      <c r="M335">
        <f t="shared" si="15"/>
        <v>-14.093542374583894</v>
      </c>
      <c r="N335">
        <v>1.5</v>
      </c>
      <c r="O335">
        <v>1.2</v>
      </c>
      <c r="P335">
        <v>1.5</v>
      </c>
      <c r="Q335">
        <v>1.1000000000000001</v>
      </c>
      <c r="R335">
        <v>2</v>
      </c>
      <c r="S335">
        <v>1.2</v>
      </c>
      <c r="T335">
        <v>1.5</v>
      </c>
      <c r="U335">
        <f t="shared" si="16"/>
        <v>0.51215847306170115</v>
      </c>
    </row>
    <row r="336" spans="1:21" hidden="1" x14ac:dyDescent="0.2">
      <c r="A336" t="s">
        <v>135</v>
      </c>
      <c r="B336" s="52">
        <v>9.7019999999999996E-6</v>
      </c>
      <c r="C336" t="s">
        <v>56</v>
      </c>
      <c r="D336" t="s">
        <v>408</v>
      </c>
      <c r="F336" t="s">
        <v>99</v>
      </c>
      <c r="H336" t="s">
        <v>131</v>
      </c>
      <c r="I336" t="s">
        <v>410</v>
      </c>
      <c r="L336">
        <f t="shared" si="14"/>
        <v>2</v>
      </c>
      <c r="M336">
        <f t="shared" si="15"/>
        <v>-11.543178508141249</v>
      </c>
      <c r="N336">
        <v>1.5</v>
      </c>
      <c r="O336">
        <v>1.2</v>
      </c>
      <c r="P336">
        <v>1.5</v>
      </c>
      <c r="Q336">
        <v>1.1000000000000001</v>
      </c>
      <c r="R336">
        <v>2</v>
      </c>
      <c r="S336">
        <v>1.2</v>
      </c>
      <c r="T336">
        <v>1.5</v>
      </c>
      <c r="U336">
        <f t="shared" si="16"/>
        <v>0.51215847306170115</v>
      </c>
    </row>
    <row r="337" spans="1:21" hidden="1" x14ac:dyDescent="0.2">
      <c r="A337" t="s">
        <v>321</v>
      </c>
      <c r="B337" s="52">
        <v>9.8000000000000001E-9</v>
      </c>
      <c r="C337" t="s">
        <v>56</v>
      </c>
      <c r="D337" t="s">
        <v>408</v>
      </c>
      <c r="F337" t="s">
        <v>99</v>
      </c>
      <c r="H337" t="s">
        <v>131</v>
      </c>
      <c r="I337" t="s">
        <v>410</v>
      </c>
      <c r="L337">
        <f t="shared" si="14"/>
        <v>2</v>
      </c>
      <c r="M337">
        <f t="shared" si="15"/>
        <v>-18.440883451269883</v>
      </c>
      <c r="N337">
        <v>1.5</v>
      </c>
      <c r="O337">
        <v>1.2</v>
      </c>
      <c r="P337">
        <v>1.5</v>
      </c>
      <c r="Q337">
        <v>1.1000000000000001</v>
      </c>
      <c r="R337">
        <v>2</v>
      </c>
      <c r="S337">
        <v>1.2</v>
      </c>
      <c r="T337">
        <v>3</v>
      </c>
      <c r="U337">
        <f t="shared" si="16"/>
        <v>0.72314801614797197</v>
      </c>
    </row>
    <row r="338" spans="1:21" hidden="1" x14ac:dyDescent="0.2">
      <c r="A338" t="s">
        <v>403</v>
      </c>
      <c r="B338" s="52">
        <v>9.8000000000000004E-8</v>
      </c>
      <c r="C338" t="s">
        <v>56</v>
      </c>
      <c r="D338" t="s">
        <v>408</v>
      </c>
      <c r="F338" t="s">
        <v>99</v>
      </c>
      <c r="H338" t="s">
        <v>131</v>
      </c>
      <c r="I338" t="s">
        <v>410</v>
      </c>
      <c r="L338">
        <f t="shared" si="14"/>
        <v>2</v>
      </c>
      <c r="M338">
        <f t="shared" si="15"/>
        <v>-16.13829835827584</v>
      </c>
      <c r="N338">
        <v>1.5</v>
      </c>
      <c r="O338">
        <v>1.2</v>
      </c>
      <c r="P338">
        <v>1.5</v>
      </c>
      <c r="Q338">
        <v>1.1000000000000001</v>
      </c>
      <c r="R338">
        <v>2</v>
      </c>
      <c r="S338">
        <v>1.2</v>
      </c>
      <c r="T338">
        <v>3</v>
      </c>
      <c r="U338">
        <f t="shared" si="16"/>
        <v>0.72314801614797197</v>
      </c>
    </row>
    <row r="339" spans="1:21" hidden="1" x14ac:dyDescent="0.2">
      <c r="A339" t="s">
        <v>322</v>
      </c>
      <c r="B339" s="52">
        <v>1.176E-6</v>
      </c>
      <c r="C339" t="s">
        <v>56</v>
      </c>
      <c r="D339" t="s">
        <v>408</v>
      </c>
      <c r="F339" t="s">
        <v>99</v>
      </c>
      <c r="H339" t="s">
        <v>131</v>
      </c>
      <c r="I339" t="s">
        <v>410</v>
      </c>
      <c r="L339">
        <f t="shared" si="14"/>
        <v>2</v>
      </c>
      <c r="M339">
        <f t="shared" si="15"/>
        <v>-13.653391708487838</v>
      </c>
      <c r="N339">
        <v>1.5</v>
      </c>
      <c r="O339">
        <v>1.2</v>
      </c>
      <c r="P339">
        <v>1.5</v>
      </c>
      <c r="Q339">
        <v>1.1000000000000001</v>
      </c>
      <c r="R339">
        <v>2</v>
      </c>
      <c r="S339">
        <v>1.2</v>
      </c>
      <c r="T339">
        <v>1.5</v>
      </c>
      <c r="U339">
        <f t="shared" si="16"/>
        <v>0.51215847306170115</v>
      </c>
    </row>
    <row r="340" spans="1:21" hidden="1" x14ac:dyDescent="0.2">
      <c r="A340" t="s">
        <v>323</v>
      </c>
      <c r="B340" s="52">
        <v>1.9600000000000001E-7</v>
      </c>
      <c r="C340" t="s">
        <v>56</v>
      </c>
      <c r="D340" t="s">
        <v>408</v>
      </c>
      <c r="F340" t="s">
        <v>99</v>
      </c>
      <c r="H340" t="s">
        <v>131</v>
      </c>
      <c r="I340" t="s">
        <v>410</v>
      </c>
      <c r="L340">
        <f t="shared" si="14"/>
        <v>2</v>
      </c>
      <c r="M340">
        <f t="shared" si="15"/>
        <v>-15.445151177715895</v>
      </c>
      <c r="N340">
        <v>1.5</v>
      </c>
      <c r="O340">
        <v>1.2</v>
      </c>
      <c r="P340">
        <v>1.5</v>
      </c>
      <c r="Q340">
        <v>1.1000000000000001</v>
      </c>
      <c r="R340">
        <v>2</v>
      </c>
      <c r="S340">
        <v>1.2</v>
      </c>
      <c r="T340">
        <v>1.5</v>
      </c>
      <c r="U340">
        <f t="shared" si="16"/>
        <v>0.51215847306170115</v>
      </c>
    </row>
    <row r="341" spans="1:21" hidden="1" x14ac:dyDescent="0.2">
      <c r="A341" t="s">
        <v>324</v>
      </c>
      <c r="B341" s="52">
        <v>1.96E-8</v>
      </c>
      <c r="C341" t="s">
        <v>56</v>
      </c>
      <c r="D341" t="s">
        <v>408</v>
      </c>
      <c r="F341" t="s">
        <v>99</v>
      </c>
      <c r="H341" t="s">
        <v>131</v>
      </c>
      <c r="I341" t="s">
        <v>410</v>
      </c>
      <c r="L341">
        <f t="shared" si="14"/>
        <v>2</v>
      </c>
      <c r="M341">
        <f t="shared" si="15"/>
        <v>-17.74773627070994</v>
      </c>
      <c r="N341">
        <v>1.5</v>
      </c>
      <c r="O341">
        <v>1.2</v>
      </c>
      <c r="P341">
        <v>1.5</v>
      </c>
      <c r="Q341">
        <v>1.1000000000000001</v>
      </c>
      <c r="R341">
        <v>2</v>
      </c>
      <c r="S341">
        <v>1.2</v>
      </c>
      <c r="T341">
        <v>1.5</v>
      </c>
      <c r="U341">
        <f t="shared" si="16"/>
        <v>0.51215847306170115</v>
      </c>
    </row>
    <row r="342" spans="1:21" hidden="1" x14ac:dyDescent="0.2">
      <c r="A342" t="s">
        <v>325</v>
      </c>
      <c r="B342" s="52">
        <v>4.8999999999999997E-7</v>
      </c>
      <c r="C342" t="s">
        <v>56</v>
      </c>
      <c r="D342" t="s">
        <v>408</v>
      </c>
      <c r="F342" t="s">
        <v>99</v>
      </c>
      <c r="H342" t="s">
        <v>131</v>
      </c>
      <c r="I342" t="s">
        <v>410</v>
      </c>
      <c r="L342">
        <f t="shared" si="14"/>
        <v>2</v>
      </c>
      <c r="M342">
        <f t="shared" si="15"/>
        <v>-14.528860445841739</v>
      </c>
      <c r="N342">
        <v>1.5</v>
      </c>
      <c r="O342">
        <v>1.2</v>
      </c>
      <c r="P342">
        <v>1.5</v>
      </c>
      <c r="Q342">
        <v>1.1000000000000001</v>
      </c>
      <c r="R342">
        <v>2</v>
      </c>
      <c r="S342">
        <v>1.2</v>
      </c>
      <c r="T342">
        <v>1.5</v>
      </c>
      <c r="U342">
        <f t="shared" si="16"/>
        <v>0.51215847306170115</v>
      </c>
    </row>
    <row r="343" spans="1:21" hidden="1" x14ac:dyDescent="0.2">
      <c r="A343" t="s">
        <v>326</v>
      </c>
      <c r="B343" s="52">
        <v>1.9600000000000001E-7</v>
      </c>
      <c r="C343" t="s">
        <v>56</v>
      </c>
      <c r="D343" t="s">
        <v>408</v>
      </c>
      <c r="F343" t="s">
        <v>99</v>
      </c>
      <c r="H343" t="s">
        <v>131</v>
      </c>
      <c r="I343" t="s">
        <v>410</v>
      </c>
      <c r="L343">
        <f t="shared" si="14"/>
        <v>2</v>
      </c>
      <c r="M343">
        <f t="shared" si="15"/>
        <v>-15.445151177715895</v>
      </c>
      <c r="N343">
        <v>1.5</v>
      </c>
      <c r="O343">
        <v>1.2</v>
      </c>
      <c r="P343">
        <v>1.5</v>
      </c>
      <c r="Q343">
        <v>1.1000000000000001</v>
      </c>
      <c r="R343">
        <v>2</v>
      </c>
      <c r="S343">
        <v>1.2</v>
      </c>
      <c r="T343">
        <v>1.5</v>
      </c>
      <c r="U343">
        <f t="shared" si="16"/>
        <v>0.51215847306170115</v>
      </c>
    </row>
    <row r="344" spans="1:21" hidden="1" x14ac:dyDescent="0.2">
      <c r="A344" t="s">
        <v>404</v>
      </c>
      <c r="B344" s="52">
        <v>1.2739999999999999E-7</v>
      </c>
      <c r="C344" t="s">
        <v>56</v>
      </c>
      <c r="D344" t="s">
        <v>409</v>
      </c>
      <c r="F344" t="s">
        <v>99</v>
      </c>
      <c r="H344" t="s">
        <v>131</v>
      </c>
      <c r="I344" t="s">
        <v>410</v>
      </c>
      <c r="L344">
        <f t="shared" si="14"/>
        <v>2</v>
      </c>
      <c r="M344">
        <f t="shared" si="15"/>
        <v>-15.875934093808349</v>
      </c>
      <c r="N344">
        <v>1.5</v>
      </c>
      <c r="O344">
        <v>1.2</v>
      </c>
      <c r="P344">
        <v>1.5</v>
      </c>
      <c r="Q344">
        <v>1.1000000000000001</v>
      </c>
      <c r="R344">
        <v>2</v>
      </c>
      <c r="S344">
        <v>1.2</v>
      </c>
      <c r="T344">
        <v>1.5</v>
      </c>
      <c r="U344">
        <f t="shared" si="16"/>
        <v>0.51215847306170115</v>
      </c>
    </row>
    <row r="345" spans="1:21" hidden="1" x14ac:dyDescent="0.2">
      <c r="A345" t="s">
        <v>405</v>
      </c>
      <c r="B345" s="52">
        <v>2.9400000000000002E-9</v>
      </c>
      <c r="C345" t="s">
        <v>56</v>
      </c>
      <c r="D345" t="s">
        <v>409</v>
      </c>
      <c r="F345" t="s">
        <v>99</v>
      </c>
      <c r="H345" t="s">
        <v>131</v>
      </c>
      <c r="I345" t="s">
        <v>410</v>
      </c>
      <c r="L345">
        <f t="shared" si="14"/>
        <v>2</v>
      </c>
      <c r="M345">
        <f t="shared" si="15"/>
        <v>-19.644856255595823</v>
      </c>
      <c r="N345">
        <v>1.5</v>
      </c>
      <c r="O345">
        <v>1.2</v>
      </c>
      <c r="P345">
        <v>1.5</v>
      </c>
      <c r="Q345">
        <v>1.1000000000000001</v>
      </c>
      <c r="R345">
        <v>2</v>
      </c>
      <c r="S345">
        <v>1.2</v>
      </c>
      <c r="T345">
        <v>1.5</v>
      </c>
      <c r="U345">
        <f t="shared" si="16"/>
        <v>0.51215847306170115</v>
      </c>
    </row>
    <row r="346" spans="1:21" hidden="1" x14ac:dyDescent="0.2">
      <c r="A346" t="s">
        <v>406</v>
      </c>
      <c r="B346" s="52">
        <v>4.9000000000000002E-8</v>
      </c>
      <c r="C346" t="s">
        <v>56</v>
      </c>
      <c r="D346" t="s">
        <v>409</v>
      </c>
      <c r="F346" t="s">
        <v>99</v>
      </c>
      <c r="H346" t="s">
        <v>131</v>
      </c>
      <c r="I346" t="s">
        <v>410</v>
      </c>
      <c r="L346">
        <f t="shared" si="14"/>
        <v>2</v>
      </c>
      <c r="M346">
        <f t="shared" si="15"/>
        <v>-16.831445538835784</v>
      </c>
      <c r="N346">
        <v>1.5</v>
      </c>
      <c r="O346">
        <v>1.2</v>
      </c>
      <c r="P346">
        <v>1.5</v>
      </c>
      <c r="Q346">
        <v>1.1000000000000001</v>
      </c>
      <c r="R346">
        <v>2</v>
      </c>
      <c r="S346">
        <v>1.2</v>
      </c>
      <c r="T346">
        <v>1.5</v>
      </c>
      <c r="U346">
        <f t="shared" si="16"/>
        <v>0.51215847306170115</v>
      </c>
    </row>
    <row r="347" spans="1:21" hidden="1" x14ac:dyDescent="0.2">
      <c r="A347" t="s">
        <v>407</v>
      </c>
      <c r="B347" s="52">
        <v>4.9000000000000002E-8</v>
      </c>
      <c r="C347" t="s">
        <v>56</v>
      </c>
      <c r="D347" t="s">
        <v>409</v>
      </c>
      <c r="F347" t="s">
        <v>99</v>
      </c>
      <c r="H347" t="s">
        <v>131</v>
      </c>
      <c r="I347" t="s">
        <v>410</v>
      </c>
      <c r="L347">
        <f t="shared" si="14"/>
        <v>2</v>
      </c>
      <c r="M347">
        <f t="shared" si="15"/>
        <v>-16.831445538835784</v>
      </c>
      <c r="N347">
        <v>1.5</v>
      </c>
      <c r="O347">
        <v>1.2</v>
      </c>
      <c r="P347">
        <v>1.5</v>
      </c>
      <c r="Q347">
        <v>1.1000000000000001</v>
      </c>
      <c r="R347">
        <v>2</v>
      </c>
      <c r="S347">
        <v>1.2</v>
      </c>
      <c r="T347">
        <v>1.5</v>
      </c>
      <c r="U347">
        <f t="shared" si="16"/>
        <v>0.51215847306170115</v>
      </c>
    </row>
    <row r="348" spans="1:21" hidden="1" x14ac:dyDescent="0.2"/>
    <row r="349" spans="1:21" hidden="1" x14ac:dyDescent="0.2">
      <c r="A349" s="2" t="s">
        <v>50</v>
      </c>
      <c r="B349" s="44" t="str">
        <f>IF(B355="megajoule","heat","electricity")&amp;", residential, by "&amp;B360&amp;" of "&amp;B359&amp;" using "&amp;B361&amp;IF(B362&lt;&gt;0,"allocated by "&amp;B362,"")&amp;", transported by "&amp;B363&amp;", produced by "&amp;B367&amp;" using "&amp;B368&amp;" from "&amp;B369&amp;" and carbon sourced from "&amp;B370</f>
        <v>heat, residential, by combustion of synthetic natural gas from catalytic methanation using boiler, transported by pipeline, produced by Electrolysis, PEM using water and electricity from grid and carbon sourced from Cement plant</v>
      </c>
    </row>
    <row r="350" spans="1:21" hidden="1" x14ac:dyDescent="0.2">
      <c r="A350" t="s">
        <v>51</v>
      </c>
      <c r="B350" s="45" t="str">
        <f>"This dataset represents the supply of 1 megajoule of heat in a residence, by "&amp;B359&amp;" "&amp;B360&amp;" in a "&amp;B361&amp;". "&amp;" The "&amp;B359&amp;" is transported by "&amp;B363&amp;" over "&amp;B364&amp;" km from regional storage. "&amp;" The "&amp;B359&amp;" is produced by  "&amp;B367&amp;", with "&amp;B368&amp;" from "&amp;B369&amp;" as feedstock. The carbon is sourced from "&amp;B370&amp;". "&amp;A371&amp;": "&amp;(B371*100)&amp;"%. "&amp;A372&amp;": "&amp;B372&amp;". "&amp;A373&amp;": "&amp;B373&amp;". "&amp;A374&amp;": "&amp;(B374*100)&amp;"%. "&amp;A375&amp;": "&amp;(B375*100)&amp;"%. "&amp;A376&amp;": "&amp;(B376*100)&amp;"%. "&amp;A377&amp;": "&amp;B377&amp;". "&amp;A378&amp;": "&amp;B378&amp;". "&amp;A379&amp;": "&amp;(B379*100)&amp;"%. "&amp;A380&amp;": "&amp;B380&amp;". "&amp;A381&amp;": "&amp;B381&amp;". "&amp;A382&amp;": "&amp;B382&amp;". "&amp;A383&amp;": "&amp;B383&amp;".  For more information, refer to: "&amp;B351</f>
        <v>This dataset represents the supply of 1 megajoule of heat in a residence, by synthetic natural gas from catalytic methanation combustion in a boiler.  The synthetic natural gas from catalytic methanation is transported by pipeline over 500 km from regional storage.  The synthetic natural gas from catalytic methanation is produced by  Electrolysis, PEM, with water and electricity from grid as feedstock. The carbon is sourced from Cement plant. Heat conversion efficiency [% LHV input]: 111.111111111111%. LHV [MJ/kg]: 47.5. Market price [€/MJ]: 0.0266666666666667. Distribution loss [% output]: 0.019%. Storage loss [% output]: 0%. Synthesis efficiency [% LHV input]: 0%. Hydrogen production efficiency [% LHV input]: 0. Grid loss [%]: 0.06. CO2 biogenic share [%]: 5.87515299877601%. Power [kW]: 15. Lifetime [years]: 20. Annual operation [hours]: 2100. : .  For more information, refer to: Sacchi, R. and Bauer, C. Life Cycle Assessment of Power-to-X processes and associated electricity and heat applications in the residential sector. Paul Scherrer Institut, 2023.</v>
      </c>
    </row>
    <row r="351" spans="1:21" hidden="1" x14ac:dyDescent="0.2">
      <c r="A351" t="s">
        <v>63</v>
      </c>
      <c r="B351" s="45" t="s">
        <v>1223</v>
      </c>
    </row>
    <row r="352" spans="1:21" hidden="1" x14ac:dyDescent="0.2">
      <c r="A352" t="s">
        <v>52</v>
      </c>
      <c r="B352" s="45" t="s">
        <v>64</v>
      </c>
    </row>
    <row r="353" spans="1:2" hidden="1" x14ac:dyDescent="0.2">
      <c r="A353" t="s">
        <v>48</v>
      </c>
      <c r="B353" s="45">
        <v>182</v>
      </c>
    </row>
    <row r="354" spans="1:2" hidden="1" x14ac:dyDescent="0.2">
      <c r="A354" t="s">
        <v>54</v>
      </c>
      <c r="B354" s="45" t="str">
        <f>INDEX(overview!$B$4:$R$338,MATCH(B353,overview!$A$4:$A$338,0),MATCH(A354,overview!$B$3:$R$3,0))</f>
        <v>heat, from residential heating system</v>
      </c>
    </row>
    <row r="355" spans="1:2" hidden="1" x14ac:dyDescent="0.2">
      <c r="A355" t="s">
        <v>55</v>
      </c>
      <c r="B355" s="45" t="str">
        <f>INDEX(overview!$B$4:$R$338,MATCH(B353,overview!$A$4:$A$338,0),MATCH(A355,overview!$B$3:$R$3,0))</f>
        <v>megajoule</v>
      </c>
    </row>
    <row r="356" spans="1:2" hidden="1" x14ac:dyDescent="0.2">
      <c r="A356" t="s">
        <v>0</v>
      </c>
      <c r="B356" s="45" t="str">
        <f>INDEX(overview!$B$4:$R$338,MATCH(B353,overview!$A$4:$A$338,0),MATCH(A356,overview!$B$3:$R$3,0))</f>
        <v>Switzerland</v>
      </c>
    </row>
    <row r="357" spans="1:2" hidden="1" x14ac:dyDescent="0.2">
      <c r="A357" t="s">
        <v>1</v>
      </c>
      <c r="B357" s="45">
        <f>INDEX(overview!$B$4:$R$338,MATCH(B353,overview!$A$4:$A$338,0),MATCH(A357,overview!$B$3:$R$3,0))</f>
        <v>2020</v>
      </c>
    </row>
    <row r="358" spans="1:2" hidden="1" x14ac:dyDescent="0.2">
      <c r="A358" t="s">
        <v>2</v>
      </c>
      <c r="B358" s="45" t="str">
        <f>INDEX(overview!$B$4:$R$338,MATCH(B353,overview!$A$4:$A$338,0),MATCH(A358,overview!$B$3:$R$3,0))</f>
        <v>1 MJ heat</v>
      </c>
    </row>
    <row r="359" spans="1:2" hidden="1" x14ac:dyDescent="0.2">
      <c r="A359" t="s">
        <v>5</v>
      </c>
      <c r="B359" s="45" t="str">
        <f>INDEX(overview!$B$4:$R$338,MATCH(B353,overview!$A$4:$A$338,0),MATCH(A359,overview!$B$3:$R$3,0))</f>
        <v>synthetic natural gas from catalytic methanation</v>
      </c>
    </row>
    <row r="360" spans="1:2" hidden="1" x14ac:dyDescent="0.2">
      <c r="A360" t="s">
        <v>3</v>
      </c>
      <c r="B360" s="45" t="str">
        <f>INDEX(overview!$B$4:$R$338,MATCH(B353,overview!$A$4:$A$338,0),MATCH(A360,overview!$B$3:$R$3,0))</f>
        <v>combustion</v>
      </c>
    </row>
    <row r="361" spans="1:2" hidden="1" x14ac:dyDescent="0.2">
      <c r="A361" t="s">
        <v>6</v>
      </c>
      <c r="B361" s="45" t="str">
        <f>INDEX(overview!$B$4:$R$338,MATCH(B353,overview!$A$4:$A$338,0),MATCH(A361,overview!$B$3:$R$3,0))</f>
        <v>boiler</v>
      </c>
    </row>
    <row r="362" spans="1:2" hidden="1" x14ac:dyDescent="0.2">
      <c r="A362" t="s">
        <v>39</v>
      </c>
      <c r="B362" s="45">
        <f>INDEX(overview!$B$4:$R$338,MATCH(B353,overview!$A$4:$A$338,0),MATCH(A362,overview!$B$3:$R$3,0))</f>
        <v>0</v>
      </c>
    </row>
    <row r="363" spans="1:2" hidden="1" x14ac:dyDescent="0.2">
      <c r="A363" t="s">
        <v>4</v>
      </c>
      <c r="B363" s="45" t="str">
        <f>INDEX(overview!$B$4:$R$338,MATCH(B353,overview!$A$4:$A$338,0),MATCH(A363,overview!$B$3:$R$3,0))</f>
        <v>pipeline</v>
      </c>
    </row>
    <row r="364" spans="1:2" hidden="1" x14ac:dyDescent="0.2">
      <c r="A364" t="s">
        <v>38</v>
      </c>
      <c r="B364" s="45">
        <f>INDEX(overview!$B$4:$R$338,MATCH(B353,overview!$A$4:$A$338,0),MATCH(A364,overview!$B$3:$R$3,0))</f>
        <v>500</v>
      </c>
    </row>
    <row r="365" spans="1:2" hidden="1" x14ac:dyDescent="0.2">
      <c r="A365" t="s">
        <v>12</v>
      </c>
      <c r="B365" s="45" t="str">
        <f>INDEX(overview!$B$4:$R$338,MATCH(B353,overview!$A$4:$A$338,0),MATCH(A365,overview!$B$3:$R$3,0))</f>
        <v>Above surface pressure vessel</v>
      </c>
    </row>
    <row r="366" spans="1:2" hidden="1" x14ac:dyDescent="0.2">
      <c r="A366" t="s">
        <v>34</v>
      </c>
      <c r="B366" s="45" t="str">
        <f>INDEX(overview!$B$4:$R$338,MATCH(B353,overview!$A$4:$A$338,0),MATCH(A366,overview!$B$3:$R$3,0))</f>
        <v>catalytic</v>
      </c>
    </row>
    <row r="367" spans="1:2" hidden="1" x14ac:dyDescent="0.2">
      <c r="A367" t="s">
        <v>15</v>
      </c>
      <c r="B367" s="45" t="str">
        <f>INDEX(overview!$B$4:$R$338,MATCH(B353,overview!$A$4:$A$338,0),MATCH(A367,overview!$B$3:$R$3,0))</f>
        <v>Electrolysis, PEM</v>
      </c>
    </row>
    <row r="368" spans="1:2" hidden="1" x14ac:dyDescent="0.2">
      <c r="A368" t="s">
        <v>14</v>
      </c>
      <c r="B368" s="45" t="str">
        <f>INDEX(overview!$B$4:$R$338,MATCH(B353,overview!$A$4:$A$338,0),MATCH(A368,overview!$B$3:$R$3,0))</f>
        <v>water and electricity</v>
      </c>
    </row>
    <row r="369" spans="1:2" hidden="1" x14ac:dyDescent="0.2">
      <c r="A369" t="s">
        <v>26</v>
      </c>
      <c r="B369" s="45" t="str">
        <f>INDEX(overview!$B$4:$R$338,MATCH(B353,overview!$A$4:$A$338,0),MATCH(A369,overview!$B$3:$R$3,0))</f>
        <v>grid</v>
      </c>
    </row>
    <row r="370" spans="1:2" hidden="1" x14ac:dyDescent="0.2">
      <c r="A370" t="s">
        <v>29</v>
      </c>
      <c r="B370" s="45" t="str">
        <f>INDEX(overview!$B$4:$R$338,MATCH(B353,overview!$A$4:$A$338,0),MATCH(A370,overview!$B$3:$R$3,0))</f>
        <v>Cement plant</v>
      </c>
    </row>
    <row r="371" spans="1:2" hidden="1" x14ac:dyDescent="0.2">
      <c r="A371" t="s">
        <v>632</v>
      </c>
      <c r="B371" s="46">
        <f>INDEX(parameters!$D$4:$N$20,MATCH(B359&amp;B361,parameters!$A$4:$A$20,0),MATCH(A371,parameters!$D$3:$N$3,0))</f>
        <v>1.1111111111111112</v>
      </c>
    </row>
    <row r="372" spans="1:2" hidden="1" x14ac:dyDescent="0.2">
      <c r="A372" t="s">
        <v>40</v>
      </c>
      <c r="B372" s="47">
        <f>INDEX(parameters!$D$4:$N$20,MATCH(B359&amp;B361,parameters!$A$4:$A$20,0),MATCH(A372,parameters!$D$3:$N$3,0))</f>
        <v>47.5</v>
      </c>
    </row>
    <row r="373" spans="1:2" hidden="1" x14ac:dyDescent="0.2">
      <c r="A373" t="s">
        <v>41</v>
      </c>
      <c r="B373" s="48">
        <f>INDEX(parameters!$D$4:$N$20,MATCH(B359&amp;B361,parameters!$A$4:$A$20,0),MATCH(A373,parameters!$D$3:$N$3,0))</f>
        <v>2.6666666666666665E-2</v>
      </c>
    </row>
    <row r="374" spans="1:2" hidden="1" x14ac:dyDescent="0.2">
      <c r="A374" t="s">
        <v>45</v>
      </c>
      <c r="B374" s="49">
        <f>INDEX(parameters!$D$4:$N$20,MATCH(B359&amp;B361,parameters!$A$4:$A$20,0),MATCH(A374,parameters!$D$3:$N$3,0))</f>
        <v>1.9000000000000001E-4</v>
      </c>
    </row>
    <row r="375" spans="1:2" hidden="1" x14ac:dyDescent="0.2">
      <c r="A375" t="s">
        <v>46</v>
      </c>
      <c r="B375" s="49">
        <f>INDEX(parameters!$D$4:$N$20,MATCH(B359&amp;B361,parameters!$A$4:$A$20,0),MATCH(A375,parameters!$D$3:$N$3,0))</f>
        <v>0</v>
      </c>
    </row>
    <row r="376" spans="1:2" hidden="1" x14ac:dyDescent="0.2">
      <c r="A376" t="s">
        <v>43</v>
      </c>
      <c r="B376" s="49">
        <f>INDEX(parameters!$D$4:$N$20,MATCH(B359&amp;B361,parameters!$A$4:$A$20,0),MATCH(A376,parameters!$D$3:$N$3,0))</f>
        <v>0</v>
      </c>
    </row>
    <row r="377" spans="1:2" hidden="1" x14ac:dyDescent="0.2">
      <c r="A377" t="s">
        <v>44</v>
      </c>
      <c r="B377" s="49">
        <f>INDEX(parameters!$D$4:$N$20,MATCH(B359&amp;B361,parameters!$A$4:$A$20,0),MATCH(A377,parameters!$D$3:$N$3,0))</f>
        <v>0</v>
      </c>
    </row>
    <row r="378" spans="1:2" hidden="1" x14ac:dyDescent="0.2">
      <c r="A378" t="s">
        <v>47</v>
      </c>
      <c r="B378" s="49">
        <f>INDEX(parameters!$D$4:$N$20,MATCH(B359&amp;B361,parameters!$A$4:$A$20,0),MATCH(A378,parameters!$D$3:$N$3,0))</f>
        <v>0.06</v>
      </c>
    </row>
    <row r="379" spans="1:2" hidden="1" x14ac:dyDescent="0.2">
      <c r="A379" t="s">
        <v>82</v>
      </c>
      <c r="B379" s="46">
        <f>IF(B370&lt;&gt;0,VLOOKUP(B370,parameters!$A$26:$B$28,2,0),"")</f>
        <v>5.8751529987760093E-2</v>
      </c>
    </row>
    <row r="380" spans="1:2" hidden="1" x14ac:dyDescent="0.2">
      <c r="A380" t="s">
        <v>548</v>
      </c>
      <c r="B380" s="50">
        <f>INDEX(parameters!$D$4:$P$20,MATCH(B359&amp;B361,parameters!$A$4:$A$20,0),MATCH(A380,parameters!$D$3:$P$3,0))</f>
        <v>15</v>
      </c>
    </row>
    <row r="381" spans="1:2" hidden="1" x14ac:dyDescent="0.2">
      <c r="A381" t="s">
        <v>547</v>
      </c>
      <c r="B381" s="51">
        <f>INDEX(parameters!$D$4:$P$20,MATCH(B359&amp;B361,parameters!$A$4:$A$20,0),MATCH(A381,parameters!$D$3:$P$3,0))</f>
        <v>20</v>
      </c>
    </row>
    <row r="382" spans="1:2" hidden="1" x14ac:dyDescent="0.2">
      <c r="A382" t="s">
        <v>630</v>
      </c>
      <c r="B382" s="51">
        <f>INDEX(parameters!$D$4:$T$20,MATCH(B359&amp;B361,parameters!$A$4:$A$20,0),MATCH(A382,parameters!$D$3:$T$3,0))</f>
        <v>2100</v>
      </c>
    </row>
    <row r="383" spans="1:2" hidden="1" x14ac:dyDescent="0.2"/>
    <row r="384" spans="1:2" hidden="1" x14ac:dyDescent="0.2">
      <c r="A384" s="3" t="s">
        <v>57</v>
      </c>
    </row>
    <row r="385" spans="1:22" hidden="1" x14ac:dyDescent="0.2">
      <c r="A385" s="2" t="s">
        <v>58</v>
      </c>
      <c r="B385" s="44" t="s">
        <v>59</v>
      </c>
      <c r="C385" s="2" t="s">
        <v>55</v>
      </c>
      <c r="D385" s="2" t="s">
        <v>60</v>
      </c>
      <c r="E385" s="2" t="s">
        <v>52</v>
      </c>
      <c r="F385" s="2" t="s">
        <v>61</v>
      </c>
      <c r="G385" s="2" t="s">
        <v>54</v>
      </c>
      <c r="H385" s="2" t="s">
        <v>87</v>
      </c>
      <c r="I385" s="2" t="s">
        <v>51</v>
      </c>
      <c r="J385" s="2" t="s">
        <v>138</v>
      </c>
      <c r="K385" s="2" t="s">
        <v>136</v>
      </c>
      <c r="L385" s="2" t="s">
        <v>221</v>
      </c>
      <c r="M385" s="2" t="s">
        <v>379</v>
      </c>
      <c r="N385" s="2" t="s">
        <v>1059</v>
      </c>
      <c r="O385" s="2" t="s">
        <v>1060</v>
      </c>
      <c r="P385" s="2" t="s">
        <v>1061</v>
      </c>
      <c r="Q385" s="2" t="s">
        <v>1062</v>
      </c>
      <c r="R385" s="2" t="s">
        <v>1063</v>
      </c>
      <c r="S385" s="2" t="s">
        <v>1064</v>
      </c>
      <c r="T385" s="2" t="s">
        <v>1065</v>
      </c>
      <c r="U385" s="2" t="s">
        <v>380</v>
      </c>
      <c r="V385" s="2" t="s">
        <v>1128</v>
      </c>
    </row>
    <row r="386" spans="1:22" x14ac:dyDescent="0.2">
      <c r="A386" t="str">
        <f>B349</f>
        <v>heat, residential, by combustion of synthetic natural gas from catalytic methanation using boiler, transported by pipeline, produced by Electrolysis, PEM using water and electricity from grid and carbon sourced from Cement plant</v>
      </c>
      <c r="B386" s="45">
        <v>1</v>
      </c>
      <c r="C386" t="str">
        <f>B355</f>
        <v>megajoule</v>
      </c>
      <c r="E386" t="str">
        <f>B352</f>
        <v>CH</v>
      </c>
      <c r="F386" t="s">
        <v>62</v>
      </c>
      <c r="G386" t="str">
        <f>B354</f>
        <v>heat, from residential heating system</v>
      </c>
      <c r="K386" t="str">
        <f>B349</f>
        <v>heat, residential, by combustion of synthetic natural gas from catalytic methanation using boiler, transported by pipeline, produced by Electrolysis, PEM using water and electricity from grid and carbon sourced from Cement plant</v>
      </c>
    </row>
    <row r="387" spans="1:22" hidden="1" x14ac:dyDescent="0.2">
      <c r="A387" t="s">
        <v>83</v>
      </c>
      <c r="B387" s="52">
        <f>1/(B380*B382*B381*3.6)</f>
        <v>4.4091710758377425E-7</v>
      </c>
      <c r="C387" t="s">
        <v>55</v>
      </c>
      <c r="E387" t="s">
        <v>85</v>
      </c>
      <c r="F387" t="s">
        <v>86</v>
      </c>
      <c r="G387" t="s">
        <v>84</v>
      </c>
      <c r="H387" t="s">
        <v>88</v>
      </c>
      <c r="K387" t="str">
        <f>B349</f>
        <v>heat, residential, by combustion of synthetic natural gas from catalytic methanation using boiler, transported by pipeline, produced by Electrolysis, PEM using water and electricity from grid and carbon sourced from Cement plant</v>
      </c>
      <c r="L387">
        <f t="shared" ref="L387:L416" si="17">IF(OR(B387&lt;0,B387=0),1,2)</f>
        <v>2</v>
      </c>
      <c r="M387">
        <f t="shared" ref="M387:M416" si="18">IF(L387=2,LN(B387),"")</f>
        <v>-14.634408943829779</v>
      </c>
      <c r="N387">
        <v>1.05</v>
      </c>
      <c r="O387">
        <v>1.2</v>
      </c>
      <c r="P387">
        <v>1</v>
      </c>
      <c r="Q387">
        <v>1.01</v>
      </c>
      <c r="R387">
        <v>1.2</v>
      </c>
      <c r="S387">
        <v>1.2</v>
      </c>
      <c r="T387">
        <v>3</v>
      </c>
      <c r="U387">
        <f t="shared" ref="U387:U416" si="19">LN(SQRT(EXP(
SQRT(
+POWER(LN(N387),2)
+POWER(LN(O387),2)
+POWER(LN(P387),2)
+POWER(LN(Q387),2)
+POWER(LN(R387),2)
+POWER(LN(S387),2)
+POWER(LN(T387),2)
)
)))</f>
        <v>0.57209088006881903</v>
      </c>
    </row>
    <row r="388" spans="1:22" hidden="1" x14ac:dyDescent="0.2">
      <c r="A388" t="s">
        <v>500</v>
      </c>
      <c r="B388" s="52">
        <f>B387*2</f>
        <v>8.8183421516754851E-7</v>
      </c>
      <c r="C388" t="s">
        <v>267</v>
      </c>
      <c r="E388" t="s">
        <v>85</v>
      </c>
      <c r="F388" t="s">
        <v>86</v>
      </c>
      <c r="G388" t="s">
        <v>501</v>
      </c>
      <c r="H388" t="s">
        <v>88</v>
      </c>
      <c r="I388" t="s">
        <v>621</v>
      </c>
      <c r="K388" t="str">
        <f>B349</f>
        <v>heat, residential, by combustion of synthetic natural gas from catalytic methanation using boiler, transported by pipeline, produced by Electrolysis, PEM using water and electricity from grid and carbon sourced from Cement plant</v>
      </c>
      <c r="L388">
        <f t="shared" si="17"/>
        <v>2</v>
      </c>
      <c r="M388">
        <f t="shared" si="18"/>
        <v>-13.941261763269834</v>
      </c>
      <c r="N388">
        <v>1.05</v>
      </c>
      <c r="O388">
        <v>1.2</v>
      </c>
      <c r="P388">
        <v>1</v>
      </c>
      <c r="Q388">
        <v>1.01</v>
      </c>
      <c r="R388">
        <v>1.2</v>
      </c>
      <c r="S388">
        <v>1.2</v>
      </c>
      <c r="T388">
        <v>3</v>
      </c>
      <c r="U388">
        <f t="shared" si="19"/>
        <v>0.57209088006881903</v>
      </c>
    </row>
    <row r="389" spans="1:22" hidden="1" x14ac:dyDescent="0.2">
      <c r="A389" t="s">
        <v>130</v>
      </c>
      <c r="B389" s="52">
        <v>2.64E-3</v>
      </c>
      <c r="C389" t="s">
        <v>92</v>
      </c>
      <c r="E389" t="s">
        <v>64</v>
      </c>
      <c r="F389" t="s">
        <v>86</v>
      </c>
      <c r="G389" t="s">
        <v>93</v>
      </c>
      <c r="H389" t="s">
        <v>78</v>
      </c>
      <c r="I389" t="s">
        <v>270</v>
      </c>
      <c r="J389" t="s">
        <v>67</v>
      </c>
      <c r="K389" t="str">
        <f>B349</f>
        <v>heat, residential, by combustion of synthetic natural gas from catalytic methanation using boiler, transported by pipeline, produced by Electrolysis, PEM using water and electricity from grid and carbon sourced from Cement plant</v>
      </c>
      <c r="L389">
        <f t="shared" si="17"/>
        <v>2</v>
      </c>
      <c r="M389">
        <f t="shared" si="18"/>
        <v>-5.9369763618239126</v>
      </c>
      <c r="N389">
        <v>1.05</v>
      </c>
      <c r="O389">
        <v>1.2</v>
      </c>
      <c r="P389">
        <v>1</v>
      </c>
      <c r="Q389">
        <v>1.01</v>
      </c>
      <c r="R389">
        <v>1.2</v>
      </c>
      <c r="S389">
        <v>1.2</v>
      </c>
      <c r="T389">
        <v>1.05</v>
      </c>
      <c r="U389">
        <f t="shared" si="19"/>
        <v>0.16169679924070957</v>
      </c>
    </row>
    <row r="390" spans="1:22" hidden="1" x14ac:dyDescent="0.2">
      <c r="A390" t="s">
        <v>1186</v>
      </c>
      <c r="B390" s="53">
        <f>(B386/B372)/B371</f>
        <v>1.8947368421052629E-2</v>
      </c>
      <c r="C390" t="str">
        <f>VLOOKUP(J390,'dataset mapping'!$A$4:$E$69,5,0)</f>
        <v>kilogram</v>
      </c>
      <c r="E390" t="str">
        <f>VLOOKUP(J390,'dataset mapping'!$A$4:$E$69,4,0)</f>
        <v>CH</v>
      </c>
      <c r="F390" t="s">
        <v>86</v>
      </c>
      <c r="G390" t="s">
        <v>1157</v>
      </c>
      <c r="H390" t="s">
        <v>1187</v>
      </c>
      <c r="I390" t="s">
        <v>1055</v>
      </c>
      <c r="J390" t="s">
        <v>860</v>
      </c>
      <c r="K390" t="str">
        <f>B349</f>
        <v>heat, residential, by combustion of synthetic natural gas from catalytic methanation using boiler, transported by pipeline, produced by Electrolysis, PEM using water and electricity from grid and carbon sourced from Cement plant</v>
      </c>
      <c r="L390">
        <f t="shared" si="17"/>
        <v>2</v>
      </c>
      <c r="M390">
        <f t="shared" si="18"/>
        <v>-3.9660902266984221</v>
      </c>
      <c r="N390">
        <v>1.05</v>
      </c>
      <c r="O390">
        <v>1.2</v>
      </c>
      <c r="P390">
        <v>1</v>
      </c>
      <c r="Q390">
        <v>1.01</v>
      </c>
      <c r="R390">
        <v>1.2</v>
      </c>
      <c r="S390">
        <v>1.2</v>
      </c>
      <c r="T390">
        <v>1.05</v>
      </c>
      <c r="U390">
        <f t="shared" si="19"/>
        <v>0.16169679924070957</v>
      </c>
    </row>
    <row r="391" spans="1:22" hidden="1" x14ac:dyDescent="0.2">
      <c r="A391" t="s">
        <v>311</v>
      </c>
      <c r="B391" s="52">
        <v>9.7999999999999992E-10</v>
      </c>
      <c r="C391" t="s">
        <v>56</v>
      </c>
      <c r="D391" t="s">
        <v>408</v>
      </c>
      <c r="F391" t="s">
        <v>99</v>
      </c>
      <c r="H391" t="s">
        <v>131</v>
      </c>
      <c r="I391" t="s">
        <v>410</v>
      </c>
      <c r="L391">
        <f t="shared" si="17"/>
        <v>2</v>
      </c>
      <c r="M391">
        <f t="shared" si="18"/>
        <v>-20.74346854426393</v>
      </c>
      <c r="N391">
        <v>1.5</v>
      </c>
      <c r="O391">
        <v>1.2</v>
      </c>
      <c r="P391">
        <v>1.5</v>
      </c>
      <c r="Q391">
        <v>1.1000000000000001</v>
      </c>
      <c r="R391">
        <v>2</v>
      </c>
      <c r="S391">
        <v>1.2</v>
      </c>
      <c r="T391">
        <v>1.5</v>
      </c>
      <c r="U391">
        <f t="shared" si="19"/>
        <v>0.51215847306170115</v>
      </c>
    </row>
    <row r="392" spans="1:22" hidden="1" x14ac:dyDescent="0.2">
      <c r="A392" t="s">
        <v>312</v>
      </c>
      <c r="B392" s="52">
        <v>1.4700000000000001E-7</v>
      </c>
      <c r="C392" t="s">
        <v>56</v>
      </c>
      <c r="D392" t="s">
        <v>408</v>
      </c>
      <c r="F392" t="s">
        <v>99</v>
      </c>
      <c r="H392" t="s">
        <v>131</v>
      </c>
      <c r="I392" t="s">
        <v>410</v>
      </c>
      <c r="L392">
        <f t="shared" si="17"/>
        <v>2</v>
      </c>
      <c r="M392">
        <f t="shared" si="18"/>
        <v>-15.732833250167674</v>
      </c>
      <c r="N392">
        <v>1.5</v>
      </c>
      <c r="O392">
        <v>1.2</v>
      </c>
      <c r="P392">
        <v>1.5</v>
      </c>
      <c r="Q392">
        <v>1.1000000000000001</v>
      </c>
      <c r="R392">
        <v>2</v>
      </c>
      <c r="S392">
        <v>1.2</v>
      </c>
      <c r="T392">
        <v>1.5</v>
      </c>
      <c r="U392">
        <f t="shared" si="19"/>
        <v>0.51215847306170115</v>
      </c>
    </row>
    <row r="393" spans="1:22" hidden="1" x14ac:dyDescent="0.2">
      <c r="A393" t="s">
        <v>313</v>
      </c>
      <c r="B393" s="52">
        <v>3.9200000000000002E-7</v>
      </c>
      <c r="C393" t="s">
        <v>56</v>
      </c>
      <c r="D393" t="s">
        <v>408</v>
      </c>
      <c r="F393" t="s">
        <v>99</v>
      </c>
      <c r="H393" t="s">
        <v>131</v>
      </c>
      <c r="I393" t="s">
        <v>410</v>
      </c>
      <c r="L393">
        <f t="shared" si="17"/>
        <v>2</v>
      </c>
      <c r="M393">
        <f t="shared" si="18"/>
        <v>-14.752003997155949</v>
      </c>
      <c r="N393">
        <v>1.5</v>
      </c>
      <c r="O393">
        <v>1.2</v>
      </c>
      <c r="P393">
        <v>1.5</v>
      </c>
      <c r="Q393">
        <v>1.1000000000000001</v>
      </c>
      <c r="R393">
        <v>2</v>
      </c>
      <c r="S393">
        <v>1.2</v>
      </c>
      <c r="T393">
        <v>1.5</v>
      </c>
      <c r="U393">
        <f t="shared" si="19"/>
        <v>0.51215847306170115</v>
      </c>
    </row>
    <row r="394" spans="1:22" hidden="1" x14ac:dyDescent="0.2">
      <c r="A394" t="s">
        <v>314</v>
      </c>
      <c r="B394" s="52">
        <v>9.7999999999999994E-12</v>
      </c>
      <c r="C394" t="s">
        <v>56</v>
      </c>
      <c r="D394" t="s">
        <v>408</v>
      </c>
      <c r="F394" t="s">
        <v>99</v>
      </c>
      <c r="H394" t="s">
        <v>131</v>
      </c>
      <c r="I394" t="s">
        <v>410</v>
      </c>
      <c r="L394">
        <f t="shared" si="17"/>
        <v>2</v>
      </c>
      <c r="M394">
        <f t="shared" si="18"/>
        <v>-25.348638730252024</v>
      </c>
      <c r="N394">
        <v>1.5</v>
      </c>
      <c r="O394">
        <v>1.2</v>
      </c>
      <c r="P394">
        <v>1.5</v>
      </c>
      <c r="Q394">
        <v>1.1000000000000001</v>
      </c>
      <c r="R394">
        <v>2</v>
      </c>
      <c r="S394">
        <v>1.2</v>
      </c>
      <c r="T394">
        <v>1.5</v>
      </c>
      <c r="U394">
        <f t="shared" si="19"/>
        <v>0.51215847306170115</v>
      </c>
    </row>
    <row r="395" spans="1:22" hidden="1" x14ac:dyDescent="0.2">
      <c r="A395" t="s">
        <v>315</v>
      </c>
      <c r="B395" s="52">
        <v>6.8599999999999998E-7</v>
      </c>
      <c r="C395" t="s">
        <v>56</v>
      </c>
      <c r="D395" t="s">
        <v>408</v>
      </c>
      <c r="F395" t="s">
        <v>99</v>
      </c>
      <c r="H395" t="s">
        <v>131</v>
      </c>
      <c r="I395" t="s">
        <v>410</v>
      </c>
      <c r="L395">
        <f t="shared" si="17"/>
        <v>2</v>
      </c>
      <c r="M395">
        <f t="shared" si="18"/>
        <v>-14.192388209220526</v>
      </c>
      <c r="N395">
        <v>1.5</v>
      </c>
      <c r="O395">
        <v>1.2</v>
      </c>
      <c r="P395">
        <v>1.5</v>
      </c>
      <c r="Q395">
        <v>1.1000000000000001</v>
      </c>
      <c r="R395">
        <v>2</v>
      </c>
      <c r="S395">
        <v>1.2</v>
      </c>
      <c r="T395">
        <v>1.5</v>
      </c>
      <c r="U395">
        <f t="shared" si="19"/>
        <v>0.51215847306170115</v>
      </c>
    </row>
    <row r="396" spans="1:22" hidden="1" x14ac:dyDescent="0.2">
      <c r="A396" t="s">
        <v>316</v>
      </c>
      <c r="B396" s="54">
        <f>2.74*B390*(1-B379)</f>
        <v>4.8865657411582809E-2</v>
      </c>
      <c r="C396" t="s">
        <v>56</v>
      </c>
      <c r="D396" t="s">
        <v>408</v>
      </c>
      <c r="F396" t="s">
        <v>99</v>
      </c>
      <c r="H396" t="s">
        <v>131</v>
      </c>
      <c r="I396" t="s">
        <v>410</v>
      </c>
      <c r="L396">
        <f t="shared" si="17"/>
        <v>2</v>
      </c>
      <c r="M396">
        <f t="shared" si="18"/>
        <v>-3.0186804316528018</v>
      </c>
      <c r="N396">
        <v>1.5</v>
      </c>
      <c r="O396">
        <v>1.2</v>
      </c>
      <c r="P396">
        <v>1.5</v>
      </c>
      <c r="Q396">
        <v>1.1000000000000001</v>
      </c>
      <c r="R396">
        <v>2</v>
      </c>
      <c r="S396">
        <v>1.2</v>
      </c>
      <c r="T396">
        <v>1.05</v>
      </c>
      <c r="U396">
        <f t="shared" si="19"/>
        <v>0.47095746419981693</v>
      </c>
    </row>
    <row r="397" spans="1:22" hidden="1" x14ac:dyDescent="0.2">
      <c r="A397" t="s">
        <v>371</v>
      </c>
      <c r="B397" s="54">
        <f>2.74*B390*B379</f>
        <v>3.0501320621013975E-3</v>
      </c>
      <c r="C397" t="s">
        <v>56</v>
      </c>
      <c r="D397" t="s">
        <v>408</v>
      </c>
      <c r="F397" t="s">
        <v>99</v>
      </c>
      <c r="H397" t="s">
        <v>131</v>
      </c>
      <c r="I397" t="s">
        <v>410</v>
      </c>
      <c r="L397">
        <f t="shared" si="17"/>
        <v>2</v>
      </c>
      <c r="M397">
        <f t="shared" si="18"/>
        <v>-5.792570390250555</v>
      </c>
      <c r="N397">
        <v>1.5</v>
      </c>
      <c r="O397">
        <v>1.2</v>
      </c>
      <c r="P397">
        <v>1.5</v>
      </c>
      <c r="Q397">
        <v>1.1000000000000001</v>
      </c>
      <c r="R397">
        <v>2</v>
      </c>
      <c r="S397">
        <v>1.2</v>
      </c>
      <c r="T397">
        <v>1.05</v>
      </c>
      <c r="U397">
        <f t="shared" si="19"/>
        <v>0.47095746419981693</v>
      </c>
    </row>
    <row r="398" spans="1:22" hidden="1" x14ac:dyDescent="0.2">
      <c r="A398" t="s">
        <v>400</v>
      </c>
      <c r="B398" s="52">
        <v>5.7819999999999999E-6</v>
      </c>
      <c r="C398" t="s">
        <v>56</v>
      </c>
      <c r="D398" t="s">
        <v>408</v>
      </c>
      <c r="F398" t="s">
        <v>99</v>
      </c>
      <c r="H398" t="s">
        <v>131</v>
      </c>
      <c r="I398" t="s">
        <v>410</v>
      </c>
      <c r="L398">
        <f t="shared" si="17"/>
        <v>2</v>
      </c>
      <c r="M398">
        <f t="shared" si="18"/>
        <v>-12.060760914370119</v>
      </c>
      <c r="N398">
        <v>1.5</v>
      </c>
      <c r="O398">
        <v>1.2</v>
      </c>
      <c r="P398">
        <v>1.5</v>
      </c>
      <c r="Q398">
        <v>1.1000000000000001</v>
      </c>
      <c r="R398">
        <v>2</v>
      </c>
      <c r="S398">
        <v>1.2</v>
      </c>
      <c r="T398">
        <v>5</v>
      </c>
      <c r="U398">
        <f t="shared" si="19"/>
        <v>0.93208283513358414</v>
      </c>
    </row>
    <row r="399" spans="1:22" hidden="1" x14ac:dyDescent="0.2">
      <c r="A399" t="s">
        <v>318</v>
      </c>
      <c r="B399" s="52">
        <v>4.8999999999999997E-7</v>
      </c>
      <c r="C399" t="s">
        <v>56</v>
      </c>
      <c r="D399" t="s">
        <v>408</v>
      </c>
      <c r="F399" t="s">
        <v>99</v>
      </c>
      <c r="H399" t="s">
        <v>131</v>
      </c>
      <c r="I399" t="s">
        <v>410</v>
      </c>
      <c r="L399">
        <f t="shared" si="17"/>
        <v>2</v>
      </c>
      <c r="M399">
        <f t="shared" si="18"/>
        <v>-14.528860445841739</v>
      </c>
      <c r="N399">
        <v>1.5</v>
      </c>
      <c r="O399">
        <v>1.2</v>
      </c>
      <c r="P399">
        <v>1.5</v>
      </c>
      <c r="Q399">
        <v>1.1000000000000001</v>
      </c>
      <c r="R399">
        <v>2</v>
      </c>
      <c r="S399">
        <v>1.2</v>
      </c>
      <c r="T399">
        <v>1.5</v>
      </c>
      <c r="U399">
        <f t="shared" si="19"/>
        <v>0.51215847306170115</v>
      </c>
    </row>
    <row r="400" spans="1:22" hidden="1" x14ac:dyDescent="0.2">
      <c r="A400" t="s">
        <v>401</v>
      </c>
      <c r="B400" s="52">
        <v>2.9400000000000001E-17</v>
      </c>
      <c r="C400" t="s">
        <v>56</v>
      </c>
      <c r="D400" t="s">
        <v>408</v>
      </c>
      <c r="F400" t="s">
        <v>99</v>
      </c>
      <c r="H400" t="s">
        <v>131</v>
      </c>
      <c r="I400" t="s">
        <v>410</v>
      </c>
      <c r="L400">
        <f t="shared" si="17"/>
        <v>2</v>
      </c>
      <c r="M400">
        <f t="shared" si="18"/>
        <v>-38.065536999548186</v>
      </c>
      <c r="N400">
        <v>1.5</v>
      </c>
      <c r="O400">
        <v>1.2</v>
      </c>
      <c r="P400">
        <v>1.5</v>
      </c>
      <c r="Q400">
        <v>1.1000000000000001</v>
      </c>
      <c r="R400">
        <v>2</v>
      </c>
      <c r="S400">
        <v>1.2</v>
      </c>
      <c r="T400">
        <v>1.5</v>
      </c>
      <c r="U400">
        <f t="shared" si="19"/>
        <v>0.51215847306170115</v>
      </c>
    </row>
    <row r="401" spans="1:21" hidden="1" x14ac:dyDescent="0.2">
      <c r="A401" t="s">
        <v>319</v>
      </c>
      <c r="B401" s="52">
        <v>9.8000000000000004E-8</v>
      </c>
      <c r="C401" t="s">
        <v>56</v>
      </c>
      <c r="D401" t="s">
        <v>408</v>
      </c>
      <c r="F401" t="s">
        <v>99</v>
      </c>
      <c r="H401" t="s">
        <v>131</v>
      </c>
      <c r="I401" t="s">
        <v>410</v>
      </c>
      <c r="L401">
        <f t="shared" si="17"/>
        <v>2</v>
      </c>
      <c r="M401">
        <f t="shared" si="18"/>
        <v>-16.13829835827584</v>
      </c>
      <c r="N401">
        <v>1.5</v>
      </c>
      <c r="O401">
        <v>1.2</v>
      </c>
      <c r="P401">
        <v>1.5</v>
      </c>
      <c r="Q401">
        <v>1.1000000000000001</v>
      </c>
      <c r="R401">
        <v>2</v>
      </c>
      <c r="S401">
        <v>1.2</v>
      </c>
      <c r="T401">
        <v>1.5</v>
      </c>
      <c r="U401">
        <f t="shared" si="19"/>
        <v>0.51215847306170115</v>
      </c>
    </row>
    <row r="402" spans="1:21" hidden="1" x14ac:dyDescent="0.2">
      <c r="A402" t="s">
        <v>402</v>
      </c>
      <c r="B402" s="52">
        <v>2.9400000000000003E-11</v>
      </c>
      <c r="C402" t="s">
        <v>56</v>
      </c>
      <c r="D402" t="s">
        <v>408</v>
      </c>
      <c r="F402" t="s">
        <v>99</v>
      </c>
      <c r="H402" t="s">
        <v>131</v>
      </c>
      <c r="I402" t="s">
        <v>410</v>
      </c>
      <c r="L402">
        <f t="shared" si="17"/>
        <v>2</v>
      </c>
      <c r="M402">
        <f t="shared" si="18"/>
        <v>-24.250026441583913</v>
      </c>
      <c r="N402">
        <v>1.5</v>
      </c>
      <c r="O402">
        <v>1.2</v>
      </c>
      <c r="P402">
        <v>1.5</v>
      </c>
      <c r="Q402">
        <v>1.1000000000000001</v>
      </c>
      <c r="R402">
        <v>2</v>
      </c>
      <c r="S402">
        <v>1.2</v>
      </c>
      <c r="T402">
        <v>5</v>
      </c>
      <c r="U402">
        <f t="shared" si="19"/>
        <v>0.93208283513358414</v>
      </c>
    </row>
    <row r="403" spans="1:21" hidden="1" x14ac:dyDescent="0.2">
      <c r="A403" t="s">
        <v>373</v>
      </c>
      <c r="B403" s="52">
        <f>0.00000196*B379</f>
        <v>1.1515299877600977E-7</v>
      </c>
      <c r="C403" t="s">
        <v>56</v>
      </c>
      <c r="D403" t="s">
        <v>408</v>
      </c>
      <c r="F403" t="s">
        <v>99</v>
      </c>
      <c r="H403" t="s">
        <v>131</v>
      </c>
      <c r="I403" t="s">
        <v>410</v>
      </c>
      <c r="L403">
        <f t="shared" si="17"/>
        <v>2</v>
      </c>
      <c r="M403">
        <f t="shared" si="18"/>
        <v>-15.977004168673961</v>
      </c>
      <c r="N403">
        <v>1.5</v>
      </c>
      <c r="O403">
        <v>1.2</v>
      </c>
      <c r="P403">
        <v>1.5</v>
      </c>
      <c r="Q403">
        <v>1.1000000000000001</v>
      </c>
      <c r="R403">
        <v>2</v>
      </c>
      <c r="S403">
        <v>1.2</v>
      </c>
      <c r="T403">
        <v>1.5</v>
      </c>
      <c r="U403">
        <f t="shared" si="19"/>
        <v>0.51215847306170115</v>
      </c>
    </row>
    <row r="404" spans="1:21" hidden="1" x14ac:dyDescent="0.2">
      <c r="A404" t="s">
        <v>320</v>
      </c>
      <c r="B404" s="52">
        <f>0.00000196*(1-B379)</f>
        <v>1.8448470012239901E-6</v>
      </c>
      <c r="C404" t="s">
        <v>56</v>
      </c>
      <c r="D404" t="s">
        <v>408</v>
      </c>
      <c r="F404" t="s">
        <v>99</v>
      </c>
      <c r="H404" t="s">
        <v>131</v>
      </c>
      <c r="I404" t="s">
        <v>410</v>
      </c>
      <c r="L404">
        <f t="shared" si="17"/>
        <v>2</v>
      </c>
      <c r="M404">
        <f t="shared" si="18"/>
        <v>-13.203114210076206</v>
      </c>
      <c r="N404">
        <v>1.5</v>
      </c>
      <c r="O404">
        <v>1.2</v>
      </c>
      <c r="P404">
        <v>1.5</v>
      </c>
      <c r="Q404">
        <v>1.1000000000000001</v>
      </c>
      <c r="R404">
        <v>2</v>
      </c>
      <c r="S404">
        <v>1.2</v>
      </c>
      <c r="T404">
        <v>1.5</v>
      </c>
      <c r="U404">
        <f t="shared" si="19"/>
        <v>0.51215847306170115</v>
      </c>
    </row>
    <row r="405" spans="1:21" hidden="1" x14ac:dyDescent="0.2">
      <c r="A405" t="s">
        <v>135</v>
      </c>
      <c r="B405" s="52">
        <v>9.7019999999999996E-6</v>
      </c>
      <c r="C405" t="s">
        <v>56</v>
      </c>
      <c r="D405" t="s">
        <v>408</v>
      </c>
      <c r="F405" t="s">
        <v>99</v>
      </c>
      <c r="H405" t="s">
        <v>131</v>
      </c>
      <c r="I405" t="s">
        <v>410</v>
      </c>
      <c r="L405">
        <f t="shared" si="17"/>
        <v>2</v>
      </c>
      <c r="M405">
        <f t="shared" si="18"/>
        <v>-11.543178508141249</v>
      </c>
      <c r="N405">
        <v>1.5</v>
      </c>
      <c r="O405">
        <v>1.2</v>
      </c>
      <c r="P405">
        <v>1.5</v>
      </c>
      <c r="Q405">
        <v>1.1000000000000001</v>
      </c>
      <c r="R405">
        <v>2</v>
      </c>
      <c r="S405">
        <v>1.2</v>
      </c>
      <c r="T405">
        <v>1.5</v>
      </c>
      <c r="U405">
        <f t="shared" si="19"/>
        <v>0.51215847306170115</v>
      </c>
    </row>
    <row r="406" spans="1:21" hidden="1" x14ac:dyDescent="0.2">
      <c r="A406" t="s">
        <v>321</v>
      </c>
      <c r="B406" s="52">
        <v>9.8000000000000001E-9</v>
      </c>
      <c r="C406" t="s">
        <v>56</v>
      </c>
      <c r="D406" t="s">
        <v>408</v>
      </c>
      <c r="F406" t="s">
        <v>99</v>
      </c>
      <c r="H406" t="s">
        <v>131</v>
      </c>
      <c r="I406" t="s">
        <v>410</v>
      </c>
      <c r="L406">
        <f t="shared" si="17"/>
        <v>2</v>
      </c>
      <c r="M406">
        <f t="shared" si="18"/>
        <v>-18.440883451269883</v>
      </c>
      <c r="N406">
        <v>1.5</v>
      </c>
      <c r="O406">
        <v>1.2</v>
      </c>
      <c r="P406">
        <v>1.5</v>
      </c>
      <c r="Q406">
        <v>1.1000000000000001</v>
      </c>
      <c r="R406">
        <v>2</v>
      </c>
      <c r="S406">
        <v>1.2</v>
      </c>
      <c r="T406">
        <v>3</v>
      </c>
      <c r="U406">
        <f t="shared" si="19"/>
        <v>0.72314801614797197</v>
      </c>
    </row>
    <row r="407" spans="1:21" hidden="1" x14ac:dyDescent="0.2">
      <c r="A407" t="s">
        <v>403</v>
      </c>
      <c r="B407" s="52">
        <v>9.8000000000000004E-8</v>
      </c>
      <c r="C407" t="s">
        <v>56</v>
      </c>
      <c r="D407" t="s">
        <v>408</v>
      </c>
      <c r="F407" t="s">
        <v>99</v>
      </c>
      <c r="H407" t="s">
        <v>131</v>
      </c>
      <c r="I407" t="s">
        <v>410</v>
      </c>
      <c r="L407">
        <f t="shared" si="17"/>
        <v>2</v>
      </c>
      <c r="M407">
        <f t="shared" si="18"/>
        <v>-16.13829835827584</v>
      </c>
      <c r="N407">
        <v>1.5</v>
      </c>
      <c r="O407">
        <v>1.2</v>
      </c>
      <c r="P407">
        <v>1.5</v>
      </c>
      <c r="Q407">
        <v>1.1000000000000001</v>
      </c>
      <c r="R407">
        <v>2</v>
      </c>
      <c r="S407">
        <v>1.2</v>
      </c>
      <c r="T407">
        <v>3</v>
      </c>
      <c r="U407">
        <f t="shared" si="19"/>
        <v>0.72314801614797197</v>
      </c>
    </row>
    <row r="408" spans="1:21" hidden="1" x14ac:dyDescent="0.2">
      <c r="A408" t="s">
        <v>322</v>
      </c>
      <c r="B408" s="52">
        <v>1.176E-6</v>
      </c>
      <c r="C408" t="s">
        <v>56</v>
      </c>
      <c r="D408" t="s">
        <v>408</v>
      </c>
      <c r="F408" t="s">
        <v>99</v>
      </c>
      <c r="H408" t="s">
        <v>131</v>
      </c>
      <c r="I408" t="s">
        <v>410</v>
      </c>
      <c r="L408">
        <f t="shared" si="17"/>
        <v>2</v>
      </c>
      <c r="M408">
        <f t="shared" si="18"/>
        <v>-13.653391708487838</v>
      </c>
      <c r="N408">
        <v>1.5</v>
      </c>
      <c r="O408">
        <v>1.2</v>
      </c>
      <c r="P408">
        <v>1.5</v>
      </c>
      <c r="Q408">
        <v>1.1000000000000001</v>
      </c>
      <c r="R408">
        <v>2</v>
      </c>
      <c r="S408">
        <v>1.2</v>
      </c>
      <c r="T408">
        <v>1.5</v>
      </c>
      <c r="U408">
        <f t="shared" si="19"/>
        <v>0.51215847306170115</v>
      </c>
    </row>
    <row r="409" spans="1:21" hidden="1" x14ac:dyDescent="0.2">
      <c r="A409" t="s">
        <v>323</v>
      </c>
      <c r="B409" s="52">
        <v>1.9600000000000001E-7</v>
      </c>
      <c r="C409" t="s">
        <v>56</v>
      </c>
      <c r="D409" t="s">
        <v>408</v>
      </c>
      <c r="F409" t="s">
        <v>99</v>
      </c>
      <c r="H409" t="s">
        <v>131</v>
      </c>
      <c r="I409" t="s">
        <v>410</v>
      </c>
      <c r="L409">
        <f t="shared" si="17"/>
        <v>2</v>
      </c>
      <c r="M409">
        <f t="shared" si="18"/>
        <v>-15.445151177715895</v>
      </c>
      <c r="N409">
        <v>1.5</v>
      </c>
      <c r="O409">
        <v>1.2</v>
      </c>
      <c r="P409">
        <v>1.5</v>
      </c>
      <c r="Q409">
        <v>1.1000000000000001</v>
      </c>
      <c r="R409">
        <v>2</v>
      </c>
      <c r="S409">
        <v>1.2</v>
      </c>
      <c r="T409">
        <v>1.5</v>
      </c>
      <c r="U409">
        <f t="shared" si="19"/>
        <v>0.51215847306170115</v>
      </c>
    </row>
    <row r="410" spans="1:21" hidden="1" x14ac:dyDescent="0.2">
      <c r="A410" t="s">
        <v>324</v>
      </c>
      <c r="B410" s="52">
        <v>1.96E-8</v>
      </c>
      <c r="C410" t="s">
        <v>56</v>
      </c>
      <c r="D410" t="s">
        <v>408</v>
      </c>
      <c r="F410" t="s">
        <v>99</v>
      </c>
      <c r="H410" t="s">
        <v>131</v>
      </c>
      <c r="I410" t="s">
        <v>410</v>
      </c>
      <c r="L410">
        <f t="shared" si="17"/>
        <v>2</v>
      </c>
      <c r="M410">
        <f t="shared" si="18"/>
        <v>-17.74773627070994</v>
      </c>
      <c r="N410">
        <v>1.5</v>
      </c>
      <c r="O410">
        <v>1.2</v>
      </c>
      <c r="P410">
        <v>1.5</v>
      </c>
      <c r="Q410">
        <v>1.1000000000000001</v>
      </c>
      <c r="R410">
        <v>2</v>
      </c>
      <c r="S410">
        <v>1.2</v>
      </c>
      <c r="T410">
        <v>1.5</v>
      </c>
      <c r="U410">
        <f t="shared" si="19"/>
        <v>0.51215847306170115</v>
      </c>
    </row>
    <row r="411" spans="1:21" hidden="1" x14ac:dyDescent="0.2">
      <c r="A411" t="s">
        <v>325</v>
      </c>
      <c r="B411" s="52">
        <v>4.8999999999999997E-7</v>
      </c>
      <c r="C411" t="s">
        <v>56</v>
      </c>
      <c r="D411" t="s">
        <v>408</v>
      </c>
      <c r="F411" t="s">
        <v>99</v>
      </c>
      <c r="H411" t="s">
        <v>131</v>
      </c>
      <c r="I411" t="s">
        <v>410</v>
      </c>
      <c r="L411">
        <f t="shared" si="17"/>
        <v>2</v>
      </c>
      <c r="M411">
        <f t="shared" si="18"/>
        <v>-14.528860445841739</v>
      </c>
      <c r="N411">
        <v>1.5</v>
      </c>
      <c r="O411">
        <v>1.2</v>
      </c>
      <c r="P411">
        <v>1.5</v>
      </c>
      <c r="Q411">
        <v>1.1000000000000001</v>
      </c>
      <c r="R411">
        <v>2</v>
      </c>
      <c r="S411">
        <v>1.2</v>
      </c>
      <c r="T411">
        <v>1.5</v>
      </c>
      <c r="U411">
        <f t="shared" si="19"/>
        <v>0.51215847306170115</v>
      </c>
    </row>
    <row r="412" spans="1:21" hidden="1" x14ac:dyDescent="0.2">
      <c r="A412" t="s">
        <v>326</v>
      </c>
      <c r="B412" s="52">
        <v>1.9600000000000001E-7</v>
      </c>
      <c r="C412" t="s">
        <v>56</v>
      </c>
      <c r="D412" t="s">
        <v>408</v>
      </c>
      <c r="F412" t="s">
        <v>99</v>
      </c>
      <c r="H412" t="s">
        <v>131</v>
      </c>
      <c r="I412" t="s">
        <v>410</v>
      </c>
      <c r="L412">
        <f t="shared" si="17"/>
        <v>2</v>
      </c>
      <c r="M412">
        <f t="shared" si="18"/>
        <v>-15.445151177715895</v>
      </c>
      <c r="N412">
        <v>1.5</v>
      </c>
      <c r="O412">
        <v>1.2</v>
      </c>
      <c r="P412">
        <v>1.5</v>
      </c>
      <c r="Q412">
        <v>1.1000000000000001</v>
      </c>
      <c r="R412">
        <v>2</v>
      </c>
      <c r="S412">
        <v>1.2</v>
      </c>
      <c r="T412">
        <v>1.5</v>
      </c>
      <c r="U412">
        <f t="shared" si="19"/>
        <v>0.51215847306170115</v>
      </c>
    </row>
    <row r="413" spans="1:21" hidden="1" x14ac:dyDescent="0.2">
      <c r="A413" t="s">
        <v>404</v>
      </c>
      <c r="B413" s="52">
        <v>1.2739999999999999E-7</v>
      </c>
      <c r="C413" t="s">
        <v>56</v>
      </c>
      <c r="D413" t="s">
        <v>409</v>
      </c>
      <c r="F413" t="s">
        <v>99</v>
      </c>
      <c r="H413" t="s">
        <v>131</v>
      </c>
      <c r="I413" t="s">
        <v>410</v>
      </c>
      <c r="L413">
        <f t="shared" si="17"/>
        <v>2</v>
      </c>
      <c r="M413">
        <f t="shared" si="18"/>
        <v>-15.875934093808349</v>
      </c>
      <c r="N413">
        <v>1.5</v>
      </c>
      <c r="O413">
        <v>1.2</v>
      </c>
      <c r="P413">
        <v>1.5</v>
      </c>
      <c r="Q413">
        <v>1.1000000000000001</v>
      </c>
      <c r="R413">
        <v>2</v>
      </c>
      <c r="S413">
        <v>1.2</v>
      </c>
      <c r="T413">
        <v>1.5</v>
      </c>
      <c r="U413">
        <f t="shared" si="19"/>
        <v>0.51215847306170115</v>
      </c>
    </row>
    <row r="414" spans="1:21" hidden="1" x14ac:dyDescent="0.2">
      <c r="A414" t="s">
        <v>405</v>
      </c>
      <c r="B414" s="52">
        <v>2.9400000000000002E-9</v>
      </c>
      <c r="C414" t="s">
        <v>56</v>
      </c>
      <c r="D414" t="s">
        <v>409</v>
      </c>
      <c r="F414" t="s">
        <v>99</v>
      </c>
      <c r="H414" t="s">
        <v>131</v>
      </c>
      <c r="I414" t="s">
        <v>410</v>
      </c>
      <c r="L414">
        <f t="shared" si="17"/>
        <v>2</v>
      </c>
      <c r="M414">
        <f t="shared" si="18"/>
        <v>-19.644856255595823</v>
      </c>
      <c r="N414">
        <v>1.5</v>
      </c>
      <c r="O414">
        <v>1.2</v>
      </c>
      <c r="P414">
        <v>1.5</v>
      </c>
      <c r="Q414">
        <v>1.1000000000000001</v>
      </c>
      <c r="R414">
        <v>2</v>
      </c>
      <c r="S414">
        <v>1.2</v>
      </c>
      <c r="T414">
        <v>1.5</v>
      </c>
      <c r="U414">
        <f t="shared" si="19"/>
        <v>0.51215847306170115</v>
      </c>
    </row>
    <row r="415" spans="1:21" hidden="1" x14ac:dyDescent="0.2">
      <c r="A415" t="s">
        <v>406</v>
      </c>
      <c r="B415" s="52">
        <v>4.9000000000000002E-8</v>
      </c>
      <c r="C415" t="s">
        <v>56</v>
      </c>
      <c r="D415" t="s">
        <v>409</v>
      </c>
      <c r="F415" t="s">
        <v>99</v>
      </c>
      <c r="H415" t="s">
        <v>131</v>
      </c>
      <c r="I415" t="s">
        <v>410</v>
      </c>
      <c r="L415">
        <f t="shared" si="17"/>
        <v>2</v>
      </c>
      <c r="M415">
        <f t="shared" si="18"/>
        <v>-16.831445538835784</v>
      </c>
      <c r="N415">
        <v>1.5</v>
      </c>
      <c r="O415">
        <v>1.2</v>
      </c>
      <c r="P415">
        <v>1.5</v>
      </c>
      <c r="Q415">
        <v>1.1000000000000001</v>
      </c>
      <c r="R415">
        <v>2</v>
      </c>
      <c r="S415">
        <v>1.2</v>
      </c>
      <c r="T415">
        <v>1.5</v>
      </c>
      <c r="U415">
        <f t="shared" si="19"/>
        <v>0.51215847306170115</v>
      </c>
    </row>
    <row r="416" spans="1:21" hidden="1" x14ac:dyDescent="0.2">
      <c r="A416" t="s">
        <v>407</v>
      </c>
      <c r="B416" s="52">
        <v>4.9000000000000002E-8</v>
      </c>
      <c r="C416" t="s">
        <v>56</v>
      </c>
      <c r="D416" t="s">
        <v>409</v>
      </c>
      <c r="F416" t="s">
        <v>99</v>
      </c>
      <c r="H416" t="s">
        <v>131</v>
      </c>
      <c r="I416" t="s">
        <v>410</v>
      </c>
      <c r="L416">
        <f t="shared" si="17"/>
        <v>2</v>
      </c>
      <c r="M416">
        <f t="shared" si="18"/>
        <v>-16.831445538835784</v>
      </c>
      <c r="N416">
        <v>1.5</v>
      </c>
      <c r="O416">
        <v>1.2</v>
      </c>
      <c r="P416">
        <v>1.5</v>
      </c>
      <c r="Q416">
        <v>1.1000000000000001</v>
      </c>
      <c r="R416">
        <v>2</v>
      </c>
      <c r="S416">
        <v>1.2</v>
      </c>
      <c r="T416">
        <v>1.5</v>
      </c>
      <c r="U416">
        <f t="shared" si="19"/>
        <v>0.51215847306170115</v>
      </c>
    </row>
  </sheetData>
  <autoFilter ref="A1:U416" xr:uid="{C3F8B59D-02B8-ED44-8FBC-F0A60FD5A175}">
    <filterColumn colId="5">
      <filters>
        <filter val="production"/>
      </filters>
    </filterColumn>
    <filterColumn colId="10">
      <filters>
        <filter val="heat, residential, by combustion of synthetic natural gas from biological methanation using boiler, transported by pipeline, produced by Electrolysis, PEM using water and electricity from grid and carbon sourced from Cement plant"/>
        <filter val="heat, residential, by combustion of synthetic natural gas from biological methanation using boiler, transported by pipeline, produced by Electrolysis, PEM using water and electricity from grid and carbon sourced from DAC"/>
        <filter val="heat, residential, by combustion of synthetic natural gas from biological methanation using boiler, transported by pipeline, produced by Electrolysis, PEM using water and electricity from grid and carbon sourced from MSWI"/>
        <filter val="heat, residential, by combustion of synthetic natural gas from catalytic methanation using boiler, transported by pipeline, produced by Electrolysis, PEM using water and electricity from grid and carbon sourced from Cement plant"/>
        <filter val="heat, residential, by combustion of synthetic natural gas from catalytic methanation using boiler, transported by pipeline, produced by Electrolysis, PEM using water and electricity from grid and carbon sourced from DAC"/>
        <filter val="heat, residential, by combustion of synthetic natural gas from catalytic methanation using boiler, transported by pipeline, produced by Electrolysis, PEM using water and electricity from grid and carbon sourced from MSWI"/>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3950A-F7AC-F445-A405-3FC7C0AA3E12}">
  <dimension ref="A1:V1325"/>
  <sheetViews>
    <sheetView workbookViewId="0">
      <selection activeCell="B34" sqref="B34"/>
    </sheetView>
  </sheetViews>
  <sheetFormatPr baseColWidth="10" defaultRowHeight="16" x14ac:dyDescent="0.2"/>
  <cols>
    <col min="1" max="1" width="117" customWidth="1"/>
    <col min="2" max="2" width="12.1640625" bestFit="1" customWidth="1"/>
    <col min="9" max="9" width="15" customWidth="1"/>
    <col min="10" max="10" width="12.33203125" customWidth="1"/>
  </cols>
  <sheetData>
    <row r="1" spans="1:2" x14ac:dyDescent="0.2">
      <c r="A1" s="2" t="s">
        <v>50</v>
      </c>
      <c r="B1" s="44" t="str">
        <f>B11&amp;", transported by "&amp;B12&amp;", produced by "&amp;B16&amp;" using "&amp;B17&amp;" from "&amp;B18&amp;", and carbon from "&amp;B19</f>
        <v>methanol, transported by truck, produced by Electrolysis, PEM using water and electricity from grid, and carbon from DAC</v>
      </c>
    </row>
    <row r="2" spans="1:2" x14ac:dyDescent="0.2">
      <c r="A2" t="s">
        <v>51</v>
      </c>
      <c r="B2" s="45" t="str">
        <f>"This dataset represents the supply of 1 kilogram of methanol. The fuel is transported by "&amp;B12&amp;" over "&amp;B13&amp;" km from regional storage. "&amp;"The "&amp;B11&amp;" is produced by  "&amp;B16&amp;", with "&amp;B17&amp;" from "&amp;B18&amp;" as feedstock. "&amp;A20&amp;": "&amp;(B20*100)&amp;"%. "&amp;A21&amp;": "&amp;(B21*100)&amp;".  For more information, refer to: "&amp;B3</f>
        <v>This dataset represents the supply of 1 kilogram of methanol. The fuel is transported by truck over 200 km from regional storage. The methanol is produced by  Electrolysis, PEM, with water and electricity from grid as feedstock. Distribution loss [% output]: 0%. Regional storage loss [% output]: 0.  For more information, refer to: Sacchi, R. and Bauer, C. Life Cycle Assessment of Power-to-X processes and associated electricity and heat applications in the residential sector. Paul Scherrer Institut, 2023.</v>
      </c>
    </row>
    <row r="3" spans="1:2" x14ac:dyDescent="0.2">
      <c r="A3" t="s">
        <v>63</v>
      </c>
      <c r="B3" s="45" t="s">
        <v>1223</v>
      </c>
    </row>
    <row r="4" spans="1:2" x14ac:dyDescent="0.2">
      <c r="A4" t="s">
        <v>52</v>
      </c>
      <c r="B4" s="45" t="s">
        <v>64</v>
      </c>
    </row>
    <row r="5" spans="1:2" x14ac:dyDescent="0.2">
      <c r="A5" t="s">
        <v>48</v>
      </c>
      <c r="B5" s="45">
        <v>183</v>
      </c>
    </row>
    <row r="6" spans="1:2" x14ac:dyDescent="0.2">
      <c r="A6" t="s">
        <v>54</v>
      </c>
      <c r="B6" s="45" t="s">
        <v>1182</v>
      </c>
    </row>
    <row r="7" spans="1:2" x14ac:dyDescent="0.2">
      <c r="A7" t="s">
        <v>55</v>
      </c>
      <c r="B7" s="45" t="s">
        <v>56</v>
      </c>
    </row>
    <row r="8" spans="1:2" x14ac:dyDescent="0.2">
      <c r="A8" t="s">
        <v>0</v>
      </c>
      <c r="B8" s="45" t="str">
        <f>INDEX(overview!$B$4:$R$338,MATCH('methanol - supply'!B5,overview!$A$4:$A$338,0),MATCH('methanol - supply'!A8,overview!$B$3:$R$3,0))</f>
        <v>Switzerland</v>
      </c>
    </row>
    <row r="9" spans="1:2" x14ac:dyDescent="0.2">
      <c r="A9" t="s">
        <v>1</v>
      </c>
      <c r="B9" s="45">
        <f>INDEX(overview!$B$4:$R$338,MATCH('methanol - supply'!B5,overview!$A$4:$A$338,0),MATCH('methanol - supply'!A9,overview!$B$3:$R$3,0))</f>
        <v>2020</v>
      </c>
    </row>
    <row r="10" spans="1:2" x14ac:dyDescent="0.2">
      <c r="A10" t="s">
        <v>2</v>
      </c>
      <c r="B10" s="45" t="s">
        <v>1167</v>
      </c>
    </row>
    <row r="11" spans="1:2" x14ac:dyDescent="0.2">
      <c r="A11" t="s">
        <v>5</v>
      </c>
      <c r="B11" s="45" t="str">
        <f>INDEX(overview!$B$4:$R$338,MATCH('methanol - supply'!B5,overview!$A$4:$A$338,0),MATCH('methanol - supply'!A11,overview!$B$3:$R$3,0))</f>
        <v>methanol</v>
      </c>
    </row>
    <row r="12" spans="1:2" x14ac:dyDescent="0.2">
      <c r="A12" t="s">
        <v>4</v>
      </c>
      <c r="B12" s="45" t="str">
        <f>INDEX(overview!$B$4:$R$338,MATCH('methanol - supply'!B5,overview!$A$4:$A$338,0),MATCH('methanol - supply'!A12,overview!$B$3:$R$3,0))</f>
        <v>truck</v>
      </c>
    </row>
    <row r="13" spans="1:2" x14ac:dyDescent="0.2">
      <c r="A13" t="s">
        <v>38</v>
      </c>
      <c r="B13" s="45">
        <f>INDEX(overview!$B$4:$R$338,MATCH('methanol - supply'!B5,overview!$A$4:$A$338,0),MATCH('methanol - supply'!A13,overview!$B$3:$R$3,0))</f>
        <v>200</v>
      </c>
    </row>
    <row r="14" spans="1:2" x14ac:dyDescent="0.2">
      <c r="A14" t="s">
        <v>12</v>
      </c>
      <c r="B14" s="45" t="str">
        <f>INDEX(overview!$B$4:$R$338,MATCH('methanol - supply'!B5,overview!$A$4:$A$338,0),MATCH('methanol - supply'!A14,overview!$B$3:$R$3,0))</f>
        <v>Above surface pressure vessel</v>
      </c>
    </row>
    <row r="15" spans="1:2" x14ac:dyDescent="0.2">
      <c r="A15" t="s">
        <v>34</v>
      </c>
      <c r="B15" s="45" t="str">
        <f>INDEX(overview!$B$4:$R$338,MATCH('methanol - supply'!B5,overview!$A$4:$A$338,0),MATCH('methanol - supply'!A15,overview!$B$3:$R$3,0))</f>
        <v>biological</v>
      </c>
    </row>
    <row r="16" spans="1:2" x14ac:dyDescent="0.2">
      <c r="A16" t="s">
        <v>15</v>
      </c>
      <c r="B16" s="45" t="str">
        <f>INDEX(overview!$B$4:$R$338,MATCH('methanol - supply'!B5,overview!$A$4:$A$338,0),MATCH('methanol - supply'!A16,overview!$B$3:$R$3,0))</f>
        <v>Electrolysis, PEM</v>
      </c>
    </row>
    <row r="17" spans="1:22" x14ac:dyDescent="0.2">
      <c r="A17" t="s">
        <v>14</v>
      </c>
      <c r="B17" s="45" t="str">
        <f>INDEX(overview!$B$4:$R$338,MATCH('methanol - supply'!B5,overview!$A$4:$A$338,0),MATCH('methanol - supply'!A17,overview!$B$3:$R$3,0))</f>
        <v>water and electricity</v>
      </c>
    </row>
    <row r="18" spans="1:22" x14ac:dyDescent="0.2">
      <c r="A18" t="s">
        <v>26</v>
      </c>
      <c r="B18" s="45" t="str">
        <f>INDEX(overview!$B$4:$R$338,MATCH('methanol - supply'!B5,overview!$A$4:$A$338,0),MATCH('methanol - supply'!A18,overview!$B$3:$R$3,0))</f>
        <v>grid</v>
      </c>
    </row>
    <row r="19" spans="1:22" x14ac:dyDescent="0.2">
      <c r="A19" t="s">
        <v>29</v>
      </c>
      <c r="B19" s="45" t="str">
        <f>INDEX(overview!$B$4:$R$338,MATCH('methanol - supply'!B5,overview!$A$4:$A$338,0),MATCH('methanol - supply'!A19,overview!$B$3:$R$3,0))</f>
        <v>DAC</v>
      </c>
    </row>
    <row r="20" spans="1:22" x14ac:dyDescent="0.2">
      <c r="A20" t="s">
        <v>45</v>
      </c>
      <c r="B20" s="49">
        <v>0</v>
      </c>
    </row>
    <row r="21" spans="1:22" x14ac:dyDescent="0.2">
      <c r="A21" t="s">
        <v>1133</v>
      </c>
      <c r="B21" s="49">
        <v>0</v>
      </c>
    </row>
    <row r="22" spans="1:22" x14ac:dyDescent="0.2">
      <c r="A22" t="s">
        <v>82</v>
      </c>
      <c r="B22" s="46">
        <f>IF(B19&lt;&gt;0,VLOOKUP(B19,parameters!$A$26:$B$28,2,0),"")</f>
        <v>1</v>
      </c>
    </row>
    <row r="23" spans="1:22" x14ac:dyDescent="0.2">
      <c r="B23" s="45"/>
    </row>
    <row r="24" spans="1:22" x14ac:dyDescent="0.2">
      <c r="A24" s="3" t="s">
        <v>57</v>
      </c>
      <c r="B24" s="45"/>
    </row>
    <row r="25" spans="1:22" x14ac:dyDescent="0.2">
      <c r="A25" s="2" t="s">
        <v>58</v>
      </c>
      <c r="B25" s="44" t="s">
        <v>59</v>
      </c>
      <c r="C25" s="2" t="s">
        <v>55</v>
      </c>
      <c r="D25" s="2" t="s">
        <v>60</v>
      </c>
      <c r="E25" s="2" t="s">
        <v>52</v>
      </c>
      <c r="F25" s="2" t="s">
        <v>61</v>
      </c>
      <c r="G25" s="2" t="s">
        <v>54</v>
      </c>
      <c r="H25" s="2" t="s">
        <v>87</v>
      </c>
      <c r="I25" s="2" t="s">
        <v>51</v>
      </c>
      <c r="J25" s="2" t="s">
        <v>138</v>
      </c>
      <c r="K25" s="2" t="s">
        <v>136</v>
      </c>
      <c r="L25" s="2" t="s">
        <v>221</v>
      </c>
      <c r="M25" s="2" t="s">
        <v>379</v>
      </c>
      <c r="N25" s="2" t="s">
        <v>1059</v>
      </c>
      <c r="O25" s="2" t="s">
        <v>1060</v>
      </c>
      <c r="P25" s="2" t="s">
        <v>1061</v>
      </c>
      <c r="Q25" s="2" t="s">
        <v>1062</v>
      </c>
      <c r="R25" s="2" t="s">
        <v>1063</v>
      </c>
      <c r="S25" s="2" t="s">
        <v>1064</v>
      </c>
      <c r="T25" s="2" t="s">
        <v>1065</v>
      </c>
      <c r="U25" s="2" t="s">
        <v>380</v>
      </c>
      <c r="V25" s="2" t="s">
        <v>1128</v>
      </c>
    </row>
    <row r="26" spans="1:22" x14ac:dyDescent="0.2">
      <c r="A26" t="str">
        <f>B1</f>
        <v>methanol, transported by truck, produced by Electrolysis, PEM using water and electricity from grid, and carbon from DAC</v>
      </c>
      <c r="B26" s="45">
        <v>1</v>
      </c>
      <c r="C26" t="str">
        <f>B7</f>
        <v>kilogram</v>
      </c>
      <c r="E26" t="str">
        <f>B4</f>
        <v>CH</v>
      </c>
      <c r="F26" t="s">
        <v>62</v>
      </c>
      <c r="G26" t="str">
        <f>B6</f>
        <v>methanol, from truck</v>
      </c>
      <c r="K26" t="str">
        <f>B1</f>
        <v>methanol, transported by truck, produced by Electrolysis, PEM using water and electricity from grid, and carbon from DAC</v>
      </c>
    </row>
    <row r="27" spans="1:22" x14ac:dyDescent="0.2">
      <c r="A27" t="str">
        <f>VLOOKUP(J27,'dataset mapping'!$A$4:$E$69,2,0)</f>
        <v>methanol synthesis, hydrogen from electrolysis, CO2 from DAC</v>
      </c>
      <c r="B27" s="52">
        <v>1</v>
      </c>
      <c r="C27" t="str">
        <f>VLOOKUP(J27,'dataset mapping'!$A$4:$E$69,5,0)</f>
        <v>kilogram</v>
      </c>
      <c r="E27" t="str">
        <f>VLOOKUP(J27,'dataset mapping'!$A$4:$E$69,4,0)</f>
        <v>CH</v>
      </c>
      <c r="F27" t="s">
        <v>86</v>
      </c>
      <c r="G27" t="str">
        <f>VLOOKUP(J27,'dataset mapping'!$A$4:$E$69,3,0)</f>
        <v>methanol, unpurified</v>
      </c>
      <c r="H27" t="s">
        <v>77</v>
      </c>
      <c r="I27" t="s">
        <v>1055</v>
      </c>
      <c r="J27" t="s">
        <v>490</v>
      </c>
      <c r="K27" t="str">
        <f>B1</f>
        <v>methanol, transported by truck, produced by Electrolysis, PEM using water and electricity from grid, and carbon from DAC</v>
      </c>
      <c r="L27">
        <f t="shared" ref="L27:L37" si="0">IF(OR(B27&lt;0,B27=0),1,2)</f>
        <v>2</v>
      </c>
      <c r="M27">
        <f t="shared" ref="M27" si="1">IF(L27=2,LN(B27),"")</f>
        <v>0</v>
      </c>
      <c r="N27">
        <v>1.5</v>
      </c>
      <c r="O27">
        <v>1.2</v>
      </c>
      <c r="P27">
        <v>1.5</v>
      </c>
      <c r="Q27">
        <v>1.1000000000000001</v>
      </c>
      <c r="R27">
        <v>2</v>
      </c>
      <c r="S27">
        <v>1.2</v>
      </c>
      <c r="T27">
        <v>1.05</v>
      </c>
      <c r="U27">
        <f t="shared" ref="U27" si="2">LN(SQRT(EXP(
SQRT(
+POWER(LN(N27),2)
+POWER(LN(O27),2)
+POWER(LN(P27),2)
+POWER(LN(Q27),2)
+POWER(LN(R27),2)
+POWER(LN(S27),2)
+POWER(LN(T27),2)
)
)))</f>
        <v>0.47095746419981693</v>
      </c>
    </row>
    <row r="28" spans="1:22" x14ac:dyDescent="0.2">
      <c r="A28" t="s">
        <v>130</v>
      </c>
      <c r="B28" s="70">
        <v>6.7000000000000002E-3</v>
      </c>
      <c r="C28" t="s">
        <v>92</v>
      </c>
      <c r="E28" t="s">
        <v>64</v>
      </c>
      <c r="F28" t="s">
        <v>86</v>
      </c>
      <c r="G28" t="s">
        <v>93</v>
      </c>
      <c r="K28" t="str">
        <f>B1</f>
        <v>methanol, transported by truck, produced by Electrolysis, PEM using water and electricity from grid, and carbon from DAC</v>
      </c>
      <c r="L28">
        <f t="shared" si="0"/>
        <v>2</v>
      </c>
      <c r="M28">
        <f t="shared" ref="M28:M37" si="3">IF(L28=2,LN(B28),"")</f>
        <v>-5.005647752585217</v>
      </c>
      <c r="N28">
        <v>1.5</v>
      </c>
      <c r="O28">
        <v>1.2</v>
      </c>
      <c r="P28">
        <v>1.5</v>
      </c>
      <c r="Q28">
        <v>1.1000000000000001</v>
      </c>
      <c r="R28">
        <v>2</v>
      </c>
      <c r="S28">
        <v>1.2</v>
      </c>
      <c r="T28">
        <v>1.05</v>
      </c>
      <c r="U28">
        <f t="shared" ref="U28:U37" si="4">LN(SQRT(EXP(
SQRT(
+POWER(LN(N28),2)
+POWER(LN(O28),2)
+POWER(LN(P28),2)
+POWER(LN(Q28),2)
+POWER(LN(R28),2)
+POWER(LN(S28),2)
+POWER(LN(T28),2)
)
)))</f>
        <v>0.47095746419981693</v>
      </c>
    </row>
    <row r="29" spans="1:22" x14ac:dyDescent="0.2">
      <c r="A29" t="s">
        <v>1169</v>
      </c>
      <c r="B29" s="70">
        <v>-1.8499999999999999E-5</v>
      </c>
      <c r="C29" t="s">
        <v>56</v>
      </c>
      <c r="E29" t="s">
        <v>64</v>
      </c>
      <c r="F29" t="s">
        <v>86</v>
      </c>
      <c r="G29" t="s">
        <v>1173</v>
      </c>
      <c r="K29" t="str">
        <f>B1</f>
        <v>methanol, transported by truck, produced by Electrolysis, PEM using water and electricity from grid, and carbon from DAC</v>
      </c>
      <c r="L29">
        <v>2</v>
      </c>
      <c r="M29">
        <f>IF(L29=2,LN(-B29),"")</f>
        <v>-10.897739825879995</v>
      </c>
      <c r="N29">
        <v>1.5</v>
      </c>
      <c r="O29">
        <v>1.2</v>
      </c>
      <c r="P29">
        <v>1.5</v>
      </c>
      <c r="Q29">
        <v>1.1000000000000001</v>
      </c>
      <c r="R29">
        <v>2</v>
      </c>
      <c r="S29">
        <v>1.2</v>
      </c>
      <c r="T29">
        <v>1.05</v>
      </c>
      <c r="U29">
        <f t="shared" si="4"/>
        <v>0.47095746419981693</v>
      </c>
      <c r="V29" t="b">
        <v>1</v>
      </c>
    </row>
    <row r="30" spans="1:22" x14ac:dyDescent="0.2">
      <c r="A30" t="s">
        <v>1170</v>
      </c>
      <c r="B30" s="52">
        <v>1.04E-10</v>
      </c>
      <c r="C30" t="s">
        <v>55</v>
      </c>
      <c r="E30" t="s">
        <v>90</v>
      </c>
      <c r="F30" t="s">
        <v>86</v>
      </c>
      <c r="G30" t="s">
        <v>1174</v>
      </c>
      <c r="K30" t="str">
        <f>B1</f>
        <v>methanol, transported by truck, produced by Electrolysis, PEM using water and electricity from grid, and carbon from DAC</v>
      </c>
      <c r="L30">
        <f t="shared" si="0"/>
        <v>2</v>
      </c>
      <c r="M30">
        <f t="shared" si="3"/>
        <v>-22.986630216787177</v>
      </c>
      <c r="N30">
        <v>1.5</v>
      </c>
      <c r="O30">
        <v>1.2</v>
      </c>
      <c r="P30">
        <v>1.5</v>
      </c>
      <c r="Q30">
        <v>1.1000000000000001</v>
      </c>
      <c r="R30">
        <v>2</v>
      </c>
      <c r="S30">
        <v>1.2</v>
      </c>
      <c r="T30">
        <v>1.05</v>
      </c>
      <c r="U30">
        <f t="shared" si="4"/>
        <v>0.47095746419981693</v>
      </c>
    </row>
    <row r="31" spans="1:22" x14ac:dyDescent="0.2">
      <c r="A31" t="s">
        <v>1171</v>
      </c>
      <c r="B31" s="52">
        <v>-6.2700000000000001E-6</v>
      </c>
      <c r="C31" t="s">
        <v>56</v>
      </c>
      <c r="E31" t="s">
        <v>64</v>
      </c>
      <c r="F31" t="s">
        <v>86</v>
      </c>
      <c r="G31" t="s">
        <v>1175</v>
      </c>
      <c r="K31" t="str">
        <f>B1</f>
        <v>methanol, transported by truck, produced by Electrolysis, PEM using water and electricity from grid, and carbon from DAC</v>
      </c>
      <c r="L31">
        <v>2</v>
      </c>
      <c r="M31">
        <f>IF(L31=2,LN(-B31),"")</f>
        <v>-11.979734203319445</v>
      </c>
      <c r="N31">
        <v>1.5</v>
      </c>
      <c r="O31">
        <v>1.2</v>
      </c>
      <c r="P31">
        <v>1.5</v>
      </c>
      <c r="Q31">
        <v>1.1000000000000001</v>
      </c>
      <c r="R31">
        <v>2</v>
      </c>
      <c r="S31">
        <v>1.2</v>
      </c>
      <c r="T31">
        <v>1.05</v>
      </c>
      <c r="U31">
        <f t="shared" si="4"/>
        <v>0.47095746419981693</v>
      </c>
      <c r="V31" t="b">
        <v>1</v>
      </c>
    </row>
    <row r="32" spans="1:22" x14ac:dyDescent="0.2">
      <c r="A32" t="s">
        <v>1172</v>
      </c>
      <c r="B32" s="52">
        <v>-5.0000000000000002E-5</v>
      </c>
      <c r="C32" t="s">
        <v>120</v>
      </c>
      <c r="E32" t="s">
        <v>64</v>
      </c>
      <c r="F32" t="s">
        <v>86</v>
      </c>
      <c r="G32" t="s">
        <v>1176</v>
      </c>
      <c r="K32" t="str">
        <f>B1</f>
        <v>methanol, transported by truck, produced by Electrolysis, PEM using water and electricity from grid, and carbon from DAC</v>
      </c>
      <c r="L32">
        <v>2</v>
      </c>
      <c r="M32">
        <f>IF(L32=2,LN(-B32),"")</f>
        <v>-9.9034875525361272</v>
      </c>
      <c r="N32">
        <v>1.5</v>
      </c>
      <c r="O32">
        <v>1.2</v>
      </c>
      <c r="P32">
        <v>1.5</v>
      </c>
      <c r="Q32">
        <v>1.1000000000000001</v>
      </c>
      <c r="R32">
        <v>2</v>
      </c>
      <c r="S32">
        <v>1.2</v>
      </c>
      <c r="T32">
        <v>1.05</v>
      </c>
      <c r="U32">
        <f t="shared" si="4"/>
        <v>0.47095746419981693</v>
      </c>
      <c r="V32" t="b">
        <v>1</v>
      </c>
    </row>
    <row r="33" spans="1:22" x14ac:dyDescent="0.2">
      <c r="A33" t="s">
        <v>288</v>
      </c>
      <c r="B33" s="52">
        <v>6.8900000000000005E-4</v>
      </c>
      <c r="C33" t="s">
        <v>56</v>
      </c>
      <c r="E33" t="s">
        <v>64</v>
      </c>
      <c r="F33" t="s">
        <v>86</v>
      </c>
      <c r="G33" t="s">
        <v>287</v>
      </c>
      <c r="K33" t="str">
        <f>B1</f>
        <v>methanol, transported by truck, produced by Electrolysis, PEM using water and electricity from grid, and carbon from DAC</v>
      </c>
      <c r="L33">
        <f t="shared" si="0"/>
        <v>2</v>
      </c>
      <c r="M33">
        <f t="shared" si="3"/>
        <v>-7.2802692869506158</v>
      </c>
      <c r="N33">
        <v>1.5</v>
      </c>
      <c r="O33">
        <v>1.2</v>
      </c>
      <c r="P33">
        <v>1.5</v>
      </c>
      <c r="Q33">
        <v>1.1000000000000001</v>
      </c>
      <c r="R33">
        <v>2</v>
      </c>
      <c r="S33">
        <v>1.2</v>
      </c>
      <c r="T33">
        <v>1.05</v>
      </c>
      <c r="U33">
        <f t="shared" si="4"/>
        <v>0.47095746419981693</v>
      </c>
    </row>
    <row r="34" spans="1:22" x14ac:dyDescent="0.2">
      <c r="A34" t="s">
        <v>182</v>
      </c>
      <c r="B34" s="52">
        <f>B27/1000*B13</f>
        <v>0.2</v>
      </c>
      <c r="C34" t="s">
        <v>123</v>
      </c>
      <c r="E34" t="s">
        <v>90</v>
      </c>
      <c r="F34" t="s">
        <v>86</v>
      </c>
      <c r="G34" t="s">
        <v>183</v>
      </c>
      <c r="K34" t="str">
        <f>B1</f>
        <v>methanol, transported by truck, produced by Electrolysis, PEM using water and electricity from grid, and carbon from DAC</v>
      </c>
      <c r="L34">
        <f t="shared" si="0"/>
        <v>2</v>
      </c>
      <c r="M34">
        <f t="shared" si="3"/>
        <v>-1.6094379124341003</v>
      </c>
      <c r="N34">
        <v>1.5</v>
      </c>
      <c r="O34">
        <v>1.2</v>
      </c>
      <c r="P34">
        <v>1.5</v>
      </c>
      <c r="Q34">
        <v>1.1000000000000001</v>
      </c>
      <c r="R34">
        <v>2</v>
      </c>
      <c r="S34">
        <v>1.2</v>
      </c>
      <c r="T34">
        <v>1.05</v>
      </c>
      <c r="U34">
        <f t="shared" si="4"/>
        <v>0.47095746419981693</v>
      </c>
    </row>
    <row r="35" spans="1:22" x14ac:dyDescent="0.2">
      <c r="A35" t="s">
        <v>642</v>
      </c>
      <c r="B35" s="52">
        <v>-6.8899999999999999E-7</v>
      </c>
      <c r="C35" t="s">
        <v>120</v>
      </c>
      <c r="E35" t="s">
        <v>64</v>
      </c>
      <c r="F35" t="s">
        <v>86</v>
      </c>
      <c r="G35" t="s">
        <v>243</v>
      </c>
      <c r="K35" t="str">
        <f>B1</f>
        <v>methanol, transported by truck, produced by Electrolysis, PEM using water and electricity from grid, and carbon from DAC</v>
      </c>
      <c r="L35">
        <v>2</v>
      </c>
      <c r="M35">
        <f>IF(L35=2,LN(-B35),"")</f>
        <v>-14.188024565932752</v>
      </c>
      <c r="N35">
        <v>1.5</v>
      </c>
      <c r="O35">
        <v>1.2</v>
      </c>
      <c r="P35">
        <v>1.5</v>
      </c>
      <c r="Q35">
        <v>1.1000000000000001</v>
      </c>
      <c r="R35">
        <v>2</v>
      </c>
      <c r="S35">
        <v>1.2</v>
      </c>
      <c r="T35">
        <v>1.05</v>
      </c>
      <c r="U35">
        <f t="shared" si="4"/>
        <v>0.47095746419981693</v>
      </c>
      <c r="V35" t="b">
        <v>1</v>
      </c>
    </row>
    <row r="36" spans="1:22" x14ac:dyDescent="0.2">
      <c r="A36" t="s">
        <v>134</v>
      </c>
      <c r="B36" s="52">
        <v>1.0335E-7</v>
      </c>
      <c r="C36" t="s">
        <v>120</v>
      </c>
      <c r="D36" t="s">
        <v>100</v>
      </c>
      <c r="F36" t="s">
        <v>99</v>
      </c>
      <c r="K36" t="str">
        <f>B1</f>
        <v>methanol, transported by truck, produced by Electrolysis, PEM using water and electricity from grid, and carbon from DAC</v>
      </c>
      <c r="L36">
        <f t="shared" si="0"/>
        <v>2</v>
      </c>
      <c r="M36">
        <f t="shared" si="3"/>
        <v>-16.085144550818633</v>
      </c>
      <c r="N36">
        <v>1.5</v>
      </c>
      <c r="O36">
        <v>1.2</v>
      </c>
      <c r="P36">
        <v>1.5</v>
      </c>
      <c r="Q36">
        <v>1.1000000000000001</v>
      </c>
      <c r="R36">
        <v>2</v>
      </c>
      <c r="S36">
        <v>1.2</v>
      </c>
      <c r="T36">
        <v>1.05</v>
      </c>
      <c r="U36">
        <f t="shared" si="4"/>
        <v>0.47095746419981693</v>
      </c>
    </row>
    <row r="37" spans="1:22" x14ac:dyDescent="0.2">
      <c r="A37" t="s">
        <v>134</v>
      </c>
      <c r="B37" s="52">
        <v>5.8564999999999995E-7</v>
      </c>
      <c r="C37" t="s">
        <v>120</v>
      </c>
      <c r="D37" t="s">
        <v>1177</v>
      </c>
      <c r="F37" t="s">
        <v>99</v>
      </c>
      <c r="K37" t="str">
        <f>B1</f>
        <v>methanol, transported by truck, produced by Electrolysis, PEM using water and electricity from grid, and carbon from DAC</v>
      </c>
      <c r="L37">
        <f t="shared" si="0"/>
        <v>2</v>
      </c>
      <c r="M37">
        <f t="shared" si="3"/>
        <v>-14.350543495430527</v>
      </c>
      <c r="N37">
        <v>1.5</v>
      </c>
      <c r="O37">
        <v>1.2</v>
      </c>
      <c r="P37">
        <v>1.5</v>
      </c>
      <c r="Q37">
        <v>1.1000000000000001</v>
      </c>
      <c r="R37">
        <v>2</v>
      </c>
      <c r="S37">
        <v>1.2</v>
      </c>
      <c r="T37">
        <v>1.05</v>
      </c>
      <c r="U37">
        <f t="shared" si="4"/>
        <v>0.47095746419981693</v>
      </c>
    </row>
    <row r="38" spans="1:22" x14ac:dyDescent="0.2">
      <c r="B38" s="45"/>
    </row>
    <row r="39" spans="1:22" x14ac:dyDescent="0.2">
      <c r="A39" s="2" t="s">
        <v>50</v>
      </c>
      <c r="B39" s="44" t="str">
        <f>B49&amp;", transported by "&amp;B50&amp;", produced by "&amp;B54&amp;" using "&amp;B55&amp;" from "&amp;B56&amp;", and carbon from "&amp;B57</f>
        <v>methanol, transported by truck, produced by Electrolysis, PEM using water and electricity from grid, and carbon from MSWI</v>
      </c>
    </row>
    <row r="40" spans="1:22" x14ac:dyDescent="0.2">
      <c r="A40" t="s">
        <v>51</v>
      </c>
      <c r="B40" s="45" t="str">
        <f>"This dataset represents the supply of 1 kilogram of methanol. The fuel is transported by "&amp;B50&amp;" over "&amp;B51&amp;" km from regional storage. "&amp;"The "&amp;B49&amp;" is produced by  "&amp;B54&amp;", with "&amp;B55&amp;" from "&amp;B56&amp;" as feedstock. "&amp;A58&amp;": "&amp;(B58*100)&amp;"%. "&amp;A59&amp;": "&amp;(B59*100)&amp;".  For more information, refer to: "&amp;B41</f>
        <v>This dataset represents the supply of 1 kilogram of methanol. The fuel is transported by truck over 200 km from regional storage. The methanol is produced by  Electrolysis, PEM, with water and electricity from grid as feedstock. Distribution loss [% output]: 0%. Regional storage loss [% output]: 0.  For more information, refer to: Sacchi, R. and Bauer, C. Life Cycle Assessment of Power-to-X processes and associated electricity and heat applications in the residential sector. Paul Scherrer Institut, 2023.</v>
      </c>
    </row>
    <row r="41" spans="1:22" x14ac:dyDescent="0.2">
      <c r="A41" t="s">
        <v>63</v>
      </c>
      <c r="B41" s="45" t="s">
        <v>1223</v>
      </c>
    </row>
    <row r="42" spans="1:22" x14ac:dyDescent="0.2">
      <c r="A42" t="s">
        <v>52</v>
      </c>
      <c r="B42" s="45" t="s">
        <v>64</v>
      </c>
    </row>
    <row r="43" spans="1:22" x14ac:dyDescent="0.2">
      <c r="A43" t="s">
        <v>48</v>
      </c>
      <c r="B43" s="45">
        <v>184</v>
      </c>
    </row>
    <row r="44" spans="1:22" x14ac:dyDescent="0.2">
      <c r="A44" t="s">
        <v>54</v>
      </c>
      <c r="B44" s="45" t="s">
        <v>1182</v>
      </c>
    </row>
    <row r="45" spans="1:22" x14ac:dyDescent="0.2">
      <c r="A45" t="s">
        <v>55</v>
      </c>
      <c r="B45" s="45" t="s">
        <v>56</v>
      </c>
    </row>
    <row r="46" spans="1:22" x14ac:dyDescent="0.2">
      <c r="A46" t="s">
        <v>0</v>
      </c>
      <c r="B46" s="45" t="str">
        <f>INDEX(overview!$B$4:$R$338,MATCH('methanol - supply'!B43,overview!$A$4:$A$338,0),MATCH('methanol - supply'!A46,overview!$B$3:$R$3,0))</f>
        <v>Switzerland</v>
      </c>
    </row>
    <row r="47" spans="1:22" x14ac:dyDescent="0.2">
      <c r="A47" t="s">
        <v>1</v>
      </c>
      <c r="B47" s="45">
        <f>INDEX(overview!$B$4:$R$338,MATCH('methanol - supply'!B43,overview!$A$4:$A$338,0),MATCH('methanol - supply'!A47,overview!$B$3:$R$3,0))</f>
        <v>2020</v>
      </c>
    </row>
    <row r="48" spans="1:22" x14ac:dyDescent="0.2">
      <c r="A48" t="s">
        <v>2</v>
      </c>
      <c r="B48" s="45" t="s">
        <v>1167</v>
      </c>
    </row>
    <row r="49" spans="1:22" x14ac:dyDescent="0.2">
      <c r="A49" t="s">
        <v>5</v>
      </c>
      <c r="B49" s="45" t="str">
        <f>INDEX(overview!$B$4:$R$338,MATCH('methanol - supply'!B43,overview!$A$4:$A$338,0),MATCH('methanol - supply'!A49,overview!$B$3:$R$3,0))</f>
        <v>methanol</v>
      </c>
    </row>
    <row r="50" spans="1:22" x14ac:dyDescent="0.2">
      <c r="A50" t="s">
        <v>4</v>
      </c>
      <c r="B50" s="45" t="str">
        <f>INDEX(overview!$B$4:$R$338,MATCH('methanol - supply'!B43,overview!$A$4:$A$338,0),MATCH('methanol - supply'!A50,overview!$B$3:$R$3,0))</f>
        <v>truck</v>
      </c>
    </row>
    <row r="51" spans="1:22" x14ac:dyDescent="0.2">
      <c r="A51" t="s">
        <v>38</v>
      </c>
      <c r="B51" s="45">
        <f>INDEX(overview!$B$4:$R$338,MATCH('methanol - supply'!B43,overview!$A$4:$A$338,0),MATCH('methanol - supply'!A51,overview!$B$3:$R$3,0))</f>
        <v>200</v>
      </c>
    </row>
    <row r="52" spans="1:22" x14ac:dyDescent="0.2">
      <c r="A52" t="s">
        <v>12</v>
      </c>
      <c r="B52" s="45" t="str">
        <f>INDEX(overview!$B$4:$R$338,MATCH('methanol - supply'!B43,overview!$A$4:$A$338,0),MATCH('methanol - supply'!A52,overview!$B$3:$R$3,0))</f>
        <v>Above surface pressure vessel</v>
      </c>
    </row>
    <row r="53" spans="1:22" x14ac:dyDescent="0.2">
      <c r="A53" t="s">
        <v>34</v>
      </c>
      <c r="B53" s="45" t="str">
        <f>INDEX(overview!$B$4:$R$338,MATCH('methanol - supply'!B43,overview!$A$4:$A$338,0),MATCH('methanol - supply'!A53,overview!$B$3:$R$3,0))</f>
        <v>biological</v>
      </c>
    </row>
    <row r="54" spans="1:22" x14ac:dyDescent="0.2">
      <c r="A54" t="s">
        <v>15</v>
      </c>
      <c r="B54" s="45" t="str">
        <f>INDEX(overview!$B$4:$R$338,MATCH('methanol - supply'!B43,overview!$A$4:$A$338,0),MATCH('methanol - supply'!A54,overview!$B$3:$R$3,0))</f>
        <v>Electrolysis, PEM</v>
      </c>
    </row>
    <row r="55" spans="1:22" x14ac:dyDescent="0.2">
      <c r="A55" t="s">
        <v>14</v>
      </c>
      <c r="B55" s="45" t="str">
        <f>INDEX(overview!$B$4:$R$338,MATCH('methanol - supply'!B43,overview!$A$4:$A$338,0),MATCH('methanol - supply'!A55,overview!$B$3:$R$3,0))</f>
        <v>water and electricity</v>
      </c>
    </row>
    <row r="56" spans="1:22" x14ac:dyDescent="0.2">
      <c r="A56" t="s">
        <v>26</v>
      </c>
      <c r="B56" s="45" t="str">
        <f>INDEX(overview!$B$4:$R$338,MATCH('methanol - supply'!B43,overview!$A$4:$A$338,0),MATCH('methanol - supply'!A56,overview!$B$3:$R$3,0))</f>
        <v>grid</v>
      </c>
    </row>
    <row r="57" spans="1:22" x14ac:dyDescent="0.2">
      <c r="A57" t="s">
        <v>29</v>
      </c>
      <c r="B57" s="45" t="str">
        <f>INDEX(overview!$B$4:$R$338,MATCH('methanol - supply'!B43,overview!$A$4:$A$338,0),MATCH('methanol - supply'!A57,overview!$B$3:$R$3,0))</f>
        <v>MSWI</v>
      </c>
    </row>
    <row r="58" spans="1:22" x14ac:dyDescent="0.2">
      <c r="A58" t="s">
        <v>45</v>
      </c>
      <c r="B58" s="49">
        <v>0</v>
      </c>
    </row>
    <row r="59" spans="1:22" x14ac:dyDescent="0.2">
      <c r="A59" t="s">
        <v>1133</v>
      </c>
      <c r="B59" s="49">
        <v>0</v>
      </c>
    </row>
    <row r="60" spans="1:22" x14ac:dyDescent="0.2">
      <c r="A60" t="s">
        <v>82</v>
      </c>
      <c r="B60" s="46">
        <f>IF(B57&lt;&gt;0,VLOOKUP(B57,parameters!$A$26:$B$28,2,0),"")</f>
        <v>0.61363636363636365</v>
      </c>
    </row>
    <row r="61" spans="1:22" x14ac:dyDescent="0.2">
      <c r="B61" s="45"/>
    </row>
    <row r="62" spans="1:22" x14ac:dyDescent="0.2">
      <c r="A62" s="3" t="s">
        <v>57</v>
      </c>
      <c r="B62" s="45"/>
    </row>
    <row r="63" spans="1:22" x14ac:dyDescent="0.2">
      <c r="A63" s="2" t="s">
        <v>58</v>
      </c>
      <c r="B63" s="44" t="s">
        <v>59</v>
      </c>
      <c r="C63" s="2" t="s">
        <v>55</v>
      </c>
      <c r="D63" s="2" t="s">
        <v>60</v>
      </c>
      <c r="E63" s="2" t="s">
        <v>52</v>
      </c>
      <c r="F63" s="2" t="s">
        <v>61</v>
      </c>
      <c r="G63" s="2" t="s">
        <v>54</v>
      </c>
      <c r="H63" s="2" t="s">
        <v>87</v>
      </c>
      <c r="I63" s="2" t="s">
        <v>51</v>
      </c>
      <c r="J63" s="2" t="s">
        <v>138</v>
      </c>
      <c r="K63" s="2" t="s">
        <v>136</v>
      </c>
      <c r="L63" s="2" t="s">
        <v>221</v>
      </c>
      <c r="M63" s="2" t="s">
        <v>379</v>
      </c>
      <c r="N63" s="2" t="s">
        <v>1059</v>
      </c>
      <c r="O63" s="2" t="s">
        <v>1060</v>
      </c>
      <c r="P63" s="2" t="s">
        <v>1061</v>
      </c>
      <c r="Q63" s="2" t="s">
        <v>1062</v>
      </c>
      <c r="R63" s="2" t="s">
        <v>1063</v>
      </c>
      <c r="S63" s="2" t="s">
        <v>1064</v>
      </c>
      <c r="T63" s="2" t="s">
        <v>1065</v>
      </c>
      <c r="U63" s="2" t="s">
        <v>380</v>
      </c>
      <c r="V63" s="2" t="s">
        <v>1128</v>
      </c>
    </row>
    <row r="64" spans="1:22" x14ac:dyDescent="0.2">
      <c r="A64" t="str">
        <f>B39</f>
        <v>methanol, transported by truck, produced by Electrolysis, PEM using water and electricity from grid, and carbon from MSWI</v>
      </c>
      <c r="B64" s="45">
        <v>1</v>
      </c>
      <c r="C64" t="str">
        <f>B45</f>
        <v>kilogram</v>
      </c>
      <c r="E64" t="str">
        <f>B42</f>
        <v>CH</v>
      </c>
      <c r="F64" t="s">
        <v>62</v>
      </c>
      <c r="G64" t="str">
        <f>B44</f>
        <v>methanol, from truck</v>
      </c>
      <c r="K64" t="str">
        <f>B39</f>
        <v>methanol, transported by truck, produced by Electrolysis, PEM using water and electricity from grid, and carbon from MSWI</v>
      </c>
    </row>
    <row r="65" spans="1:22" x14ac:dyDescent="0.2">
      <c r="A65" t="str">
        <f>VLOOKUP(J65,'dataset mapping'!$A$4:$E$69,2,0)</f>
        <v>methanol synthesis, hydrogen from electrolysis, CO2 from MSWI</v>
      </c>
      <c r="B65" s="52">
        <v>1</v>
      </c>
      <c r="C65" t="str">
        <f>VLOOKUP(J65,'dataset mapping'!$A$4:$E$69,5,0)</f>
        <v>kilogram</v>
      </c>
      <c r="E65" t="str">
        <f>VLOOKUP(J65,'dataset mapping'!$A$4:$E$69,4,0)</f>
        <v>CH</v>
      </c>
      <c r="F65" t="s">
        <v>86</v>
      </c>
      <c r="G65" t="str">
        <f>VLOOKUP(J65,'dataset mapping'!$A$4:$E$69,3,0)</f>
        <v>methanol, unpurified</v>
      </c>
      <c r="H65" t="s">
        <v>77</v>
      </c>
      <c r="I65" t="s">
        <v>1055</v>
      </c>
      <c r="J65" t="s">
        <v>491</v>
      </c>
      <c r="K65" t="str">
        <f>B39</f>
        <v>methanol, transported by truck, produced by Electrolysis, PEM using water and electricity from grid, and carbon from MSWI</v>
      </c>
      <c r="L65">
        <f t="shared" ref="L65:L66" si="5">IF(OR(B65&lt;0,B65=0),1,2)</f>
        <v>2</v>
      </c>
      <c r="M65">
        <f t="shared" ref="M65:M66" si="6">IF(L65=2,LN(B65),"")</f>
        <v>0</v>
      </c>
      <c r="N65">
        <v>1.5</v>
      </c>
      <c r="O65">
        <v>1.2</v>
      </c>
      <c r="P65">
        <v>1.5</v>
      </c>
      <c r="Q65">
        <v>1.1000000000000001</v>
      </c>
      <c r="R65">
        <v>2</v>
      </c>
      <c r="S65">
        <v>1.2</v>
      </c>
      <c r="T65">
        <v>1.05</v>
      </c>
      <c r="U65">
        <f t="shared" ref="U65:U75" si="7">LN(SQRT(EXP(
SQRT(
+POWER(LN(N65),2)
+POWER(LN(O65),2)
+POWER(LN(P65),2)
+POWER(LN(Q65),2)
+POWER(LN(R65),2)
+POWER(LN(S65),2)
+POWER(LN(T65),2)
)
)))</f>
        <v>0.47095746419981693</v>
      </c>
    </row>
    <row r="66" spans="1:22" x14ac:dyDescent="0.2">
      <c r="A66" t="s">
        <v>130</v>
      </c>
      <c r="B66" s="70">
        <v>6.7000000000000002E-3</v>
      </c>
      <c r="C66" t="s">
        <v>92</v>
      </c>
      <c r="E66" t="s">
        <v>64</v>
      </c>
      <c r="F66" t="s">
        <v>86</v>
      </c>
      <c r="G66" t="s">
        <v>93</v>
      </c>
      <c r="K66" t="str">
        <f>B39</f>
        <v>methanol, transported by truck, produced by Electrolysis, PEM using water and electricity from grid, and carbon from MSWI</v>
      </c>
      <c r="L66">
        <f t="shared" si="5"/>
        <v>2</v>
      </c>
      <c r="M66">
        <f t="shared" si="6"/>
        <v>-5.005647752585217</v>
      </c>
      <c r="N66">
        <v>1.5</v>
      </c>
      <c r="O66">
        <v>1.2</v>
      </c>
      <c r="P66">
        <v>1.5</v>
      </c>
      <c r="Q66">
        <v>1.1000000000000001</v>
      </c>
      <c r="R66">
        <v>2</v>
      </c>
      <c r="S66">
        <v>1.2</v>
      </c>
      <c r="T66">
        <v>1.05</v>
      </c>
      <c r="U66">
        <f t="shared" si="7"/>
        <v>0.47095746419981693</v>
      </c>
    </row>
    <row r="67" spans="1:22" x14ac:dyDescent="0.2">
      <c r="A67" t="s">
        <v>1169</v>
      </c>
      <c r="B67" s="70">
        <v>-1.8499999999999999E-5</v>
      </c>
      <c r="C67" t="s">
        <v>56</v>
      </c>
      <c r="E67" t="s">
        <v>64</v>
      </c>
      <c r="F67" t="s">
        <v>86</v>
      </c>
      <c r="G67" t="s">
        <v>1173</v>
      </c>
      <c r="K67" t="str">
        <f>B39</f>
        <v>methanol, transported by truck, produced by Electrolysis, PEM using water and electricity from grid, and carbon from MSWI</v>
      </c>
      <c r="L67">
        <v>2</v>
      </c>
      <c r="M67">
        <f>IF(L67=2,LN(-B67),"")</f>
        <v>-10.897739825879995</v>
      </c>
      <c r="N67">
        <v>1.5</v>
      </c>
      <c r="O67">
        <v>1.2</v>
      </c>
      <c r="P67">
        <v>1.5</v>
      </c>
      <c r="Q67">
        <v>1.1000000000000001</v>
      </c>
      <c r="R67">
        <v>2</v>
      </c>
      <c r="S67">
        <v>1.2</v>
      </c>
      <c r="T67">
        <v>1.05</v>
      </c>
      <c r="U67">
        <f t="shared" si="7"/>
        <v>0.47095746419981693</v>
      </c>
      <c r="V67" t="b">
        <v>1</v>
      </c>
    </row>
    <row r="68" spans="1:22" x14ac:dyDescent="0.2">
      <c r="A68" t="s">
        <v>1170</v>
      </c>
      <c r="B68" s="52">
        <v>1.04E-10</v>
      </c>
      <c r="C68" t="s">
        <v>55</v>
      </c>
      <c r="E68" t="s">
        <v>90</v>
      </c>
      <c r="F68" t="s">
        <v>86</v>
      </c>
      <c r="G68" t="s">
        <v>1174</v>
      </c>
      <c r="K68" t="str">
        <f>B39</f>
        <v>methanol, transported by truck, produced by Electrolysis, PEM using water and electricity from grid, and carbon from MSWI</v>
      </c>
      <c r="L68">
        <f t="shared" ref="L68" si="8">IF(OR(B68&lt;0,B68=0),1,2)</f>
        <v>2</v>
      </c>
      <c r="M68">
        <f t="shared" ref="M68" si="9">IF(L68=2,LN(B68),"")</f>
        <v>-22.986630216787177</v>
      </c>
      <c r="N68">
        <v>1.5</v>
      </c>
      <c r="O68">
        <v>1.2</v>
      </c>
      <c r="P68">
        <v>1.5</v>
      </c>
      <c r="Q68">
        <v>1.1000000000000001</v>
      </c>
      <c r="R68">
        <v>2</v>
      </c>
      <c r="S68">
        <v>1.2</v>
      </c>
      <c r="T68">
        <v>1.05</v>
      </c>
      <c r="U68">
        <f t="shared" si="7"/>
        <v>0.47095746419981693</v>
      </c>
    </row>
    <row r="69" spans="1:22" x14ac:dyDescent="0.2">
      <c r="A69" t="s">
        <v>1171</v>
      </c>
      <c r="B69" s="52">
        <v>-6.2700000000000001E-6</v>
      </c>
      <c r="C69" t="s">
        <v>56</v>
      </c>
      <c r="E69" t="s">
        <v>64</v>
      </c>
      <c r="F69" t="s">
        <v>86</v>
      </c>
      <c r="G69" t="s">
        <v>1175</v>
      </c>
      <c r="K69" t="str">
        <f>B39</f>
        <v>methanol, transported by truck, produced by Electrolysis, PEM using water and electricity from grid, and carbon from MSWI</v>
      </c>
      <c r="L69">
        <v>2</v>
      </c>
      <c r="M69">
        <f>IF(L69=2,LN(-B69),"")</f>
        <v>-11.979734203319445</v>
      </c>
      <c r="N69">
        <v>1.5</v>
      </c>
      <c r="O69">
        <v>1.2</v>
      </c>
      <c r="P69">
        <v>1.5</v>
      </c>
      <c r="Q69">
        <v>1.1000000000000001</v>
      </c>
      <c r="R69">
        <v>2</v>
      </c>
      <c r="S69">
        <v>1.2</v>
      </c>
      <c r="T69">
        <v>1.05</v>
      </c>
      <c r="U69">
        <f t="shared" si="7"/>
        <v>0.47095746419981693</v>
      </c>
      <c r="V69" t="b">
        <v>1</v>
      </c>
    </row>
    <row r="70" spans="1:22" x14ac:dyDescent="0.2">
      <c r="A70" t="s">
        <v>1172</v>
      </c>
      <c r="B70" s="52">
        <v>-5.0000000000000002E-5</v>
      </c>
      <c r="C70" t="s">
        <v>120</v>
      </c>
      <c r="E70" t="s">
        <v>64</v>
      </c>
      <c r="F70" t="s">
        <v>86</v>
      </c>
      <c r="G70" t="s">
        <v>1176</v>
      </c>
      <c r="K70" t="str">
        <f>B39</f>
        <v>methanol, transported by truck, produced by Electrolysis, PEM using water and electricity from grid, and carbon from MSWI</v>
      </c>
      <c r="L70">
        <v>2</v>
      </c>
      <c r="M70">
        <f>IF(L70=2,LN(-B70),"")</f>
        <v>-9.9034875525361272</v>
      </c>
      <c r="N70">
        <v>1.5</v>
      </c>
      <c r="O70">
        <v>1.2</v>
      </c>
      <c r="P70">
        <v>1.5</v>
      </c>
      <c r="Q70">
        <v>1.1000000000000001</v>
      </c>
      <c r="R70">
        <v>2</v>
      </c>
      <c r="S70">
        <v>1.2</v>
      </c>
      <c r="T70">
        <v>1.05</v>
      </c>
      <c r="U70">
        <f t="shared" si="7"/>
        <v>0.47095746419981693</v>
      </c>
      <c r="V70" t="b">
        <v>1</v>
      </c>
    </row>
    <row r="71" spans="1:22" x14ac:dyDescent="0.2">
      <c r="A71" t="s">
        <v>288</v>
      </c>
      <c r="B71" s="52">
        <v>6.8900000000000005E-4</v>
      </c>
      <c r="C71" t="s">
        <v>56</v>
      </c>
      <c r="E71" t="s">
        <v>64</v>
      </c>
      <c r="F71" t="s">
        <v>86</v>
      </c>
      <c r="G71" t="s">
        <v>287</v>
      </c>
      <c r="K71" t="str">
        <f>B39</f>
        <v>methanol, transported by truck, produced by Electrolysis, PEM using water and electricity from grid, and carbon from MSWI</v>
      </c>
      <c r="L71">
        <f t="shared" ref="L71:L72" si="10">IF(OR(B71&lt;0,B71=0),1,2)</f>
        <v>2</v>
      </c>
      <c r="M71">
        <f t="shared" ref="M71:M72" si="11">IF(L71=2,LN(B71),"")</f>
        <v>-7.2802692869506158</v>
      </c>
      <c r="N71">
        <v>1.5</v>
      </c>
      <c r="O71">
        <v>1.2</v>
      </c>
      <c r="P71">
        <v>1.5</v>
      </c>
      <c r="Q71">
        <v>1.1000000000000001</v>
      </c>
      <c r="R71">
        <v>2</v>
      </c>
      <c r="S71">
        <v>1.2</v>
      </c>
      <c r="T71">
        <v>1.05</v>
      </c>
      <c r="U71">
        <f t="shared" si="7"/>
        <v>0.47095746419981693</v>
      </c>
    </row>
    <row r="72" spans="1:22" x14ac:dyDescent="0.2">
      <c r="A72" t="s">
        <v>182</v>
      </c>
      <c r="B72" s="52">
        <f>B65/1000*B51</f>
        <v>0.2</v>
      </c>
      <c r="C72" t="s">
        <v>123</v>
      </c>
      <c r="E72" t="s">
        <v>90</v>
      </c>
      <c r="F72" t="s">
        <v>86</v>
      </c>
      <c r="G72" t="s">
        <v>183</v>
      </c>
      <c r="K72" t="str">
        <f>B39</f>
        <v>methanol, transported by truck, produced by Electrolysis, PEM using water and electricity from grid, and carbon from MSWI</v>
      </c>
      <c r="L72">
        <f t="shared" si="10"/>
        <v>2</v>
      </c>
      <c r="M72">
        <f t="shared" si="11"/>
        <v>-1.6094379124341003</v>
      </c>
      <c r="N72">
        <v>1.5</v>
      </c>
      <c r="O72">
        <v>1.2</v>
      </c>
      <c r="P72">
        <v>1.5</v>
      </c>
      <c r="Q72">
        <v>1.1000000000000001</v>
      </c>
      <c r="R72">
        <v>2</v>
      </c>
      <c r="S72">
        <v>1.2</v>
      </c>
      <c r="T72">
        <v>1.05</v>
      </c>
      <c r="U72">
        <f t="shared" si="7"/>
        <v>0.47095746419981693</v>
      </c>
    </row>
    <row r="73" spans="1:22" x14ac:dyDescent="0.2">
      <c r="A73" t="s">
        <v>642</v>
      </c>
      <c r="B73" s="52">
        <v>-6.8899999999999999E-7</v>
      </c>
      <c r="C73" t="s">
        <v>120</v>
      </c>
      <c r="E73" t="s">
        <v>64</v>
      </c>
      <c r="F73" t="s">
        <v>86</v>
      </c>
      <c r="G73" t="s">
        <v>243</v>
      </c>
      <c r="K73" t="str">
        <f>B39</f>
        <v>methanol, transported by truck, produced by Electrolysis, PEM using water and electricity from grid, and carbon from MSWI</v>
      </c>
      <c r="L73">
        <v>2</v>
      </c>
      <c r="M73">
        <f>IF(L73=2,LN(-B73),"")</f>
        <v>-14.188024565932752</v>
      </c>
      <c r="N73">
        <v>1.5</v>
      </c>
      <c r="O73">
        <v>1.2</v>
      </c>
      <c r="P73">
        <v>1.5</v>
      </c>
      <c r="Q73">
        <v>1.1000000000000001</v>
      </c>
      <c r="R73">
        <v>2</v>
      </c>
      <c r="S73">
        <v>1.2</v>
      </c>
      <c r="T73">
        <v>1.05</v>
      </c>
      <c r="U73">
        <f t="shared" si="7"/>
        <v>0.47095746419981693</v>
      </c>
      <c r="V73" t="b">
        <v>1</v>
      </c>
    </row>
    <row r="74" spans="1:22" x14ac:dyDescent="0.2">
      <c r="A74" t="s">
        <v>134</v>
      </c>
      <c r="B74" s="52">
        <v>1.0335E-7</v>
      </c>
      <c r="C74" t="s">
        <v>120</v>
      </c>
      <c r="D74" t="s">
        <v>100</v>
      </c>
      <c r="F74" t="s">
        <v>99</v>
      </c>
      <c r="K74" t="str">
        <f>B39</f>
        <v>methanol, transported by truck, produced by Electrolysis, PEM using water and electricity from grid, and carbon from MSWI</v>
      </c>
      <c r="L74">
        <f t="shared" ref="L74:L75" si="12">IF(OR(B74&lt;0,B74=0),1,2)</f>
        <v>2</v>
      </c>
      <c r="M74">
        <f t="shared" ref="M74:M75" si="13">IF(L74=2,LN(B74),"")</f>
        <v>-16.085144550818633</v>
      </c>
      <c r="N74">
        <v>1.5</v>
      </c>
      <c r="O74">
        <v>1.2</v>
      </c>
      <c r="P74">
        <v>1.5</v>
      </c>
      <c r="Q74">
        <v>1.1000000000000001</v>
      </c>
      <c r="R74">
        <v>2</v>
      </c>
      <c r="S74">
        <v>1.2</v>
      </c>
      <c r="T74">
        <v>1.05</v>
      </c>
      <c r="U74">
        <f t="shared" si="7"/>
        <v>0.47095746419981693</v>
      </c>
    </row>
    <row r="75" spans="1:22" x14ac:dyDescent="0.2">
      <c r="A75" t="s">
        <v>134</v>
      </c>
      <c r="B75" s="52">
        <v>5.8564999999999995E-7</v>
      </c>
      <c r="C75" t="s">
        <v>120</v>
      </c>
      <c r="D75" t="s">
        <v>1177</v>
      </c>
      <c r="F75" t="s">
        <v>99</v>
      </c>
      <c r="K75" t="str">
        <f>B39</f>
        <v>methanol, transported by truck, produced by Electrolysis, PEM using water and electricity from grid, and carbon from MSWI</v>
      </c>
      <c r="L75">
        <f t="shared" si="12"/>
        <v>2</v>
      </c>
      <c r="M75">
        <f t="shared" si="13"/>
        <v>-14.350543495430527</v>
      </c>
      <c r="N75">
        <v>1.5</v>
      </c>
      <c r="O75">
        <v>1.2</v>
      </c>
      <c r="P75">
        <v>1.5</v>
      </c>
      <c r="Q75">
        <v>1.1000000000000001</v>
      </c>
      <c r="R75">
        <v>2</v>
      </c>
      <c r="S75">
        <v>1.2</v>
      </c>
      <c r="T75">
        <v>1.05</v>
      </c>
      <c r="U75">
        <f t="shared" si="7"/>
        <v>0.47095746419981693</v>
      </c>
    </row>
    <row r="76" spans="1:22" x14ac:dyDescent="0.2">
      <c r="B76" s="45"/>
    </row>
    <row r="77" spans="1:22" x14ac:dyDescent="0.2">
      <c r="A77" s="2" t="s">
        <v>50</v>
      </c>
      <c r="B77" s="44" t="str">
        <f>B87&amp;", transported by "&amp;B88&amp;", produced by "&amp;B92&amp;" using "&amp;B93&amp;" from "&amp;B94&amp;", and carbon from "&amp;B95</f>
        <v>methanol, transported by truck, produced by Electrolysis, PEM using water and electricity from grid, and carbon from Cement plant</v>
      </c>
    </row>
    <row r="78" spans="1:22" x14ac:dyDescent="0.2">
      <c r="A78" t="s">
        <v>51</v>
      </c>
      <c r="B78" s="45" t="str">
        <f>"This dataset represents the supply of 1 kilogram of methanol. The fuel is transported by "&amp;B88&amp;" over "&amp;B89&amp;" km from regional storage. "&amp;"The "&amp;B87&amp;" is produced by  "&amp;B92&amp;", with "&amp;B93&amp;" from "&amp;B94&amp;" as feedstock. "&amp;A96&amp;": "&amp;(B96*100)&amp;"%. "&amp;A97&amp;": "&amp;(B97*100)&amp;".  For more information, refer to: "&amp;B79</f>
        <v>This dataset represents the supply of 1 kilogram of methanol. The fuel is transported by truck over 200 km from regional storage. The methanol is produced by  Electrolysis, PEM, with water and electricity from grid as feedstock. Distribution loss [% output]: 0%. Regional storage loss [% output]: 0.  For more information, refer to: Sacchi, R. and Bauer, C. Life Cycle Assessment of Power-to-X processes and associated electricity and heat applications in the residential sector. Paul Scherrer Institut, 2023.</v>
      </c>
    </row>
    <row r="79" spans="1:22" x14ac:dyDescent="0.2">
      <c r="A79" t="s">
        <v>63</v>
      </c>
      <c r="B79" s="45" t="s">
        <v>1223</v>
      </c>
    </row>
    <row r="80" spans="1:22" x14ac:dyDescent="0.2">
      <c r="A80" t="s">
        <v>52</v>
      </c>
      <c r="B80" s="45" t="s">
        <v>64</v>
      </c>
    </row>
    <row r="81" spans="1:2" x14ac:dyDescent="0.2">
      <c r="A81" t="s">
        <v>48</v>
      </c>
      <c r="B81" s="45">
        <v>185</v>
      </c>
    </row>
    <row r="82" spans="1:2" x14ac:dyDescent="0.2">
      <c r="A82" t="s">
        <v>54</v>
      </c>
      <c r="B82" s="45" t="s">
        <v>1182</v>
      </c>
    </row>
    <row r="83" spans="1:2" x14ac:dyDescent="0.2">
      <c r="A83" t="s">
        <v>55</v>
      </c>
      <c r="B83" s="45" t="s">
        <v>56</v>
      </c>
    </row>
    <row r="84" spans="1:2" x14ac:dyDescent="0.2">
      <c r="A84" t="s">
        <v>0</v>
      </c>
      <c r="B84" s="45" t="str">
        <f>INDEX(overview!$B$4:$R$338,MATCH('methanol - supply'!B81,overview!$A$4:$A$338,0),MATCH('methanol - supply'!A84,overview!$B$3:$R$3,0))</f>
        <v>Switzerland</v>
      </c>
    </row>
    <row r="85" spans="1:2" x14ac:dyDescent="0.2">
      <c r="A85" t="s">
        <v>1</v>
      </c>
      <c r="B85" s="45">
        <f>INDEX(overview!$B$4:$R$338,MATCH('methanol - supply'!B81,overview!$A$4:$A$338,0),MATCH('methanol - supply'!A85,overview!$B$3:$R$3,0))</f>
        <v>2020</v>
      </c>
    </row>
    <row r="86" spans="1:2" x14ac:dyDescent="0.2">
      <c r="A86" t="s">
        <v>2</v>
      </c>
      <c r="B86" s="45" t="s">
        <v>1167</v>
      </c>
    </row>
    <row r="87" spans="1:2" x14ac:dyDescent="0.2">
      <c r="A87" t="s">
        <v>5</v>
      </c>
      <c r="B87" s="45" t="str">
        <f>INDEX(overview!$B$4:$R$338,MATCH('methanol - supply'!B81,overview!$A$4:$A$338,0),MATCH('methanol - supply'!A87,overview!$B$3:$R$3,0))</f>
        <v>methanol</v>
      </c>
    </row>
    <row r="88" spans="1:2" x14ac:dyDescent="0.2">
      <c r="A88" t="s">
        <v>4</v>
      </c>
      <c r="B88" s="45" t="str">
        <f>INDEX(overview!$B$4:$R$338,MATCH('methanol - supply'!B81,overview!$A$4:$A$338,0),MATCH('methanol - supply'!A88,overview!$B$3:$R$3,0))</f>
        <v>truck</v>
      </c>
    </row>
    <row r="89" spans="1:2" x14ac:dyDescent="0.2">
      <c r="A89" t="s">
        <v>38</v>
      </c>
      <c r="B89" s="45">
        <f>INDEX(overview!$B$4:$R$338,MATCH('methanol - supply'!B81,overview!$A$4:$A$338,0),MATCH('methanol - supply'!A89,overview!$B$3:$R$3,0))</f>
        <v>200</v>
      </c>
    </row>
    <row r="90" spans="1:2" x14ac:dyDescent="0.2">
      <c r="A90" t="s">
        <v>12</v>
      </c>
      <c r="B90" s="45" t="str">
        <f>INDEX(overview!$B$4:$R$338,MATCH('methanol - supply'!B81,overview!$A$4:$A$338,0),MATCH('methanol - supply'!A90,overview!$B$3:$R$3,0))</f>
        <v>Above surface pressure vessel</v>
      </c>
    </row>
    <row r="91" spans="1:2" x14ac:dyDescent="0.2">
      <c r="A91" t="s">
        <v>34</v>
      </c>
      <c r="B91" s="45" t="str">
        <f>INDEX(overview!$B$4:$R$338,MATCH('methanol - supply'!B81,overview!$A$4:$A$338,0),MATCH('methanol - supply'!A91,overview!$B$3:$R$3,0))</f>
        <v>biological</v>
      </c>
    </row>
    <row r="92" spans="1:2" x14ac:dyDescent="0.2">
      <c r="A92" t="s">
        <v>15</v>
      </c>
      <c r="B92" s="45" t="str">
        <f>INDEX(overview!$B$4:$R$338,MATCH('methanol - supply'!B81,overview!$A$4:$A$338,0),MATCH('methanol - supply'!A92,overview!$B$3:$R$3,0))</f>
        <v>Electrolysis, PEM</v>
      </c>
    </row>
    <row r="93" spans="1:2" x14ac:dyDescent="0.2">
      <c r="A93" t="s">
        <v>14</v>
      </c>
      <c r="B93" s="45" t="str">
        <f>INDEX(overview!$B$4:$R$338,MATCH('methanol - supply'!B81,overview!$A$4:$A$338,0),MATCH('methanol - supply'!A93,overview!$B$3:$R$3,0))</f>
        <v>water and electricity</v>
      </c>
    </row>
    <row r="94" spans="1:2" x14ac:dyDescent="0.2">
      <c r="A94" t="s">
        <v>26</v>
      </c>
      <c r="B94" s="45" t="str">
        <f>INDEX(overview!$B$4:$R$338,MATCH('methanol - supply'!B81,overview!$A$4:$A$338,0),MATCH('methanol - supply'!A94,overview!$B$3:$R$3,0))</f>
        <v>grid</v>
      </c>
    </row>
    <row r="95" spans="1:2" x14ac:dyDescent="0.2">
      <c r="A95" t="s">
        <v>29</v>
      </c>
      <c r="B95" s="45" t="str">
        <f>INDEX(overview!$B$4:$R$338,MATCH('methanol - supply'!B81,overview!$A$4:$A$338,0),MATCH('methanol - supply'!A95,overview!$B$3:$R$3,0))</f>
        <v>Cement plant</v>
      </c>
    </row>
    <row r="96" spans="1:2" x14ac:dyDescent="0.2">
      <c r="A96" t="s">
        <v>45</v>
      </c>
      <c r="B96" s="49">
        <v>0</v>
      </c>
    </row>
    <row r="97" spans="1:22" x14ac:dyDescent="0.2">
      <c r="A97" t="s">
        <v>1133</v>
      </c>
      <c r="B97" s="49">
        <v>0</v>
      </c>
    </row>
    <row r="98" spans="1:22" x14ac:dyDescent="0.2">
      <c r="A98" t="s">
        <v>82</v>
      </c>
      <c r="B98" s="46">
        <f>IF(B95&lt;&gt;0,VLOOKUP(B95,parameters!$A$26:$B$28,2,0),"")</f>
        <v>5.8751529987760093E-2</v>
      </c>
    </row>
    <row r="99" spans="1:22" x14ac:dyDescent="0.2">
      <c r="B99" s="45"/>
    </row>
    <row r="100" spans="1:22" x14ac:dyDescent="0.2">
      <c r="A100" s="3" t="s">
        <v>57</v>
      </c>
      <c r="B100" s="45"/>
    </row>
    <row r="101" spans="1:22" x14ac:dyDescent="0.2">
      <c r="A101" s="2" t="s">
        <v>58</v>
      </c>
      <c r="B101" s="44" t="s">
        <v>59</v>
      </c>
      <c r="C101" s="2" t="s">
        <v>55</v>
      </c>
      <c r="D101" s="2" t="s">
        <v>60</v>
      </c>
      <c r="E101" s="2" t="s">
        <v>52</v>
      </c>
      <c r="F101" s="2" t="s">
        <v>61</v>
      </c>
      <c r="G101" s="2" t="s">
        <v>54</v>
      </c>
      <c r="H101" s="2" t="s">
        <v>87</v>
      </c>
      <c r="I101" s="2" t="s">
        <v>51</v>
      </c>
      <c r="J101" s="2" t="s">
        <v>138</v>
      </c>
      <c r="K101" s="2" t="s">
        <v>136</v>
      </c>
      <c r="L101" s="2" t="s">
        <v>221</v>
      </c>
      <c r="M101" s="2" t="s">
        <v>379</v>
      </c>
      <c r="N101" s="2" t="s">
        <v>1059</v>
      </c>
      <c r="O101" s="2" t="s">
        <v>1060</v>
      </c>
      <c r="P101" s="2" t="s">
        <v>1061</v>
      </c>
      <c r="Q101" s="2" t="s">
        <v>1062</v>
      </c>
      <c r="R101" s="2" t="s">
        <v>1063</v>
      </c>
      <c r="S101" s="2" t="s">
        <v>1064</v>
      </c>
      <c r="T101" s="2" t="s">
        <v>1065</v>
      </c>
      <c r="U101" s="2" t="s">
        <v>380</v>
      </c>
      <c r="V101" s="2" t="s">
        <v>1128</v>
      </c>
    </row>
    <row r="102" spans="1:22" x14ac:dyDescent="0.2">
      <c r="A102" t="str">
        <f>B77</f>
        <v>methanol, transported by truck, produced by Electrolysis, PEM using water and electricity from grid, and carbon from Cement plant</v>
      </c>
      <c r="B102" s="45">
        <v>1</v>
      </c>
      <c r="C102" t="str">
        <f>B83</f>
        <v>kilogram</v>
      </c>
      <c r="E102" t="str">
        <f>B80</f>
        <v>CH</v>
      </c>
      <c r="F102" t="s">
        <v>62</v>
      </c>
      <c r="G102" t="str">
        <f>B82</f>
        <v>methanol, from truck</v>
      </c>
      <c r="K102" t="str">
        <f>B77</f>
        <v>methanol, transported by truck, produced by Electrolysis, PEM using water and electricity from grid, and carbon from Cement plant</v>
      </c>
    </row>
    <row r="103" spans="1:22" x14ac:dyDescent="0.2">
      <c r="A103" t="str">
        <f>VLOOKUP(J103,'dataset mapping'!$A$4:$E$69,2,0)</f>
        <v>methanol synthesis, hydrogen from electrolysis, CO2 from cement plant</v>
      </c>
      <c r="B103" s="52">
        <v>1</v>
      </c>
      <c r="C103" t="str">
        <f>VLOOKUP(J103,'dataset mapping'!$A$4:$E$69,5,0)</f>
        <v>kilogram</v>
      </c>
      <c r="E103" t="str">
        <f>VLOOKUP(J103,'dataset mapping'!$A$4:$E$69,4,0)</f>
        <v>CH</v>
      </c>
      <c r="F103" t="s">
        <v>86</v>
      </c>
      <c r="G103" t="str">
        <f>VLOOKUP(J103,'dataset mapping'!$A$4:$E$69,3,0)</f>
        <v>methanol, unpurified</v>
      </c>
      <c r="H103" t="s">
        <v>77</v>
      </c>
      <c r="I103" t="s">
        <v>1055</v>
      </c>
      <c r="J103" t="s">
        <v>1178</v>
      </c>
      <c r="K103" t="str">
        <f>B77</f>
        <v>methanol, transported by truck, produced by Electrolysis, PEM using water and electricity from grid, and carbon from Cement plant</v>
      </c>
      <c r="L103">
        <f t="shared" ref="L103:L104" si="14">IF(OR(B103&lt;0,B103=0),1,2)</f>
        <v>2</v>
      </c>
      <c r="M103">
        <f t="shared" ref="M103:M104" si="15">IF(L103=2,LN(B103),"")</f>
        <v>0</v>
      </c>
      <c r="N103">
        <v>1.5</v>
      </c>
      <c r="O103">
        <v>1.2</v>
      </c>
      <c r="P103">
        <v>1.5</v>
      </c>
      <c r="Q103">
        <v>1.1000000000000001</v>
      </c>
      <c r="R103">
        <v>2</v>
      </c>
      <c r="S103">
        <v>1.2</v>
      </c>
      <c r="T103">
        <v>1.05</v>
      </c>
      <c r="U103">
        <f t="shared" ref="U103:U113" si="16">LN(SQRT(EXP(
SQRT(
+POWER(LN(N103),2)
+POWER(LN(O103),2)
+POWER(LN(P103),2)
+POWER(LN(Q103),2)
+POWER(LN(R103),2)
+POWER(LN(S103),2)
+POWER(LN(T103),2)
)
)))</f>
        <v>0.47095746419981693</v>
      </c>
    </row>
    <row r="104" spans="1:22" x14ac:dyDescent="0.2">
      <c r="A104" t="s">
        <v>130</v>
      </c>
      <c r="B104" s="70">
        <v>6.7000000000000002E-3</v>
      </c>
      <c r="C104" t="s">
        <v>92</v>
      </c>
      <c r="E104" t="s">
        <v>64</v>
      </c>
      <c r="F104" t="s">
        <v>86</v>
      </c>
      <c r="G104" t="s">
        <v>93</v>
      </c>
      <c r="K104" t="str">
        <f>B77</f>
        <v>methanol, transported by truck, produced by Electrolysis, PEM using water and electricity from grid, and carbon from Cement plant</v>
      </c>
      <c r="L104">
        <f t="shared" si="14"/>
        <v>2</v>
      </c>
      <c r="M104">
        <f t="shared" si="15"/>
        <v>-5.005647752585217</v>
      </c>
      <c r="N104">
        <v>1.5</v>
      </c>
      <c r="O104">
        <v>1.2</v>
      </c>
      <c r="P104">
        <v>1.5</v>
      </c>
      <c r="Q104">
        <v>1.1000000000000001</v>
      </c>
      <c r="R104">
        <v>2</v>
      </c>
      <c r="S104">
        <v>1.2</v>
      </c>
      <c r="T104">
        <v>1.05</v>
      </c>
      <c r="U104">
        <f t="shared" si="16"/>
        <v>0.47095746419981693</v>
      </c>
    </row>
    <row r="105" spans="1:22" x14ac:dyDescent="0.2">
      <c r="A105" t="s">
        <v>1169</v>
      </c>
      <c r="B105" s="70">
        <v>-1.8499999999999999E-5</v>
      </c>
      <c r="C105" t="s">
        <v>56</v>
      </c>
      <c r="E105" t="s">
        <v>64</v>
      </c>
      <c r="F105" t="s">
        <v>86</v>
      </c>
      <c r="G105" t="s">
        <v>1173</v>
      </c>
      <c r="K105" t="str">
        <f>B77</f>
        <v>methanol, transported by truck, produced by Electrolysis, PEM using water and electricity from grid, and carbon from Cement plant</v>
      </c>
      <c r="L105">
        <v>2</v>
      </c>
      <c r="M105">
        <f>IF(L105=2,LN(-B105),"")</f>
        <v>-10.897739825879995</v>
      </c>
      <c r="N105">
        <v>1.5</v>
      </c>
      <c r="O105">
        <v>1.2</v>
      </c>
      <c r="P105">
        <v>1.5</v>
      </c>
      <c r="Q105">
        <v>1.1000000000000001</v>
      </c>
      <c r="R105">
        <v>2</v>
      </c>
      <c r="S105">
        <v>1.2</v>
      </c>
      <c r="T105">
        <v>1.05</v>
      </c>
      <c r="U105">
        <f t="shared" si="16"/>
        <v>0.47095746419981693</v>
      </c>
      <c r="V105" t="b">
        <v>1</v>
      </c>
    </row>
    <row r="106" spans="1:22" x14ac:dyDescent="0.2">
      <c r="A106" t="s">
        <v>1170</v>
      </c>
      <c r="B106" s="52">
        <v>1.04E-10</v>
      </c>
      <c r="C106" t="s">
        <v>55</v>
      </c>
      <c r="E106" t="s">
        <v>90</v>
      </c>
      <c r="F106" t="s">
        <v>86</v>
      </c>
      <c r="G106" t="s">
        <v>1174</v>
      </c>
      <c r="K106" t="str">
        <f>B77</f>
        <v>methanol, transported by truck, produced by Electrolysis, PEM using water and electricity from grid, and carbon from Cement plant</v>
      </c>
      <c r="L106">
        <f t="shared" ref="L106" si="17">IF(OR(B106&lt;0,B106=0),1,2)</f>
        <v>2</v>
      </c>
      <c r="M106">
        <f t="shared" ref="M106" si="18">IF(L106=2,LN(B106),"")</f>
        <v>-22.986630216787177</v>
      </c>
      <c r="N106">
        <v>1.5</v>
      </c>
      <c r="O106">
        <v>1.2</v>
      </c>
      <c r="P106">
        <v>1.5</v>
      </c>
      <c r="Q106">
        <v>1.1000000000000001</v>
      </c>
      <c r="R106">
        <v>2</v>
      </c>
      <c r="S106">
        <v>1.2</v>
      </c>
      <c r="T106">
        <v>1.05</v>
      </c>
      <c r="U106">
        <f t="shared" si="16"/>
        <v>0.47095746419981693</v>
      </c>
    </row>
    <row r="107" spans="1:22" x14ac:dyDescent="0.2">
      <c r="A107" t="s">
        <v>1171</v>
      </c>
      <c r="B107" s="52">
        <v>-6.2700000000000001E-6</v>
      </c>
      <c r="C107" t="s">
        <v>56</v>
      </c>
      <c r="E107" t="s">
        <v>64</v>
      </c>
      <c r="F107" t="s">
        <v>86</v>
      </c>
      <c r="G107" t="s">
        <v>1175</v>
      </c>
      <c r="K107" t="str">
        <f>B77</f>
        <v>methanol, transported by truck, produced by Electrolysis, PEM using water and electricity from grid, and carbon from Cement plant</v>
      </c>
      <c r="L107">
        <v>2</v>
      </c>
      <c r="M107">
        <f>IF(L107=2,LN(-B107),"")</f>
        <v>-11.979734203319445</v>
      </c>
      <c r="N107">
        <v>1.5</v>
      </c>
      <c r="O107">
        <v>1.2</v>
      </c>
      <c r="P107">
        <v>1.5</v>
      </c>
      <c r="Q107">
        <v>1.1000000000000001</v>
      </c>
      <c r="R107">
        <v>2</v>
      </c>
      <c r="S107">
        <v>1.2</v>
      </c>
      <c r="T107">
        <v>1.05</v>
      </c>
      <c r="U107">
        <f t="shared" si="16"/>
        <v>0.47095746419981693</v>
      </c>
      <c r="V107" t="b">
        <v>1</v>
      </c>
    </row>
    <row r="108" spans="1:22" x14ac:dyDescent="0.2">
      <c r="A108" t="s">
        <v>1172</v>
      </c>
      <c r="B108" s="52">
        <v>-5.0000000000000002E-5</v>
      </c>
      <c r="C108" t="s">
        <v>120</v>
      </c>
      <c r="E108" t="s">
        <v>64</v>
      </c>
      <c r="F108" t="s">
        <v>86</v>
      </c>
      <c r="G108" t="s">
        <v>1176</v>
      </c>
      <c r="K108" t="str">
        <f>B77</f>
        <v>methanol, transported by truck, produced by Electrolysis, PEM using water and electricity from grid, and carbon from Cement plant</v>
      </c>
      <c r="L108">
        <v>2</v>
      </c>
      <c r="M108">
        <f>IF(L108=2,LN(-B108),"")</f>
        <v>-9.9034875525361272</v>
      </c>
      <c r="N108">
        <v>1.5</v>
      </c>
      <c r="O108">
        <v>1.2</v>
      </c>
      <c r="P108">
        <v>1.5</v>
      </c>
      <c r="Q108">
        <v>1.1000000000000001</v>
      </c>
      <c r="R108">
        <v>2</v>
      </c>
      <c r="S108">
        <v>1.2</v>
      </c>
      <c r="T108">
        <v>1.05</v>
      </c>
      <c r="U108">
        <f t="shared" si="16"/>
        <v>0.47095746419981693</v>
      </c>
      <c r="V108" t="b">
        <v>1</v>
      </c>
    </row>
    <row r="109" spans="1:22" x14ac:dyDescent="0.2">
      <c r="A109" t="s">
        <v>288</v>
      </c>
      <c r="B109" s="52">
        <v>6.8900000000000005E-4</v>
      </c>
      <c r="C109" t="s">
        <v>56</v>
      </c>
      <c r="E109" t="s">
        <v>64</v>
      </c>
      <c r="F109" t="s">
        <v>86</v>
      </c>
      <c r="G109" t="s">
        <v>287</v>
      </c>
      <c r="K109" t="str">
        <f>B77</f>
        <v>methanol, transported by truck, produced by Electrolysis, PEM using water and electricity from grid, and carbon from Cement plant</v>
      </c>
      <c r="L109">
        <f t="shared" ref="L109:L110" si="19">IF(OR(B109&lt;0,B109=0),1,2)</f>
        <v>2</v>
      </c>
      <c r="M109">
        <f t="shared" ref="M109:M110" si="20">IF(L109=2,LN(B109),"")</f>
        <v>-7.2802692869506158</v>
      </c>
      <c r="N109">
        <v>1.5</v>
      </c>
      <c r="O109">
        <v>1.2</v>
      </c>
      <c r="P109">
        <v>1.5</v>
      </c>
      <c r="Q109">
        <v>1.1000000000000001</v>
      </c>
      <c r="R109">
        <v>2</v>
      </c>
      <c r="S109">
        <v>1.2</v>
      </c>
      <c r="T109">
        <v>1.05</v>
      </c>
      <c r="U109">
        <f t="shared" si="16"/>
        <v>0.47095746419981693</v>
      </c>
    </row>
    <row r="110" spans="1:22" x14ac:dyDescent="0.2">
      <c r="A110" t="s">
        <v>182</v>
      </c>
      <c r="B110" s="52">
        <f>B103/1000*B89</f>
        <v>0.2</v>
      </c>
      <c r="C110" t="s">
        <v>123</v>
      </c>
      <c r="E110" t="s">
        <v>90</v>
      </c>
      <c r="F110" t="s">
        <v>86</v>
      </c>
      <c r="G110" t="s">
        <v>183</v>
      </c>
      <c r="K110" t="str">
        <f>B77</f>
        <v>methanol, transported by truck, produced by Electrolysis, PEM using water and electricity from grid, and carbon from Cement plant</v>
      </c>
      <c r="L110">
        <f t="shared" si="19"/>
        <v>2</v>
      </c>
      <c r="M110">
        <f t="shared" si="20"/>
        <v>-1.6094379124341003</v>
      </c>
      <c r="N110">
        <v>1.5</v>
      </c>
      <c r="O110">
        <v>1.2</v>
      </c>
      <c r="P110">
        <v>1.5</v>
      </c>
      <c r="Q110">
        <v>1.1000000000000001</v>
      </c>
      <c r="R110">
        <v>2</v>
      </c>
      <c r="S110">
        <v>1.2</v>
      </c>
      <c r="T110">
        <v>1.05</v>
      </c>
      <c r="U110">
        <f t="shared" si="16"/>
        <v>0.47095746419981693</v>
      </c>
    </row>
    <row r="111" spans="1:22" x14ac:dyDescent="0.2">
      <c r="A111" t="s">
        <v>642</v>
      </c>
      <c r="B111" s="52">
        <v>-6.8899999999999999E-7</v>
      </c>
      <c r="C111" t="s">
        <v>120</v>
      </c>
      <c r="E111" t="s">
        <v>64</v>
      </c>
      <c r="F111" t="s">
        <v>86</v>
      </c>
      <c r="G111" t="s">
        <v>243</v>
      </c>
      <c r="K111" t="str">
        <f>B77</f>
        <v>methanol, transported by truck, produced by Electrolysis, PEM using water and electricity from grid, and carbon from Cement plant</v>
      </c>
      <c r="L111">
        <v>2</v>
      </c>
      <c r="M111">
        <f>IF(L111=2,LN(-B111),"")</f>
        <v>-14.188024565932752</v>
      </c>
      <c r="N111">
        <v>1.5</v>
      </c>
      <c r="O111">
        <v>1.2</v>
      </c>
      <c r="P111">
        <v>1.5</v>
      </c>
      <c r="Q111">
        <v>1.1000000000000001</v>
      </c>
      <c r="R111">
        <v>2</v>
      </c>
      <c r="S111">
        <v>1.2</v>
      </c>
      <c r="T111">
        <v>1.05</v>
      </c>
      <c r="U111">
        <f t="shared" si="16"/>
        <v>0.47095746419981693</v>
      </c>
      <c r="V111" t="b">
        <v>1</v>
      </c>
    </row>
    <row r="112" spans="1:22" x14ac:dyDescent="0.2">
      <c r="A112" t="s">
        <v>134</v>
      </c>
      <c r="B112" s="52">
        <v>1.0335E-7</v>
      </c>
      <c r="C112" t="s">
        <v>120</v>
      </c>
      <c r="D112" t="s">
        <v>100</v>
      </c>
      <c r="F112" t="s">
        <v>99</v>
      </c>
      <c r="K112" t="str">
        <f>B77</f>
        <v>methanol, transported by truck, produced by Electrolysis, PEM using water and electricity from grid, and carbon from Cement plant</v>
      </c>
      <c r="L112">
        <f t="shared" ref="L112:L113" si="21">IF(OR(B112&lt;0,B112=0),1,2)</f>
        <v>2</v>
      </c>
      <c r="M112">
        <f t="shared" ref="M112:M113" si="22">IF(L112=2,LN(B112),"")</f>
        <v>-16.085144550818633</v>
      </c>
      <c r="N112">
        <v>1.5</v>
      </c>
      <c r="O112">
        <v>1.2</v>
      </c>
      <c r="P112">
        <v>1.5</v>
      </c>
      <c r="Q112">
        <v>1.1000000000000001</v>
      </c>
      <c r="R112">
        <v>2</v>
      </c>
      <c r="S112">
        <v>1.2</v>
      </c>
      <c r="T112">
        <v>1.05</v>
      </c>
      <c r="U112">
        <f t="shared" si="16"/>
        <v>0.47095746419981693</v>
      </c>
    </row>
    <row r="113" spans="1:22" x14ac:dyDescent="0.2">
      <c r="A113" t="s">
        <v>134</v>
      </c>
      <c r="B113" s="52">
        <v>5.8564999999999995E-7</v>
      </c>
      <c r="C113" t="s">
        <v>120</v>
      </c>
      <c r="D113" t="s">
        <v>1177</v>
      </c>
      <c r="F113" t="s">
        <v>99</v>
      </c>
      <c r="K113" t="str">
        <f>B77</f>
        <v>methanol, transported by truck, produced by Electrolysis, PEM using water and electricity from grid, and carbon from Cement plant</v>
      </c>
      <c r="L113">
        <f t="shared" si="21"/>
        <v>2</v>
      </c>
      <c r="M113">
        <f t="shared" si="22"/>
        <v>-14.350543495430527</v>
      </c>
      <c r="N113">
        <v>1.5</v>
      </c>
      <c r="O113">
        <v>1.2</v>
      </c>
      <c r="P113">
        <v>1.5</v>
      </c>
      <c r="Q113">
        <v>1.1000000000000001</v>
      </c>
      <c r="R113">
        <v>2</v>
      </c>
      <c r="S113">
        <v>1.2</v>
      </c>
      <c r="T113">
        <v>1.05</v>
      </c>
      <c r="U113">
        <f t="shared" si="16"/>
        <v>0.47095746419981693</v>
      </c>
    </row>
    <row r="114" spans="1:22" x14ac:dyDescent="0.2">
      <c r="B114" s="45"/>
    </row>
    <row r="115" spans="1:22" x14ac:dyDescent="0.2">
      <c r="B115" s="45"/>
    </row>
    <row r="116" spans="1:22" x14ac:dyDescent="0.2">
      <c r="B116" s="45"/>
    </row>
    <row r="117" spans="1:22" x14ac:dyDescent="0.2">
      <c r="B117" s="45"/>
    </row>
    <row r="118" spans="1:22" x14ac:dyDescent="0.2">
      <c r="B118" s="45"/>
    </row>
    <row r="119" spans="1:22" x14ac:dyDescent="0.2">
      <c r="B119" s="45"/>
    </row>
    <row r="120" spans="1:22" x14ac:dyDescent="0.2">
      <c r="B120" s="45"/>
    </row>
    <row r="121" spans="1:22" x14ac:dyDescent="0.2">
      <c r="B121" s="45"/>
    </row>
    <row r="122" spans="1:22" x14ac:dyDescent="0.2">
      <c r="B122" s="45"/>
    </row>
    <row r="123" spans="1:22" x14ac:dyDescent="0.2">
      <c r="B123" s="45"/>
    </row>
    <row r="124" spans="1:22" x14ac:dyDescent="0.2">
      <c r="B124" s="66"/>
    </row>
    <row r="125" spans="1:22" x14ac:dyDescent="0.2">
      <c r="B125" s="49"/>
    </row>
    <row r="126" spans="1:22" x14ac:dyDescent="0.2">
      <c r="B126" s="45"/>
    </row>
    <row r="127" spans="1:22" x14ac:dyDescent="0.2">
      <c r="A127" s="3"/>
      <c r="B127" s="45"/>
    </row>
    <row r="128" spans="1:22" x14ac:dyDescent="0.2">
      <c r="A128" s="2"/>
      <c r="B128" s="44"/>
      <c r="C128" s="2"/>
      <c r="D128" s="2"/>
      <c r="E128" s="2"/>
      <c r="F128" s="2"/>
      <c r="G128" s="2"/>
      <c r="H128" s="2"/>
      <c r="I128" s="2"/>
      <c r="J128" s="2"/>
      <c r="K128" s="2"/>
      <c r="L128" s="2"/>
      <c r="M128" s="2"/>
      <c r="N128" s="2"/>
      <c r="O128" s="2"/>
      <c r="P128" s="2"/>
      <c r="Q128" s="2"/>
      <c r="R128" s="2"/>
      <c r="S128" s="2"/>
      <c r="T128" s="2"/>
      <c r="U128" s="2"/>
      <c r="V128" s="2"/>
    </row>
    <row r="129" spans="1:15" x14ac:dyDescent="0.2">
      <c r="B129" s="45"/>
    </row>
    <row r="130" spans="1:15" x14ac:dyDescent="0.2">
      <c r="B130" s="53"/>
      <c r="O130" s="15"/>
    </row>
    <row r="131" spans="1:15" x14ac:dyDescent="0.2">
      <c r="B131" s="53"/>
      <c r="O131" s="15"/>
    </row>
    <row r="132" spans="1:15" x14ac:dyDescent="0.2">
      <c r="B132" s="45"/>
      <c r="O132" s="15"/>
    </row>
    <row r="133" spans="1:15" x14ac:dyDescent="0.2">
      <c r="B133" s="53"/>
      <c r="O133" s="15"/>
    </row>
    <row r="134" spans="1:15" x14ac:dyDescent="0.2">
      <c r="B134" s="52"/>
      <c r="O134" s="15"/>
    </row>
    <row r="135" spans="1:15" x14ac:dyDescent="0.2">
      <c r="B135" s="53"/>
      <c r="O135" s="15"/>
    </row>
    <row r="136" spans="1:15" x14ac:dyDescent="0.2">
      <c r="B136" s="45"/>
    </row>
    <row r="137" spans="1:15" x14ac:dyDescent="0.2">
      <c r="A137" s="2"/>
      <c r="B137" s="44"/>
    </row>
    <row r="138" spans="1:15" x14ac:dyDescent="0.2">
      <c r="B138" s="45"/>
    </row>
    <row r="139" spans="1:15" x14ac:dyDescent="0.2">
      <c r="B139" s="45"/>
    </row>
    <row r="140" spans="1:15" x14ac:dyDescent="0.2">
      <c r="B140" s="45"/>
    </row>
    <row r="141" spans="1:15" x14ac:dyDescent="0.2">
      <c r="B141" s="45"/>
    </row>
    <row r="142" spans="1:15" x14ac:dyDescent="0.2">
      <c r="B142" s="45"/>
    </row>
    <row r="143" spans="1:15" x14ac:dyDescent="0.2">
      <c r="B143" s="45"/>
    </row>
    <row r="144" spans="1:15" x14ac:dyDescent="0.2">
      <c r="B144" s="45"/>
    </row>
    <row r="145" spans="1:22" x14ac:dyDescent="0.2">
      <c r="B145" s="45"/>
    </row>
    <row r="146" spans="1:22" x14ac:dyDescent="0.2">
      <c r="B146" s="45"/>
    </row>
    <row r="147" spans="1:22" x14ac:dyDescent="0.2">
      <c r="B147" s="45"/>
    </row>
    <row r="148" spans="1:22" x14ac:dyDescent="0.2">
      <c r="B148" s="45"/>
    </row>
    <row r="149" spans="1:22" x14ac:dyDescent="0.2">
      <c r="B149" s="45"/>
    </row>
    <row r="150" spans="1:22" x14ac:dyDescent="0.2">
      <c r="B150" s="45"/>
    </row>
    <row r="151" spans="1:22" x14ac:dyDescent="0.2">
      <c r="B151" s="45"/>
    </row>
    <row r="152" spans="1:22" x14ac:dyDescent="0.2">
      <c r="B152" s="45"/>
    </row>
    <row r="153" spans="1:22" x14ac:dyDescent="0.2">
      <c r="B153" s="45"/>
    </row>
    <row r="154" spans="1:22" x14ac:dyDescent="0.2">
      <c r="B154" s="45"/>
    </row>
    <row r="155" spans="1:22" x14ac:dyDescent="0.2">
      <c r="B155" s="45"/>
    </row>
    <row r="156" spans="1:22" x14ac:dyDescent="0.2">
      <c r="B156" s="66"/>
    </row>
    <row r="157" spans="1:22" x14ac:dyDescent="0.2">
      <c r="B157" s="49"/>
    </row>
    <row r="158" spans="1:22" x14ac:dyDescent="0.2">
      <c r="B158" s="45"/>
    </row>
    <row r="159" spans="1:22" x14ac:dyDescent="0.2">
      <c r="A159" s="3"/>
      <c r="B159" s="45"/>
    </row>
    <row r="160" spans="1:22" x14ac:dyDescent="0.2">
      <c r="A160" s="2"/>
      <c r="B160" s="44"/>
      <c r="C160" s="2"/>
      <c r="D160" s="2"/>
      <c r="E160" s="2"/>
      <c r="F160" s="2"/>
      <c r="G160" s="2"/>
      <c r="H160" s="2"/>
      <c r="I160" s="2"/>
      <c r="J160" s="2"/>
      <c r="K160" s="2"/>
      <c r="L160" s="2"/>
      <c r="M160" s="2"/>
      <c r="N160" s="2"/>
      <c r="O160" s="2"/>
      <c r="P160" s="2"/>
      <c r="Q160" s="2"/>
      <c r="R160" s="2"/>
      <c r="S160" s="2"/>
      <c r="T160" s="2"/>
      <c r="U160" s="2"/>
      <c r="V160" s="2"/>
    </row>
    <row r="161" spans="1:15" x14ac:dyDescent="0.2">
      <c r="B161" s="45"/>
    </row>
    <row r="162" spans="1:15" x14ac:dyDescent="0.2">
      <c r="B162" s="53"/>
      <c r="O162" s="15"/>
    </row>
    <row r="163" spans="1:15" x14ac:dyDescent="0.2">
      <c r="B163" s="53"/>
      <c r="O163" s="15"/>
    </row>
    <row r="164" spans="1:15" x14ac:dyDescent="0.2">
      <c r="B164" s="45"/>
      <c r="O164" s="15"/>
    </row>
    <row r="165" spans="1:15" x14ac:dyDescent="0.2">
      <c r="B165" s="45"/>
      <c r="O165" s="15"/>
    </row>
    <row r="166" spans="1:15" x14ac:dyDescent="0.2">
      <c r="B166" s="53"/>
      <c r="O166" s="15"/>
    </row>
    <row r="167" spans="1:15" x14ac:dyDescent="0.2">
      <c r="B167" s="52"/>
      <c r="O167" s="15"/>
    </row>
    <row r="168" spans="1:15" x14ac:dyDescent="0.2">
      <c r="B168" s="52"/>
      <c r="O168" s="15"/>
    </row>
    <row r="169" spans="1:15" x14ac:dyDescent="0.2">
      <c r="B169" s="53"/>
      <c r="O169" s="15"/>
    </row>
    <row r="170" spans="1:15" x14ac:dyDescent="0.2">
      <c r="B170" s="45"/>
    </row>
    <row r="171" spans="1:15" x14ac:dyDescent="0.2">
      <c r="A171" s="2"/>
      <c r="B171" s="44"/>
    </row>
    <row r="172" spans="1:15" x14ac:dyDescent="0.2">
      <c r="B172" s="45"/>
    </row>
    <row r="173" spans="1:15" x14ac:dyDescent="0.2">
      <c r="B173" s="45"/>
    </row>
    <row r="174" spans="1:15" x14ac:dyDescent="0.2">
      <c r="B174" s="45"/>
    </row>
    <row r="175" spans="1:15" x14ac:dyDescent="0.2">
      <c r="B175" s="45"/>
    </row>
    <row r="176" spans="1:15" x14ac:dyDescent="0.2">
      <c r="B176" s="45"/>
    </row>
    <row r="177" spans="2:2" x14ac:dyDescent="0.2">
      <c r="B177" s="45"/>
    </row>
    <row r="178" spans="2:2" x14ac:dyDescent="0.2">
      <c r="B178" s="45"/>
    </row>
    <row r="179" spans="2:2" x14ac:dyDescent="0.2">
      <c r="B179" s="45"/>
    </row>
    <row r="180" spans="2:2" x14ac:dyDescent="0.2">
      <c r="B180" s="45"/>
    </row>
    <row r="181" spans="2:2" x14ac:dyDescent="0.2">
      <c r="B181" s="45"/>
    </row>
    <row r="182" spans="2:2" x14ac:dyDescent="0.2">
      <c r="B182" s="45"/>
    </row>
    <row r="183" spans="2:2" x14ac:dyDescent="0.2">
      <c r="B183" s="45"/>
    </row>
    <row r="184" spans="2:2" x14ac:dyDescent="0.2">
      <c r="B184" s="45"/>
    </row>
    <row r="185" spans="2:2" x14ac:dyDescent="0.2">
      <c r="B185" s="45"/>
    </row>
    <row r="186" spans="2:2" x14ac:dyDescent="0.2">
      <c r="B186" s="45"/>
    </row>
    <row r="187" spans="2:2" x14ac:dyDescent="0.2">
      <c r="B187" s="45"/>
    </row>
    <row r="188" spans="2:2" x14ac:dyDescent="0.2">
      <c r="B188" s="45"/>
    </row>
    <row r="189" spans="2:2" x14ac:dyDescent="0.2">
      <c r="B189" s="45"/>
    </row>
    <row r="190" spans="2:2" x14ac:dyDescent="0.2">
      <c r="B190" s="66"/>
    </row>
    <row r="191" spans="2:2" x14ac:dyDescent="0.2">
      <c r="B191" s="49"/>
    </row>
    <row r="192" spans="2:2" x14ac:dyDescent="0.2">
      <c r="B192" s="45"/>
    </row>
    <row r="193" spans="1:22" x14ac:dyDescent="0.2">
      <c r="A193" s="3"/>
      <c r="B193" s="45"/>
    </row>
    <row r="194" spans="1:22" x14ac:dyDescent="0.2">
      <c r="A194" s="2"/>
      <c r="B194" s="44"/>
      <c r="C194" s="2"/>
      <c r="D194" s="2"/>
      <c r="E194" s="2"/>
      <c r="F194" s="2"/>
      <c r="G194" s="2"/>
      <c r="H194" s="2"/>
      <c r="I194" s="2"/>
      <c r="J194" s="2"/>
      <c r="K194" s="2"/>
      <c r="L194" s="2"/>
      <c r="M194" s="2"/>
      <c r="N194" s="2"/>
      <c r="O194" s="2"/>
      <c r="P194" s="2"/>
      <c r="Q194" s="2"/>
      <c r="R194" s="2"/>
      <c r="S194" s="2"/>
      <c r="T194" s="2"/>
      <c r="U194" s="2"/>
      <c r="V194" s="2"/>
    </row>
    <row r="195" spans="1:22" x14ac:dyDescent="0.2">
      <c r="B195" s="45"/>
    </row>
    <row r="196" spans="1:22" x14ac:dyDescent="0.2">
      <c r="B196" s="53"/>
      <c r="O196" s="15"/>
    </row>
    <row r="197" spans="1:22" x14ac:dyDescent="0.2">
      <c r="B197" s="53"/>
      <c r="O197" s="15"/>
    </row>
    <row r="198" spans="1:22" x14ac:dyDescent="0.2">
      <c r="B198" s="45"/>
      <c r="O198" s="15"/>
    </row>
    <row r="199" spans="1:22" x14ac:dyDescent="0.2">
      <c r="B199" s="53"/>
      <c r="O199" s="15"/>
    </row>
    <row r="200" spans="1:22" x14ac:dyDescent="0.2">
      <c r="B200" s="52"/>
      <c r="O200" s="15"/>
    </row>
    <row r="201" spans="1:22" x14ac:dyDescent="0.2">
      <c r="B201" s="53"/>
      <c r="O201" s="15"/>
    </row>
    <row r="202" spans="1:22" x14ac:dyDescent="0.2">
      <c r="B202" s="45"/>
    </row>
    <row r="203" spans="1:22" x14ac:dyDescent="0.2">
      <c r="A203" s="2"/>
      <c r="B203" s="44"/>
    </row>
    <row r="204" spans="1:22" x14ac:dyDescent="0.2">
      <c r="B204" s="45"/>
    </row>
    <row r="205" spans="1:22" x14ac:dyDescent="0.2">
      <c r="B205" s="45"/>
    </row>
    <row r="206" spans="1:22" x14ac:dyDescent="0.2">
      <c r="B206" s="45"/>
    </row>
    <row r="207" spans="1:22" x14ac:dyDescent="0.2">
      <c r="B207" s="45"/>
    </row>
    <row r="208" spans="1:22" x14ac:dyDescent="0.2">
      <c r="B208" s="45"/>
    </row>
    <row r="209" spans="2:2" x14ac:dyDescent="0.2">
      <c r="B209" s="45"/>
    </row>
    <row r="210" spans="2:2" x14ac:dyDescent="0.2">
      <c r="B210" s="45"/>
    </row>
    <row r="211" spans="2:2" x14ac:dyDescent="0.2">
      <c r="B211" s="45"/>
    </row>
    <row r="212" spans="2:2" x14ac:dyDescent="0.2">
      <c r="B212" s="45"/>
    </row>
    <row r="213" spans="2:2" x14ac:dyDescent="0.2">
      <c r="B213" s="45"/>
    </row>
    <row r="214" spans="2:2" x14ac:dyDescent="0.2">
      <c r="B214" s="45"/>
    </row>
    <row r="215" spans="2:2" x14ac:dyDescent="0.2">
      <c r="B215" s="45"/>
    </row>
    <row r="216" spans="2:2" x14ac:dyDescent="0.2">
      <c r="B216" s="45"/>
    </row>
    <row r="217" spans="2:2" x14ac:dyDescent="0.2">
      <c r="B217" s="45"/>
    </row>
    <row r="218" spans="2:2" x14ac:dyDescent="0.2">
      <c r="B218" s="45"/>
    </row>
    <row r="219" spans="2:2" x14ac:dyDescent="0.2">
      <c r="B219" s="45"/>
    </row>
    <row r="220" spans="2:2" x14ac:dyDescent="0.2">
      <c r="B220" s="45"/>
    </row>
    <row r="221" spans="2:2" x14ac:dyDescent="0.2">
      <c r="B221" s="45"/>
    </row>
    <row r="222" spans="2:2" x14ac:dyDescent="0.2">
      <c r="B222" s="66"/>
    </row>
    <row r="223" spans="2:2" x14ac:dyDescent="0.2">
      <c r="B223" s="49"/>
    </row>
    <row r="224" spans="2:2" x14ac:dyDescent="0.2">
      <c r="B224" s="45"/>
    </row>
    <row r="225" spans="1:22" x14ac:dyDescent="0.2">
      <c r="A225" s="3"/>
      <c r="B225" s="45"/>
    </row>
    <row r="226" spans="1:22" x14ac:dyDescent="0.2">
      <c r="A226" s="2"/>
      <c r="B226" s="44"/>
      <c r="C226" s="2"/>
      <c r="D226" s="2"/>
      <c r="E226" s="2"/>
      <c r="F226" s="2"/>
      <c r="G226" s="2"/>
      <c r="H226" s="2"/>
      <c r="I226" s="2"/>
      <c r="J226" s="2"/>
      <c r="K226" s="2"/>
      <c r="L226" s="2"/>
      <c r="M226" s="2"/>
      <c r="N226" s="2"/>
      <c r="O226" s="2"/>
      <c r="P226" s="2"/>
      <c r="Q226" s="2"/>
      <c r="R226" s="2"/>
      <c r="S226" s="2"/>
      <c r="T226" s="2"/>
      <c r="U226" s="2"/>
      <c r="V226" s="2"/>
    </row>
    <row r="227" spans="1:22" x14ac:dyDescent="0.2">
      <c r="B227" s="45"/>
    </row>
    <row r="228" spans="1:22" x14ac:dyDescent="0.2">
      <c r="B228" s="53"/>
      <c r="O228" s="15"/>
    </row>
    <row r="229" spans="1:22" x14ac:dyDescent="0.2">
      <c r="B229" s="53"/>
      <c r="O229" s="15"/>
    </row>
    <row r="230" spans="1:22" x14ac:dyDescent="0.2">
      <c r="B230" s="45"/>
      <c r="O230" s="15"/>
    </row>
    <row r="231" spans="1:22" x14ac:dyDescent="0.2">
      <c r="B231" s="45"/>
      <c r="O231" s="15"/>
    </row>
    <row r="232" spans="1:22" x14ac:dyDescent="0.2">
      <c r="B232" s="53"/>
      <c r="O232" s="15"/>
    </row>
    <row r="233" spans="1:22" x14ac:dyDescent="0.2">
      <c r="B233" s="52"/>
      <c r="O233" s="15"/>
    </row>
    <row r="234" spans="1:22" x14ac:dyDescent="0.2">
      <c r="B234" s="52"/>
      <c r="O234" s="15"/>
    </row>
    <row r="235" spans="1:22" x14ac:dyDescent="0.2">
      <c r="B235" s="53"/>
      <c r="O235" s="15"/>
    </row>
    <row r="236" spans="1:22" x14ac:dyDescent="0.2">
      <c r="B236" s="45"/>
    </row>
    <row r="237" spans="1:22" x14ac:dyDescent="0.2">
      <c r="A237" s="2"/>
      <c r="B237" s="44"/>
    </row>
    <row r="238" spans="1:22" x14ac:dyDescent="0.2">
      <c r="B238" s="45"/>
    </row>
    <row r="239" spans="1:22" x14ac:dyDescent="0.2">
      <c r="B239" s="45"/>
    </row>
    <row r="240" spans="1:22" x14ac:dyDescent="0.2">
      <c r="B240" s="45"/>
    </row>
    <row r="241" spans="2:2" x14ac:dyDescent="0.2">
      <c r="B241" s="45"/>
    </row>
    <row r="242" spans="2:2" x14ac:dyDescent="0.2">
      <c r="B242" s="45"/>
    </row>
    <row r="243" spans="2:2" x14ac:dyDescent="0.2">
      <c r="B243" s="45"/>
    </row>
    <row r="244" spans="2:2" x14ac:dyDescent="0.2">
      <c r="B244" s="45"/>
    </row>
    <row r="245" spans="2:2" x14ac:dyDescent="0.2">
      <c r="B245" s="45"/>
    </row>
    <row r="246" spans="2:2" x14ac:dyDescent="0.2">
      <c r="B246" s="45"/>
    </row>
    <row r="247" spans="2:2" x14ac:dyDescent="0.2">
      <c r="B247" s="45"/>
    </row>
    <row r="248" spans="2:2" x14ac:dyDescent="0.2">
      <c r="B248" s="45"/>
    </row>
    <row r="249" spans="2:2" x14ac:dyDescent="0.2">
      <c r="B249" s="45"/>
    </row>
    <row r="250" spans="2:2" x14ac:dyDescent="0.2">
      <c r="B250" s="45"/>
    </row>
    <row r="251" spans="2:2" x14ac:dyDescent="0.2">
      <c r="B251" s="45"/>
    </row>
    <row r="252" spans="2:2" x14ac:dyDescent="0.2">
      <c r="B252" s="45"/>
    </row>
    <row r="253" spans="2:2" x14ac:dyDescent="0.2">
      <c r="B253" s="45"/>
    </row>
    <row r="254" spans="2:2" x14ac:dyDescent="0.2">
      <c r="B254" s="45"/>
    </row>
    <row r="255" spans="2:2" x14ac:dyDescent="0.2">
      <c r="B255" s="45"/>
    </row>
    <row r="256" spans="2:2" x14ac:dyDescent="0.2">
      <c r="B256" s="66"/>
    </row>
    <row r="257" spans="1:22" x14ac:dyDescent="0.2">
      <c r="B257" s="49"/>
    </row>
    <row r="258" spans="1:22" x14ac:dyDescent="0.2">
      <c r="B258" s="45"/>
    </row>
    <row r="259" spans="1:22" x14ac:dyDescent="0.2">
      <c r="A259" s="3"/>
      <c r="B259" s="45"/>
    </row>
    <row r="260" spans="1:22" x14ac:dyDescent="0.2">
      <c r="A260" s="2"/>
      <c r="B260" s="44"/>
      <c r="C260" s="2"/>
      <c r="D260" s="2"/>
      <c r="E260" s="2"/>
      <c r="F260" s="2"/>
      <c r="G260" s="2"/>
      <c r="H260" s="2"/>
      <c r="I260" s="2"/>
      <c r="J260" s="2"/>
      <c r="K260" s="2"/>
      <c r="L260" s="2"/>
      <c r="M260" s="2"/>
      <c r="N260" s="2"/>
      <c r="O260" s="2"/>
      <c r="P260" s="2"/>
      <c r="Q260" s="2"/>
      <c r="R260" s="2"/>
      <c r="S260" s="2"/>
      <c r="T260" s="2"/>
      <c r="U260" s="2"/>
      <c r="V260" s="2"/>
    </row>
    <row r="261" spans="1:22" x14ac:dyDescent="0.2">
      <c r="B261" s="45"/>
    </row>
    <row r="262" spans="1:22" x14ac:dyDescent="0.2">
      <c r="B262" s="53"/>
      <c r="O262" s="15"/>
    </row>
    <row r="263" spans="1:22" x14ac:dyDescent="0.2">
      <c r="B263" s="53"/>
      <c r="O263" s="15"/>
    </row>
    <row r="264" spans="1:22" x14ac:dyDescent="0.2">
      <c r="B264" s="45"/>
      <c r="O264" s="15"/>
    </row>
    <row r="265" spans="1:22" x14ac:dyDescent="0.2">
      <c r="B265" s="53"/>
      <c r="O265" s="15"/>
    </row>
    <row r="266" spans="1:22" x14ac:dyDescent="0.2">
      <c r="B266" s="52"/>
      <c r="O266" s="15"/>
    </row>
    <row r="267" spans="1:22" x14ac:dyDescent="0.2">
      <c r="B267" s="53"/>
      <c r="O267" s="15"/>
    </row>
    <row r="268" spans="1:22" x14ac:dyDescent="0.2">
      <c r="B268" s="45"/>
    </row>
    <row r="269" spans="1:22" x14ac:dyDescent="0.2">
      <c r="A269" s="2"/>
      <c r="B269" s="44"/>
    </row>
    <row r="270" spans="1:22" x14ac:dyDescent="0.2">
      <c r="B270" s="45"/>
    </row>
    <row r="271" spans="1:22" x14ac:dyDescent="0.2">
      <c r="B271" s="45"/>
    </row>
    <row r="272" spans="1:22" x14ac:dyDescent="0.2">
      <c r="B272" s="45"/>
    </row>
    <row r="273" spans="2:2" x14ac:dyDescent="0.2">
      <c r="B273" s="45"/>
    </row>
    <row r="274" spans="2:2" x14ac:dyDescent="0.2">
      <c r="B274" s="45"/>
    </row>
    <row r="275" spans="2:2" x14ac:dyDescent="0.2">
      <c r="B275" s="45"/>
    </row>
    <row r="276" spans="2:2" x14ac:dyDescent="0.2">
      <c r="B276" s="45"/>
    </row>
    <row r="277" spans="2:2" x14ac:dyDescent="0.2">
      <c r="B277" s="45"/>
    </row>
    <row r="278" spans="2:2" x14ac:dyDescent="0.2">
      <c r="B278" s="45"/>
    </row>
    <row r="279" spans="2:2" x14ac:dyDescent="0.2">
      <c r="B279" s="45"/>
    </row>
    <row r="280" spans="2:2" x14ac:dyDescent="0.2">
      <c r="B280" s="45"/>
    </row>
    <row r="281" spans="2:2" x14ac:dyDescent="0.2">
      <c r="B281" s="45"/>
    </row>
    <row r="282" spans="2:2" x14ac:dyDescent="0.2">
      <c r="B282" s="45"/>
    </row>
    <row r="283" spans="2:2" x14ac:dyDescent="0.2">
      <c r="B283" s="45"/>
    </row>
    <row r="284" spans="2:2" x14ac:dyDescent="0.2">
      <c r="B284" s="45"/>
    </row>
    <row r="285" spans="2:2" x14ac:dyDescent="0.2">
      <c r="B285" s="45"/>
    </row>
    <row r="286" spans="2:2" x14ac:dyDescent="0.2">
      <c r="B286" s="45"/>
    </row>
    <row r="287" spans="2:2" x14ac:dyDescent="0.2">
      <c r="B287" s="45"/>
    </row>
    <row r="288" spans="2:2" x14ac:dyDescent="0.2">
      <c r="B288" s="66"/>
    </row>
    <row r="289" spans="1:22" x14ac:dyDescent="0.2">
      <c r="B289" s="49"/>
    </row>
    <row r="290" spans="1:22" x14ac:dyDescent="0.2">
      <c r="B290" s="45"/>
    </row>
    <row r="291" spans="1:22" x14ac:dyDescent="0.2">
      <c r="A291" s="3"/>
      <c r="B291" s="45"/>
    </row>
    <row r="292" spans="1:22" x14ac:dyDescent="0.2">
      <c r="A292" s="2"/>
      <c r="B292" s="44"/>
      <c r="C292" s="2"/>
      <c r="D292" s="2"/>
      <c r="E292" s="2"/>
      <c r="F292" s="2"/>
      <c r="G292" s="2"/>
      <c r="H292" s="2"/>
      <c r="I292" s="2"/>
      <c r="J292" s="2"/>
      <c r="K292" s="2"/>
      <c r="L292" s="2"/>
      <c r="M292" s="2"/>
      <c r="N292" s="2"/>
      <c r="O292" s="2"/>
      <c r="P292" s="2"/>
      <c r="Q292" s="2"/>
      <c r="R292" s="2"/>
      <c r="S292" s="2"/>
      <c r="T292" s="2"/>
      <c r="U292" s="2"/>
      <c r="V292" s="2"/>
    </row>
    <row r="293" spans="1:22" x14ac:dyDescent="0.2">
      <c r="B293" s="45"/>
    </row>
    <row r="294" spans="1:22" x14ac:dyDescent="0.2">
      <c r="B294" s="53"/>
      <c r="O294" s="15"/>
    </row>
    <row r="295" spans="1:22" x14ac:dyDescent="0.2">
      <c r="B295" s="53"/>
      <c r="O295" s="15"/>
    </row>
    <row r="296" spans="1:22" x14ac:dyDescent="0.2">
      <c r="B296" s="45"/>
      <c r="O296" s="15"/>
    </row>
    <row r="297" spans="1:22" x14ac:dyDescent="0.2">
      <c r="B297" s="45"/>
      <c r="O297" s="15"/>
    </row>
    <row r="298" spans="1:22" x14ac:dyDescent="0.2">
      <c r="B298" s="53"/>
      <c r="O298" s="15"/>
    </row>
    <row r="299" spans="1:22" x14ac:dyDescent="0.2">
      <c r="B299" s="52"/>
      <c r="O299" s="15"/>
    </row>
    <row r="300" spans="1:22" x14ac:dyDescent="0.2">
      <c r="B300" s="52"/>
      <c r="O300" s="15"/>
    </row>
    <row r="301" spans="1:22" x14ac:dyDescent="0.2">
      <c r="B301" s="53"/>
      <c r="O301" s="15"/>
    </row>
    <row r="302" spans="1:22" x14ac:dyDescent="0.2">
      <c r="B302" s="45"/>
    </row>
    <row r="303" spans="1:22" x14ac:dyDescent="0.2">
      <c r="A303" s="2"/>
      <c r="B303" s="44"/>
    </row>
    <row r="304" spans="1:22" x14ac:dyDescent="0.2">
      <c r="B304" s="45"/>
    </row>
    <row r="305" spans="2:2" x14ac:dyDescent="0.2">
      <c r="B305" s="45"/>
    </row>
    <row r="306" spans="2:2" x14ac:dyDescent="0.2">
      <c r="B306" s="45"/>
    </row>
    <row r="307" spans="2:2" x14ac:dyDescent="0.2">
      <c r="B307" s="45"/>
    </row>
    <row r="308" spans="2:2" x14ac:dyDescent="0.2">
      <c r="B308" s="45"/>
    </row>
    <row r="309" spans="2:2" x14ac:dyDescent="0.2">
      <c r="B309" s="45"/>
    </row>
    <row r="310" spans="2:2" x14ac:dyDescent="0.2">
      <c r="B310" s="45"/>
    </row>
    <row r="311" spans="2:2" x14ac:dyDescent="0.2">
      <c r="B311" s="45"/>
    </row>
    <row r="312" spans="2:2" x14ac:dyDescent="0.2">
      <c r="B312" s="45"/>
    </row>
    <row r="313" spans="2:2" x14ac:dyDescent="0.2">
      <c r="B313" s="45"/>
    </row>
    <row r="314" spans="2:2" x14ac:dyDescent="0.2">
      <c r="B314" s="45"/>
    </row>
    <row r="315" spans="2:2" x14ac:dyDescent="0.2">
      <c r="B315" s="45"/>
    </row>
    <row r="316" spans="2:2" x14ac:dyDescent="0.2">
      <c r="B316" s="45"/>
    </row>
    <row r="317" spans="2:2" x14ac:dyDescent="0.2">
      <c r="B317" s="45"/>
    </row>
    <row r="318" spans="2:2" x14ac:dyDescent="0.2">
      <c r="B318" s="45"/>
    </row>
    <row r="319" spans="2:2" x14ac:dyDescent="0.2">
      <c r="B319" s="45"/>
    </row>
    <row r="320" spans="2:2" x14ac:dyDescent="0.2">
      <c r="B320" s="45"/>
    </row>
    <row r="321" spans="1:22" x14ac:dyDescent="0.2">
      <c r="B321" s="45"/>
    </row>
    <row r="322" spans="1:22" x14ac:dyDescent="0.2">
      <c r="B322" s="66"/>
    </row>
    <row r="323" spans="1:22" x14ac:dyDescent="0.2">
      <c r="B323" s="49"/>
    </row>
    <row r="324" spans="1:22" x14ac:dyDescent="0.2">
      <c r="B324" s="45"/>
    </row>
    <row r="325" spans="1:22" x14ac:dyDescent="0.2">
      <c r="A325" s="3"/>
      <c r="B325" s="45"/>
    </row>
    <row r="326" spans="1:22" x14ac:dyDescent="0.2">
      <c r="A326" s="2"/>
      <c r="B326" s="44"/>
      <c r="C326" s="2"/>
      <c r="D326" s="2"/>
      <c r="E326" s="2"/>
      <c r="F326" s="2"/>
      <c r="G326" s="2"/>
      <c r="H326" s="2"/>
      <c r="I326" s="2"/>
      <c r="J326" s="2"/>
      <c r="K326" s="2"/>
      <c r="L326" s="2"/>
      <c r="M326" s="2"/>
      <c r="N326" s="2"/>
      <c r="O326" s="2"/>
      <c r="P326" s="2"/>
      <c r="Q326" s="2"/>
      <c r="R326" s="2"/>
      <c r="S326" s="2"/>
      <c r="T326" s="2"/>
      <c r="U326" s="2"/>
      <c r="V326" s="2"/>
    </row>
    <row r="327" spans="1:22" x14ac:dyDescent="0.2">
      <c r="B327" s="45"/>
    </row>
    <row r="328" spans="1:22" x14ac:dyDescent="0.2">
      <c r="B328" s="53"/>
      <c r="O328" s="15"/>
    </row>
    <row r="329" spans="1:22" x14ac:dyDescent="0.2">
      <c r="B329" s="53"/>
      <c r="O329" s="15"/>
    </row>
    <row r="330" spans="1:22" x14ac:dyDescent="0.2">
      <c r="B330" s="45"/>
      <c r="O330" s="15"/>
    </row>
    <row r="331" spans="1:22" x14ac:dyDescent="0.2">
      <c r="B331" s="53"/>
      <c r="O331" s="15"/>
    </row>
    <row r="332" spans="1:22" x14ac:dyDescent="0.2">
      <c r="B332" s="52"/>
      <c r="O332" s="15"/>
    </row>
    <row r="333" spans="1:22" x14ac:dyDescent="0.2">
      <c r="B333" s="53"/>
      <c r="O333" s="15"/>
    </row>
    <row r="334" spans="1:22" x14ac:dyDescent="0.2">
      <c r="B334" s="45"/>
    </row>
    <row r="336" spans="1:22" x14ac:dyDescent="0.2">
      <c r="A336" s="2"/>
      <c r="B336" s="44"/>
    </row>
    <row r="337" spans="2:2" x14ac:dyDescent="0.2">
      <c r="B337" s="45"/>
    </row>
    <row r="338" spans="2:2" x14ac:dyDescent="0.2">
      <c r="B338" s="45"/>
    </row>
    <row r="339" spans="2:2" x14ac:dyDescent="0.2">
      <c r="B339" s="45"/>
    </row>
    <row r="340" spans="2:2" x14ac:dyDescent="0.2">
      <c r="B340" s="45"/>
    </row>
    <row r="341" spans="2:2" x14ac:dyDescent="0.2">
      <c r="B341" s="45"/>
    </row>
    <row r="342" spans="2:2" x14ac:dyDescent="0.2">
      <c r="B342" s="45"/>
    </row>
    <row r="343" spans="2:2" x14ac:dyDescent="0.2">
      <c r="B343" s="45"/>
    </row>
    <row r="344" spans="2:2" x14ac:dyDescent="0.2">
      <c r="B344" s="45"/>
    </row>
    <row r="345" spans="2:2" x14ac:dyDescent="0.2">
      <c r="B345" s="45"/>
    </row>
    <row r="346" spans="2:2" x14ac:dyDescent="0.2">
      <c r="B346" s="45"/>
    </row>
    <row r="347" spans="2:2" x14ac:dyDescent="0.2">
      <c r="B347" s="45"/>
    </row>
    <row r="348" spans="2:2" x14ac:dyDescent="0.2">
      <c r="B348" s="45"/>
    </row>
    <row r="349" spans="2:2" x14ac:dyDescent="0.2">
      <c r="B349" s="45"/>
    </row>
    <row r="350" spans="2:2" x14ac:dyDescent="0.2">
      <c r="B350" s="45"/>
    </row>
    <row r="351" spans="2:2" x14ac:dyDescent="0.2">
      <c r="B351" s="45"/>
    </row>
    <row r="352" spans="2:2" x14ac:dyDescent="0.2">
      <c r="B352" s="45"/>
    </row>
    <row r="353" spans="1:22" x14ac:dyDescent="0.2">
      <c r="B353" s="45"/>
    </row>
    <row r="354" spans="1:22" x14ac:dyDescent="0.2">
      <c r="B354" s="45"/>
    </row>
    <row r="355" spans="1:22" x14ac:dyDescent="0.2">
      <c r="B355" s="66"/>
    </row>
    <row r="356" spans="1:22" x14ac:dyDescent="0.2">
      <c r="B356" s="49"/>
    </row>
    <row r="357" spans="1:22" x14ac:dyDescent="0.2">
      <c r="B357" s="45"/>
    </row>
    <row r="358" spans="1:22" x14ac:dyDescent="0.2">
      <c r="A358" s="3"/>
      <c r="B358" s="45"/>
    </row>
    <row r="359" spans="1:22" x14ac:dyDescent="0.2">
      <c r="A359" s="2"/>
      <c r="B359" s="44"/>
      <c r="C359" s="2"/>
      <c r="D359" s="2"/>
      <c r="E359" s="2"/>
      <c r="F359" s="2"/>
      <c r="G359" s="2"/>
      <c r="H359" s="2"/>
      <c r="I359" s="2"/>
      <c r="J359" s="2"/>
      <c r="K359" s="2"/>
      <c r="L359" s="2"/>
      <c r="M359" s="2"/>
      <c r="N359" s="2"/>
      <c r="O359" s="2"/>
      <c r="P359" s="2"/>
      <c r="Q359" s="2"/>
      <c r="R359" s="2"/>
      <c r="S359" s="2"/>
      <c r="T359" s="2"/>
      <c r="U359" s="2"/>
      <c r="V359" s="2"/>
    </row>
    <row r="360" spans="1:22" x14ac:dyDescent="0.2">
      <c r="B360" s="45"/>
    </row>
    <row r="361" spans="1:22" x14ac:dyDescent="0.2">
      <c r="B361" s="53"/>
      <c r="O361" s="15"/>
    </row>
    <row r="362" spans="1:22" x14ac:dyDescent="0.2">
      <c r="B362" s="53"/>
      <c r="O362" s="15"/>
    </row>
    <row r="363" spans="1:22" x14ac:dyDescent="0.2">
      <c r="B363" s="45"/>
      <c r="O363" s="15"/>
    </row>
    <row r="364" spans="1:22" x14ac:dyDescent="0.2">
      <c r="B364" s="45"/>
      <c r="O364" s="15"/>
    </row>
    <row r="365" spans="1:22" x14ac:dyDescent="0.2">
      <c r="B365" s="53"/>
      <c r="O365" s="15"/>
    </row>
    <row r="366" spans="1:22" x14ac:dyDescent="0.2">
      <c r="B366" s="52"/>
      <c r="O366" s="15"/>
    </row>
    <row r="367" spans="1:22" x14ac:dyDescent="0.2">
      <c r="B367" s="52"/>
      <c r="O367" s="15"/>
    </row>
    <row r="368" spans="1:22" x14ac:dyDescent="0.2">
      <c r="B368" s="53"/>
      <c r="O368" s="15"/>
    </row>
    <row r="369" spans="1:2" x14ac:dyDescent="0.2">
      <c r="B369" s="45"/>
    </row>
    <row r="370" spans="1:2" x14ac:dyDescent="0.2">
      <c r="A370" s="2"/>
      <c r="B370" s="44"/>
    </row>
    <row r="371" spans="1:2" x14ac:dyDescent="0.2">
      <c r="B371" s="45"/>
    </row>
    <row r="372" spans="1:2" x14ac:dyDescent="0.2">
      <c r="B372" s="45"/>
    </row>
    <row r="373" spans="1:2" x14ac:dyDescent="0.2">
      <c r="B373" s="45"/>
    </row>
    <row r="374" spans="1:2" x14ac:dyDescent="0.2">
      <c r="B374" s="45"/>
    </row>
    <row r="375" spans="1:2" x14ac:dyDescent="0.2">
      <c r="B375" s="45"/>
    </row>
    <row r="376" spans="1:2" x14ac:dyDescent="0.2">
      <c r="B376" s="45"/>
    </row>
    <row r="377" spans="1:2" x14ac:dyDescent="0.2">
      <c r="B377" s="45"/>
    </row>
    <row r="378" spans="1:2" x14ac:dyDescent="0.2">
      <c r="B378" s="45"/>
    </row>
    <row r="379" spans="1:2" x14ac:dyDescent="0.2">
      <c r="B379" s="45"/>
    </row>
    <row r="380" spans="1:2" x14ac:dyDescent="0.2">
      <c r="B380" s="45"/>
    </row>
    <row r="381" spans="1:2" x14ac:dyDescent="0.2">
      <c r="B381" s="45"/>
    </row>
    <row r="382" spans="1:2" x14ac:dyDescent="0.2">
      <c r="B382" s="45"/>
    </row>
    <row r="383" spans="1:2" x14ac:dyDescent="0.2">
      <c r="B383" s="45"/>
    </row>
    <row r="384" spans="1:2" x14ac:dyDescent="0.2">
      <c r="B384" s="45"/>
    </row>
    <row r="385" spans="1:22" x14ac:dyDescent="0.2">
      <c r="B385" s="45"/>
    </row>
    <row r="386" spans="1:22" x14ac:dyDescent="0.2">
      <c r="B386" s="45"/>
    </row>
    <row r="387" spans="1:22" x14ac:dyDescent="0.2">
      <c r="B387" s="45"/>
    </row>
    <row r="388" spans="1:22" x14ac:dyDescent="0.2">
      <c r="B388" s="45"/>
    </row>
    <row r="389" spans="1:22" x14ac:dyDescent="0.2">
      <c r="B389" s="66"/>
    </row>
    <row r="390" spans="1:22" x14ac:dyDescent="0.2">
      <c r="B390" s="49"/>
    </row>
    <row r="391" spans="1:22" x14ac:dyDescent="0.2">
      <c r="B391" s="45"/>
    </row>
    <row r="392" spans="1:22" x14ac:dyDescent="0.2">
      <c r="A392" s="3"/>
      <c r="B392" s="45"/>
    </row>
    <row r="393" spans="1:22" x14ac:dyDescent="0.2">
      <c r="A393" s="2"/>
      <c r="B393" s="44"/>
      <c r="C393" s="2"/>
      <c r="D393" s="2"/>
      <c r="E393" s="2"/>
      <c r="F393" s="2"/>
      <c r="G393" s="2"/>
      <c r="H393" s="2"/>
      <c r="I393" s="2"/>
      <c r="J393" s="2"/>
      <c r="K393" s="2"/>
      <c r="L393" s="2"/>
      <c r="M393" s="2"/>
      <c r="N393" s="2"/>
      <c r="O393" s="2"/>
      <c r="P393" s="2"/>
      <c r="Q393" s="2"/>
      <c r="R393" s="2"/>
      <c r="S393" s="2"/>
      <c r="T393" s="2"/>
      <c r="U393" s="2"/>
      <c r="V393" s="2"/>
    </row>
    <row r="394" spans="1:22" x14ac:dyDescent="0.2">
      <c r="B394" s="45"/>
    </row>
    <row r="395" spans="1:22" x14ac:dyDescent="0.2">
      <c r="B395" s="53"/>
      <c r="O395" s="15"/>
    </row>
    <row r="396" spans="1:22" x14ac:dyDescent="0.2">
      <c r="B396" s="53"/>
      <c r="O396" s="15"/>
    </row>
    <row r="397" spans="1:22" x14ac:dyDescent="0.2">
      <c r="B397" s="45"/>
      <c r="O397" s="15"/>
    </row>
    <row r="398" spans="1:22" x14ac:dyDescent="0.2">
      <c r="B398" s="53"/>
      <c r="O398" s="15"/>
    </row>
    <row r="399" spans="1:22" x14ac:dyDescent="0.2">
      <c r="B399" s="52"/>
      <c r="O399" s="15"/>
    </row>
    <row r="400" spans="1:22" x14ac:dyDescent="0.2">
      <c r="B400" s="53"/>
      <c r="O400" s="15"/>
    </row>
    <row r="401" spans="1:2" x14ac:dyDescent="0.2">
      <c r="B401" s="45"/>
    </row>
    <row r="402" spans="1:2" x14ac:dyDescent="0.2">
      <c r="A402" s="2"/>
      <c r="B402" s="44"/>
    </row>
    <row r="403" spans="1:2" x14ac:dyDescent="0.2">
      <c r="B403" s="45"/>
    </row>
    <row r="404" spans="1:2" x14ac:dyDescent="0.2">
      <c r="B404" s="45"/>
    </row>
    <row r="405" spans="1:2" x14ac:dyDescent="0.2">
      <c r="B405" s="45"/>
    </row>
    <row r="406" spans="1:2" x14ac:dyDescent="0.2">
      <c r="B406" s="45"/>
    </row>
    <row r="407" spans="1:2" x14ac:dyDescent="0.2">
      <c r="B407" s="45"/>
    </row>
    <row r="408" spans="1:2" x14ac:dyDescent="0.2">
      <c r="B408" s="45"/>
    </row>
    <row r="409" spans="1:2" x14ac:dyDescent="0.2">
      <c r="B409" s="45"/>
    </row>
    <row r="410" spans="1:2" x14ac:dyDescent="0.2">
      <c r="B410" s="45"/>
    </row>
    <row r="411" spans="1:2" x14ac:dyDescent="0.2">
      <c r="B411" s="45"/>
    </row>
    <row r="412" spans="1:2" x14ac:dyDescent="0.2">
      <c r="B412" s="45"/>
    </row>
    <row r="413" spans="1:2" x14ac:dyDescent="0.2">
      <c r="B413" s="45"/>
    </row>
    <row r="414" spans="1:2" x14ac:dyDescent="0.2">
      <c r="B414" s="45"/>
    </row>
    <row r="415" spans="1:2" x14ac:dyDescent="0.2">
      <c r="B415" s="45"/>
    </row>
    <row r="416" spans="1:2" x14ac:dyDescent="0.2">
      <c r="B416" s="45"/>
    </row>
    <row r="417" spans="1:22" x14ac:dyDescent="0.2">
      <c r="B417" s="45"/>
    </row>
    <row r="418" spans="1:22" x14ac:dyDescent="0.2">
      <c r="B418" s="45"/>
    </row>
    <row r="419" spans="1:22" x14ac:dyDescent="0.2">
      <c r="B419" s="45"/>
    </row>
    <row r="420" spans="1:22" x14ac:dyDescent="0.2">
      <c r="B420" s="45"/>
    </row>
    <row r="421" spans="1:22" x14ac:dyDescent="0.2">
      <c r="B421" s="66"/>
    </row>
    <row r="422" spans="1:22" x14ac:dyDescent="0.2">
      <c r="B422" s="49"/>
    </row>
    <row r="423" spans="1:22" x14ac:dyDescent="0.2">
      <c r="B423" s="45"/>
    </row>
    <row r="424" spans="1:22" x14ac:dyDescent="0.2">
      <c r="A424" s="3"/>
      <c r="B424" s="45"/>
    </row>
    <row r="425" spans="1:22" x14ac:dyDescent="0.2">
      <c r="A425" s="2"/>
      <c r="B425" s="44"/>
      <c r="C425" s="2"/>
      <c r="D425" s="2"/>
      <c r="E425" s="2"/>
      <c r="F425" s="2"/>
      <c r="G425" s="2"/>
      <c r="H425" s="2"/>
      <c r="I425" s="2"/>
      <c r="J425" s="2"/>
      <c r="K425" s="2"/>
      <c r="L425" s="2"/>
      <c r="M425" s="2"/>
      <c r="N425" s="2"/>
      <c r="O425" s="2"/>
      <c r="P425" s="2"/>
      <c r="Q425" s="2"/>
      <c r="R425" s="2"/>
      <c r="S425" s="2"/>
      <c r="T425" s="2"/>
      <c r="U425" s="2"/>
      <c r="V425" s="2"/>
    </row>
    <row r="426" spans="1:22" x14ac:dyDescent="0.2">
      <c r="B426" s="45"/>
    </row>
    <row r="427" spans="1:22" x14ac:dyDescent="0.2">
      <c r="B427" s="53"/>
      <c r="O427" s="15"/>
    </row>
    <row r="428" spans="1:22" x14ac:dyDescent="0.2">
      <c r="B428" s="53"/>
      <c r="O428" s="15"/>
    </row>
    <row r="429" spans="1:22" x14ac:dyDescent="0.2">
      <c r="B429" s="45"/>
      <c r="O429" s="15"/>
    </row>
    <row r="430" spans="1:22" x14ac:dyDescent="0.2">
      <c r="B430" s="45"/>
      <c r="O430" s="15"/>
    </row>
    <row r="431" spans="1:22" x14ac:dyDescent="0.2">
      <c r="B431" s="53"/>
      <c r="O431" s="15"/>
    </row>
    <row r="432" spans="1:22" x14ac:dyDescent="0.2">
      <c r="B432" s="52"/>
      <c r="O432" s="15"/>
    </row>
    <row r="433" spans="1:15" x14ac:dyDescent="0.2">
      <c r="B433" s="52"/>
      <c r="O433" s="15"/>
    </row>
    <row r="434" spans="1:15" x14ac:dyDescent="0.2">
      <c r="B434" s="53"/>
      <c r="O434" s="15"/>
    </row>
    <row r="435" spans="1:15" x14ac:dyDescent="0.2">
      <c r="B435" s="45"/>
    </row>
    <row r="436" spans="1:15" x14ac:dyDescent="0.2">
      <c r="A436" s="2"/>
      <c r="B436" s="44"/>
    </row>
    <row r="437" spans="1:15" x14ac:dyDescent="0.2">
      <c r="B437" s="45"/>
    </row>
    <row r="438" spans="1:15" x14ac:dyDescent="0.2">
      <c r="B438" s="45"/>
    </row>
    <row r="439" spans="1:15" x14ac:dyDescent="0.2">
      <c r="B439" s="45"/>
    </row>
    <row r="440" spans="1:15" x14ac:dyDescent="0.2">
      <c r="B440" s="45"/>
    </row>
    <row r="441" spans="1:15" x14ac:dyDescent="0.2">
      <c r="B441" s="45"/>
    </row>
    <row r="442" spans="1:15" x14ac:dyDescent="0.2">
      <c r="B442" s="45"/>
    </row>
    <row r="443" spans="1:15" x14ac:dyDescent="0.2">
      <c r="B443" s="45"/>
    </row>
    <row r="444" spans="1:15" x14ac:dyDescent="0.2">
      <c r="B444" s="45"/>
    </row>
    <row r="445" spans="1:15" x14ac:dyDescent="0.2">
      <c r="B445" s="45"/>
    </row>
    <row r="446" spans="1:15" x14ac:dyDescent="0.2">
      <c r="B446" s="45"/>
    </row>
    <row r="447" spans="1:15" x14ac:dyDescent="0.2">
      <c r="B447" s="45"/>
    </row>
    <row r="448" spans="1:15" x14ac:dyDescent="0.2">
      <c r="B448" s="45"/>
    </row>
    <row r="449" spans="1:22" x14ac:dyDescent="0.2">
      <c r="B449" s="45"/>
    </row>
    <row r="450" spans="1:22" x14ac:dyDescent="0.2">
      <c r="B450" s="45"/>
    </row>
    <row r="451" spans="1:22" x14ac:dyDescent="0.2">
      <c r="B451" s="45"/>
    </row>
    <row r="452" spans="1:22" x14ac:dyDescent="0.2">
      <c r="B452" s="45"/>
    </row>
    <row r="453" spans="1:22" x14ac:dyDescent="0.2">
      <c r="B453" s="45"/>
    </row>
    <row r="454" spans="1:22" x14ac:dyDescent="0.2">
      <c r="B454" s="45"/>
    </row>
    <row r="455" spans="1:22" x14ac:dyDescent="0.2">
      <c r="B455" s="66"/>
    </row>
    <row r="456" spans="1:22" x14ac:dyDescent="0.2">
      <c r="B456" s="49"/>
    </row>
    <row r="457" spans="1:22" x14ac:dyDescent="0.2">
      <c r="B457" s="45"/>
    </row>
    <row r="458" spans="1:22" x14ac:dyDescent="0.2">
      <c r="A458" s="3"/>
      <c r="B458" s="45"/>
    </row>
    <row r="459" spans="1:22" x14ac:dyDescent="0.2">
      <c r="A459" s="2"/>
      <c r="B459" s="44"/>
      <c r="C459" s="2"/>
      <c r="D459" s="2"/>
      <c r="E459" s="2"/>
      <c r="F459" s="2"/>
      <c r="G459" s="2"/>
      <c r="H459" s="2"/>
      <c r="I459" s="2"/>
      <c r="J459" s="2"/>
      <c r="K459" s="2"/>
      <c r="L459" s="2"/>
      <c r="M459" s="2"/>
      <c r="N459" s="2"/>
      <c r="O459" s="2"/>
      <c r="P459" s="2"/>
      <c r="Q459" s="2"/>
      <c r="R459" s="2"/>
      <c r="S459" s="2"/>
      <c r="T459" s="2"/>
      <c r="U459" s="2"/>
      <c r="V459" s="2"/>
    </row>
    <row r="460" spans="1:22" x14ac:dyDescent="0.2">
      <c r="B460" s="45"/>
    </row>
    <row r="461" spans="1:22" x14ac:dyDescent="0.2">
      <c r="B461" s="53"/>
      <c r="O461" s="15"/>
    </row>
    <row r="462" spans="1:22" x14ac:dyDescent="0.2">
      <c r="B462" s="53"/>
      <c r="O462" s="15"/>
    </row>
    <row r="463" spans="1:22" x14ac:dyDescent="0.2">
      <c r="B463" s="45"/>
      <c r="O463" s="15"/>
    </row>
    <row r="464" spans="1:22" x14ac:dyDescent="0.2">
      <c r="B464" s="53"/>
      <c r="O464" s="15"/>
    </row>
    <row r="465" spans="1:15" x14ac:dyDescent="0.2">
      <c r="B465" s="52"/>
      <c r="O465" s="15"/>
    </row>
    <row r="466" spans="1:15" x14ac:dyDescent="0.2">
      <c r="B466" s="53"/>
      <c r="O466" s="15"/>
    </row>
    <row r="468" spans="1:15" x14ac:dyDescent="0.2">
      <c r="A468" s="2"/>
      <c r="B468" s="44"/>
    </row>
    <row r="469" spans="1:15" x14ac:dyDescent="0.2">
      <c r="B469" s="45"/>
    </row>
    <row r="470" spans="1:15" x14ac:dyDescent="0.2">
      <c r="B470" s="45"/>
    </row>
    <row r="471" spans="1:15" x14ac:dyDescent="0.2">
      <c r="B471" s="45"/>
    </row>
    <row r="472" spans="1:15" x14ac:dyDescent="0.2">
      <c r="B472" s="45"/>
    </row>
    <row r="473" spans="1:15" x14ac:dyDescent="0.2">
      <c r="B473" s="45"/>
    </row>
    <row r="474" spans="1:15" x14ac:dyDescent="0.2">
      <c r="B474" s="45"/>
    </row>
    <row r="475" spans="1:15" x14ac:dyDescent="0.2">
      <c r="B475" s="45"/>
    </row>
    <row r="476" spans="1:15" x14ac:dyDescent="0.2">
      <c r="B476" s="45"/>
    </row>
    <row r="477" spans="1:15" x14ac:dyDescent="0.2">
      <c r="B477" s="45"/>
    </row>
    <row r="478" spans="1:15" x14ac:dyDescent="0.2">
      <c r="B478" s="45"/>
    </row>
    <row r="479" spans="1:15" x14ac:dyDescent="0.2">
      <c r="B479" s="45"/>
    </row>
    <row r="480" spans="1:15" x14ac:dyDescent="0.2">
      <c r="B480" s="45"/>
    </row>
    <row r="481" spans="1:22" x14ac:dyDescent="0.2">
      <c r="B481" s="45"/>
    </row>
    <row r="482" spans="1:22" x14ac:dyDescent="0.2">
      <c r="B482" s="45"/>
    </row>
    <row r="483" spans="1:22" x14ac:dyDescent="0.2">
      <c r="B483" s="45"/>
    </row>
    <row r="484" spans="1:22" x14ac:dyDescent="0.2">
      <c r="B484" s="45"/>
    </row>
    <row r="485" spans="1:22" x14ac:dyDescent="0.2">
      <c r="B485" s="45"/>
    </row>
    <row r="486" spans="1:22" x14ac:dyDescent="0.2">
      <c r="B486" s="45"/>
    </row>
    <row r="487" spans="1:22" x14ac:dyDescent="0.2">
      <c r="B487" s="66"/>
    </row>
    <row r="488" spans="1:22" x14ac:dyDescent="0.2">
      <c r="B488" s="49"/>
    </row>
    <row r="489" spans="1:22" x14ac:dyDescent="0.2">
      <c r="B489" s="45"/>
    </row>
    <row r="490" spans="1:22" x14ac:dyDescent="0.2">
      <c r="A490" s="3"/>
      <c r="B490" s="45"/>
    </row>
    <row r="491" spans="1:22" x14ac:dyDescent="0.2">
      <c r="A491" s="2"/>
      <c r="B491" s="44"/>
      <c r="C491" s="2"/>
      <c r="D491" s="2"/>
      <c r="E491" s="2"/>
      <c r="F491" s="2"/>
      <c r="G491" s="2"/>
      <c r="H491" s="2"/>
      <c r="I491" s="2"/>
      <c r="J491" s="2"/>
      <c r="K491" s="2"/>
      <c r="L491" s="2"/>
      <c r="M491" s="2"/>
      <c r="N491" s="2"/>
      <c r="O491" s="2"/>
      <c r="P491" s="2"/>
      <c r="Q491" s="2"/>
      <c r="R491" s="2"/>
      <c r="S491" s="2"/>
      <c r="T491" s="2"/>
      <c r="U491" s="2"/>
      <c r="V491" s="2"/>
    </row>
    <row r="492" spans="1:22" x14ac:dyDescent="0.2">
      <c r="B492" s="45"/>
    </row>
    <row r="493" spans="1:22" x14ac:dyDescent="0.2">
      <c r="B493" s="53"/>
      <c r="O493" s="15"/>
    </row>
    <row r="494" spans="1:22" x14ac:dyDescent="0.2">
      <c r="B494" s="53"/>
      <c r="O494" s="15"/>
    </row>
    <row r="495" spans="1:22" x14ac:dyDescent="0.2">
      <c r="B495" s="45"/>
      <c r="O495" s="15"/>
    </row>
    <row r="496" spans="1:22" x14ac:dyDescent="0.2">
      <c r="B496" s="45"/>
      <c r="O496" s="15"/>
    </row>
    <row r="497" spans="1:15" x14ac:dyDescent="0.2">
      <c r="B497" s="53"/>
      <c r="O497" s="15"/>
    </row>
    <row r="498" spans="1:15" x14ac:dyDescent="0.2">
      <c r="B498" s="52"/>
      <c r="O498" s="15"/>
    </row>
    <row r="499" spans="1:15" x14ac:dyDescent="0.2">
      <c r="B499" s="52"/>
      <c r="O499" s="15"/>
    </row>
    <row r="500" spans="1:15" x14ac:dyDescent="0.2">
      <c r="B500" s="53"/>
      <c r="O500" s="15"/>
    </row>
    <row r="501" spans="1:15" x14ac:dyDescent="0.2">
      <c r="B501" s="45"/>
    </row>
    <row r="502" spans="1:15" x14ac:dyDescent="0.2">
      <c r="A502" s="2"/>
      <c r="B502" s="44"/>
    </row>
    <row r="503" spans="1:15" x14ac:dyDescent="0.2">
      <c r="B503" s="45"/>
    </row>
    <row r="504" spans="1:15" x14ac:dyDescent="0.2">
      <c r="B504" s="45"/>
    </row>
    <row r="505" spans="1:15" x14ac:dyDescent="0.2">
      <c r="B505" s="45"/>
    </row>
    <row r="506" spans="1:15" x14ac:dyDescent="0.2">
      <c r="B506" s="45"/>
    </row>
    <row r="507" spans="1:15" x14ac:dyDescent="0.2">
      <c r="B507" s="45"/>
    </row>
    <row r="508" spans="1:15" x14ac:dyDescent="0.2">
      <c r="B508" s="45"/>
    </row>
    <row r="509" spans="1:15" x14ac:dyDescent="0.2">
      <c r="B509" s="45"/>
    </row>
    <row r="510" spans="1:15" x14ac:dyDescent="0.2">
      <c r="B510" s="45"/>
    </row>
    <row r="511" spans="1:15" x14ac:dyDescent="0.2">
      <c r="B511" s="45"/>
    </row>
    <row r="512" spans="1:15" x14ac:dyDescent="0.2">
      <c r="B512" s="45"/>
    </row>
    <row r="513" spans="1:22" x14ac:dyDescent="0.2">
      <c r="B513" s="45"/>
    </row>
    <row r="514" spans="1:22" x14ac:dyDescent="0.2">
      <c r="B514" s="45"/>
    </row>
    <row r="515" spans="1:22" x14ac:dyDescent="0.2">
      <c r="B515" s="45"/>
    </row>
    <row r="516" spans="1:22" x14ac:dyDescent="0.2">
      <c r="B516" s="45"/>
    </row>
    <row r="517" spans="1:22" x14ac:dyDescent="0.2">
      <c r="B517" s="45"/>
    </row>
    <row r="518" spans="1:22" x14ac:dyDescent="0.2">
      <c r="B518" s="45"/>
    </row>
    <row r="519" spans="1:22" x14ac:dyDescent="0.2">
      <c r="B519" s="45"/>
    </row>
    <row r="520" spans="1:22" x14ac:dyDescent="0.2">
      <c r="B520" s="45"/>
    </row>
    <row r="521" spans="1:22" x14ac:dyDescent="0.2">
      <c r="B521" s="66"/>
    </row>
    <row r="522" spans="1:22" x14ac:dyDescent="0.2">
      <c r="B522" s="49"/>
    </row>
    <row r="523" spans="1:22" x14ac:dyDescent="0.2">
      <c r="B523" s="45"/>
    </row>
    <row r="524" spans="1:22" x14ac:dyDescent="0.2">
      <c r="A524" s="3"/>
      <c r="B524" s="45"/>
    </row>
    <row r="525" spans="1:22" x14ac:dyDescent="0.2">
      <c r="A525" s="2"/>
      <c r="B525" s="44"/>
      <c r="C525" s="2"/>
      <c r="D525" s="2"/>
      <c r="E525" s="2"/>
      <c r="F525" s="2"/>
      <c r="G525" s="2"/>
      <c r="H525" s="2"/>
      <c r="I525" s="2"/>
      <c r="J525" s="2"/>
      <c r="K525" s="2"/>
      <c r="L525" s="2"/>
      <c r="M525" s="2"/>
      <c r="N525" s="2"/>
      <c r="O525" s="2"/>
      <c r="P525" s="2"/>
      <c r="Q525" s="2"/>
      <c r="R525" s="2"/>
      <c r="S525" s="2"/>
      <c r="T525" s="2"/>
      <c r="U525" s="2"/>
      <c r="V525" s="2"/>
    </row>
    <row r="526" spans="1:22" x14ac:dyDescent="0.2">
      <c r="B526" s="45"/>
    </row>
    <row r="527" spans="1:22" x14ac:dyDescent="0.2">
      <c r="B527" s="53"/>
      <c r="O527" s="15"/>
    </row>
    <row r="528" spans="1:22" x14ac:dyDescent="0.2">
      <c r="B528" s="53"/>
      <c r="O528" s="15"/>
    </row>
    <row r="529" spans="1:15" x14ac:dyDescent="0.2">
      <c r="B529" s="45"/>
      <c r="O529" s="15"/>
    </row>
    <row r="530" spans="1:15" x14ac:dyDescent="0.2">
      <c r="B530" s="53"/>
      <c r="O530" s="15"/>
    </row>
    <row r="531" spans="1:15" x14ac:dyDescent="0.2">
      <c r="B531" s="52"/>
      <c r="O531" s="15"/>
    </row>
    <row r="532" spans="1:15" x14ac:dyDescent="0.2">
      <c r="B532" s="53"/>
      <c r="O532" s="15"/>
    </row>
    <row r="534" spans="1:15" x14ac:dyDescent="0.2">
      <c r="A534" s="2"/>
      <c r="B534" s="44"/>
    </row>
    <row r="535" spans="1:15" x14ac:dyDescent="0.2">
      <c r="B535" s="45"/>
    </row>
    <row r="536" spans="1:15" x14ac:dyDescent="0.2">
      <c r="B536" s="45"/>
    </row>
    <row r="537" spans="1:15" x14ac:dyDescent="0.2">
      <c r="B537" s="45"/>
    </row>
    <row r="538" spans="1:15" x14ac:dyDescent="0.2">
      <c r="B538" s="45"/>
    </row>
    <row r="539" spans="1:15" x14ac:dyDescent="0.2">
      <c r="B539" s="45"/>
    </row>
    <row r="540" spans="1:15" x14ac:dyDescent="0.2">
      <c r="B540" s="45"/>
    </row>
    <row r="541" spans="1:15" x14ac:dyDescent="0.2">
      <c r="B541" s="45"/>
    </row>
    <row r="542" spans="1:15" x14ac:dyDescent="0.2">
      <c r="B542" s="45"/>
    </row>
    <row r="543" spans="1:15" x14ac:dyDescent="0.2">
      <c r="B543" s="45"/>
    </row>
    <row r="544" spans="1:15" x14ac:dyDescent="0.2">
      <c r="B544" s="45"/>
    </row>
    <row r="545" spans="1:22" x14ac:dyDescent="0.2">
      <c r="B545" s="45"/>
    </row>
    <row r="546" spans="1:22" x14ac:dyDescent="0.2">
      <c r="B546" s="45"/>
    </row>
    <row r="547" spans="1:22" x14ac:dyDescent="0.2">
      <c r="B547" s="45"/>
    </row>
    <row r="548" spans="1:22" x14ac:dyDescent="0.2">
      <c r="B548" s="45"/>
    </row>
    <row r="549" spans="1:22" x14ac:dyDescent="0.2">
      <c r="B549" s="45"/>
    </row>
    <row r="550" spans="1:22" x14ac:dyDescent="0.2">
      <c r="B550" s="45"/>
    </row>
    <row r="551" spans="1:22" x14ac:dyDescent="0.2">
      <c r="B551" s="45"/>
    </row>
    <row r="552" spans="1:22" x14ac:dyDescent="0.2">
      <c r="B552" s="45"/>
    </row>
    <row r="553" spans="1:22" x14ac:dyDescent="0.2">
      <c r="B553" s="66"/>
    </row>
    <row r="554" spans="1:22" x14ac:dyDescent="0.2">
      <c r="B554" s="49"/>
    </row>
    <row r="555" spans="1:22" x14ac:dyDescent="0.2">
      <c r="B555" s="45"/>
    </row>
    <row r="556" spans="1:22" x14ac:dyDescent="0.2">
      <c r="A556" s="3"/>
      <c r="B556" s="45"/>
    </row>
    <row r="557" spans="1:22" x14ac:dyDescent="0.2">
      <c r="A557" s="2"/>
      <c r="B557" s="44"/>
      <c r="C557" s="2"/>
      <c r="D557" s="2"/>
      <c r="E557" s="2"/>
      <c r="F557" s="2"/>
      <c r="G557" s="2"/>
      <c r="H557" s="2"/>
      <c r="I557" s="2"/>
      <c r="J557" s="2"/>
      <c r="K557" s="2"/>
      <c r="L557" s="2"/>
      <c r="M557" s="2"/>
      <c r="N557" s="2"/>
      <c r="O557" s="2"/>
      <c r="P557" s="2"/>
      <c r="Q557" s="2"/>
      <c r="R557" s="2"/>
      <c r="S557" s="2"/>
      <c r="T557" s="2"/>
      <c r="U557" s="2"/>
      <c r="V557" s="2"/>
    </row>
    <row r="558" spans="1:22" x14ac:dyDescent="0.2">
      <c r="B558" s="45"/>
    </row>
    <row r="559" spans="1:22" x14ac:dyDescent="0.2">
      <c r="B559" s="53"/>
      <c r="O559" s="15"/>
    </row>
    <row r="560" spans="1:22" x14ac:dyDescent="0.2">
      <c r="B560" s="53"/>
      <c r="O560" s="15"/>
    </row>
    <row r="561" spans="1:15" x14ac:dyDescent="0.2">
      <c r="B561" s="45"/>
      <c r="O561" s="15"/>
    </row>
    <row r="562" spans="1:15" x14ac:dyDescent="0.2">
      <c r="B562" s="45"/>
      <c r="O562" s="15"/>
    </row>
    <row r="563" spans="1:15" x14ac:dyDescent="0.2">
      <c r="B563" s="53"/>
      <c r="O563" s="15"/>
    </row>
    <row r="564" spans="1:15" x14ac:dyDescent="0.2">
      <c r="B564" s="52"/>
      <c r="O564" s="15"/>
    </row>
    <row r="565" spans="1:15" x14ac:dyDescent="0.2">
      <c r="B565" s="52"/>
      <c r="O565" s="15"/>
    </row>
    <row r="566" spans="1:15" x14ac:dyDescent="0.2">
      <c r="B566" s="53"/>
      <c r="O566" s="15"/>
    </row>
    <row r="567" spans="1:15" x14ac:dyDescent="0.2">
      <c r="B567" s="45"/>
    </row>
    <row r="568" spans="1:15" x14ac:dyDescent="0.2">
      <c r="A568" s="2"/>
      <c r="B568" s="44"/>
    </row>
    <row r="569" spans="1:15" x14ac:dyDescent="0.2">
      <c r="B569" s="45"/>
    </row>
    <row r="570" spans="1:15" x14ac:dyDescent="0.2">
      <c r="B570" s="45"/>
    </row>
    <row r="571" spans="1:15" x14ac:dyDescent="0.2">
      <c r="B571" s="45"/>
    </row>
    <row r="572" spans="1:15" x14ac:dyDescent="0.2">
      <c r="B572" s="45"/>
    </row>
    <row r="573" spans="1:15" x14ac:dyDescent="0.2">
      <c r="B573" s="45"/>
    </row>
    <row r="574" spans="1:15" x14ac:dyDescent="0.2">
      <c r="B574" s="45"/>
    </row>
    <row r="575" spans="1:15" x14ac:dyDescent="0.2">
      <c r="B575" s="45"/>
    </row>
    <row r="576" spans="1:15" x14ac:dyDescent="0.2">
      <c r="B576" s="45"/>
    </row>
    <row r="577" spans="1:22" x14ac:dyDescent="0.2">
      <c r="B577" s="45"/>
    </row>
    <row r="578" spans="1:22" x14ac:dyDescent="0.2">
      <c r="B578" s="45"/>
    </row>
    <row r="579" spans="1:22" x14ac:dyDescent="0.2">
      <c r="B579" s="45"/>
    </row>
    <row r="580" spans="1:22" x14ac:dyDescent="0.2">
      <c r="B580" s="45"/>
    </row>
    <row r="581" spans="1:22" x14ac:dyDescent="0.2">
      <c r="B581" s="45"/>
    </row>
    <row r="582" spans="1:22" x14ac:dyDescent="0.2">
      <c r="B582" s="45"/>
    </row>
    <row r="583" spans="1:22" x14ac:dyDescent="0.2">
      <c r="B583" s="45"/>
    </row>
    <row r="584" spans="1:22" x14ac:dyDescent="0.2">
      <c r="B584" s="45"/>
    </row>
    <row r="585" spans="1:22" x14ac:dyDescent="0.2">
      <c r="B585" s="45"/>
    </row>
    <row r="586" spans="1:22" x14ac:dyDescent="0.2">
      <c r="B586" s="45"/>
    </row>
    <row r="587" spans="1:22" x14ac:dyDescent="0.2">
      <c r="B587" s="66"/>
    </row>
    <row r="588" spans="1:22" x14ac:dyDescent="0.2">
      <c r="B588" s="49"/>
    </row>
    <row r="589" spans="1:22" x14ac:dyDescent="0.2">
      <c r="B589" s="45"/>
    </row>
    <row r="590" spans="1:22" x14ac:dyDescent="0.2">
      <c r="A590" s="3"/>
      <c r="B590" s="45"/>
    </row>
    <row r="591" spans="1:22" x14ac:dyDescent="0.2">
      <c r="A591" s="2"/>
      <c r="B591" s="44"/>
      <c r="C591" s="2"/>
      <c r="D591" s="2"/>
      <c r="E591" s="2"/>
      <c r="F591" s="2"/>
      <c r="G591" s="2"/>
      <c r="H591" s="2"/>
      <c r="I591" s="2"/>
      <c r="J591" s="2"/>
      <c r="K591" s="2"/>
      <c r="L591" s="2"/>
      <c r="M591" s="2"/>
      <c r="N591" s="2"/>
      <c r="O591" s="2"/>
      <c r="P591" s="2"/>
      <c r="Q591" s="2"/>
      <c r="R591" s="2"/>
      <c r="S591" s="2"/>
      <c r="T591" s="2"/>
      <c r="U591" s="2"/>
      <c r="V591" s="2"/>
    </row>
    <row r="592" spans="1:22" x14ac:dyDescent="0.2">
      <c r="B592" s="45"/>
    </row>
    <row r="593" spans="1:15" x14ac:dyDescent="0.2">
      <c r="B593" s="53"/>
      <c r="O593" s="15"/>
    </row>
    <row r="594" spans="1:15" x14ac:dyDescent="0.2">
      <c r="B594" s="53"/>
      <c r="O594" s="15"/>
    </row>
    <row r="595" spans="1:15" x14ac:dyDescent="0.2">
      <c r="B595" s="45"/>
      <c r="O595" s="15"/>
    </row>
    <row r="596" spans="1:15" x14ac:dyDescent="0.2">
      <c r="B596" s="53"/>
      <c r="O596" s="15"/>
    </row>
    <row r="597" spans="1:15" x14ac:dyDescent="0.2">
      <c r="B597" s="52"/>
      <c r="O597" s="15"/>
    </row>
    <row r="598" spans="1:15" x14ac:dyDescent="0.2">
      <c r="B598" s="53"/>
      <c r="O598" s="15"/>
    </row>
    <row r="601" spans="1:15" x14ac:dyDescent="0.2">
      <c r="A601" s="2"/>
      <c r="B601" s="44"/>
    </row>
    <row r="602" spans="1:15" x14ac:dyDescent="0.2">
      <c r="B602" s="45"/>
    </row>
    <row r="603" spans="1:15" x14ac:dyDescent="0.2">
      <c r="B603" s="45"/>
    </row>
    <row r="604" spans="1:15" x14ac:dyDescent="0.2">
      <c r="B604" s="45"/>
    </row>
    <row r="605" spans="1:15" x14ac:dyDescent="0.2">
      <c r="B605" s="45"/>
    </row>
    <row r="606" spans="1:15" x14ac:dyDescent="0.2">
      <c r="B606" s="45"/>
    </row>
    <row r="607" spans="1:15" x14ac:dyDescent="0.2">
      <c r="B607" s="45"/>
    </row>
    <row r="608" spans="1:15" x14ac:dyDescent="0.2">
      <c r="B608" s="45"/>
    </row>
    <row r="609" spans="1:22" x14ac:dyDescent="0.2">
      <c r="B609" s="45"/>
    </row>
    <row r="610" spans="1:22" x14ac:dyDescent="0.2">
      <c r="B610" s="45"/>
    </row>
    <row r="611" spans="1:22" x14ac:dyDescent="0.2">
      <c r="B611" s="45"/>
    </row>
    <row r="612" spans="1:22" x14ac:dyDescent="0.2">
      <c r="B612" s="45"/>
    </row>
    <row r="613" spans="1:22" x14ac:dyDescent="0.2">
      <c r="B613" s="45"/>
    </row>
    <row r="614" spans="1:22" x14ac:dyDescent="0.2">
      <c r="B614" s="45"/>
    </row>
    <row r="615" spans="1:22" x14ac:dyDescent="0.2">
      <c r="B615" s="45"/>
    </row>
    <row r="616" spans="1:22" x14ac:dyDescent="0.2">
      <c r="B616" s="45"/>
    </row>
    <row r="617" spans="1:22" x14ac:dyDescent="0.2">
      <c r="B617" s="45"/>
    </row>
    <row r="618" spans="1:22" x14ac:dyDescent="0.2">
      <c r="B618" s="45"/>
    </row>
    <row r="619" spans="1:22" x14ac:dyDescent="0.2">
      <c r="B619" s="45"/>
    </row>
    <row r="620" spans="1:22" x14ac:dyDescent="0.2">
      <c r="B620" s="66"/>
    </row>
    <row r="621" spans="1:22" x14ac:dyDescent="0.2">
      <c r="B621" s="49"/>
    </row>
    <row r="622" spans="1:22" x14ac:dyDescent="0.2">
      <c r="B622" s="45"/>
    </row>
    <row r="623" spans="1:22" x14ac:dyDescent="0.2">
      <c r="A623" s="3"/>
      <c r="B623" s="45"/>
    </row>
    <row r="624" spans="1:22" x14ac:dyDescent="0.2">
      <c r="A624" s="2"/>
      <c r="B624" s="44"/>
      <c r="C624" s="2"/>
      <c r="D624" s="2"/>
      <c r="E624" s="2"/>
      <c r="F624" s="2"/>
      <c r="G624" s="2"/>
      <c r="H624" s="2"/>
      <c r="I624" s="2"/>
      <c r="J624" s="2"/>
      <c r="K624" s="2"/>
      <c r="L624" s="2"/>
      <c r="M624" s="2"/>
      <c r="N624" s="2"/>
      <c r="O624" s="2"/>
      <c r="P624" s="2"/>
      <c r="Q624" s="2"/>
      <c r="R624" s="2"/>
      <c r="S624" s="2"/>
      <c r="T624" s="2"/>
      <c r="U624" s="2"/>
      <c r="V624" s="2"/>
    </row>
    <row r="625" spans="1:15" x14ac:dyDescent="0.2">
      <c r="B625" s="45"/>
    </row>
    <row r="626" spans="1:15" x14ac:dyDescent="0.2">
      <c r="B626" s="53"/>
      <c r="O626" s="15"/>
    </row>
    <row r="627" spans="1:15" x14ac:dyDescent="0.2">
      <c r="B627" s="53"/>
      <c r="O627" s="15"/>
    </row>
    <row r="628" spans="1:15" x14ac:dyDescent="0.2">
      <c r="B628" s="45"/>
      <c r="O628" s="15"/>
    </row>
    <row r="629" spans="1:15" x14ac:dyDescent="0.2">
      <c r="B629" s="45"/>
      <c r="O629" s="15"/>
    </row>
    <row r="630" spans="1:15" x14ac:dyDescent="0.2">
      <c r="B630" s="53"/>
      <c r="O630" s="15"/>
    </row>
    <row r="631" spans="1:15" x14ac:dyDescent="0.2">
      <c r="B631" s="52"/>
      <c r="O631" s="15"/>
    </row>
    <row r="632" spans="1:15" x14ac:dyDescent="0.2">
      <c r="B632" s="52"/>
      <c r="O632" s="15"/>
    </row>
    <row r="633" spans="1:15" x14ac:dyDescent="0.2">
      <c r="B633" s="53"/>
      <c r="O633" s="15"/>
    </row>
    <row r="634" spans="1:15" x14ac:dyDescent="0.2">
      <c r="B634" s="45"/>
    </row>
    <row r="635" spans="1:15" x14ac:dyDescent="0.2">
      <c r="A635" s="2"/>
      <c r="B635" s="44"/>
    </row>
    <row r="636" spans="1:15" x14ac:dyDescent="0.2">
      <c r="B636" s="45"/>
    </row>
    <row r="637" spans="1:15" x14ac:dyDescent="0.2">
      <c r="B637" s="45"/>
    </row>
    <row r="638" spans="1:15" x14ac:dyDescent="0.2">
      <c r="B638" s="45"/>
    </row>
    <row r="639" spans="1:15" x14ac:dyDescent="0.2">
      <c r="B639" s="45"/>
    </row>
    <row r="640" spans="1:15" x14ac:dyDescent="0.2">
      <c r="B640" s="45"/>
    </row>
    <row r="641" spans="2:2" x14ac:dyDescent="0.2">
      <c r="B641" s="45"/>
    </row>
    <row r="642" spans="2:2" x14ac:dyDescent="0.2">
      <c r="B642" s="45"/>
    </row>
    <row r="643" spans="2:2" x14ac:dyDescent="0.2">
      <c r="B643" s="45"/>
    </row>
    <row r="644" spans="2:2" x14ac:dyDescent="0.2">
      <c r="B644" s="45"/>
    </row>
    <row r="645" spans="2:2" x14ac:dyDescent="0.2">
      <c r="B645" s="45"/>
    </row>
    <row r="646" spans="2:2" x14ac:dyDescent="0.2">
      <c r="B646" s="45"/>
    </row>
    <row r="647" spans="2:2" x14ac:dyDescent="0.2">
      <c r="B647" s="45"/>
    </row>
    <row r="648" spans="2:2" x14ac:dyDescent="0.2">
      <c r="B648" s="45"/>
    </row>
    <row r="649" spans="2:2" x14ac:dyDescent="0.2">
      <c r="B649" s="45"/>
    </row>
    <row r="650" spans="2:2" x14ac:dyDescent="0.2">
      <c r="B650" s="45"/>
    </row>
    <row r="651" spans="2:2" x14ac:dyDescent="0.2">
      <c r="B651" s="45"/>
    </row>
    <row r="652" spans="2:2" x14ac:dyDescent="0.2">
      <c r="B652" s="45"/>
    </row>
    <row r="653" spans="2:2" x14ac:dyDescent="0.2">
      <c r="B653" s="45"/>
    </row>
    <row r="654" spans="2:2" x14ac:dyDescent="0.2">
      <c r="B654" s="66"/>
    </row>
    <row r="655" spans="2:2" x14ac:dyDescent="0.2">
      <c r="B655" s="49"/>
    </row>
    <row r="656" spans="2:2" x14ac:dyDescent="0.2">
      <c r="B656" s="45"/>
    </row>
    <row r="657" spans="1:22" x14ac:dyDescent="0.2">
      <c r="A657" s="3"/>
      <c r="B657" s="45"/>
    </row>
    <row r="658" spans="1:22" x14ac:dyDescent="0.2">
      <c r="A658" s="2"/>
      <c r="B658" s="44"/>
      <c r="C658" s="2"/>
      <c r="D658" s="2"/>
      <c r="E658" s="2"/>
      <c r="F658" s="2"/>
      <c r="G658" s="2"/>
      <c r="H658" s="2"/>
      <c r="I658" s="2"/>
      <c r="J658" s="2"/>
      <c r="K658" s="2"/>
      <c r="L658" s="2"/>
      <c r="M658" s="2"/>
      <c r="N658" s="2"/>
      <c r="O658" s="2"/>
      <c r="P658" s="2"/>
      <c r="Q658" s="2"/>
      <c r="R658" s="2"/>
      <c r="S658" s="2"/>
      <c r="T658" s="2"/>
      <c r="U658" s="2"/>
      <c r="V658" s="2"/>
    </row>
    <row r="659" spans="1:22" x14ac:dyDescent="0.2">
      <c r="B659" s="45"/>
    </row>
    <row r="660" spans="1:22" x14ac:dyDescent="0.2">
      <c r="B660" s="53"/>
      <c r="O660" s="15"/>
    </row>
    <row r="661" spans="1:22" x14ac:dyDescent="0.2">
      <c r="B661" s="53"/>
      <c r="O661" s="15"/>
    </row>
    <row r="662" spans="1:22" x14ac:dyDescent="0.2">
      <c r="B662" s="45"/>
      <c r="O662" s="15"/>
    </row>
    <row r="663" spans="1:22" x14ac:dyDescent="0.2">
      <c r="B663" s="53"/>
      <c r="O663" s="15"/>
    </row>
    <row r="664" spans="1:22" x14ac:dyDescent="0.2">
      <c r="B664" s="52"/>
      <c r="O664" s="15"/>
    </row>
    <row r="665" spans="1:22" x14ac:dyDescent="0.2">
      <c r="B665" s="53"/>
      <c r="O665" s="15"/>
    </row>
    <row r="667" spans="1:22" x14ac:dyDescent="0.2">
      <c r="A667" s="2"/>
      <c r="B667" s="44"/>
    </row>
    <row r="668" spans="1:22" x14ac:dyDescent="0.2">
      <c r="B668" s="45"/>
    </row>
    <row r="669" spans="1:22" x14ac:dyDescent="0.2">
      <c r="B669" s="45"/>
    </row>
    <row r="670" spans="1:22" x14ac:dyDescent="0.2">
      <c r="B670" s="45"/>
    </row>
    <row r="671" spans="1:22" x14ac:dyDescent="0.2">
      <c r="B671" s="45"/>
    </row>
    <row r="672" spans="1:22" x14ac:dyDescent="0.2">
      <c r="B672" s="45"/>
    </row>
    <row r="673" spans="2:2" x14ac:dyDescent="0.2">
      <c r="B673" s="45"/>
    </row>
    <row r="674" spans="2:2" x14ac:dyDescent="0.2">
      <c r="B674" s="45"/>
    </row>
    <row r="675" spans="2:2" x14ac:dyDescent="0.2">
      <c r="B675" s="45"/>
    </row>
    <row r="676" spans="2:2" x14ac:dyDescent="0.2">
      <c r="B676" s="45"/>
    </row>
    <row r="677" spans="2:2" x14ac:dyDescent="0.2">
      <c r="B677" s="45"/>
    </row>
    <row r="678" spans="2:2" x14ac:dyDescent="0.2">
      <c r="B678" s="45"/>
    </row>
    <row r="679" spans="2:2" x14ac:dyDescent="0.2">
      <c r="B679" s="45"/>
    </row>
    <row r="680" spans="2:2" x14ac:dyDescent="0.2">
      <c r="B680" s="45"/>
    </row>
    <row r="681" spans="2:2" x14ac:dyDescent="0.2">
      <c r="B681" s="45"/>
    </row>
    <row r="682" spans="2:2" x14ac:dyDescent="0.2">
      <c r="B682" s="45"/>
    </row>
    <row r="683" spans="2:2" x14ac:dyDescent="0.2">
      <c r="B683" s="45"/>
    </row>
    <row r="684" spans="2:2" x14ac:dyDescent="0.2">
      <c r="B684" s="45"/>
    </row>
    <row r="685" spans="2:2" x14ac:dyDescent="0.2">
      <c r="B685" s="45"/>
    </row>
    <row r="686" spans="2:2" x14ac:dyDescent="0.2">
      <c r="B686" s="66"/>
    </row>
    <row r="687" spans="2:2" x14ac:dyDescent="0.2">
      <c r="B687" s="49"/>
    </row>
    <row r="688" spans="2:2" x14ac:dyDescent="0.2">
      <c r="B688" s="45"/>
    </row>
    <row r="689" spans="1:22" x14ac:dyDescent="0.2">
      <c r="A689" s="3"/>
      <c r="B689" s="45"/>
    </row>
    <row r="690" spans="1:22" x14ac:dyDescent="0.2">
      <c r="A690" s="2"/>
      <c r="B690" s="44"/>
      <c r="C690" s="2"/>
      <c r="D690" s="2"/>
      <c r="E690" s="2"/>
      <c r="F690" s="2"/>
      <c r="G690" s="2"/>
      <c r="H690" s="2"/>
      <c r="I690" s="2"/>
      <c r="J690" s="2"/>
      <c r="K690" s="2"/>
      <c r="L690" s="2"/>
      <c r="M690" s="2"/>
      <c r="N690" s="2"/>
      <c r="O690" s="2"/>
      <c r="P690" s="2"/>
      <c r="Q690" s="2"/>
      <c r="R690" s="2"/>
      <c r="S690" s="2"/>
      <c r="T690" s="2"/>
      <c r="U690" s="2"/>
      <c r="V690" s="2"/>
    </row>
    <row r="691" spans="1:22" x14ac:dyDescent="0.2">
      <c r="B691" s="45"/>
    </row>
    <row r="692" spans="1:22" x14ac:dyDescent="0.2">
      <c r="B692" s="53"/>
      <c r="O692" s="15"/>
    </row>
    <row r="693" spans="1:22" x14ac:dyDescent="0.2">
      <c r="B693" s="53"/>
      <c r="O693" s="15"/>
    </row>
    <row r="694" spans="1:22" x14ac:dyDescent="0.2">
      <c r="B694" s="45"/>
      <c r="O694" s="15"/>
    </row>
    <row r="695" spans="1:22" x14ac:dyDescent="0.2">
      <c r="B695" s="45"/>
      <c r="O695" s="15"/>
    </row>
    <row r="696" spans="1:22" x14ac:dyDescent="0.2">
      <c r="B696" s="53"/>
      <c r="O696" s="15"/>
    </row>
    <row r="697" spans="1:22" x14ac:dyDescent="0.2">
      <c r="B697" s="52"/>
      <c r="O697" s="15"/>
    </row>
    <row r="698" spans="1:22" x14ac:dyDescent="0.2">
      <c r="B698" s="52"/>
      <c r="O698" s="15"/>
    </row>
    <row r="699" spans="1:22" x14ac:dyDescent="0.2">
      <c r="B699" s="53"/>
      <c r="O699" s="15"/>
    </row>
    <row r="700" spans="1:22" x14ac:dyDescent="0.2">
      <c r="B700" s="45"/>
    </row>
    <row r="701" spans="1:22" x14ac:dyDescent="0.2">
      <c r="A701" s="2"/>
      <c r="B701" s="44"/>
    </row>
    <row r="702" spans="1:22" x14ac:dyDescent="0.2">
      <c r="B702" s="45"/>
    </row>
    <row r="703" spans="1:22" x14ac:dyDescent="0.2">
      <c r="B703" s="45"/>
    </row>
    <row r="704" spans="1:22" x14ac:dyDescent="0.2">
      <c r="B704" s="45"/>
    </row>
    <row r="705" spans="2:2" x14ac:dyDescent="0.2">
      <c r="B705" s="45"/>
    </row>
    <row r="706" spans="2:2" x14ac:dyDescent="0.2">
      <c r="B706" s="45"/>
    </row>
    <row r="707" spans="2:2" x14ac:dyDescent="0.2">
      <c r="B707" s="45"/>
    </row>
    <row r="708" spans="2:2" x14ac:dyDescent="0.2">
      <c r="B708" s="45"/>
    </row>
    <row r="709" spans="2:2" x14ac:dyDescent="0.2">
      <c r="B709" s="45"/>
    </row>
    <row r="710" spans="2:2" x14ac:dyDescent="0.2">
      <c r="B710" s="45"/>
    </row>
    <row r="711" spans="2:2" x14ac:dyDescent="0.2">
      <c r="B711" s="45"/>
    </row>
    <row r="712" spans="2:2" x14ac:dyDescent="0.2">
      <c r="B712" s="45"/>
    </row>
    <row r="713" spans="2:2" x14ac:dyDescent="0.2">
      <c r="B713" s="45"/>
    </row>
    <row r="714" spans="2:2" x14ac:dyDescent="0.2">
      <c r="B714" s="45"/>
    </row>
    <row r="715" spans="2:2" x14ac:dyDescent="0.2">
      <c r="B715" s="45"/>
    </row>
    <row r="716" spans="2:2" x14ac:dyDescent="0.2">
      <c r="B716" s="45"/>
    </row>
    <row r="717" spans="2:2" x14ac:dyDescent="0.2">
      <c r="B717" s="45"/>
    </row>
    <row r="718" spans="2:2" x14ac:dyDescent="0.2">
      <c r="B718" s="45"/>
    </row>
    <row r="719" spans="2:2" x14ac:dyDescent="0.2">
      <c r="B719" s="45"/>
    </row>
    <row r="720" spans="2:2" x14ac:dyDescent="0.2">
      <c r="B720" s="66"/>
    </row>
    <row r="721" spans="1:22" x14ac:dyDescent="0.2">
      <c r="B721" s="49"/>
    </row>
    <row r="722" spans="1:22" x14ac:dyDescent="0.2">
      <c r="B722" s="45"/>
    </row>
    <row r="723" spans="1:22" x14ac:dyDescent="0.2">
      <c r="A723" s="3"/>
      <c r="B723" s="45"/>
    </row>
    <row r="724" spans="1:22" x14ac:dyDescent="0.2">
      <c r="A724" s="2"/>
      <c r="B724" s="44"/>
      <c r="C724" s="2"/>
      <c r="D724" s="2"/>
      <c r="E724" s="2"/>
      <c r="F724" s="2"/>
      <c r="G724" s="2"/>
      <c r="H724" s="2"/>
      <c r="I724" s="2"/>
      <c r="J724" s="2"/>
      <c r="K724" s="2"/>
      <c r="L724" s="2"/>
      <c r="M724" s="2"/>
      <c r="N724" s="2"/>
      <c r="O724" s="2"/>
      <c r="P724" s="2"/>
      <c r="Q724" s="2"/>
      <c r="R724" s="2"/>
      <c r="S724" s="2"/>
      <c r="T724" s="2"/>
      <c r="U724" s="2"/>
      <c r="V724" s="2"/>
    </row>
    <row r="725" spans="1:22" x14ac:dyDescent="0.2">
      <c r="B725" s="45"/>
    </row>
    <row r="726" spans="1:22" x14ac:dyDescent="0.2">
      <c r="B726" s="53"/>
      <c r="O726" s="15"/>
    </row>
    <row r="727" spans="1:22" x14ac:dyDescent="0.2">
      <c r="B727" s="53"/>
      <c r="O727" s="15"/>
    </row>
    <row r="728" spans="1:22" x14ac:dyDescent="0.2">
      <c r="B728" s="45"/>
      <c r="O728" s="15"/>
    </row>
    <row r="729" spans="1:22" x14ac:dyDescent="0.2">
      <c r="B729" s="53"/>
      <c r="O729" s="15"/>
    </row>
    <row r="730" spans="1:22" x14ac:dyDescent="0.2">
      <c r="B730" s="52"/>
      <c r="O730" s="15"/>
    </row>
    <row r="731" spans="1:22" x14ac:dyDescent="0.2">
      <c r="B731" s="53"/>
      <c r="O731" s="15"/>
    </row>
    <row r="733" spans="1:22" x14ac:dyDescent="0.2">
      <c r="A733" s="2"/>
      <c r="B733" s="44"/>
    </row>
    <row r="734" spans="1:22" x14ac:dyDescent="0.2">
      <c r="B734" s="45"/>
    </row>
    <row r="735" spans="1:22" x14ac:dyDescent="0.2">
      <c r="B735" s="45"/>
    </row>
    <row r="736" spans="1:22" x14ac:dyDescent="0.2">
      <c r="B736" s="45"/>
    </row>
    <row r="737" spans="2:2" x14ac:dyDescent="0.2">
      <c r="B737" s="45"/>
    </row>
    <row r="738" spans="2:2" x14ac:dyDescent="0.2">
      <c r="B738" s="45"/>
    </row>
    <row r="739" spans="2:2" x14ac:dyDescent="0.2">
      <c r="B739" s="45"/>
    </row>
    <row r="740" spans="2:2" x14ac:dyDescent="0.2">
      <c r="B740" s="45"/>
    </row>
    <row r="741" spans="2:2" x14ac:dyDescent="0.2">
      <c r="B741" s="45"/>
    </row>
    <row r="742" spans="2:2" x14ac:dyDescent="0.2">
      <c r="B742" s="45"/>
    </row>
    <row r="743" spans="2:2" x14ac:dyDescent="0.2">
      <c r="B743" s="45"/>
    </row>
    <row r="744" spans="2:2" x14ac:dyDescent="0.2">
      <c r="B744" s="45"/>
    </row>
    <row r="745" spans="2:2" x14ac:dyDescent="0.2">
      <c r="B745" s="45"/>
    </row>
    <row r="746" spans="2:2" x14ac:dyDescent="0.2">
      <c r="B746" s="45"/>
    </row>
    <row r="747" spans="2:2" x14ac:dyDescent="0.2">
      <c r="B747" s="45"/>
    </row>
    <row r="748" spans="2:2" x14ac:dyDescent="0.2">
      <c r="B748" s="45"/>
    </row>
    <row r="749" spans="2:2" x14ac:dyDescent="0.2">
      <c r="B749" s="45"/>
    </row>
    <row r="750" spans="2:2" x14ac:dyDescent="0.2">
      <c r="B750" s="45"/>
    </row>
    <row r="751" spans="2:2" x14ac:dyDescent="0.2">
      <c r="B751" s="45"/>
    </row>
    <row r="752" spans="2:2" x14ac:dyDescent="0.2">
      <c r="B752" s="66"/>
    </row>
    <row r="753" spans="1:22" x14ac:dyDescent="0.2">
      <c r="B753" s="49"/>
    </row>
    <row r="754" spans="1:22" x14ac:dyDescent="0.2">
      <c r="B754" s="45"/>
    </row>
    <row r="755" spans="1:22" x14ac:dyDescent="0.2">
      <c r="A755" s="3"/>
      <c r="B755" s="45"/>
    </row>
    <row r="756" spans="1:22" x14ac:dyDescent="0.2">
      <c r="A756" s="2"/>
      <c r="B756" s="44"/>
      <c r="C756" s="2"/>
      <c r="D756" s="2"/>
      <c r="E756" s="2"/>
      <c r="F756" s="2"/>
      <c r="G756" s="2"/>
      <c r="H756" s="2"/>
      <c r="I756" s="2"/>
      <c r="J756" s="2"/>
      <c r="K756" s="2"/>
      <c r="L756" s="2"/>
      <c r="M756" s="2"/>
      <c r="N756" s="2"/>
      <c r="O756" s="2"/>
      <c r="P756" s="2"/>
      <c r="Q756" s="2"/>
      <c r="R756" s="2"/>
      <c r="S756" s="2"/>
      <c r="T756" s="2"/>
      <c r="U756" s="2"/>
      <c r="V756" s="2"/>
    </row>
    <row r="757" spans="1:22" x14ac:dyDescent="0.2">
      <c r="B757" s="45"/>
    </row>
    <row r="758" spans="1:22" x14ac:dyDescent="0.2">
      <c r="B758" s="53"/>
      <c r="O758" s="15"/>
    </row>
    <row r="759" spans="1:22" x14ac:dyDescent="0.2">
      <c r="B759" s="53"/>
      <c r="O759" s="15"/>
    </row>
    <row r="760" spans="1:22" x14ac:dyDescent="0.2">
      <c r="B760" s="45"/>
      <c r="O760" s="15"/>
    </row>
    <row r="761" spans="1:22" x14ac:dyDescent="0.2">
      <c r="B761" s="45"/>
      <c r="O761" s="15"/>
    </row>
    <row r="762" spans="1:22" x14ac:dyDescent="0.2">
      <c r="B762" s="53"/>
      <c r="O762" s="15"/>
    </row>
    <row r="763" spans="1:22" x14ac:dyDescent="0.2">
      <c r="B763" s="52"/>
      <c r="O763" s="15"/>
    </row>
    <row r="764" spans="1:22" x14ac:dyDescent="0.2">
      <c r="B764" s="52"/>
      <c r="O764" s="15"/>
    </row>
    <row r="765" spans="1:22" x14ac:dyDescent="0.2">
      <c r="B765" s="53"/>
      <c r="O765" s="15"/>
    </row>
    <row r="766" spans="1:22" x14ac:dyDescent="0.2">
      <c r="B766" s="45"/>
    </row>
    <row r="767" spans="1:22" x14ac:dyDescent="0.2">
      <c r="A767" s="2"/>
      <c r="B767" s="44"/>
    </row>
    <row r="768" spans="1:22" x14ac:dyDescent="0.2">
      <c r="B768" s="45"/>
    </row>
    <row r="769" spans="2:2" x14ac:dyDescent="0.2">
      <c r="B769" s="45"/>
    </row>
    <row r="770" spans="2:2" x14ac:dyDescent="0.2">
      <c r="B770" s="45"/>
    </row>
    <row r="771" spans="2:2" x14ac:dyDescent="0.2">
      <c r="B771" s="45"/>
    </row>
    <row r="772" spans="2:2" x14ac:dyDescent="0.2">
      <c r="B772" s="45"/>
    </row>
    <row r="773" spans="2:2" x14ac:dyDescent="0.2">
      <c r="B773" s="45"/>
    </row>
    <row r="774" spans="2:2" x14ac:dyDescent="0.2">
      <c r="B774" s="45"/>
    </row>
    <row r="775" spans="2:2" x14ac:dyDescent="0.2">
      <c r="B775" s="45"/>
    </row>
    <row r="776" spans="2:2" x14ac:dyDescent="0.2">
      <c r="B776" s="45"/>
    </row>
    <row r="777" spans="2:2" x14ac:dyDescent="0.2">
      <c r="B777" s="45"/>
    </row>
    <row r="778" spans="2:2" x14ac:dyDescent="0.2">
      <c r="B778" s="45"/>
    </row>
    <row r="779" spans="2:2" x14ac:dyDescent="0.2">
      <c r="B779" s="45"/>
    </row>
    <row r="780" spans="2:2" x14ac:dyDescent="0.2">
      <c r="B780" s="45"/>
    </row>
    <row r="781" spans="2:2" x14ac:dyDescent="0.2">
      <c r="B781" s="45"/>
    </row>
    <row r="782" spans="2:2" x14ac:dyDescent="0.2">
      <c r="B782" s="45"/>
    </row>
    <row r="783" spans="2:2" x14ac:dyDescent="0.2">
      <c r="B783" s="45"/>
    </row>
    <row r="784" spans="2:2" x14ac:dyDescent="0.2">
      <c r="B784" s="45"/>
    </row>
    <row r="785" spans="1:22" x14ac:dyDescent="0.2">
      <c r="B785" s="45"/>
    </row>
    <row r="786" spans="1:22" x14ac:dyDescent="0.2">
      <c r="B786" s="66"/>
    </row>
    <row r="787" spans="1:22" x14ac:dyDescent="0.2">
      <c r="B787" s="49"/>
    </row>
    <row r="788" spans="1:22" x14ac:dyDescent="0.2">
      <c r="B788" s="45"/>
    </row>
    <row r="789" spans="1:22" x14ac:dyDescent="0.2">
      <c r="A789" s="3"/>
      <c r="B789" s="45"/>
    </row>
    <row r="790" spans="1:22" x14ac:dyDescent="0.2">
      <c r="A790" s="2"/>
      <c r="B790" s="44"/>
      <c r="C790" s="2"/>
      <c r="D790" s="2"/>
      <c r="E790" s="2"/>
      <c r="F790" s="2"/>
      <c r="G790" s="2"/>
      <c r="H790" s="2"/>
      <c r="I790" s="2"/>
      <c r="J790" s="2"/>
      <c r="K790" s="2"/>
      <c r="L790" s="2"/>
      <c r="M790" s="2"/>
      <c r="N790" s="2"/>
      <c r="O790" s="2"/>
      <c r="P790" s="2"/>
      <c r="Q790" s="2"/>
      <c r="R790" s="2"/>
      <c r="S790" s="2"/>
      <c r="T790" s="2"/>
      <c r="U790" s="2"/>
      <c r="V790" s="2"/>
    </row>
    <row r="791" spans="1:22" x14ac:dyDescent="0.2">
      <c r="B791" s="45"/>
    </row>
    <row r="792" spans="1:22" x14ac:dyDescent="0.2">
      <c r="B792" s="53"/>
      <c r="O792" s="15"/>
    </row>
    <row r="793" spans="1:22" x14ac:dyDescent="0.2">
      <c r="B793" s="53"/>
      <c r="O793" s="15"/>
    </row>
    <row r="794" spans="1:22" x14ac:dyDescent="0.2">
      <c r="B794" s="45"/>
      <c r="O794" s="15"/>
    </row>
    <row r="795" spans="1:22" x14ac:dyDescent="0.2">
      <c r="B795" s="53"/>
      <c r="O795" s="15"/>
    </row>
    <row r="796" spans="1:22" x14ac:dyDescent="0.2">
      <c r="B796" s="52"/>
      <c r="O796" s="15"/>
    </row>
    <row r="797" spans="1:22" x14ac:dyDescent="0.2">
      <c r="B797" s="53"/>
      <c r="O797" s="15"/>
    </row>
    <row r="799" spans="1:22" x14ac:dyDescent="0.2">
      <c r="A799" s="2"/>
      <c r="B799" s="44"/>
    </row>
    <row r="800" spans="1:22" x14ac:dyDescent="0.2">
      <c r="B800" s="45"/>
    </row>
    <row r="801" spans="2:2" x14ac:dyDescent="0.2">
      <c r="B801" s="45"/>
    </row>
    <row r="802" spans="2:2" x14ac:dyDescent="0.2">
      <c r="B802" s="45"/>
    </row>
    <row r="803" spans="2:2" x14ac:dyDescent="0.2">
      <c r="B803" s="45"/>
    </row>
    <row r="804" spans="2:2" x14ac:dyDescent="0.2">
      <c r="B804" s="45"/>
    </row>
    <row r="805" spans="2:2" x14ac:dyDescent="0.2">
      <c r="B805" s="45"/>
    </row>
    <row r="806" spans="2:2" x14ac:dyDescent="0.2">
      <c r="B806" s="45"/>
    </row>
    <row r="807" spans="2:2" x14ac:dyDescent="0.2">
      <c r="B807" s="45"/>
    </row>
    <row r="808" spans="2:2" x14ac:dyDescent="0.2">
      <c r="B808" s="45"/>
    </row>
    <row r="809" spans="2:2" x14ac:dyDescent="0.2">
      <c r="B809" s="45"/>
    </row>
    <row r="810" spans="2:2" x14ac:dyDescent="0.2">
      <c r="B810" s="45"/>
    </row>
    <row r="811" spans="2:2" x14ac:dyDescent="0.2">
      <c r="B811" s="45"/>
    </row>
    <row r="812" spans="2:2" x14ac:dyDescent="0.2">
      <c r="B812" s="45"/>
    </row>
    <row r="813" spans="2:2" x14ac:dyDescent="0.2">
      <c r="B813" s="45"/>
    </row>
    <row r="814" spans="2:2" x14ac:dyDescent="0.2">
      <c r="B814" s="45"/>
    </row>
    <row r="815" spans="2:2" x14ac:dyDescent="0.2">
      <c r="B815" s="45"/>
    </row>
    <row r="816" spans="2:2" x14ac:dyDescent="0.2">
      <c r="B816" s="45"/>
    </row>
    <row r="817" spans="1:22" x14ac:dyDescent="0.2">
      <c r="B817" s="45"/>
    </row>
    <row r="818" spans="1:22" x14ac:dyDescent="0.2">
      <c r="B818" s="66"/>
    </row>
    <row r="819" spans="1:22" x14ac:dyDescent="0.2">
      <c r="B819" s="49"/>
    </row>
    <row r="820" spans="1:22" x14ac:dyDescent="0.2">
      <c r="B820" s="45"/>
    </row>
    <row r="821" spans="1:22" x14ac:dyDescent="0.2">
      <c r="A821" s="3"/>
      <c r="B821" s="45"/>
    </row>
    <row r="822" spans="1:22" x14ac:dyDescent="0.2">
      <c r="A822" s="2"/>
      <c r="B822" s="44"/>
      <c r="C822" s="2"/>
      <c r="D822" s="2"/>
      <c r="E822" s="2"/>
      <c r="F822" s="2"/>
      <c r="G822" s="2"/>
      <c r="H822" s="2"/>
      <c r="I822" s="2"/>
      <c r="J822" s="2"/>
      <c r="K822" s="2"/>
      <c r="L822" s="2"/>
      <c r="M822" s="2"/>
      <c r="N822" s="2"/>
      <c r="O822" s="2"/>
      <c r="P822" s="2"/>
      <c r="Q822" s="2"/>
      <c r="R822" s="2"/>
      <c r="S822" s="2"/>
      <c r="T822" s="2"/>
      <c r="U822" s="2"/>
      <c r="V822" s="2"/>
    </row>
    <row r="823" spans="1:22" x14ac:dyDescent="0.2">
      <c r="B823" s="45"/>
    </row>
    <row r="824" spans="1:22" x14ac:dyDescent="0.2">
      <c r="B824" s="53"/>
      <c r="O824" s="15"/>
    </row>
    <row r="825" spans="1:22" x14ac:dyDescent="0.2">
      <c r="B825" s="53"/>
      <c r="O825" s="15"/>
    </row>
    <row r="826" spans="1:22" x14ac:dyDescent="0.2">
      <c r="B826" s="45"/>
      <c r="O826" s="15"/>
    </row>
    <row r="827" spans="1:22" x14ac:dyDescent="0.2">
      <c r="B827" s="45"/>
      <c r="O827" s="15"/>
    </row>
    <row r="828" spans="1:22" x14ac:dyDescent="0.2">
      <c r="B828" s="53"/>
      <c r="O828" s="15"/>
    </row>
    <row r="829" spans="1:22" x14ac:dyDescent="0.2">
      <c r="B829" s="52"/>
      <c r="O829" s="15"/>
    </row>
    <row r="830" spans="1:22" x14ac:dyDescent="0.2">
      <c r="B830" s="52"/>
      <c r="O830" s="15"/>
    </row>
    <row r="831" spans="1:22" x14ac:dyDescent="0.2">
      <c r="B831" s="53"/>
      <c r="O831" s="15"/>
    </row>
    <row r="832" spans="1:22" x14ac:dyDescent="0.2">
      <c r="B832" s="45"/>
    </row>
    <row r="833" spans="1:2" x14ac:dyDescent="0.2">
      <c r="A833" s="2"/>
      <c r="B833" s="44"/>
    </row>
    <row r="834" spans="1:2" x14ac:dyDescent="0.2">
      <c r="B834" s="45"/>
    </row>
    <row r="835" spans="1:2" x14ac:dyDescent="0.2">
      <c r="B835" s="45"/>
    </row>
    <row r="836" spans="1:2" x14ac:dyDescent="0.2">
      <c r="B836" s="45"/>
    </row>
    <row r="837" spans="1:2" x14ac:dyDescent="0.2">
      <c r="B837" s="45"/>
    </row>
    <row r="838" spans="1:2" x14ac:dyDescent="0.2">
      <c r="B838" s="45"/>
    </row>
    <row r="839" spans="1:2" x14ac:dyDescent="0.2">
      <c r="B839" s="45"/>
    </row>
    <row r="840" spans="1:2" x14ac:dyDescent="0.2">
      <c r="B840" s="45"/>
    </row>
    <row r="841" spans="1:2" x14ac:dyDescent="0.2">
      <c r="B841" s="45"/>
    </row>
    <row r="842" spans="1:2" x14ac:dyDescent="0.2">
      <c r="B842" s="45"/>
    </row>
    <row r="843" spans="1:2" x14ac:dyDescent="0.2">
      <c r="B843" s="45"/>
    </row>
    <row r="844" spans="1:2" x14ac:dyDescent="0.2">
      <c r="B844" s="45"/>
    </row>
    <row r="845" spans="1:2" x14ac:dyDescent="0.2">
      <c r="B845" s="45"/>
    </row>
    <row r="846" spans="1:2" x14ac:dyDescent="0.2">
      <c r="B846" s="45"/>
    </row>
    <row r="847" spans="1:2" x14ac:dyDescent="0.2">
      <c r="B847" s="45"/>
    </row>
    <row r="848" spans="1:2" x14ac:dyDescent="0.2">
      <c r="B848" s="45"/>
    </row>
    <row r="849" spans="1:22" x14ac:dyDescent="0.2">
      <c r="B849" s="45"/>
    </row>
    <row r="850" spans="1:22" x14ac:dyDescent="0.2">
      <c r="B850" s="45"/>
    </row>
    <row r="851" spans="1:22" x14ac:dyDescent="0.2">
      <c r="B851" s="45"/>
    </row>
    <row r="852" spans="1:22" x14ac:dyDescent="0.2">
      <c r="B852" s="66"/>
    </row>
    <row r="853" spans="1:22" x14ac:dyDescent="0.2">
      <c r="B853" s="49"/>
    </row>
    <row r="854" spans="1:22" x14ac:dyDescent="0.2">
      <c r="B854" s="45"/>
    </row>
    <row r="855" spans="1:22" x14ac:dyDescent="0.2">
      <c r="A855" s="3"/>
      <c r="B855" s="45"/>
    </row>
    <row r="856" spans="1:22" x14ac:dyDescent="0.2">
      <c r="A856" s="2"/>
      <c r="B856" s="44"/>
      <c r="C856" s="2"/>
      <c r="D856" s="2"/>
      <c r="E856" s="2"/>
      <c r="F856" s="2"/>
      <c r="G856" s="2"/>
      <c r="H856" s="2"/>
      <c r="I856" s="2"/>
      <c r="J856" s="2"/>
      <c r="K856" s="2"/>
      <c r="L856" s="2"/>
      <c r="M856" s="2"/>
      <c r="N856" s="2"/>
      <c r="O856" s="2"/>
      <c r="P856" s="2"/>
      <c r="Q856" s="2"/>
      <c r="R856" s="2"/>
      <c r="S856" s="2"/>
      <c r="T856" s="2"/>
      <c r="U856" s="2"/>
      <c r="V856" s="2"/>
    </row>
    <row r="857" spans="1:22" x14ac:dyDescent="0.2">
      <c r="B857" s="45"/>
    </row>
    <row r="858" spans="1:22" x14ac:dyDescent="0.2">
      <c r="B858" s="53"/>
      <c r="O858" s="15"/>
    </row>
    <row r="859" spans="1:22" x14ac:dyDescent="0.2">
      <c r="B859" s="53"/>
      <c r="O859" s="15"/>
    </row>
    <row r="860" spans="1:22" x14ac:dyDescent="0.2">
      <c r="B860" s="45"/>
      <c r="O860" s="15"/>
    </row>
    <row r="861" spans="1:22" x14ac:dyDescent="0.2">
      <c r="B861" s="53"/>
      <c r="O861" s="15"/>
    </row>
    <row r="862" spans="1:22" x14ac:dyDescent="0.2">
      <c r="B862" s="52"/>
      <c r="O862" s="15"/>
    </row>
    <row r="863" spans="1:22" x14ac:dyDescent="0.2">
      <c r="B863" s="53"/>
      <c r="O863" s="15"/>
    </row>
    <row r="865" spans="1:2" x14ac:dyDescent="0.2">
      <c r="A865" s="2"/>
      <c r="B865" s="44"/>
    </row>
    <row r="866" spans="1:2" x14ac:dyDescent="0.2">
      <c r="B866" s="45"/>
    </row>
    <row r="867" spans="1:2" x14ac:dyDescent="0.2">
      <c r="B867" s="45"/>
    </row>
    <row r="868" spans="1:2" x14ac:dyDescent="0.2">
      <c r="B868" s="45"/>
    </row>
    <row r="869" spans="1:2" x14ac:dyDescent="0.2">
      <c r="B869" s="45"/>
    </row>
    <row r="870" spans="1:2" x14ac:dyDescent="0.2">
      <c r="B870" s="45"/>
    </row>
    <row r="871" spans="1:2" x14ac:dyDescent="0.2">
      <c r="B871" s="45"/>
    </row>
    <row r="872" spans="1:2" x14ac:dyDescent="0.2">
      <c r="B872" s="45"/>
    </row>
    <row r="873" spans="1:2" x14ac:dyDescent="0.2">
      <c r="B873" s="45"/>
    </row>
    <row r="874" spans="1:2" x14ac:dyDescent="0.2">
      <c r="B874" s="45"/>
    </row>
    <row r="875" spans="1:2" x14ac:dyDescent="0.2">
      <c r="B875" s="45"/>
    </row>
    <row r="876" spans="1:2" x14ac:dyDescent="0.2">
      <c r="B876" s="45"/>
    </row>
    <row r="877" spans="1:2" x14ac:dyDescent="0.2">
      <c r="B877" s="45"/>
    </row>
    <row r="878" spans="1:2" x14ac:dyDescent="0.2">
      <c r="B878" s="45"/>
    </row>
    <row r="879" spans="1:2" x14ac:dyDescent="0.2">
      <c r="B879" s="45"/>
    </row>
    <row r="880" spans="1:2" x14ac:dyDescent="0.2">
      <c r="B880" s="45"/>
    </row>
    <row r="881" spans="1:22" x14ac:dyDescent="0.2">
      <c r="B881" s="45"/>
    </row>
    <row r="882" spans="1:22" x14ac:dyDescent="0.2">
      <c r="B882" s="45"/>
    </row>
    <row r="883" spans="1:22" x14ac:dyDescent="0.2">
      <c r="B883" s="45"/>
    </row>
    <row r="884" spans="1:22" x14ac:dyDescent="0.2">
      <c r="B884" s="66"/>
    </row>
    <row r="885" spans="1:22" x14ac:dyDescent="0.2">
      <c r="B885" s="49"/>
    </row>
    <row r="886" spans="1:22" x14ac:dyDescent="0.2">
      <c r="B886" s="45"/>
    </row>
    <row r="887" spans="1:22" x14ac:dyDescent="0.2">
      <c r="A887" s="3"/>
      <c r="B887" s="45"/>
    </row>
    <row r="888" spans="1:22" x14ac:dyDescent="0.2">
      <c r="A888" s="2"/>
      <c r="B888" s="44"/>
      <c r="C888" s="2"/>
      <c r="D888" s="2"/>
      <c r="E888" s="2"/>
      <c r="F888" s="2"/>
      <c r="G888" s="2"/>
      <c r="H888" s="2"/>
      <c r="I888" s="2"/>
      <c r="J888" s="2"/>
      <c r="K888" s="2"/>
      <c r="L888" s="2"/>
      <c r="M888" s="2"/>
      <c r="N888" s="2"/>
      <c r="O888" s="2"/>
      <c r="P888" s="2"/>
      <c r="Q888" s="2"/>
      <c r="R888" s="2"/>
      <c r="S888" s="2"/>
      <c r="T888" s="2"/>
      <c r="U888" s="2"/>
      <c r="V888" s="2"/>
    </row>
    <row r="889" spans="1:22" x14ac:dyDescent="0.2">
      <c r="B889" s="45"/>
    </row>
    <row r="890" spans="1:22" x14ac:dyDescent="0.2">
      <c r="B890" s="53"/>
      <c r="O890" s="15"/>
    </row>
    <row r="891" spans="1:22" x14ac:dyDescent="0.2">
      <c r="B891" s="53"/>
      <c r="O891" s="15"/>
    </row>
    <row r="892" spans="1:22" x14ac:dyDescent="0.2">
      <c r="B892" s="45"/>
      <c r="O892" s="15"/>
    </row>
    <row r="893" spans="1:22" x14ac:dyDescent="0.2">
      <c r="B893" s="45"/>
      <c r="O893" s="15"/>
    </row>
    <row r="894" spans="1:22" x14ac:dyDescent="0.2">
      <c r="B894" s="53"/>
      <c r="O894" s="15"/>
    </row>
    <row r="895" spans="1:22" x14ac:dyDescent="0.2">
      <c r="B895" s="52"/>
      <c r="O895" s="15"/>
    </row>
    <row r="896" spans="1:22" x14ac:dyDescent="0.2">
      <c r="B896" s="52"/>
      <c r="O896" s="15"/>
    </row>
    <row r="897" spans="1:15" x14ac:dyDescent="0.2">
      <c r="B897" s="53"/>
      <c r="O897" s="15"/>
    </row>
    <row r="898" spans="1:15" x14ac:dyDescent="0.2">
      <c r="B898" s="45"/>
    </row>
    <row r="899" spans="1:15" x14ac:dyDescent="0.2">
      <c r="A899" s="2"/>
      <c r="B899" s="44"/>
    </row>
    <row r="900" spans="1:15" x14ac:dyDescent="0.2">
      <c r="B900" s="45"/>
    </row>
    <row r="901" spans="1:15" x14ac:dyDescent="0.2">
      <c r="B901" s="45"/>
    </row>
    <row r="902" spans="1:15" x14ac:dyDescent="0.2">
      <c r="B902" s="45"/>
    </row>
    <row r="903" spans="1:15" x14ac:dyDescent="0.2">
      <c r="B903" s="45"/>
    </row>
    <row r="904" spans="1:15" x14ac:dyDescent="0.2">
      <c r="B904" s="45"/>
    </row>
    <row r="905" spans="1:15" x14ac:dyDescent="0.2">
      <c r="B905" s="45"/>
    </row>
    <row r="906" spans="1:15" x14ac:dyDescent="0.2">
      <c r="B906" s="45"/>
    </row>
    <row r="907" spans="1:15" x14ac:dyDescent="0.2">
      <c r="B907" s="45"/>
    </row>
    <row r="908" spans="1:15" x14ac:dyDescent="0.2">
      <c r="B908" s="45"/>
    </row>
    <row r="909" spans="1:15" x14ac:dyDescent="0.2">
      <c r="B909" s="45"/>
    </row>
    <row r="910" spans="1:15" x14ac:dyDescent="0.2">
      <c r="B910" s="45"/>
    </row>
    <row r="911" spans="1:15" x14ac:dyDescent="0.2">
      <c r="B911" s="45"/>
    </row>
    <row r="912" spans="1:15" x14ac:dyDescent="0.2">
      <c r="B912" s="45"/>
    </row>
    <row r="913" spans="1:22" x14ac:dyDescent="0.2">
      <c r="B913" s="45"/>
    </row>
    <row r="914" spans="1:22" x14ac:dyDescent="0.2">
      <c r="B914" s="45"/>
    </row>
    <row r="915" spans="1:22" x14ac:dyDescent="0.2">
      <c r="B915" s="45"/>
    </row>
    <row r="916" spans="1:22" x14ac:dyDescent="0.2">
      <c r="B916" s="45"/>
    </row>
    <row r="917" spans="1:22" x14ac:dyDescent="0.2">
      <c r="B917" s="45"/>
    </row>
    <row r="918" spans="1:22" x14ac:dyDescent="0.2">
      <c r="B918" s="66"/>
    </row>
    <row r="919" spans="1:22" x14ac:dyDescent="0.2">
      <c r="B919" s="49"/>
    </row>
    <row r="920" spans="1:22" x14ac:dyDescent="0.2">
      <c r="B920" s="45"/>
    </row>
    <row r="921" spans="1:22" x14ac:dyDescent="0.2">
      <c r="A921" s="3"/>
      <c r="B921" s="45"/>
    </row>
    <row r="922" spans="1:22" x14ac:dyDescent="0.2">
      <c r="A922" s="2"/>
      <c r="B922" s="44"/>
      <c r="C922" s="2"/>
      <c r="D922" s="2"/>
      <c r="E922" s="2"/>
      <c r="F922" s="2"/>
      <c r="G922" s="2"/>
      <c r="H922" s="2"/>
      <c r="I922" s="2"/>
      <c r="J922" s="2"/>
      <c r="K922" s="2"/>
      <c r="L922" s="2"/>
      <c r="M922" s="2"/>
      <c r="N922" s="2"/>
      <c r="O922" s="2"/>
      <c r="P922" s="2"/>
      <c r="Q922" s="2"/>
      <c r="R922" s="2"/>
      <c r="S922" s="2"/>
      <c r="T922" s="2"/>
      <c r="U922" s="2"/>
      <c r="V922" s="2"/>
    </row>
    <row r="923" spans="1:22" x14ac:dyDescent="0.2">
      <c r="B923" s="45"/>
    </row>
    <row r="924" spans="1:22" x14ac:dyDescent="0.2">
      <c r="B924" s="53"/>
      <c r="O924" s="15"/>
    </row>
    <row r="925" spans="1:22" x14ac:dyDescent="0.2">
      <c r="B925" s="53"/>
      <c r="O925" s="15"/>
    </row>
    <row r="926" spans="1:22" x14ac:dyDescent="0.2">
      <c r="B926" s="45"/>
      <c r="O926" s="15"/>
    </row>
    <row r="927" spans="1:22" x14ac:dyDescent="0.2">
      <c r="B927" s="53"/>
      <c r="O927" s="15"/>
    </row>
    <row r="928" spans="1:22" x14ac:dyDescent="0.2">
      <c r="B928" s="52"/>
      <c r="O928" s="15"/>
    </row>
    <row r="929" spans="1:15" x14ac:dyDescent="0.2">
      <c r="B929" s="53"/>
      <c r="O929" s="15"/>
    </row>
    <row r="931" spans="1:15" x14ac:dyDescent="0.2">
      <c r="A931" s="2"/>
      <c r="B931" s="44"/>
    </row>
    <row r="932" spans="1:15" x14ac:dyDescent="0.2">
      <c r="B932" s="45"/>
    </row>
    <row r="933" spans="1:15" x14ac:dyDescent="0.2">
      <c r="B933" s="45"/>
    </row>
    <row r="934" spans="1:15" x14ac:dyDescent="0.2">
      <c r="B934" s="45"/>
    </row>
    <row r="935" spans="1:15" x14ac:dyDescent="0.2">
      <c r="B935" s="45"/>
    </row>
    <row r="936" spans="1:15" x14ac:dyDescent="0.2">
      <c r="B936" s="45"/>
    </row>
    <row r="937" spans="1:15" x14ac:dyDescent="0.2">
      <c r="B937" s="45"/>
    </row>
    <row r="938" spans="1:15" x14ac:dyDescent="0.2">
      <c r="B938" s="45"/>
    </row>
    <row r="939" spans="1:15" x14ac:dyDescent="0.2">
      <c r="B939" s="45"/>
    </row>
    <row r="940" spans="1:15" x14ac:dyDescent="0.2">
      <c r="B940" s="45"/>
    </row>
    <row r="941" spans="1:15" x14ac:dyDescent="0.2">
      <c r="B941" s="45"/>
    </row>
    <row r="942" spans="1:15" x14ac:dyDescent="0.2">
      <c r="B942" s="45"/>
    </row>
    <row r="943" spans="1:15" x14ac:dyDescent="0.2">
      <c r="B943" s="45"/>
    </row>
    <row r="944" spans="1:15" x14ac:dyDescent="0.2">
      <c r="B944" s="45"/>
    </row>
    <row r="945" spans="1:22" x14ac:dyDescent="0.2">
      <c r="B945" s="45"/>
    </row>
    <row r="946" spans="1:22" x14ac:dyDescent="0.2">
      <c r="B946" s="45"/>
    </row>
    <row r="947" spans="1:22" x14ac:dyDescent="0.2">
      <c r="B947" s="45"/>
    </row>
    <row r="948" spans="1:22" x14ac:dyDescent="0.2">
      <c r="B948" s="45"/>
    </row>
    <row r="949" spans="1:22" x14ac:dyDescent="0.2">
      <c r="B949" s="45"/>
    </row>
    <row r="950" spans="1:22" x14ac:dyDescent="0.2">
      <c r="B950" s="66"/>
    </row>
    <row r="951" spans="1:22" x14ac:dyDescent="0.2">
      <c r="B951" s="49"/>
    </row>
    <row r="952" spans="1:22" x14ac:dyDescent="0.2">
      <c r="B952" s="45"/>
    </row>
    <row r="953" spans="1:22" x14ac:dyDescent="0.2">
      <c r="A953" s="3"/>
      <c r="B953" s="45"/>
    </row>
    <row r="954" spans="1:22" x14ac:dyDescent="0.2">
      <c r="A954" s="2"/>
      <c r="B954" s="44"/>
      <c r="C954" s="2"/>
      <c r="D954" s="2"/>
      <c r="E954" s="2"/>
      <c r="F954" s="2"/>
      <c r="G954" s="2"/>
      <c r="H954" s="2"/>
      <c r="I954" s="2"/>
      <c r="J954" s="2"/>
      <c r="K954" s="2"/>
      <c r="L954" s="2"/>
      <c r="M954" s="2"/>
      <c r="N954" s="2"/>
      <c r="O954" s="2"/>
      <c r="P954" s="2"/>
      <c r="Q954" s="2"/>
      <c r="R954" s="2"/>
      <c r="S954" s="2"/>
      <c r="T954" s="2"/>
      <c r="U954" s="2"/>
      <c r="V954" s="2"/>
    </row>
    <row r="955" spans="1:22" x14ac:dyDescent="0.2">
      <c r="B955" s="45"/>
    </row>
    <row r="956" spans="1:22" x14ac:dyDescent="0.2">
      <c r="B956" s="53"/>
      <c r="O956" s="15"/>
    </row>
    <row r="957" spans="1:22" x14ac:dyDescent="0.2">
      <c r="B957" s="53"/>
      <c r="O957" s="15"/>
    </row>
    <row r="958" spans="1:22" x14ac:dyDescent="0.2">
      <c r="B958" s="45"/>
      <c r="O958" s="15"/>
    </row>
    <row r="959" spans="1:22" x14ac:dyDescent="0.2">
      <c r="B959" s="45"/>
      <c r="O959" s="15"/>
    </row>
    <row r="960" spans="1:22" x14ac:dyDescent="0.2">
      <c r="B960" s="53"/>
      <c r="O960" s="15"/>
    </row>
    <row r="961" spans="1:15" x14ac:dyDescent="0.2">
      <c r="B961" s="52"/>
      <c r="O961" s="15"/>
    </row>
    <row r="962" spans="1:15" x14ac:dyDescent="0.2">
      <c r="B962" s="52"/>
      <c r="O962" s="15"/>
    </row>
    <row r="963" spans="1:15" x14ac:dyDescent="0.2">
      <c r="B963" s="53"/>
      <c r="O963" s="15"/>
    </row>
    <row r="964" spans="1:15" x14ac:dyDescent="0.2">
      <c r="B964" s="45"/>
    </row>
    <row r="965" spans="1:15" x14ac:dyDescent="0.2">
      <c r="A965" s="2"/>
      <c r="B965" s="44"/>
    </row>
    <row r="966" spans="1:15" x14ac:dyDescent="0.2">
      <c r="B966" s="45"/>
    </row>
    <row r="967" spans="1:15" x14ac:dyDescent="0.2">
      <c r="B967" s="45"/>
    </row>
    <row r="968" spans="1:15" x14ac:dyDescent="0.2">
      <c r="B968" s="45"/>
    </row>
    <row r="969" spans="1:15" x14ac:dyDescent="0.2">
      <c r="B969" s="45"/>
    </row>
    <row r="970" spans="1:15" x14ac:dyDescent="0.2">
      <c r="B970" s="45"/>
    </row>
    <row r="971" spans="1:15" x14ac:dyDescent="0.2">
      <c r="B971" s="45"/>
    </row>
    <row r="972" spans="1:15" x14ac:dyDescent="0.2">
      <c r="B972" s="45"/>
    </row>
    <row r="973" spans="1:15" x14ac:dyDescent="0.2">
      <c r="B973" s="45"/>
    </row>
    <row r="974" spans="1:15" x14ac:dyDescent="0.2">
      <c r="B974" s="45"/>
    </row>
    <row r="975" spans="1:15" x14ac:dyDescent="0.2">
      <c r="B975" s="45"/>
    </row>
    <row r="976" spans="1:15" x14ac:dyDescent="0.2">
      <c r="B976" s="45"/>
    </row>
    <row r="977" spans="1:22" x14ac:dyDescent="0.2">
      <c r="B977" s="45"/>
    </row>
    <row r="978" spans="1:22" x14ac:dyDescent="0.2">
      <c r="B978" s="45"/>
    </row>
    <row r="979" spans="1:22" x14ac:dyDescent="0.2">
      <c r="B979" s="45"/>
    </row>
    <row r="980" spans="1:22" x14ac:dyDescent="0.2">
      <c r="B980" s="45"/>
    </row>
    <row r="981" spans="1:22" x14ac:dyDescent="0.2">
      <c r="B981" s="45"/>
    </row>
    <row r="982" spans="1:22" x14ac:dyDescent="0.2">
      <c r="B982" s="45"/>
    </row>
    <row r="983" spans="1:22" x14ac:dyDescent="0.2">
      <c r="B983" s="45"/>
    </row>
    <row r="984" spans="1:22" x14ac:dyDescent="0.2">
      <c r="B984" s="66"/>
    </row>
    <row r="985" spans="1:22" x14ac:dyDescent="0.2">
      <c r="B985" s="49"/>
    </row>
    <row r="986" spans="1:22" x14ac:dyDescent="0.2">
      <c r="B986" s="45"/>
    </row>
    <row r="987" spans="1:22" x14ac:dyDescent="0.2">
      <c r="A987" s="3"/>
      <c r="B987" s="45"/>
    </row>
    <row r="988" spans="1:22" x14ac:dyDescent="0.2">
      <c r="A988" s="2"/>
      <c r="B988" s="44"/>
      <c r="C988" s="2"/>
      <c r="D988" s="2"/>
      <c r="E988" s="2"/>
      <c r="F988" s="2"/>
      <c r="G988" s="2"/>
      <c r="H988" s="2"/>
      <c r="I988" s="2"/>
      <c r="J988" s="2"/>
      <c r="K988" s="2"/>
      <c r="L988" s="2"/>
      <c r="M988" s="2"/>
      <c r="N988" s="2"/>
      <c r="O988" s="2"/>
      <c r="P988" s="2"/>
      <c r="Q988" s="2"/>
      <c r="R988" s="2"/>
      <c r="S988" s="2"/>
      <c r="T988" s="2"/>
      <c r="U988" s="2"/>
      <c r="V988" s="2"/>
    </row>
    <row r="989" spans="1:22" x14ac:dyDescent="0.2">
      <c r="B989" s="45"/>
    </row>
    <row r="990" spans="1:22" x14ac:dyDescent="0.2">
      <c r="B990" s="53"/>
      <c r="O990" s="15"/>
    </row>
    <row r="991" spans="1:22" x14ac:dyDescent="0.2">
      <c r="B991" s="53"/>
      <c r="O991" s="15"/>
    </row>
    <row r="992" spans="1:22" x14ac:dyDescent="0.2">
      <c r="B992" s="45"/>
      <c r="O992" s="15"/>
    </row>
    <row r="993" spans="1:15" x14ac:dyDescent="0.2">
      <c r="B993" s="53"/>
      <c r="O993" s="15"/>
    </row>
    <row r="994" spans="1:15" x14ac:dyDescent="0.2">
      <c r="B994" s="52"/>
      <c r="O994" s="15"/>
    </row>
    <row r="995" spans="1:15" x14ac:dyDescent="0.2">
      <c r="B995" s="53"/>
      <c r="O995" s="15"/>
    </row>
    <row r="997" spans="1:15" x14ac:dyDescent="0.2">
      <c r="A997" s="2"/>
      <c r="B997" s="44"/>
    </row>
    <row r="998" spans="1:15" x14ac:dyDescent="0.2">
      <c r="B998" s="45"/>
    </row>
    <row r="999" spans="1:15" x14ac:dyDescent="0.2">
      <c r="B999" s="45"/>
    </row>
    <row r="1000" spans="1:15" x14ac:dyDescent="0.2">
      <c r="B1000" s="45"/>
    </row>
    <row r="1001" spans="1:15" x14ac:dyDescent="0.2">
      <c r="B1001" s="45"/>
    </row>
    <row r="1002" spans="1:15" x14ac:dyDescent="0.2">
      <c r="B1002" s="45"/>
    </row>
    <row r="1003" spans="1:15" x14ac:dyDescent="0.2">
      <c r="B1003" s="45"/>
    </row>
    <row r="1004" spans="1:15" x14ac:dyDescent="0.2">
      <c r="B1004" s="45"/>
    </row>
    <row r="1005" spans="1:15" x14ac:dyDescent="0.2">
      <c r="B1005" s="45"/>
    </row>
    <row r="1006" spans="1:15" x14ac:dyDescent="0.2">
      <c r="B1006" s="45"/>
    </row>
    <row r="1007" spans="1:15" x14ac:dyDescent="0.2">
      <c r="B1007" s="45"/>
    </row>
    <row r="1008" spans="1:15" x14ac:dyDescent="0.2">
      <c r="B1008" s="45"/>
    </row>
    <row r="1009" spans="1:22" x14ac:dyDescent="0.2">
      <c r="B1009" s="45"/>
    </row>
    <row r="1010" spans="1:22" x14ac:dyDescent="0.2">
      <c r="B1010" s="45"/>
    </row>
    <row r="1011" spans="1:22" x14ac:dyDescent="0.2">
      <c r="B1011" s="45"/>
    </row>
    <row r="1012" spans="1:22" x14ac:dyDescent="0.2">
      <c r="B1012" s="45"/>
    </row>
    <row r="1013" spans="1:22" x14ac:dyDescent="0.2">
      <c r="B1013" s="45"/>
    </row>
    <row r="1014" spans="1:22" x14ac:dyDescent="0.2">
      <c r="B1014" s="45"/>
    </row>
    <row r="1015" spans="1:22" x14ac:dyDescent="0.2">
      <c r="B1015" s="45"/>
    </row>
    <row r="1016" spans="1:22" x14ac:dyDescent="0.2">
      <c r="B1016" s="66"/>
    </row>
    <row r="1017" spans="1:22" x14ac:dyDescent="0.2">
      <c r="B1017" s="49"/>
    </row>
    <row r="1018" spans="1:22" x14ac:dyDescent="0.2">
      <c r="B1018" s="45"/>
    </row>
    <row r="1019" spans="1:22" x14ac:dyDescent="0.2">
      <c r="A1019" s="3"/>
      <c r="B1019" s="45"/>
    </row>
    <row r="1020" spans="1:22" x14ac:dyDescent="0.2">
      <c r="A1020" s="2"/>
      <c r="B1020" s="44"/>
      <c r="C1020" s="2"/>
      <c r="D1020" s="2"/>
      <c r="E1020" s="2"/>
      <c r="F1020" s="2"/>
      <c r="G1020" s="2"/>
      <c r="H1020" s="2"/>
      <c r="I1020" s="2"/>
      <c r="J1020" s="2"/>
      <c r="K1020" s="2"/>
      <c r="L1020" s="2"/>
      <c r="M1020" s="2"/>
      <c r="N1020" s="2"/>
      <c r="O1020" s="2"/>
      <c r="P1020" s="2"/>
      <c r="Q1020" s="2"/>
      <c r="R1020" s="2"/>
      <c r="S1020" s="2"/>
      <c r="T1020" s="2"/>
      <c r="U1020" s="2"/>
      <c r="V1020" s="2"/>
    </row>
    <row r="1021" spans="1:22" x14ac:dyDescent="0.2">
      <c r="B1021" s="45"/>
    </row>
    <row r="1022" spans="1:22" x14ac:dyDescent="0.2">
      <c r="B1022" s="53"/>
      <c r="O1022" s="15"/>
    </row>
    <row r="1023" spans="1:22" x14ac:dyDescent="0.2">
      <c r="B1023" s="53"/>
      <c r="O1023" s="15"/>
    </row>
    <row r="1024" spans="1:22" x14ac:dyDescent="0.2">
      <c r="B1024" s="45"/>
      <c r="O1024" s="15"/>
    </row>
    <row r="1025" spans="1:15" x14ac:dyDescent="0.2">
      <c r="B1025" s="45"/>
      <c r="O1025" s="15"/>
    </row>
    <row r="1026" spans="1:15" x14ac:dyDescent="0.2">
      <c r="B1026" s="53"/>
      <c r="O1026" s="15"/>
    </row>
    <row r="1027" spans="1:15" x14ac:dyDescent="0.2">
      <c r="B1027" s="52"/>
      <c r="O1027" s="15"/>
    </row>
    <row r="1028" spans="1:15" x14ac:dyDescent="0.2">
      <c r="B1028" s="52"/>
      <c r="O1028" s="15"/>
    </row>
    <row r="1029" spans="1:15" x14ac:dyDescent="0.2">
      <c r="B1029" s="53"/>
      <c r="O1029" s="15"/>
    </row>
    <row r="1030" spans="1:15" x14ac:dyDescent="0.2">
      <c r="B1030" s="45"/>
    </row>
    <row r="1031" spans="1:15" x14ac:dyDescent="0.2">
      <c r="A1031" s="2"/>
      <c r="B1031" s="44"/>
    </row>
    <row r="1032" spans="1:15" x14ac:dyDescent="0.2">
      <c r="B1032" s="45"/>
    </row>
    <row r="1033" spans="1:15" x14ac:dyDescent="0.2">
      <c r="B1033" s="45"/>
    </row>
    <row r="1034" spans="1:15" x14ac:dyDescent="0.2">
      <c r="B1034" s="45"/>
    </row>
    <row r="1035" spans="1:15" x14ac:dyDescent="0.2">
      <c r="B1035" s="45"/>
    </row>
    <row r="1036" spans="1:15" x14ac:dyDescent="0.2">
      <c r="B1036" s="45"/>
    </row>
    <row r="1037" spans="1:15" x14ac:dyDescent="0.2">
      <c r="B1037" s="45"/>
    </row>
    <row r="1038" spans="1:15" x14ac:dyDescent="0.2">
      <c r="B1038" s="45"/>
    </row>
    <row r="1039" spans="1:15" x14ac:dyDescent="0.2">
      <c r="B1039" s="45"/>
    </row>
    <row r="1040" spans="1:15" x14ac:dyDescent="0.2">
      <c r="B1040" s="45"/>
    </row>
    <row r="1041" spans="1:22" x14ac:dyDescent="0.2">
      <c r="B1041" s="45"/>
    </row>
    <row r="1042" spans="1:22" x14ac:dyDescent="0.2">
      <c r="B1042" s="45"/>
    </row>
    <row r="1043" spans="1:22" x14ac:dyDescent="0.2">
      <c r="B1043" s="45"/>
    </row>
    <row r="1044" spans="1:22" x14ac:dyDescent="0.2">
      <c r="B1044" s="45"/>
    </row>
    <row r="1045" spans="1:22" x14ac:dyDescent="0.2">
      <c r="B1045" s="45"/>
    </row>
    <row r="1046" spans="1:22" x14ac:dyDescent="0.2">
      <c r="B1046" s="45"/>
    </row>
    <row r="1047" spans="1:22" x14ac:dyDescent="0.2">
      <c r="B1047" s="45"/>
    </row>
    <row r="1048" spans="1:22" x14ac:dyDescent="0.2">
      <c r="B1048" s="45"/>
    </row>
    <row r="1049" spans="1:22" x14ac:dyDescent="0.2">
      <c r="B1049" s="45"/>
    </row>
    <row r="1050" spans="1:22" x14ac:dyDescent="0.2">
      <c r="B1050" s="66"/>
    </row>
    <row r="1051" spans="1:22" x14ac:dyDescent="0.2">
      <c r="B1051" s="49"/>
    </row>
    <row r="1052" spans="1:22" x14ac:dyDescent="0.2">
      <c r="B1052" s="45"/>
    </row>
    <row r="1053" spans="1:22" x14ac:dyDescent="0.2">
      <c r="A1053" s="3"/>
      <c r="B1053" s="45"/>
    </row>
    <row r="1054" spans="1:22" x14ac:dyDescent="0.2">
      <c r="A1054" s="2"/>
      <c r="B1054" s="44"/>
      <c r="C1054" s="2"/>
      <c r="D1054" s="2"/>
      <c r="E1054" s="2"/>
      <c r="F1054" s="2"/>
      <c r="G1054" s="2"/>
      <c r="H1054" s="2"/>
      <c r="I1054" s="2"/>
      <c r="J1054" s="2"/>
      <c r="K1054" s="2"/>
      <c r="L1054" s="2"/>
      <c r="M1054" s="2"/>
      <c r="N1054" s="2"/>
      <c r="O1054" s="2"/>
      <c r="P1054" s="2"/>
      <c r="Q1054" s="2"/>
      <c r="R1054" s="2"/>
      <c r="S1054" s="2"/>
      <c r="T1054" s="2"/>
      <c r="U1054" s="2"/>
      <c r="V1054" s="2"/>
    </row>
    <row r="1055" spans="1:22" x14ac:dyDescent="0.2">
      <c r="B1055" s="45"/>
    </row>
    <row r="1056" spans="1:22" x14ac:dyDescent="0.2">
      <c r="B1056" s="53"/>
      <c r="O1056" s="15"/>
    </row>
    <row r="1057" spans="1:15" x14ac:dyDescent="0.2">
      <c r="B1057" s="53"/>
      <c r="O1057" s="15"/>
    </row>
    <row r="1058" spans="1:15" x14ac:dyDescent="0.2">
      <c r="B1058" s="45"/>
      <c r="O1058" s="15"/>
    </row>
    <row r="1059" spans="1:15" x14ac:dyDescent="0.2">
      <c r="B1059" s="53"/>
      <c r="O1059" s="15"/>
    </row>
    <row r="1060" spans="1:15" x14ac:dyDescent="0.2">
      <c r="B1060" s="52"/>
      <c r="O1060" s="15"/>
    </row>
    <row r="1061" spans="1:15" x14ac:dyDescent="0.2">
      <c r="B1061" s="53"/>
      <c r="O1061" s="15"/>
    </row>
    <row r="1063" spans="1:15" x14ac:dyDescent="0.2">
      <c r="A1063" s="2"/>
      <c r="B1063" s="44"/>
    </row>
    <row r="1064" spans="1:15" x14ac:dyDescent="0.2">
      <c r="B1064" s="45"/>
    </row>
    <row r="1065" spans="1:15" x14ac:dyDescent="0.2">
      <c r="B1065" s="45"/>
    </row>
    <row r="1066" spans="1:15" x14ac:dyDescent="0.2">
      <c r="B1066" s="45"/>
    </row>
    <row r="1067" spans="1:15" x14ac:dyDescent="0.2">
      <c r="B1067" s="45"/>
    </row>
    <row r="1068" spans="1:15" x14ac:dyDescent="0.2">
      <c r="B1068" s="45"/>
    </row>
    <row r="1069" spans="1:15" x14ac:dyDescent="0.2">
      <c r="B1069" s="45"/>
    </row>
    <row r="1070" spans="1:15" x14ac:dyDescent="0.2">
      <c r="B1070" s="45"/>
    </row>
    <row r="1071" spans="1:15" x14ac:dyDescent="0.2">
      <c r="B1071" s="45"/>
    </row>
    <row r="1072" spans="1:15" x14ac:dyDescent="0.2">
      <c r="B1072" s="45"/>
    </row>
    <row r="1073" spans="1:22" x14ac:dyDescent="0.2">
      <c r="B1073" s="45"/>
    </row>
    <row r="1074" spans="1:22" x14ac:dyDescent="0.2">
      <c r="B1074" s="45"/>
    </row>
    <row r="1075" spans="1:22" x14ac:dyDescent="0.2">
      <c r="B1075" s="45"/>
    </row>
    <row r="1076" spans="1:22" x14ac:dyDescent="0.2">
      <c r="B1076" s="45"/>
    </row>
    <row r="1077" spans="1:22" x14ac:dyDescent="0.2">
      <c r="B1077" s="45"/>
    </row>
    <row r="1078" spans="1:22" x14ac:dyDescent="0.2">
      <c r="B1078" s="45"/>
    </row>
    <row r="1079" spans="1:22" x14ac:dyDescent="0.2">
      <c r="B1079" s="45"/>
    </row>
    <row r="1080" spans="1:22" x14ac:dyDescent="0.2">
      <c r="B1080" s="45"/>
    </row>
    <row r="1081" spans="1:22" x14ac:dyDescent="0.2">
      <c r="B1081" s="45"/>
    </row>
    <row r="1082" spans="1:22" x14ac:dyDescent="0.2">
      <c r="B1082" s="66"/>
    </row>
    <row r="1083" spans="1:22" x14ac:dyDescent="0.2">
      <c r="B1083" s="49"/>
    </row>
    <row r="1084" spans="1:22" x14ac:dyDescent="0.2">
      <c r="B1084" s="45"/>
    </row>
    <row r="1085" spans="1:22" x14ac:dyDescent="0.2">
      <c r="A1085" s="3"/>
      <c r="B1085" s="45"/>
    </row>
    <row r="1086" spans="1:22" x14ac:dyDescent="0.2">
      <c r="A1086" s="2"/>
      <c r="B1086" s="44"/>
      <c r="C1086" s="2"/>
      <c r="D1086" s="2"/>
      <c r="E1086" s="2"/>
      <c r="F1086" s="2"/>
      <c r="G1086" s="2"/>
      <c r="H1086" s="2"/>
      <c r="I1086" s="2"/>
      <c r="J1086" s="2"/>
      <c r="K1086" s="2"/>
      <c r="L1086" s="2"/>
      <c r="M1086" s="2"/>
      <c r="N1086" s="2"/>
      <c r="O1086" s="2"/>
      <c r="P1086" s="2"/>
      <c r="Q1086" s="2"/>
      <c r="R1086" s="2"/>
      <c r="S1086" s="2"/>
      <c r="T1086" s="2"/>
      <c r="U1086" s="2"/>
      <c r="V1086" s="2"/>
    </row>
    <row r="1087" spans="1:22" x14ac:dyDescent="0.2">
      <c r="B1087" s="45"/>
    </row>
    <row r="1088" spans="1:22" x14ac:dyDescent="0.2">
      <c r="B1088" s="53"/>
      <c r="O1088" s="15"/>
    </row>
    <row r="1089" spans="1:15" x14ac:dyDescent="0.2">
      <c r="B1089" s="53"/>
      <c r="O1089" s="15"/>
    </row>
    <row r="1090" spans="1:15" x14ac:dyDescent="0.2">
      <c r="B1090" s="45"/>
      <c r="O1090" s="15"/>
    </row>
    <row r="1091" spans="1:15" x14ac:dyDescent="0.2">
      <c r="B1091" s="45"/>
      <c r="O1091" s="15"/>
    </row>
    <row r="1092" spans="1:15" x14ac:dyDescent="0.2">
      <c r="B1092" s="53"/>
      <c r="O1092" s="15"/>
    </row>
    <row r="1093" spans="1:15" x14ac:dyDescent="0.2">
      <c r="B1093" s="52"/>
      <c r="O1093" s="15"/>
    </row>
    <row r="1094" spans="1:15" x14ac:dyDescent="0.2">
      <c r="B1094" s="52"/>
      <c r="O1094" s="15"/>
    </row>
    <row r="1095" spans="1:15" x14ac:dyDescent="0.2">
      <c r="B1095" s="53"/>
      <c r="O1095" s="15"/>
    </row>
    <row r="1096" spans="1:15" x14ac:dyDescent="0.2">
      <c r="B1096" s="45"/>
    </row>
    <row r="1097" spans="1:15" x14ac:dyDescent="0.2">
      <c r="A1097" s="2"/>
      <c r="B1097" s="44"/>
    </row>
    <row r="1098" spans="1:15" x14ac:dyDescent="0.2">
      <c r="B1098" s="45"/>
    </row>
    <row r="1099" spans="1:15" x14ac:dyDescent="0.2">
      <c r="B1099" s="45"/>
    </row>
    <row r="1100" spans="1:15" x14ac:dyDescent="0.2">
      <c r="B1100" s="45"/>
    </row>
    <row r="1101" spans="1:15" x14ac:dyDescent="0.2">
      <c r="B1101" s="45"/>
    </row>
    <row r="1102" spans="1:15" x14ac:dyDescent="0.2">
      <c r="B1102" s="45"/>
    </row>
    <row r="1103" spans="1:15" x14ac:dyDescent="0.2">
      <c r="B1103" s="45"/>
    </row>
    <row r="1104" spans="1:15" x14ac:dyDescent="0.2">
      <c r="B1104" s="45"/>
    </row>
    <row r="1105" spans="1:22" x14ac:dyDescent="0.2">
      <c r="B1105" s="45"/>
    </row>
    <row r="1106" spans="1:22" x14ac:dyDescent="0.2">
      <c r="B1106" s="45"/>
    </row>
    <row r="1107" spans="1:22" x14ac:dyDescent="0.2">
      <c r="B1107" s="45"/>
    </row>
    <row r="1108" spans="1:22" x14ac:dyDescent="0.2">
      <c r="B1108" s="45"/>
    </row>
    <row r="1109" spans="1:22" x14ac:dyDescent="0.2">
      <c r="B1109" s="45"/>
    </row>
    <row r="1110" spans="1:22" x14ac:dyDescent="0.2">
      <c r="B1110" s="45"/>
    </row>
    <row r="1111" spans="1:22" x14ac:dyDescent="0.2">
      <c r="B1111" s="45"/>
    </row>
    <row r="1112" spans="1:22" x14ac:dyDescent="0.2">
      <c r="B1112" s="45"/>
    </row>
    <row r="1113" spans="1:22" x14ac:dyDescent="0.2">
      <c r="B1113" s="45"/>
    </row>
    <row r="1114" spans="1:22" x14ac:dyDescent="0.2">
      <c r="B1114" s="45"/>
    </row>
    <row r="1115" spans="1:22" x14ac:dyDescent="0.2">
      <c r="B1115" s="45"/>
    </row>
    <row r="1116" spans="1:22" x14ac:dyDescent="0.2">
      <c r="B1116" s="66"/>
    </row>
    <row r="1117" spans="1:22" x14ac:dyDescent="0.2">
      <c r="B1117" s="49"/>
    </row>
    <row r="1118" spans="1:22" x14ac:dyDescent="0.2">
      <c r="B1118" s="45"/>
    </row>
    <row r="1119" spans="1:22" x14ac:dyDescent="0.2">
      <c r="A1119" s="3"/>
      <c r="B1119" s="45"/>
    </row>
    <row r="1120" spans="1:22" x14ac:dyDescent="0.2">
      <c r="A1120" s="2"/>
      <c r="B1120" s="44"/>
      <c r="C1120" s="2"/>
      <c r="D1120" s="2"/>
      <c r="E1120" s="2"/>
      <c r="F1120" s="2"/>
      <c r="G1120" s="2"/>
      <c r="H1120" s="2"/>
      <c r="I1120" s="2"/>
      <c r="J1120" s="2"/>
      <c r="K1120" s="2"/>
      <c r="L1120" s="2"/>
      <c r="M1120" s="2"/>
      <c r="N1120" s="2"/>
      <c r="O1120" s="2"/>
      <c r="P1120" s="2"/>
      <c r="Q1120" s="2"/>
      <c r="R1120" s="2"/>
      <c r="S1120" s="2"/>
      <c r="T1120" s="2"/>
      <c r="U1120" s="2"/>
      <c r="V1120" s="2"/>
    </row>
    <row r="1121" spans="1:15" x14ac:dyDescent="0.2">
      <c r="B1121" s="45"/>
    </row>
    <row r="1122" spans="1:15" x14ac:dyDescent="0.2">
      <c r="B1122" s="53"/>
      <c r="O1122" s="15"/>
    </row>
    <row r="1123" spans="1:15" x14ac:dyDescent="0.2">
      <c r="B1123" s="53"/>
      <c r="O1123" s="15"/>
    </row>
    <row r="1124" spans="1:15" x14ac:dyDescent="0.2">
      <c r="B1124" s="45"/>
      <c r="O1124" s="15"/>
    </row>
    <row r="1125" spans="1:15" x14ac:dyDescent="0.2">
      <c r="B1125" s="53"/>
      <c r="O1125" s="15"/>
    </row>
    <row r="1126" spans="1:15" x14ac:dyDescent="0.2">
      <c r="B1126" s="52"/>
      <c r="O1126" s="15"/>
    </row>
    <row r="1127" spans="1:15" x14ac:dyDescent="0.2">
      <c r="B1127" s="53"/>
      <c r="O1127" s="15"/>
    </row>
    <row r="1129" spans="1:15" x14ac:dyDescent="0.2">
      <c r="A1129" s="2"/>
      <c r="B1129" s="44"/>
    </row>
    <row r="1130" spans="1:15" x14ac:dyDescent="0.2">
      <c r="B1130" s="45"/>
    </row>
    <row r="1131" spans="1:15" x14ac:dyDescent="0.2">
      <c r="B1131" s="45"/>
    </row>
    <row r="1132" spans="1:15" x14ac:dyDescent="0.2">
      <c r="B1132" s="45"/>
    </row>
    <row r="1133" spans="1:15" x14ac:dyDescent="0.2">
      <c r="B1133" s="45"/>
    </row>
    <row r="1134" spans="1:15" x14ac:dyDescent="0.2">
      <c r="B1134" s="45"/>
    </row>
    <row r="1135" spans="1:15" x14ac:dyDescent="0.2">
      <c r="B1135" s="45"/>
    </row>
    <row r="1136" spans="1:15" x14ac:dyDescent="0.2">
      <c r="B1136" s="45"/>
    </row>
    <row r="1137" spans="1:22" x14ac:dyDescent="0.2">
      <c r="B1137" s="45"/>
    </row>
    <row r="1138" spans="1:22" x14ac:dyDescent="0.2">
      <c r="B1138" s="45"/>
    </row>
    <row r="1139" spans="1:22" x14ac:dyDescent="0.2">
      <c r="B1139" s="45"/>
    </row>
    <row r="1140" spans="1:22" x14ac:dyDescent="0.2">
      <c r="B1140" s="45"/>
    </row>
    <row r="1141" spans="1:22" x14ac:dyDescent="0.2">
      <c r="B1141" s="45"/>
    </row>
    <row r="1142" spans="1:22" x14ac:dyDescent="0.2">
      <c r="B1142" s="45"/>
    </row>
    <row r="1143" spans="1:22" x14ac:dyDescent="0.2">
      <c r="B1143" s="45"/>
    </row>
    <row r="1144" spans="1:22" x14ac:dyDescent="0.2">
      <c r="B1144" s="45"/>
    </row>
    <row r="1145" spans="1:22" x14ac:dyDescent="0.2">
      <c r="B1145" s="45"/>
    </row>
    <row r="1146" spans="1:22" x14ac:dyDescent="0.2">
      <c r="B1146" s="45"/>
    </row>
    <row r="1147" spans="1:22" x14ac:dyDescent="0.2">
      <c r="B1147" s="45"/>
    </row>
    <row r="1148" spans="1:22" x14ac:dyDescent="0.2">
      <c r="B1148" s="66"/>
    </row>
    <row r="1149" spans="1:22" x14ac:dyDescent="0.2">
      <c r="B1149" s="49"/>
    </row>
    <row r="1150" spans="1:22" x14ac:dyDescent="0.2">
      <c r="B1150" s="45"/>
    </row>
    <row r="1151" spans="1:22" x14ac:dyDescent="0.2">
      <c r="A1151" s="3"/>
      <c r="B1151" s="45"/>
    </row>
    <row r="1152" spans="1:22" x14ac:dyDescent="0.2">
      <c r="A1152" s="2"/>
      <c r="B1152" s="44"/>
      <c r="C1152" s="2"/>
      <c r="D1152" s="2"/>
      <c r="E1152" s="2"/>
      <c r="F1152" s="2"/>
      <c r="G1152" s="2"/>
      <c r="H1152" s="2"/>
      <c r="I1152" s="2"/>
      <c r="J1152" s="2"/>
      <c r="K1152" s="2"/>
      <c r="L1152" s="2"/>
      <c r="M1152" s="2"/>
      <c r="N1152" s="2"/>
      <c r="O1152" s="2"/>
      <c r="P1152" s="2"/>
      <c r="Q1152" s="2"/>
      <c r="R1152" s="2"/>
      <c r="S1152" s="2"/>
      <c r="T1152" s="2"/>
      <c r="U1152" s="2"/>
      <c r="V1152" s="2"/>
    </row>
    <row r="1153" spans="1:15" x14ac:dyDescent="0.2">
      <c r="B1153" s="45"/>
    </row>
    <row r="1154" spans="1:15" x14ac:dyDescent="0.2">
      <c r="B1154" s="53"/>
      <c r="O1154" s="15"/>
    </row>
    <row r="1155" spans="1:15" x14ac:dyDescent="0.2">
      <c r="B1155" s="53"/>
      <c r="O1155" s="15"/>
    </row>
    <row r="1156" spans="1:15" x14ac:dyDescent="0.2">
      <c r="B1156" s="45"/>
      <c r="O1156" s="15"/>
    </row>
    <row r="1157" spans="1:15" x14ac:dyDescent="0.2">
      <c r="B1157" s="45"/>
      <c r="O1157" s="15"/>
    </row>
    <row r="1158" spans="1:15" x14ac:dyDescent="0.2">
      <c r="B1158" s="53"/>
      <c r="O1158" s="15"/>
    </row>
    <row r="1159" spans="1:15" x14ac:dyDescent="0.2">
      <c r="B1159" s="52"/>
      <c r="O1159" s="15"/>
    </row>
    <row r="1160" spans="1:15" x14ac:dyDescent="0.2">
      <c r="B1160" s="52"/>
      <c r="O1160" s="15"/>
    </row>
    <row r="1161" spans="1:15" x14ac:dyDescent="0.2">
      <c r="B1161" s="53"/>
      <c r="O1161" s="15"/>
    </row>
    <row r="1162" spans="1:15" x14ac:dyDescent="0.2">
      <c r="B1162" s="45"/>
    </row>
    <row r="1163" spans="1:15" x14ac:dyDescent="0.2">
      <c r="A1163" s="2"/>
      <c r="B1163" s="44"/>
    </row>
    <row r="1164" spans="1:15" x14ac:dyDescent="0.2">
      <c r="B1164" s="45"/>
    </row>
    <row r="1165" spans="1:15" x14ac:dyDescent="0.2">
      <c r="B1165" s="45"/>
    </row>
    <row r="1166" spans="1:15" x14ac:dyDescent="0.2">
      <c r="B1166" s="45"/>
    </row>
    <row r="1167" spans="1:15" x14ac:dyDescent="0.2">
      <c r="B1167" s="45"/>
    </row>
    <row r="1168" spans="1:15" x14ac:dyDescent="0.2">
      <c r="B1168" s="45"/>
    </row>
    <row r="1169" spans="2:2" x14ac:dyDescent="0.2">
      <c r="B1169" s="45"/>
    </row>
    <row r="1170" spans="2:2" x14ac:dyDescent="0.2">
      <c r="B1170" s="45"/>
    </row>
    <row r="1171" spans="2:2" x14ac:dyDescent="0.2">
      <c r="B1171" s="45"/>
    </row>
    <row r="1172" spans="2:2" x14ac:dyDescent="0.2">
      <c r="B1172" s="45"/>
    </row>
    <row r="1173" spans="2:2" x14ac:dyDescent="0.2">
      <c r="B1173" s="45"/>
    </row>
    <row r="1174" spans="2:2" x14ac:dyDescent="0.2">
      <c r="B1174" s="45"/>
    </row>
    <row r="1175" spans="2:2" x14ac:dyDescent="0.2">
      <c r="B1175" s="45"/>
    </row>
    <row r="1176" spans="2:2" x14ac:dyDescent="0.2">
      <c r="B1176" s="45"/>
    </row>
    <row r="1177" spans="2:2" x14ac:dyDescent="0.2">
      <c r="B1177" s="45"/>
    </row>
    <row r="1178" spans="2:2" x14ac:dyDescent="0.2">
      <c r="B1178" s="45"/>
    </row>
    <row r="1179" spans="2:2" x14ac:dyDescent="0.2">
      <c r="B1179" s="45"/>
    </row>
    <row r="1180" spans="2:2" x14ac:dyDescent="0.2">
      <c r="B1180" s="45"/>
    </row>
    <row r="1181" spans="2:2" x14ac:dyDescent="0.2">
      <c r="B1181" s="45"/>
    </row>
    <row r="1182" spans="2:2" x14ac:dyDescent="0.2">
      <c r="B1182" s="66"/>
    </row>
    <row r="1183" spans="2:2" x14ac:dyDescent="0.2">
      <c r="B1183" s="49"/>
    </row>
    <row r="1184" spans="2:2" x14ac:dyDescent="0.2">
      <c r="B1184" s="45"/>
    </row>
    <row r="1185" spans="1:22" x14ac:dyDescent="0.2">
      <c r="A1185" s="3"/>
      <c r="B1185" s="45"/>
    </row>
    <row r="1186" spans="1:22" x14ac:dyDescent="0.2">
      <c r="A1186" s="2"/>
      <c r="B1186" s="44"/>
      <c r="C1186" s="2"/>
      <c r="D1186" s="2"/>
      <c r="E1186" s="2"/>
      <c r="F1186" s="2"/>
      <c r="G1186" s="2"/>
      <c r="H1186" s="2"/>
      <c r="I1186" s="2"/>
      <c r="J1186" s="2"/>
      <c r="K1186" s="2"/>
      <c r="L1186" s="2"/>
      <c r="M1186" s="2"/>
      <c r="N1186" s="2"/>
      <c r="O1186" s="2"/>
      <c r="P1186" s="2"/>
      <c r="Q1186" s="2"/>
      <c r="R1186" s="2"/>
      <c r="S1186" s="2"/>
      <c r="T1186" s="2"/>
      <c r="U1186" s="2"/>
      <c r="V1186" s="2"/>
    </row>
    <row r="1187" spans="1:22" x14ac:dyDescent="0.2">
      <c r="B1187" s="45"/>
    </row>
    <row r="1188" spans="1:22" x14ac:dyDescent="0.2">
      <c r="B1188" s="53"/>
      <c r="O1188" s="15"/>
    </row>
    <row r="1189" spans="1:22" x14ac:dyDescent="0.2">
      <c r="B1189" s="53"/>
      <c r="O1189" s="15"/>
    </row>
    <row r="1190" spans="1:22" x14ac:dyDescent="0.2">
      <c r="B1190" s="45"/>
      <c r="O1190" s="15"/>
    </row>
    <row r="1191" spans="1:22" x14ac:dyDescent="0.2">
      <c r="B1191" s="53"/>
      <c r="O1191" s="15"/>
    </row>
    <row r="1192" spans="1:22" x14ac:dyDescent="0.2">
      <c r="B1192" s="52"/>
      <c r="O1192" s="15"/>
    </row>
    <row r="1193" spans="1:22" x14ac:dyDescent="0.2">
      <c r="B1193" s="53"/>
      <c r="O1193" s="15"/>
    </row>
    <row r="1195" spans="1:22" x14ac:dyDescent="0.2">
      <c r="A1195" s="2"/>
      <c r="B1195" s="44"/>
    </row>
    <row r="1196" spans="1:22" x14ac:dyDescent="0.2">
      <c r="B1196" s="45"/>
    </row>
    <row r="1197" spans="1:22" x14ac:dyDescent="0.2">
      <c r="B1197" s="45"/>
    </row>
    <row r="1198" spans="1:22" x14ac:dyDescent="0.2">
      <c r="B1198" s="45"/>
    </row>
    <row r="1199" spans="1:22" x14ac:dyDescent="0.2">
      <c r="B1199" s="45"/>
    </row>
    <row r="1200" spans="1:22" x14ac:dyDescent="0.2">
      <c r="B1200" s="45"/>
    </row>
    <row r="1201" spans="2:2" x14ac:dyDescent="0.2">
      <c r="B1201" s="45"/>
    </row>
    <row r="1202" spans="2:2" x14ac:dyDescent="0.2">
      <c r="B1202" s="45"/>
    </row>
    <row r="1203" spans="2:2" x14ac:dyDescent="0.2">
      <c r="B1203" s="45"/>
    </row>
    <row r="1204" spans="2:2" x14ac:dyDescent="0.2">
      <c r="B1204" s="45"/>
    </row>
    <row r="1205" spans="2:2" x14ac:dyDescent="0.2">
      <c r="B1205" s="45"/>
    </row>
    <row r="1206" spans="2:2" x14ac:dyDescent="0.2">
      <c r="B1206" s="45"/>
    </row>
    <row r="1207" spans="2:2" x14ac:dyDescent="0.2">
      <c r="B1207" s="45"/>
    </row>
    <row r="1208" spans="2:2" x14ac:dyDescent="0.2">
      <c r="B1208" s="45"/>
    </row>
    <row r="1209" spans="2:2" x14ac:dyDescent="0.2">
      <c r="B1209" s="45"/>
    </row>
    <row r="1210" spans="2:2" x14ac:dyDescent="0.2">
      <c r="B1210" s="45"/>
    </row>
    <row r="1211" spans="2:2" x14ac:dyDescent="0.2">
      <c r="B1211" s="45"/>
    </row>
    <row r="1212" spans="2:2" x14ac:dyDescent="0.2">
      <c r="B1212" s="45"/>
    </row>
    <row r="1213" spans="2:2" x14ac:dyDescent="0.2">
      <c r="B1213" s="45"/>
    </row>
    <row r="1214" spans="2:2" x14ac:dyDescent="0.2">
      <c r="B1214" s="66"/>
    </row>
    <row r="1215" spans="2:2" x14ac:dyDescent="0.2">
      <c r="B1215" s="49"/>
    </row>
    <row r="1216" spans="2:2" x14ac:dyDescent="0.2">
      <c r="B1216" s="45"/>
    </row>
    <row r="1217" spans="1:22" x14ac:dyDescent="0.2">
      <c r="A1217" s="3"/>
      <c r="B1217" s="45"/>
    </row>
    <row r="1218" spans="1:22" x14ac:dyDescent="0.2">
      <c r="A1218" s="2"/>
      <c r="B1218" s="44"/>
      <c r="C1218" s="2"/>
      <c r="D1218" s="2"/>
      <c r="E1218" s="2"/>
      <c r="F1218" s="2"/>
      <c r="G1218" s="2"/>
      <c r="H1218" s="2"/>
      <c r="I1218" s="2"/>
      <c r="J1218" s="2"/>
      <c r="K1218" s="2"/>
      <c r="L1218" s="2"/>
      <c r="M1218" s="2"/>
      <c r="N1218" s="2"/>
      <c r="O1218" s="2"/>
      <c r="P1218" s="2"/>
      <c r="Q1218" s="2"/>
      <c r="R1218" s="2"/>
      <c r="S1218" s="2"/>
      <c r="T1218" s="2"/>
      <c r="U1218" s="2"/>
      <c r="V1218" s="2"/>
    </row>
    <row r="1219" spans="1:22" x14ac:dyDescent="0.2">
      <c r="B1219" s="45"/>
    </row>
    <row r="1220" spans="1:22" x14ac:dyDescent="0.2">
      <c r="B1220" s="53"/>
      <c r="O1220" s="15"/>
    </row>
    <row r="1221" spans="1:22" x14ac:dyDescent="0.2">
      <c r="B1221" s="53"/>
      <c r="O1221" s="15"/>
    </row>
    <row r="1222" spans="1:22" x14ac:dyDescent="0.2">
      <c r="B1222" s="45"/>
      <c r="O1222" s="15"/>
    </row>
    <row r="1223" spans="1:22" x14ac:dyDescent="0.2">
      <c r="B1223" s="45"/>
      <c r="O1223" s="15"/>
    </row>
    <row r="1224" spans="1:22" x14ac:dyDescent="0.2">
      <c r="B1224" s="53"/>
      <c r="O1224" s="15"/>
    </row>
    <row r="1225" spans="1:22" x14ac:dyDescent="0.2">
      <c r="B1225" s="52"/>
      <c r="O1225" s="15"/>
    </row>
    <row r="1226" spans="1:22" x14ac:dyDescent="0.2">
      <c r="B1226" s="52"/>
      <c r="O1226" s="15"/>
    </row>
    <row r="1227" spans="1:22" x14ac:dyDescent="0.2">
      <c r="B1227" s="53"/>
      <c r="O1227" s="15"/>
    </row>
    <row r="1228" spans="1:22" x14ac:dyDescent="0.2">
      <c r="B1228" s="45"/>
    </row>
    <row r="1229" spans="1:22" x14ac:dyDescent="0.2">
      <c r="A1229" s="2"/>
      <c r="B1229" s="44"/>
    </row>
    <row r="1230" spans="1:22" x14ac:dyDescent="0.2">
      <c r="B1230" s="45"/>
    </row>
    <row r="1231" spans="1:22" x14ac:dyDescent="0.2">
      <c r="B1231" s="45"/>
    </row>
    <row r="1232" spans="1:22" x14ac:dyDescent="0.2">
      <c r="B1232" s="45"/>
    </row>
    <row r="1233" spans="2:2" x14ac:dyDescent="0.2">
      <c r="B1233" s="45"/>
    </row>
    <row r="1234" spans="2:2" x14ac:dyDescent="0.2">
      <c r="B1234" s="45"/>
    </row>
    <row r="1235" spans="2:2" x14ac:dyDescent="0.2">
      <c r="B1235" s="45"/>
    </row>
    <row r="1236" spans="2:2" x14ac:dyDescent="0.2">
      <c r="B1236" s="45"/>
    </row>
    <row r="1237" spans="2:2" x14ac:dyDescent="0.2">
      <c r="B1237" s="45"/>
    </row>
    <row r="1238" spans="2:2" x14ac:dyDescent="0.2">
      <c r="B1238" s="45"/>
    </row>
    <row r="1239" spans="2:2" x14ac:dyDescent="0.2">
      <c r="B1239" s="45"/>
    </row>
    <row r="1240" spans="2:2" x14ac:dyDescent="0.2">
      <c r="B1240" s="45"/>
    </row>
    <row r="1241" spans="2:2" x14ac:dyDescent="0.2">
      <c r="B1241" s="45"/>
    </row>
    <row r="1242" spans="2:2" x14ac:dyDescent="0.2">
      <c r="B1242" s="45"/>
    </row>
    <row r="1243" spans="2:2" x14ac:dyDescent="0.2">
      <c r="B1243" s="45"/>
    </row>
    <row r="1244" spans="2:2" x14ac:dyDescent="0.2">
      <c r="B1244" s="45"/>
    </row>
    <row r="1245" spans="2:2" x14ac:dyDescent="0.2">
      <c r="B1245" s="45"/>
    </row>
    <row r="1246" spans="2:2" x14ac:dyDescent="0.2">
      <c r="B1246" s="45"/>
    </row>
    <row r="1247" spans="2:2" x14ac:dyDescent="0.2">
      <c r="B1247" s="45"/>
    </row>
    <row r="1248" spans="2:2" x14ac:dyDescent="0.2">
      <c r="B1248" s="66"/>
    </row>
    <row r="1249" spans="1:22" x14ac:dyDescent="0.2">
      <c r="B1249" s="49"/>
    </row>
    <row r="1250" spans="1:22" x14ac:dyDescent="0.2">
      <c r="B1250" s="45"/>
    </row>
    <row r="1251" spans="1:22" x14ac:dyDescent="0.2">
      <c r="A1251" s="3"/>
      <c r="B1251" s="45"/>
    </row>
    <row r="1252" spans="1:22" x14ac:dyDescent="0.2">
      <c r="A1252" s="2"/>
      <c r="B1252" s="44"/>
      <c r="C1252" s="2"/>
      <c r="D1252" s="2"/>
      <c r="E1252" s="2"/>
      <c r="F1252" s="2"/>
      <c r="G1252" s="2"/>
      <c r="H1252" s="2"/>
      <c r="I1252" s="2"/>
      <c r="J1252" s="2"/>
      <c r="K1252" s="2"/>
      <c r="L1252" s="2"/>
      <c r="M1252" s="2"/>
      <c r="N1252" s="2"/>
      <c r="O1252" s="2"/>
      <c r="P1252" s="2"/>
      <c r="Q1252" s="2"/>
      <c r="R1252" s="2"/>
      <c r="S1252" s="2"/>
      <c r="T1252" s="2"/>
      <c r="U1252" s="2"/>
      <c r="V1252" s="2"/>
    </row>
    <row r="1253" spans="1:22" x14ac:dyDescent="0.2">
      <c r="B1253" s="45"/>
    </row>
    <row r="1254" spans="1:22" x14ac:dyDescent="0.2">
      <c r="B1254" s="53"/>
      <c r="O1254" s="15"/>
    </row>
    <row r="1255" spans="1:22" x14ac:dyDescent="0.2">
      <c r="B1255" s="53"/>
      <c r="O1255" s="15"/>
    </row>
    <row r="1256" spans="1:22" x14ac:dyDescent="0.2">
      <c r="B1256" s="45"/>
      <c r="O1256" s="15"/>
    </row>
    <row r="1257" spans="1:22" x14ac:dyDescent="0.2">
      <c r="B1257" s="53"/>
      <c r="O1257" s="15"/>
    </row>
    <row r="1258" spans="1:22" x14ac:dyDescent="0.2">
      <c r="B1258" s="52"/>
      <c r="O1258" s="15"/>
    </row>
    <row r="1259" spans="1:22" x14ac:dyDescent="0.2">
      <c r="B1259" s="53"/>
      <c r="O1259" s="15"/>
    </row>
    <row r="1261" spans="1:22" x14ac:dyDescent="0.2">
      <c r="A1261" s="2"/>
      <c r="B1261" s="44"/>
    </row>
    <row r="1262" spans="1:22" x14ac:dyDescent="0.2">
      <c r="B1262" s="45"/>
    </row>
    <row r="1263" spans="1:22" x14ac:dyDescent="0.2">
      <c r="B1263" s="45"/>
    </row>
    <row r="1264" spans="1:22" x14ac:dyDescent="0.2">
      <c r="B1264" s="45"/>
    </row>
    <row r="1265" spans="2:2" x14ac:dyDescent="0.2">
      <c r="B1265" s="45"/>
    </row>
    <row r="1266" spans="2:2" x14ac:dyDescent="0.2">
      <c r="B1266" s="45"/>
    </row>
    <row r="1267" spans="2:2" x14ac:dyDescent="0.2">
      <c r="B1267" s="45"/>
    </row>
    <row r="1268" spans="2:2" x14ac:dyDescent="0.2">
      <c r="B1268" s="45"/>
    </row>
    <row r="1269" spans="2:2" x14ac:dyDescent="0.2">
      <c r="B1269" s="45"/>
    </row>
    <row r="1270" spans="2:2" x14ac:dyDescent="0.2">
      <c r="B1270" s="45"/>
    </row>
    <row r="1271" spans="2:2" x14ac:dyDescent="0.2">
      <c r="B1271" s="45"/>
    </row>
    <row r="1272" spans="2:2" x14ac:dyDescent="0.2">
      <c r="B1272" s="45"/>
    </row>
    <row r="1273" spans="2:2" x14ac:dyDescent="0.2">
      <c r="B1273" s="45"/>
    </row>
    <row r="1274" spans="2:2" x14ac:dyDescent="0.2">
      <c r="B1274" s="45"/>
    </row>
    <row r="1275" spans="2:2" x14ac:dyDescent="0.2">
      <c r="B1275" s="45"/>
    </row>
    <row r="1276" spans="2:2" x14ac:dyDescent="0.2">
      <c r="B1276" s="45"/>
    </row>
    <row r="1277" spans="2:2" x14ac:dyDescent="0.2">
      <c r="B1277" s="45"/>
    </row>
    <row r="1278" spans="2:2" x14ac:dyDescent="0.2">
      <c r="B1278" s="45"/>
    </row>
    <row r="1279" spans="2:2" x14ac:dyDescent="0.2">
      <c r="B1279" s="45"/>
    </row>
    <row r="1280" spans="2:2" x14ac:dyDescent="0.2">
      <c r="B1280" s="66"/>
    </row>
    <row r="1281" spans="1:22" x14ac:dyDescent="0.2">
      <c r="B1281" s="49"/>
    </row>
    <row r="1282" spans="1:22" x14ac:dyDescent="0.2">
      <c r="B1282" s="45"/>
    </row>
    <row r="1283" spans="1:22" x14ac:dyDescent="0.2">
      <c r="A1283" s="3"/>
      <c r="B1283" s="45"/>
    </row>
    <row r="1284" spans="1:22" x14ac:dyDescent="0.2">
      <c r="A1284" s="2"/>
      <c r="B1284" s="44"/>
      <c r="C1284" s="2"/>
      <c r="D1284" s="2"/>
      <c r="E1284" s="2"/>
      <c r="F1284" s="2"/>
      <c r="G1284" s="2"/>
      <c r="H1284" s="2"/>
      <c r="I1284" s="2"/>
      <c r="J1284" s="2"/>
      <c r="K1284" s="2"/>
      <c r="L1284" s="2"/>
      <c r="M1284" s="2"/>
      <c r="N1284" s="2"/>
      <c r="O1284" s="2"/>
      <c r="P1284" s="2"/>
      <c r="Q1284" s="2"/>
      <c r="R1284" s="2"/>
      <c r="S1284" s="2"/>
      <c r="T1284" s="2"/>
      <c r="U1284" s="2"/>
      <c r="V1284" s="2"/>
    </row>
    <row r="1285" spans="1:22" x14ac:dyDescent="0.2">
      <c r="B1285" s="45"/>
    </row>
    <row r="1286" spans="1:22" x14ac:dyDescent="0.2">
      <c r="B1286" s="53"/>
      <c r="O1286" s="15"/>
    </row>
    <row r="1287" spans="1:22" x14ac:dyDescent="0.2">
      <c r="B1287" s="53"/>
      <c r="O1287" s="15"/>
    </row>
    <row r="1288" spans="1:22" x14ac:dyDescent="0.2">
      <c r="B1288" s="45"/>
      <c r="O1288" s="15"/>
    </row>
    <row r="1289" spans="1:22" x14ac:dyDescent="0.2">
      <c r="B1289" s="45"/>
      <c r="O1289" s="15"/>
    </row>
    <row r="1290" spans="1:22" x14ac:dyDescent="0.2">
      <c r="B1290" s="53"/>
      <c r="O1290" s="15"/>
    </row>
    <row r="1291" spans="1:22" x14ac:dyDescent="0.2">
      <c r="B1291" s="52"/>
      <c r="O1291" s="15"/>
    </row>
    <row r="1292" spans="1:22" x14ac:dyDescent="0.2">
      <c r="B1292" s="52"/>
      <c r="O1292" s="15"/>
    </row>
    <row r="1293" spans="1:22" x14ac:dyDescent="0.2">
      <c r="B1293" s="53"/>
      <c r="O1293" s="15"/>
    </row>
    <row r="1294" spans="1:22" x14ac:dyDescent="0.2">
      <c r="B1294" s="45"/>
    </row>
    <row r="1295" spans="1:22" x14ac:dyDescent="0.2">
      <c r="A1295" s="2"/>
      <c r="B1295" s="44"/>
    </row>
    <row r="1296" spans="1:22" x14ac:dyDescent="0.2">
      <c r="B1296" s="45"/>
    </row>
    <row r="1297" spans="2:2" x14ac:dyDescent="0.2">
      <c r="B1297" s="45"/>
    </row>
    <row r="1298" spans="2:2" x14ac:dyDescent="0.2">
      <c r="B1298" s="45"/>
    </row>
    <row r="1299" spans="2:2" x14ac:dyDescent="0.2">
      <c r="B1299" s="45"/>
    </row>
    <row r="1300" spans="2:2" x14ac:dyDescent="0.2">
      <c r="B1300" s="45"/>
    </row>
    <row r="1301" spans="2:2" x14ac:dyDescent="0.2">
      <c r="B1301" s="45"/>
    </row>
    <row r="1302" spans="2:2" x14ac:dyDescent="0.2">
      <c r="B1302" s="45"/>
    </row>
    <row r="1303" spans="2:2" x14ac:dyDescent="0.2">
      <c r="B1303" s="45"/>
    </row>
    <row r="1304" spans="2:2" x14ac:dyDescent="0.2">
      <c r="B1304" s="45"/>
    </row>
    <row r="1305" spans="2:2" x14ac:dyDescent="0.2">
      <c r="B1305" s="45"/>
    </row>
    <row r="1306" spans="2:2" x14ac:dyDescent="0.2">
      <c r="B1306" s="45"/>
    </row>
    <row r="1307" spans="2:2" x14ac:dyDescent="0.2">
      <c r="B1307" s="45"/>
    </row>
    <row r="1308" spans="2:2" x14ac:dyDescent="0.2">
      <c r="B1308" s="45"/>
    </row>
    <row r="1309" spans="2:2" x14ac:dyDescent="0.2">
      <c r="B1309" s="45"/>
    </row>
    <row r="1310" spans="2:2" x14ac:dyDescent="0.2">
      <c r="B1310" s="45"/>
    </row>
    <row r="1311" spans="2:2" x14ac:dyDescent="0.2">
      <c r="B1311" s="45"/>
    </row>
    <row r="1312" spans="2:2" x14ac:dyDescent="0.2">
      <c r="B1312" s="45"/>
    </row>
    <row r="1313" spans="1:22" x14ac:dyDescent="0.2">
      <c r="B1313" s="45"/>
    </row>
    <row r="1314" spans="1:22" x14ac:dyDescent="0.2">
      <c r="B1314" s="66"/>
    </row>
    <row r="1315" spans="1:22" x14ac:dyDescent="0.2">
      <c r="B1315" s="49"/>
    </row>
    <row r="1316" spans="1:22" x14ac:dyDescent="0.2">
      <c r="B1316" s="45"/>
    </row>
    <row r="1317" spans="1:22" x14ac:dyDescent="0.2">
      <c r="A1317" s="3"/>
      <c r="B1317" s="45"/>
    </row>
    <row r="1318" spans="1:22" x14ac:dyDescent="0.2">
      <c r="A1318" s="2"/>
      <c r="B1318" s="44"/>
      <c r="C1318" s="2"/>
      <c r="D1318" s="2"/>
      <c r="E1318" s="2"/>
      <c r="F1318" s="2"/>
      <c r="G1318" s="2"/>
      <c r="H1318" s="2"/>
      <c r="I1318" s="2"/>
      <c r="J1318" s="2"/>
      <c r="K1318" s="2"/>
      <c r="L1318" s="2"/>
      <c r="M1318" s="2"/>
      <c r="N1318" s="2"/>
      <c r="O1318" s="2"/>
      <c r="P1318" s="2"/>
      <c r="Q1318" s="2"/>
      <c r="R1318" s="2"/>
      <c r="S1318" s="2"/>
      <c r="T1318" s="2"/>
      <c r="U1318" s="2"/>
      <c r="V1318" s="2"/>
    </row>
    <row r="1319" spans="1:22" x14ac:dyDescent="0.2">
      <c r="B1319" s="45"/>
    </row>
    <row r="1320" spans="1:22" x14ac:dyDescent="0.2">
      <c r="B1320" s="53"/>
      <c r="O1320" s="15"/>
    </row>
    <row r="1321" spans="1:22" x14ac:dyDescent="0.2">
      <c r="B1321" s="53"/>
      <c r="O1321" s="15"/>
    </row>
    <row r="1322" spans="1:22" x14ac:dyDescent="0.2">
      <c r="B1322" s="45"/>
      <c r="O1322" s="15"/>
    </row>
    <row r="1323" spans="1:22" x14ac:dyDescent="0.2">
      <c r="B1323" s="53"/>
      <c r="O1323" s="15"/>
    </row>
    <row r="1324" spans="1:22" x14ac:dyDescent="0.2">
      <c r="B1324" s="52"/>
      <c r="O1324" s="15"/>
    </row>
    <row r="1325" spans="1:22" x14ac:dyDescent="0.2">
      <c r="B1325" s="53"/>
      <c r="O1325"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335B-A292-CF4B-B19C-7BB5BE791E6D}">
  <sheetPr filterMode="1"/>
  <dimension ref="A1:V439"/>
  <sheetViews>
    <sheetView workbookViewId="0">
      <selection activeCell="A196" sqref="A196:A431"/>
    </sheetView>
  </sheetViews>
  <sheetFormatPr baseColWidth="10" defaultRowHeight="16" x14ac:dyDescent="0.2"/>
  <cols>
    <col min="1" max="1" width="105.1640625" customWidth="1"/>
    <col min="2" max="2" width="12.1640625" style="45" bestFit="1" customWidth="1"/>
    <col min="9" max="9" width="31.6640625" customWidth="1"/>
    <col min="10" max="10" width="29.1640625" customWidth="1"/>
  </cols>
  <sheetData>
    <row r="1" spans="1:2" x14ac:dyDescent="0.2">
      <c r="A1" s="2" t="s">
        <v>50</v>
      </c>
      <c r="B1" s="44" t="str">
        <f>IF(B7="megajoule","heat","electricity")&amp;", residential, by "&amp;B12&amp;" of "&amp;B11&amp;" using "&amp;B13&amp;IF(B14&lt;&gt;0,"allocated by "&amp;B14,"")&amp;", transported by "&amp;B15&amp;", produced by "&amp;B19&amp;" using "&amp;B20&amp;" from "&amp;B21&amp;" and carbon sourced from "&amp;B22</f>
        <v>heat, residential, by combustion of methanol using boiler, transported by truck, produced by Electrolysis, PEM using water and electricity from grid and carbon sourced from DAC</v>
      </c>
    </row>
    <row r="2" spans="1:2" hidden="1" x14ac:dyDescent="0.2">
      <c r="A2" t="s">
        <v>51</v>
      </c>
      <c r="B2" s="45" t="str">
        <f>"This dataset represents the supply of 1 "&amp;IF(B7="megajoule","megajoule of heat","kilowatt hour of electricity")&amp;" in a residence, by "&amp;B11&amp;" "&amp;B12&amp;" in a "&amp;B13&amp;". "&amp;" The "&amp;B11&amp;" is transported by "&amp;B15&amp;" over "&amp;B16&amp;" km from regional storage. "&amp;" The "&amp;B11&amp;" is produced from hydrogen supplied by  "&amp;B19&amp;", with "&amp;B20&amp;" from "&amp;B21&amp;" as feedstock. The carbon is sourced from "&amp;B22&amp;".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DAC.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100%. Power [kW]: 10. Lifetime [years]: 20. Annual operation [hours]: 3150. : .  For more information, refer to: Sacchi, R. and Bauer, C. Life Cycle Assessment of Power-to-X processes and associated electricity and heat applications in the residential sector. Paul Scherrer Institut, 2023.</v>
      </c>
    </row>
    <row r="3" spans="1:2" hidden="1" x14ac:dyDescent="0.2">
      <c r="A3" t="s">
        <v>63</v>
      </c>
      <c r="B3" s="45" t="s">
        <v>1223</v>
      </c>
    </row>
    <row r="4" spans="1:2" hidden="1" x14ac:dyDescent="0.2">
      <c r="A4" t="s">
        <v>52</v>
      </c>
      <c r="B4" s="45" t="s">
        <v>64</v>
      </c>
    </row>
    <row r="5" spans="1:2" hidden="1" x14ac:dyDescent="0.2">
      <c r="A5" t="s">
        <v>48</v>
      </c>
      <c r="B5" s="45">
        <v>183</v>
      </c>
    </row>
    <row r="6" spans="1:2" hidden="1" x14ac:dyDescent="0.2">
      <c r="A6" t="s">
        <v>54</v>
      </c>
      <c r="B6" s="45" t="str">
        <f>INDEX(overview!$B$4:$R$338,MATCH(B5,overview!$A$4:$A$338,0),MATCH(A6,overview!$B$3:$R$3,0))</f>
        <v>heat, from residential heating system</v>
      </c>
    </row>
    <row r="7" spans="1:2" hidden="1" x14ac:dyDescent="0.2">
      <c r="A7" t="s">
        <v>55</v>
      </c>
      <c r="B7" s="45" t="str">
        <f>INDEX(overview!$B$4:$R$338,MATCH(B5,overview!$A$4:$A$338,0),MATCH(A7,overview!$B$3:$R$3,0))</f>
        <v>megajoule</v>
      </c>
    </row>
    <row r="8" spans="1:2" hidden="1" x14ac:dyDescent="0.2">
      <c r="A8" t="s">
        <v>0</v>
      </c>
      <c r="B8" s="45" t="str">
        <f>INDEX(overview!$B$4:$R$338,MATCH(B5,overview!$A$4:$A$338,0),MATCH(A8,overview!$B$3:$R$3,0))</f>
        <v>Switzerland</v>
      </c>
    </row>
    <row r="9" spans="1:2" hidden="1" x14ac:dyDescent="0.2">
      <c r="A9" t="s">
        <v>1</v>
      </c>
      <c r="B9" s="45">
        <f>INDEX(overview!$B$4:$R$338,MATCH(B5,overview!$A$4:$A$338,0),MATCH(A9,overview!$B$3:$R$3,0))</f>
        <v>2020</v>
      </c>
    </row>
    <row r="10" spans="1:2" hidden="1" x14ac:dyDescent="0.2">
      <c r="A10" t="s">
        <v>2</v>
      </c>
      <c r="B10" s="45" t="str">
        <f>INDEX(overview!$B$4:$R$338,MATCH(B5,overview!$A$4:$A$338,0),MATCH(A10,overview!$B$3:$R$3,0))</f>
        <v>1 MJ heat</v>
      </c>
    </row>
    <row r="11" spans="1:2" hidden="1" x14ac:dyDescent="0.2">
      <c r="A11" t="s">
        <v>5</v>
      </c>
      <c r="B11" s="45" t="str">
        <f>INDEX(overview!$B$4:$R$338,MATCH(B5,overview!$A$4:$A$338,0),MATCH(A11,overview!$B$3:$R$3,0))</f>
        <v>methanol</v>
      </c>
    </row>
    <row r="12" spans="1:2" hidden="1" x14ac:dyDescent="0.2">
      <c r="A12" t="s">
        <v>3</v>
      </c>
      <c r="B12" s="45" t="str">
        <f>INDEX(overview!$B$4:$R$338,MATCH(B5,overview!$A$4:$A$338,0),MATCH(A12,overview!$B$3:$R$3,0))</f>
        <v>combustion</v>
      </c>
    </row>
    <row r="13" spans="1:2" hidden="1" x14ac:dyDescent="0.2">
      <c r="A13" t="s">
        <v>6</v>
      </c>
      <c r="B13" s="45" t="str">
        <f>INDEX(overview!$B$4:$R$338,MATCH(B5,overview!$A$4:$A$338,0),MATCH(A13,overview!$B$3:$R$3,0))</f>
        <v>boiler</v>
      </c>
    </row>
    <row r="14" spans="1:2" hidden="1" x14ac:dyDescent="0.2">
      <c r="A14" t="s">
        <v>39</v>
      </c>
      <c r="B14" s="45">
        <f>INDEX(overview!$B$4:$R$338,MATCH(B5,overview!$A$4:$A$338,0),MATCH(A14,overview!$B$3:$R$3,0))</f>
        <v>0</v>
      </c>
    </row>
    <row r="15" spans="1:2" hidden="1" x14ac:dyDescent="0.2">
      <c r="A15" t="s">
        <v>4</v>
      </c>
      <c r="B15" s="45" t="str">
        <f>INDEX(overview!$B$4:$R$338,MATCH(B5,overview!$A$4:$A$338,0),MATCH(A15,overview!$B$3:$R$3,0))</f>
        <v>truck</v>
      </c>
    </row>
    <row r="16" spans="1:2" hidden="1" x14ac:dyDescent="0.2">
      <c r="A16" t="s">
        <v>38</v>
      </c>
      <c r="B16" s="45">
        <f>INDEX(overview!$B$4:$R$338,MATCH(B5,overview!$A$4:$A$338,0),MATCH(A16,overview!$B$3:$R$3,0))</f>
        <v>200</v>
      </c>
    </row>
    <row r="17" spans="1:2" hidden="1" x14ac:dyDescent="0.2">
      <c r="A17" t="s">
        <v>12</v>
      </c>
      <c r="B17" s="45" t="str">
        <f>INDEX(overview!$B$4:$R$338,MATCH(B5,overview!$A$4:$A$338,0),MATCH(A17,overview!$B$3:$R$3,0))</f>
        <v>Above surface pressure vessel</v>
      </c>
    </row>
    <row r="18" spans="1:2" hidden="1" x14ac:dyDescent="0.2">
      <c r="A18" t="s">
        <v>34</v>
      </c>
      <c r="B18" s="45" t="str">
        <f>INDEX(overview!$B$4:$R$338,MATCH(B5,overview!$A$4:$A$338,0),MATCH(A18,overview!$B$3:$R$3,0))</f>
        <v>biological</v>
      </c>
    </row>
    <row r="19" spans="1:2" hidden="1" x14ac:dyDescent="0.2">
      <c r="A19" t="s">
        <v>15</v>
      </c>
      <c r="B19" s="45" t="str">
        <f>INDEX(overview!$B$4:$R$338,MATCH(B5,overview!$A$4:$A$338,0),MATCH(A19,overview!$B$3:$R$3,0))</f>
        <v>Electrolysis, PEM</v>
      </c>
    </row>
    <row r="20" spans="1:2" hidden="1" x14ac:dyDescent="0.2">
      <c r="A20" t="s">
        <v>14</v>
      </c>
      <c r="B20" s="45" t="str">
        <f>INDEX(overview!$B$4:$R$338,MATCH(B5,overview!$A$4:$A$338,0),MATCH(A20,overview!$B$3:$R$3,0))</f>
        <v>water and electricity</v>
      </c>
    </row>
    <row r="21" spans="1:2" hidden="1" x14ac:dyDescent="0.2">
      <c r="A21" t="s">
        <v>26</v>
      </c>
      <c r="B21" s="45" t="str">
        <f>INDEX(overview!$B$4:$R$338,MATCH(B5,overview!$A$4:$A$338,0),MATCH(A21,overview!$B$3:$R$3,0))</f>
        <v>grid</v>
      </c>
    </row>
    <row r="22" spans="1:2" hidden="1" x14ac:dyDescent="0.2">
      <c r="A22" t="s">
        <v>29</v>
      </c>
      <c r="B22" s="45" t="str">
        <f>INDEX(overview!$B$4:$R$338,MATCH(B5,overview!$A$4:$A$338,0),MATCH(A22,overview!$B$3:$R$3,0))</f>
        <v>DAC</v>
      </c>
    </row>
    <row r="23" spans="1:2" hidden="1" x14ac:dyDescent="0.2">
      <c r="A23" t="str">
        <f>IF(B7="megajoule","Heat","Electricity")&amp;" conversion efficiency [% LHV input]"</f>
        <v>Heat conversion efficiency [% LHV input]</v>
      </c>
      <c r="B23" s="46">
        <f>INDEX(parameters!$D$4:$N$20,MATCH(B11&amp;B13,parameters!$A$4:$A$20,0),MATCH(A23,parameters!$D$3:$N$3,0))</f>
        <v>0.9</v>
      </c>
    </row>
    <row r="24" spans="1:2" hidden="1" x14ac:dyDescent="0.2">
      <c r="A24" t="str">
        <f>IF(B7="megajoule","LHV [MJ/kg]","LHV [kWh/kg]")</f>
        <v>LHV [MJ/kg]</v>
      </c>
      <c r="B24" s="47">
        <f>INDEX(parameters!$D$4:$N$20,MATCH(B11&amp;B13,parameters!$A$4:$A$20,0),MATCH(A24,parameters!$D$3:$N$3,0))</f>
        <v>19.899999999999999</v>
      </c>
    </row>
    <row r="25" spans="1:2" hidden="1" x14ac:dyDescent="0.2">
      <c r="A25" t="s">
        <v>41</v>
      </c>
      <c r="B25" s="48">
        <f>INDEX(parameters!$D$4:$N$20,MATCH(B11&amp;B13,parameters!$A$4:$A$20,0),MATCH(A25,parameters!$D$3:$N$3,0))</f>
        <v>2.6666666666666665E-2</v>
      </c>
    </row>
    <row r="26" spans="1:2" hidden="1" x14ac:dyDescent="0.2">
      <c r="A26" t="s">
        <v>45</v>
      </c>
      <c r="B26" s="49">
        <f>INDEX(parameters!$D$4:$N$20,MATCH(B11&amp;B13,parameters!$A$4:$A$20,0),MATCH(A26,parameters!$D$3:$N$3,0))</f>
        <v>0</v>
      </c>
    </row>
    <row r="27" spans="1:2" hidden="1" x14ac:dyDescent="0.2">
      <c r="A27" t="s">
        <v>46</v>
      </c>
      <c r="B27" s="49">
        <f>INDEX(parameters!$D$4:$N$20,MATCH(B11&amp;B13,parameters!$A$4:$A$20,0),MATCH(A27,parameters!$D$3:$N$3,0))</f>
        <v>0</v>
      </c>
    </row>
    <row r="28" spans="1:2" hidden="1" x14ac:dyDescent="0.2">
      <c r="A28" t="s">
        <v>43</v>
      </c>
      <c r="B28" s="49">
        <f>INDEX(parameters!$D$4:$N$20,MATCH(B11&amp;B13,parameters!$A$4:$A$20,0),MATCH(A28,parameters!$D$3:$N$3,0))</f>
        <v>0</v>
      </c>
    </row>
    <row r="29" spans="1:2" hidden="1" x14ac:dyDescent="0.2">
      <c r="A29" t="s">
        <v>44</v>
      </c>
      <c r="B29" s="49">
        <f>INDEX(parameters!$D$4:$N$20,MATCH(B11&amp;B13,parameters!$A$4:$A$20,0),MATCH(A29,parameters!$D$3:$N$3,0))</f>
        <v>0</v>
      </c>
    </row>
    <row r="30" spans="1:2" hidden="1" x14ac:dyDescent="0.2">
      <c r="A30" t="s">
        <v>634</v>
      </c>
      <c r="B30" s="47">
        <f>INDEX(parameters!$D$4:$Y$20,MATCH(B11&amp;B13,parameters!$A$4:$A$20,0),MATCH(A30,parameters!$D$3:$Y$3,0))</f>
        <v>11.111111111111111</v>
      </c>
    </row>
    <row r="31" spans="1:2" hidden="1" x14ac:dyDescent="0.2">
      <c r="A31" t="s">
        <v>82</v>
      </c>
      <c r="B31" s="46">
        <f>IF(B22&lt;&gt;0,VLOOKUP(B22,parameters!$A$26:$B$28,2,0),"")</f>
        <v>1</v>
      </c>
    </row>
    <row r="32" spans="1:2" hidden="1" x14ac:dyDescent="0.2">
      <c r="A32" t="s">
        <v>548</v>
      </c>
      <c r="B32" s="50">
        <f>INDEX(parameters!$D$4:$P$20,MATCH(B11&amp;B13,parameters!$A$4:$A$20,0),MATCH(A32,parameters!$D$3:$P$3,0))</f>
        <v>10</v>
      </c>
    </row>
    <row r="33" spans="1:22" hidden="1" x14ac:dyDescent="0.2">
      <c r="A33" t="s">
        <v>547</v>
      </c>
      <c r="B33" s="51">
        <f>INDEX(parameters!$D$4:$P$20,MATCH(B11&amp;B13,parameters!$A$4:$A$20,0),MATCH(A33,parameters!$D$3:$P$3,0))</f>
        <v>20</v>
      </c>
    </row>
    <row r="34" spans="1:22" hidden="1" x14ac:dyDescent="0.2">
      <c r="A34" t="s">
        <v>630</v>
      </c>
      <c r="B34" s="51">
        <f>INDEX(parameters!$D$4:$T$20,MATCH(B11&amp;B13,parameters!$A$4:$A$20,0),MATCH(A34,parameters!$D$3:$T$3,0))</f>
        <v>3150</v>
      </c>
    </row>
    <row r="35" spans="1:22" hidden="1" x14ac:dyDescent="0.2"/>
    <row r="36" spans="1:22" hidden="1" x14ac:dyDescent="0.2">
      <c r="A36" s="3" t="s">
        <v>57</v>
      </c>
    </row>
    <row r="37" spans="1:22" hidden="1" x14ac:dyDescent="0.2">
      <c r="A37" s="2" t="s">
        <v>58</v>
      </c>
      <c r="B37" s="44" t="s">
        <v>59</v>
      </c>
      <c r="C37" s="2" t="s">
        <v>55</v>
      </c>
      <c r="D37" s="2" t="s">
        <v>60</v>
      </c>
      <c r="E37" s="2" t="s">
        <v>52</v>
      </c>
      <c r="F37" s="2" t="s">
        <v>61</v>
      </c>
      <c r="G37" s="2" t="s">
        <v>54</v>
      </c>
      <c r="H37" s="2" t="s">
        <v>87</v>
      </c>
      <c r="I37" s="2" t="s">
        <v>51</v>
      </c>
      <c r="J37" s="2" t="s">
        <v>138</v>
      </c>
      <c r="K37" s="2" t="s">
        <v>136</v>
      </c>
      <c r="L37" s="2" t="s">
        <v>221</v>
      </c>
      <c r="M37" s="2" t="s">
        <v>379</v>
      </c>
      <c r="N37" s="2" t="s">
        <v>1059</v>
      </c>
      <c r="O37" s="2" t="s">
        <v>1060</v>
      </c>
      <c r="P37" s="2" t="s">
        <v>1061</v>
      </c>
      <c r="Q37" s="2" t="s">
        <v>1062</v>
      </c>
      <c r="R37" s="2" t="s">
        <v>1063</v>
      </c>
      <c r="S37" s="2" t="s">
        <v>1064</v>
      </c>
      <c r="T37" s="2" t="s">
        <v>1065</v>
      </c>
      <c r="U37" s="2" t="s">
        <v>380</v>
      </c>
      <c r="V37" s="2" t="s">
        <v>1128</v>
      </c>
    </row>
    <row r="38" spans="1:22" hidden="1" x14ac:dyDescent="0.2">
      <c r="A38" t="str">
        <f>B1</f>
        <v>heat, residential, by combustion of methanol using boiler, transported by truck, produced by Electrolysis, PEM using water and electricity from grid and carbon sourced from DAC</v>
      </c>
      <c r="B38" s="45">
        <v>1</v>
      </c>
      <c r="C38" t="str">
        <f>B7</f>
        <v>megajoule</v>
      </c>
      <c r="E38" t="str">
        <f>B4</f>
        <v>CH</v>
      </c>
      <c r="F38" t="s">
        <v>62</v>
      </c>
      <c r="G38" t="str">
        <f>B6</f>
        <v>heat, from residential heating system</v>
      </c>
      <c r="K38" t="str">
        <f>B1</f>
        <v>heat, residential, by combustion of methanol using boiler, transported by truck, produced by Electrolysis, PEM using water and electricity from grid and carbon sourced from DAC</v>
      </c>
    </row>
    <row r="39" spans="1:22" hidden="1" x14ac:dyDescent="0.2">
      <c r="A39" t="s">
        <v>130</v>
      </c>
      <c r="B39" s="52">
        <v>3.6028000000000002E-3</v>
      </c>
      <c r="C39" t="s">
        <v>92</v>
      </c>
      <c r="E39" t="s">
        <v>64</v>
      </c>
      <c r="F39" t="s">
        <v>86</v>
      </c>
      <c r="G39" t="s">
        <v>93</v>
      </c>
      <c r="H39" t="s">
        <v>78</v>
      </c>
      <c r="I39" t="s">
        <v>270</v>
      </c>
      <c r="J39" t="s">
        <v>67</v>
      </c>
      <c r="K39" t="str">
        <f>B1</f>
        <v>heat, residential, by combustion of methanol using boiler, transported by truck, produced by Electrolysis, PEM using water and electricity from grid and carbon sourced from DAC</v>
      </c>
      <c r="L39">
        <v>2</v>
      </c>
      <c r="M39">
        <f>LN(B39)</f>
        <v>-5.6260439580546864</v>
      </c>
      <c r="N39">
        <v>1.05</v>
      </c>
      <c r="O39" s="15">
        <v>1.2</v>
      </c>
      <c r="P39">
        <v>1</v>
      </c>
      <c r="Q39">
        <v>1.01</v>
      </c>
      <c r="R39">
        <v>1.2</v>
      </c>
      <c r="S39">
        <v>1.2</v>
      </c>
      <c r="T39">
        <v>1.05</v>
      </c>
      <c r="U39">
        <f t="shared" ref="U39:U51" si="0">LN(SQRT(EXP(
SQRT(
+POWER(LN(N39),2)
+POWER(LN(O39),2)
+POWER(LN(P39),2)
+POWER(LN(Q39),2)
+POWER(LN(R39),2)
+POWER(LN(S39),2)
+POWER(LN(T39),2)
)
)))</f>
        <v>0.16169679924070957</v>
      </c>
    </row>
    <row r="40" spans="1:22" hidden="1" x14ac:dyDescent="0.2">
      <c r="A40" t="s">
        <v>1179</v>
      </c>
      <c r="B40" s="53">
        <f>(B38/B24)/B23</f>
        <v>5.5834729201563377E-2</v>
      </c>
      <c r="C40" t="str">
        <f>VLOOKUP(J40,'dataset mapping'!$A$4:$E$69,5,0)</f>
        <v>kilogram</v>
      </c>
      <c r="E40" t="str">
        <f>VLOOKUP(J40,'dataset mapping'!$A$4:$E$69,4,0)</f>
        <v>CH</v>
      </c>
      <c r="F40" t="s">
        <v>86</v>
      </c>
      <c r="G40" t="s">
        <v>1182</v>
      </c>
      <c r="H40" t="s">
        <v>77</v>
      </c>
      <c r="I40" t="s">
        <v>1056</v>
      </c>
      <c r="J40" t="s">
        <v>490</v>
      </c>
      <c r="K40" t="str">
        <f>B1</f>
        <v>heat, residential, by combustion of methanol using boiler, transported by truck, produced by Electrolysis, PEM using water and electricity from grid and carbon sourced from DAC</v>
      </c>
      <c r="L40">
        <v>2</v>
      </c>
      <c r="M40">
        <f t="shared" ref="M40:M43" si="1">LN(B40)</f>
        <v>-2.8853592160726205</v>
      </c>
      <c r="N40">
        <v>1.05</v>
      </c>
      <c r="O40" s="15">
        <v>1.2</v>
      </c>
      <c r="P40">
        <v>1</v>
      </c>
      <c r="Q40">
        <v>1.01</v>
      </c>
      <c r="R40">
        <v>1.2</v>
      </c>
      <c r="S40">
        <v>1.2</v>
      </c>
      <c r="T40">
        <v>1.05</v>
      </c>
      <c r="U40">
        <f t="shared" si="0"/>
        <v>0.16169679924070957</v>
      </c>
    </row>
    <row r="41" spans="1:22" hidden="1" x14ac:dyDescent="0.2">
      <c r="A41" t="s">
        <v>496</v>
      </c>
      <c r="B41" s="74">
        <f>1/(B32*B34*B33*3.6)</f>
        <v>4.4091710758377425E-7</v>
      </c>
      <c r="C41" t="s">
        <v>55</v>
      </c>
      <c r="E41" t="s">
        <v>85</v>
      </c>
      <c r="F41" t="s">
        <v>86</v>
      </c>
      <c r="G41" t="s">
        <v>497</v>
      </c>
      <c r="H41" t="s">
        <v>88</v>
      </c>
      <c r="K41" t="str">
        <f>B1</f>
        <v>heat, residential, by combustion of methanol using boiler, transported by truck, produced by Electrolysis, PEM using water and electricity from grid and carbon sourced from DAC</v>
      </c>
      <c r="L41">
        <v>2</v>
      </c>
      <c r="M41">
        <f t="shared" si="1"/>
        <v>-14.634408943829779</v>
      </c>
      <c r="N41">
        <v>1.05</v>
      </c>
      <c r="O41" s="15">
        <v>1.2</v>
      </c>
      <c r="P41">
        <v>1</v>
      </c>
      <c r="Q41">
        <v>1.01</v>
      </c>
      <c r="R41">
        <v>1.2</v>
      </c>
      <c r="S41">
        <v>1.2</v>
      </c>
      <c r="T41">
        <v>3</v>
      </c>
      <c r="U41">
        <f t="shared" si="0"/>
        <v>0.57209088006881903</v>
      </c>
    </row>
    <row r="42" spans="1:22" hidden="1" x14ac:dyDescent="0.2">
      <c r="A42" t="s">
        <v>498</v>
      </c>
      <c r="B42" s="74">
        <v>4.4092000000000001E-7</v>
      </c>
      <c r="C42" t="s">
        <v>55</v>
      </c>
      <c r="E42" t="s">
        <v>85</v>
      </c>
      <c r="F42" t="s">
        <v>86</v>
      </c>
      <c r="G42" t="s">
        <v>499</v>
      </c>
      <c r="H42" t="s">
        <v>88</v>
      </c>
      <c r="K42" t="str">
        <f>B1</f>
        <v>heat, residential, by combustion of methanol using boiler, transported by truck, produced by Electrolysis, PEM using water and electricity from grid and carbon sourced from DAC</v>
      </c>
      <c r="L42">
        <v>2</v>
      </c>
      <c r="M42">
        <f t="shared" si="1"/>
        <v>-14.634402383851297</v>
      </c>
      <c r="N42">
        <v>1.05</v>
      </c>
      <c r="O42" s="15">
        <v>1.2</v>
      </c>
      <c r="P42">
        <v>1</v>
      </c>
      <c r="Q42">
        <v>1.01</v>
      </c>
      <c r="R42">
        <v>1.2</v>
      </c>
      <c r="S42">
        <v>1.2</v>
      </c>
      <c r="T42">
        <v>3</v>
      </c>
      <c r="U42">
        <f t="shared" si="0"/>
        <v>0.57209088006881903</v>
      </c>
    </row>
    <row r="43" spans="1:22" hidden="1" x14ac:dyDescent="0.2">
      <c r="A43" t="s">
        <v>500</v>
      </c>
      <c r="B43" s="52">
        <f>B41*2</f>
        <v>8.8183421516754851E-7</v>
      </c>
      <c r="C43" t="s">
        <v>267</v>
      </c>
      <c r="E43" t="s">
        <v>85</v>
      </c>
      <c r="F43" t="s">
        <v>86</v>
      </c>
      <c r="G43" t="s">
        <v>501</v>
      </c>
      <c r="H43" t="s">
        <v>88</v>
      </c>
      <c r="K43" t="str">
        <f>B1</f>
        <v>heat, residential, by combustion of methanol using boiler, transported by truck, produced by Electrolysis, PEM using water and electricity from grid and carbon sourced from DAC</v>
      </c>
      <c r="L43">
        <v>2</v>
      </c>
      <c r="M43">
        <f t="shared" si="1"/>
        <v>-13.941261763269834</v>
      </c>
      <c r="N43">
        <v>1.05</v>
      </c>
      <c r="O43" s="15">
        <v>1.2</v>
      </c>
      <c r="P43">
        <v>1</v>
      </c>
      <c r="Q43">
        <v>1.01</v>
      </c>
      <c r="R43">
        <v>1.2</v>
      </c>
      <c r="S43">
        <v>1.2</v>
      </c>
      <c r="T43">
        <v>3</v>
      </c>
      <c r="U43">
        <f t="shared" si="0"/>
        <v>0.57209088006881903</v>
      </c>
    </row>
    <row r="44" spans="1:22" hidden="1" x14ac:dyDescent="0.2">
      <c r="A44" t="s">
        <v>502</v>
      </c>
      <c r="B44" s="52">
        <v>-9.8300000000000008E-6</v>
      </c>
      <c r="C44" t="s">
        <v>120</v>
      </c>
      <c r="E44" t="s">
        <v>109</v>
      </c>
      <c r="F44" t="s">
        <v>86</v>
      </c>
      <c r="G44" t="s">
        <v>503</v>
      </c>
      <c r="H44" t="s">
        <v>155</v>
      </c>
      <c r="K44" t="str">
        <f>B1</f>
        <v>heat, residential, by combustion of methanol using boiler, transported by truck, produced by Electrolysis, PEM using water and electricity from grid and carbon sourced from DAC</v>
      </c>
      <c r="L44">
        <v>2</v>
      </c>
      <c r="M44">
        <f>LN(B44*-1)</f>
        <v>-11.530071623805199</v>
      </c>
      <c r="N44">
        <v>1.05</v>
      </c>
      <c r="O44" s="15">
        <v>1.2</v>
      </c>
      <c r="P44">
        <v>1</v>
      </c>
      <c r="Q44">
        <v>1.01</v>
      </c>
      <c r="R44">
        <v>1.2</v>
      </c>
      <c r="S44">
        <v>1.2</v>
      </c>
      <c r="T44">
        <v>1.05</v>
      </c>
      <c r="U44">
        <f t="shared" ref="U44:U45" si="2">LN(SQRT(EXP(
SQRT(
+POWER(LN(N44),2)
+POWER(LN(O44),2)
+POWER(LN(P44),2)
+POWER(LN(Q44),2)
+POWER(LN(R44),2)
+POWER(LN(S44),2)
+POWER(LN(T44),2)
)
)))</f>
        <v>0.16169679924070957</v>
      </c>
      <c r="V44" t="b">
        <v>1</v>
      </c>
    </row>
    <row r="45" spans="1:22" hidden="1" x14ac:dyDescent="0.2">
      <c r="A45" t="s">
        <v>504</v>
      </c>
      <c r="B45" s="52">
        <v>-4.1500000000000001E-6</v>
      </c>
      <c r="C45" t="s">
        <v>56</v>
      </c>
      <c r="E45" t="s">
        <v>64</v>
      </c>
      <c r="F45" t="s">
        <v>86</v>
      </c>
      <c r="G45" t="s">
        <v>248</v>
      </c>
      <c r="H45" t="s">
        <v>155</v>
      </c>
      <c r="K45" t="str">
        <f>B1</f>
        <v>heat, residential, by combustion of methanol using boiler, transported by truck, produced by Electrolysis, PEM using water and electricity from grid and carbon sourced from DAC</v>
      </c>
      <c r="L45">
        <v>2</v>
      </c>
      <c r="M45">
        <f>LN(B45*-1)</f>
        <v>-12.392402223721668</v>
      </c>
      <c r="N45">
        <v>1.05</v>
      </c>
      <c r="O45" s="15">
        <v>1.2</v>
      </c>
      <c r="P45">
        <v>1</v>
      </c>
      <c r="Q45">
        <v>1.01</v>
      </c>
      <c r="R45">
        <v>1.2</v>
      </c>
      <c r="S45">
        <v>1.2</v>
      </c>
      <c r="T45">
        <v>1.05</v>
      </c>
      <c r="U45">
        <f t="shared" si="2"/>
        <v>0.16169679924070957</v>
      </c>
      <c r="V45" t="b">
        <v>1</v>
      </c>
    </row>
    <row r="46" spans="1:22" hidden="1" x14ac:dyDescent="0.2">
      <c r="A46" t="s">
        <v>316</v>
      </c>
      <c r="B46" s="52">
        <f>1.372*B40*(1-B31)</f>
        <v>0</v>
      </c>
      <c r="C46" t="s">
        <v>56</v>
      </c>
      <c r="D46" t="s">
        <v>408</v>
      </c>
      <c r="F46" t="s">
        <v>99</v>
      </c>
      <c r="H46" t="s">
        <v>131</v>
      </c>
      <c r="I46" t="s">
        <v>509</v>
      </c>
      <c r="K46" t="str">
        <f>B1</f>
        <v>heat, residential, by combustion of methanol using boiler, transported by truck, produced by Electrolysis, PEM using water and electricity from grid and carbon sourced from DAC</v>
      </c>
      <c r="L46">
        <v>0</v>
      </c>
    </row>
    <row r="47" spans="1:22" hidden="1" x14ac:dyDescent="0.2">
      <c r="A47" t="s">
        <v>371</v>
      </c>
      <c r="B47" s="52">
        <f>1.372*B40*B31</f>
        <v>7.6605248464544959E-2</v>
      </c>
      <c r="C47" t="s">
        <v>56</v>
      </c>
      <c r="D47" t="s">
        <v>408</v>
      </c>
      <c r="F47" t="s">
        <v>99</v>
      </c>
      <c r="H47" t="s">
        <v>131</v>
      </c>
      <c r="I47" t="s">
        <v>509</v>
      </c>
      <c r="K47" t="str">
        <f>B1</f>
        <v>heat, residential, by combustion of methanol using boiler, transported by truck, produced by Electrolysis, PEM using water and electricity from grid and carbon sourced from DAC</v>
      </c>
      <c r="L47">
        <f t="shared" ref="L47:L51" si="3">IF(OR(B47&lt;0,B47=0),1,2)</f>
        <v>2</v>
      </c>
      <c r="M47">
        <f t="shared" ref="M47:M51" si="4">IF(L47=2,LN(B47),"")</f>
        <v>-2.5690896867689266</v>
      </c>
      <c r="N47">
        <v>1.05</v>
      </c>
      <c r="O47" s="15">
        <v>1.2</v>
      </c>
      <c r="P47">
        <v>1</v>
      </c>
      <c r="Q47">
        <v>1.01</v>
      </c>
      <c r="R47">
        <v>1.2</v>
      </c>
      <c r="S47">
        <v>1.2</v>
      </c>
      <c r="T47">
        <v>1.05</v>
      </c>
      <c r="U47">
        <f t="shared" si="0"/>
        <v>0.16169679924070957</v>
      </c>
    </row>
    <row r="48" spans="1:22" hidden="1" x14ac:dyDescent="0.2">
      <c r="A48" t="s">
        <v>317</v>
      </c>
      <c r="B48" s="52">
        <f>0.000009*(1-B31)</f>
        <v>0</v>
      </c>
      <c r="C48" t="s">
        <v>56</v>
      </c>
      <c r="D48" t="s">
        <v>408</v>
      </c>
      <c r="F48" t="s">
        <v>99</v>
      </c>
      <c r="H48" t="s">
        <v>131</v>
      </c>
      <c r="I48" t="s">
        <v>509</v>
      </c>
      <c r="K48" t="str">
        <f>B1</f>
        <v>heat, residential, by combustion of methanol using boiler, transported by truck, produced by Electrolysis, PEM using water and electricity from grid and carbon sourced from DAC</v>
      </c>
      <c r="L48">
        <v>0</v>
      </c>
    </row>
    <row r="49" spans="1:21" hidden="1" x14ac:dyDescent="0.2">
      <c r="A49" t="s">
        <v>400</v>
      </c>
      <c r="B49" s="52">
        <f>0.000009*B31</f>
        <v>9.0000000000000002E-6</v>
      </c>
      <c r="C49" t="s">
        <v>56</v>
      </c>
      <c r="D49" t="s">
        <v>408</v>
      </c>
      <c r="F49" t="s">
        <v>99</v>
      </c>
      <c r="H49" t="s">
        <v>131</v>
      </c>
      <c r="I49" t="s">
        <v>509</v>
      </c>
      <c r="K49" t="str">
        <f>B2</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DAC.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100%. Power [kW]: 10. Lifetime [years]: 20. Annual operation [hours]: 3150. : .  For more information, refer to: Sacchi, R. and Bauer, C. Life Cycle Assessment of Power-to-X processes and associated electricity and heat applications in the residential sector. Paul Scherrer Institut, 2023.</v>
      </c>
      <c r="L49">
        <f t="shared" si="3"/>
        <v>2</v>
      </c>
      <c r="M49">
        <f t="shared" si="4"/>
        <v>-11.618285980628055</v>
      </c>
      <c r="N49">
        <v>1.5</v>
      </c>
      <c r="O49">
        <v>1.2</v>
      </c>
      <c r="P49">
        <v>1.5</v>
      </c>
      <c r="Q49">
        <v>1.1000000000000001</v>
      </c>
      <c r="R49">
        <v>2</v>
      </c>
      <c r="S49">
        <v>1.2</v>
      </c>
      <c r="T49">
        <v>5</v>
      </c>
      <c r="U49">
        <f t="shared" si="0"/>
        <v>0.93208283513358414</v>
      </c>
    </row>
    <row r="50" spans="1:21" hidden="1" x14ac:dyDescent="0.2">
      <c r="A50" t="s">
        <v>135</v>
      </c>
      <c r="B50" s="52">
        <f>0.0000275*(1-75%)</f>
        <v>6.8750000000000002E-6</v>
      </c>
      <c r="C50" t="s">
        <v>56</v>
      </c>
      <c r="D50" t="s">
        <v>408</v>
      </c>
      <c r="F50" t="s">
        <v>99</v>
      </c>
      <c r="H50" t="s">
        <v>131</v>
      </c>
      <c r="I50" t="s">
        <v>509</v>
      </c>
      <c r="K50" t="str">
        <f>B1</f>
        <v>heat, residential, by combustion of methanol using boiler, transported by truck, produced by Electrolysis, PEM using water and electricity from grid and carbon sourced from DAC</v>
      </c>
      <c r="L50">
        <f t="shared" si="3"/>
        <v>2</v>
      </c>
      <c r="M50">
        <f t="shared" si="4"/>
        <v>-11.88761891441164</v>
      </c>
      <c r="N50">
        <v>1.05</v>
      </c>
      <c r="O50" s="15">
        <v>1.2</v>
      </c>
      <c r="P50">
        <v>1</v>
      </c>
      <c r="Q50">
        <v>1.01</v>
      </c>
      <c r="R50">
        <v>1.2</v>
      </c>
      <c r="S50">
        <v>1.2</v>
      </c>
      <c r="T50">
        <v>1.5</v>
      </c>
      <c r="U50">
        <f t="shared" si="0"/>
        <v>0.25816898211842121</v>
      </c>
    </row>
    <row r="51" spans="1:21" hidden="1" x14ac:dyDescent="0.2">
      <c r="A51" t="s">
        <v>403</v>
      </c>
      <c r="B51" s="52">
        <f>0.0000005*(1-75%)</f>
        <v>1.2499999999999999E-7</v>
      </c>
      <c r="C51" t="s">
        <v>56</v>
      </c>
      <c r="D51" t="s">
        <v>408</v>
      </c>
      <c r="F51" t="s">
        <v>99</v>
      </c>
      <c r="H51" t="s">
        <v>131</v>
      </c>
      <c r="I51" t="s">
        <v>509</v>
      </c>
      <c r="K51" t="str">
        <f>B1</f>
        <v>heat, residential, by combustion of methanol using boiler, transported by truck, produced by Electrolysis, PEM using water and electricity from grid and carbon sourced from DAC</v>
      </c>
      <c r="L51">
        <f t="shared" si="3"/>
        <v>2</v>
      </c>
      <c r="M51">
        <f t="shared" si="4"/>
        <v>-15.89495209964411</v>
      </c>
      <c r="N51">
        <v>1.05</v>
      </c>
      <c r="O51" s="15">
        <v>1.2</v>
      </c>
      <c r="P51">
        <v>1</v>
      </c>
      <c r="Q51">
        <v>1.01</v>
      </c>
      <c r="R51">
        <v>1.2</v>
      </c>
      <c r="S51">
        <v>1.2</v>
      </c>
      <c r="T51">
        <v>3</v>
      </c>
      <c r="U51">
        <f t="shared" si="0"/>
        <v>0.57209088006881903</v>
      </c>
    </row>
    <row r="52" spans="1:21" hidden="1" x14ac:dyDescent="0.2">
      <c r="B52" s="52"/>
    </row>
    <row r="53" spans="1:21" hidden="1" x14ac:dyDescent="0.2">
      <c r="A53" s="2" t="s">
        <v>50</v>
      </c>
      <c r="B53" s="44" t="str">
        <f>IF(B59="megajoule","heat","electricity")&amp;", residential, by "&amp;B64&amp;" of "&amp;B63&amp;" using "&amp;B65&amp;IF(B66&lt;&gt;0,"allocated by "&amp;B66,"")&amp;", transported by "&amp;B67&amp;", produced by "&amp;B71&amp;" using "&amp;B72&amp;" from "&amp;B73&amp;" and carbon sourced from "&amp;B74</f>
        <v>heat, residential, by combustion of methanol using boiler, transported by truck, produced by Electrolysis, PEM using water and electricity from grid and carbon sourced from MSWI</v>
      </c>
    </row>
    <row r="54" spans="1:21" hidden="1" x14ac:dyDescent="0.2">
      <c r="A54" t="s">
        <v>51</v>
      </c>
      <c r="B54" s="45" t="str">
        <f>"This dataset represents the supply of 1 "&amp;IF(B59="megajoule","megajoule of heat","kilowatt hour of electricity")&amp;" in a residence, by "&amp;B63&amp;" "&amp;B64&amp;" in a "&amp;B65&amp;". "&amp;" The "&amp;B63&amp;" is transported by "&amp;B67&amp;" over "&amp;B68&amp;" km from regional storage. "&amp;" The "&amp;B63&amp;" is produced from hydrogen supplied by  "&amp;B71&amp;", with "&amp;B72&amp;" from "&amp;B73&amp;" as feedstock. The carbon is sourced from "&amp;B74&amp;". "&amp;A75&amp;": "&amp;(B75*100)&amp;"%. "&amp;A76&amp;": "&amp;B76&amp;". "&amp;A77&amp;": "&amp;B77&amp;". "&amp;A78&amp;": "&amp;(B78*100)&amp;"%. "&amp;A79&amp;": "&amp;(B79*100)&amp;"%. "&amp;A80&amp;": "&amp;(B80*100)&amp;"%. "&amp;A81&amp;": "&amp;B81&amp;". "&amp;A82&amp;": "&amp;B82&amp;". "&amp;A83&amp;": "&amp;(B83*100)&amp;"%. "&amp;A84&amp;": "&amp;B84&amp;". "&amp;A85&amp;": "&amp;B85&amp;". "&amp;A86&amp;": "&amp;B86&amp;". "&amp;A87&amp;": "&amp;B87&amp;".  For more information, refer to: "&amp;B55</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MSWI.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61.3636363636364%. Power [kW]: 10. Lifetime [years]: 20. Annual operation [hours]: 3150. : .  For more information, refer to: Sacchi, R. and Bauer, C. Life Cycle Assessment of Power-to-X processes and associated electricity and heat applications in the residential sector. Paul Scherrer Institut, 2023.</v>
      </c>
    </row>
    <row r="55" spans="1:21" hidden="1" x14ac:dyDescent="0.2">
      <c r="A55" t="s">
        <v>63</v>
      </c>
      <c r="B55" s="45" t="s">
        <v>1223</v>
      </c>
    </row>
    <row r="56" spans="1:21" hidden="1" x14ac:dyDescent="0.2">
      <c r="A56" t="s">
        <v>52</v>
      </c>
      <c r="B56" s="45" t="s">
        <v>64</v>
      </c>
    </row>
    <row r="57" spans="1:21" hidden="1" x14ac:dyDescent="0.2">
      <c r="A57" t="s">
        <v>48</v>
      </c>
      <c r="B57" s="45">
        <v>184</v>
      </c>
    </row>
    <row r="58" spans="1:21" hidden="1" x14ac:dyDescent="0.2">
      <c r="A58" t="s">
        <v>54</v>
      </c>
      <c r="B58" s="45" t="str">
        <f>INDEX(overview!$B$4:$R$338,MATCH(B57,overview!$A$4:$A$338,0),MATCH(A58,overview!$B$3:$R$3,0))</f>
        <v>heat, from residential heating system</v>
      </c>
    </row>
    <row r="59" spans="1:21" hidden="1" x14ac:dyDescent="0.2">
      <c r="A59" t="s">
        <v>55</v>
      </c>
      <c r="B59" s="45" t="str">
        <f>INDEX(overview!$B$4:$R$338,MATCH(B57,overview!$A$4:$A$338,0),MATCH(A59,overview!$B$3:$R$3,0))</f>
        <v>megajoule</v>
      </c>
    </row>
    <row r="60" spans="1:21" hidden="1" x14ac:dyDescent="0.2">
      <c r="A60" t="s">
        <v>0</v>
      </c>
      <c r="B60" s="45" t="str">
        <f>INDEX(overview!$B$4:$R$338,MATCH(B57,overview!$A$4:$A$338,0),MATCH(A60,overview!$B$3:$R$3,0))</f>
        <v>Switzerland</v>
      </c>
    </row>
    <row r="61" spans="1:21" hidden="1" x14ac:dyDescent="0.2">
      <c r="A61" t="s">
        <v>1</v>
      </c>
      <c r="B61" s="45">
        <f>INDEX(overview!$B$4:$R$338,MATCH(B57,overview!$A$4:$A$338,0),MATCH(A61,overview!$B$3:$R$3,0))</f>
        <v>2020</v>
      </c>
    </row>
    <row r="62" spans="1:21" hidden="1" x14ac:dyDescent="0.2">
      <c r="A62" t="s">
        <v>2</v>
      </c>
      <c r="B62" s="45" t="str">
        <f>INDEX(overview!$B$4:$R$338,MATCH(B57,overview!$A$4:$A$338,0),MATCH(A62,overview!$B$3:$R$3,0))</f>
        <v>1 MJ heat</v>
      </c>
    </row>
    <row r="63" spans="1:21" hidden="1" x14ac:dyDescent="0.2">
      <c r="A63" t="s">
        <v>5</v>
      </c>
      <c r="B63" s="45" t="str">
        <f>INDEX(overview!$B$4:$R$338,MATCH(B57,overview!$A$4:$A$338,0),MATCH(A63,overview!$B$3:$R$3,0))</f>
        <v>methanol</v>
      </c>
    </row>
    <row r="64" spans="1:21" hidden="1" x14ac:dyDescent="0.2">
      <c r="A64" t="s">
        <v>3</v>
      </c>
      <c r="B64" s="45" t="str">
        <f>INDEX(overview!$B$4:$R$338,MATCH(B57,overview!$A$4:$A$338,0),MATCH(A64,overview!$B$3:$R$3,0))</f>
        <v>combustion</v>
      </c>
    </row>
    <row r="65" spans="1:2" hidden="1" x14ac:dyDescent="0.2">
      <c r="A65" t="s">
        <v>6</v>
      </c>
      <c r="B65" s="45" t="str">
        <f>INDEX(overview!$B$4:$R$338,MATCH(B57,overview!$A$4:$A$338,0),MATCH(A65,overview!$B$3:$R$3,0))</f>
        <v>boiler</v>
      </c>
    </row>
    <row r="66" spans="1:2" hidden="1" x14ac:dyDescent="0.2">
      <c r="A66" t="s">
        <v>39</v>
      </c>
      <c r="B66" s="45">
        <f>INDEX(overview!$B$4:$R$338,MATCH(B57,overview!$A$4:$A$338,0),MATCH(A66,overview!$B$3:$R$3,0))</f>
        <v>0</v>
      </c>
    </row>
    <row r="67" spans="1:2" hidden="1" x14ac:dyDescent="0.2">
      <c r="A67" t="s">
        <v>4</v>
      </c>
      <c r="B67" s="45" t="str">
        <f>INDEX(overview!$B$4:$R$338,MATCH(B57,overview!$A$4:$A$338,0),MATCH(A67,overview!$B$3:$R$3,0))</f>
        <v>truck</v>
      </c>
    </row>
    <row r="68" spans="1:2" hidden="1" x14ac:dyDescent="0.2">
      <c r="A68" t="s">
        <v>38</v>
      </c>
      <c r="B68" s="45">
        <f>INDEX(overview!$B$4:$R$338,MATCH(B57,overview!$A$4:$A$338,0),MATCH(A68,overview!$B$3:$R$3,0))</f>
        <v>200</v>
      </c>
    </row>
    <row r="69" spans="1:2" hidden="1" x14ac:dyDescent="0.2">
      <c r="A69" t="s">
        <v>12</v>
      </c>
      <c r="B69" s="45" t="str">
        <f>INDEX(overview!$B$4:$R$338,MATCH(B57,overview!$A$4:$A$338,0),MATCH(A69,overview!$B$3:$R$3,0))</f>
        <v>Above surface pressure vessel</v>
      </c>
    </row>
    <row r="70" spans="1:2" hidden="1" x14ac:dyDescent="0.2">
      <c r="A70" t="s">
        <v>34</v>
      </c>
      <c r="B70" s="45" t="str">
        <f>INDEX(overview!$B$4:$R$338,MATCH(B57,overview!$A$4:$A$338,0),MATCH(A70,overview!$B$3:$R$3,0))</f>
        <v>biological</v>
      </c>
    </row>
    <row r="71" spans="1:2" hidden="1" x14ac:dyDescent="0.2">
      <c r="A71" t="s">
        <v>15</v>
      </c>
      <c r="B71" s="45" t="str">
        <f>INDEX(overview!$B$4:$R$338,MATCH(B57,overview!$A$4:$A$338,0),MATCH(A71,overview!$B$3:$R$3,0))</f>
        <v>Electrolysis, PEM</v>
      </c>
    </row>
    <row r="72" spans="1:2" hidden="1" x14ac:dyDescent="0.2">
      <c r="A72" t="s">
        <v>14</v>
      </c>
      <c r="B72" s="45" t="str">
        <f>INDEX(overview!$B$4:$R$338,MATCH(B57,overview!$A$4:$A$338,0),MATCH(A72,overview!$B$3:$R$3,0))</f>
        <v>water and electricity</v>
      </c>
    </row>
    <row r="73" spans="1:2" hidden="1" x14ac:dyDescent="0.2">
      <c r="A73" t="s">
        <v>26</v>
      </c>
      <c r="B73" s="45" t="str">
        <f>INDEX(overview!$B$4:$R$338,MATCH(B57,overview!$A$4:$A$338,0),MATCH(A73,overview!$B$3:$R$3,0))</f>
        <v>grid</v>
      </c>
    </row>
    <row r="74" spans="1:2" hidden="1" x14ac:dyDescent="0.2">
      <c r="A74" t="s">
        <v>29</v>
      </c>
      <c r="B74" s="45" t="str">
        <f>INDEX(overview!$B$4:$R$338,MATCH(B57,overview!$A$4:$A$338,0),MATCH(A74,overview!$B$3:$R$3,0))</f>
        <v>MSWI</v>
      </c>
    </row>
    <row r="75" spans="1:2" hidden="1" x14ac:dyDescent="0.2">
      <c r="A75" t="str">
        <f>IF(B59="megajoule","Heat","Electricity")&amp;" conversion efficiency [% LHV input]"</f>
        <v>Heat conversion efficiency [% LHV input]</v>
      </c>
      <c r="B75" s="46">
        <f>INDEX(parameters!$D$4:$N$20,MATCH(B63&amp;B65,parameters!$A$4:$A$20,0),MATCH(A75,parameters!$D$3:$N$3,0))</f>
        <v>0.9</v>
      </c>
    </row>
    <row r="76" spans="1:2" hidden="1" x14ac:dyDescent="0.2">
      <c r="A76" t="str">
        <f>IF(B59="megajoule","LHV [MJ/kg]","LHV [kWh/kg]")</f>
        <v>LHV [MJ/kg]</v>
      </c>
      <c r="B76" s="47">
        <f>INDEX(parameters!$D$4:$N$20,MATCH(B63&amp;B65,parameters!$A$4:$A$20,0),MATCH(A76,parameters!$D$3:$N$3,0))</f>
        <v>19.899999999999999</v>
      </c>
    </row>
    <row r="77" spans="1:2" hidden="1" x14ac:dyDescent="0.2">
      <c r="A77" t="s">
        <v>41</v>
      </c>
      <c r="B77" s="48">
        <f>INDEX(parameters!$D$4:$N$20,MATCH(B63&amp;B65,parameters!$A$4:$A$20,0),MATCH(A77,parameters!$D$3:$N$3,0))</f>
        <v>2.6666666666666665E-2</v>
      </c>
    </row>
    <row r="78" spans="1:2" hidden="1" x14ac:dyDescent="0.2">
      <c r="A78" t="s">
        <v>45</v>
      </c>
      <c r="B78" s="49">
        <f>INDEX(parameters!$D$4:$N$20,MATCH(B63&amp;B65,parameters!$A$4:$A$20,0),MATCH(A78,parameters!$D$3:$N$3,0))</f>
        <v>0</v>
      </c>
    </row>
    <row r="79" spans="1:2" hidden="1" x14ac:dyDescent="0.2">
      <c r="A79" t="s">
        <v>46</v>
      </c>
      <c r="B79" s="49">
        <f>INDEX(parameters!$D$4:$N$20,MATCH(B63&amp;B65,parameters!$A$4:$A$20,0),MATCH(A79,parameters!$D$3:$N$3,0))</f>
        <v>0</v>
      </c>
    </row>
    <row r="80" spans="1:2" hidden="1" x14ac:dyDescent="0.2">
      <c r="A80" t="s">
        <v>43</v>
      </c>
      <c r="B80" s="49">
        <f>INDEX(parameters!$D$4:$N$20,MATCH(B63&amp;B65,parameters!$A$4:$A$20,0),MATCH(A80,parameters!$D$3:$N$3,0))</f>
        <v>0</v>
      </c>
    </row>
    <row r="81" spans="1:22" hidden="1" x14ac:dyDescent="0.2">
      <c r="A81" t="s">
        <v>44</v>
      </c>
      <c r="B81" s="49">
        <f>INDEX(parameters!$D$4:$N$20,MATCH(B63&amp;B65,parameters!$A$4:$A$20,0),MATCH(A81,parameters!$D$3:$N$3,0))</f>
        <v>0</v>
      </c>
    </row>
    <row r="82" spans="1:22" hidden="1" x14ac:dyDescent="0.2">
      <c r="A82" t="s">
        <v>634</v>
      </c>
      <c r="B82" s="47">
        <f>INDEX(parameters!$D$4:$Y$20,MATCH(B63&amp;B65,parameters!$A$4:$A$20,0),MATCH(A82,parameters!$D$3:$Y$3,0))</f>
        <v>11.111111111111111</v>
      </c>
    </row>
    <row r="83" spans="1:22" hidden="1" x14ac:dyDescent="0.2">
      <c r="A83" t="s">
        <v>82</v>
      </c>
      <c r="B83" s="46">
        <f>IF(B74&lt;&gt;0,VLOOKUP(B74,parameters!$A$26:$B$28,2,0),"")</f>
        <v>0.61363636363636365</v>
      </c>
    </row>
    <row r="84" spans="1:22" hidden="1" x14ac:dyDescent="0.2">
      <c r="A84" t="s">
        <v>548</v>
      </c>
      <c r="B84" s="50">
        <f>INDEX(parameters!$D$4:$P$20,MATCH(B63&amp;B65,parameters!$A$4:$A$20,0),MATCH(A84,parameters!$D$3:$P$3,0))</f>
        <v>10</v>
      </c>
    </row>
    <row r="85" spans="1:22" hidden="1" x14ac:dyDescent="0.2">
      <c r="A85" t="s">
        <v>547</v>
      </c>
      <c r="B85" s="51">
        <f>INDEX(parameters!$D$4:$P$20,MATCH(B63&amp;B65,parameters!$A$4:$A$20,0),MATCH(A85,parameters!$D$3:$P$3,0))</f>
        <v>20</v>
      </c>
    </row>
    <row r="86" spans="1:22" hidden="1" x14ac:dyDescent="0.2">
      <c r="A86" t="s">
        <v>630</v>
      </c>
      <c r="B86" s="51">
        <f>INDEX(parameters!$D$4:$T$20,MATCH(B63&amp;B65,parameters!$A$4:$A$20,0),MATCH(A86,parameters!$D$3:$T$3,0))</f>
        <v>3150</v>
      </c>
    </row>
    <row r="87" spans="1:22" hidden="1" x14ac:dyDescent="0.2"/>
    <row r="88" spans="1:22" hidden="1" x14ac:dyDescent="0.2">
      <c r="A88" s="3" t="s">
        <v>57</v>
      </c>
    </row>
    <row r="89" spans="1:22" hidden="1" x14ac:dyDescent="0.2">
      <c r="A89" s="2" t="s">
        <v>58</v>
      </c>
      <c r="B89" s="44" t="s">
        <v>59</v>
      </c>
      <c r="C89" s="2" t="s">
        <v>55</v>
      </c>
      <c r="D89" s="2" t="s">
        <v>60</v>
      </c>
      <c r="E89" s="2" t="s">
        <v>52</v>
      </c>
      <c r="F89" s="2" t="s">
        <v>61</v>
      </c>
      <c r="G89" s="2" t="s">
        <v>54</v>
      </c>
      <c r="H89" s="2" t="s">
        <v>87</v>
      </c>
      <c r="I89" s="2" t="s">
        <v>51</v>
      </c>
      <c r="J89" s="2" t="s">
        <v>138</v>
      </c>
      <c r="K89" s="2" t="s">
        <v>136</v>
      </c>
      <c r="L89" s="2" t="s">
        <v>221</v>
      </c>
      <c r="M89" s="2" t="s">
        <v>379</v>
      </c>
      <c r="N89" s="2" t="s">
        <v>1059</v>
      </c>
      <c r="O89" s="2" t="s">
        <v>1060</v>
      </c>
      <c r="P89" s="2" t="s">
        <v>1061</v>
      </c>
      <c r="Q89" s="2" t="s">
        <v>1062</v>
      </c>
      <c r="R89" s="2" t="s">
        <v>1063</v>
      </c>
      <c r="S89" s="2" t="s">
        <v>1064</v>
      </c>
      <c r="T89" s="2" t="s">
        <v>1065</v>
      </c>
      <c r="U89" s="2" t="s">
        <v>380</v>
      </c>
      <c r="V89" s="2" t="s">
        <v>1128</v>
      </c>
    </row>
    <row r="90" spans="1:22" hidden="1" x14ac:dyDescent="0.2">
      <c r="A90" t="str">
        <f>B53</f>
        <v>heat, residential, by combustion of methanol using boiler, transported by truck, produced by Electrolysis, PEM using water and electricity from grid and carbon sourced from MSWI</v>
      </c>
      <c r="B90" s="45">
        <v>1</v>
      </c>
      <c r="C90" t="str">
        <f>B59</f>
        <v>megajoule</v>
      </c>
      <c r="E90" t="str">
        <f>B56</f>
        <v>CH</v>
      </c>
      <c r="F90" t="s">
        <v>62</v>
      </c>
      <c r="G90" t="str">
        <f>B58</f>
        <v>heat, from residential heating system</v>
      </c>
      <c r="K90" t="str">
        <f>B53</f>
        <v>heat, residential, by combustion of methanol using boiler, transported by truck, produced by Electrolysis, PEM using water and electricity from grid and carbon sourced from MSWI</v>
      </c>
    </row>
    <row r="91" spans="1:22" hidden="1" x14ac:dyDescent="0.2">
      <c r="A91" t="s">
        <v>130</v>
      </c>
      <c r="B91" s="52">
        <v>3.6028000000000002E-3</v>
      </c>
      <c r="C91" t="s">
        <v>92</v>
      </c>
      <c r="E91" t="s">
        <v>64</v>
      </c>
      <c r="F91" t="s">
        <v>86</v>
      </c>
      <c r="G91" t="s">
        <v>93</v>
      </c>
      <c r="H91" t="s">
        <v>78</v>
      </c>
      <c r="I91" t="s">
        <v>270</v>
      </c>
      <c r="J91" t="s">
        <v>67</v>
      </c>
      <c r="K91" t="str">
        <f>B53</f>
        <v>heat, residential, by combustion of methanol using boiler, transported by truck, produced by Electrolysis, PEM using water and electricity from grid and carbon sourced from MSWI</v>
      </c>
      <c r="L91">
        <f t="shared" ref="L91:L103" si="5">IF(OR(B91&lt;0,B91=0),1,2)</f>
        <v>2</v>
      </c>
      <c r="M91">
        <f t="shared" ref="M91:M103" si="6">IF(L91=2,LN(B91),"")</f>
        <v>-5.6260439580546864</v>
      </c>
      <c r="N91">
        <v>1.05</v>
      </c>
      <c r="O91" s="15">
        <v>1.2</v>
      </c>
      <c r="P91">
        <v>1</v>
      </c>
      <c r="Q91">
        <v>1.01</v>
      </c>
      <c r="R91">
        <v>1.2</v>
      </c>
      <c r="S91">
        <v>1.2</v>
      </c>
      <c r="T91">
        <v>1.05</v>
      </c>
      <c r="U91">
        <f t="shared" ref="U91:U103" si="7">LN(SQRT(EXP(
SQRT(
+POWER(LN(N91),2)
+POWER(LN(O91),2)
+POWER(LN(P91),2)
+POWER(LN(Q91),2)
+POWER(LN(R91),2)
+POWER(LN(S91),2)
+POWER(LN(T91),2)
)
)))</f>
        <v>0.16169679924070957</v>
      </c>
    </row>
    <row r="92" spans="1:22" hidden="1" x14ac:dyDescent="0.2">
      <c r="A92" t="s">
        <v>1180</v>
      </c>
      <c r="B92" s="53">
        <f>(B90/B76)/B75</f>
        <v>5.5834729201563377E-2</v>
      </c>
      <c r="C92" t="str">
        <f>VLOOKUP(J92,'dataset mapping'!$A$4:$E$69,5,0)</f>
        <v>kilogram</v>
      </c>
      <c r="E92" t="str">
        <f>VLOOKUP(J92,'dataset mapping'!$A$4:$E$69,4,0)</f>
        <v>CH</v>
      </c>
      <c r="F92" t="s">
        <v>86</v>
      </c>
      <c r="G92" t="s">
        <v>1182</v>
      </c>
      <c r="H92" t="s">
        <v>77</v>
      </c>
      <c r="I92" t="s">
        <v>1056</v>
      </c>
      <c r="J92" t="s">
        <v>491</v>
      </c>
      <c r="K92" t="str">
        <f>B53</f>
        <v>heat, residential, by combustion of methanol using boiler, transported by truck, produced by Electrolysis, PEM using water and electricity from grid and carbon sourced from MSWI</v>
      </c>
      <c r="L92">
        <f t="shared" si="5"/>
        <v>2</v>
      </c>
      <c r="M92">
        <f t="shared" si="6"/>
        <v>-2.8853592160726205</v>
      </c>
      <c r="N92">
        <v>1.05</v>
      </c>
      <c r="O92" s="15">
        <v>1.2</v>
      </c>
      <c r="P92">
        <v>1</v>
      </c>
      <c r="Q92">
        <v>1.01</v>
      </c>
      <c r="R92">
        <v>1.2</v>
      </c>
      <c r="S92">
        <v>1.2</v>
      </c>
      <c r="T92">
        <v>1.05</v>
      </c>
      <c r="U92">
        <f t="shared" si="7"/>
        <v>0.16169679924070957</v>
      </c>
    </row>
    <row r="93" spans="1:22" hidden="1" x14ac:dyDescent="0.2">
      <c r="A93" t="s">
        <v>496</v>
      </c>
      <c r="B93" s="52">
        <f>1/(B84*B86*B85*3.6)</f>
        <v>4.4091710758377425E-7</v>
      </c>
      <c r="C93" t="s">
        <v>55</v>
      </c>
      <c r="E93" t="s">
        <v>85</v>
      </c>
      <c r="F93" t="s">
        <v>86</v>
      </c>
      <c r="G93" t="s">
        <v>497</v>
      </c>
      <c r="H93" t="s">
        <v>88</v>
      </c>
      <c r="K93" t="str">
        <f>B53</f>
        <v>heat, residential, by combustion of methanol using boiler, transported by truck, produced by Electrolysis, PEM using water and electricity from grid and carbon sourced from MSWI</v>
      </c>
      <c r="L93">
        <f t="shared" si="5"/>
        <v>2</v>
      </c>
      <c r="M93">
        <f t="shared" si="6"/>
        <v>-14.634408943829779</v>
      </c>
      <c r="N93">
        <v>1.05</v>
      </c>
      <c r="O93" s="15">
        <v>1.2</v>
      </c>
      <c r="P93">
        <v>1</v>
      </c>
      <c r="Q93">
        <v>1.01</v>
      </c>
      <c r="R93">
        <v>1.2</v>
      </c>
      <c r="S93">
        <v>1.2</v>
      </c>
      <c r="T93">
        <v>3</v>
      </c>
      <c r="U93">
        <f t="shared" si="7"/>
        <v>0.57209088006881903</v>
      </c>
    </row>
    <row r="94" spans="1:22" hidden="1" x14ac:dyDescent="0.2">
      <c r="A94" t="s">
        <v>498</v>
      </c>
      <c r="B94" s="52">
        <v>4.4092000000000001E-7</v>
      </c>
      <c r="C94" t="s">
        <v>55</v>
      </c>
      <c r="E94" t="s">
        <v>85</v>
      </c>
      <c r="F94" t="s">
        <v>86</v>
      </c>
      <c r="G94" t="s">
        <v>499</v>
      </c>
      <c r="H94" t="s">
        <v>88</v>
      </c>
      <c r="K94" t="str">
        <f>B53</f>
        <v>heat, residential, by combustion of methanol using boiler, transported by truck, produced by Electrolysis, PEM using water and electricity from grid and carbon sourced from MSWI</v>
      </c>
      <c r="L94">
        <f t="shared" si="5"/>
        <v>2</v>
      </c>
      <c r="M94">
        <f t="shared" si="6"/>
        <v>-14.634402383851297</v>
      </c>
      <c r="N94">
        <v>1.05</v>
      </c>
      <c r="O94" s="15">
        <v>1.2</v>
      </c>
      <c r="P94">
        <v>1</v>
      </c>
      <c r="Q94">
        <v>1.01</v>
      </c>
      <c r="R94">
        <v>1.2</v>
      </c>
      <c r="S94">
        <v>1.2</v>
      </c>
      <c r="T94">
        <v>3</v>
      </c>
      <c r="U94">
        <f t="shared" si="7"/>
        <v>0.57209088006881903</v>
      </c>
    </row>
    <row r="95" spans="1:22" hidden="1" x14ac:dyDescent="0.2">
      <c r="A95" t="s">
        <v>500</v>
      </c>
      <c r="B95" s="52">
        <f>B93*2</f>
        <v>8.8183421516754851E-7</v>
      </c>
      <c r="C95" t="s">
        <v>267</v>
      </c>
      <c r="E95" t="s">
        <v>85</v>
      </c>
      <c r="F95" t="s">
        <v>86</v>
      </c>
      <c r="G95" t="s">
        <v>501</v>
      </c>
      <c r="H95" t="s">
        <v>88</v>
      </c>
      <c r="K95" t="str">
        <f>B53</f>
        <v>heat, residential, by combustion of methanol using boiler, transported by truck, produced by Electrolysis, PEM using water and electricity from grid and carbon sourced from MSWI</v>
      </c>
      <c r="L95">
        <f t="shared" si="5"/>
        <v>2</v>
      </c>
      <c r="M95">
        <f t="shared" si="6"/>
        <v>-13.941261763269834</v>
      </c>
      <c r="N95">
        <v>1.05</v>
      </c>
      <c r="O95" s="15">
        <v>1.2</v>
      </c>
      <c r="P95">
        <v>1</v>
      </c>
      <c r="Q95">
        <v>1.01</v>
      </c>
      <c r="R95">
        <v>1.2</v>
      </c>
      <c r="S95">
        <v>1.2</v>
      </c>
      <c r="T95">
        <v>3</v>
      </c>
      <c r="U95">
        <f t="shared" si="7"/>
        <v>0.57209088006881903</v>
      </c>
    </row>
    <row r="96" spans="1:22" hidden="1" x14ac:dyDescent="0.2">
      <c r="A96" t="s">
        <v>502</v>
      </c>
      <c r="B96" s="52">
        <v>-9.8300000000000008E-6</v>
      </c>
      <c r="C96" t="s">
        <v>120</v>
      </c>
      <c r="E96" t="s">
        <v>109</v>
      </c>
      <c r="F96" t="s">
        <v>86</v>
      </c>
      <c r="G96" t="s">
        <v>503</v>
      </c>
      <c r="H96" t="s">
        <v>155</v>
      </c>
      <c r="K96" t="str">
        <f>B53</f>
        <v>heat, residential, by combustion of methanol using boiler, transported by truck, produced by Electrolysis, PEM using water and electricity from grid and carbon sourced from MSWI</v>
      </c>
      <c r="L96">
        <v>2</v>
      </c>
      <c r="M96">
        <f t="shared" ref="M96:M97" si="8">LN(B96*-1)</f>
        <v>-11.530071623805199</v>
      </c>
      <c r="N96">
        <v>1.05</v>
      </c>
      <c r="O96" s="15">
        <v>1.2</v>
      </c>
      <c r="P96">
        <v>1</v>
      </c>
      <c r="Q96">
        <v>1.01</v>
      </c>
      <c r="R96">
        <v>1.2</v>
      </c>
      <c r="S96">
        <v>1.2</v>
      </c>
      <c r="T96">
        <v>1.05</v>
      </c>
      <c r="U96">
        <f t="shared" si="7"/>
        <v>0.16169679924070957</v>
      </c>
      <c r="V96" t="b">
        <v>1</v>
      </c>
    </row>
    <row r="97" spans="1:22" hidden="1" x14ac:dyDescent="0.2">
      <c r="A97" t="s">
        <v>504</v>
      </c>
      <c r="B97" s="52">
        <v>-4.1500000000000001E-6</v>
      </c>
      <c r="C97" t="s">
        <v>56</v>
      </c>
      <c r="E97" t="s">
        <v>64</v>
      </c>
      <c r="F97" t="s">
        <v>86</v>
      </c>
      <c r="G97" t="s">
        <v>248</v>
      </c>
      <c r="H97" t="s">
        <v>155</v>
      </c>
      <c r="K97" t="str">
        <f>B53</f>
        <v>heat, residential, by combustion of methanol using boiler, transported by truck, produced by Electrolysis, PEM using water and electricity from grid and carbon sourced from MSWI</v>
      </c>
      <c r="L97">
        <v>2</v>
      </c>
      <c r="M97">
        <f t="shared" si="8"/>
        <v>-12.392402223721668</v>
      </c>
      <c r="N97">
        <v>1.05</v>
      </c>
      <c r="O97" s="15">
        <v>1.2</v>
      </c>
      <c r="P97">
        <v>1</v>
      </c>
      <c r="Q97">
        <v>1.01</v>
      </c>
      <c r="R97">
        <v>1.2</v>
      </c>
      <c r="S97">
        <v>1.2</v>
      </c>
      <c r="T97">
        <v>1.05</v>
      </c>
      <c r="U97">
        <f t="shared" si="7"/>
        <v>0.16169679924070957</v>
      </c>
      <c r="V97" t="b">
        <v>1</v>
      </c>
    </row>
    <row r="98" spans="1:22" hidden="1" x14ac:dyDescent="0.2">
      <c r="A98" t="s">
        <v>316</v>
      </c>
      <c r="B98" s="52">
        <f>1.372*B92*(1-B83)</f>
        <v>2.9597482361301462E-2</v>
      </c>
      <c r="C98" t="s">
        <v>56</v>
      </c>
      <c r="D98" t="s">
        <v>408</v>
      </c>
      <c r="F98" t="s">
        <v>99</v>
      </c>
      <c r="H98" t="s">
        <v>131</v>
      </c>
      <c r="I98" t="s">
        <v>509</v>
      </c>
      <c r="K98" t="str">
        <f>B53</f>
        <v>heat, residential, by combustion of methanol using boiler, transported by truck, produced by Electrolysis, PEM using water and electricity from grid and carbon sourced from MSWI</v>
      </c>
      <c r="L98">
        <f t="shared" si="5"/>
        <v>2</v>
      </c>
      <c r="M98">
        <f t="shared" si="6"/>
        <v>-3.5200659766309719</v>
      </c>
      <c r="N98">
        <v>1.05</v>
      </c>
      <c r="O98" s="15">
        <v>1.2</v>
      </c>
      <c r="P98">
        <v>1</v>
      </c>
      <c r="Q98">
        <v>1.01</v>
      </c>
      <c r="R98">
        <v>1.2</v>
      </c>
      <c r="S98">
        <v>1.2</v>
      </c>
      <c r="T98">
        <v>1.05</v>
      </c>
      <c r="U98">
        <f t="shared" si="7"/>
        <v>0.16169679924070957</v>
      </c>
    </row>
    <row r="99" spans="1:22" hidden="1" x14ac:dyDescent="0.2">
      <c r="A99" t="s">
        <v>371</v>
      </c>
      <c r="B99" s="52">
        <f>1.372*B92*B83</f>
        <v>4.7007766103243497E-2</v>
      </c>
      <c r="C99" t="s">
        <v>56</v>
      </c>
      <c r="D99" t="s">
        <v>408</v>
      </c>
      <c r="F99" t="s">
        <v>99</v>
      </c>
      <c r="H99" t="s">
        <v>131</v>
      </c>
      <c r="I99" t="s">
        <v>509</v>
      </c>
      <c r="K99" t="str">
        <f>B53</f>
        <v>heat, residential, by combustion of methanol using boiler, transported by truck, produced by Electrolysis, PEM using water and electricity from grid and carbon sourced from MSWI</v>
      </c>
      <c r="L99">
        <f t="shared" si="5"/>
        <v>2</v>
      </c>
      <c r="M99">
        <f t="shared" si="6"/>
        <v>-3.0574424546828589</v>
      </c>
      <c r="N99">
        <v>1.05</v>
      </c>
      <c r="O99" s="15">
        <v>1.2</v>
      </c>
      <c r="P99">
        <v>1</v>
      </c>
      <c r="Q99">
        <v>1.01</v>
      </c>
      <c r="R99">
        <v>1.2</v>
      </c>
      <c r="S99">
        <v>1.2</v>
      </c>
      <c r="T99">
        <v>1.05</v>
      </c>
      <c r="U99">
        <f t="shared" si="7"/>
        <v>0.16169679924070957</v>
      </c>
    </row>
    <row r="100" spans="1:22" hidden="1" x14ac:dyDescent="0.2">
      <c r="A100" t="s">
        <v>317</v>
      </c>
      <c r="B100" s="52">
        <f>0.000009*(1-B83)</f>
        <v>3.4772727272727272E-6</v>
      </c>
      <c r="C100" t="s">
        <v>56</v>
      </c>
      <c r="D100" t="s">
        <v>408</v>
      </c>
      <c r="F100" t="s">
        <v>99</v>
      </c>
      <c r="H100" t="s">
        <v>131</v>
      </c>
      <c r="I100" t="s">
        <v>509</v>
      </c>
      <c r="K100" t="str">
        <f>B53</f>
        <v>heat, residential, by combustion of methanol using boiler, transported by truck, produced by Electrolysis, PEM using water and electricity from grid and carbon sourced from MSWI</v>
      </c>
      <c r="L100">
        <f t="shared" si="5"/>
        <v>2</v>
      </c>
      <c r="M100">
        <f t="shared" si="6"/>
        <v>-12.5692622704901</v>
      </c>
      <c r="N100">
        <v>1.05</v>
      </c>
      <c r="O100" s="15">
        <v>1.2</v>
      </c>
      <c r="P100">
        <v>1</v>
      </c>
      <c r="Q100">
        <v>1.01</v>
      </c>
      <c r="R100">
        <v>1.2</v>
      </c>
      <c r="S100">
        <v>1.2</v>
      </c>
      <c r="T100">
        <v>5</v>
      </c>
      <c r="U100">
        <f t="shared" si="7"/>
        <v>0.82044093836779564</v>
      </c>
    </row>
    <row r="101" spans="1:22" hidden="1" x14ac:dyDescent="0.2">
      <c r="A101" t="s">
        <v>400</v>
      </c>
      <c r="B101" s="52">
        <f>0.000009*B83</f>
        <v>5.522727272727273E-6</v>
      </c>
      <c r="C101" t="s">
        <v>56</v>
      </c>
      <c r="D101" t="s">
        <v>408</v>
      </c>
      <c r="F101" t="s">
        <v>99</v>
      </c>
      <c r="H101" t="s">
        <v>131</v>
      </c>
      <c r="I101" t="s">
        <v>509</v>
      </c>
      <c r="K101" t="str">
        <f>B54</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MSWI.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61.3636363636364%. Power [kW]: 10. Lifetime [years]: 20. Annual operation [hours]: 3150. : .  For more information, refer to: Sacchi, R. and Bauer, C. Life Cycle Assessment of Power-to-X processes and associated electricity and heat applications in the residential sector. Paul Scherrer Institut, 2023.</v>
      </c>
      <c r="L101">
        <f t="shared" si="5"/>
        <v>2</v>
      </c>
      <c r="M101">
        <f t="shared" si="6"/>
        <v>-12.106638748541986</v>
      </c>
      <c r="N101">
        <v>1.5</v>
      </c>
      <c r="O101">
        <v>1.2</v>
      </c>
      <c r="P101">
        <v>1.5</v>
      </c>
      <c r="Q101">
        <v>1.1000000000000001</v>
      </c>
      <c r="R101">
        <v>2</v>
      </c>
      <c r="S101">
        <v>1.2</v>
      </c>
      <c r="T101">
        <v>5</v>
      </c>
      <c r="U101">
        <f t="shared" si="7"/>
        <v>0.93208283513358414</v>
      </c>
    </row>
    <row r="102" spans="1:22" hidden="1" x14ac:dyDescent="0.2">
      <c r="A102" t="s">
        <v>135</v>
      </c>
      <c r="B102" s="52">
        <f>0.0000275*(1-75%)</f>
        <v>6.8750000000000002E-6</v>
      </c>
      <c r="C102" t="s">
        <v>56</v>
      </c>
      <c r="D102" t="s">
        <v>408</v>
      </c>
      <c r="F102" t="s">
        <v>99</v>
      </c>
      <c r="H102" t="s">
        <v>131</v>
      </c>
      <c r="I102" t="s">
        <v>509</v>
      </c>
      <c r="K102" t="str">
        <f>B53</f>
        <v>heat, residential, by combustion of methanol using boiler, transported by truck, produced by Electrolysis, PEM using water and electricity from grid and carbon sourced from MSWI</v>
      </c>
      <c r="L102">
        <f t="shared" si="5"/>
        <v>2</v>
      </c>
      <c r="M102">
        <f t="shared" si="6"/>
        <v>-11.88761891441164</v>
      </c>
      <c r="N102">
        <v>1.05</v>
      </c>
      <c r="O102" s="15">
        <v>1.2</v>
      </c>
      <c r="P102">
        <v>1</v>
      </c>
      <c r="Q102">
        <v>1.01</v>
      </c>
      <c r="R102">
        <v>1.2</v>
      </c>
      <c r="S102">
        <v>1.2</v>
      </c>
      <c r="T102">
        <v>1.5</v>
      </c>
      <c r="U102">
        <f t="shared" si="7"/>
        <v>0.25816898211842121</v>
      </c>
    </row>
    <row r="103" spans="1:22" hidden="1" x14ac:dyDescent="0.2">
      <c r="A103" t="s">
        <v>403</v>
      </c>
      <c r="B103" s="52">
        <f>0.0000005*(1-75%)</f>
        <v>1.2499999999999999E-7</v>
      </c>
      <c r="C103" t="s">
        <v>56</v>
      </c>
      <c r="D103" t="s">
        <v>408</v>
      </c>
      <c r="F103" t="s">
        <v>99</v>
      </c>
      <c r="H103" t="s">
        <v>131</v>
      </c>
      <c r="I103" t="s">
        <v>509</v>
      </c>
      <c r="K103" t="str">
        <f>B53</f>
        <v>heat, residential, by combustion of methanol using boiler, transported by truck, produced by Electrolysis, PEM using water and electricity from grid and carbon sourced from MSWI</v>
      </c>
      <c r="L103">
        <f t="shared" si="5"/>
        <v>2</v>
      </c>
      <c r="M103">
        <f t="shared" si="6"/>
        <v>-15.89495209964411</v>
      </c>
      <c r="N103">
        <v>1.05</v>
      </c>
      <c r="O103" s="15">
        <v>1.2</v>
      </c>
      <c r="P103">
        <v>1</v>
      </c>
      <c r="Q103">
        <v>1.01</v>
      </c>
      <c r="R103">
        <v>1.2</v>
      </c>
      <c r="S103">
        <v>1.2</v>
      </c>
      <c r="T103">
        <v>3</v>
      </c>
      <c r="U103">
        <f t="shared" si="7"/>
        <v>0.57209088006881903</v>
      </c>
    </row>
    <row r="104" spans="1:22" hidden="1" x14ac:dyDescent="0.2">
      <c r="B104" s="52"/>
    </row>
    <row r="105" spans="1:22" hidden="1" x14ac:dyDescent="0.2">
      <c r="A105" s="2" t="s">
        <v>50</v>
      </c>
      <c r="B105" s="44" t="str">
        <f>IF(B111="megajoule","heat","electricity")&amp;", residential, by "&amp;B116&amp;" of "&amp;B115&amp;" using "&amp;B117&amp;IF(B118&lt;&gt;0,"allocated by "&amp;B118,"")&amp;", transported by "&amp;B119&amp;", produced by "&amp;B123&amp;" using "&amp;B124&amp;" from "&amp;B125&amp;" and carbon sourced from "&amp;B126</f>
        <v>heat, residential, by combustion of methanol using boiler, transported by truck, produced by Electrolysis, PEM using water and electricity from grid and carbon sourced from Cement plant</v>
      </c>
    </row>
    <row r="106" spans="1:22" hidden="1" x14ac:dyDescent="0.2">
      <c r="A106" t="s">
        <v>51</v>
      </c>
      <c r="B106" s="45" t="str">
        <f>"This dataset represents the supply of 1 "&amp;IF(B111="megajoule","megajoule of heat","kilowatt hour of electricity")&amp;" in a residence, by "&amp;B115&amp;" "&amp;B116&amp;" in a "&amp;B117&amp;". "&amp;" The "&amp;B115&amp;" is transported by "&amp;B119&amp;" over "&amp;B120&amp;" km from regional storage. "&amp;" The "&amp;B115&amp;" is produced from hydrogen supplied by  "&amp;B123&amp;", with "&amp;B124&amp;" from "&amp;B125&amp;" as feedstock. The carbon is sourced from "&amp;B126&amp;". "&amp;A127&amp;": "&amp;(B127*100)&amp;"%. "&amp;A128&amp;": "&amp;B128&amp;". "&amp;A129&amp;": "&amp;B129&amp;". "&amp;A130&amp;": "&amp;(B130*100)&amp;"%. "&amp;A131&amp;": "&amp;(B131*100)&amp;"%. "&amp;A132&amp;": "&amp;(B132*100)&amp;"%. "&amp;A133&amp;": "&amp;B133&amp;". "&amp;A134&amp;": "&amp;B134&amp;". "&amp;A135&amp;": "&amp;(B135*100)&amp;"%. "&amp;A136&amp;": "&amp;B136&amp;". "&amp;A137&amp;": "&amp;B137&amp;". "&amp;A138&amp;": "&amp;B138&amp;". "&amp;A139&amp;": "&amp;B139&amp;".  For more information, refer to: "&amp;B107</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Cement plant.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5.87515299877601%. Power [kW]: 10. Lifetime [years]: 20. Annual operation [hours]: 3150. : .  For more information, refer to: Sacchi, R. and Bauer, C. Life Cycle Assessment of Power-to-X processes and associated electricity and heat applications in the residential sector. Paul Scherrer Institut, 2023.</v>
      </c>
    </row>
    <row r="107" spans="1:22" hidden="1" x14ac:dyDescent="0.2">
      <c r="A107" t="s">
        <v>63</v>
      </c>
      <c r="B107" s="45" t="s">
        <v>1223</v>
      </c>
    </row>
    <row r="108" spans="1:22" hidden="1" x14ac:dyDescent="0.2">
      <c r="A108" t="s">
        <v>52</v>
      </c>
      <c r="B108" s="45" t="s">
        <v>64</v>
      </c>
    </row>
    <row r="109" spans="1:22" hidden="1" x14ac:dyDescent="0.2">
      <c r="A109" t="s">
        <v>48</v>
      </c>
      <c r="B109" s="45">
        <v>185</v>
      </c>
    </row>
    <row r="110" spans="1:22" hidden="1" x14ac:dyDescent="0.2">
      <c r="A110" t="s">
        <v>54</v>
      </c>
      <c r="B110" s="45" t="str">
        <f>INDEX(overview!$B$4:$R$338,MATCH(B109,overview!$A$4:$A$338,0),MATCH(A110,overview!$B$3:$R$3,0))</f>
        <v>heat, from residential heating system</v>
      </c>
    </row>
    <row r="111" spans="1:22" hidden="1" x14ac:dyDescent="0.2">
      <c r="A111" t="s">
        <v>55</v>
      </c>
      <c r="B111" s="45" t="str">
        <f>INDEX(overview!$B$4:$R$338,MATCH(B109,overview!$A$4:$A$338,0),MATCH(A111,overview!$B$3:$R$3,0))</f>
        <v>megajoule</v>
      </c>
    </row>
    <row r="112" spans="1:22" hidden="1" x14ac:dyDescent="0.2">
      <c r="A112" t="s">
        <v>0</v>
      </c>
      <c r="B112" s="45" t="str">
        <f>INDEX(overview!$B$4:$R$338,MATCH(B109,overview!$A$4:$A$338,0),MATCH(A112,overview!$B$3:$R$3,0))</f>
        <v>Switzerland</v>
      </c>
    </row>
    <row r="113" spans="1:2" hidden="1" x14ac:dyDescent="0.2">
      <c r="A113" t="s">
        <v>1</v>
      </c>
      <c r="B113" s="45">
        <f>INDEX(overview!$B$4:$R$338,MATCH(B109,overview!$A$4:$A$338,0),MATCH(A113,overview!$B$3:$R$3,0))</f>
        <v>2020</v>
      </c>
    </row>
    <row r="114" spans="1:2" hidden="1" x14ac:dyDescent="0.2">
      <c r="A114" t="s">
        <v>2</v>
      </c>
      <c r="B114" s="45" t="str">
        <f>INDEX(overview!$B$4:$R$338,MATCH(B109,overview!$A$4:$A$338,0),MATCH(A114,overview!$B$3:$R$3,0))</f>
        <v>1 MJ heat</v>
      </c>
    </row>
    <row r="115" spans="1:2" hidden="1" x14ac:dyDescent="0.2">
      <c r="A115" t="s">
        <v>5</v>
      </c>
      <c r="B115" s="45" t="str">
        <f>INDEX(overview!$B$4:$R$338,MATCH(B109,overview!$A$4:$A$338,0),MATCH(A115,overview!$B$3:$R$3,0))</f>
        <v>methanol</v>
      </c>
    </row>
    <row r="116" spans="1:2" hidden="1" x14ac:dyDescent="0.2">
      <c r="A116" t="s">
        <v>3</v>
      </c>
      <c r="B116" s="45" t="str">
        <f>INDEX(overview!$B$4:$R$338,MATCH(B109,overview!$A$4:$A$338,0),MATCH(A116,overview!$B$3:$R$3,0))</f>
        <v>combustion</v>
      </c>
    </row>
    <row r="117" spans="1:2" hidden="1" x14ac:dyDescent="0.2">
      <c r="A117" t="s">
        <v>6</v>
      </c>
      <c r="B117" s="45" t="str">
        <f>INDEX(overview!$B$4:$R$338,MATCH(B109,overview!$A$4:$A$338,0),MATCH(A117,overview!$B$3:$R$3,0))</f>
        <v>boiler</v>
      </c>
    </row>
    <row r="118" spans="1:2" hidden="1" x14ac:dyDescent="0.2">
      <c r="A118" t="s">
        <v>39</v>
      </c>
      <c r="B118" s="45">
        <f>INDEX(overview!$B$4:$R$338,MATCH(B109,overview!$A$4:$A$338,0),MATCH(A118,overview!$B$3:$R$3,0))</f>
        <v>0</v>
      </c>
    </row>
    <row r="119" spans="1:2" hidden="1" x14ac:dyDescent="0.2">
      <c r="A119" t="s">
        <v>4</v>
      </c>
      <c r="B119" s="45" t="str">
        <f>INDEX(overview!$B$4:$R$338,MATCH(B109,overview!$A$4:$A$338,0),MATCH(A119,overview!$B$3:$R$3,0))</f>
        <v>truck</v>
      </c>
    </row>
    <row r="120" spans="1:2" hidden="1" x14ac:dyDescent="0.2">
      <c r="A120" t="s">
        <v>38</v>
      </c>
      <c r="B120" s="45">
        <f>INDEX(overview!$B$4:$R$338,MATCH(B109,overview!$A$4:$A$338,0),MATCH(A120,overview!$B$3:$R$3,0))</f>
        <v>200</v>
      </c>
    </row>
    <row r="121" spans="1:2" hidden="1" x14ac:dyDescent="0.2">
      <c r="A121" t="s">
        <v>12</v>
      </c>
      <c r="B121" s="45" t="str">
        <f>INDEX(overview!$B$4:$R$338,MATCH(B109,overview!$A$4:$A$338,0),MATCH(A121,overview!$B$3:$R$3,0))</f>
        <v>Above surface pressure vessel</v>
      </c>
    </row>
    <row r="122" spans="1:2" hidden="1" x14ac:dyDescent="0.2">
      <c r="A122" t="s">
        <v>34</v>
      </c>
      <c r="B122" s="45" t="str">
        <f>INDEX(overview!$B$4:$R$338,MATCH(B109,overview!$A$4:$A$338,0),MATCH(A122,overview!$B$3:$R$3,0))</f>
        <v>biological</v>
      </c>
    </row>
    <row r="123" spans="1:2" hidden="1" x14ac:dyDescent="0.2">
      <c r="A123" t="s">
        <v>15</v>
      </c>
      <c r="B123" s="45" t="str">
        <f>INDEX(overview!$B$4:$R$338,MATCH(B109,overview!$A$4:$A$338,0),MATCH(A123,overview!$B$3:$R$3,0))</f>
        <v>Electrolysis, PEM</v>
      </c>
    </row>
    <row r="124" spans="1:2" hidden="1" x14ac:dyDescent="0.2">
      <c r="A124" t="s">
        <v>14</v>
      </c>
      <c r="B124" s="45" t="str">
        <f>INDEX(overview!$B$4:$R$338,MATCH(B109,overview!$A$4:$A$338,0),MATCH(A124,overview!$B$3:$R$3,0))</f>
        <v>water and electricity</v>
      </c>
    </row>
    <row r="125" spans="1:2" hidden="1" x14ac:dyDescent="0.2">
      <c r="A125" t="s">
        <v>26</v>
      </c>
      <c r="B125" s="45" t="str">
        <f>INDEX(overview!$B$4:$R$338,MATCH(B109,overview!$A$4:$A$338,0),MATCH(A125,overview!$B$3:$R$3,0))</f>
        <v>grid</v>
      </c>
    </row>
    <row r="126" spans="1:2" hidden="1" x14ac:dyDescent="0.2">
      <c r="A126" t="s">
        <v>29</v>
      </c>
      <c r="B126" s="45" t="str">
        <f>INDEX(overview!$B$4:$R$338,MATCH(B109,overview!$A$4:$A$338,0),MATCH(A126,overview!$B$3:$R$3,0))</f>
        <v>Cement plant</v>
      </c>
    </row>
    <row r="127" spans="1:2" hidden="1" x14ac:dyDescent="0.2">
      <c r="A127" t="str">
        <f>IF(B111="megajoule","Heat","Electricity")&amp;" conversion efficiency [% LHV input]"</f>
        <v>Heat conversion efficiency [% LHV input]</v>
      </c>
      <c r="B127" s="46">
        <f>INDEX(parameters!$D$4:$N$20,MATCH(B115&amp;B117,parameters!$A$4:$A$20,0),MATCH(A127,parameters!$D$3:$N$3,0))</f>
        <v>0.9</v>
      </c>
    </row>
    <row r="128" spans="1:2" hidden="1" x14ac:dyDescent="0.2">
      <c r="A128" t="str">
        <f>IF(B111="megajoule","LHV [MJ/kg]","LHV [kWh/kg]")</f>
        <v>LHV [MJ/kg]</v>
      </c>
      <c r="B128" s="47">
        <f>INDEX(parameters!$D$4:$N$20,MATCH(B115&amp;B117,parameters!$A$4:$A$20,0),MATCH(A128,parameters!$D$3:$N$3,0))</f>
        <v>19.899999999999999</v>
      </c>
    </row>
    <row r="129" spans="1:22" hidden="1" x14ac:dyDescent="0.2">
      <c r="A129" t="s">
        <v>41</v>
      </c>
      <c r="B129" s="48">
        <f>INDEX(parameters!$D$4:$N$20,MATCH(B115&amp;B117,parameters!$A$4:$A$20,0),MATCH(A129,parameters!$D$3:$N$3,0))</f>
        <v>2.6666666666666665E-2</v>
      </c>
    </row>
    <row r="130" spans="1:22" hidden="1" x14ac:dyDescent="0.2">
      <c r="A130" t="s">
        <v>45</v>
      </c>
      <c r="B130" s="49">
        <f>INDEX(parameters!$D$4:$N$20,MATCH(B115&amp;B117,parameters!$A$4:$A$20,0),MATCH(A130,parameters!$D$3:$N$3,0))</f>
        <v>0</v>
      </c>
    </row>
    <row r="131" spans="1:22" hidden="1" x14ac:dyDescent="0.2">
      <c r="A131" t="s">
        <v>46</v>
      </c>
      <c r="B131" s="49">
        <f>INDEX(parameters!$D$4:$N$20,MATCH(B115&amp;B117,parameters!$A$4:$A$20,0),MATCH(A131,parameters!$D$3:$N$3,0))</f>
        <v>0</v>
      </c>
    </row>
    <row r="132" spans="1:22" hidden="1" x14ac:dyDescent="0.2">
      <c r="A132" t="s">
        <v>43</v>
      </c>
      <c r="B132" s="49">
        <f>INDEX(parameters!$D$4:$N$20,MATCH(B115&amp;B117,parameters!$A$4:$A$20,0),MATCH(A132,parameters!$D$3:$N$3,0))</f>
        <v>0</v>
      </c>
    </row>
    <row r="133" spans="1:22" hidden="1" x14ac:dyDescent="0.2">
      <c r="A133" t="s">
        <v>44</v>
      </c>
      <c r="B133" s="49">
        <f>INDEX(parameters!$D$4:$N$20,MATCH(B115&amp;B117,parameters!$A$4:$A$20,0),MATCH(A133,parameters!$D$3:$N$3,0))</f>
        <v>0</v>
      </c>
    </row>
    <row r="134" spans="1:22" hidden="1" x14ac:dyDescent="0.2">
      <c r="A134" t="s">
        <v>634</v>
      </c>
      <c r="B134" s="47">
        <f>INDEX(parameters!$D$4:$Y$20,MATCH(B115&amp;B117,parameters!$A$4:$A$20,0),MATCH(A134,parameters!$D$3:$Y$3,0))</f>
        <v>11.111111111111111</v>
      </c>
    </row>
    <row r="135" spans="1:22" hidden="1" x14ac:dyDescent="0.2">
      <c r="A135" t="s">
        <v>82</v>
      </c>
      <c r="B135" s="46">
        <f>IF(B126&lt;&gt;0,VLOOKUP(B126,parameters!$A$26:$B$28,2,0),"")</f>
        <v>5.8751529987760093E-2</v>
      </c>
    </row>
    <row r="136" spans="1:22" hidden="1" x14ac:dyDescent="0.2">
      <c r="A136" t="s">
        <v>548</v>
      </c>
      <c r="B136" s="50">
        <f>INDEX(parameters!$D$4:$P$20,MATCH(B115&amp;B117,parameters!$A$4:$A$20,0),MATCH(A136,parameters!$D$3:$P$3,0))</f>
        <v>10</v>
      </c>
    </row>
    <row r="137" spans="1:22" hidden="1" x14ac:dyDescent="0.2">
      <c r="A137" t="s">
        <v>547</v>
      </c>
      <c r="B137" s="51">
        <f>INDEX(parameters!$D$4:$P$20,MATCH(B115&amp;B117,parameters!$A$4:$A$20,0),MATCH(A137,parameters!$D$3:$P$3,0))</f>
        <v>20</v>
      </c>
    </row>
    <row r="138" spans="1:22" hidden="1" x14ac:dyDescent="0.2">
      <c r="A138" t="s">
        <v>630</v>
      </c>
      <c r="B138" s="51">
        <f>INDEX(parameters!$D$4:$T$20,MATCH(B115&amp;B117,parameters!$A$4:$A$20,0),MATCH(A138,parameters!$D$3:$T$3,0))</f>
        <v>3150</v>
      </c>
    </row>
    <row r="139" spans="1:22" hidden="1" x14ac:dyDescent="0.2"/>
    <row r="140" spans="1:22" hidden="1" x14ac:dyDescent="0.2">
      <c r="A140" s="3" t="s">
        <v>57</v>
      </c>
    </row>
    <row r="141" spans="1:22" hidden="1" x14ac:dyDescent="0.2">
      <c r="A141" s="2" t="s">
        <v>58</v>
      </c>
      <c r="B141" s="44" t="s">
        <v>59</v>
      </c>
      <c r="C141" s="2" t="s">
        <v>55</v>
      </c>
      <c r="D141" s="2" t="s">
        <v>60</v>
      </c>
      <c r="E141" s="2" t="s">
        <v>52</v>
      </c>
      <c r="F141" s="2" t="s">
        <v>61</v>
      </c>
      <c r="G141" s="2" t="s">
        <v>54</v>
      </c>
      <c r="H141" s="2" t="s">
        <v>87</v>
      </c>
      <c r="I141" s="2" t="s">
        <v>51</v>
      </c>
      <c r="J141" s="2" t="s">
        <v>138</v>
      </c>
      <c r="K141" s="2" t="s">
        <v>136</v>
      </c>
      <c r="L141" s="2" t="s">
        <v>221</v>
      </c>
      <c r="M141" s="2" t="s">
        <v>379</v>
      </c>
      <c r="N141" s="2" t="s">
        <v>1059</v>
      </c>
      <c r="O141" s="2" t="s">
        <v>1060</v>
      </c>
      <c r="P141" s="2" t="s">
        <v>1061</v>
      </c>
      <c r="Q141" s="2" t="s">
        <v>1062</v>
      </c>
      <c r="R141" s="2" t="s">
        <v>1063</v>
      </c>
      <c r="S141" s="2" t="s">
        <v>1064</v>
      </c>
      <c r="T141" s="2" t="s">
        <v>1065</v>
      </c>
      <c r="U141" s="2" t="s">
        <v>380</v>
      </c>
      <c r="V141" s="2" t="s">
        <v>1128</v>
      </c>
    </row>
    <row r="142" spans="1:22" hidden="1" x14ac:dyDescent="0.2">
      <c r="A142" t="str">
        <f>B105</f>
        <v>heat, residential, by combustion of methanol using boiler, transported by truck, produced by Electrolysis, PEM using water and electricity from grid and carbon sourced from Cement plant</v>
      </c>
      <c r="B142" s="45">
        <v>1</v>
      </c>
      <c r="C142" t="str">
        <f>B111</f>
        <v>megajoule</v>
      </c>
      <c r="E142" t="str">
        <f>B108</f>
        <v>CH</v>
      </c>
      <c r="F142" t="s">
        <v>62</v>
      </c>
      <c r="G142" t="str">
        <f>B110</f>
        <v>heat, from residential heating system</v>
      </c>
      <c r="K142" t="str">
        <f>B105</f>
        <v>heat, residential, by combustion of methanol using boiler, transported by truck, produced by Electrolysis, PEM using water and electricity from grid and carbon sourced from Cement plant</v>
      </c>
    </row>
    <row r="143" spans="1:22" hidden="1" x14ac:dyDescent="0.2">
      <c r="A143" t="s">
        <v>130</v>
      </c>
      <c r="B143" s="52">
        <v>3.6028000000000002E-3</v>
      </c>
      <c r="C143" t="s">
        <v>92</v>
      </c>
      <c r="E143" t="s">
        <v>64</v>
      </c>
      <c r="F143" t="s">
        <v>86</v>
      </c>
      <c r="G143" t="s">
        <v>93</v>
      </c>
      <c r="H143" t="s">
        <v>78</v>
      </c>
      <c r="I143" t="s">
        <v>270</v>
      </c>
      <c r="J143" t="s">
        <v>67</v>
      </c>
      <c r="K143" t="str">
        <f>B105</f>
        <v>heat, residential, by combustion of methanol using boiler, transported by truck, produced by Electrolysis, PEM using water and electricity from grid and carbon sourced from Cement plant</v>
      </c>
      <c r="L143">
        <f t="shared" ref="L143:L155" si="9">IF(OR(B143&lt;0,B143=0),1,2)</f>
        <v>2</v>
      </c>
      <c r="M143">
        <f t="shared" ref="M143:M155" si="10">IF(L143=2,LN(B143),"")</f>
        <v>-5.6260439580546864</v>
      </c>
      <c r="N143">
        <v>1.05</v>
      </c>
      <c r="O143" s="15">
        <v>1.2</v>
      </c>
      <c r="P143">
        <v>1</v>
      </c>
      <c r="Q143">
        <v>1.01</v>
      </c>
      <c r="R143">
        <v>1.2</v>
      </c>
      <c r="S143">
        <v>1.2</v>
      </c>
      <c r="T143">
        <v>1.05</v>
      </c>
      <c r="U143">
        <f t="shared" ref="U143:U155" si="11">LN(SQRT(EXP(
SQRT(
+POWER(LN(N143),2)
+POWER(LN(O143),2)
+POWER(LN(P143),2)
+POWER(LN(Q143),2)
+POWER(LN(R143),2)
+POWER(LN(S143),2)
+POWER(LN(T143),2)
)
)))</f>
        <v>0.16169679924070957</v>
      </c>
    </row>
    <row r="144" spans="1:22" hidden="1" x14ac:dyDescent="0.2">
      <c r="A144" t="s">
        <v>1181</v>
      </c>
      <c r="B144" s="53">
        <f>(B142/B128)/B127</f>
        <v>5.5834729201563377E-2</v>
      </c>
      <c r="C144" t="str">
        <f>VLOOKUP(J144,'dataset mapping'!$A$4:$E$69,5,0)</f>
        <v>kilogram</v>
      </c>
      <c r="E144" t="str">
        <f>VLOOKUP(J144,'dataset mapping'!$A$4:$E$69,4,0)</f>
        <v>CH</v>
      </c>
      <c r="F144" t="s">
        <v>86</v>
      </c>
      <c r="G144" t="s">
        <v>1182</v>
      </c>
      <c r="H144" t="s">
        <v>77</v>
      </c>
      <c r="I144" t="s">
        <v>1056</v>
      </c>
      <c r="J144" t="s">
        <v>492</v>
      </c>
      <c r="K144" t="str">
        <f>B105</f>
        <v>heat, residential, by combustion of methanol using boiler, transported by truck, produced by Electrolysis, PEM using water and electricity from grid and carbon sourced from Cement plant</v>
      </c>
      <c r="L144">
        <f t="shared" si="9"/>
        <v>2</v>
      </c>
      <c r="M144">
        <f t="shared" si="10"/>
        <v>-2.8853592160726205</v>
      </c>
      <c r="N144">
        <v>1.05</v>
      </c>
      <c r="O144" s="15">
        <v>1.2</v>
      </c>
      <c r="P144">
        <v>1</v>
      </c>
      <c r="Q144">
        <v>1.01</v>
      </c>
      <c r="R144">
        <v>1.2</v>
      </c>
      <c r="S144">
        <v>1.2</v>
      </c>
      <c r="T144">
        <v>1.05</v>
      </c>
      <c r="U144">
        <f t="shared" si="11"/>
        <v>0.16169679924070957</v>
      </c>
    </row>
    <row r="145" spans="1:22" hidden="1" x14ac:dyDescent="0.2">
      <c r="A145" t="s">
        <v>496</v>
      </c>
      <c r="B145" s="52">
        <f>1/(B136*B138*B137*3.6)</f>
        <v>4.4091710758377425E-7</v>
      </c>
      <c r="C145" t="s">
        <v>55</v>
      </c>
      <c r="E145" t="s">
        <v>85</v>
      </c>
      <c r="F145" t="s">
        <v>86</v>
      </c>
      <c r="G145" t="s">
        <v>497</v>
      </c>
      <c r="H145" t="s">
        <v>88</v>
      </c>
      <c r="K145" t="str">
        <f>B105</f>
        <v>heat, residential, by combustion of methanol using boiler, transported by truck, produced by Electrolysis, PEM using water and electricity from grid and carbon sourced from Cement plant</v>
      </c>
      <c r="L145">
        <f t="shared" si="9"/>
        <v>2</v>
      </c>
      <c r="M145">
        <f t="shared" si="10"/>
        <v>-14.634408943829779</v>
      </c>
      <c r="N145">
        <v>1.05</v>
      </c>
      <c r="O145" s="15">
        <v>1.2</v>
      </c>
      <c r="P145">
        <v>1</v>
      </c>
      <c r="Q145">
        <v>1.01</v>
      </c>
      <c r="R145">
        <v>1.2</v>
      </c>
      <c r="S145">
        <v>1.2</v>
      </c>
      <c r="T145">
        <v>3</v>
      </c>
      <c r="U145">
        <f t="shared" si="11"/>
        <v>0.57209088006881903</v>
      </c>
    </row>
    <row r="146" spans="1:22" hidden="1" x14ac:dyDescent="0.2">
      <c r="A146" t="s">
        <v>498</v>
      </c>
      <c r="B146" s="52">
        <v>4.4092000000000001E-7</v>
      </c>
      <c r="C146" t="s">
        <v>55</v>
      </c>
      <c r="E146" t="s">
        <v>85</v>
      </c>
      <c r="F146" t="s">
        <v>86</v>
      </c>
      <c r="G146" t="s">
        <v>499</v>
      </c>
      <c r="H146" t="s">
        <v>88</v>
      </c>
      <c r="K146" t="str">
        <f>B105</f>
        <v>heat, residential, by combustion of methanol using boiler, transported by truck, produced by Electrolysis, PEM using water and electricity from grid and carbon sourced from Cement plant</v>
      </c>
      <c r="L146">
        <f t="shared" si="9"/>
        <v>2</v>
      </c>
      <c r="M146">
        <f t="shared" si="10"/>
        <v>-14.634402383851297</v>
      </c>
      <c r="N146">
        <v>1.05</v>
      </c>
      <c r="O146" s="15">
        <v>1.2</v>
      </c>
      <c r="P146">
        <v>1</v>
      </c>
      <c r="Q146">
        <v>1.01</v>
      </c>
      <c r="R146">
        <v>1.2</v>
      </c>
      <c r="S146">
        <v>1.2</v>
      </c>
      <c r="T146">
        <v>3</v>
      </c>
      <c r="U146">
        <f t="shared" si="11"/>
        <v>0.57209088006881903</v>
      </c>
    </row>
    <row r="147" spans="1:22" hidden="1" x14ac:dyDescent="0.2">
      <c r="A147" t="s">
        <v>500</v>
      </c>
      <c r="B147" s="52">
        <f>B145*2</f>
        <v>8.8183421516754851E-7</v>
      </c>
      <c r="C147" t="s">
        <v>267</v>
      </c>
      <c r="E147" t="s">
        <v>85</v>
      </c>
      <c r="F147" t="s">
        <v>86</v>
      </c>
      <c r="G147" t="s">
        <v>501</v>
      </c>
      <c r="H147" t="s">
        <v>88</v>
      </c>
      <c r="K147" t="str">
        <f>B105</f>
        <v>heat, residential, by combustion of methanol using boiler, transported by truck, produced by Electrolysis, PEM using water and electricity from grid and carbon sourced from Cement plant</v>
      </c>
      <c r="L147">
        <f t="shared" si="9"/>
        <v>2</v>
      </c>
      <c r="M147">
        <f t="shared" si="10"/>
        <v>-13.941261763269834</v>
      </c>
      <c r="N147">
        <v>1.05</v>
      </c>
      <c r="O147" s="15">
        <v>1.2</v>
      </c>
      <c r="P147">
        <v>1</v>
      </c>
      <c r="Q147">
        <v>1.01</v>
      </c>
      <c r="R147">
        <v>1.2</v>
      </c>
      <c r="S147">
        <v>1.2</v>
      </c>
      <c r="T147">
        <v>3</v>
      </c>
      <c r="U147">
        <f t="shared" si="11"/>
        <v>0.57209088006881903</v>
      </c>
    </row>
    <row r="148" spans="1:22" hidden="1" x14ac:dyDescent="0.2">
      <c r="A148" t="s">
        <v>502</v>
      </c>
      <c r="B148" s="52">
        <v>-9.8300000000000008E-6</v>
      </c>
      <c r="C148" t="s">
        <v>120</v>
      </c>
      <c r="E148" t="s">
        <v>109</v>
      </c>
      <c r="F148" t="s">
        <v>86</v>
      </c>
      <c r="G148" t="s">
        <v>503</v>
      </c>
      <c r="H148" t="s">
        <v>155</v>
      </c>
      <c r="K148" t="str">
        <f>B105</f>
        <v>heat, residential, by combustion of methanol using boiler, transported by truck, produced by Electrolysis, PEM using water and electricity from grid and carbon sourced from Cement plant</v>
      </c>
      <c r="L148">
        <v>2</v>
      </c>
      <c r="M148">
        <f t="shared" ref="M148:M149" si="12">LN(B148*-1)</f>
        <v>-11.530071623805199</v>
      </c>
      <c r="N148">
        <v>1.05</v>
      </c>
      <c r="O148" s="15">
        <v>1.2</v>
      </c>
      <c r="P148">
        <v>1</v>
      </c>
      <c r="Q148">
        <v>1.01</v>
      </c>
      <c r="R148">
        <v>1.2</v>
      </c>
      <c r="S148">
        <v>1.2</v>
      </c>
      <c r="T148">
        <v>1.05</v>
      </c>
      <c r="U148">
        <f t="shared" si="11"/>
        <v>0.16169679924070957</v>
      </c>
      <c r="V148" t="b">
        <v>1</v>
      </c>
    </row>
    <row r="149" spans="1:22" hidden="1" x14ac:dyDescent="0.2">
      <c r="A149" t="s">
        <v>504</v>
      </c>
      <c r="B149" s="52">
        <v>-4.1500000000000001E-6</v>
      </c>
      <c r="C149" t="s">
        <v>56</v>
      </c>
      <c r="E149" t="s">
        <v>64</v>
      </c>
      <c r="F149" t="s">
        <v>86</v>
      </c>
      <c r="G149" t="s">
        <v>248</v>
      </c>
      <c r="H149" t="s">
        <v>155</v>
      </c>
      <c r="K149" t="str">
        <f>B105</f>
        <v>heat, residential, by combustion of methanol using boiler, transported by truck, produced by Electrolysis, PEM using water and electricity from grid and carbon sourced from Cement plant</v>
      </c>
      <c r="L149">
        <v>2</v>
      </c>
      <c r="M149">
        <f t="shared" si="12"/>
        <v>-12.392402223721668</v>
      </c>
      <c r="N149">
        <v>1.05</v>
      </c>
      <c r="O149" s="15">
        <v>1.2</v>
      </c>
      <c r="P149">
        <v>1</v>
      </c>
      <c r="Q149">
        <v>1.01</v>
      </c>
      <c r="R149">
        <v>1.2</v>
      </c>
      <c r="S149">
        <v>1.2</v>
      </c>
      <c r="T149">
        <v>1.05</v>
      </c>
      <c r="U149">
        <f t="shared" si="11"/>
        <v>0.16169679924070957</v>
      </c>
      <c r="V149" t="b">
        <v>1</v>
      </c>
    </row>
    <row r="150" spans="1:22" hidden="1" x14ac:dyDescent="0.2">
      <c r="A150" t="s">
        <v>316</v>
      </c>
      <c r="B150" s="52">
        <f>1.372*B144*(1-B135)</f>
        <v>7.2104572912160436E-2</v>
      </c>
      <c r="C150" t="s">
        <v>56</v>
      </c>
      <c r="D150" t="s">
        <v>408</v>
      </c>
      <c r="F150" t="s">
        <v>99</v>
      </c>
      <c r="H150" t="s">
        <v>131</v>
      </c>
      <c r="I150" t="s">
        <v>509</v>
      </c>
      <c r="K150" t="str">
        <f>B105</f>
        <v>heat, residential, by combustion of methanol using boiler, transported by truck, produced by Electrolysis, PEM using water and electricity from grid and carbon sourced from Cement plant</v>
      </c>
      <c r="L150">
        <f t="shared" si="9"/>
        <v>2</v>
      </c>
      <c r="M150">
        <f t="shared" si="10"/>
        <v>-2.6296378121232857</v>
      </c>
      <c r="N150">
        <v>1.05</v>
      </c>
      <c r="O150" s="15">
        <v>1.2</v>
      </c>
      <c r="P150">
        <v>1</v>
      </c>
      <c r="Q150">
        <v>1.01</v>
      </c>
      <c r="R150">
        <v>1.2</v>
      </c>
      <c r="S150">
        <v>1.2</v>
      </c>
      <c r="T150">
        <v>1.05</v>
      </c>
      <c r="U150">
        <f t="shared" si="11"/>
        <v>0.16169679924070957</v>
      </c>
    </row>
    <row r="151" spans="1:22" hidden="1" x14ac:dyDescent="0.2">
      <c r="A151" t="s">
        <v>371</v>
      </c>
      <c r="B151" s="52">
        <f>1.372*B144*B135</f>
        <v>4.5006755523845261E-3</v>
      </c>
      <c r="C151" t="s">
        <v>56</v>
      </c>
      <c r="D151" t="s">
        <v>408</v>
      </c>
      <c r="F151" t="s">
        <v>99</v>
      </c>
      <c r="H151" t="s">
        <v>131</v>
      </c>
      <c r="I151" t="s">
        <v>509</v>
      </c>
      <c r="K151" t="str">
        <f>B105</f>
        <v>heat, residential, by combustion of methanol using boiler, transported by truck, produced by Electrolysis, PEM using water and electricity from grid and carbon sourced from Cement plant</v>
      </c>
      <c r="L151">
        <f t="shared" si="9"/>
        <v>2</v>
      </c>
      <c r="M151">
        <f t="shared" si="10"/>
        <v>-5.4035277707210385</v>
      </c>
      <c r="N151">
        <v>1.05</v>
      </c>
      <c r="O151" s="15">
        <v>1.2</v>
      </c>
      <c r="P151">
        <v>1</v>
      </c>
      <c r="Q151">
        <v>1.01</v>
      </c>
      <c r="R151">
        <v>1.2</v>
      </c>
      <c r="S151">
        <v>1.2</v>
      </c>
      <c r="T151">
        <v>1.05</v>
      </c>
      <c r="U151">
        <f t="shared" si="11"/>
        <v>0.16169679924070957</v>
      </c>
    </row>
    <row r="152" spans="1:22" hidden="1" x14ac:dyDescent="0.2">
      <c r="A152" t="s">
        <v>317</v>
      </c>
      <c r="B152" s="52">
        <f>0.000009*(1-B135)</f>
        <v>8.471236230110159E-6</v>
      </c>
      <c r="C152" t="s">
        <v>56</v>
      </c>
      <c r="D152" t="s">
        <v>408</v>
      </c>
      <c r="F152" t="s">
        <v>99</v>
      </c>
      <c r="H152" t="s">
        <v>131</v>
      </c>
      <c r="I152" t="s">
        <v>509</v>
      </c>
      <c r="K152" t="str">
        <f>B105</f>
        <v>heat, residential, by combustion of methanol using boiler, transported by truck, produced by Electrolysis, PEM using water and electricity from grid and carbon sourced from Cement plant</v>
      </c>
      <c r="L152">
        <f t="shared" si="9"/>
        <v>2</v>
      </c>
      <c r="M152">
        <f t="shared" si="10"/>
        <v>-11.678834105982414</v>
      </c>
      <c r="N152">
        <v>1.05</v>
      </c>
      <c r="O152" s="15">
        <v>1.2</v>
      </c>
      <c r="P152">
        <v>1</v>
      </c>
      <c r="Q152">
        <v>1.01</v>
      </c>
      <c r="R152">
        <v>1.2</v>
      </c>
      <c r="S152">
        <v>1.2</v>
      </c>
      <c r="T152">
        <v>5</v>
      </c>
      <c r="U152">
        <f t="shared" si="11"/>
        <v>0.82044093836779564</v>
      </c>
    </row>
    <row r="153" spans="1:22" hidden="1" x14ac:dyDescent="0.2">
      <c r="A153" t="s">
        <v>400</v>
      </c>
      <c r="B153" s="52">
        <f>0.000009*B135</f>
        <v>5.2876376988984082E-7</v>
      </c>
      <c r="C153" t="s">
        <v>56</v>
      </c>
      <c r="D153" t="s">
        <v>408</v>
      </c>
      <c r="F153" t="s">
        <v>99</v>
      </c>
      <c r="H153" t="s">
        <v>131</v>
      </c>
      <c r="I153" t="s">
        <v>509</v>
      </c>
      <c r="K153" t="str">
        <f>B106</f>
        <v>This dataset represents the supply of 1 megajoule of heat in a residence, by methanol combustion in a boiler.  The methanol is transported by truck over 200 km from regional storage.  The methanol is produced from hydrogen supplied by  Electrolysis, PEM, with water and electricity from grid as feedstock. The carbon is sourced from Cement plant. Heat conversion efficiency [% LHV input]: 90%. LHV [MJ/kg]: 19.9. Market price [€/MJ]: 0.0266666666666667. Distribution loss [% output]: 0%. Storage loss [% output]: 0%. Synthesis efficiency [% LHV input]: 0%. Hydrogen production efficiency [% LHV input]: 0. Total cap. Input-related [kW]: 11.1111111111111. CO2 biogenic share [%]: 5.87515299877601%. Power [kW]: 10. Lifetime [years]: 20. Annual operation [hours]: 3150. : .  For more information, refer to: Sacchi, R. and Bauer, C. Life Cycle Assessment of Power-to-X processes and associated electricity and heat applications in the residential sector. Paul Scherrer Institut, 2023.</v>
      </c>
      <c r="L153">
        <f t="shared" si="9"/>
        <v>2</v>
      </c>
      <c r="M153">
        <f t="shared" si="10"/>
        <v>-14.452724064580167</v>
      </c>
      <c r="N153">
        <v>1.5</v>
      </c>
      <c r="O153">
        <v>1.2</v>
      </c>
      <c r="P153">
        <v>1.5</v>
      </c>
      <c r="Q153">
        <v>1.1000000000000001</v>
      </c>
      <c r="R153">
        <v>2</v>
      </c>
      <c r="S153">
        <v>1.2</v>
      </c>
      <c r="T153">
        <v>5</v>
      </c>
      <c r="U153">
        <f t="shared" si="11"/>
        <v>0.93208283513358414</v>
      </c>
    </row>
    <row r="154" spans="1:22" hidden="1" x14ac:dyDescent="0.2">
      <c r="A154" t="s">
        <v>135</v>
      </c>
      <c r="B154" s="52">
        <f>0.0000275*(1-75%)</f>
        <v>6.8750000000000002E-6</v>
      </c>
      <c r="C154" t="s">
        <v>56</v>
      </c>
      <c r="D154" t="s">
        <v>408</v>
      </c>
      <c r="F154" t="s">
        <v>99</v>
      </c>
      <c r="H154" t="s">
        <v>131</v>
      </c>
      <c r="I154" t="s">
        <v>509</v>
      </c>
      <c r="K154" t="str">
        <f>B105</f>
        <v>heat, residential, by combustion of methanol using boiler, transported by truck, produced by Electrolysis, PEM using water and electricity from grid and carbon sourced from Cement plant</v>
      </c>
      <c r="L154">
        <f t="shared" si="9"/>
        <v>2</v>
      </c>
      <c r="M154">
        <f t="shared" si="10"/>
        <v>-11.88761891441164</v>
      </c>
      <c r="N154">
        <v>1.05</v>
      </c>
      <c r="O154" s="15">
        <v>1.2</v>
      </c>
      <c r="P154">
        <v>1</v>
      </c>
      <c r="Q154">
        <v>1.01</v>
      </c>
      <c r="R154">
        <v>1.2</v>
      </c>
      <c r="S154">
        <v>1.2</v>
      </c>
      <c r="T154">
        <v>1.5</v>
      </c>
      <c r="U154">
        <f t="shared" si="11"/>
        <v>0.25816898211842121</v>
      </c>
    </row>
    <row r="155" spans="1:22" hidden="1" x14ac:dyDescent="0.2">
      <c r="A155" t="s">
        <v>403</v>
      </c>
      <c r="B155" s="52">
        <f>0.0000005*(1-75%)</f>
        <v>1.2499999999999999E-7</v>
      </c>
      <c r="C155" t="s">
        <v>56</v>
      </c>
      <c r="D155" t="s">
        <v>408</v>
      </c>
      <c r="F155" t="s">
        <v>99</v>
      </c>
      <c r="H155" t="s">
        <v>131</v>
      </c>
      <c r="I155" t="s">
        <v>509</v>
      </c>
      <c r="K155" t="str">
        <f>B105</f>
        <v>heat, residential, by combustion of methanol using boiler, transported by truck, produced by Electrolysis, PEM using water and electricity from grid and carbon sourced from Cement plant</v>
      </c>
      <c r="L155">
        <f t="shared" si="9"/>
        <v>2</v>
      </c>
      <c r="M155">
        <f t="shared" si="10"/>
        <v>-15.89495209964411</v>
      </c>
      <c r="N155">
        <v>1.05</v>
      </c>
      <c r="O155" s="15">
        <v>1.2</v>
      </c>
      <c r="P155">
        <v>1</v>
      </c>
      <c r="Q155">
        <v>1.01</v>
      </c>
      <c r="R155">
        <v>1.2</v>
      </c>
      <c r="S155">
        <v>1.2</v>
      </c>
      <c r="T155">
        <v>3</v>
      </c>
      <c r="U155">
        <f t="shared" si="11"/>
        <v>0.57209088006881903</v>
      </c>
    </row>
    <row r="156" spans="1:22" hidden="1" x14ac:dyDescent="0.2">
      <c r="B156" s="52"/>
    </row>
    <row r="157" spans="1:22" hidden="1" x14ac:dyDescent="0.2"/>
    <row r="158" spans="1:22" hidden="1" x14ac:dyDescent="0.2">
      <c r="A158" s="2" t="s">
        <v>50</v>
      </c>
      <c r="B158" s="44" t="str">
        <f>IF(B164="megajoule","heat","electricity")&amp;", residential, by "&amp;B169&amp;" of "&amp;B168&amp;" using "&amp;B170&amp;IF(B171&lt;&gt;0,", allocated by "&amp;B171,"")&amp;", transported by "&amp;B172&amp;", produced by "&amp;B176&amp;" using "&amp;B177&amp;" from "&amp;B178&amp;" and carbon sourced from "&amp;B179</f>
        <v>heat, residential, by conversion of methanol using fuel cell, DMFC, allocated by exergy, transported by truck, produced by Electrolysis, PEM using water and electricity from grid and carbon sourced from DAC</v>
      </c>
    </row>
    <row r="159" spans="1:22" hidden="1" x14ac:dyDescent="0.2">
      <c r="A159" t="s">
        <v>51</v>
      </c>
      <c r="B159" s="45" t="str">
        <f>"This dataset represents the supply of 1 "&amp;IF(B164="megajoule","megajoule of heat","kilowatt hour of electricity")&amp;" in a residence, by "&amp;B168&amp;" "&amp;B169&amp;" in a "&amp;B170&amp;". "&amp;" The "&amp;B168&amp;" is transported by "&amp;B172&amp;" over "&amp;B173&amp;" km from regional storage. "&amp;" The "&amp;B168&amp;" is produced from hydrogen supplied by  "&amp;B176&amp;", with "&amp;B177&amp;" from "&amp;B178&amp;" as feedstock. The carbon is sourced from "&amp;B179&amp;". "&amp;A180&amp;": "&amp;(B180*100)&amp;"%. "&amp;A181&amp;": "&amp;B181&amp;". "&amp;A182&amp;": "&amp;B182&amp;". "&amp;A183&amp;": "&amp;(B183*100)&amp;"%. "&amp;A184&amp;": "&amp;(B184*100)&amp;"%. "&amp;A185&amp;": "&amp;(B185*100)&amp;"%. "&amp;A186&amp;": "&amp;B186&amp;". "&amp;A187&amp;": "&amp;B187&amp;". "&amp;A188&amp;": "&amp;(B188*100)&amp;"%. "&amp;A189&amp;": "&amp;B189&amp;". "&amp;A190&amp;": "&amp;B190&amp;". "&amp;A191&amp;": "&amp;B191&amp;". "&amp;A192&amp;": "&amp;B192&amp;".  For more information, refer to: "&amp;B160</f>
        <v>This dataset represents the supply of 1 megajoule of heat in a residence, by methanol conversion in a fuel cell, DMFC.  The methanol is transported by truck over 200 km from regional storage.  The methanol is produced from hydrogen supplied by  Electrolysis, PEM, with water and electricity from grid as feedstock. The carbon is sourced from DAC. Heat conversion efficiency [% LHV input]: 50%. LHV [MJ/kg]: 19.9. Market price [€/MJ]: 0.0266666666666667. Distribution loss [% output]: 0%. Storage loss [% output]: 0%. Synthesis efficiency [% LHV input]: 0%. Hydrogen production efficiency [% LHV input]: 0. Total cap. Input-related [kW]: 2.25. CO2 biogenic share [%]: 100%. Power [kW]: 0.8. Lifetime [years]: 2.92682926829268. Annual operation [hours]: 4100. Allocation factor: 0.174985562247339.  For more information, refer to: Sacchi, R. and Bauer, C. Life Cycle Assessment of Power-to-X processes and associated electricity and heat applications in the residential sector. Paul Scherrer Institut, 2023.</v>
      </c>
    </row>
    <row r="160" spans="1:22" hidden="1" x14ac:dyDescent="0.2">
      <c r="A160" t="s">
        <v>63</v>
      </c>
      <c r="B160" s="45" t="s">
        <v>1223</v>
      </c>
    </row>
    <row r="161" spans="1:2" hidden="1" x14ac:dyDescent="0.2">
      <c r="A161" t="s">
        <v>52</v>
      </c>
      <c r="B161" s="45" t="s">
        <v>64</v>
      </c>
    </row>
    <row r="162" spans="1:2" hidden="1" x14ac:dyDescent="0.2">
      <c r="A162" t="s">
        <v>48</v>
      </c>
      <c r="B162" s="45">
        <v>189</v>
      </c>
    </row>
    <row r="163" spans="1:2" hidden="1" x14ac:dyDescent="0.2">
      <c r="A163" t="s">
        <v>54</v>
      </c>
      <c r="B163" s="45" t="str">
        <f>INDEX(overview!$B$4:$R$338,MATCH(B162,overview!$A$4:$A$338,0),MATCH(A163,overview!$B$3:$R$3,0))</f>
        <v>heat, from residential heating system</v>
      </c>
    </row>
    <row r="164" spans="1:2" hidden="1" x14ac:dyDescent="0.2">
      <c r="A164" t="s">
        <v>55</v>
      </c>
      <c r="B164" s="45" t="str">
        <f>INDEX(overview!$B$4:$R$338,MATCH(B162,overview!$A$4:$A$338,0),MATCH(A164,overview!$B$3:$R$3,0))</f>
        <v>megajoule</v>
      </c>
    </row>
    <row r="165" spans="1:2" hidden="1" x14ac:dyDescent="0.2">
      <c r="A165" t="s">
        <v>0</v>
      </c>
      <c r="B165" s="45" t="str">
        <f>INDEX(overview!$B$4:$R$338,MATCH(B162,overview!$A$4:$A$338,0),MATCH(A165,overview!$B$3:$R$3,0))</f>
        <v>Switzerland</v>
      </c>
    </row>
    <row r="166" spans="1:2" hidden="1" x14ac:dyDescent="0.2">
      <c r="A166" t="s">
        <v>1</v>
      </c>
      <c r="B166" s="45">
        <f>INDEX(overview!$B$4:$R$338,MATCH(B162,overview!$A$4:$A$338,0),MATCH(A166,overview!$B$3:$R$3,0))</f>
        <v>2020</v>
      </c>
    </row>
    <row r="167" spans="1:2" hidden="1" x14ac:dyDescent="0.2">
      <c r="A167" t="s">
        <v>2</v>
      </c>
      <c r="B167" s="45" t="str">
        <f>INDEX(overview!$B$4:$R$338,MATCH(B162,overview!$A$4:$A$338,0),MATCH(A167,overview!$B$3:$R$3,0))</f>
        <v>1 MJ heat</v>
      </c>
    </row>
    <row r="168" spans="1:2" hidden="1" x14ac:dyDescent="0.2">
      <c r="A168" t="s">
        <v>5</v>
      </c>
      <c r="B168" s="45" t="str">
        <f>INDEX(overview!$B$4:$R$338,MATCH(B162,overview!$A$4:$A$338,0),MATCH(A168,overview!$B$3:$R$3,0))</f>
        <v>methanol</v>
      </c>
    </row>
    <row r="169" spans="1:2" hidden="1" x14ac:dyDescent="0.2">
      <c r="A169" t="s">
        <v>3</v>
      </c>
      <c r="B169" s="45" t="str">
        <f>INDEX(overview!$B$4:$R$338,MATCH(B162,overview!$A$4:$A$338,0),MATCH(A169,overview!$B$3:$R$3,0))</f>
        <v>conversion</v>
      </c>
    </row>
    <row r="170" spans="1:2" hidden="1" x14ac:dyDescent="0.2">
      <c r="A170" t="s">
        <v>6</v>
      </c>
      <c r="B170" s="45" t="str">
        <f>INDEX(overview!$B$4:$R$338,MATCH(B162,overview!$A$4:$A$338,0),MATCH(A170,overview!$B$3:$R$3,0))</f>
        <v>fuel cell, DMFC</v>
      </c>
    </row>
    <row r="171" spans="1:2" hidden="1" x14ac:dyDescent="0.2">
      <c r="A171" t="s">
        <v>39</v>
      </c>
      <c r="B171" s="45" t="str">
        <f>INDEX(overview!$B$4:$R$338,MATCH(B162,overview!$A$4:$A$338,0),MATCH(A171,overview!$B$3:$R$3,0))</f>
        <v>exergy</v>
      </c>
    </row>
    <row r="172" spans="1:2" hidden="1" x14ac:dyDescent="0.2">
      <c r="A172" t="s">
        <v>4</v>
      </c>
      <c r="B172" s="45" t="str">
        <f>INDEX(overview!$B$4:$R$338,MATCH(B162,overview!$A$4:$A$338,0),MATCH(A172,overview!$B$3:$R$3,0))</f>
        <v>truck</v>
      </c>
    </row>
    <row r="173" spans="1:2" hidden="1" x14ac:dyDescent="0.2">
      <c r="A173" t="s">
        <v>38</v>
      </c>
      <c r="B173" s="45">
        <f>INDEX(overview!$B$4:$R$338,MATCH(B162,overview!$A$4:$A$338,0),MATCH(A173,overview!$B$3:$R$3,0))</f>
        <v>200</v>
      </c>
    </row>
    <row r="174" spans="1:2" hidden="1" x14ac:dyDescent="0.2">
      <c r="A174" t="s">
        <v>12</v>
      </c>
      <c r="B174" s="45" t="str">
        <f>INDEX(overview!$B$4:$R$338,MATCH(B162,overview!$A$4:$A$338,0),MATCH(A174,overview!$B$3:$R$3,0))</f>
        <v>Above surface pressure vessel</v>
      </c>
    </row>
    <row r="175" spans="1:2" hidden="1" x14ac:dyDescent="0.2">
      <c r="A175" t="s">
        <v>34</v>
      </c>
      <c r="B175" s="45" t="str">
        <f>INDEX(overview!$B$4:$R$338,MATCH(B162,overview!$A$4:$A$338,0),MATCH(A175,overview!$B$3:$R$3,0))</f>
        <v>biological</v>
      </c>
    </row>
    <row r="176" spans="1:2" hidden="1" x14ac:dyDescent="0.2">
      <c r="A176" t="s">
        <v>15</v>
      </c>
      <c r="B176" s="45" t="str">
        <f>INDEX(overview!$B$4:$R$338,MATCH(B162,overview!$A$4:$A$338,0),MATCH(A176,overview!$B$3:$R$3,0))</f>
        <v>Electrolysis, PEM</v>
      </c>
    </row>
    <row r="177" spans="1:2" hidden="1" x14ac:dyDescent="0.2">
      <c r="A177" t="s">
        <v>14</v>
      </c>
      <c r="B177" s="45" t="str">
        <f>INDEX(overview!$B$4:$R$338,MATCH(B162,overview!$A$4:$A$338,0),MATCH(A177,overview!$B$3:$R$3,0))</f>
        <v>water and electricity</v>
      </c>
    </row>
    <row r="178" spans="1:2" hidden="1" x14ac:dyDescent="0.2">
      <c r="A178" t="s">
        <v>26</v>
      </c>
      <c r="B178" s="45" t="str">
        <f>INDEX(overview!$B$4:$R$338,MATCH(B162,overview!$A$4:$A$338,0),MATCH(A178,overview!$B$3:$R$3,0))</f>
        <v>grid</v>
      </c>
    </row>
    <row r="179" spans="1:2" hidden="1" x14ac:dyDescent="0.2">
      <c r="A179" t="s">
        <v>29</v>
      </c>
      <c r="B179" s="45" t="str">
        <f>INDEX(overview!$B$4:$R$338,MATCH(B162,overview!$A$4:$A$338,0),MATCH(A179,overview!$B$3:$R$3,0))</f>
        <v>DAC</v>
      </c>
    </row>
    <row r="180" spans="1:2" hidden="1" x14ac:dyDescent="0.2">
      <c r="A180" t="str">
        <f>IF(B164="megajoule","Heat","Electricity")&amp;" conversion efficiency [% LHV input]"</f>
        <v>Heat conversion efficiency [% LHV input]</v>
      </c>
      <c r="B180" s="46">
        <f>INDEX(parameters!$D$4:$N$20,MATCH(B168&amp;B170,parameters!$A$4:$A$20,0),MATCH(A180,parameters!$D$3:$N$3,0))</f>
        <v>0.5</v>
      </c>
    </row>
    <row r="181" spans="1:2" hidden="1" x14ac:dyDescent="0.2">
      <c r="A181" t="str">
        <f>IF(B164="megajoule","LHV [MJ/kg]","LHV [kWh/kg]")</f>
        <v>LHV [MJ/kg]</v>
      </c>
      <c r="B181" s="47">
        <f>INDEX(parameters!$D$4:$N$20,MATCH(B168&amp;B170,parameters!$A$4:$A$20,0),MATCH(A181,parameters!$D$3:$N$3,0))</f>
        <v>19.899999999999999</v>
      </c>
    </row>
    <row r="182" spans="1:2" hidden="1" x14ac:dyDescent="0.2">
      <c r="A182" t="s">
        <v>41</v>
      </c>
      <c r="B182" s="48">
        <f>INDEX(parameters!$D$4:$N$20,MATCH(B168&amp;B170,parameters!$A$4:$A$20,0),MATCH(A182,parameters!$D$3:$N$3,0))</f>
        <v>2.6666666666666665E-2</v>
      </c>
    </row>
    <row r="183" spans="1:2" hidden="1" x14ac:dyDescent="0.2">
      <c r="A183" t="s">
        <v>45</v>
      </c>
      <c r="B183" s="46">
        <f>INDEX(parameters!$D$4:$N$20,MATCH(B168&amp;B170,parameters!$A$4:$A$20,0),MATCH(A183,parameters!$D$3:$N$3,0))</f>
        <v>0</v>
      </c>
    </row>
    <row r="184" spans="1:2" hidden="1" x14ac:dyDescent="0.2">
      <c r="A184" t="s">
        <v>46</v>
      </c>
      <c r="B184" s="46">
        <f>INDEX(parameters!$D$4:$N$20,MATCH(B168&amp;B170,parameters!$A$4:$A$20,0),MATCH(A184,parameters!$D$3:$N$3,0))</f>
        <v>0</v>
      </c>
    </row>
    <row r="185" spans="1:2" hidden="1" x14ac:dyDescent="0.2">
      <c r="A185" t="s">
        <v>43</v>
      </c>
      <c r="B185" s="46">
        <f>INDEX(parameters!$D$4:$N$20,MATCH(B168&amp;B170,parameters!$A$4:$A$20,0),MATCH(A185,parameters!$D$3:$N$3,0))</f>
        <v>0</v>
      </c>
    </row>
    <row r="186" spans="1:2" hidden="1" x14ac:dyDescent="0.2">
      <c r="A186" t="s">
        <v>44</v>
      </c>
      <c r="B186" s="46">
        <f>INDEX(parameters!$D$4:$N$20,MATCH(B168&amp;B170,parameters!$A$4:$A$20,0),MATCH(A186,parameters!$D$3:$N$3,0))</f>
        <v>0</v>
      </c>
    </row>
    <row r="187" spans="1:2" hidden="1" x14ac:dyDescent="0.2">
      <c r="A187" t="s">
        <v>634</v>
      </c>
      <c r="B187" s="47">
        <f>INDEX(parameters!$D$4:$Y$20,MATCH(B168&amp;B170,parameters!$A$4:$A$20,0),MATCH(A187,parameters!$D$3:$Y$3,0))</f>
        <v>2.25</v>
      </c>
    </row>
    <row r="188" spans="1:2" hidden="1" x14ac:dyDescent="0.2">
      <c r="A188" t="s">
        <v>82</v>
      </c>
      <c r="B188" s="46">
        <f>IF(B179&lt;&gt;0,VLOOKUP(B179,parameters!$A$26:$B$28,2,0),"")</f>
        <v>1</v>
      </c>
    </row>
    <row r="189" spans="1:2" hidden="1" x14ac:dyDescent="0.2">
      <c r="A189" t="s">
        <v>548</v>
      </c>
      <c r="B189" s="50">
        <f>INDEX(parameters!$D$4:$P$20,MATCH(B168&amp;B170,parameters!$A$4:$A$20,0),MATCH(A189,parameters!$D$3:$P$3,0))</f>
        <v>0.8</v>
      </c>
    </row>
    <row r="190" spans="1:2" hidden="1" x14ac:dyDescent="0.2">
      <c r="A190" t="s">
        <v>547</v>
      </c>
      <c r="B190" s="51">
        <f>INDEX(parameters!$D$4:$P$20,MATCH(B168&amp;B170,parameters!$A$4:$A$20,0),MATCH(A190,parameters!$D$3:$P$3,0))</f>
        <v>2.9268292682926829</v>
      </c>
    </row>
    <row r="191" spans="1:2" hidden="1" x14ac:dyDescent="0.2">
      <c r="A191" t="s">
        <v>630</v>
      </c>
      <c r="B191" s="51">
        <f>INDEX(parameters!$D$4:$T$20,MATCH(B168&amp;B170,parameters!$A$4:$A$20,0),MATCH(A191,parameters!$D$3:$T$3,0))</f>
        <v>4100</v>
      </c>
    </row>
    <row r="192" spans="1:2" hidden="1" x14ac:dyDescent="0.2">
      <c r="A192" t="s">
        <v>1005</v>
      </c>
      <c r="B192" s="50">
        <f>IF(B164="megajoule",SUMIFS(allocation!$I$4:$I$30,allocation!$B$4:$B$30,B170,allocation!$C$4:$C$30,B171),SUMIFS(allocation!$J$4:$J$30,allocation!$B$4:$B$30,B170,allocation!$C$4:$C$30,B171))</f>
        <v>0.1749855622473393</v>
      </c>
    </row>
    <row r="193" spans="1:22" hidden="1" x14ac:dyDescent="0.2"/>
    <row r="194" spans="1:22" hidden="1" x14ac:dyDescent="0.2">
      <c r="A194" s="3" t="s">
        <v>57</v>
      </c>
    </row>
    <row r="195" spans="1:22" hidden="1" x14ac:dyDescent="0.2">
      <c r="A195" s="2" t="s">
        <v>58</v>
      </c>
      <c r="B195" s="44" t="s">
        <v>59</v>
      </c>
      <c r="C195" s="2" t="s">
        <v>55</v>
      </c>
      <c r="D195" s="2" t="s">
        <v>60</v>
      </c>
      <c r="E195" s="2" t="s">
        <v>52</v>
      </c>
      <c r="F195" s="2" t="s">
        <v>61</v>
      </c>
      <c r="G195" s="2" t="s">
        <v>54</v>
      </c>
      <c r="H195" s="2" t="s">
        <v>87</v>
      </c>
      <c r="I195" s="2" t="s">
        <v>51</v>
      </c>
      <c r="J195" s="2" t="s">
        <v>138</v>
      </c>
      <c r="K195" s="2" t="s">
        <v>136</v>
      </c>
      <c r="L195" s="2" t="s">
        <v>221</v>
      </c>
      <c r="M195" s="2" t="s">
        <v>379</v>
      </c>
      <c r="N195" s="2" t="s">
        <v>1059</v>
      </c>
      <c r="O195" s="2" t="s">
        <v>1060</v>
      </c>
      <c r="P195" s="2" t="s">
        <v>1061</v>
      </c>
      <c r="Q195" s="2" t="s">
        <v>1062</v>
      </c>
      <c r="R195" s="2" t="s">
        <v>1063</v>
      </c>
      <c r="S195" s="2" t="s">
        <v>1064</v>
      </c>
      <c r="T195" s="2" t="s">
        <v>1065</v>
      </c>
      <c r="U195" s="2" t="s">
        <v>380</v>
      </c>
      <c r="V195" s="2" t="s">
        <v>1128</v>
      </c>
    </row>
    <row r="196" spans="1:22" x14ac:dyDescent="0.2">
      <c r="A196" t="str">
        <f>B158</f>
        <v>heat, residential, by conversion of methanol using fuel cell, DMFC, allocated by exergy, transported by truck, produced by Electrolysis, PEM using water and electricity from grid and carbon sourced from DAC</v>
      </c>
      <c r="B196" s="45">
        <v>1</v>
      </c>
      <c r="C196" t="str">
        <f>B164</f>
        <v>megajoule</v>
      </c>
      <c r="E196" t="str">
        <f>B161</f>
        <v>CH</v>
      </c>
      <c r="F196" t="s">
        <v>62</v>
      </c>
      <c r="G196" t="str">
        <f>B163</f>
        <v>heat, from residential heating system</v>
      </c>
      <c r="K196" t="str">
        <f>B158</f>
        <v>heat, residential, by conversion of methanol using fuel cell, DMFC, allocated by exergy, transported by truck, produced by Electrolysis, PEM using water and electricity from grid and carbon sourced from DAC</v>
      </c>
    </row>
    <row r="197" spans="1:22" hidden="1" x14ac:dyDescent="0.2">
      <c r="A197" t="str">
        <f>VLOOKUP(J197,'dataset mapping'!$A$4:$E$69,2,0)</f>
        <v>fuel cell system assembly, 1 kWe, proton exchange membrane (PEM)</v>
      </c>
      <c r="B197" s="52">
        <f>(1/(B187*B191*B190*3.6))*B192</f>
        <v>1.8002629860837378E-6</v>
      </c>
      <c r="C197" t="str">
        <f>VLOOKUP(J197,'dataset mapping'!$A$4:$E$69,5,0)</f>
        <v>unit</v>
      </c>
      <c r="E197" t="str">
        <f>VLOOKUP(J197,'dataset mapping'!$A$4:$E$69,4,0)</f>
        <v>GLO</v>
      </c>
      <c r="F197" t="s">
        <v>86</v>
      </c>
      <c r="G197" t="str">
        <f>VLOOKUP(J197,'dataset mapping'!$A$4:$E$69,3,0)</f>
        <v>fuel cell system, 1 kWe, proton exchange membrane (PEM)</v>
      </c>
      <c r="H197" t="s">
        <v>88</v>
      </c>
      <c r="I197" t="s">
        <v>272</v>
      </c>
      <c r="J197" t="s">
        <v>273</v>
      </c>
      <c r="K197" t="str">
        <f>B158</f>
        <v>heat, residential, by conversion of methanol using fuel cell, DMFC, allocated by exergy, transported by truck, produced by Electrolysis, PEM using water and electricity from grid and carbon sourced from DAC</v>
      </c>
      <c r="L197">
        <f t="shared" ref="L197:L203" si="13">IF(OR(B197&lt;0,B197=0),1,2)</f>
        <v>2</v>
      </c>
      <c r="M197">
        <f t="shared" ref="M197:M203" si="14">IF(L197=2,LN(B197),"")</f>
        <v>-13.227577800354361</v>
      </c>
      <c r="N197">
        <v>1.05</v>
      </c>
      <c r="O197" s="15">
        <v>1.2</v>
      </c>
      <c r="P197">
        <v>1</v>
      </c>
      <c r="Q197">
        <v>1.01</v>
      </c>
      <c r="R197">
        <v>1.2</v>
      </c>
      <c r="S197">
        <v>1.2</v>
      </c>
      <c r="T197">
        <v>3</v>
      </c>
      <c r="U197">
        <f t="shared" ref="U197:U203" si="15">LN(SQRT(EXP(
SQRT(
+POWER(LN(N197),2)
+POWER(LN(O197),2)
+POWER(LN(P197),2)
+POWER(LN(Q197),2)
+POWER(LN(R197),2)
+POWER(LN(S197),2)
+POWER(LN(T197),2)
)
)))</f>
        <v>0.57209088006881903</v>
      </c>
    </row>
    <row r="198" spans="1:22" hidden="1" x14ac:dyDescent="0.2">
      <c r="A198" t="s">
        <v>1179</v>
      </c>
      <c r="B198" s="53">
        <f>(B196/B181)/B180*B192</f>
        <v>1.7586488668074302E-2</v>
      </c>
      <c r="C198" t="str">
        <f>VLOOKUP(J198,'dataset mapping'!$A$4:$E$69,5,0)</f>
        <v>kilogram</v>
      </c>
      <c r="E198" t="str">
        <f>VLOOKUP(J198,'dataset mapping'!$A$4:$E$69,4,0)</f>
        <v>CH</v>
      </c>
      <c r="F198" t="s">
        <v>86</v>
      </c>
      <c r="G198" t="s">
        <v>1182</v>
      </c>
      <c r="H198" t="s">
        <v>76</v>
      </c>
      <c r="I198" t="s">
        <v>1056</v>
      </c>
      <c r="J198" t="s">
        <v>490</v>
      </c>
      <c r="K198" t="str">
        <f>B158</f>
        <v>heat, residential, by conversion of methanol using fuel cell, DMFC, allocated by exergy, transported by truck, produced by Electrolysis, PEM using water and electricity from grid and carbon sourced from DAC</v>
      </c>
      <c r="L198">
        <f t="shared" si="13"/>
        <v>2</v>
      </c>
      <c r="M198">
        <f t="shared" si="14"/>
        <v>-4.0406243610763308</v>
      </c>
      <c r="N198">
        <v>1.05</v>
      </c>
      <c r="O198" s="15">
        <v>1.2</v>
      </c>
      <c r="P198">
        <v>1</v>
      </c>
      <c r="Q198">
        <v>1.01</v>
      </c>
      <c r="R198">
        <v>1.2</v>
      </c>
      <c r="S198">
        <v>1.2</v>
      </c>
      <c r="T198">
        <v>1.05</v>
      </c>
      <c r="U198">
        <f t="shared" si="15"/>
        <v>0.16169679924070957</v>
      </c>
    </row>
    <row r="199" spans="1:22" hidden="1" x14ac:dyDescent="0.2">
      <c r="A199" t="s">
        <v>498</v>
      </c>
      <c r="B199" s="52">
        <v>4.4092000000000001E-7</v>
      </c>
      <c r="C199" t="s">
        <v>55</v>
      </c>
      <c r="E199" t="s">
        <v>85</v>
      </c>
      <c r="F199" t="s">
        <v>86</v>
      </c>
      <c r="G199" t="s">
        <v>499</v>
      </c>
      <c r="H199" t="s">
        <v>88</v>
      </c>
      <c r="K199" t="str">
        <f>B160</f>
        <v>Sacchi, R. and Bauer, C. Life Cycle Assessment of Power-to-X processes and associated electricity and heat applications in the residential sector. Paul Scherrer Institut, 2023.</v>
      </c>
      <c r="L199">
        <f t="shared" si="13"/>
        <v>2</v>
      </c>
      <c r="M199">
        <f t="shared" si="14"/>
        <v>-14.634402383851297</v>
      </c>
      <c r="N199">
        <v>1.5</v>
      </c>
      <c r="O199">
        <v>1.2</v>
      </c>
      <c r="P199">
        <v>1.5</v>
      </c>
      <c r="Q199">
        <v>1.1000000000000001</v>
      </c>
      <c r="R199">
        <v>2</v>
      </c>
      <c r="S199">
        <v>1.2</v>
      </c>
      <c r="T199">
        <v>3</v>
      </c>
      <c r="U199">
        <f t="shared" si="15"/>
        <v>0.72314801614797197</v>
      </c>
    </row>
    <row r="200" spans="1:22" hidden="1" x14ac:dyDescent="0.2">
      <c r="A200" t="s">
        <v>130</v>
      </c>
      <c r="B200" s="52">
        <f>2.67*SUM(B198:B198)</f>
        <v>4.6955924743758384E-2</v>
      </c>
      <c r="C200" t="s">
        <v>92</v>
      </c>
      <c r="E200" t="s">
        <v>64</v>
      </c>
      <c r="F200" t="s">
        <v>86</v>
      </c>
      <c r="G200" t="s">
        <v>93</v>
      </c>
      <c r="H200" t="s">
        <v>78</v>
      </c>
      <c r="I200" t="s">
        <v>271</v>
      </c>
      <c r="J200" t="s">
        <v>67</v>
      </c>
      <c r="K200" t="str">
        <f>B158</f>
        <v>heat, residential, by conversion of methanol using fuel cell, DMFC, allocated by exergy, transported by truck, produced by Electrolysis, PEM using water and electricity from grid and carbon sourced from DAC</v>
      </c>
      <c r="L200">
        <f t="shared" si="13"/>
        <v>2</v>
      </c>
      <c r="M200">
        <f t="shared" si="14"/>
        <v>-3.058545888664173</v>
      </c>
      <c r="N200">
        <v>1.05</v>
      </c>
      <c r="O200" s="15">
        <v>1.2</v>
      </c>
      <c r="P200">
        <v>1</v>
      </c>
      <c r="Q200">
        <v>1.01</v>
      </c>
      <c r="R200">
        <v>1.2</v>
      </c>
      <c r="S200">
        <v>1.2</v>
      </c>
      <c r="T200">
        <v>1.05</v>
      </c>
      <c r="U200">
        <f t="shared" si="15"/>
        <v>0.16169679924070957</v>
      </c>
    </row>
    <row r="201" spans="1:22" hidden="1" x14ac:dyDescent="0.2">
      <c r="A201" t="s">
        <v>134</v>
      </c>
      <c r="B201" s="45">
        <f>B198*1.125</f>
        <v>1.9784799751583589E-2</v>
      </c>
      <c r="C201" t="s">
        <v>56</v>
      </c>
      <c r="D201" t="s">
        <v>100</v>
      </c>
      <c r="F201" t="s">
        <v>99</v>
      </c>
      <c r="H201" t="s">
        <v>131</v>
      </c>
      <c r="I201" t="s">
        <v>511</v>
      </c>
      <c r="K201" t="str">
        <f>B158</f>
        <v>heat, residential, by conversion of methanol using fuel cell, DMFC, allocated by exergy, transported by truck, produced by Electrolysis, PEM using water and electricity from grid and carbon sourced from DAC</v>
      </c>
      <c r="L201">
        <f t="shared" si="13"/>
        <v>2</v>
      </c>
      <c r="M201">
        <f t="shared" si="14"/>
        <v>-3.9228413254199475</v>
      </c>
      <c r="N201">
        <v>1.05</v>
      </c>
      <c r="O201" s="15">
        <v>1.2</v>
      </c>
      <c r="P201">
        <v>1</v>
      </c>
      <c r="Q201">
        <v>1.01</v>
      </c>
      <c r="R201">
        <v>1.2</v>
      </c>
      <c r="S201">
        <v>1.2</v>
      </c>
      <c r="T201">
        <v>1.5</v>
      </c>
      <c r="U201">
        <f t="shared" si="15"/>
        <v>0.25816898211842121</v>
      </c>
    </row>
    <row r="202" spans="1:22" hidden="1" x14ac:dyDescent="0.2">
      <c r="A202" t="s">
        <v>316</v>
      </c>
      <c r="B202" s="45">
        <f>1.372*(1-B188)*B198</f>
        <v>0</v>
      </c>
      <c r="C202" t="s">
        <v>56</v>
      </c>
      <c r="D202" t="s">
        <v>100</v>
      </c>
      <c r="F202" t="s">
        <v>99</v>
      </c>
      <c r="H202" t="s">
        <v>131</v>
      </c>
      <c r="I202" t="s">
        <v>512</v>
      </c>
      <c r="L202">
        <v>0</v>
      </c>
    </row>
    <row r="203" spans="1:22" hidden="1" x14ac:dyDescent="0.2">
      <c r="A203" t="s">
        <v>371</v>
      </c>
      <c r="B203" s="45">
        <f>1.372*B188*B198</f>
        <v>2.4128662452597944E-2</v>
      </c>
      <c r="C203" t="s">
        <v>56</v>
      </c>
      <c r="D203" t="s">
        <v>100</v>
      </c>
      <c r="F203" t="s">
        <v>99</v>
      </c>
      <c r="H203" t="s">
        <v>131</v>
      </c>
      <c r="I203" t="s">
        <v>512</v>
      </c>
      <c r="L203">
        <f t="shared" si="13"/>
        <v>2</v>
      </c>
      <c r="M203">
        <f t="shared" si="14"/>
        <v>-3.7243548317726374</v>
      </c>
      <c r="N203">
        <v>1.5</v>
      </c>
      <c r="O203">
        <v>1.2</v>
      </c>
      <c r="P203">
        <v>1.5</v>
      </c>
      <c r="Q203">
        <v>1.1000000000000001</v>
      </c>
      <c r="R203">
        <v>2</v>
      </c>
      <c r="S203">
        <v>1.2</v>
      </c>
      <c r="T203">
        <v>1.05</v>
      </c>
      <c r="U203">
        <f t="shared" si="15"/>
        <v>0.47095746419981693</v>
      </c>
    </row>
    <row r="204" spans="1:22" hidden="1" x14ac:dyDescent="0.2"/>
    <row r="205" spans="1:22" hidden="1" x14ac:dyDescent="0.2">
      <c r="A205" s="2" t="s">
        <v>50</v>
      </c>
      <c r="B205" s="44" t="str">
        <f>IF(B211="megajoule","heat","electricity")&amp;", residential, by "&amp;B216&amp;" of "&amp;B215&amp;" using "&amp;B217&amp;IF(B218&lt;&gt;0,", allocated by "&amp;B218,"")&amp;", transported by "&amp;B219&amp;", produced by "&amp;B223&amp;" using "&amp;B224&amp;" from "&amp;B225&amp;" and carbon sourced from "&amp;B226</f>
        <v>heat, residential, by conversion of methanol using fuel cell, DMFC, allocated by exergy, transported by truck, produced by Electrolysis, PEM using water and electricity from grid and carbon sourced from MSWI</v>
      </c>
    </row>
    <row r="206" spans="1:22" hidden="1" x14ac:dyDescent="0.2">
      <c r="A206" t="s">
        <v>51</v>
      </c>
      <c r="B206" s="45" t="str">
        <f>"This dataset represents the supply of 1 "&amp;IF(B211="megajoule","megajoule of heat","kilowatt hour of electricity")&amp;" in a residence, by "&amp;B215&amp;" "&amp;B216&amp;" in a "&amp;B217&amp;". "&amp;" The "&amp;B215&amp;" is transported by "&amp;B219&amp;" over "&amp;B220&amp;" km from regional storage. "&amp;" The "&amp;B215&amp;" is produced from hydrogen supplied by  "&amp;B223&amp;", with "&amp;B224&amp;" from "&amp;B225&amp;" as feedstock. The carbon is sourced from "&amp;B226&amp;". "&amp;A227&amp;": "&amp;(B227*100)&amp;"%. "&amp;A228&amp;": "&amp;B228&amp;". "&amp;A229&amp;": "&amp;B229&amp;". "&amp;A230&amp;": "&amp;(B230*100)&amp;"%. "&amp;A231&amp;": "&amp;(B231*100)&amp;"%. "&amp;A232&amp;": "&amp;(B232*100)&amp;"%. "&amp;A233&amp;": "&amp;B233&amp;". "&amp;A234&amp;": "&amp;B234&amp;". "&amp;A235&amp;": "&amp;(B235*100)&amp;"%. "&amp;A236&amp;": "&amp;B236&amp;". "&amp;A237&amp;": "&amp;B237&amp;". "&amp;A238&amp;": "&amp;B238&amp;". "&amp;A239&amp;": "&amp;B239&amp;".  For more information, refer to: "&amp;B207</f>
        <v>This dataset represents the supply of 1 megajoule of heat in a residence, by methanol conversion in a fuel cell, DMFC.  The methanol is transported by truck over 200 km from regional storage.  The methanol is produced from hydrogen supplied by  Electrolysis, PEM, with water and electricity from grid as feedstock. The carbon is sourced from MSWI. Heat conversion efficiency [% LHV input]: 50%. LHV [MJ/kg]: 19.9. Market price [€/MJ]: 0.0266666666666667. Distribution loss [% output]: 0%. Storage loss [% output]: 0%. Synthesis efficiency [% LHV input]: 0%. Hydrogen production efficiency [% LHV input]: 0. Total cap. Input-related [kW]: 2.25. CO2 biogenic share [%]: 61.3636363636364%. Power [kW]: 0.8. Lifetime [years]: 2.92682926829268. Annual operation [hours]: 4100. Allocation factor: 0.174985562247339.  For more information, refer to: Sacchi, R. and Bauer, C. Life Cycle Assessment of Power-to-X processes and associated electricity and heat applications in the residential sector. Paul Scherrer Institut, 2023.</v>
      </c>
    </row>
    <row r="207" spans="1:22" hidden="1" x14ac:dyDescent="0.2">
      <c r="A207" t="s">
        <v>63</v>
      </c>
      <c r="B207" s="45" t="s">
        <v>1223</v>
      </c>
    </row>
    <row r="208" spans="1:22" hidden="1" x14ac:dyDescent="0.2">
      <c r="A208" t="s">
        <v>52</v>
      </c>
      <c r="B208" s="45" t="s">
        <v>64</v>
      </c>
    </row>
    <row r="209" spans="1:2" hidden="1" x14ac:dyDescent="0.2">
      <c r="A209" t="s">
        <v>48</v>
      </c>
      <c r="B209" s="45">
        <v>190</v>
      </c>
    </row>
    <row r="210" spans="1:2" hidden="1" x14ac:dyDescent="0.2">
      <c r="A210" t="s">
        <v>54</v>
      </c>
      <c r="B210" s="45" t="str">
        <f>INDEX(overview!$B$4:$R$338,MATCH(B209,overview!$A$4:$A$338,0),MATCH(A210,overview!$B$3:$R$3,0))</f>
        <v>heat, from residential heating system</v>
      </c>
    </row>
    <row r="211" spans="1:2" hidden="1" x14ac:dyDescent="0.2">
      <c r="A211" t="s">
        <v>55</v>
      </c>
      <c r="B211" s="45" t="str">
        <f>INDEX(overview!$B$4:$R$338,MATCH(B209,overview!$A$4:$A$338,0),MATCH(A211,overview!$B$3:$R$3,0))</f>
        <v>megajoule</v>
      </c>
    </row>
    <row r="212" spans="1:2" hidden="1" x14ac:dyDescent="0.2">
      <c r="A212" t="s">
        <v>0</v>
      </c>
      <c r="B212" s="45" t="str">
        <f>INDEX(overview!$B$4:$R$338,MATCH(B209,overview!$A$4:$A$338,0),MATCH(A212,overview!$B$3:$R$3,0))</f>
        <v>Switzerland</v>
      </c>
    </row>
    <row r="213" spans="1:2" hidden="1" x14ac:dyDescent="0.2">
      <c r="A213" t="s">
        <v>1</v>
      </c>
      <c r="B213" s="45">
        <f>INDEX(overview!$B$4:$R$338,MATCH(B209,overview!$A$4:$A$338,0),MATCH(A213,overview!$B$3:$R$3,0))</f>
        <v>2020</v>
      </c>
    </row>
    <row r="214" spans="1:2" hidden="1" x14ac:dyDescent="0.2">
      <c r="A214" t="s">
        <v>2</v>
      </c>
      <c r="B214" s="45" t="str">
        <f>INDEX(overview!$B$4:$R$338,MATCH(B209,overview!$A$4:$A$338,0),MATCH(A214,overview!$B$3:$R$3,0))</f>
        <v>1 MJ heat</v>
      </c>
    </row>
    <row r="215" spans="1:2" hidden="1" x14ac:dyDescent="0.2">
      <c r="A215" t="s">
        <v>5</v>
      </c>
      <c r="B215" s="45" t="str">
        <f>INDEX(overview!$B$4:$R$338,MATCH(B209,overview!$A$4:$A$338,0),MATCH(A215,overview!$B$3:$R$3,0))</f>
        <v>methanol</v>
      </c>
    </row>
    <row r="216" spans="1:2" hidden="1" x14ac:dyDescent="0.2">
      <c r="A216" t="s">
        <v>3</v>
      </c>
      <c r="B216" s="45" t="str">
        <f>INDEX(overview!$B$4:$R$338,MATCH(B209,overview!$A$4:$A$338,0),MATCH(A216,overview!$B$3:$R$3,0))</f>
        <v>conversion</v>
      </c>
    </row>
    <row r="217" spans="1:2" hidden="1" x14ac:dyDescent="0.2">
      <c r="A217" t="s">
        <v>6</v>
      </c>
      <c r="B217" s="45" t="str">
        <f>INDEX(overview!$B$4:$R$338,MATCH(B209,overview!$A$4:$A$338,0),MATCH(A217,overview!$B$3:$R$3,0))</f>
        <v>fuel cell, DMFC</v>
      </c>
    </row>
    <row r="218" spans="1:2" hidden="1" x14ac:dyDescent="0.2">
      <c r="A218" t="s">
        <v>39</v>
      </c>
      <c r="B218" s="45" t="str">
        <f>INDEX(overview!$B$4:$R$338,MATCH(B209,overview!$A$4:$A$338,0),MATCH(A218,overview!$B$3:$R$3,0))</f>
        <v>exergy</v>
      </c>
    </row>
    <row r="219" spans="1:2" hidden="1" x14ac:dyDescent="0.2">
      <c r="A219" t="s">
        <v>4</v>
      </c>
      <c r="B219" s="45" t="str">
        <f>INDEX(overview!$B$4:$R$338,MATCH(B209,overview!$A$4:$A$338,0),MATCH(A219,overview!$B$3:$R$3,0))</f>
        <v>truck</v>
      </c>
    </row>
    <row r="220" spans="1:2" hidden="1" x14ac:dyDescent="0.2">
      <c r="A220" t="s">
        <v>38</v>
      </c>
      <c r="B220" s="45">
        <f>INDEX(overview!$B$4:$R$338,MATCH(B209,overview!$A$4:$A$338,0),MATCH(A220,overview!$B$3:$R$3,0))</f>
        <v>200</v>
      </c>
    </row>
    <row r="221" spans="1:2" hidden="1" x14ac:dyDescent="0.2">
      <c r="A221" t="s">
        <v>12</v>
      </c>
      <c r="B221" s="45" t="str">
        <f>INDEX(overview!$B$4:$R$338,MATCH(B209,overview!$A$4:$A$338,0),MATCH(A221,overview!$B$3:$R$3,0))</f>
        <v>Above surface pressure vessel</v>
      </c>
    </row>
    <row r="222" spans="1:2" hidden="1" x14ac:dyDescent="0.2">
      <c r="A222" t="s">
        <v>34</v>
      </c>
      <c r="B222" s="45" t="str">
        <f>INDEX(overview!$B$4:$R$338,MATCH(B209,overview!$A$4:$A$338,0),MATCH(A222,overview!$B$3:$R$3,0))</f>
        <v>biological</v>
      </c>
    </row>
    <row r="223" spans="1:2" hidden="1" x14ac:dyDescent="0.2">
      <c r="A223" t="s">
        <v>15</v>
      </c>
      <c r="B223" s="45" t="str">
        <f>INDEX(overview!$B$4:$R$338,MATCH(B209,overview!$A$4:$A$338,0),MATCH(A223,overview!$B$3:$R$3,0))</f>
        <v>Electrolysis, PEM</v>
      </c>
    </row>
    <row r="224" spans="1:2" hidden="1" x14ac:dyDescent="0.2">
      <c r="A224" t="s">
        <v>14</v>
      </c>
      <c r="B224" s="45" t="str">
        <f>INDEX(overview!$B$4:$R$338,MATCH(B209,overview!$A$4:$A$338,0),MATCH(A224,overview!$B$3:$R$3,0))</f>
        <v>water and electricity</v>
      </c>
    </row>
    <row r="225" spans="1:2" hidden="1" x14ac:dyDescent="0.2">
      <c r="A225" t="s">
        <v>26</v>
      </c>
      <c r="B225" s="45" t="str">
        <f>INDEX(overview!$B$4:$R$338,MATCH(B209,overview!$A$4:$A$338,0),MATCH(A225,overview!$B$3:$R$3,0))</f>
        <v>grid</v>
      </c>
    </row>
    <row r="226" spans="1:2" hidden="1" x14ac:dyDescent="0.2">
      <c r="A226" t="s">
        <v>29</v>
      </c>
      <c r="B226" s="45" t="str">
        <f>INDEX(overview!$B$4:$R$338,MATCH(B209,overview!$A$4:$A$338,0),MATCH(A226,overview!$B$3:$R$3,0))</f>
        <v>MSWI</v>
      </c>
    </row>
    <row r="227" spans="1:2" hidden="1" x14ac:dyDescent="0.2">
      <c r="A227" t="str">
        <f>IF(B211="megajoule","Heat","Electricity")&amp;" conversion efficiency [% LHV input]"</f>
        <v>Heat conversion efficiency [% LHV input]</v>
      </c>
      <c r="B227" s="46">
        <f>INDEX(parameters!$D$4:$N$20,MATCH(B215&amp;B217,parameters!$A$4:$A$20,0),MATCH(A227,parameters!$D$3:$N$3,0))</f>
        <v>0.5</v>
      </c>
    </row>
    <row r="228" spans="1:2" hidden="1" x14ac:dyDescent="0.2">
      <c r="A228" t="str">
        <f>IF(B211="megajoule","LHV [MJ/kg]","LHV [kWh/kg]")</f>
        <v>LHV [MJ/kg]</v>
      </c>
      <c r="B228" s="47">
        <f>INDEX(parameters!$D$4:$N$20,MATCH(B215&amp;B217,parameters!$A$4:$A$20,0),MATCH(A228,parameters!$D$3:$N$3,0))</f>
        <v>19.899999999999999</v>
      </c>
    </row>
    <row r="229" spans="1:2" hidden="1" x14ac:dyDescent="0.2">
      <c r="A229" t="s">
        <v>41</v>
      </c>
      <c r="B229" s="48">
        <f>INDEX(parameters!$D$4:$N$20,MATCH(B215&amp;B217,parameters!$A$4:$A$20,0),MATCH(A229,parameters!$D$3:$N$3,0))</f>
        <v>2.6666666666666665E-2</v>
      </c>
    </row>
    <row r="230" spans="1:2" hidden="1" x14ac:dyDescent="0.2">
      <c r="A230" t="s">
        <v>45</v>
      </c>
      <c r="B230" s="46">
        <f>INDEX(parameters!$D$4:$N$20,MATCH(B215&amp;B217,parameters!$A$4:$A$20,0),MATCH(A230,parameters!$D$3:$N$3,0))</f>
        <v>0</v>
      </c>
    </row>
    <row r="231" spans="1:2" hidden="1" x14ac:dyDescent="0.2">
      <c r="A231" t="s">
        <v>46</v>
      </c>
      <c r="B231" s="46">
        <f>INDEX(parameters!$D$4:$N$20,MATCH(B215&amp;B217,parameters!$A$4:$A$20,0),MATCH(A231,parameters!$D$3:$N$3,0))</f>
        <v>0</v>
      </c>
    </row>
    <row r="232" spans="1:2" hidden="1" x14ac:dyDescent="0.2">
      <c r="A232" t="s">
        <v>43</v>
      </c>
      <c r="B232" s="46">
        <f>INDEX(parameters!$D$4:$N$20,MATCH(B215&amp;B217,parameters!$A$4:$A$20,0),MATCH(A232,parameters!$D$3:$N$3,0))</f>
        <v>0</v>
      </c>
    </row>
    <row r="233" spans="1:2" hidden="1" x14ac:dyDescent="0.2">
      <c r="A233" t="s">
        <v>44</v>
      </c>
      <c r="B233" s="46">
        <f>INDEX(parameters!$D$4:$N$20,MATCH(B215&amp;B217,parameters!$A$4:$A$20,0),MATCH(A233,parameters!$D$3:$N$3,0))</f>
        <v>0</v>
      </c>
    </row>
    <row r="234" spans="1:2" hidden="1" x14ac:dyDescent="0.2">
      <c r="A234" t="s">
        <v>634</v>
      </c>
      <c r="B234" s="47">
        <f>INDEX(parameters!$D$4:$Y$20,MATCH(B215&amp;B217,parameters!$A$4:$A$20,0),MATCH(A234,parameters!$D$3:$Y$3,0))</f>
        <v>2.25</v>
      </c>
    </row>
    <row r="235" spans="1:2" hidden="1" x14ac:dyDescent="0.2">
      <c r="A235" t="s">
        <v>82</v>
      </c>
      <c r="B235" s="46">
        <f>IF(B226&lt;&gt;0,VLOOKUP(B226,parameters!$A$26:$B$28,2,0),"")</f>
        <v>0.61363636363636365</v>
      </c>
    </row>
    <row r="236" spans="1:2" hidden="1" x14ac:dyDescent="0.2">
      <c r="A236" t="s">
        <v>548</v>
      </c>
      <c r="B236" s="50">
        <f>INDEX(parameters!$D$4:$P$20,MATCH(B215&amp;B217,parameters!$A$4:$A$20,0),MATCH(A236,parameters!$D$3:$P$3,0))</f>
        <v>0.8</v>
      </c>
    </row>
    <row r="237" spans="1:2" hidden="1" x14ac:dyDescent="0.2">
      <c r="A237" t="s">
        <v>547</v>
      </c>
      <c r="B237" s="51">
        <f>INDEX(parameters!$D$4:$P$20,MATCH(B215&amp;B217,parameters!$A$4:$A$20,0),MATCH(A237,parameters!$D$3:$P$3,0))</f>
        <v>2.9268292682926829</v>
      </c>
    </row>
    <row r="238" spans="1:2" hidden="1" x14ac:dyDescent="0.2">
      <c r="A238" t="s">
        <v>630</v>
      </c>
      <c r="B238" s="51">
        <f>INDEX(parameters!$D$4:$T$20,MATCH(B215&amp;B217,parameters!$A$4:$A$20,0),MATCH(A238,parameters!$D$3:$T$3,0))</f>
        <v>4100</v>
      </c>
    </row>
    <row r="239" spans="1:2" hidden="1" x14ac:dyDescent="0.2">
      <c r="A239" t="s">
        <v>1005</v>
      </c>
      <c r="B239" s="50">
        <f>IF(B211="megajoule",SUMIFS(allocation!$I$4:$I$30,allocation!$B$4:$B$30,B217,allocation!$C$4:$C$30,B218),SUMIFS(allocation!$J$4:$J$30,allocation!$B$4:$B$30,B217,allocation!$C$4:$C$30,B218))</f>
        <v>0.1749855622473393</v>
      </c>
    </row>
    <row r="240" spans="1:2" hidden="1" x14ac:dyDescent="0.2"/>
    <row r="241" spans="1:22" hidden="1" x14ac:dyDescent="0.2">
      <c r="A241" s="3" t="s">
        <v>57</v>
      </c>
    </row>
    <row r="242" spans="1:22" hidden="1" x14ac:dyDescent="0.2">
      <c r="A242" s="2" t="s">
        <v>58</v>
      </c>
      <c r="B242" s="44" t="s">
        <v>59</v>
      </c>
      <c r="C242" s="2" t="s">
        <v>55</v>
      </c>
      <c r="D242" s="2" t="s">
        <v>60</v>
      </c>
      <c r="E242" s="2" t="s">
        <v>52</v>
      </c>
      <c r="F242" s="2" t="s">
        <v>61</v>
      </c>
      <c r="G242" s="2" t="s">
        <v>54</v>
      </c>
      <c r="H242" s="2" t="s">
        <v>87</v>
      </c>
      <c r="I242" s="2" t="s">
        <v>51</v>
      </c>
      <c r="J242" s="2" t="s">
        <v>138</v>
      </c>
      <c r="K242" s="2" t="s">
        <v>136</v>
      </c>
      <c r="L242" s="2" t="s">
        <v>221</v>
      </c>
      <c r="M242" s="2" t="s">
        <v>379</v>
      </c>
      <c r="N242" s="2" t="s">
        <v>1059</v>
      </c>
      <c r="O242" s="2" t="s">
        <v>1060</v>
      </c>
      <c r="P242" s="2" t="s">
        <v>1061</v>
      </c>
      <c r="Q242" s="2" t="s">
        <v>1062</v>
      </c>
      <c r="R242" s="2" t="s">
        <v>1063</v>
      </c>
      <c r="S242" s="2" t="s">
        <v>1064</v>
      </c>
      <c r="T242" s="2" t="s">
        <v>1065</v>
      </c>
      <c r="U242" s="2" t="s">
        <v>380</v>
      </c>
      <c r="V242" s="2" t="s">
        <v>1128</v>
      </c>
    </row>
    <row r="243" spans="1:22" x14ac:dyDescent="0.2">
      <c r="A243" t="str">
        <f>B205</f>
        <v>heat, residential, by conversion of methanol using fuel cell, DMFC, allocated by exergy, transported by truck, produced by Electrolysis, PEM using water and electricity from grid and carbon sourced from MSWI</v>
      </c>
      <c r="B243" s="45">
        <v>1</v>
      </c>
      <c r="C243" t="str">
        <f>B211</f>
        <v>megajoule</v>
      </c>
      <c r="E243" t="str">
        <f>B208</f>
        <v>CH</v>
      </c>
      <c r="F243" t="s">
        <v>62</v>
      </c>
      <c r="G243" t="str">
        <f>B210</f>
        <v>heat, from residential heating system</v>
      </c>
      <c r="K243" t="str">
        <f>B205</f>
        <v>heat, residential, by conversion of methanol using fuel cell, DMFC, allocated by exergy, transported by truck, produced by Electrolysis, PEM using water and electricity from grid and carbon sourced from MSWI</v>
      </c>
    </row>
    <row r="244" spans="1:22" hidden="1" x14ac:dyDescent="0.2">
      <c r="A244" t="str">
        <f>VLOOKUP(J244,'dataset mapping'!$A$4:$E$69,2,0)</f>
        <v>fuel cell system assembly, 1 kWe, proton exchange membrane (PEM)</v>
      </c>
      <c r="B244" s="52">
        <f>(1/(B234*B238*B237*3.6))*B239</f>
        <v>1.8002629860837378E-6</v>
      </c>
      <c r="C244" t="str">
        <f>VLOOKUP(J244,'dataset mapping'!$A$4:$E$69,5,0)</f>
        <v>unit</v>
      </c>
      <c r="E244" t="str">
        <f>VLOOKUP(J244,'dataset mapping'!$A$4:$E$69,4,0)</f>
        <v>GLO</v>
      </c>
      <c r="F244" t="s">
        <v>86</v>
      </c>
      <c r="G244" t="str">
        <f>VLOOKUP(J244,'dataset mapping'!$A$4:$E$69,3,0)</f>
        <v>fuel cell system, 1 kWe, proton exchange membrane (PEM)</v>
      </c>
      <c r="H244" t="s">
        <v>88</v>
      </c>
      <c r="I244" t="s">
        <v>272</v>
      </c>
      <c r="J244" t="s">
        <v>273</v>
      </c>
      <c r="K244" t="str">
        <f>B205</f>
        <v>heat, residential, by conversion of methanol using fuel cell, DMFC, allocated by exergy, transported by truck, produced by Electrolysis, PEM using water and electricity from grid and carbon sourced from MSWI</v>
      </c>
      <c r="L244">
        <f t="shared" ref="L244:L250" si="16">IF(OR(B244&lt;0,B244=0),1,2)</f>
        <v>2</v>
      </c>
      <c r="M244">
        <f t="shared" ref="M244:M250" si="17">IF(L244=2,LN(B244),"")</f>
        <v>-13.227577800354361</v>
      </c>
      <c r="N244">
        <v>1.05</v>
      </c>
      <c r="O244" s="15">
        <v>1.2</v>
      </c>
      <c r="P244">
        <v>1</v>
      </c>
      <c r="Q244">
        <v>1.01</v>
      </c>
      <c r="R244">
        <v>1.2</v>
      </c>
      <c r="S244">
        <v>1.2</v>
      </c>
      <c r="T244">
        <v>3</v>
      </c>
      <c r="U244">
        <f t="shared" ref="U244:U250" si="18">LN(SQRT(EXP(
SQRT(
+POWER(LN(N244),2)
+POWER(LN(O244),2)
+POWER(LN(P244),2)
+POWER(LN(Q244),2)
+POWER(LN(R244),2)
+POWER(LN(S244),2)
+POWER(LN(T244),2)
)
)))</f>
        <v>0.57209088006881903</v>
      </c>
    </row>
    <row r="245" spans="1:22" hidden="1" x14ac:dyDescent="0.2">
      <c r="A245" t="s">
        <v>1180</v>
      </c>
      <c r="B245" s="53">
        <f>(B243/B228)/B227*B239</f>
        <v>1.7586488668074302E-2</v>
      </c>
      <c r="C245" t="str">
        <f>VLOOKUP(J245,'dataset mapping'!$A$4:$E$69,5,0)</f>
        <v>kilogram</v>
      </c>
      <c r="E245" t="str">
        <f>VLOOKUP(J245,'dataset mapping'!$A$4:$E$69,4,0)</f>
        <v>CH</v>
      </c>
      <c r="F245" t="s">
        <v>86</v>
      </c>
      <c r="G245" t="s">
        <v>1182</v>
      </c>
      <c r="H245" t="s">
        <v>76</v>
      </c>
      <c r="I245" t="s">
        <v>1056</v>
      </c>
      <c r="J245" t="s">
        <v>491</v>
      </c>
      <c r="K245" t="str">
        <f>B205</f>
        <v>heat, residential, by conversion of methanol using fuel cell, DMFC, allocated by exergy, transported by truck, produced by Electrolysis, PEM using water and electricity from grid and carbon sourced from MSWI</v>
      </c>
      <c r="L245">
        <f t="shared" si="16"/>
        <v>2</v>
      </c>
      <c r="M245">
        <f t="shared" si="17"/>
        <v>-4.0406243610763308</v>
      </c>
      <c r="N245">
        <v>1.05</v>
      </c>
      <c r="O245" s="15">
        <v>1.2</v>
      </c>
      <c r="P245">
        <v>1</v>
      </c>
      <c r="Q245">
        <v>1.01</v>
      </c>
      <c r="R245">
        <v>1.2</v>
      </c>
      <c r="S245">
        <v>1.2</v>
      </c>
      <c r="T245">
        <v>1.05</v>
      </c>
      <c r="U245">
        <f t="shared" si="18"/>
        <v>0.16169679924070957</v>
      </c>
    </row>
    <row r="246" spans="1:22" hidden="1" x14ac:dyDescent="0.2">
      <c r="A246" t="s">
        <v>498</v>
      </c>
      <c r="B246" s="52">
        <v>4.4092000000000001E-7</v>
      </c>
      <c r="C246" t="s">
        <v>55</v>
      </c>
      <c r="E246" t="s">
        <v>85</v>
      </c>
      <c r="F246" t="s">
        <v>86</v>
      </c>
      <c r="G246" t="s">
        <v>499</v>
      </c>
      <c r="H246" t="s">
        <v>88</v>
      </c>
      <c r="K246" t="str">
        <f>B205</f>
        <v>heat, residential, by conversion of methanol using fuel cell, DMFC, allocated by exergy, transported by truck, produced by Electrolysis, PEM using water and electricity from grid and carbon sourced from MSWI</v>
      </c>
      <c r="L246">
        <f t="shared" si="16"/>
        <v>2</v>
      </c>
      <c r="M246">
        <f t="shared" si="17"/>
        <v>-14.634402383851297</v>
      </c>
      <c r="N246">
        <v>1.05</v>
      </c>
      <c r="O246" s="15">
        <v>1.2</v>
      </c>
      <c r="P246">
        <v>1</v>
      </c>
      <c r="Q246">
        <v>1.01</v>
      </c>
      <c r="R246">
        <v>1.2</v>
      </c>
      <c r="S246">
        <v>1.2</v>
      </c>
      <c r="T246">
        <v>3</v>
      </c>
      <c r="U246">
        <f t="shared" si="18"/>
        <v>0.57209088006881903</v>
      </c>
    </row>
    <row r="247" spans="1:22" hidden="1" x14ac:dyDescent="0.2">
      <c r="A247" t="s">
        <v>130</v>
      </c>
      <c r="B247" s="52">
        <f>2.67*SUM(B245:B245)</f>
        <v>4.6955924743758384E-2</v>
      </c>
      <c r="C247" t="s">
        <v>92</v>
      </c>
      <c r="E247" t="s">
        <v>64</v>
      </c>
      <c r="F247" t="s">
        <v>86</v>
      </c>
      <c r="G247" t="s">
        <v>93</v>
      </c>
      <c r="H247" t="s">
        <v>78</v>
      </c>
      <c r="I247" t="s">
        <v>271</v>
      </c>
      <c r="J247" t="s">
        <v>67</v>
      </c>
      <c r="K247" t="str">
        <f>B205</f>
        <v>heat, residential, by conversion of methanol using fuel cell, DMFC, allocated by exergy, transported by truck, produced by Electrolysis, PEM using water and electricity from grid and carbon sourced from MSWI</v>
      </c>
      <c r="L247">
        <f t="shared" si="16"/>
        <v>2</v>
      </c>
      <c r="M247">
        <f t="shared" si="17"/>
        <v>-3.058545888664173</v>
      </c>
      <c r="N247">
        <v>1.05</v>
      </c>
      <c r="O247" s="15">
        <v>1.2</v>
      </c>
      <c r="P247">
        <v>1</v>
      </c>
      <c r="Q247">
        <v>1.01</v>
      </c>
      <c r="R247">
        <v>1.2</v>
      </c>
      <c r="S247">
        <v>1.2</v>
      </c>
      <c r="T247">
        <v>1.05</v>
      </c>
      <c r="U247">
        <f t="shared" si="18"/>
        <v>0.16169679924070957</v>
      </c>
    </row>
    <row r="248" spans="1:22" hidden="1" x14ac:dyDescent="0.2">
      <c r="A248" t="s">
        <v>134</v>
      </c>
      <c r="B248" s="45">
        <f>B245*1.125</f>
        <v>1.9784799751583589E-2</v>
      </c>
      <c r="C248" t="s">
        <v>56</v>
      </c>
      <c r="D248" t="s">
        <v>100</v>
      </c>
      <c r="F248" t="s">
        <v>99</v>
      </c>
      <c r="H248" t="s">
        <v>131</v>
      </c>
      <c r="I248" t="s">
        <v>511</v>
      </c>
      <c r="K248" t="str">
        <f>B205</f>
        <v>heat, residential, by conversion of methanol using fuel cell, DMFC, allocated by exergy, transported by truck, produced by Electrolysis, PEM using water and electricity from grid and carbon sourced from MSWI</v>
      </c>
      <c r="L248">
        <f t="shared" si="16"/>
        <v>2</v>
      </c>
      <c r="M248">
        <f t="shared" si="17"/>
        <v>-3.9228413254199475</v>
      </c>
      <c r="N248">
        <v>1.05</v>
      </c>
      <c r="O248" s="15">
        <v>1.2</v>
      </c>
      <c r="P248">
        <v>1</v>
      </c>
      <c r="Q248">
        <v>1.01</v>
      </c>
      <c r="R248">
        <v>1.2</v>
      </c>
      <c r="S248">
        <v>1.2</v>
      </c>
      <c r="T248">
        <v>1.5</v>
      </c>
      <c r="U248">
        <f t="shared" si="18"/>
        <v>0.25816898211842121</v>
      </c>
    </row>
    <row r="249" spans="1:22" hidden="1" x14ac:dyDescent="0.2">
      <c r="A249" t="s">
        <v>316</v>
      </c>
      <c r="B249" s="45">
        <f>1.372*(1-B235)*B245</f>
        <v>9.3224377657764781E-3</v>
      </c>
      <c r="C249" t="s">
        <v>56</v>
      </c>
      <c r="D249" t="s">
        <v>100</v>
      </c>
      <c r="F249" t="s">
        <v>99</v>
      </c>
      <c r="H249" t="s">
        <v>131</v>
      </c>
      <c r="I249" t="s">
        <v>512</v>
      </c>
      <c r="L249">
        <f t="shared" si="16"/>
        <v>2</v>
      </c>
      <c r="M249">
        <f t="shared" si="17"/>
        <v>-4.6753311216346827</v>
      </c>
      <c r="N249">
        <v>1.5</v>
      </c>
      <c r="O249">
        <v>1.2</v>
      </c>
      <c r="P249">
        <v>1.5</v>
      </c>
      <c r="Q249">
        <v>1.1000000000000001</v>
      </c>
      <c r="R249">
        <v>2</v>
      </c>
      <c r="S249">
        <v>1.2</v>
      </c>
      <c r="T249">
        <v>1.05</v>
      </c>
      <c r="U249">
        <f t="shared" si="18"/>
        <v>0.47095746419981693</v>
      </c>
    </row>
    <row r="250" spans="1:22" hidden="1" x14ac:dyDescent="0.2">
      <c r="A250" t="s">
        <v>371</v>
      </c>
      <c r="B250" s="45">
        <f>1.372*B235*B245</f>
        <v>1.4806224686821464E-2</v>
      </c>
      <c r="C250" t="s">
        <v>56</v>
      </c>
      <c r="D250" t="s">
        <v>100</v>
      </c>
      <c r="F250" t="s">
        <v>99</v>
      </c>
      <c r="H250" t="s">
        <v>131</v>
      </c>
      <c r="I250" t="s">
        <v>512</v>
      </c>
      <c r="L250">
        <f t="shared" si="16"/>
        <v>2</v>
      </c>
      <c r="M250">
        <f t="shared" si="17"/>
        <v>-4.2127075996865697</v>
      </c>
      <c r="N250">
        <v>1.5</v>
      </c>
      <c r="O250">
        <v>1.2</v>
      </c>
      <c r="P250">
        <v>1.5</v>
      </c>
      <c r="Q250">
        <v>1.1000000000000001</v>
      </c>
      <c r="R250">
        <v>2</v>
      </c>
      <c r="S250">
        <v>1.2</v>
      </c>
      <c r="T250">
        <v>1.05</v>
      </c>
      <c r="U250">
        <f t="shared" si="18"/>
        <v>0.47095746419981693</v>
      </c>
    </row>
    <row r="251" spans="1:22" hidden="1" x14ac:dyDescent="0.2"/>
    <row r="252" spans="1:22" hidden="1" x14ac:dyDescent="0.2">
      <c r="A252" s="2" t="s">
        <v>50</v>
      </c>
      <c r="B252" s="44" t="str">
        <f>IF(B258="megajoule","heat","electricity")&amp;", residential, by "&amp;B263&amp;" of "&amp;B262&amp;" using "&amp;B264&amp;IF(B265&lt;&gt;0,", allocated by "&amp;B265,"")&amp;", transported by "&amp;B266&amp;", produced by "&amp;B270&amp;" using "&amp;B271&amp;" from "&amp;B272&amp;" and carbon sourced from "&amp;B273</f>
        <v>heat, residential, by conversion of methanol using fuel cell, DMFC, allocated by exergy, transported by truck, produced by Electrolysis, PEM using water and electricity from grid and carbon sourced from Cement plant</v>
      </c>
    </row>
    <row r="253" spans="1:22" hidden="1" x14ac:dyDescent="0.2">
      <c r="A253" t="s">
        <v>51</v>
      </c>
      <c r="B253" s="45" t="str">
        <f>"This dataset represents the supply of 1 "&amp;IF(B258="megajoule","megajoule of heat","kilowatt hour of electricity")&amp;" in a residence, by "&amp;B262&amp;" "&amp;B263&amp;" in a "&amp;B264&amp;". "&amp;" The "&amp;B262&amp;" is transported by "&amp;B266&amp;" over "&amp;B267&amp;" km from regional storage. "&amp;" The "&amp;B262&amp;" is produced from hydrogen supplied by  "&amp;B270&amp;", with "&amp;B271&amp;" from "&amp;B272&amp;" as feedstock. The carbon is sourced from "&amp;B273&amp;". "&amp;A274&amp;": "&amp;(B274*100)&amp;"%. "&amp;A275&amp;": "&amp;B275&amp;". "&amp;A276&amp;": "&amp;B276&amp;". "&amp;A277&amp;": "&amp;(B277*100)&amp;"%. "&amp;A278&amp;": "&amp;(B278*100)&amp;"%. "&amp;A279&amp;": "&amp;(B279*100)&amp;"%. "&amp;A280&amp;": "&amp;B280&amp;". "&amp;A281&amp;": "&amp;B281&amp;". "&amp;A282&amp;": "&amp;(B282*100)&amp;"%. "&amp;A283&amp;": "&amp;B283&amp;". "&amp;A284&amp;": "&amp;B284&amp;". "&amp;A285&amp;": "&amp;B285&amp;". "&amp;A286&amp;": "&amp;B286&amp;".  For more information, refer to: "&amp;B254</f>
        <v>This dataset represents the supply of 1 megajoule of heat in a residence, by methanol conversion in a fuel cell, DMFC.  The methanol is transported by truck over 200 km from regional storage.  The methanol is produced from hydrogen supplied by  Electrolysis, PEM, with water and electricity from grid as feedstock. The carbon is sourced from Cement plant. Heat conversion efficiency [% LHV input]: 50%. LHV [MJ/kg]: 19.9. Market price [€/MJ]: 0.0266666666666667. Distribution loss [% output]: 0%. Storage loss [% output]: 0%. Synthesis efficiency [% LHV input]: 0%. Hydrogen production efficiency [% LHV input]: 0. Total cap. Input-related [kW]: 2.25. CO2 biogenic share [%]: 5.87515299877601%. Power [kW]: 0.8. Lifetime [years]: 2.92682926829268. Annual operation [hours]: 4100. Allocation factor: 0.174985562247339.  For more information, refer to: Sacchi, R. and Bauer, C. Life Cycle Assessment of Power-to-X processes and associated electricity and heat applications in the residential sector. Paul Scherrer Institut, 2023.</v>
      </c>
    </row>
    <row r="254" spans="1:22" hidden="1" x14ac:dyDescent="0.2">
      <c r="A254" t="s">
        <v>63</v>
      </c>
      <c r="B254" s="45" t="s">
        <v>1223</v>
      </c>
    </row>
    <row r="255" spans="1:22" hidden="1" x14ac:dyDescent="0.2">
      <c r="A255" t="s">
        <v>52</v>
      </c>
      <c r="B255" s="45" t="s">
        <v>64</v>
      </c>
    </row>
    <row r="256" spans="1:22" hidden="1" x14ac:dyDescent="0.2">
      <c r="A256" t="s">
        <v>48</v>
      </c>
      <c r="B256" s="45">
        <v>191</v>
      </c>
    </row>
    <row r="257" spans="1:2" hidden="1" x14ac:dyDescent="0.2">
      <c r="A257" t="s">
        <v>54</v>
      </c>
      <c r="B257" s="45" t="str">
        <f>INDEX(overview!$B$4:$R$338,MATCH(B256,overview!$A$4:$A$338,0),MATCH(A257,overview!$B$3:$R$3,0))</f>
        <v>heat, from residential heating system</v>
      </c>
    </row>
    <row r="258" spans="1:2" hidden="1" x14ac:dyDescent="0.2">
      <c r="A258" t="s">
        <v>55</v>
      </c>
      <c r="B258" s="45" t="str">
        <f>INDEX(overview!$B$4:$R$338,MATCH(B256,overview!$A$4:$A$338,0),MATCH(A258,overview!$B$3:$R$3,0))</f>
        <v>megajoule</v>
      </c>
    </row>
    <row r="259" spans="1:2" hidden="1" x14ac:dyDescent="0.2">
      <c r="A259" t="s">
        <v>0</v>
      </c>
      <c r="B259" s="45" t="str">
        <f>INDEX(overview!$B$4:$R$338,MATCH(B256,overview!$A$4:$A$338,0),MATCH(A259,overview!$B$3:$R$3,0))</f>
        <v>Switzerland</v>
      </c>
    </row>
    <row r="260" spans="1:2" hidden="1" x14ac:dyDescent="0.2">
      <c r="A260" t="s">
        <v>1</v>
      </c>
      <c r="B260" s="45">
        <f>INDEX(overview!$B$4:$R$338,MATCH(B256,overview!$A$4:$A$338,0),MATCH(A260,overview!$B$3:$R$3,0))</f>
        <v>2020</v>
      </c>
    </row>
    <row r="261" spans="1:2" hidden="1" x14ac:dyDescent="0.2">
      <c r="A261" t="s">
        <v>2</v>
      </c>
      <c r="B261" s="45" t="str">
        <f>INDEX(overview!$B$4:$R$338,MATCH(B256,overview!$A$4:$A$338,0),MATCH(A261,overview!$B$3:$R$3,0))</f>
        <v>1 MJ heat</v>
      </c>
    </row>
    <row r="262" spans="1:2" hidden="1" x14ac:dyDescent="0.2">
      <c r="A262" t="s">
        <v>5</v>
      </c>
      <c r="B262" s="45" t="str">
        <f>INDEX(overview!$B$4:$R$338,MATCH(B256,overview!$A$4:$A$338,0),MATCH(A262,overview!$B$3:$R$3,0))</f>
        <v>methanol</v>
      </c>
    </row>
    <row r="263" spans="1:2" hidden="1" x14ac:dyDescent="0.2">
      <c r="A263" t="s">
        <v>3</v>
      </c>
      <c r="B263" s="45" t="str">
        <f>INDEX(overview!$B$4:$R$338,MATCH(B256,overview!$A$4:$A$338,0),MATCH(A263,overview!$B$3:$R$3,0))</f>
        <v>conversion</v>
      </c>
    </row>
    <row r="264" spans="1:2" hidden="1" x14ac:dyDescent="0.2">
      <c r="A264" t="s">
        <v>6</v>
      </c>
      <c r="B264" s="45" t="str">
        <f>INDEX(overview!$B$4:$R$338,MATCH(B256,overview!$A$4:$A$338,0),MATCH(A264,overview!$B$3:$R$3,0))</f>
        <v>fuel cell, DMFC</v>
      </c>
    </row>
    <row r="265" spans="1:2" hidden="1" x14ac:dyDescent="0.2">
      <c r="A265" t="s">
        <v>39</v>
      </c>
      <c r="B265" s="45" t="str">
        <f>INDEX(overview!$B$4:$R$338,MATCH(B256,overview!$A$4:$A$338,0),MATCH(A265,overview!$B$3:$R$3,0))</f>
        <v>exergy</v>
      </c>
    </row>
    <row r="266" spans="1:2" hidden="1" x14ac:dyDescent="0.2">
      <c r="A266" t="s">
        <v>4</v>
      </c>
      <c r="B266" s="45" t="str">
        <f>INDEX(overview!$B$4:$R$338,MATCH(B256,overview!$A$4:$A$338,0),MATCH(A266,overview!$B$3:$R$3,0))</f>
        <v>truck</v>
      </c>
    </row>
    <row r="267" spans="1:2" hidden="1" x14ac:dyDescent="0.2">
      <c r="A267" t="s">
        <v>38</v>
      </c>
      <c r="B267" s="45">
        <f>INDEX(overview!$B$4:$R$338,MATCH(B256,overview!$A$4:$A$338,0),MATCH(A267,overview!$B$3:$R$3,0))</f>
        <v>200</v>
      </c>
    </row>
    <row r="268" spans="1:2" hidden="1" x14ac:dyDescent="0.2">
      <c r="A268" t="s">
        <v>12</v>
      </c>
      <c r="B268" s="45" t="str">
        <f>INDEX(overview!$B$4:$R$338,MATCH(B256,overview!$A$4:$A$338,0),MATCH(A268,overview!$B$3:$R$3,0))</f>
        <v>Above surface pressure vessel</v>
      </c>
    </row>
    <row r="269" spans="1:2" hidden="1" x14ac:dyDescent="0.2">
      <c r="A269" t="s">
        <v>34</v>
      </c>
      <c r="B269" s="45" t="str">
        <f>INDEX(overview!$B$4:$R$338,MATCH(B256,overview!$A$4:$A$338,0),MATCH(A269,overview!$B$3:$R$3,0))</f>
        <v>biological</v>
      </c>
    </row>
    <row r="270" spans="1:2" hidden="1" x14ac:dyDescent="0.2">
      <c r="A270" t="s">
        <v>15</v>
      </c>
      <c r="B270" s="45" t="str">
        <f>INDEX(overview!$B$4:$R$338,MATCH(B256,overview!$A$4:$A$338,0),MATCH(A270,overview!$B$3:$R$3,0))</f>
        <v>Electrolysis, PEM</v>
      </c>
    </row>
    <row r="271" spans="1:2" hidden="1" x14ac:dyDescent="0.2">
      <c r="A271" t="s">
        <v>14</v>
      </c>
      <c r="B271" s="45" t="str">
        <f>INDEX(overview!$B$4:$R$338,MATCH(B256,overview!$A$4:$A$338,0),MATCH(A271,overview!$B$3:$R$3,0))</f>
        <v>water and electricity</v>
      </c>
    </row>
    <row r="272" spans="1:2" hidden="1" x14ac:dyDescent="0.2">
      <c r="A272" t="s">
        <v>26</v>
      </c>
      <c r="B272" s="45" t="str">
        <f>INDEX(overview!$B$4:$R$338,MATCH(B256,overview!$A$4:$A$338,0),MATCH(A272,overview!$B$3:$R$3,0))</f>
        <v>grid</v>
      </c>
    </row>
    <row r="273" spans="1:2" hidden="1" x14ac:dyDescent="0.2">
      <c r="A273" t="s">
        <v>29</v>
      </c>
      <c r="B273" s="45" t="str">
        <f>INDEX(overview!$B$4:$R$338,MATCH(B256,overview!$A$4:$A$338,0),MATCH(A273,overview!$B$3:$R$3,0))</f>
        <v>Cement plant</v>
      </c>
    </row>
    <row r="274" spans="1:2" hidden="1" x14ac:dyDescent="0.2">
      <c r="A274" t="str">
        <f>IF(B258="megajoule","Heat","Electricity")&amp;" conversion efficiency [% LHV input]"</f>
        <v>Heat conversion efficiency [% LHV input]</v>
      </c>
      <c r="B274" s="46">
        <f>INDEX(parameters!$D$4:$N$20,MATCH(B262&amp;B264,parameters!$A$4:$A$20,0),MATCH(A274,parameters!$D$3:$N$3,0))</f>
        <v>0.5</v>
      </c>
    </row>
    <row r="275" spans="1:2" hidden="1" x14ac:dyDescent="0.2">
      <c r="A275" t="str">
        <f>IF(B258="megajoule","LHV [MJ/kg]","LHV [kWh/kg]")</f>
        <v>LHV [MJ/kg]</v>
      </c>
      <c r="B275" s="47">
        <f>INDEX(parameters!$D$4:$N$20,MATCH(B262&amp;B264,parameters!$A$4:$A$20,0),MATCH(A275,parameters!$D$3:$N$3,0))</f>
        <v>19.899999999999999</v>
      </c>
    </row>
    <row r="276" spans="1:2" hidden="1" x14ac:dyDescent="0.2">
      <c r="A276" t="s">
        <v>41</v>
      </c>
      <c r="B276" s="48">
        <f>INDEX(parameters!$D$4:$N$20,MATCH(B262&amp;B264,parameters!$A$4:$A$20,0),MATCH(A276,parameters!$D$3:$N$3,0))</f>
        <v>2.6666666666666665E-2</v>
      </c>
    </row>
    <row r="277" spans="1:2" hidden="1" x14ac:dyDescent="0.2">
      <c r="A277" t="s">
        <v>45</v>
      </c>
      <c r="B277" s="46">
        <f>INDEX(parameters!$D$4:$N$20,MATCH(B262&amp;B264,parameters!$A$4:$A$20,0),MATCH(A277,parameters!$D$3:$N$3,0))</f>
        <v>0</v>
      </c>
    </row>
    <row r="278" spans="1:2" hidden="1" x14ac:dyDescent="0.2">
      <c r="A278" t="s">
        <v>46</v>
      </c>
      <c r="B278" s="46">
        <f>INDEX(parameters!$D$4:$N$20,MATCH(B262&amp;B264,parameters!$A$4:$A$20,0),MATCH(A278,parameters!$D$3:$N$3,0))</f>
        <v>0</v>
      </c>
    </row>
    <row r="279" spans="1:2" hidden="1" x14ac:dyDescent="0.2">
      <c r="A279" t="s">
        <v>43</v>
      </c>
      <c r="B279" s="46">
        <f>INDEX(parameters!$D$4:$N$20,MATCH(B262&amp;B264,parameters!$A$4:$A$20,0),MATCH(A279,parameters!$D$3:$N$3,0))</f>
        <v>0</v>
      </c>
    </row>
    <row r="280" spans="1:2" hidden="1" x14ac:dyDescent="0.2">
      <c r="A280" t="s">
        <v>44</v>
      </c>
      <c r="B280" s="46">
        <f>INDEX(parameters!$D$4:$N$20,MATCH(B262&amp;B264,parameters!$A$4:$A$20,0),MATCH(A280,parameters!$D$3:$N$3,0))</f>
        <v>0</v>
      </c>
    </row>
    <row r="281" spans="1:2" hidden="1" x14ac:dyDescent="0.2">
      <c r="A281" t="s">
        <v>634</v>
      </c>
      <c r="B281" s="47">
        <f>INDEX(parameters!$D$4:$Y$20,MATCH(B262&amp;B264,parameters!$A$4:$A$20,0),MATCH(A281,parameters!$D$3:$Y$3,0))</f>
        <v>2.25</v>
      </c>
    </row>
    <row r="282" spans="1:2" hidden="1" x14ac:dyDescent="0.2">
      <c r="A282" t="s">
        <v>82</v>
      </c>
      <c r="B282" s="46">
        <f>IF(B273&lt;&gt;0,VLOOKUP(B273,parameters!$A$26:$B$28,2,0),"")</f>
        <v>5.8751529987760093E-2</v>
      </c>
    </row>
    <row r="283" spans="1:2" hidden="1" x14ac:dyDescent="0.2">
      <c r="A283" t="s">
        <v>548</v>
      </c>
      <c r="B283" s="50">
        <f>INDEX(parameters!$D$4:$P$20,MATCH(B262&amp;B264,parameters!$A$4:$A$20,0),MATCH(A283,parameters!$D$3:$P$3,0))</f>
        <v>0.8</v>
      </c>
    </row>
    <row r="284" spans="1:2" hidden="1" x14ac:dyDescent="0.2">
      <c r="A284" t="s">
        <v>547</v>
      </c>
      <c r="B284" s="51">
        <f>INDEX(parameters!$D$4:$P$20,MATCH(B262&amp;B264,parameters!$A$4:$A$20,0),MATCH(A284,parameters!$D$3:$P$3,0))</f>
        <v>2.9268292682926829</v>
      </c>
    </row>
    <row r="285" spans="1:2" hidden="1" x14ac:dyDescent="0.2">
      <c r="A285" t="s">
        <v>630</v>
      </c>
      <c r="B285" s="51">
        <f>INDEX(parameters!$D$4:$T$20,MATCH(B262&amp;B264,parameters!$A$4:$A$20,0),MATCH(A285,parameters!$D$3:$T$3,0))</f>
        <v>4100</v>
      </c>
    </row>
    <row r="286" spans="1:2" hidden="1" x14ac:dyDescent="0.2">
      <c r="A286" t="s">
        <v>1005</v>
      </c>
      <c r="B286" s="50">
        <f>IF(B258="megajoule",SUMIFS(allocation!$I$4:$I$30,allocation!$B$4:$B$30,B264,allocation!$C$4:$C$30,B265),SUMIFS(allocation!$J$4:$J$30,allocation!$B$4:$B$30,B264,allocation!$C$4:$C$30,B265))</f>
        <v>0.1749855622473393</v>
      </c>
    </row>
    <row r="287" spans="1:2" hidden="1" x14ac:dyDescent="0.2"/>
    <row r="288" spans="1:2" hidden="1" x14ac:dyDescent="0.2">
      <c r="A288" s="3" t="s">
        <v>57</v>
      </c>
    </row>
    <row r="289" spans="1:22" hidden="1" x14ac:dyDescent="0.2">
      <c r="A289" s="2" t="s">
        <v>58</v>
      </c>
      <c r="B289" s="44" t="s">
        <v>59</v>
      </c>
      <c r="C289" s="2" t="s">
        <v>55</v>
      </c>
      <c r="D289" s="2" t="s">
        <v>60</v>
      </c>
      <c r="E289" s="2" t="s">
        <v>52</v>
      </c>
      <c r="F289" s="2" t="s">
        <v>61</v>
      </c>
      <c r="G289" s="2" t="s">
        <v>54</v>
      </c>
      <c r="H289" s="2" t="s">
        <v>87</v>
      </c>
      <c r="I289" s="2" t="s">
        <v>51</v>
      </c>
      <c r="J289" s="2" t="s">
        <v>138</v>
      </c>
      <c r="K289" s="2" t="s">
        <v>136</v>
      </c>
      <c r="L289" s="2" t="s">
        <v>221</v>
      </c>
      <c r="M289" s="2" t="s">
        <v>379</v>
      </c>
      <c r="N289" s="2" t="s">
        <v>1059</v>
      </c>
      <c r="O289" s="2" t="s">
        <v>1060</v>
      </c>
      <c r="P289" s="2" t="s">
        <v>1061</v>
      </c>
      <c r="Q289" s="2" t="s">
        <v>1062</v>
      </c>
      <c r="R289" s="2" t="s">
        <v>1063</v>
      </c>
      <c r="S289" s="2" t="s">
        <v>1064</v>
      </c>
      <c r="T289" s="2" t="s">
        <v>1065</v>
      </c>
      <c r="U289" s="2" t="s">
        <v>380</v>
      </c>
      <c r="V289" s="2" t="s">
        <v>1128</v>
      </c>
    </row>
    <row r="290" spans="1:22" x14ac:dyDescent="0.2">
      <c r="A290" t="str">
        <f>B252</f>
        <v>heat, residential, by conversion of methanol using fuel cell, DMFC, allocated by exergy, transported by truck, produced by Electrolysis, PEM using water and electricity from grid and carbon sourced from Cement plant</v>
      </c>
      <c r="B290" s="45">
        <v>1</v>
      </c>
      <c r="C290" t="str">
        <f>B258</f>
        <v>megajoule</v>
      </c>
      <c r="E290" t="str">
        <f>B255</f>
        <v>CH</v>
      </c>
      <c r="F290" t="s">
        <v>62</v>
      </c>
      <c r="G290" t="str">
        <f>B257</f>
        <v>heat, from residential heating system</v>
      </c>
      <c r="K290" t="str">
        <f>B252</f>
        <v>heat, residential, by conversion of methanol using fuel cell, DMFC, allocated by exergy, transported by truck, produced by Electrolysis, PEM using water and electricity from grid and carbon sourced from Cement plant</v>
      </c>
    </row>
    <row r="291" spans="1:22" hidden="1" x14ac:dyDescent="0.2">
      <c r="A291" t="str">
        <f>VLOOKUP(J291,'dataset mapping'!$A$4:$E$69,2,0)</f>
        <v>fuel cell system assembly, 1 kWe, proton exchange membrane (PEM)</v>
      </c>
      <c r="B291" s="52">
        <f>(1/(B281*B285*B284*3.6))*B286</f>
        <v>1.8002629860837378E-6</v>
      </c>
      <c r="C291" t="str">
        <f>VLOOKUP(J291,'dataset mapping'!$A$4:$E$69,5,0)</f>
        <v>unit</v>
      </c>
      <c r="E291" t="str">
        <f>VLOOKUP(J291,'dataset mapping'!$A$4:$E$69,4,0)</f>
        <v>GLO</v>
      </c>
      <c r="F291" t="s">
        <v>86</v>
      </c>
      <c r="G291" t="str">
        <f>VLOOKUP(J291,'dataset mapping'!$A$4:$E$69,3,0)</f>
        <v>fuel cell system, 1 kWe, proton exchange membrane (PEM)</v>
      </c>
      <c r="H291" t="s">
        <v>88</v>
      </c>
      <c r="I291" t="s">
        <v>272</v>
      </c>
      <c r="J291" t="s">
        <v>273</v>
      </c>
      <c r="K291" t="str">
        <f>B252</f>
        <v>heat, residential, by conversion of methanol using fuel cell, DMFC, allocated by exergy, transported by truck, produced by Electrolysis, PEM using water and electricity from grid and carbon sourced from Cement plant</v>
      </c>
      <c r="L291">
        <f t="shared" ref="L291:L297" si="19">IF(OR(B291&lt;0,B291=0),1,2)</f>
        <v>2</v>
      </c>
      <c r="M291">
        <f t="shared" ref="M291:M297" si="20">IF(L291=2,LN(B291),"")</f>
        <v>-13.227577800354361</v>
      </c>
      <c r="N291">
        <v>1.05</v>
      </c>
      <c r="O291" s="15">
        <v>1.2</v>
      </c>
      <c r="P291">
        <v>1</v>
      </c>
      <c r="Q291">
        <v>1.01</v>
      </c>
      <c r="R291">
        <v>1.2</v>
      </c>
      <c r="S291">
        <v>1.2</v>
      </c>
      <c r="T291">
        <v>3</v>
      </c>
      <c r="U291">
        <f t="shared" ref="U291:U297" si="21">LN(SQRT(EXP(
SQRT(
+POWER(LN(N291),2)
+POWER(LN(O291),2)
+POWER(LN(P291),2)
+POWER(LN(Q291),2)
+POWER(LN(R291),2)
+POWER(LN(S291),2)
+POWER(LN(T291),2)
)
)))</f>
        <v>0.57209088006881903</v>
      </c>
    </row>
    <row r="292" spans="1:22" hidden="1" x14ac:dyDescent="0.2">
      <c r="A292" t="s">
        <v>1181</v>
      </c>
      <c r="B292" s="53">
        <f>(B290/B275)/B274*B286</f>
        <v>1.7586488668074302E-2</v>
      </c>
      <c r="C292" t="str">
        <f>VLOOKUP(J292,'dataset mapping'!$A$4:$E$69,5,0)</f>
        <v>kilogram</v>
      </c>
      <c r="E292" t="str">
        <f>VLOOKUP(J292,'dataset mapping'!$A$4:$E$69,4,0)</f>
        <v>CH</v>
      </c>
      <c r="F292" t="s">
        <v>86</v>
      </c>
      <c r="G292" t="s">
        <v>1182</v>
      </c>
      <c r="H292" t="s">
        <v>76</v>
      </c>
      <c r="I292" t="s">
        <v>1056</v>
      </c>
      <c r="J292" t="s">
        <v>492</v>
      </c>
      <c r="K292" t="str">
        <f>B252</f>
        <v>heat, residential, by conversion of methanol using fuel cell, DMFC, allocated by exergy, transported by truck, produced by Electrolysis, PEM using water and electricity from grid and carbon sourced from Cement plant</v>
      </c>
      <c r="L292">
        <f t="shared" si="19"/>
        <v>2</v>
      </c>
      <c r="M292">
        <f t="shared" si="20"/>
        <v>-4.0406243610763308</v>
      </c>
      <c r="N292">
        <v>1.05</v>
      </c>
      <c r="O292" s="15">
        <v>1.2</v>
      </c>
      <c r="P292">
        <v>1</v>
      </c>
      <c r="Q292">
        <v>1.01</v>
      </c>
      <c r="R292">
        <v>1.2</v>
      </c>
      <c r="S292">
        <v>1.2</v>
      </c>
      <c r="T292">
        <v>1.05</v>
      </c>
      <c r="U292">
        <f t="shared" si="21"/>
        <v>0.16169679924070957</v>
      </c>
    </row>
    <row r="293" spans="1:22" hidden="1" x14ac:dyDescent="0.2">
      <c r="A293" t="s">
        <v>498</v>
      </c>
      <c r="B293" s="52">
        <v>4.4092000000000001E-7</v>
      </c>
      <c r="C293" t="s">
        <v>55</v>
      </c>
      <c r="E293" t="s">
        <v>85</v>
      </c>
      <c r="F293" t="s">
        <v>86</v>
      </c>
      <c r="G293" t="s">
        <v>499</v>
      </c>
      <c r="H293" t="s">
        <v>88</v>
      </c>
      <c r="K293" t="str">
        <f>B252</f>
        <v>heat, residential, by conversion of methanol using fuel cell, DMFC, allocated by exergy, transported by truck, produced by Electrolysis, PEM using water and electricity from grid and carbon sourced from Cement plant</v>
      </c>
      <c r="L293">
        <f t="shared" si="19"/>
        <v>2</v>
      </c>
      <c r="M293">
        <f t="shared" si="20"/>
        <v>-14.634402383851297</v>
      </c>
      <c r="N293">
        <v>1.05</v>
      </c>
      <c r="O293" s="15">
        <v>1.2</v>
      </c>
      <c r="P293">
        <v>1</v>
      </c>
      <c r="Q293">
        <v>1.01</v>
      </c>
      <c r="R293">
        <v>1.2</v>
      </c>
      <c r="S293">
        <v>1.2</v>
      </c>
      <c r="T293">
        <v>3</v>
      </c>
      <c r="U293">
        <f t="shared" si="21"/>
        <v>0.57209088006881903</v>
      </c>
    </row>
    <row r="294" spans="1:22" hidden="1" x14ac:dyDescent="0.2">
      <c r="A294" t="s">
        <v>130</v>
      </c>
      <c r="B294" s="52">
        <f>2.67*SUM(B292:B292)</f>
        <v>4.6955924743758384E-2</v>
      </c>
      <c r="C294" t="s">
        <v>92</v>
      </c>
      <c r="E294" t="s">
        <v>64</v>
      </c>
      <c r="F294" t="s">
        <v>86</v>
      </c>
      <c r="G294" t="s">
        <v>93</v>
      </c>
      <c r="H294" t="s">
        <v>78</v>
      </c>
      <c r="I294" t="s">
        <v>271</v>
      </c>
      <c r="J294" t="s">
        <v>67</v>
      </c>
      <c r="K294" t="str">
        <f>B252</f>
        <v>heat, residential, by conversion of methanol using fuel cell, DMFC, allocated by exergy, transported by truck, produced by Electrolysis, PEM using water and electricity from grid and carbon sourced from Cement plant</v>
      </c>
      <c r="L294">
        <f t="shared" si="19"/>
        <v>2</v>
      </c>
      <c r="M294">
        <f t="shared" si="20"/>
        <v>-3.058545888664173</v>
      </c>
      <c r="N294">
        <v>1.05</v>
      </c>
      <c r="O294" s="15">
        <v>1.2</v>
      </c>
      <c r="P294">
        <v>1</v>
      </c>
      <c r="Q294">
        <v>1.01</v>
      </c>
      <c r="R294">
        <v>1.2</v>
      </c>
      <c r="S294">
        <v>1.2</v>
      </c>
      <c r="T294">
        <v>1.05</v>
      </c>
      <c r="U294">
        <f t="shared" si="21"/>
        <v>0.16169679924070957</v>
      </c>
    </row>
    <row r="295" spans="1:22" hidden="1" x14ac:dyDescent="0.2">
      <c r="A295" t="s">
        <v>134</v>
      </c>
      <c r="B295" s="45">
        <f>B292*1.125</f>
        <v>1.9784799751583589E-2</v>
      </c>
      <c r="C295" t="s">
        <v>56</v>
      </c>
      <c r="D295" t="s">
        <v>100</v>
      </c>
      <c r="F295" t="s">
        <v>99</v>
      </c>
      <c r="H295" t="s">
        <v>131</v>
      </c>
      <c r="I295" t="s">
        <v>511</v>
      </c>
      <c r="K295" t="str">
        <f>B252</f>
        <v>heat, residential, by conversion of methanol using fuel cell, DMFC, allocated by exergy, transported by truck, produced by Electrolysis, PEM using water and electricity from grid and carbon sourced from Cement plant</v>
      </c>
      <c r="L295">
        <f t="shared" si="19"/>
        <v>2</v>
      </c>
      <c r="M295">
        <f t="shared" si="20"/>
        <v>-3.9228413254199475</v>
      </c>
      <c r="N295">
        <v>1.05</v>
      </c>
      <c r="O295" s="15">
        <v>1.2</v>
      </c>
      <c r="P295">
        <v>1</v>
      </c>
      <c r="Q295">
        <v>1.01</v>
      </c>
      <c r="R295">
        <v>1.2</v>
      </c>
      <c r="S295">
        <v>1.2</v>
      </c>
      <c r="T295">
        <v>1.5</v>
      </c>
      <c r="U295">
        <f t="shared" si="21"/>
        <v>0.25816898211842121</v>
      </c>
    </row>
    <row r="296" spans="1:22" hidden="1" x14ac:dyDescent="0.2">
      <c r="A296" t="s">
        <v>316</v>
      </c>
      <c r="B296" s="55">
        <f>1.372*(1-B282)*B292</f>
        <v>2.2711066616949594E-2</v>
      </c>
      <c r="C296" t="s">
        <v>56</v>
      </c>
      <c r="D296" t="s">
        <v>100</v>
      </c>
      <c r="F296" t="s">
        <v>99</v>
      </c>
      <c r="H296" t="s">
        <v>131</v>
      </c>
      <c r="I296" t="s">
        <v>512</v>
      </c>
      <c r="L296">
        <f t="shared" si="19"/>
        <v>2</v>
      </c>
      <c r="M296">
        <f t="shared" si="20"/>
        <v>-3.7849029571269965</v>
      </c>
      <c r="N296">
        <v>1.5</v>
      </c>
      <c r="O296">
        <v>1.2</v>
      </c>
      <c r="P296">
        <v>1.5</v>
      </c>
      <c r="Q296">
        <v>1.1000000000000001</v>
      </c>
      <c r="R296">
        <v>2</v>
      </c>
      <c r="S296">
        <v>1.2</v>
      </c>
      <c r="T296">
        <v>1.05</v>
      </c>
      <c r="U296">
        <f t="shared" si="21"/>
        <v>0.47095746419981693</v>
      </c>
    </row>
    <row r="297" spans="1:22" hidden="1" x14ac:dyDescent="0.2">
      <c r="A297" t="s">
        <v>371</v>
      </c>
      <c r="B297" s="55">
        <f>1.372*B282*B292</f>
        <v>1.4175958356483489E-3</v>
      </c>
      <c r="C297" t="s">
        <v>56</v>
      </c>
      <c r="D297" t="s">
        <v>100</v>
      </c>
      <c r="F297" t="s">
        <v>99</v>
      </c>
      <c r="H297" t="s">
        <v>131</v>
      </c>
      <c r="I297" t="s">
        <v>512</v>
      </c>
      <c r="L297">
        <f t="shared" si="19"/>
        <v>2</v>
      </c>
      <c r="M297">
        <f t="shared" si="20"/>
        <v>-6.5587929157247498</v>
      </c>
      <c r="N297">
        <v>1.5</v>
      </c>
      <c r="O297">
        <v>1.2</v>
      </c>
      <c r="P297">
        <v>1.5</v>
      </c>
      <c r="Q297">
        <v>1.1000000000000001</v>
      </c>
      <c r="R297">
        <v>2</v>
      </c>
      <c r="S297">
        <v>1.2</v>
      </c>
      <c r="T297">
        <v>1.05</v>
      </c>
      <c r="U297">
        <f t="shared" si="21"/>
        <v>0.47095746419981693</v>
      </c>
    </row>
    <row r="298" spans="1:22" hidden="1" x14ac:dyDescent="0.2"/>
    <row r="299" spans="1:22" hidden="1" x14ac:dyDescent="0.2">
      <c r="A299" s="2" t="s">
        <v>50</v>
      </c>
      <c r="B299" s="44" t="str">
        <f>IF(B305="megajoule","heat","electricity")&amp;", residential, by "&amp;B310&amp;" of "&amp;B309&amp;" using "&amp;B311&amp;IF(B312&lt;&gt;0,", allocated by "&amp;B312,"")&amp;", transported by "&amp;B313&amp;", produced by "&amp;B317&amp;" using "&amp;B318&amp;" from "&amp;B319&amp;" and carbon sourced from "&amp;B320</f>
        <v>electricity, residential, by conversion of methanol using fuel cell, DMFC, allocated by exergy, transported by truck, produced by Electrolysis, PEM using water and electricity from grid and carbon sourced from DAC</v>
      </c>
    </row>
    <row r="300" spans="1:22" hidden="1" x14ac:dyDescent="0.2">
      <c r="A300" t="s">
        <v>51</v>
      </c>
      <c r="B300" s="45" t="str">
        <f>"This dataset represents the supply of 1 "&amp;IF(B305="megajoule","megajoule of heat","kilowatt hour of electricity")&amp;" in a residence, by "&amp;B309&amp;" "&amp;B310&amp;" in a "&amp;B311&amp;". "&amp;" The "&amp;B309&amp;" is transported by "&amp;B313&amp;" over "&amp;B314&amp;" km from regional storage. "&amp;" The "&amp;B309&amp;" is produced from hydrogen supplied by  "&amp;B317&amp;", with "&amp;B318&amp;" from "&amp;B319&amp;" as feedstock. The carbon is sourced from "&amp;B320&amp;". "&amp;A321&amp;": "&amp;(B321*100)&amp;"%. "&amp;A322&amp;": "&amp;B322&amp;". "&amp;A323&amp;": "&amp;B323&amp;". "&amp;A324&amp;": "&amp;(B324*100)&amp;"%. "&amp;A325&amp;": "&amp;(B325*100)&amp;"%. "&amp;A326&amp;": "&amp;(B326*100)&amp;"%. "&amp;A327&amp;": "&amp;B327&amp;". "&amp;A328&amp;": "&amp;B328&amp;". "&amp;A329&amp;": "&amp;(B329*100)&amp;"%. "&amp;A330&amp;": "&amp;B330&amp;". "&amp;A331&amp;": "&amp;B331&amp;". "&amp;A332&amp;": "&amp;B332&amp;". "&amp;A333&amp;": "&amp;B333&amp;".  For more information, refer to: "&amp;B301</f>
        <v>This dataset represents the supply of 1 kilowatt hour of electricity in a residence, by methanol conversion in a fuel cell, DMFC.  The methanol is transported by truck over 200 km from regional storage.  The methanol is produced from hydrogen supplied by  Electrolysis, PEM, with water and electricity from grid as feedstock. The carbon is sourced from DAC. Electricity conversion efficiency [% LHV input]: 30%. LHV [kWh/kg]: 5.52777777777778. Market price [€/MJ]: 0.0266666666666667. Distribution loss [% output]: 0%. Storage loss [% output]: 0%. Synthesis efficiency [% LHV input]: 0%. Hydrogen production efficiency [% LHV input]: 0. Total cap. Input-related [kW]: 2.25. CO2 biogenic share [%]: 100%. Power [kW]: 0.8. Lifetime [years]: 2.92682926829268. Annual operation [hours]: 4100. Allocation factor: 0.825014437752661.  For more information, refer to: Sacchi, R. and Bauer, C. Life Cycle Assessment of Power-to-X processes and associated electricity and heat applications in the residential sector. Paul Scherrer Institut, 2023.</v>
      </c>
    </row>
    <row r="301" spans="1:22" hidden="1" x14ac:dyDescent="0.2">
      <c r="A301" t="s">
        <v>63</v>
      </c>
      <c r="B301" s="45" t="s">
        <v>1223</v>
      </c>
    </row>
    <row r="302" spans="1:22" hidden="1" x14ac:dyDescent="0.2">
      <c r="A302" t="s">
        <v>52</v>
      </c>
      <c r="B302" s="45" t="s">
        <v>64</v>
      </c>
    </row>
    <row r="303" spans="1:22" hidden="1" x14ac:dyDescent="0.2">
      <c r="A303" t="s">
        <v>48</v>
      </c>
      <c r="B303" s="45" t="s">
        <v>1000</v>
      </c>
    </row>
    <row r="304" spans="1:22" hidden="1" x14ac:dyDescent="0.2">
      <c r="A304" t="s">
        <v>54</v>
      </c>
      <c r="B304" s="45" t="str">
        <f>INDEX(overview!$B$4:$R$338,MATCH(B303,overview!$A$4:$A$338,0),MATCH(A304,overview!$B$3:$R$3,0))</f>
        <v>electricity, from residential heating system</v>
      </c>
    </row>
    <row r="305" spans="1:2" hidden="1" x14ac:dyDescent="0.2">
      <c r="A305" t="s">
        <v>55</v>
      </c>
      <c r="B305" s="45" t="str">
        <f>INDEX(overview!$B$4:$R$338,MATCH(B303,overview!$A$4:$A$338,0),MATCH(A305,overview!$B$3:$R$3,0))</f>
        <v>kilowatt hour</v>
      </c>
    </row>
    <row r="306" spans="1:2" hidden="1" x14ac:dyDescent="0.2">
      <c r="A306" t="s">
        <v>0</v>
      </c>
      <c r="B306" s="45" t="str">
        <f>INDEX(overview!$B$4:$R$338,MATCH(B303,overview!$A$4:$A$338,0),MATCH(A306,overview!$B$3:$R$3,0))</f>
        <v>Switzerland</v>
      </c>
    </row>
    <row r="307" spans="1:2" hidden="1" x14ac:dyDescent="0.2">
      <c r="A307" t="s">
        <v>1</v>
      </c>
      <c r="B307" s="45">
        <f>INDEX(overview!$B$4:$R$338,MATCH(B303,overview!$A$4:$A$338,0),MATCH(A307,overview!$B$3:$R$3,0))</f>
        <v>2020</v>
      </c>
    </row>
    <row r="308" spans="1:2" hidden="1" x14ac:dyDescent="0.2">
      <c r="A308" t="s">
        <v>2</v>
      </c>
      <c r="B308" s="45" t="str">
        <f>INDEX(overview!$B$4:$R$338,MATCH(B303,overview!$A$4:$A$338,0),MATCH(A308,overview!$B$3:$R$3,0))</f>
        <v>1 kWh electricity</v>
      </c>
    </row>
    <row r="309" spans="1:2" hidden="1" x14ac:dyDescent="0.2">
      <c r="A309" t="s">
        <v>5</v>
      </c>
      <c r="B309" s="45" t="str">
        <f>INDEX(overview!$B$4:$R$338,MATCH(B303,overview!$A$4:$A$338,0),MATCH(A309,overview!$B$3:$R$3,0))</f>
        <v>methanol</v>
      </c>
    </row>
    <row r="310" spans="1:2" hidden="1" x14ac:dyDescent="0.2">
      <c r="A310" t="s">
        <v>3</v>
      </c>
      <c r="B310" s="45" t="str">
        <f>INDEX(overview!$B$4:$R$338,MATCH(B303,overview!$A$4:$A$338,0),MATCH(A310,overview!$B$3:$R$3,0))</f>
        <v>conversion</v>
      </c>
    </row>
    <row r="311" spans="1:2" hidden="1" x14ac:dyDescent="0.2">
      <c r="A311" t="s">
        <v>6</v>
      </c>
      <c r="B311" s="45" t="str">
        <f>INDEX(overview!$B$4:$R$338,MATCH(B303,overview!$A$4:$A$338,0),MATCH(A311,overview!$B$3:$R$3,0))</f>
        <v>fuel cell, DMFC</v>
      </c>
    </row>
    <row r="312" spans="1:2" hidden="1" x14ac:dyDescent="0.2">
      <c r="A312" t="s">
        <v>39</v>
      </c>
      <c r="B312" s="45" t="str">
        <f>INDEX(overview!$B$4:$R$338,MATCH(B303,overview!$A$4:$A$338,0),MATCH(A312,overview!$B$3:$R$3,0))</f>
        <v>exergy</v>
      </c>
    </row>
    <row r="313" spans="1:2" hidden="1" x14ac:dyDescent="0.2">
      <c r="A313" t="s">
        <v>4</v>
      </c>
      <c r="B313" s="45" t="str">
        <f>INDEX(overview!$B$4:$R$338,MATCH(B303,overview!$A$4:$A$338,0),MATCH(A313,overview!$B$3:$R$3,0))</f>
        <v>truck</v>
      </c>
    </row>
    <row r="314" spans="1:2" hidden="1" x14ac:dyDescent="0.2">
      <c r="A314" t="s">
        <v>38</v>
      </c>
      <c r="B314" s="45">
        <f>INDEX(overview!$B$4:$R$338,MATCH(B303,overview!$A$4:$A$338,0),MATCH(A314,overview!$B$3:$R$3,0))</f>
        <v>200</v>
      </c>
    </row>
    <row r="315" spans="1:2" hidden="1" x14ac:dyDescent="0.2">
      <c r="A315" t="s">
        <v>12</v>
      </c>
      <c r="B315" s="45" t="str">
        <f>INDEX(overview!$B$4:$R$338,MATCH(B303,overview!$A$4:$A$338,0),MATCH(A315,overview!$B$3:$R$3,0))</f>
        <v>Above surface pressure vessel</v>
      </c>
    </row>
    <row r="316" spans="1:2" hidden="1" x14ac:dyDescent="0.2">
      <c r="A316" t="s">
        <v>34</v>
      </c>
      <c r="B316" s="45" t="str">
        <f>INDEX(overview!$B$4:$R$338,MATCH(B303,overview!$A$4:$A$338,0),MATCH(A316,overview!$B$3:$R$3,0))</f>
        <v>biological</v>
      </c>
    </row>
    <row r="317" spans="1:2" hidden="1" x14ac:dyDescent="0.2">
      <c r="A317" t="s">
        <v>15</v>
      </c>
      <c r="B317" s="45" t="str">
        <f>INDEX(overview!$B$4:$R$338,MATCH(B303,overview!$A$4:$A$338,0),MATCH(A317,overview!$B$3:$R$3,0))</f>
        <v>Electrolysis, PEM</v>
      </c>
    </row>
    <row r="318" spans="1:2" hidden="1" x14ac:dyDescent="0.2">
      <c r="A318" t="s">
        <v>14</v>
      </c>
      <c r="B318" s="45" t="str">
        <f>INDEX(overview!$B$4:$R$338,MATCH(B303,overview!$A$4:$A$338,0),MATCH(A318,overview!$B$3:$R$3,0))</f>
        <v>water and electricity</v>
      </c>
    </row>
    <row r="319" spans="1:2" hidden="1" x14ac:dyDescent="0.2">
      <c r="A319" t="s">
        <v>26</v>
      </c>
      <c r="B319" s="45" t="str">
        <f>INDEX(overview!$B$4:$R$338,MATCH(B303,overview!$A$4:$A$338,0),MATCH(A319,overview!$B$3:$R$3,0))</f>
        <v>grid</v>
      </c>
    </row>
    <row r="320" spans="1:2" hidden="1" x14ac:dyDescent="0.2">
      <c r="A320" t="s">
        <v>29</v>
      </c>
      <c r="B320" s="45" t="str">
        <f>INDEX(overview!$B$4:$R$338,MATCH(B303,overview!$A$4:$A$338,0),MATCH(A320,overview!$B$3:$R$3,0))</f>
        <v>DAC</v>
      </c>
    </row>
    <row r="321" spans="1:22" hidden="1" x14ac:dyDescent="0.2">
      <c r="A321" t="str">
        <f>IF(B305="megajoule","Heat","Electricity")&amp;" conversion efficiency [% LHV input]"</f>
        <v>Electricity conversion efficiency [% LHV input]</v>
      </c>
      <c r="B321" s="46">
        <f>INDEX(parameters!$D$4:$N$20,MATCH(B309&amp;B311,parameters!$A$4:$A$20,0),MATCH(A321,parameters!$D$3:$N$3,0))</f>
        <v>0.3</v>
      </c>
    </row>
    <row r="322" spans="1:22" hidden="1" x14ac:dyDescent="0.2">
      <c r="A322" t="str">
        <f>IF(B305="megajoule","LHV [MJ/kg]","LHV [kWh/kg]")</f>
        <v>LHV [kWh/kg]</v>
      </c>
      <c r="B322" s="47">
        <f>INDEX(parameters!$D$4:$N$20,MATCH(B309&amp;B311,parameters!$A$4:$A$20,0),MATCH(A322,parameters!$D$3:$N$3,0))</f>
        <v>5.5277777777777777</v>
      </c>
    </row>
    <row r="323" spans="1:22" hidden="1" x14ac:dyDescent="0.2">
      <c r="A323" t="s">
        <v>41</v>
      </c>
      <c r="B323" s="48">
        <f>INDEX(parameters!$D$4:$N$20,MATCH(B309&amp;B311,parameters!$A$4:$A$20,0),MATCH(A323,parameters!$D$3:$N$3,0))</f>
        <v>2.6666666666666665E-2</v>
      </c>
    </row>
    <row r="324" spans="1:22" hidden="1" x14ac:dyDescent="0.2">
      <c r="A324" t="s">
        <v>45</v>
      </c>
      <c r="B324" s="46">
        <f>INDEX(parameters!$D$4:$N$20,MATCH(B309&amp;B311,parameters!$A$4:$A$20,0),MATCH(A324,parameters!$D$3:$N$3,0))</f>
        <v>0</v>
      </c>
    </row>
    <row r="325" spans="1:22" hidden="1" x14ac:dyDescent="0.2">
      <c r="A325" t="s">
        <v>46</v>
      </c>
      <c r="B325" s="46">
        <f>INDEX(parameters!$D$4:$N$20,MATCH(B309&amp;B311,parameters!$A$4:$A$20,0),MATCH(A325,parameters!$D$3:$N$3,0))</f>
        <v>0</v>
      </c>
    </row>
    <row r="326" spans="1:22" hidden="1" x14ac:dyDescent="0.2">
      <c r="A326" t="s">
        <v>43</v>
      </c>
      <c r="B326" s="46">
        <f>INDEX(parameters!$D$4:$N$20,MATCH(B309&amp;B311,parameters!$A$4:$A$20,0),MATCH(A326,parameters!$D$3:$N$3,0))</f>
        <v>0</v>
      </c>
    </row>
    <row r="327" spans="1:22" hidden="1" x14ac:dyDescent="0.2">
      <c r="A327" t="s">
        <v>44</v>
      </c>
      <c r="B327" s="46">
        <f>INDEX(parameters!$D$4:$N$20,MATCH(B309&amp;B311,parameters!$A$4:$A$20,0),MATCH(A327,parameters!$D$3:$N$3,0))</f>
        <v>0</v>
      </c>
    </row>
    <row r="328" spans="1:22" hidden="1" x14ac:dyDescent="0.2">
      <c r="A328" t="s">
        <v>634</v>
      </c>
      <c r="B328" s="47">
        <f>INDEX(parameters!$D$4:$Y$20,MATCH(B309&amp;B311,parameters!$A$4:$A$20,0),MATCH(A328,parameters!$D$3:$Y$3,0))</f>
        <v>2.25</v>
      </c>
    </row>
    <row r="329" spans="1:22" hidden="1" x14ac:dyDescent="0.2">
      <c r="A329" t="s">
        <v>82</v>
      </c>
      <c r="B329" s="46">
        <f>IF(B320&lt;&gt;0,VLOOKUP(B320,parameters!$A$26:$B$28,2,0),"")</f>
        <v>1</v>
      </c>
    </row>
    <row r="330" spans="1:22" hidden="1" x14ac:dyDescent="0.2">
      <c r="A330" t="s">
        <v>548</v>
      </c>
      <c r="B330" s="50">
        <f>INDEX(parameters!$D$4:$P$20,MATCH(B309&amp;B311,parameters!$A$4:$A$20,0),MATCH(A330,parameters!$D$3:$P$3,0))</f>
        <v>0.8</v>
      </c>
    </row>
    <row r="331" spans="1:22" hidden="1" x14ac:dyDescent="0.2">
      <c r="A331" t="s">
        <v>547</v>
      </c>
      <c r="B331" s="51">
        <f>INDEX(parameters!$D$4:$P$20,MATCH(B309&amp;B311,parameters!$A$4:$A$20,0),MATCH(A331,parameters!$D$3:$P$3,0))</f>
        <v>2.9268292682926829</v>
      </c>
    </row>
    <row r="332" spans="1:22" hidden="1" x14ac:dyDescent="0.2">
      <c r="A332" t="s">
        <v>630</v>
      </c>
      <c r="B332" s="51">
        <f>INDEX(parameters!$D$4:$T$20,MATCH(B309&amp;B311,parameters!$A$4:$A$20,0),MATCH(A332,parameters!$D$3:$T$3,0))</f>
        <v>4100</v>
      </c>
    </row>
    <row r="333" spans="1:22" hidden="1" x14ac:dyDescent="0.2">
      <c r="A333" t="s">
        <v>1005</v>
      </c>
      <c r="B333" s="50">
        <f>IF(B305="megajoule",SUMIFS(allocation!$I$4:$I$30,allocation!$B$4:$B$30,B311,allocation!$C$4:$C$30,B312),SUMIFS(allocation!$J$4:$J$30,allocation!$B$4:$B$30,B311,allocation!$C$4:$C$30,B312))</f>
        <v>0.8250144377526607</v>
      </c>
    </row>
    <row r="334" spans="1:22" hidden="1" x14ac:dyDescent="0.2"/>
    <row r="335" spans="1:22" hidden="1" x14ac:dyDescent="0.2">
      <c r="A335" s="3" t="s">
        <v>57</v>
      </c>
    </row>
    <row r="336" spans="1:22" hidden="1" x14ac:dyDescent="0.2">
      <c r="A336" s="2" t="s">
        <v>58</v>
      </c>
      <c r="B336" s="44" t="s">
        <v>59</v>
      </c>
      <c r="C336" s="2" t="s">
        <v>55</v>
      </c>
      <c r="D336" s="2" t="s">
        <v>60</v>
      </c>
      <c r="E336" s="2" t="s">
        <v>52</v>
      </c>
      <c r="F336" s="2" t="s">
        <v>61</v>
      </c>
      <c r="G336" s="2" t="s">
        <v>54</v>
      </c>
      <c r="H336" s="2" t="s">
        <v>87</v>
      </c>
      <c r="I336" s="2" t="s">
        <v>51</v>
      </c>
      <c r="J336" s="2" t="s">
        <v>138</v>
      </c>
      <c r="K336" s="2" t="s">
        <v>136</v>
      </c>
      <c r="L336" s="2" t="s">
        <v>221</v>
      </c>
      <c r="M336" s="2" t="s">
        <v>379</v>
      </c>
      <c r="N336" s="2" t="s">
        <v>1059</v>
      </c>
      <c r="O336" s="2" t="s">
        <v>1060</v>
      </c>
      <c r="P336" s="2" t="s">
        <v>1061</v>
      </c>
      <c r="Q336" s="2" t="s">
        <v>1062</v>
      </c>
      <c r="R336" s="2" t="s">
        <v>1063</v>
      </c>
      <c r="S336" s="2" t="s">
        <v>1064</v>
      </c>
      <c r="T336" s="2" t="s">
        <v>1065</v>
      </c>
      <c r="U336" s="2" t="s">
        <v>380</v>
      </c>
      <c r="V336" s="2" t="s">
        <v>1128</v>
      </c>
    </row>
    <row r="337" spans="1:21" x14ac:dyDescent="0.2">
      <c r="A337" t="str">
        <f>B299</f>
        <v>electricity, residential, by conversion of methanol using fuel cell, DMFC, allocated by exergy, transported by truck, produced by Electrolysis, PEM using water and electricity from grid and carbon sourced from DAC</v>
      </c>
      <c r="B337" s="45">
        <v>1</v>
      </c>
      <c r="C337" t="str">
        <f>B305</f>
        <v>kilowatt hour</v>
      </c>
      <c r="E337" t="str">
        <f>B302</f>
        <v>CH</v>
      </c>
      <c r="F337" t="s">
        <v>62</v>
      </c>
      <c r="G337" t="str">
        <f>B304</f>
        <v>electricity, from residential heating system</v>
      </c>
      <c r="K337" t="str">
        <f>B299</f>
        <v>electricity, residential, by conversion of methanol using fuel cell, DMFC, allocated by exergy, transported by truck, produced by Electrolysis, PEM using water and electricity from grid and carbon sourced from DAC</v>
      </c>
    </row>
    <row r="338" spans="1:21" hidden="1" x14ac:dyDescent="0.2">
      <c r="A338" t="str">
        <f>VLOOKUP(J338,'dataset mapping'!$A$4:$E$69,2,0)</f>
        <v>fuel cell system assembly, 1 kWe, proton exchange membrane (PEM)</v>
      </c>
      <c r="B338" s="52">
        <f>(1/(B328*B332*B331))*B333</f>
        <v>3.055609028713558E-5</v>
      </c>
      <c r="C338" t="str">
        <f>VLOOKUP(J338,'dataset mapping'!$A$4:$E$69,5,0)</f>
        <v>unit</v>
      </c>
      <c r="E338" t="str">
        <f>VLOOKUP(J338,'dataset mapping'!$A$4:$E$69,4,0)</f>
        <v>GLO</v>
      </c>
      <c r="F338" t="s">
        <v>86</v>
      </c>
      <c r="G338" t="str">
        <f>VLOOKUP(J338,'dataset mapping'!$A$4:$E$69,3,0)</f>
        <v>fuel cell system, 1 kWe, proton exchange membrane (PEM)</v>
      </c>
      <c r="H338" t="s">
        <v>88</v>
      </c>
      <c r="I338" t="s">
        <v>272</v>
      </c>
      <c r="J338" t="s">
        <v>273</v>
      </c>
      <c r="K338" t="str">
        <f>B299</f>
        <v>electricity, residential, by conversion of methanol using fuel cell, DMFC, allocated by exergy, transported by truck, produced by Electrolysis, PEM using water and electricity from grid and carbon sourced from DAC</v>
      </c>
      <c r="L338">
        <f t="shared" ref="L338:L344" si="22">IF(OR(B338&lt;0,B338=0),1,2)</f>
        <v>2</v>
      </c>
      <c r="M338">
        <f t="shared" ref="M338:M344" si="23">IF(L338=2,LN(B338),"")</f>
        <v>-10.395946537480796</v>
      </c>
      <c r="N338">
        <v>1.05</v>
      </c>
      <c r="O338" s="15">
        <v>1.2</v>
      </c>
      <c r="P338">
        <v>1</v>
      </c>
      <c r="Q338">
        <v>1.01</v>
      </c>
      <c r="R338">
        <v>1.2</v>
      </c>
      <c r="S338">
        <v>1.2</v>
      </c>
      <c r="T338">
        <v>3</v>
      </c>
      <c r="U338">
        <f t="shared" ref="U338:U344" si="24">LN(SQRT(EXP(
SQRT(
+POWER(LN(N338),2)
+POWER(LN(O338),2)
+POWER(LN(P338),2)
+POWER(LN(Q338),2)
+POWER(LN(R338),2)
+POWER(LN(S338),2)
+POWER(LN(T338),2)
)
)))</f>
        <v>0.57209088006881903</v>
      </c>
    </row>
    <row r="339" spans="1:21" hidden="1" x14ac:dyDescent="0.2">
      <c r="A339" t="s">
        <v>1179</v>
      </c>
      <c r="B339" s="53">
        <f>(B337/B322)/B321*B333</f>
        <v>0.49749614336843867</v>
      </c>
      <c r="C339" t="str">
        <f>VLOOKUP(J339,'dataset mapping'!$A$4:$E$69,5,0)</f>
        <v>kilogram</v>
      </c>
      <c r="E339" t="str">
        <f>VLOOKUP(J339,'dataset mapping'!$A$4:$E$69,4,0)</f>
        <v>CH</v>
      </c>
      <c r="F339" t="s">
        <v>86</v>
      </c>
      <c r="G339" t="s">
        <v>1182</v>
      </c>
      <c r="H339" t="s">
        <v>76</v>
      </c>
      <c r="I339" t="s">
        <v>1056</v>
      </c>
      <c r="J339" t="s">
        <v>490</v>
      </c>
      <c r="K339" t="str">
        <f>B299</f>
        <v>electricity, residential, by conversion of methanol using fuel cell, DMFC, allocated by exergy, transported by truck, produced by Electrolysis, PEM using water and electricity from grid and carbon sourced from DAC</v>
      </c>
      <c r="L339">
        <f t="shared" si="22"/>
        <v>2</v>
      </c>
      <c r="M339">
        <f t="shared" si="23"/>
        <v>-0.69816747443677551</v>
      </c>
      <c r="N339">
        <v>1.05</v>
      </c>
      <c r="O339" s="15">
        <v>1.2</v>
      </c>
      <c r="P339">
        <v>1</v>
      </c>
      <c r="Q339">
        <v>1.01</v>
      </c>
      <c r="R339">
        <v>1.2</v>
      </c>
      <c r="S339">
        <v>1.2</v>
      </c>
      <c r="T339">
        <v>1.05</v>
      </c>
      <c r="U339">
        <f t="shared" si="24"/>
        <v>0.16169679924070957</v>
      </c>
    </row>
    <row r="340" spans="1:21" hidden="1" x14ac:dyDescent="0.2">
      <c r="A340" t="s">
        <v>498</v>
      </c>
      <c r="B340" s="52">
        <v>4.4092000000000001E-7</v>
      </c>
      <c r="C340" t="s">
        <v>55</v>
      </c>
      <c r="E340" t="s">
        <v>85</v>
      </c>
      <c r="F340" t="s">
        <v>86</v>
      </c>
      <c r="G340" t="s">
        <v>499</v>
      </c>
      <c r="H340" t="s">
        <v>88</v>
      </c>
      <c r="K340" t="str">
        <f>B299</f>
        <v>electricity, residential, by conversion of methanol using fuel cell, DMFC, allocated by exergy, transported by truck, produced by Electrolysis, PEM using water and electricity from grid and carbon sourced from DAC</v>
      </c>
      <c r="L340">
        <f t="shared" si="22"/>
        <v>2</v>
      </c>
      <c r="M340">
        <f t="shared" si="23"/>
        <v>-14.634402383851297</v>
      </c>
      <c r="N340">
        <v>1.05</v>
      </c>
      <c r="O340" s="15">
        <v>1.2</v>
      </c>
      <c r="P340">
        <v>1</v>
      </c>
      <c r="Q340">
        <v>1.01</v>
      </c>
      <c r="R340">
        <v>1.2</v>
      </c>
      <c r="S340">
        <v>1.2</v>
      </c>
      <c r="T340">
        <v>3</v>
      </c>
      <c r="U340">
        <f t="shared" si="24"/>
        <v>0.57209088006881903</v>
      </c>
    </row>
    <row r="341" spans="1:21" hidden="1" x14ac:dyDescent="0.2">
      <c r="A341" t="s">
        <v>130</v>
      </c>
      <c r="B341" s="52">
        <f>2.67*SUM(B339:B339)</f>
        <v>1.3283147027937312</v>
      </c>
      <c r="C341" t="s">
        <v>92</v>
      </c>
      <c r="E341" t="s">
        <v>64</v>
      </c>
      <c r="F341" t="s">
        <v>86</v>
      </c>
      <c r="G341" t="s">
        <v>93</v>
      </c>
      <c r="H341" t="s">
        <v>78</v>
      </c>
      <c r="I341" t="s">
        <v>271</v>
      </c>
      <c r="J341" t="s">
        <v>67</v>
      </c>
      <c r="K341" t="str">
        <f>B299</f>
        <v>electricity, residential, by conversion of methanol using fuel cell, DMFC, allocated by exergy, transported by truck, produced by Electrolysis, PEM using water and electricity from grid and carbon sourced from DAC</v>
      </c>
      <c r="L341">
        <f t="shared" si="22"/>
        <v>2</v>
      </c>
      <c r="M341">
        <f t="shared" si="23"/>
        <v>0.28391099797538261</v>
      </c>
      <c r="N341">
        <v>1.05</v>
      </c>
      <c r="O341" s="15">
        <v>1.2</v>
      </c>
      <c r="P341">
        <v>1</v>
      </c>
      <c r="Q341">
        <v>1.01</v>
      </c>
      <c r="R341">
        <v>1.2</v>
      </c>
      <c r="S341">
        <v>1.2</v>
      </c>
      <c r="T341">
        <v>1.05</v>
      </c>
      <c r="U341">
        <f t="shared" si="24"/>
        <v>0.16169679924070957</v>
      </c>
    </row>
    <row r="342" spans="1:21" hidden="1" x14ac:dyDescent="0.2">
      <c r="A342" t="s">
        <v>134</v>
      </c>
      <c r="B342" s="45">
        <f>B339*1.125</f>
        <v>0.55968316128949347</v>
      </c>
      <c r="C342" t="s">
        <v>56</v>
      </c>
      <c r="D342" t="s">
        <v>100</v>
      </c>
      <c r="F342" t="s">
        <v>99</v>
      </c>
      <c r="H342" t="s">
        <v>131</v>
      </c>
      <c r="I342" t="s">
        <v>511</v>
      </c>
      <c r="K342" t="str">
        <f>B299</f>
        <v>electricity, residential, by conversion of methanol using fuel cell, DMFC, allocated by exergy, transported by truck, produced by Electrolysis, PEM using water and electricity from grid and carbon sourced from DAC</v>
      </c>
      <c r="L342">
        <f t="shared" si="22"/>
        <v>2</v>
      </c>
      <c r="M342">
        <f t="shared" si="23"/>
        <v>-0.58038443878039214</v>
      </c>
      <c r="N342">
        <v>1.05</v>
      </c>
      <c r="O342" s="15">
        <v>1.2</v>
      </c>
      <c r="P342">
        <v>1</v>
      </c>
      <c r="Q342">
        <v>1.01</v>
      </c>
      <c r="R342">
        <v>1.2</v>
      </c>
      <c r="S342">
        <v>1.2</v>
      </c>
      <c r="T342">
        <v>1.5</v>
      </c>
      <c r="U342">
        <f t="shared" si="24"/>
        <v>0.25816898211842121</v>
      </c>
    </row>
    <row r="343" spans="1:21" hidden="1" x14ac:dyDescent="0.2">
      <c r="A343" t="s">
        <v>316</v>
      </c>
      <c r="B343" s="45">
        <f>1.372*(1-B329)*B339</f>
        <v>0</v>
      </c>
      <c r="C343" t="s">
        <v>56</v>
      </c>
      <c r="D343" t="s">
        <v>100</v>
      </c>
      <c r="F343" t="s">
        <v>99</v>
      </c>
      <c r="H343" t="s">
        <v>131</v>
      </c>
      <c r="I343" t="s">
        <v>512</v>
      </c>
      <c r="L343">
        <v>0</v>
      </c>
    </row>
    <row r="344" spans="1:21" hidden="1" x14ac:dyDescent="0.2">
      <c r="A344" t="s">
        <v>371</v>
      </c>
      <c r="B344" s="45">
        <f>1.372*B329*B339</f>
        <v>0.68256470870149788</v>
      </c>
      <c r="C344" t="s">
        <v>56</v>
      </c>
      <c r="D344" t="s">
        <v>100</v>
      </c>
      <c r="F344" t="s">
        <v>99</v>
      </c>
      <c r="H344" t="s">
        <v>131</v>
      </c>
      <c r="I344" t="s">
        <v>512</v>
      </c>
      <c r="L344">
        <f t="shared" si="22"/>
        <v>2</v>
      </c>
      <c r="M344">
        <f t="shared" si="23"/>
        <v>-0.38189794513308201</v>
      </c>
      <c r="N344">
        <v>1.5</v>
      </c>
      <c r="O344">
        <v>1.2</v>
      </c>
      <c r="P344">
        <v>1.5</v>
      </c>
      <c r="Q344">
        <v>1.1000000000000001</v>
      </c>
      <c r="R344">
        <v>2</v>
      </c>
      <c r="S344">
        <v>1.2</v>
      </c>
      <c r="T344">
        <v>1.05</v>
      </c>
      <c r="U344">
        <f t="shared" si="24"/>
        <v>0.47095746419981693</v>
      </c>
    </row>
    <row r="345" spans="1:21" hidden="1" x14ac:dyDescent="0.2"/>
    <row r="346" spans="1:21" hidden="1" x14ac:dyDescent="0.2">
      <c r="A346" s="2" t="s">
        <v>50</v>
      </c>
      <c r="B346" s="44" t="str">
        <f>IF(B352="megajoule","heat","electricity")&amp;", residential, by "&amp;B357&amp;" of "&amp;B356&amp;" using "&amp;B358&amp;IF(B359&lt;&gt;0,", allocated by "&amp;B359,"")&amp;", transported by "&amp;B360&amp;", produced by "&amp;B364&amp;" using "&amp;B365&amp;" from "&amp;B366&amp;" and carbon sourced from "&amp;B367</f>
        <v>electricity, residential, by conversion of methanol using fuel cell, DMFC, allocated by exergy, transported by truck, produced by Electrolysis, PEM using water and electricity from grid and carbon sourced from MSWI</v>
      </c>
    </row>
    <row r="347" spans="1:21" hidden="1" x14ac:dyDescent="0.2">
      <c r="A347" t="s">
        <v>51</v>
      </c>
      <c r="B347" s="45" t="str">
        <f>"This dataset represents the supply of 1 "&amp;IF(B352="megajoule","megajoule of heat","kilowatt hour of electricity")&amp;" in a residence, by "&amp;B356&amp;" "&amp;B357&amp;" in a "&amp;B358&amp;". "&amp;" The "&amp;B356&amp;" is transported by "&amp;B360&amp;" over "&amp;B361&amp;" km from regional storage. "&amp;" The "&amp;B356&amp;" is produced from hydrogen supplied by  "&amp;B364&amp;", with "&amp;B365&amp;" from "&amp;B366&amp;" as feedstock. The carbon is sourced from "&amp;B367&amp;". "&amp;A368&amp;": "&amp;(B368*100)&amp;"%. "&amp;A369&amp;": "&amp;B369&amp;". "&amp;A370&amp;": "&amp;B370&amp;". "&amp;A371&amp;": "&amp;(B371*100)&amp;"%. "&amp;A372&amp;": "&amp;(B372*100)&amp;"%. "&amp;A373&amp;": "&amp;(B373*100)&amp;"%. "&amp;A374&amp;": "&amp;B374&amp;". "&amp;A375&amp;": "&amp;B375&amp;". "&amp;A376&amp;": "&amp;(B376*100)&amp;"%. "&amp;A377&amp;": "&amp;B377&amp;". "&amp;A378&amp;": "&amp;B378&amp;". "&amp;A379&amp;": "&amp;B379&amp;". "&amp;A380&amp;": "&amp;B380&amp;".  For more information, refer to: "&amp;B348</f>
        <v>This dataset represents the supply of 1 kilowatt hour of electricity in a residence, by methanol conversion in a fuel cell, DMFC.  The methanol is transported by truck over 200 km from regional storage.  The methanol is produced from hydrogen supplied by  Electrolysis, PEM, with water and electricity from grid as feedstock. The carbon is sourced from MSWI. Electricity conversion efficiency [% LHV input]: 30%. LHV [kWh/kg]: 5.52777777777778. Market price [€/MJ]: 0.0266666666666667. Distribution loss [% output]: 0%. Storage loss [% output]: 0%. Synthesis efficiency [% LHV input]: 0%. Hydrogen production efficiency [% LHV input]: 0. Total cap. Input-related [kW]: 2.25. CO2 biogenic share [%]: 61.3636363636364%. Power [kW]: 0.8. Lifetime [years]: 2.92682926829268. Annual operation [hours]: 4100. Allocation factor: 0.825014437752661.  For more information, refer to: Sacchi, R. and Bauer, C. Life Cycle Assessment of Power-to-X processes and associated electricity and heat applications in the residential sector. Paul Scherrer Institut, 2023.</v>
      </c>
    </row>
    <row r="348" spans="1:21" hidden="1" x14ac:dyDescent="0.2">
      <c r="A348" t="s">
        <v>63</v>
      </c>
      <c r="B348" s="45" t="s">
        <v>1223</v>
      </c>
    </row>
    <row r="349" spans="1:21" hidden="1" x14ac:dyDescent="0.2">
      <c r="A349" t="s">
        <v>52</v>
      </c>
      <c r="B349" s="45" t="s">
        <v>64</v>
      </c>
    </row>
    <row r="350" spans="1:21" hidden="1" x14ac:dyDescent="0.2">
      <c r="A350" t="s">
        <v>48</v>
      </c>
      <c r="B350" s="45" t="s">
        <v>1001</v>
      </c>
    </row>
    <row r="351" spans="1:21" hidden="1" x14ac:dyDescent="0.2">
      <c r="A351" t="s">
        <v>54</v>
      </c>
      <c r="B351" s="45" t="str">
        <f>INDEX(overview!$B$4:$R$338,MATCH(B350,overview!$A$4:$A$338,0),MATCH(A351,overview!$B$3:$R$3,0))</f>
        <v>electricity, from residential heating system</v>
      </c>
    </row>
    <row r="352" spans="1:21" hidden="1" x14ac:dyDescent="0.2">
      <c r="A352" t="s">
        <v>55</v>
      </c>
      <c r="B352" s="45" t="str">
        <f>INDEX(overview!$B$4:$R$338,MATCH(B350,overview!$A$4:$A$338,0),MATCH(A352,overview!$B$3:$R$3,0))</f>
        <v>kilowatt hour</v>
      </c>
    </row>
    <row r="353" spans="1:2" hidden="1" x14ac:dyDescent="0.2">
      <c r="A353" t="s">
        <v>0</v>
      </c>
      <c r="B353" s="45" t="str">
        <f>INDEX(overview!$B$4:$R$338,MATCH(B350,overview!$A$4:$A$338,0),MATCH(A353,overview!$B$3:$R$3,0))</f>
        <v>Switzerland</v>
      </c>
    </row>
    <row r="354" spans="1:2" hidden="1" x14ac:dyDescent="0.2">
      <c r="A354" t="s">
        <v>1</v>
      </c>
      <c r="B354" s="45">
        <f>INDEX(overview!$B$4:$R$338,MATCH(B350,overview!$A$4:$A$338,0),MATCH(A354,overview!$B$3:$R$3,0))</f>
        <v>2020</v>
      </c>
    </row>
    <row r="355" spans="1:2" hidden="1" x14ac:dyDescent="0.2">
      <c r="A355" t="s">
        <v>2</v>
      </c>
      <c r="B355" s="45" t="str">
        <f>INDEX(overview!$B$4:$R$338,MATCH(B350,overview!$A$4:$A$338,0),MATCH(A355,overview!$B$3:$R$3,0))</f>
        <v>1 kWh electricity</v>
      </c>
    </row>
    <row r="356" spans="1:2" hidden="1" x14ac:dyDescent="0.2">
      <c r="A356" t="s">
        <v>5</v>
      </c>
      <c r="B356" s="45" t="str">
        <f>INDEX(overview!$B$4:$R$338,MATCH(B350,overview!$A$4:$A$338,0),MATCH(A356,overview!$B$3:$R$3,0))</f>
        <v>methanol</v>
      </c>
    </row>
    <row r="357" spans="1:2" hidden="1" x14ac:dyDescent="0.2">
      <c r="A357" t="s">
        <v>3</v>
      </c>
      <c r="B357" s="45" t="str">
        <f>INDEX(overview!$B$4:$R$338,MATCH(B350,overview!$A$4:$A$338,0),MATCH(A357,overview!$B$3:$R$3,0))</f>
        <v>conversion</v>
      </c>
    </row>
    <row r="358" spans="1:2" hidden="1" x14ac:dyDescent="0.2">
      <c r="A358" t="s">
        <v>6</v>
      </c>
      <c r="B358" s="45" t="str">
        <f>INDEX(overview!$B$4:$R$338,MATCH(B350,overview!$A$4:$A$338,0),MATCH(A358,overview!$B$3:$R$3,0))</f>
        <v>fuel cell, DMFC</v>
      </c>
    </row>
    <row r="359" spans="1:2" hidden="1" x14ac:dyDescent="0.2">
      <c r="A359" t="s">
        <v>39</v>
      </c>
      <c r="B359" s="45" t="str">
        <f>INDEX(overview!$B$4:$R$338,MATCH(B350,overview!$A$4:$A$338,0),MATCH(A359,overview!$B$3:$R$3,0))</f>
        <v>exergy</v>
      </c>
    </row>
    <row r="360" spans="1:2" hidden="1" x14ac:dyDescent="0.2">
      <c r="A360" t="s">
        <v>4</v>
      </c>
      <c r="B360" s="45" t="str">
        <f>INDEX(overview!$B$4:$R$338,MATCH(B350,overview!$A$4:$A$338,0),MATCH(A360,overview!$B$3:$R$3,0))</f>
        <v>truck</v>
      </c>
    </row>
    <row r="361" spans="1:2" hidden="1" x14ac:dyDescent="0.2">
      <c r="A361" t="s">
        <v>38</v>
      </c>
      <c r="B361" s="45">
        <f>INDEX(overview!$B$4:$R$338,MATCH(B350,overview!$A$4:$A$338,0),MATCH(A361,overview!$B$3:$R$3,0))</f>
        <v>200</v>
      </c>
    </row>
    <row r="362" spans="1:2" hidden="1" x14ac:dyDescent="0.2">
      <c r="A362" t="s">
        <v>12</v>
      </c>
      <c r="B362" s="45" t="str">
        <f>INDEX(overview!$B$4:$R$338,MATCH(B350,overview!$A$4:$A$338,0),MATCH(A362,overview!$B$3:$R$3,0))</f>
        <v>Above surface pressure vessel</v>
      </c>
    </row>
    <row r="363" spans="1:2" hidden="1" x14ac:dyDescent="0.2">
      <c r="A363" t="s">
        <v>34</v>
      </c>
      <c r="B363" s="45" t="str">
        <f>INDEX(overview!$B$4:$R$338,MATCH(B350,overview!$A$4:$A$338,0),MATCH(A363,overview!$B$3:$R$3,0))</f>
        <v>biological</v>
      </c>
    </row>
    <row r="364" spans="1:2" hidden="1" x14ac:dyDescent="0.2">
      <c r="A364" t="s">
        <v>15</v>
      </c>
      <c r="B364" s="45" t="str">
        <f>INDEX(overview!$B$4:$R$338,MATCH(B350,overview!$A$4:$A$338,0),MATCH(A364,overview!$B$3:$R$3,0))</f>
        <v>Electrolysis, PEM</v>
      </c>
    </row>
    <row r="365" spans="1:2" hidden="1" x14ac:dyDescent="0.2">
      <c r="A365" t="s">
        <v>14</v>
      </c>
      <c r="B365" s="45" t="str">
        <f>INDEX(overview!$B$4:$R$338,MATCH(B350,overview!$A$4:$A$338,0),MATCH(A365,overview!$B$3:$R$3,0))</f>
        <v>water and electricity</v>
      </c>
    </row>
    <row r="366" spans="1:2" hidden="1" x14ac:dyDescent="0.2">
      <c r="A366" t="s">
        <v>26</v>
      </c>
      <c r="B366" s="45" t="str">
        <f>INDEX(overview!$B$4:$R$338,MATCH(B350,overview!$A$4:$A$338,0),MATCH(A366,overview!$B$3:$R$3,0))</f>
        <v>grid</v>
      </c>
    </row>
    <row r="367" spans="1:2" hidden="1" x14ac:dyDescent="0.2">
      <c r="A367" t="s">
        <v>29</v>
      </c>
      <c r="B367" s="45" t="str">
        <f>INDEX(overview!$B$4:$R$338,MATCH(B350,overview!$A$4:$A$338,0),MATCH(A367,overview!$B$3:$R$3,0))</f>
        <v>MSWI</v>
      </c>
    </row>
    <row r="368" spans="1:2" hidden="1" x14ac:dyDescent="0.2">
      <c r="A368" t="str">
        <f>IF(B352="megajoule","Heat","Electricity")&amp;" conversion efficiency [% LHV input]"</f>
        <v>Electricity conversion efficiency [% LHV input]</v>
      </c>
      <c r="B368" s="46">
        <f>INDEX(parameters!$D$4:$N$20,MATCH(B356&amp;B358,parameters!$A$4:$A$20,0),MATCH(A368,parameters!$D$3:$N$3,0))</f>
        <v>0.3</v>
      </c>
    </row>
    <row r="369" spans="1:22" hidden="1" x14ac:dyDescent="0.2">
      <c r="A369" t="str">
        <f>IF(B352="megajoule","LHV [MJ/kg]","LHV [kWh/kg]")</f>
        <v>LHV [kWh/kg]</v>
      </c>
      <c r="B369" s="47">
        <f>INDEX(parameters!$D$4:$N$20,MATCH(B356&amp;B358,parameters!$A$4:$A$20,0),MATCH(A369,parameters!$D$3:$N$3,0))</f>
        <v>5.5277777777777777</v>
      </c>
    </row>
    <row r="370" spans="1:22" hidden="1" x14ac:dyDescent="0.2">
      <c r="A370" t="s">
        <v>41</v>
      </c>
      <c r="B370" s="48">
        <f>INDEX(parameters!$D$4:$N$20,MATCH(B356&amp;B358,parameters!$A$4:$A$20,0),MATCH(A370,parameters!$D$3:$N$3,0))</f>
        <v>2.6666666666666665E-2</v>
      </c>
    </row>
    <row r="371" spans="1:22" hidden="1" x14ac:dyDescent="0.2">
      <c r="A371" t="s">
        <v>45</v>
      </c>
      <c r="B371" s="46">
        <f>INDEX(parameters!$D$4:$N$20,MATCH(B356&amp;B358,parameters!$A$4:$A$20,0),MATCH(A371,parameters!$D$3:$N$3,0))</f>
        <v>0</v>
      </c>
    </row>
    <row r="372" spans="1:22" hidden="1" x14ac:dyDescent="0.2">
      <c r="A372" t="s">
        <v>46</v>
      </c>
      <c r="B372" s="46">
        <f>INDEX(parameters!$D$4:$N$20,MATCH(B356&amp;B358,parameters!$A$4:$A$20,0),MATCH(A372,parameters!$D$3:$N$3,0))</f>
        <v>0</v>
      </c>
    </row>
    <row r="373" spans="1:22" hidden="1" x14ac:dyDescent="0.2">
      <c r="A373" t="s">
        <v>43</v>
      </c>
      <c r="B373" s="46">
        <f>INDEX(parameters!$D$4:$N$20,MATCH(B356&amp;B358,parameters!$A$4:$A$20,0),MATCH(A373,parameters!$D$3:$N$3,0))</f>
        <v>0</v>
      </c>
    </row>
    <row r="374" spans="1:22" hidden="1" x14ac:dyDescent="0.2">
      <c r="A374" t="s">
        <v>44</v>
      </c>
      <c r="B374" s="46">
        <f>INDEX(parameters!$D$4:$N$20,MATCH(B356&amp;B358,parameters!$A$4:$A$20,0),MATCH(A374,parameters!$D$3:$N$3,0))</f>
        <v>0</v>
      </c>
    </row>
    <row r="375" spans="1:22" hidden="1" x14ac:dyDescent="0.2">
      <c r="A375" t="s">
        <v>634</v>
      </c>
      <c r="B375" s="47">
        <f>INDEX(parameters!$D$4:$Y$20,MATCH(B356&amp;B358,parameters!$A$4:$A$20,0),MATCH(A375,parameters!$D$3:$Y$3,0))</f>
        <v>2.25</v>
      </c>
    </row>
    <row r="376" spans="1:22" hidden="1" x14ac:dyDescent="0.2">
      <c r="A376" t="s">
        <v>82</v>
      </c>
      <c r="B376" s="46">
        <f>IF(B367&lt;&gt;0,VLOOKUP(B367,parameters!$A$26:$B$28,2,0),"")</f>
        <v>0.61363636363636365</v>
      </c>
    </row>
    <row r="377" spans="1:22" hidden="1" x14ac:dyDescent="0.2">
      <c r="A377" t="s">
        <v>548</v>
      </c>
      <c r="B377" s="50">
        <f>INDEX(parameters!$D$4:$P$20,MATCH(B356&amp;B358,parameters!$A$4:$A$20,0),MATCH(A377,parameters!$D$3:$P$3,0))</f>
        <v>0.8</v>
      </c>
    </row>
    <row r="378" spans="1:22" hidden="1" x14ac:dyDescent="0.2">
      <c r="A378" t="s">
        <v>547</v>
      </c>
      <c r="B378" s="51">
        <f>INDEX(parameters!$D$4:$P$20,MATCH(B356&amp;B358,parameters!$A$4:$A$20,0),MATCH(A378,parameters!$D$3:$P$3,0))</f>
        <v>2.9268292682926829</v>
      </c>
    </row>
    <row r="379" spans="1:22" hidden="1" x14ac:dyDescent="0.2">
      <c r="A379" t="s">
        <v>630</v>
      </c>
      <c r="B379" s="51">
        <f>INDEX(parameters!$D$4:$T$20,MATCH(B356&amp;B358,parameters!$A$4:$A$20,0),MATCH(A379,parameters!$D$3:$T$3,0))</f>
        <v>4100</v>
      </c>
    </row>
    <row r="380" spans="1:22" hidden="1" x14ac:dyDescent="0.2">
      <c r="A380" t="s">
        <v>1005</v>
      </c>
      <c r="B380" s="50">
        <f>IF(B352="megajoule",SUMIFS(allocation!$I$4:$I$30,allocation!$B$4:$B$30,B358,allocation!$C$4:$C$30,B359),SUMIFS(allocation!$J$4:$J$30,allocation!$B$4:$B$30,B358,allocation!$C$4:$C$30,B359))</f>
        <v>0.8250144377526607</v>
      </c>
    </row>
    <row r="381" spans="1:22" hidden="1" x14ac:dyDescent="0.2"/>
    <row r="382" spans="1:22" hidden="1" x14ac:dyDescent="0.2">
      <c r="A382" s="3" t="s">
        <v>57</v>
      </c>
    </row>
    <row r="383" spans="1:22" hidden="1" x14ac:dyDescent="0.2">
      <c r="A383" s="2" t="s">
        <v>58</v>
      </c>
      <c r="B383" s="44" t="s">
        <v>59</v>
      </c>
      <c r="C383" s="2" t="s">
        <v>55</v>
      </c>
      <c r="D383" s="2" t="s">
        <v>60</v>
      </c>
      <c r="E383" s="2" t="s">
        <v>52</v>
      </c>
      <c r="F383" s="2" t="s">
        <v>61</v>
      </c>
      <c r="G383" s="2" t="s">
        <v>54</v>
      </c>
      <c r="H383" s="2" t="s">
        <v>87</v>
      </c>
      <c r="I383" s="2" t="s">
        <v>51</v>
      </c>
      <c r="J383" s="2" t="s">
        <v>138</v>
      </c>
      <c r="K383" s="2" t="s">
        <v>136</v>
      </c>
      <c r="L383" s="2" t="s">
        <v>221</v>
      </c>
      <c r="M383" s="2" t="s">
        <v>379</v>
      </c>
      <c r="N383" s="2" t="s">
        <v>1059</v>
      </c>
      <c r="O383" s="2" t="s">
        <v>1060</v>
      </c>
      <c r="P383" s="2" t="s">
        <v>1061</v>
      </c>
      <c r="Q383" s="2" t="s">
        <v>1062</v>
      </c>
      <c r="R383" s="2" t="s">
        <v>1063</v>
      </c>
      <c r="S383" s="2" t="s">
        <v>1064</v>
      </c>
      <c r="T383" s="2" t="s">
        <v>1065</v>
      </c>
      <c r="U383" s="2" t="s">
        <v>380</v>
      </c>
      <c r="V383" s="2" t="s">
        <v>1128</v>
      </c>
    </row>
    <row r="384" spans="1:22" x14ac:dyDescent="0.2">
      <c r="A384" t="str">
        <f>B346</f>
        <v>electricity, residential, by conversion of methanol using fuel cell, DMFC, allocated by exergy, transported by truck, produced by Electrolysis, PEM using water and electricity from grid and carbon sourced from MSWI</v>
      </c>
      <c r="B384" s="45">
        <v>1</v>
      </c>
      <c r="C384" t="str">
        <f>B352</f>
        <v>kilowatt hour</v>
      </c>
      <c r="E384" t="str">
        <f>B349</f>
        <v>CH</v>
      </c>
      <c r="F384" t="s">
        <v>62</v>
      </c>
      <c r="G384" t="str">
        <f>B351</f>
        <v>electricity, from residential heating system</v>
      </c>
      <c r="K384" t="str">
        <f>B346</f>
        <v>electricity, residential, by conversion of methanol using fuel cell, DMFC, allocated by exergy, transported by truck, produced by Electrolysis, PEM using water and electricity from grid and carbon sourced from MSWI</v>
      </c>
    </row>
    <row r="385" spans="1:21" hidden="1" x14ac:dyDescent="0.2">
      <c r="A385" t="str">
        <f>VLOOKUP(J385,'dataset mapping'!$A$4:$E$69,2,0)</f>
        <v>fuel cell system assembly, 1 kWe, proton exchange membrane (PEM)</v>
      </c>
      <c r="B385" s="52">
        <f>(1/(B375*B379*B378))*B380</f>
        <v>3.055609028713558E-5</v>
      </c>
      <c r="C385" t="str">
        <f>VLOOKUP(J385,'dataset mapping'!$A$4:$E$69,5,0)</f>
        <v>unit</v>
      </c>
      <c r="E385" t="str">
        <f>VLOOKUP(J385,'dataset mapping'!$A$4:$E$69,4,0)</f>
        <v>GLO</v>
      </c>
      <c r="F385" t="s">
        <v>86</v>
      </c>
      <c r="G385" t="str">
        <f>VLOOKUP(J385,'dataset mapping'!$A$4:$E$69,3,0)</f>
        <v>fuel cell system, 1 kWe, proton exchange membrane (PEM)</v>
      </c>
      <c r="H385" t="s">
        <v>88</v>
      </c>
      <c r="I385" t="s">
        <v>272</v>
      </c>
      <c r="J385" t="s">
        <v>273</v>
      </c>
      <c r="K385" t="str">
        <f>B346</f>
        <v>electricity, residential, by conversion of methanol using fuel cell, DMFC, allocated by exergy, transported by truck, produced by Electrolysis, PEM using water and electricity from grid and carbon sourced from MSWI</v>
      </c>
      <c r="L385">
        <f t="shared" ref="L385:L391" si="25">IF(OR(B385&lt;0,B385=0),1,2)</f>
        <v>2</v>
      </c>
      <c r="M385">
        <f t="shared" ref="M385:M391" si="26">IF(L385=2,LN(B385),"")</f>
        <v>-10.395946537480796</v>
      </c>
      <c r="N385">
        <v>1.05</v>
      </c>
      <c r="O385" s="15">
        <v>1.2</v>
      </c>
      <c r="P385">
        <v>1</v>
      </c>
      <c r="Q385">
        <v>1.01</v>
      </c>
      <c r="R385">
        <v>1.2</v>
      </c>
      <c r="S385">
        <v>1.2</v>
      </c>
      <c r="T385">
        <v>3</v>
      </c>
      <c r="U385">
        <f t="shared" ref="U385:U391" si="27">LN(SQRT(EXP(
SQRT(
+POWER(LN(N385),2)
+POWER(LN(O385),2)
+POWER(LN(P385),2)
+POWER(LN(Q385),2)
+POWER(LN(R385),2)
+POWER(LN(S385),2)
+POWER(LN(T385),2)
)
)))</f>
        <v>0.57209088006881903</v>
      </c>
    </row>
    <row r="386" spans="1:21" hidden="1" x14ac:dyDescent="0.2">
      <c r="A386" t="s">
        <v>1180</v>
      </c>
      <c r="B386" s="53">
        <f>(B384/B369)/B368*B380</f>
        <v>0.49749614336843867</v>
      </c>
      <c r="C386" t="str">
        <f>VLOOKUP(J386,'dataset mapping'!$A$4:$E$69,5,0)</f>
        <v>kilogram</v>
      </c>
      <c r="E386" t="str">
        <f>VLOOKUP(J386,'dataset mapping'!$A$4:$E$69,4,0)</f>
        <v>CH</v>
      </c>
      <c r="F386" t="s">
        <v>86</v>
      </c>
      <c r="G386" t="s">
        <v>1182</v>
      </c>
      <c r="H386" t="s">
        <v>76</v>
      </c>
      <c r="I386" t="s">
        <v>1056</v>
      </c>
      <c r="J386" t="s">
        <v>491</v>
      </c>
      <c r="K386" t="str">
        <f>B346</f>
        <v>electricity, residential, by conversion of methanol using fuel cell, DMFC, allocated by exergy, transported by truck, produced by Electrolysis, PEM using water and electricity from grid and carbon sourced from MSWI</v>
      </c>
      <c r="L386">
        <f t="shared" si="25"/>
        <v>2</v>
      </c>
      <c r="M386">
        <f t="shared" si="26"/>
        <v>-0.69816747443677551</v>
      </c>
      <c r="N386">
        <v>1.05</v>
      </c>
      <c r="O386" s="15">
        <v>1.2</v>
      </c>
      <c r="P386">
        <v>1</v>
      </c>
      <c r="Q386">
        <v>1.01</v>
      </c>
      <c r="R386">
        <v>1.2</v>
      </c>
      <c r="S386">
        <v>1.2</v>
      </c>
      <c r="T386">
        <v>1.05</v>
      </c>
      <c r="U386">
        <f t="shared" si="27"/>
        <v>0.16169679924070957</v>
      </c>
    </row>
    <row r="387" spans="1:21" hidden="1" x14ac:dyDescent="0.2">
      <c r="A387" t="s">
        <v>498</v>
      </c>
      <c r="B387" s="52">
        <v>4.4092000000000001E-7</v>
      </c>
      <c r="C387" t="s">
        <v>55</v>
      </c>
      <c r="E387" t="s">
        <v>85</v>
      </c>
      <c r="F387" t="s">
        <v>86</v>
      </c>
      <c r="G387" t="s">
        <v>499</v>
      </c>
      <c r="H387" t="s">
        <v>88</v>
      </c>
      <c r="K387" t="str">
        <f>B346</f>
        <v>electricity, residential, by conversion of methanol using fuel cell, DMFC, allocated by exergy, transported by truck, produced by Electrolysis, PEM using water and electricity from grid and carbon sourced from MSWI</v>
      </c>
      <c r="L387">
        <f t="shared" si="25"/>
        <v>2</v>
      </c>
      <c r="M387">
        <f t="shared" si="26"/>
        <v>-14.634402383851297</v>
      </c>
      <c r="N387">
        <v>1.05</v>
      </c>
      <c r="O387" s="15">
        <v>1.2</v>
      </c>
      <c r="P387">
        <v>1</v>
      </c>
      <c r="Q387">
        <v>1.01</v>
      </c>
      <c r="R387">
        <v>1.2</v>
      </c>
      <c r="S387">
        <v>1.2</v>
      </c>
      <c r="T387">
        <v>3</v>
      </c>
      <c r="U387">
        <f t="shared" si="27"/>
        <v>0.57209088006881903</v>
      </c>
    </row>
    <row r="388" spans="1:21" hidden="1" x14ac:dyDescent="0.2">
      <c r="A388" t="s">
        <v>130</v>
      </c>
      <c r="B388" s="52">
        <f>2.67*SUM(B386:B386)</f>
        <v>1.3283147027937312</v>
      </c>
      <c r="C388" t="s">
        <v>92</v>
      </c>
      <c r="E388" t="s">
        <v>64</v>
      </c>
      <c r="F388" t="s">
        <v>86</v>
      </c>
      <c r="G388" t="s">
        <v>93</v>
      </c>
      <c r="H388" t="s">
        <v>78</v>
      </c>
      <c r="I388" t="s">
        <v>271</v>
      </c>
      <c r="J388" t="s">
        <v>67</v>
      </c>
      <c r="K388" t="str">
        <f>B346</f>
        <v>electricity, residential, by conversion of methanol using fuel cell, DMFC, allocated by exergy, transported by truck, produced by Electrolysis, PEM using water and electricity from grid and carbon sourced from MSWI</v>
      </c>
      <c r="L388">
        <f t="shared" si="25"/>
        <v>2</v>
      </c>
      <c r="M388">
        <f t="shared" si="26"/>
        <v>0.28391099797538261</v>
      </c>
      <c r="N388">
        <v>1.05</v>
      </c>
      <c r="O388" s="15">
        <v>1.2</v>
      </c>
      <c r="P388">
        <v>1</v>
      </c>
      <c r="Q388">
        <v>1.01</v>
      </c>
      <c r="R388">
        <v>1.2</v>
      </c>
      <c r="S388">
        <v>1.2</v>
      </c>
      <c r="T388">
        <v>1.05</v>
      </c>
      <c r="U388">
        <f t="shared" si="27"/>
        <v>0.16169679924070957</v>
      </c>
    </row>
    <row r="389" spans="1:21" hidden="1" x14ac:dyDescent="0.2">
      <c r="A389" t="s">
        <v>134</v>
      </c>
      <c r="B389" s="45">
        <f>B386*1.125</f>
        <v>0.55968316128949347</v>
      </c>
      <c r="C389" t="s">
        <v>56</v>
      </c>
      <c r="D389" t="s">
        <v>100</v>
      </c>
      <c r="F389" t="s">
        <v>99</v>
      </c>
      <c r="H389" t="s">
        <v>131</v>
      </c>
      <c r="I389" t="s">
        <v>511</v>
      </c>
      <c r="K389" t="str">
        <f>B346</f>
        <v>electricity, residential, by conversion of methanol using fuel cell, DMFC, allocated by exergy, transported by truck, produced by Electrolysis, PEM using water and electricity from grid and carbon sourced from MSWI</v>
      </c>
      <c r="L389">
        <f t="shared" si="25"/>
        <v>2</v>
      </c>
      <c r="M389">
        <f t="shared" si="26"/>
        <v>-0.58038443878039214</v>
      </c>
      <c r="N389">
        <v>1.05</v>
      </c>
      <c r="O389" s="15">
        <v>1.2</v>
      </c>
      <c r="P389">
        <v>1</v>
      </c>
      <c r="Q389">
        <v>1.01</v>
      </c>
      <c r="R389">
        <v>1.2</v>
      </c>
      <c r="S389">
        <v>1.2</v>
      </c>
      <c r="T389">
        <v>1.5</v>
      </c>
      <c r="U389">
        <f t="shared" si="27"/>
        <v>0.25816898211842121</v>
      </c>
    </row>
    <row r="390" spans="1:21" hidden="1" x14ac:dyDescent="0.2">
      <c r="A390" t="s">
        <v>316</v>
      </c>
      <c r="B390" s="45">
        <f>1.372*(1-B376)*B386</f>
        <v>0.26371818290739696</v>
      </c>
      <c r="C390" t="s">
        <v>56</v>
      </c>
      <c r="D390" t="s">
        <v>100</v>
      </c>
      <c r="F390" t="s">
        <v>99</v>
      </c>
      <c r="H390" t="s">
        <v>131</v>
      </c>
      <c r="I390" t="s">
        <v>512</v>
      </c>
      <c r="L390">
        <f t="shared" si="25"/>
        <v>2</v>
      </c>
      <c r="M390">
        <f t="shared" si="26"/>
        <v>-1.3328742349951268</v>
      </c>
      <c r="N390">
        <v>1.5</v>
      </c>
      <c r="O390">
        <v>1.2</v>
      </c>
      <c r="P390">
        <v>1.5</v>
      </c>
      <c r="Q390">
        <v>1.1000000000000001</v>
      </c>
      <c r="R390">
        <v>2</v>
      </c>
      <c r="S390">
        <v>1.2</v>
      </c>
      <c r="T390">
        <v>1.05</v>
      </c>
      <c r="U390">
        <f t="shared" si="27"/>
        <v>0.47095746419981693</v>
      </c>
    </row>
    <row r="391" spans="1:21" hidden="1" x14ac:dyDescent="0.2">
      <c r="A391" t="s">
        <v>371</v>
      </c>
      <c r="B391" s="45">
        <f>1.372*B376*B386</f>
        <v>0.41884652579410098</v>
      </c>
      <c r="C391" t="s">
        <v>56</v>
      </c>
      <c r="D391" t="s">
        <v>100</v>
      </c>
      <c r="F391" t="s">
        <v>99</v>
      </c>
      <c r="H391" t="s">
        <v>131</v>
      </c>
      <c r="I391" t="s">
        <v>512</v>
      </c>
      <c r="L391">
        <f t="shared" si="25"/>
        <v>2</v>
      </c>
      <c r="M391">
        <f t="shared" si="26"/>
        <v>-0.87025071304701407</v>
      </c>
      <c r="N391">
        <v>1.5</v>
      </c>
      <c r="O391">
        <v>1.2</v>
      </c>
      <c r="P391">
        <v>1.5</v>
      </c>
      <c r="Q391">
        <v>1.1000000000000001</v>
      </c>
      <c r="R391">
        <v>2</v>
      </c>
      <c r="S391">
        <v>1.2</v>
      </c>
      <c r="T391">
        <v>1.05</v>
      </c>
      <c r="U391">
        <f t="shared" si="27"/>
        <v>0.47095746419981693</v>
      </c>
    </row>
    <row r="392" spans="1:21" hidden="1" x14ac:dyDescent="0.2"/>
    <row r="393" spans="1:21" hidden="1" x14ac:dyDescent="0.2">
      <c r="A393" s="2" t="s">
        <v>50</v>
      </c>
      <c r="B393" s="44" t="str">
        <f>IF(B399="megajoule","heat","electricity")&amp;", residential, by "&amp;B404&amp;" of "&amp;B403&amp;" using "&amp;B405&amp;IF(B406&lt;&gt;0,", allocated by "&amp;B406,"")&amp;", transported by "&amp;B407&amp;", produced by "&amp;B411&amp;" using "&amp;B412&amp;" from "&amp;B413&amp;" and carbon sourced from "&amp;B414</f>
        <v>electricity, residential, by conversion of methanol using fuel cell, DMFC, allocated by exergy, transported by truck, produced by Electrolysis, PEM using water and electricity from grid and carbon sourced from Cement plant</v>
      </c>
    </row>
    <row r="394" spans="1:21" hidden="1" x14ac:dyDescent="0.2">
      <c r="A394" t="s">
        <v>51</v>
      </c>
      <c r="B394" s="45" t="str">
        <f>"This dataset represents the supply of 1 "&amp;IF(B399="megajoule","megajoule of heat","kilowatt hour of electricity")&amp;" in a residence, by "&amp;B403&amp;" "&amp;B404&amp;" in a "&amp;B405&amp;". "&amp;" The "&amp;B403&amp;" is transported by "&amp;B407&amp;" over "&amp;B408&amp;" km from regional storage. "&amp;" The "&amp;B403&amp;" is produced from hydrogen supplied by  "&amp;B411&amp;", with "&amp;B412&amp;" from "&amp;B413&amp;" as feedstock. The carbon is sourced from "&amp;B414&amp;". "&amp;A415&amp;": "&amp;(B415*100)&amp;"%. "&amp;A416&amp;": "&amp;B416&amp;". "&amp;A417&amp;": "&amp;B417&amp;". "&amp;A418&amp;": "&amp;(B418*100)&amp;"%. "&amp;A419&amp;": "&amp;(B419*100)&amp;"%. "&amp;A420&amp;": "&amp;(B420*100)&amp;"%. "&amp;A421&amp;": "&amp;B421&amp;". "&amp;A422&amp;": "&amp;B422&amp;". "&amp;A423&amp;": "&amp;(B423*100)&amp;"%. "&amp;A424&amp;": "&amp;B424&amp;". "&amp;A425&amp;": "&amp;B425&amp;". "&amp;A426&amp;": "&amp;B426&amp;". "&amp;A427&amp;": "&amp;B427&amp;".  For more information, refer to: "&amp;B395</f>
        <v>This dataset represents the supply of 1 kilowatt hour of electricity in a residence, by methanol conversion in a fuel cell, DMFC.  The methanol is transported by truck over 200 km from regional storage.  The methanol is produced from hydrogen supplied by  Electrolysis, PEM, with water and electricity from grid as feedstock. The carbon is sourced from Cement plant. Electricity conversion efficiency [% LHV input]: 30%. LHV [kWh/kg]: 5.52777777777778. Market price [€/MJ]: 0.0266666666666667. Distribution loss [% output]: 0%. Storage loss [% output]: 0%. Synthesis efficiency [% LHV input]: 0%. Hydrogen production efficiency [% LHV input]: 0. Total cap. Input-related [kW]: 2.25. CO2 biogenic share [%]: 5.87515299877601%. Power [kW]: 0.8. Lifetime [years]: 2.92682926829268. Annual operation [hours]: 4100. Allocation factor: 0.825014437752661.  For more information, refer to: Sacchi, R. and Bauer, C. Life Cycle Assessment of Power-to-X processes and associated electricity and heat applications in the residential sector. Paul Scherrer Institut, 2023.</v>
      </c>
    </row>
    <row r="395" spans="1:21" hidden="1" x14ac:dyDescent="0.2">
      <c r="A395" t="s">
        <v>63</v>
      </c>
      <c r="B395" s="45" t="s">
        <v>1223</v>
      </c>
    </row>
    <row r="396" spans="1:21" hidden="1" x14ac:dyDescent="0.2">
      <c r="A396" t="s">
        <v>52</v>
      </c>
      <c r="B396" s="45" t="s">
        <v>64</v>
      </c>
    </row>
    <row r="397" spans="1:21" hidden="1" x14ac:dyDescent="0.2">
      <c r="A397" t="s">
        <v>48</v>
      </c>
      <c r="B397" s="45" t="s">
        <v>1002</v>
      </c>
    </row>
    <row r="398" spans="1:21" hidden="1" x14ac:dyDescent="0.2">
      <c r="A398" t="s">
        <v>54</v>
      </c>
      <c r="B398" s="45" t="str">
        <f>INDEX(overview!$B$4:$R$338,MATCH(B397,overview!$A$4:$A$338,0),MATCH(A398,overview!$B$3:$R$3,0))</f>
        <v>electricity, from residential heating system</v>
      </c>
    </row>
    <row r="399" spans="1:21" hidden="1" x14ac:dyDescent="0.2">
      <c r="A399" t="s">
        <v>55</v>
      </c>
      <c r="B399" s="45" t="str">
        <f>INDEX(overview!$B$4:$R$338,MATCH(B397,overview!$A$4:$A$338,0),MATCH(A399,overview!$B$3:$R$3,0))</f>
        <v>kilowatt hour</v>
      </c>
    </row>
    <row r="400" spans="1:21" hidden="1" x14ac:dyDescent="0.2">
      <c r="A400" t="s">
        <v>0</v>
      </c>
      <c r="B400" s="45" t="str">
        <f>INDEX(overview!$B$4:$R$338,MATCH(B397,overview!$A$4:$A$338,0),MATCH(A400,overview!$B$3:$R$3,0))</f>
        <v>Switzerland</v>
      </c>
    </row>
    <row r="401" spans="1:2" hidden="1" x14ac:dyDescent="0.2">
      <c r="A401" t="s">
        <v>1</v>
      </c>
      <c r="B401" s="45">
        <f>INDEX(overview!$B$4:$R$338,MATCH(B397,overview!$A$4:$A$338,0),MATCH(A401,overview!$B$3:$R$3,0))</f>
        <v>2020</v>
      </c>
    </row>
    <row r="402" spans="1:2" hidden="1" x14ac:dyDescent="0.2">
      <c r="A402" t="s">
        <v>2</v>
      </c>
      <c r="B402" s="45" t="str">
        <f>INDEX(overview!$B$4:$R$338,MATCH(B397,overview!$A$4:$A$338,0),MATCH(A402,overview!$B$3:$R$3,0))</f>
        <v>1 kWh electricity</v>
      </c>
    </row>
    <row r="403" spans="1:2" hidden="1" x14ac:dyDescent="0.2">
      <c r="A403" t="s">
        <v>5</v>
      </c>
      <c r="B403" s="45" t="str">
        <f>INDEX(overview!$B$4:$R$338,MATCH(B397,overview!$A$4:$A$338,0),MATCH(A403,overview!$B$3:$R$3,0))</f>
        <v>methanol</v>
      </c>
    </row>
    <row r="404" spans="1:2" hidden="1" x14ac:dyDescent="0.2">
      <c r="A404" t="s">
        <v>3</v>
      </c>
      <c r="B404" s="45" t="str">
        <f>INDEX(overview!$B$4:$R$338,MATCH(B397,overview!$A$4:$A$338,0),MATCH(A404,overview!$B$3:$R$3,0))</f>
        <v>conversion</v>
      </c>
    </row>
    <row r="405" spans="1:2" hidden="1" x14ac:dyDescent="0.2">
      <c r="A405" t="s">
        <v>6</v>
      </c>
      <c r="B405" s="45" t="str">
        <f>INDEX(overview!$B$4:$R$338,MATCH(B397,overview!$A$4:$A$338,0),MATCH(A405,overview!$B$3:$R$3,0))</f>
        <v>fuel cell, DMFC</v>
      </c>
    </row>
    <row r="406" spans="1:2" hidden="1" x14ac:dyDescent="0.2">
      <c r="A406" t="s">
        <v>39</v>
      </c>
      <c r="B406" s="45" t="str">
        <f>INDEX(overview!$B$4:$R$338,MATCH(B397,overview!$A$4:$A$338,0),MATCH(A406,overview!$B$3:$R$3,0))</f>
        <v>exergy</v>
      </c>
    </row>
    <row r="407" spans="1:2" hidden="1" x14ac:dyDescent="0.2">
      <c r="A407" t="s">
        <v>4</v>
      </c>
      <c r="B407" s="45" t="str">
        <f>INDEX(overview!$B$4:$R$338,MATCH(B397,overview!$A$4:$A$338,0),MATCH(A407,overview!$B$3:$R$3,0))</f>
        <v>truck</v>
      </c>
    </row>
    <row r="408" spans="1:2" hidden="1" x14ac:dyDescent="0.2">
      <c r="A408" t="s">
        <v>38</v>
      </c>
      <c r="B408" s="45">
        <f>INDEX(overview!$B$4:$R$338,MATCH(B397,overview!$A$4:$A$338,0),MATCH(A408,overview!$B$3:$R$3,0))</f>
        <v>200</v>
      </c>
    </row>
    <row r="409" spans="1:2" hidden="1" x14ac:dyDescent="0.2">
      <c r="A409" t="s">
        <v>12</v>
      </c>
      <c r="B409" s="45" t="str">
        <f>INDEX(overview!$B$4:$R$338,MATCH(B397,overview!$A$4:$A$338,0),MATCH(A409,overview!$B$3:$R$3,0))</f>
        <v>Above surface pressure vessel</v>
      </c>
    </row>
    <row r="410" spans="1:2" hidden="1" x14ac:dyDescent="0.2">
      <c r="A410" t="s">
        <v>34</v>
      </c>
      <c r="B410" s="45" t="str">
        <f>INDEX(overview!$B$4:$R$338,MATCH(B397,overview!$A$4:$A$338,0),MATCH(A410,overview!$B$3:$R$3,0))</f>
        <v>biological</v>
      </c>
    </row>
    <row r="411" spans="1:2" hidden="1" x14ac:dyDescent="0.2">
      <c r="A411" t="s">
        <v>15</v>
      </c>
      <c r="B411" s="45" t="str">
        <f>INDEX(overview!$B$4:$R$338,MATCH(B397,overview!$A$4:$A$338,0),MATCH(A411,overview!$B$3:$R$3,0))</f>
        <v>Electrolysis, PEM</v>
      </c>
    </row>
    <row r="412" spans="1:2" hidden="1" x14ac:dyDescent="0.2">
      <c r="A412" t="s">
        <v>14</v>
      </c>
      <c r="B412" s="45" t="str">
        <f>INDEX(overview!$B$4:$R$338,MATCH(B397,overview!$A$4:$A$338,0),MATCH(A412,overview!$B$3:$R$3,0))</f>
        <v>water and electricity</v>
      </c>
    </row>
    <row r="413" spans="1:2" hidden="1" x14ac:dyDescent="0.2">
      <c r="A413" t="s">
        <v>26</v>
      </c>
      <c r="B413" s="45" t="str">
        <f>INDEX(overview!$B$4:$R$338,MATCH(B397,overview!$A$4:$A$338,0),MATCH(A413,overview!$B$3:$R$3,0))</f>
        <v>grid</v>
      </c>
    </row>
    <row r="414" spans="1:2" hidden="1" x14ac:dyDescent="0.2">
      <c r="A414" t="s">
        <v>29</v>
      </c>
      <c r="B414" s="45" t="str">
        <f>INDEX(overview!$B$4:$R$338,MATCH(B397,overview!$A$4:$A$338,0),MATCH(A414,overview!$B$3:$R$3,0))</f>
        <v>Cement plant</v>
      </c>
    </row>
    <row r="415" spans="1:2" hidden="1" x14ac:dyDescent="0.2">
      <c r="A415" t="str">
        <f>IF(B399="megajoule","Heat","Electricity")&amp;" conversion efficiency [% LHV input]"</f>
        <v>Electricity conversion efficiency [% LHV input]</v>
      </c>
      <c r="B415" s="46">
        <f>INDEX(parameters!$D$4:$N$20,MATCH(B403&amp;B405,parameters!$A$4:$A$20,0),MATCH(A415,parameters!$D$3:$N$3,0))</f>
        <v>0.3</v>
      </c>
    </row>
    <row r="416" spans="1:2" hidden="1" x14ac:dyDescent="0.2">
      <c r="A416" t="str">
        <f>IF(B399="megajoule","LHV [MJ/kg]","LHV [kWh/kg]")</f>
        <v>LHV [kWh/kg]</v>
      </c>
      <c r="B416" s="47">
        <f>INDEX(parameters!$D$4:$N$20,MATCH(B403&amp;B405,parameters!$A$4:$A$20,0),MATCH(A416,parameters!$D$3:$N$3,0))</f>
        <v>5.5277777777777777</v>
      </c>
    </row>
    <row r="417" spans="1:22" hidden="1" x14ac:dyDescent="0.2">
      <c r="A417" t="s">
        <v>41</v>
      </c>
      <c r="B417" s="48">
        <f>INDEX(parameters!$D$4:$N$20,MATCH(B403&amp;B405,parameters!$A$4:$A$20,0),MATCH(A417,parameters!$D$3:$N$3,0))</f>
        <v>2.6666666666666665E-2</v>
      </c>
    </row>
    <row r="418" spans="1:22" hidden="1" x14ac:dyDescent="0.2">
      <c r="A418" t="s">
        <v>45</v>
      </c>
      <c r="B418" s="46">
        <f>INDEX(parameters!$D$4:$N$20,MATCH(B403&amp;B405,parameters!$A$4:$A$20,0),MATCH(A418,parameters!$D$3:$N$3,0))</f>
        <v>0</v>
      </c>
    </row>
    <row r="419" spans="1:22" hidden="1" x14ac:dyDescent="0.2">
      <c r="A419" t="s">
        <v>46</v>
      </c>
      <c r="B419" s="46">
        <f>INDEX(parameters!$D$4:$N$20,MATCH(B403&amp;B405,parameters!$A$4:$A$20,0),MATCH(A419,parameters!$D$3:$N$3,0))</f>
        <v>0</v>
      </c>
    </row>
    <row r="420" spans="1:22" hidden="1" x14ac:dyDescent="0.2">
      <c r="A420" t="s">
        <v>43</v>
      </c>
      <c r="B420" s="46">
        <f>INDEX(parameters!$D$4:$N$20,MATCH(B403&amp;B405,parameters!$A$4:$A$20,0),MATCH(A420,parameters!$D$3:$N$3,0))</f>
        <v>0</v>
      </c>
    </row>
    <row r="421" spans="1:22" hidden="1" x14ac:dyDescent="0.2">
      <c r="A421" t="s">
        <v>44</v>
      </c>
      <c r="B421" s="46">
        <f>INDEX(parameters!$D$4:$N$20,MATCH(B403&amp;B405,parameters!$A$4:$A$20,0),MATCH(A421,parameters!$D$3:$N$3,0))</f>
        <v>0</v>
      </c>
    </row>
    <row r="422" spans="1:22" hidden="1" x14ac:dyDescent="0.2">
      <c r="A422" t="s">
        <v>634</v>
      </c>
      <c r="B422" s="47">
        <f>INDEX(parameters!$D$4:$Y$20,MATCH(B403&amp;B405,parameters!$A$4:$A$20,0),MATCH(A422,parameters!$D$3:$Y$3,0))</f>
        <v>2.25</v>
      </c>
    </row>
    <row r="423" spans="1:22" hidden="1" x14ac:dyDescent="0.2">
      <c r="A423" t="s">
        <v>82</v>
      </c>
      <c r="B423" s="46">
        <f>IF(B414&lt;&gt;0,VLOOKUP(B414,parameters!$A$26:$B$28,2,0),"")</f>
        <v>5.8751529987760093E-2</v>
      </c>
    </row>
    <row r="424" spans="1:22" hidden="1" x14ac:dyDescent="0.2">
      <c r="A424" t="s">
        <v>548</v>
      </c>
      <c r="B424" s="50">
        <f>INDEX(parameters!$D$4:$P$20,MATCH(B403&amp;B405,parameters!$A$4:$A$20,0),MATCH(A424,parameters!$D$3:$P$3,0))</f>
        <v>0.8</v>
      </c>
    </row>
    <row r="425" spans="1:22" hidden="1" x14ac:dyDescent="0.2">
      <c r="A425" t="s">
        <v>547</v>
      </c>
      <c r="B425" s="51">
        <f>INDEX(parameters!$D$4:$P$20,MATCH(B403&amp;B405,parameters!$A$4:$A$20,0),MATCH(A425,parameters!$D$3:$P$3,0))</f>
        <v>2.9268292682926829</v>
      </c>
    </row>
    <row r="426" spans="1:22" hidden="1" x14ac:dyDescent="0.2">
      <c r="A426" t="s">
        <v>630</v>
      </c>
      <c r="B426" s="51">
        <f>INDEX(parameters!$D$4:$T$20,MATCH(B403&amp;B405,parameters!$A$4:$A$20,0),MATCH(A426,parameters!$D$3:$T$3,0))</f>
        <v>4100</v>
      </c>
    </row>
    <row r="427" spans="1:22" hidden="1" x14ac:dyDescent="0.2">
      <c r="A427" t="s">
        <v>1005</v>
      </c>
      <c r="B427" s="50">
        <f>IF(B399="megajoule",SUMIFS(allocation!$I$4:$I$30,allocation!$B$4:$B$30,B405,allocation!$C$4:$C$30,B406),SUMIFS(allocation!$J$4:$J$30,allocation!$B$4:$B$30,B405,allocation!$C$4:$C$30,B406))</f>
        <v>0.8250144377526607</v>
      </c>
    </row>
    <row r="428" spans="1:22" hidden="1" x14ac:dyDescent="0.2"/>
    <row r="429" spans="1:22" hidden="1" x14ac:dyDescent="0.2">
      <c r="A429" s="3" t="s">
        <v>57</v>
      </c>
    </row>
    <row r="430" spans="1:22" hidden="1" x14ac:dyDescent="0.2">
      <c r="A430" s="2" t="s">
        <v>58</v>
      </c>
      <c r="B430" s="44" t="s">
        <v>59</v>
      </c>
      <c r="C430" s="2" t="s">
        <v>55</v>
      </c>
      <c r="D430" s="2" t="s">
        <v>60</v>
      </c>
      <c r="E430" s="2" t="s">
        <v>52</v>
      </c>
      <c r="F430" s="2" t="s">
        <v>61</v>
      </c>
      <c r="G430" s="2" t="s">
        <v>54</v>
      </c>
      <c r="H430" s="2" t="s">
        <v>87</v>
      </c>
      <c r="I430" s="2" t="s">
        <v>51</v>
      </c>
      <c r="J430" s="2" t="s">
        <v>138</v>
      </c>
      <c r="K430" s="2" t="s">
        <v>136</v>
      </c>
      <c r="L430" s="2" t="s">
        <v>221</v>
      </c>
      <c r="M430" s="2" t="s">
        <v>379</v>
      </c>
      <c r="N430" s="2" t="s">
        <v>1059</v>
      </c>
      <c r="O430" s="2" t="s">
        <v>1060</v>
      </c>
      <c r="P430" s="2" t="s">
        <v>1061</v>
      </c>
      <c r="Q430" s="2" t="s">
        <v>1062</v>
      </c>
      <c r="R430" s="2" t="s">
        <v>1063</v>
      </c>
      <c r="S430" s="2" t="s">
        <v>1064</v>
      </c>
      <c r="T430" s="2" t="s">
        <v>1065</v>
      </c>
      <c r="U430" s="2" t="s">
        <v>380</v>
      </c>
      <c r="V430" s="2" t="s">
        <v>1128</v>
      </c>
    </row>
    <row r="431" spans="1:22" x14ac:dyDescent="0.2">
      <c r="A431" t="str">
        <f>B393</f>
        <v>electricity, residential, by conversion of methanol using fuel cell, DMFC, allocated by exergy, transported by truck, produced by Electrolysis, PEM using water and electricity from grid and carbon sourced from Cement plant</v>
      </c>
      <c r="B431" s="45">
        <v>1</v>
      </c>
      <c r="C431" t="str">
        <f>B399</f>
        <v>kilowatt hour</v>
      </c>
      <c r="E431" t="str">
        <f>B396</f>
        <v>CH</v>
      </c>
      <c r="F431" t="s">
        <v>62</v>
      </c>
      <c r="G431" t="str">
        <f>B398</f>
        <v>electricity, from residential heating system</v>
      </c>
      <c r="K431" t="str">
        <f>B393</f>
        <v>electricity, residential, by conversion of methanol using fuel cell, DMFC, allocated by exergy, transported by truck, produced by Electrolysis, PEM using water and electricity from grid and carbon sourced from Cement plant</v>
      </c>
    </row>
    <row r="432" spans="1:22" hidden="1" x14ac:dyDescent="0.2">
      <c r="A432" t="str">
        <f>VLOOKUP(J432,'dataset mapping'!$A$4:$E$69,2,0)</f>
        <v>fuel cell system assembly, 1 kWe, proton exchange membrane (PEM)</v>
      </c>
      <c r="B432" s="52">
        <f>(1/(B422*B426*B425))*B427</f>
        <v>3.055609028713558E-5</v>
      </c>
      <c r="C432" t="str">
        <f>VLOOKUP(J432,'dataset mapping'!$A$4:$E$69,5,0)</f>
        <v>unit</v>
      </c>
      <c r="E432" t="str">
        <f>VLOOKUP(J432,'dataset mapping'!$A$4:$E$69,4,0)</f>
        <v>GLO</v>
      </c>
      <c r="F432" t="s">
        <v>86</v>
      </c>
      <c r="G432" t="str">
        <f>VLOOKUP(J432,'dataset mapping'!$A$4:$E$69,3,0)</f>
        <v>fuel cell system, 1 kWe, proton exchange membrane (PEM)</v>
      </c>
      <c r="H432" t="s">
        <v>88</v>
      </c>
      <c r="I432" t="s">
        <v>272</v>
      </c>
      <c r="J432" t="s">
        <v>273</v>
      </c>
      <c r="K432" t="str">
        <f>B393</f>
        <v>electricity, residential, by conversion of methanol using fuel cell, DMFC, allocated by exergy, transported by truck, produced by Electrolysis, PEM using water and electricity from grid and carbon sourced from Cement plant</v>
      </c>
      <c r="L432">
        <f t="shared" ref="L432:L438" si="28">IF(OR(B432&lt;0,B432=0),1,2)</f>
        <v>2</v>
      </c>
      <c r="M432">
        <f t="shared" ref="M432:M438" si="29">IF(L432=2,LN(B432),"")</f>
        <v>-10.395946537480796</v>
      </c>
      <c r="N432">
        <v>1.05</v>
      </c>
      <c r="O432" s="15">
        <v>1.2</v>
      </c>
      <c r="P432">
        <v>1</v>
      </c>
      <c r="Q432">
        <v>1.01</v>
      </c>
      <c r="R432">
        <v>1.2</v>
      </c>
      <c r="S432">
        <v>1.2</v>
      </c>
      <c r="T432">
        <v>3</v>
      </c>
      <c r="U432">
        <f t="shared" ref="U432:U438" si="30">LN(SQRT(EXP(
SQRT(
+POWER(LN(N432),2)
+POWER(LN(O432),2)
+POWER(LN(P432),2)
+POWER(LN(Q432),2)
+POWER(LN(R432),2)
+POWER(LN(S432),2)
+POWER(LN(T432),2)
)
)))</f>
        <v>0.57209088006881903</v>
      </c>
    </row>
    <row r="433" spans="1:21" hidden="1" x14ac:dyDescent="0.2">
      <c r="A433" t="s">
        <v>1181</v>
      </c>
      <c r="B433" s="53">
        <f>(B431/B416)/B415*B427</f>
        <v>0.49749614336843867</v>
      </c>
      <c r="C433" t="str">
        <f>VLOOKUP(J433,'dataset mapping'!$A$4:$E$69,5,0)</f>
        <v>kilogram</v>
      </c>
      <c r="E433" t="str">
        <f>VLOOKUP(J433,'dataset mapping'!$A$4:$E$69,4,0)</f>
        <v>CH</v>
      </c>
      <c r="F433" t="s">
        <v>86</v>
      </c>
      <c r="G433" t="s">
        <v>1182</v>
      </c>
      <c r="H433" t="s">
        <v>76</v>
      </c>
      <c r="I433" t="s">
        <v>1056</v>
      </c>
      <c r="J433" t="s">
        <v>492</v>
      </c>
      <c r="K433" t="str">
        <f>B393</f>
        <v>electricity, residential, by conversion of methanol using fuel cell, DMFC, allocated by exergy, transported by truck, produced by Electrolysis, PEM using water and electricity from grid and carbon sourced from Cement plant</v>
      </c>
      <c r="L433">
        <f t="shared" si="28"/>
        <v>2</v>
      </c>
      <c r="M433">
        <f t="shared" si="29"/>
        <v>-0.69816747443677551</v>
      </c>
      <c r="N433">
        <v>1.05</v>
      </c>
      <c r="O433" s="15">
        <v>1.2</v>
      </c>
      <c r="P433">
        <v>1</v>
      </c>
      <c r="Q433">
        <v>1.01</v>
      </c>
      <c r="R433">
        <v>1.2</v>
      </c>
      <c r="S433">
        <v>1.2</v>
      </c>
      <c r="T433">
        <v>1.05</v>
      </c>
      <c r="U433">
        <f t="shared" si="30"/>
        <v>0.16169679924070957</v>
      </c>
    </row>
    <row r="434" spans="1:21" hidden="1" x14ac:dyDescent="0.2">
      <c r="A434" t="s">
        <v>498</v>
      </c>
      <c r="B434" s="52">
        <v>4.4092000000000001E-7</v>
      </c>
      <c r="C434" t="s">
        <v>55</v>
      </c>
      <c r="E434" t="s">
        <v>85</v>
      </c>
      <c r="F434" t="s">
        <v>86</v>
      </c>
      <c r="G434" t="s">
        <v>499</v>
      </c>
      <c r="H434" t="s">
        <v>88</v>
      </c>
      <c r="K434" t="str">
        <f>B393</f>
        <v>electricity, residential, by conversion of methanol using fuel cell, DMFC, allocated by exergy, transported by truck, produced by Electrolysis, PEM using water and electricity from grid and carbon sourced from Cement plant</v>
      </c>
      <c r="L434">
        <f t="shared" si="28"/>
        <v>2</v>
      </c>
      <c r="M434">
        <f t="shared" si="29"/>
        <v>-14.634402383851297</v>
      </c>
      <c r="N434">
        <v>1.05</v>
      </c>
      <c r="O434" s="15">
        <v>1.2</v>
      </c>
      <c r="P434">
        <v>1</v>
      </c>
      <c r="Q434">
        <v>1.01</v>
      </c>
      <c r="R434">
        <v>1.2</v>
      </c>
      <c r="S434">
        <v>1.2</v>
      </c>
      <c r="T434">
        <v>3</v>
      </c>
      <c r="U434">
        <f t="shared" si="30"/>
        <v>0.57209088006881903</v>
      </c>
    </row>
    <row r="435" spans="1:21" hidden="1" x14ac:dyDescent="0.2">
      <c r="A435" t="s">
        <v>130</v>
      </c>
      <c r="B435" s="52">
        <f>2.67*SUM(B433:B433)</f>
        <v>1.3283147027937312</v>
      </c>
      <c r="C435" t="s">
        <v>92</v>
      </c>
      <c r="E435" t="s">
        <v>64</v>
      </c>
      <c r="F435" t="s">
        <v>86</v>
      </c>
      <c r="G435" t="s">
        <v>93</v>
      </c>
      <c r="H435" t="s">
        <v>78</v>
      </c>
      <c r="I435" t="s">
        <v>271</v>
      </c>
      <c r="J435" t="s">
        <v>67</v>
      </c>
      <c r="K435" t="str">
        <f>B393</f>
        <v>electricity, residential, by conversion of methanol using fuel cell, DMFC, allocated by exergy, transported by truck, produced by Electrolysis, PEM using water and electricity from grid and carbon sourced from Cement plant</v>
      </c>
      <c r="L435">
        <f t="shared" si="28"/>
        <v>2</v>
      </c>
      <c r="M435">
        <f t="shared" si="29"/>
        <v>0.28391099797538261</v>
      </c>
      <c r="N435">
        <v>1.05</v>
      </c>
      <c r="O435" s="15">
        <v>1.2</v>
      </c>
      <c r="P435">
        <v>1</v>
      </c>
      <c r="Q435">
        <v>1.01</v>
      </c>
      <c r="R435">
        <v>1.2</v>
      </c>
      <c r="S435">
        <v>1.2</v>
      </c>
      <c r="T435">
        <v>1.05</v>
      </c>
      <c r="U435">
        <f t="shared" si="30"/>
        <v>0.16169679924070957</v>
      </c>
    </row>
    <row r="436" spans="1:21" hidden="1" x14ac:dyDescent="0.2">
      <c r="A436" t="s">
        <v>134</v>
      </c>
      <c r="B436" s="45">
        <f>B433*1.125</f>
        <v>0.55968316128949347</v>
      </c>
      <c r="C436" t="s">
        <v>56</v>
      </c>
      <c r="D436" t="s">
        <v>100</v>
      </c>
      <c r="F436" t="s">
        <v>99</v>
      </c>
      <c r="H436" t="s">
        <v>131</v>
      </c>
      <c r="I436" t="s">
        <v>511</v>
      </c>
      <c r="K436" t="str">
        <f>B393</f>
        <v>electricity, residential, by conversion of methanol using fuel cell, DMFC, allocated by exergy, transported by truck, produced by Electrolysis, PEM using water and electricity from grid and carbon sourced from Cement plant</v>
      </c>
      <c r="L436">
        <f t="shared" si="28"/>
        <v>2</v>
      </c>
      <c r="M436">
        <f t="shared" si="29"/>
        <v>-0.58038443878039214</v>
      </c>
      <c r="N436">
        <v>1.05</v>
      </c>
      <c r="O436" s="15">
        <v>1.2</v>
      </c>
      <c r="P436">
        <v>1</v>
      </c>
      <c r="Q436">
        <v>1.01</v>
      </c>
      <c r="R436">
        <v>1.2</v>
      </c>
      <c r="S436">
        <v>1.2</v>
      </c>
      <c r="T436">
        <v>1.5</v>
      </c>
      <c r="U436">
        <f t="shared" si="30"/>
        <v>0.25816898211842121</v>
      </c>
    </row>
    <row r="437" spans="1:21" hidden="1" x14ac:dyDescent="0.2">
      <c r="A437" t="s">
        <v>316</v>
      </c>
      <c r="B437" s="55">
        <f>1.372*(1-B423)*B433</f>
        <v>0.64246298774963517</v>
      </c>
      <c r="C437" t="s">
        <v>56</v>
      </c>
      <c r="D437" t="s">
        <v>100</v>
      </c>
      <c r="F437" t="s">
        <v>99</v>
      </c>
      <c r="H437" t="s">
        <v>131</v>
      </c>
      <c r="I437" t="s">
        <v>512</v>
      </c>
      <c r="L437">
        <f t="shared" si="28"/>
        <v>2</v>
      </c>
      <c r="M437">
        <f t="shared" si="29"/>
        <v>-0.44244607048744078</v>
      </c>
      <c r="N437">
        <v>1.5</v>
      </c>
      <c r="O437">
        <v>1.2</v>
      </c>
      <c r="P437">
        <v>1.5</v>
      </c>
      <c r="Q437">
        <v>1.1000000000000001</v>
      </c>
      <c r="R437">
        <v>2</v>
      </c>
      <c r="S437">
        <v>1.2</v>
      </c>
      <c r="T437">
        <v>1.05</v>
      </c>
      <c r="U437">
        <f t="shared" si="30"/>
        <v>0.47095746419981693</v>
      </c>
    </row>
    <row r="438" spans="1:21" hidden="1" x14ac:dyDescent="0.2">
      <c r="A438" t="s">
        <v>371</v>
      </c>
      <c r="B438" s="55">
        <f>1.372*B423*B433</f>
        <v>4.0101720951862783E-2</v>
      </c>
      <c r="C438" t="s">
        <v>56</v>
      </c>
      <c r="D438" t="s">
        <v>100</v>
      </c>
      <c r="F438" t="s">
        <v>99</v>
      </c>
      <c r="H438" t="s">
        <v>131</v>
      </c>
      <c r="I438" t="s">
        <v>512</v>
      </c>
      <c r="L438">
        <f t="shared" si="28"/>
        <v>2</v>
      </c>
      <c r="M438">
        <f t="shared" si="29"/>
        <v>-3.2163360290851939</v>
      </c>
      <c r="N438">
        <v>1.5</v>
      </c>
      <c r="O438">
        <v>1.2</v>
      </c>
      <c r="P438">
        <v>1.5</v>
      </c>
      <c r="Q438">
        <v>1.1000000000000001</v>
      </c>
      <c r="R438">
        <v>2</v>
      </c>
      <c r="S438">
        <v>1.2</v>
      </c>
      <c r="T438">
        <v>1.05</v>
      </c>
      <c r="U438">
        <f t="shared" si="30"/>
        <v>0.47095746419981693</v>
      </c>
    </row>
    <row r="439" spans="1:21" hidden="1" x14ac:dyDescent="0.2"/>
  </sheetData>
  <autoFilter ref="A1:U439" xr:uid="{9B76335B-A292-CF4B-B19C-7BB5BE791E6D}">
    <filterColumn colId="5">
      <filters>
        <filter val="production"/>
      </filters>
    </filterColumn>
    <filterColumn colId="10">
      <filters>
        <filter val="electricity, residential, by conversion of methanol using fuel cell, DMFC, allocated by exergy, transported by truck, produced by Electrolysis, PEM using water and electricity from grid and carbon sourced from Cement plant"/>
        <filter val="electricity, residential, by conversion of methanol using fuel cell, DMFC, allocated by exergy, transported by truck, produced by Electrolysis, PEM using water and electricity from grid and carbon sourced from DAC"/>
        <filter val="electricity, residential, by conversion of methanol using fuel cell, DMFC, allocated by exergy, transported by truck, produced by Electrolysis, PEM using water and electricity from grid and carbon sourced from MSWI"/>
        <filter val="heat, residential, by conversion of methanol using fuel cell, DMFC, allocated by exergy, transported by truck, produced by Electrolysis, PEM using water and electricity from grid and carbon sourced from Cement plant"/>
        <filter val="heat, residential, by conversion of methanol using fuel cell, DMFC, allocated by exergy, transported by truck, produced by Electrolysis, PEM using water and electricity from grid and carbon sourced from DAC"/>
        <filter val="heat, residential, by conversion of methanol using fuel cell, DMFC, allocated by exergy, transported by truck, produced by Electrolysis, PEM using water and electricity from grid and carbon sourced from MSWI"/>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C023B-347B-454F-BA38-216F27EC5021}">
  <sheetPr filterMode="1"/>
  <dimension ref="A1:U293"/>
  <sheetViews>
    <sheetView zoomScale="89" workbookViewId="0">
      <selection activeCell="F240" sqref="A1:U293"/>
    </sheetView>
  </sheetViews>
  <sheetFormatPr baseColWidth="10" defaultRowHeight="16" x14ac:dyDescent="0.2"/>
  <cols>
    <col min="1" max="1" width="56" customWidth="1"/>
    <col min="2" max="2" width="12.1640625" style="45" bestFit="1" customWidth="1"/>
    <col min="7" max="7" width="16.6640625" customWidth="1"/>
  </cols>
  <sheetData>
    <row r="1" spans="1:2" x14ac:dyDescent="0.2">
      <c r="A1" s="2" t="s">
        <v>50</v>
      </c>
      <c r="B1" s="44" t="str">
        <f>"heat, residential, by "&amp;B12&amp;" using "&amp;B13&amp;IF(B14&lt;&gt;0,"allocated by "&amp;B14,"")&amp;" using "&amp;B20&amp;" from "&amp;B21&amp;""</f>
        <v>heat, residential, by transfer of geothermal heat using ground source heat pump using electricity from grid</v>
      </c>
    </row>
    <row r="2" spans="1:2" hidden="1" x14ac:dyDescent="0.2">
      <c r="A2" t="s">
        <v>51</v>
      </c>
      <c r="B2" s="45" t="str">
        <f>"This dataset represents the supply of 1 megajoule of heat in a residence, by "&amp;B12&amp;" in a "&amp;B13&amp;". "&amp;" The "&amp;B11&amp;" is from "&amp;B21&amp;". "&amp;A23&amp;": "&amp;(B23*100)&amp;"%. "&amp;A24&amp;": "&amp;B24&amp;". "&amp;A25&amp;": "&amp;B25&amp;". "&amp;A26&amp;": "&amp;(B26*100)&amp;"%. "&amp;A27&amp;": "&amp;(B27*100)&amp;"%. "&amp;A28&amp;": "&amp;(B28*100)&amp;"%. "&amp;A29&amp;": "&amp;B29&amp;". "&amp;A30&amp;": "&amp;B30&amp;". "&amp;A31&amp;": "&amp;(B31*100)&amp;"%. "&amp;A32&amp;": "&amp;B32&amp;". "&amp;A33&amp;": "&amp;B33&amp;". "&amp;A34&amp;": "&amp;B34&amp;". "&amp;A35&amp;": "&amp;B35&amp;".  For more information, refer to: "&amp;B3</f>
        <v>This dataset represents the supply of 1 megajoule of heat in a residence, by transfer of geothermal heat in a ground source heat pump.  The electricity is from grid. Heat conversion efficiency [% LHV input]: 390%.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3" spans="1:2" hidden="1" x14ac:dyDescent="0.2">
      <c r="A3" t="s">
        <v>63</v>
      </c>
      <c r="B3" s="45" t="s">
        <v>660</v>
      </c>
    </row>
    <row r="4" spans="1:2" hidden="1" x14ac:dyDescent="0.2">
      <c r="A4" t="s">
        <v>52</v>
      </c>
      <c r="B4" s="45" t="s">
        <v>64</v>
      </c>
    </row>
    <row r="5" spans="1:2" hidden="1" x14ac:dyDescent="0.2">
      <c r="A5" t="s">
        <v>48</v>
      </c>
      <c r="B5" s="45">
        <v>192</v>
      </c>
    </row>
    <row r="6" spans="1:2" hidden="1" x14ac:dyDescent="0.2">
      <c r="A6" t="s">
        <v>54</v>
      </c>
      <c r="B6" s="45" t="str">
        <f>INDEX(overview!$B$4:$R$200,MATCH(B5,overview!$A$4:$A$200,0),MATCH(A6,overview!$B$3:$R$3,0))</f>
        <v>heat, from residential heating system</v>
      </c>
    </row>
    <row r="7" spans="1:2" hidden="1" x14ac:dyDescent="0.2">
      <c r="A7" t="s">
        <v>55</v>
      </c>
      <c r="B7" s="45" t="str">
        <f>INDEX(overview!$B$4:$R$200,MATCH(B5,overview!$A$4:$A$200,0),MATCH(A7,overview!$B$3:$R$3,0))</f>
        <v>megajoule</v>
      </c>
    </row>
    <row r="8" spans="1:2" hidden="1" x14ac:dyDescent="0.2">
      <c r="A8" t="s">
        <v>0</v>
      </c>
      <c r="B8" s="45" t="str">
        <f>INDEX(overview!$B$4:$R$200,MATCH(B5,overview!$A$4:$A$200,0),MATCH(A8,overview!$B$3:$R$3,0))</f>
        <v>Switzerland</v>
      </c>
    </row>
    <row r="9" spans="1:2" hidden="1" x14ac:dyDescent="0.2">
      <c r="A9" t="s">
        <v>1</v>
      </c>
      <c r="B9" s="45">
        <f>INDEX(overview!$B$4:$R$200,MATCH(B5,overview!$A$4:$A$200,0),MATCH(A9,overview!$B$3:$R$3,0))</f>
        <v>2020</v>
      </c>
    </row>
    <row r="10" spans="1:2" hidden="1" x14ac:dyDescent="0.2">
      <c r="A10" t="s">
        <v>2</v>
      </c>
      <c r="B10" s="45" t="str">
        <f>INDEX(overview!$B$4:$R$200,MATCH(B5,overview!$A$4:$A$200,0),MATCH(A10,overview!$B$3:$R$3,0))</f>
        <v>1 MJ heat</v>
      </c>
    </row>
    <row r="11" spans="1:2" hidden="1" x14ac:dyDescent="0.2">
      <c r="A11" t="s">
        <v>5</v>
      </c>
      <c r="B11" s="45" t="str">
        <f>INDEX(overview!$B$4:$R$200,MATCH(B5,overview!$A$4:$A$200,0),MATCH(A11,overview!$B$3:$R$3,0))</f>
        <v>electricity</v>
      </c>
    </row>
    <row r="12" spans="1:2" hidden="1" x14ac:dyDescent="0.2">
      <c r="A12" t="s">
        <v>3</v>
      </c>
      <c r="B12" s="45" t="str">
        <f>INDEX(overview!$B$4:$R$200,MATCH(B5,overview!$A$4:$A$200,0),MATCH(A12,overview!$B$3:$R$3,0))</f>
        <v>transfer of geothermal heat</v>
      </c>
    </row>
    <row r="13" spans="1:2" hidden="1" x14ac:dyDescent="0.2">
      <c r="A13" t="s">
        <v>6</v>
      </c>
      <c r="B13" s="45" t="str">
        <f>INDEX(overview!$B$4:$R$200,MATCH(B5,overview!$A$4:$A$200,0),MATCH(A13,overview!$B$3:$R$3,0))</f>
        <v>ground source heat pump</v>
      </c>
    </row>
    <row r="14" spans="1:2" hidden="1" x14ac:dyDescent="0.2">
      <c r="A14" t="s">
        <v>39</v>
      </c>
      <c r="B14" s="45">
        <f>INDEX(overview!$B$4:$R$200,MATCH(B5,overview!$A$4:$A$200,0),MATCH(A14,overview!$B$3:$R$3,0))</f>
        <v>0</v>
      </c>
    </row>
    <row r="15" spans="1:2" hidden="1" x14ac:dyDescent="0.2">
      <c r="A15" t="s">
        <v>4</v>
      </c>
      <c r="B15" s="45">
        <f>INDEX(overview!$B$4:$R$200,MATCH(B5,overview!$A$4:$A$200,0),MATCH(A15,overview!$B$3:$R$3,0))</f>
        <v>0</v>
      </c>
    </row>
    <row r="16" spans="1:2" hidden="1" x14ac:dyDescent="0.2">
      <c r="A16" t="s">
        <v>38</v>
      </c>
      <c r="B16" s="45">
        <f>INDEX(overview!$B$4:$R$200,MATCH(B5,overview!$A$4:$A$200,0),MATCH(A16,overview!$B$3:$R$3,0))</f>
        <v>0</v>
      </c>
    </row>
    <row r="17" spans="1:2" hidden="1" x14ac:dyDescent="0.2">
      <c r="A17" t="s">
        <v>12</v>
      </c>
      <c r="B17" s="45">
        <f>INDEX(overview!$B$4:$R$200,MATCH(B5,overview!$A$4:$A$200,0),MATCH(A17,overview!$B$3:$R$3,0))</f>
        <v>0</v>
      </c>
    </row>
    <row r="18" spans="1:2" hidden="1" x14ac:dyDescent="0.2">
      <c r="A18" t="s">
        <v>34</v>
      </c>
      <c r="B18" s="45">
        <f>INDEX(overview!$B$4:$R$200,MATCH(B5,overview!$A$4:$A$200,0),MATCH(A18,overview!$B$3:$R$3,0))</f>
        <v>0</v>
      </c>
    </row>
    <row r="19" spans="1:2" hidden="1" x14ac:dyDescent="0.2">
      <c r="A19" t="s">
        <v>15</v>
      </c>
      <c r="B19" s="45">
        <f>INDEX(overview!$B$4:$R$200,MATCH(B5,overview!$A$4:$A$200,0),MATCH(A19,overview!$B$3:$R$3,0))</f>
        <v>0</v>
      </c>
    </row>
    <row r="20" spans="1:2" hidden="1" x14ac:dyDescent="0.2">
      <c r="A20" t="s">
        <v>14</v>
      </c>
      <c r="B20" s="45" t="str">
        <f>INDEX(overview!$B$4:$R$200,MATCH(B5,overview!$A$4:$A$200,0),MATCH(A20,overview!$B$3:$R$3,0))</f>
        <v>electricity</v>
      </c>
    </row>
    <row r="21" spans="1:2" hidden="1" x14ac:dyDescent="0.2">
      <c r="A21" t="s">
        <v>26</v>
      </c>
      <c r="B21" s="45" t="str">
        <f>INDEX(overview!$B$4:$R$200,MATCH(B5,overview!$A$4:$A$200,0),MATCH(A21,overview!$B$3:$R$3,0))</f>
        <v>grid</v>
      </c>
    </row>
    <row r="22" spans="1:2" hidden="1" x14ac:dyDescent="0.2">
      <c r="A22" t="s">
        <v>29</v>
      </c>
      <c r="B22" s="45">
        <f>INDEX(overview!$B$4:$R$200,MATCH(B5,overview!$A$4:$A$200,0),MATCH(A22,overview!$B$3:$R$3,0))</f>
        <v>0</v>
      </c>
    </row>
    <row r="23" spans="1:2" hidden="1" x14ac:dyDescent="0.2">
      <c r="A23" t="s">
        <v>632</v>
      </c>
      <c r="B23" s="46">
        <f>INDEX(parameters!$D$4:$N$20,MATCH(B11&amp;B13,parameters!$A$4:$A$20,0),MATCH(A23,parameters!$D$3:$N$3,0))</f>
        <v>3.9</v>
      </c>
    </row>
    <row r="24" spans="1:2" hidden="1" x14ac:dyDescent="0.2">
      <c r="A24" t="s">
        <v>40</v>
      </c>
      <c r="B24" s="47">
        <f>INDEX(parameters!$D$4:$N$20,MATCH(B11&amp;B13,parameters!$A$4:$A$20,0),MATCH(A24,parameters!$D$3:$N$3,0))</f>
        <v>3.6</v>
      </c>
    </row>
    <row r="25" spans="1:2" hidden="1" x14ac:dyDescent="0.2">
      <c r="A25" t="s">
        <v>41</v>
      </c>
      <c r="B25" s="48">
        <f>INDEX(parameters!$D$4:$N$20,MATCH(B11&amp;B13,parameters!$A$4:$A$20,0),MATCH(A25,parameters!$D$3:$N$3,0))</f>
        <v>2.6666666666666665E-2</v>
      </c>
    </row>
    <row r="26" spans="1:2" hidden="1" x14ac:dyDescent="0.2">
      <c r="A26" t="s">
        <v>45</v>
      </c>
      <c r="B26" s="49">
        <f>INDEX(parameters!$D$4:$N$20,MATCH(B11&amp;B13,parameters!$A$4:$A$20,0),MATCH(A26,parameters!$D$3:$N$3,0))</f>
        <v>0</v>
      </c>
    </row>
    <row r="27" spans="1:2" hidden="1" x14ac:dyDescent="0.2">
      <c r="A27" t="s">
        <v>46</v>
      </c>
      <c r="B27" s="49">
        <f>INDEX(parameters!$D$4:$N$20,MATCH(B11&amp;B13,parameters!$A$4:$A$20,0),MATCH(A27,parameters!$D$3:$N$3,0))</f>
        <v>0</v>
      </c>
    </row>
    <row r="28" spans="1:2" hidden="1" x14ac:dyDescent="0.2">
      <c r="A28" t="s">
        <v>43</v>
      </c>
      <c r="B28" s="49">
        <f>INDEX(parameters!$D$4:$N$20,MATCH(B11&amp;B13,parameters!$A$4:$A$20,0),MATCH(A28,parameters!$D$3:$N$3,0))</f>
        <v>0</v>
      </c>
    </row>
    <row r="29" spans="1:2" hidden="1" x14ac:dyDescent="0.2">
      <c r="A29" t="s">
        <v>44</v>
      </c>
      <c r="B29" s="49">
        <f>INDEX(parameters!$D$4:$N$20,MATCH(B11&amp;B13,parameters!$A$4:$A$20,0),MATCH(A29,parameters!$D$3:$N$3,0))</f>
        <v>0</v>
      </c>
    </row>
    <row r="30" spans="1:2" hidden="1" x14ac:dyDescent="0.2">
      <c r="A30" t="s">
        <v>47</v>
      </c>
      <c r="B30" s="49">
        <f>INDEX(parameters!$D$4:$N$20,MATCH(B11&amp;B13,parameters!$A$4:$A$20,0),MATCH(A30,parameters!$D$3:$N$3,0))</f>
        <v>0.06</v>
      </c>
    </row>
    <row r="31" spans="1:2" hidden="1" x14ac:dyDescent="0.2">
      <c r="A31" t="s">
        <v>82</v>
      </c>
      <c r="B31" s="46">
        <f>IF(B22&lt;&gt;0,VLOOKUP(B22,parameters!$A$26:$B$28,2,0),0)</f>
        <v>0</v>
      </c>
    </row>
    <row r="32" spans="1:2" hidden="1" x14ac:dyDescent="0.2">
      <c r="A32" t="s">
        <v>548</v>
      </c>
      <c r="B32" s="50">
        <f>INDEX(parameters!$D$4:$P$20,MATCH(B11&amp;B13,parameters!$A$4:$A$20,0),MATCH(A32,parameters!$D$3:$P$3,0))</f>
        <v>10</v>
      </c>
    </row>
    <row r="33" spans="1:21" hidden="1" x14ac:dyDescent="0.2">
      <c r="A33" t="s">
        <v>547</v>
      </c>
      <c r="B33" s="51">
        <f>INDEX(parameters!$D$4:$P$20,MATCH(B11&amp;B13,parameters!$A$4:$A$20,0),MATCH(A33,parameters!$D$3:$P$3,0))</f>
        <v>20</v>
      </c>
    </row>
    <row r="34" spans="1:21" hidden="1" x14ac:dyDescent="0.2">
      <c r="A34" t="s">
        <v>630</v>
      </c>
      <c r="B34" s="51">
        <f>INDEX(parameters!$D$4:$T$20,MATCH(B11&amp;B13,parameters!$A$4:$A$20,0),MATCH(A34,parameters!$D$3:$T$3,0))</f>
        <v>2100</v>
      </c>
    </row>
    <row r="35" spans="1:21" hidden="1" x14ac:dyDescent="0.2"/>
    <row r="36" spans="1:21" hidden="1" x14ac:dyDescent="0.2">
      <c r="A36" s="3" t="s">
        <v>57</v>
      </c>
    </row>
    <row r="37" spans="1:21" hidden="1" x14ac:dyDescent="0.2">
      <c r="A37" s="2" t="s">
        <v>58</v>
      </c>
      <c r="B37" s="44" t="s">
        <v>59</v>
      </c>
      <c r="C37" s="2" t="s">
        <v>55</v>
      </c>
      <c r="D37" s="2" t="s">
        <v>60</v>
      </c>
      <c r="E37" s="2" t="s">
        <v>52</v>
      </c>
      <c r="F37" s="2" t="s">
        <v>61</v>
      </c>
      <c r="G37" s="2" t="s">
        <v>54</v>
      </c>
      <c r="H37" s="2" t="s">
        <v>87</v>
      </c>
      <c r="I37" s="2" t="s">
        <v>51</v>
      </c>
      <c r="J37" s="2" t="s">
        <v>138</v>
      </c>
      <c r="K37" s="2" t="s">
        <v>136</v>
      </c>
      <c r="L37" s="2" t="s">
        <v>221</v>
      </c>
      <c r="M37" s="2" t="s">
        <v>379</v>
      </c>
      <c r="N37" s="2" t="s">
        <v>1059</v>
      </c>
      <c r="O37" s="2" t="s">
        <v>1060</v>
      </c>
      <c r="P37" s="2" t="s">
        <v>1061</v>
      </c>
      <c r="Q37" s="2" t="s">
        <v>1062</v>
      </c>
      <c r="R37" s="2" t="s">
        <v>1063</v>
      </c>
      <c r="S37" s="2" t="s">
        <v>1064</v>
      </c>
      <c r="T37" s="2" t="s">
        <v>1065</v>
      </c>
      <c r="U37" s="2" t="s">
        <v>380</v>
      </c>
    </row>
    <row r="38" spans="1:21" hidden="1" x14ac:dyDescent="0.2">
      <c r="A38" t="str">
        <f>B1</f>
        <v>heat, residential, by transfer of geothermal heat using ground source heat pump using electricity from grid</v>
      </c>
      <c r="B38" s="45">
        <v>1</v>
      </c>
      <c r="C38" t="str">
        <f>B7</f>
        <v>megajoule</v>
      </c>
      <c r="E38" t="str">
        <f>B4</f>
        <v>CH</v>
      </c>
      <c r="F38" t="s">
        <v>62</v>
      </c>
      <c r="G38" t="str">
        <f>B6</f>
        <v>heat, from residential heating system</v>
      </c>
      <c r="K38" t="str">
        <f>B1</f>
        <v>heat, residential, by transfer of geothermal heat using ground source heat pump using electricity from grid</v>
      </c>
    </row>
    <row r="39" spans="1:21" x14ac:dyDescent="0.2">
      <c r="A39" t="str">
        <f>VLOOKUP(J39,'dataset mapping'!$A$4:$E$69,2,0)</f>
        <v>heat pump 10 kW production for ground source heat pump system</v>
      </c>
      <c r="B39" s="52">
        <f>1/(B32*B34*B33*3.6)</f>
        <v>6.6137566137566138E-7</v>
      </c>
      <c r="C39" t="str">
        <f>VLOOKUP(J39,'dataset mapping'!$A$4:$E$69,5,0)</f>
        <v>unit</v>
      </c>
      <c r="E39" t="str">
        <f>VLOOKUP(J39,'dataset mapping'!$A$4:$E$69,4,0)</f>
        <v>CH</v>
      </c>
      <c r="F39" t="s">
        <v>86</v>
      </c>
      <c r="G39" t="str">
        <f>VLOOKUP(J39,'dataset mapping'!$A$4:$E$69,3,0)</f>
        <v>heat pump 10 kW</v>
      </c>
      <c r="H39" t="s">
        <v>77</v>
      </c>
      <c r="J39" t="s">
        <v>543</v>
      </c>
      <c r="K39" t="str">
        <f>B1</f>
        <v>heat, residential, by transfer of geothermal heat using ground source heat pump using electricity from grid</v>
      </c>
      <c r="L39">
        <v>2</v>
      </c>
      <c r="M39">
        <f>LN(B39)</f>
        <v>-14.228943835721616</v>
      </c>
      <c r="N39">
        <v>1.5</v>
      </c>
      <c r="O39">
        <v>1.2</v>
      </c>
      <c r="P39">
        <v>1.5</v>
      </c>
      <c r="Q39">
        <v>1.1000000000000001</v>
      </c>
      <c r="R39">
        <v>2</v>
      </c>
      <c r="S39">
        <v>1.2</v>
      </c>
      <c r="T39">
        <v>3</v>
      </c>
      <c r="U39">
        <f t="shared" ref="U39:U48" si="0">LN(SQRT(EXP(
SQRT(
+POWER(LN(N39),2)
+POWER(LN(O39),2)
+POWER(LN(P39),2)
+POWER(LN(Q39),2)
+POWER(LN(R39),2)
+POWER(LN(S39),2)
+POWER(LN(T39),2)
)
)))</f>
        <v>0.72314801614797197</v>
      </c>
    </row>
    <row r="40" spans="1:21" x14ac:dyDescent="0.2">
      <c r="A40" t="str">
        <f>VLOOKUP(J40,'dataset mapping'!$A$4:$E$69,2,0)</f>
        <v>treatment of heat pump 10 kW production for air source heat pump system</v>
      </c>
      <c r="B40" s="52">
        <f>1/(B32*B34*B33*3.6)</f>
        <v>6.6137566137566138E-7</v>
      </c>
      <c r="C40" t="str">
        <f>VLOOKUP(J40,'dataset mapping'!$A$4:$E$69,5,0)</f>
        <v>unit</v>
      </c>
      <c r="E40" t="str">
        <f>VLOOKUP(J40,'dataset mapping'!$A$4:$E$69,4,0)</f>
        <v>CH</v>
      </c>
      <c r="F40" t="s">
        <v>86</v>
      </c>
      <c r="G40" t="str">
        <f>VLOOKUP(J40,'dataset mapping'!$A$4:$E$69,3,0)</f>
        <v>heat pump 10 kW</v>
      </c>
      <c r="H40" t="s">
        <v>77</v>
      </c>
      <c r="J40" t="s">
        <v>544</v>
      </c>
      <c r="K40" t="str">
        <f>B1</f>
        <v>heat, residential, by transfer of geothermal heat using ground source heat pump using electricity from grid</v>
      </c>
      <c r="L40">
        <v>2</v>
      </c>
      <c r="M40">
        <f t="shared" ref="M40:M48" si="1">LN(B40)</f>
        <v>-14.228943835721616</v>
      </c>
      <c r="N40">
        <v>1.5</v>
      </c>
      <c r="O40">
        <v>1.2</v>
      </c>
      <c r="P40">
        <v>1.5</v>
      </c>
      <c r="Q40">
        <v>1.1000000000000001</v>
      </c>
      <c r="R40">
        <v>2</v>
      </c>
      <c r="S40">
        <v>1.2</v>
      </c>
      <c r="T40">
        <v>3</v>
      </c>
      <c r="U40">
        <f t="shared" si="0"/>
        <v>0.72314801614797197</v>
      </c>
    </row>
    <row r="41" spans="1:21" x14ac:dyDescent="0.2">
      <c r="A41" t="s">
        <v>130</v>
      </c>
      <c r="B41" s="55">
        <f>B38/B23/3.6</f>
        <v>7.1225071225071226E-2</v>
      </c>
      <c r="C41" t="s">
        <v>92</v>
      </c>
      <c r="E41" t="s">
        <v>64</v>
      </c>
      <c r="F41" t="s">
        <v>86</v>
      </c>
      <c r="G41" t="s">
        <v>93</v>
      </c>
      <c r="H41" t="s">
        <v>78</v>
      </c>
      <c r="I41" t="s">
        <v>609</v>
      </c>
      <c r="K41" t="str">
        <f>B1</f>
        <v>heat, residential, by transfer of geothermal heat using ground source heat pump using electricity from grid</v>
      </c>
      <c r="L41">
        <v>2</v>
      </c>
      <c r="M41">
        <f t="shared" si="1"/>
        <v>-2.6419103985976649</v>
      </c>
      <c r="N41">
        <v>1.5</v>
      </c>
      <c r="O41">
        <v>1.2</v>
      </c>
      <c r="P41">
        <v>1.5</v>
      </c>
      <c r="Q41">
        <v>1.1000000000000001</v>
      </c>
      <c r="R41">
        <v>2</v>
      </c>
      <c r="S41">
        <v>1.2</v>
      </c>
      <c r="T41">
        <v>1.05</v>
      </c>
      <c r="U41">
        <f t="shared" si="0"/>
        <v>0.47095746419981693</v>
      </c>
    </row>
    <row r="42" spans="1:21" x14ac:dyDescent="0.2">
      <c r="A42" t="s">
        <v>539</v>
      </c>
      <c r="B42" s="45">
        <v>1</v>
      </c>
      <c r="C42" t="s">
        <v>65</v>
      </c>
      <c r="D42" t="s">
        <v>113</v>
      </c>
      <c r="F42" t="s">
        <v>99</v>
      </c>
      <c r="K42" t="str">
        <f>B1</f>
        <v>heat, residential, by transfer of geothermal heat using ground source heat pump using electricity from grid</v>
      </c>
      <c r="L42">
        <v>2</v>
      </c>
      <c r="M42">
        <f t="shared" si="1"/>
        <v>0</v>
      </c>
      <c r="N42">
        <v>1.5</v>
      </c>
      <c r="O42">
        <v>1.2</v>
      </c>
      <c r="P42">
        <v>1.5</v>
      </c>
      <c r="Q42">
        <v>1.1000000000000001</v>
      </c>
      <c r="R42">
        <v>2</v>
      </c>
      <c r="S42">
        <v>1.2</v>
      </c>
      <c r="T42">
        <v>1.05</v>
      </c>
      <c r="U42">
        <f t="shared" si="0"/>
        <v>0.47095746419981693</v>
      </c>
    </row>
    <row r="43" spans="1:21" x14ac:dyDescent="0.2">
      <c r="A43" t="s">
        <v>540</v>
      </c>
      <c r="B43" s="52">
        <f>(1/(B32*B34*3.6))</f>
        <v>1.3227513227513228E-5</v>
      </c>
      <c r="C43" t="s">
        <v>55</v>
      </c>
      <c r="E43" t="s">
        <v>85</v>
      </c>
      <c r="F43" t="s">
        <v>86</v>
      </c>
      <c r="G43" t="s">
        <v>541</v>
      </c>
      <c r="H43" t="s">
        <v>155</v>
      </c>
      <c r="K43" t="str">
        <f>B1</f>
        <v>heat, residential, by transfer of geothermal heat using ground source heat pump using electricity from grid</v>
      </c>
      <c r="L43">
        <v>2</v>
      </c>
      <c r="M43">
        <f t="shared" si="1"/>
        <v>-11.233211562167625</v>
      </c>
      <c r="N43">
        <v>1.5</v>
      </c>
      <c r="O43">
        <v>1.2</v>
      </c>
      <c r="P43">
        <v>1.5</v>
      </c>
      <c r="Q43">
        <v>1.1000000000000001</v>
      </c>
      <c r="R43">
        <v>2</v>
      </c>
      <c r="S43">
        <v>1.2</v>
      </c>
      <c r="T43">
        <v>1.05</v>
      </c>
      <c r="U43">
        <f t="shared" si="0"/>
        <v>0.47095746419981693</v>
      </c>
    </row>
    <row r="44" spans="1:21" x14ac:dyDescent="0.2">
      <c r="A44" t="s">
        <v>156</v>
      </c>
      <c r="B44" s="56">
        <f>1/(B32*B34*3.6)*0.03</f>
        <v>3.9682539682539683E-7</v>
      </c>
      <c r="C44" t="s">
        <v>56</v>
      </c>
      <c r="E44" t="s">
        <v>90</v>
      </c>
      <c r="F44" t="s">
        <v>86</v>
      </c>
      <c r="G44" t="s">
        <v>154</v>
      </c>
      <c r="H44" t="s">
        <v>155</v>
      </c>
      <c r="K44" t="str">
        <f>B1</f>
        <v>heat, residential, by transfer of geothermal heat using ground source heat pump using electricity from grid</v>
      </c>
      <c r="L44">
        <v>2</v>
      </c>
      <c r="M44">
        <f t="shared" si="1"/>
        <v>-14.739769459487606</v>
      </c>
      <c r="N44">
        <v>1.5</v>
      </c>
      <c r="O44">
        <v>1.2</v>
      </c>
      <c r="P44">
        <v>1.5</v>
      </c>
      <c r="Q44">
        <v>1.1000000000000001</v>
      </c>
      <c r="R44">
        <v>2</v>
      </c>
      <c r="S44">
        <v>1.2</v>
      </c>
      <c r="T44">
        <v>1.05</v>
      </c>
      <c r="U44">
        <f t="shared" si="0"/>
        <v>0.47095746419981693</v>
      </c>
    </row>
    <row r="45" spans="1:21" x14ac:dyDescent="0.2">
      <c r="A45" t="s">
        <v>614</v>
      </c>
      <c r="B45" s="45">
        <f>1/(B32*B34*3.6)*(1.9*2%)*50%</f>
        <v>2.5132275132275135E-7</v>
      </c>
      <c r="C45" t="s">
        <v>56</v>
      </c>
      <c r="E45" t="s">
        <v>85</v>
      </c>
      <c r="F45" t="s">
        <v>86</v>
      </c>
      <c r="G45" t="s">
        <v>615</v>
      </c>
      <c r="H45" t="s">
        <v>618</v>
      </c>
      <c r="I45" s="6"/>
      <c r="L45">
        <v>2</v>
      </c>
      <c r="M45">
        <f t="shared" si="1"/>
        <v>-15.196527861983322</v>
      </c>
      <c r="N45">
        <v>1.5</v>
      </c>
      <c r="O45">
        <v>1.2</v>
      </c>
      <c r="P45">
        <v>1.5</v>
      </c>
      <c r="Q45">
        <v>1.1000000000000001</v>
      </c>
      <c r="R45">
        <v>2</v>
      </c>
      <c r="S45">
        <v>1.2</v>
      </c>
      <c r="T45">
        <v>1.05</v>
      </c>
      <c r="U45">
        <f t="shared" si="0"/>
        <v>0.47095746419981693</v>
      </c>
    </row>
    <row r="46" spans="1:21" x14ac:dyDescent="0.2">
      <c r="A46" t="s">
        <v>616</v>
      </c>
      <c r="B46" s="45">
        <f>1/(B32*B34*3.6)*(1.9*2%)*50%</f>
        <v>2.5132275132275135E-7</v>
      </c>
      <c r="C46" t="s">
        <v>56</v>
      </c>
      <c r="E46" t="s">
        <v>85</v>
      </c>
      <c r="F46" t="s">
        <v>86</v>
      </c>
      <c r="G46" t="s">
        <v>617</v>
      </c>
      <c r="H46" t="s">
        <v>618</v>
      </c>
      <c r="I46" s="6"/>
      <c r="L46">
        <v>2</v>
      </c>
      <c r="M46">
        <f t="shared" si="1"/>
        <v>-15.196527861983322</v>
      </c>
      <c r="N46">
        <v>1.5</v>
      </c>
      <c r="O46">
        <v>1.2</v>
      </c>
      <c r="P46">
        <v>1.5</v>
      </c>
      <c r="Q46">
        <v>1.1000000000000001</v>
      </c>
      <c r="R46">
        <v>2</v>
      </c>
      <c r="S46">
        <v>1.2</v>
      </c>
      <c r="T46">
        <v>1.05</v>
      </c>
      <c r="U46">
        <f t="shared" si="0"/>
        <v>0.47095746419981693</v>
      </c>
    </row>
    <row r="47" spans="1:21" x14ac:dyDescent="0.2">
      <c r="A47" t="s">
        <v>619</v>
      </c>
      <c r="B47" s="45">
        <f>B45</f>
        <v>2.5132275132275135E-7</v>
      </c>
      <c r="C47" t="s">
        <v>56</v>
      </c>
      <c r="D47" t="s">
        <v>100</v>
      </c>
      <c r="F47" t="s">
        <v>99</v>
      </c>
      <c r="H47" t="s">
        <v>618</v>
      </c>
      <c r="I47" s="6"/>
      <c r="L47">
        <v>2</v>
      </c>
      <c r="M47">
        <f t="shared" si="1"/>
        <v>-15.196527861983322</v>
      </c>
      <c r="N47">
        <v>1.5</v>
      </c>
      <c r="O47">
        <v>1.2</v>
      </c>
      <c r="P47">
        <v>1.5</v>
      </c>
      <c r="Q47">
        <v>1.1000000000000001</v>
      </c>
      <c r="R47">
        <v>2</v>
      </c>
      <c r="S47">
        <v>1.2</v>
      </c>
      <c r="T47">
        <v>1.5</v>
      </c>
      <c r="U47">
        <f t="shared" si="0"/>
        <v>0.51215847306170115</v>
      </c>
    </row>
    <row r="48" spans="1:21" x14ac:dyDescent="0.2">
      <c r="A48" t="s">
        <v>620</v>
      </c>
      <c r="B48" s="45">
        <f>B46</f>
        <v>2.5132275132275135E-7</v>
      </c>
      <c r="C48" t="s">
        <v>56</v>
      </c>
      <c r="D48" t="s">
        <v>100</v>
      </c>
      <c r="F48" t="s">
        <v>99</v>
      </c>
      <c r="H48" t="s">
        <v>618</v>
      </c>
      <c r="I48" s="6"/>
      <c r="L48">
        <v>2</v>
      </c>
      <c r="M48">
        <f t="shared" si="1"/>
        <v>-15.196527861983322</v>
      </c>
      <c r="N48">
        <v>1.5</v>
      </c>
      <c r="O48">
        <v>1.2</v>
      </c>
      <c r="P48">
        <v>1.5</v>
      </c>
      <c r="Q48">
        <v>1.1000000000000001</v>
      </c>
      <c r="R48">
        <v>2</v>
      </c>
      <c r="S48">
        <v>1.2</v>
      </c>
      <c r="T48">
        <v>1.5</v>
      </c>
      <c r="U48">
        <f t="shared" si="0"/>
        <v>0.51215847306170115</v>
      </c>
    </row>
    <row r="49" spans="1:2" hidden="1" x14ac:dyDescent="0.2"/>
    <row r="50" spans="1:2" hidden="1" x14ac:dyDescent="0.2">
      <c r="A50" s="2" t="s">
        <v>50</v>
      </c>
      <c r="B50" s="44" t="str">
        <f>"heat, residential, by "&amp;B61&amp;" using "&amp;B62&amp;IF(B63&lt;&gt;0,"allocated by "&amp;B63,"")&amp;" using "&amp;B69&amp;" from "&amp;B70&amp;""</f>
        <v>heat, residential, by transfer of geothermal heat using ground source heat pump using electricity from Solar PV (CH)</v>
      </c>
    </row>
    <row r="51" spans="1:2" hidden="1" x14ac:dyDescent="0.2">
      <c r="A51" t="s">
        <v>51</v>
      </c>
      <c r="B51" s="45" t="str">
        <f>"This dataset represents the supply of 1 megajoule of heat in a residence, by "&amp;B61&amp;" in a "&amp;B62&amp;". "&amp;" The "&amp;B60&amp;" is from "&amp;B70&amp;". "&amp;A72&amp;": "&amp;(B72*100)&amp;"%. "&amp;A73&amp;": "&amp;B73&amp;". "&amp;A74&amp;": "&amp;B74&amp;". "&amp;A75&amp;": "&amp;(B75*100)&amp;"%. "&amp;A76&amp;": "&amp;(B76*100)&amp;"%. "&amp;A77&amp;": "&amp;(B77*100)&amp;"%. "&amp;A78&amp;": "&amp;B78&amp;". "&amp;A79&amp;": "&amp;B79&amp;". "&amp;A80&amp;": "&amp;(B80*100)&amp;"%. "&amp;A81&amp;": "&amp;B81&amp;". "&amp;A82&amp;": "&amp;B82&amp;". "&amp;A83&amp;": "&amp;B83&amp;". "&amp;A84&amp;": "&amp;B84&amp;".  For more information, refer to: "&amp;B52</f>
        <v>This dataset represents the supply of 1 megajoule of heat in a residence, by transfer of geothermal heat in a ground source heat pump.  The electricity is from Solar PV (CH). Heat conversion efficiency [% LHV input]: 390%.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52" spans="1:2" hidden="1" x14ac:dyDescent="0.2">
      <c r="A52" t="s">
        <v>63</v>
      </c>
      <c r="B52" s="45" t="s">
        <v>660</v>
      </c>
    </row>
    <row r="53" spans="1:2" hidden="1" x14ac:dyDescent="0.2">
      <c r="A53" t="s">
        <v>52</v>
      </c>
      <c r="B53" s="45" t="s">
        <v>64</v>
      </c>
    </row>
    <row r="54" spans="1:2" hidden="1" x14ac:dyDescent="0.2">
      <c r="A54" t="s">
        <v>48</v>
      </c>
      <c r="B54" s="45">
        <v>193</v>
      </c>
    </row>
    <row r="55" spans="1:2" hidden="1" x14ac:dyDescent="0.2">
      <c r="A55" t="s">
        <v>54</v>
      </c>
      <c r="B55" s="45" t="str">
        <f>INDEX(overview!$B$4:$R$200,MATCH(B54,overview!$A$4:$A$200,0),MATCH(A55,overview!$B$3:$R$3,0))</f>
        <v>heat, from residential heating system</v>
      </c>
    </row>
    <row r="56" spans="1:2" hidden="1" x14ac:dyDescent="0.2">
      <c r="A56" t="s">
        <v>55</v>
      </c>
      <c r="B56" s="45" t="str">
        <f>INDEX(overview!$B$4:$R$200,MATCH(B54,overview!$A$4:$A$200,0),MATCH(A56,overview!$B$3:$R$3,0))</f>
        <v>megajoule</v>
      </c>
    </row>
    <row r="57" spans="1:2" hidden="1" x14ac:dyDescent="0.2">
      <c r="A57" t="s">
        <v>0</v>
      </c>
      <c r="B57" s="45" t="str">
        <f>INDEX(overview!$B$4:$R$200,MATCH(B54,overview!$A$4:$A$200,0),MATCH(A57,overview!$B$3:$R$3,0))</f>
        <v>Switzerland</v>
      </c>
    </row>
    <row r="58" spans="1:2" hidden="1" x14ac:dyDescent="0.2">
      <c r="A58" t="s">
        <v>1</v>
      </c>
      <c r="B58" s="45">
        <f>INDEX(overview!$B$4:$R$200,MATCH(B54,overview!$A$4:$A$200,0),MATCH(A58,overview!$B$3:$R$3,0))</f>
        <v>2020</v>
      </c>
    </row>
    <row r="59" spans="1:2" hidden="1" x14ac:dyDescent="0.2">
      <c r="A59" t="s">
        <v>2</v>
      </c>
      <c r="B59" s="45" t="str">
        <f>INDEX(overview!$B$4:$R$200,MATCH(B54,overview!$A$4:$A$200,0),MATCH(A59,overview!$B$3:$R$3,0))</f>
        <v>1 MJ heat</v>
      </c>
    </row>
    <row r="60" spans="1:2" hidden="1" x14ac:dyDescent="0.2">
      <c r="A60" t="s">
        <v>5</v>
      </c>
      <c r="B60" s="45" t="str">
        <f>INDEX(overview!$B$4:$R$200,MATCH(B54,overview!$A$4:$A$200,0),MATCH(A60,overview!$B$3:$R$3,0))</f>
        <v>electricity</v>
      </c>
    </row>
    <row r="61" spans="1:2" hidden="1" x14ac:dyDescent="0.2">
      <c r="A61" t="s">
        <v>3</v>
      </c>
      <c r="B61" s="45" t="str">
        <f>INDEX(overview!$B$4:$R$200,MATCH(B54,overview!$A$4:$A$200,0),MATCH(A61,overview!$B$3:$R$3,0))</f>
        <v>transfer of geothermal heat</v>
      </c>
    </row>
    <row r="62" spans="1:2" hidden="1" x14ac:dyDescent="0.2">
      <c r="A62" t="s">
        <v>6</v>
      </c>
      <c r="B62" s="45" t="str">
        <f>INDEX(overview!$B$4:$R$200,MATCH(B54,overview!$A$4:$A$200,0),MATCH(A62,overview!$B$3:$R$3,0))</f>
        <v>ground source heat pump</v>
      </c>
    </row>
    <row r="63" spans="1:2" hidden="1" x14ac:dyDescent="0.2">
      <c r="A63" t="s">
        <v>39</v>
      </c>
      <c r="B63" s="45">
        <f>INDEX(overview!$B$4:$R$200,MATCH(B54,overview!$A$4:$A$200,0),MATCH(A63,overview!$B$3:$R$3,0))</f>
        <v>0</v>
      </c>
    </row>
    <row r="64" spans="1:2" hidden="1" x14ac:dyDescent="0.2">
      <c r="A64" t="s">
        <v>4</v>
      </c>
      <c r="B64" s="45">
        <f>INDEX(overview!$B$4:$R$200,MATCH(B54,overview!$A$4:$A$200,0),MATCH(A64,overview!$B$3:$R$3,0))</f>
        <v>0</v>
      </c>
    </row>
    <row r="65" spans="1:2" hidden="1" x14ac:dyDescent="0.2">
      <c r="A65" t="s">
        <v>38</v>
      </c>
      <c r="B65" s="45">
        <f>INDEX(overview!$B$4:$R$200,MATCH(B54,overview!$A$4:$A$200,0),MATCH(A65,overview!$B$3:$R$3,0))</f>
        <v>0</v>
      </c>
    </row>
    <row r="66" spans="1:2" hidden="1" x14ac:dyDescent="0.2">
      <c r="A66" t="s">
        <v>12</v>
      </c>
      <c r="B66" s="45">
        <f>INDEX(overview!$B$4:$R$200,MATCH(B54,overview!$A$4:$A$200,0),MATCH(A66,overview!$B$3:$R$3,0))</f>
        <v>0</v>
      </c>
    </row>
    <row r="67" spans="1:2" hidden="1" x14ac:dyDescent="0.2">
      <c r="A67" t="s">
        <v>34</v>
      </c>
      <c r="B67" s="45">
        <f>INDEX(overview!$B$4:$R$200,MATCH(B54,overview!$A$4:$A$200,0),MATCH(A67,overview!$B$3:$R$3,0))</f>
        <v>0</v>
      </c>
    </row>
    <row r="68" spans="1:2" hidden="1" x14ac:dyDescent="0.2">
      <c r="A68" t="s">
        <v>15</v>
      </c>
      <c r="B68" s="45">
        <f>INDEX(overview!$B$4:$R$200,MATCH(B54,overview!$A$4:$A$200,0),MATCH(A68,overview!$B$3:$R$3,0))</f>
        <v>0</v>
      </c>
    </row>
    <row r="69" spans="1:2" hidden="1" x14ac:dyDescent="0.2">
      <c r="A69" t="s">
        <v>14</v>
      </c>
      <c r="B69" s="45" t="str">
        <f>INDEX(overview!$B$4:$R$200,MATCH(B54,overview!$A$4:$A$200,0),MATCH(A69,overview!$B$3:$R$3,0))</f>
        <v>electricity</v>
      </c>
    </row>
    <row r="70" spans="1:2" hidden="1" x14ac:dyDescent="0.2">
      <c r="A70" t="s">
        <v>26</v>
      </c>
      <c r="B70" s="45" t="str">
        <f>INDEX(overview!$B$4:$R$200,MATCH(B54,overview!$A$4:$A$200,0),MATCH(A70,overview!$B$3:$R$3,0))</f>
        <v>Solar PV (CH)</v>
      </c>
    </row>
    <row r="71" spans="1:2" hidden="1" x14ac:dyDescent="0.2">
      <c r="A71" t="s">
        <v>29</v>
      </c>
      <c r="B71" s="45">
        <f>INDEX(overview!$B$4:$R$200,MATCH(B54,overview!$A$4:$A$200,0),MATCH(A71,overview!$B$3:$R$3,0))</f>
        <v>0</v>
      </c>
    </row>
    <row r="72" spans="1:2" hidden="1" x14ac:dyDescent="0.2">
      <c r="A72" t="s">
        <v>632</v>
      </c>
      <c r="B72" s="46">
        <f>INDEX(parameters!$D$4:$N$20,MATCH(B60&amp;B62,parameters!$A$4:$A$20,0),MATCH(A72,parameters!$D$3:$N$3,0))</f>
        <v>3.9</v>
      </c>
    </row>
    <row r="73" spans="1:2" hidden="1" x14ac:dyDescent="0.2">
      <c r="A73" t="s">
        <v>40</v>
      </c>
      <c r="B73" s="47">
        <f>INDEX(parameters!$D$4:$N$20,MATCH(B60&amp;B62,parameters!$A$4:$A$20,0),MATCH(A73,parameters!$D$3:$N$3,0))</f>
        <v>3.6</v>
      </c>
    </row>
    <row r="74" spans="1:2" hidden="1" x14ac:dyDescent="0.2">
      <c r="A74" t="s">
        <v>41</v>
      </c>
      <c r="B74" s="48">
        <f>INDEX(parameters!$D$4:$N$20,MATCH(B60&amp;B62,parameters!$A$4:$A$20,0),MATCH(A74,parameters!$D$3:$N$3,0))</f>
        <v>2.6666666666666665E-2</v>
      </c>
    </row>
    <row r="75" spans="1:2" hidden="1" x14ac:dyDescent="0.2">
      <c r="A75" t="s">
        <v>45</v>
      </c>
      <c r="B75" s="49">
        <f>INDEX(parameters!$D$4:$N$20,MATCH(B60&amp;B62,parameters!$A$4:$A$20,0),MATCH(A75,parameters!$D$3:$N$3,0))</f>
        <v>0</v>
      </c>
    </row>
    <row r="76" spans="1:2" hidden="1" x14ac:dyDescent="0.2">
      <c r="A76" t="s">
        <v>46</v>
      </c>
      <c r="B76" s="49">
        <f>INDEX(parameters!$D$4:$N$20,MATCH(B60&amp;B62,parameters!$A$4:$A$20,0),MATCH(A76,parameters!$D$3:$N$3,0))</f>
        <v>0</v>
      </c>
    </row>
    <row r="77" spans="1:2" hidden="1" x14ac:dyDescent="0.2">
      <c r="A77" t="s">
        <v>43</v>
      </c>
      <c r="B77" s="49">
        <f>INDEX(parameters!$D$4:$N$20,MATCH(B60&amp;B62,parameters!$A$4:$A$20,0),MATCH(A77,parameters!$D$3:$N$3,0))</f>
        <v>0</v>
      </c>
    </row>
    <row r="78" spans="1:2" hidden="1" x14ac:dyDescent="0.2">
      <c r="A78" t="s">
        <v>44</v>
      </c>
      <c r="B78" s="49">
        <f>INDEX(parameters!$D$4:$N$20,MATCH(B60&amp;B62,parameters!$A$4:$A$20,0),MATCH(A78,parameters!$D$3:$N$3,0))</f>
        <v>0</v>
      </c>
    </row>
    <row r="79" spans="1:2" hidden="1" x14ac:dyDescent="0.2">
      <c r="A79" t="s">
        <v>47</v>
      </c>
      <c r="B79" s="49">
        <f>INDEX(parameters!$D$4:$N$20,MATCH(B60&amp;B62,parameters!$A$4:$A$20,0),MATCH(A79,parameters!$D$3:$N$3,0))</f>
        <v>0.06</v>
      </c>
    </row>
    <row r="80" spans="1:2" hidden="1" x14ac:dyDescent="0.2">
      <c r="A80" t="s">
        <v>82</v>
      </c>
      <c r="B80" s="46">
        <f>IF(B71&lt;&gt;0,VLOOKUP(B71,parameters!$A$26:$B$28,2,0),0)</f>
        <v>0</v>
      </c>
    </row>
    <row r="81" spans="1:21" hidden="1" x14ac:dyDescent="0.2">
      <c r="A81" t="s">
        <v>548</v>
      </c>
      <c r="B81" s="50">
        <f>INDEX(parameters!$D$4:$P$20,MATCH(B60&amp;B62,parameters!$A$4:$A$20,0),MATCH(A81,parameters!$D$3:$P$3,0))</f>
        <v>10</v>
      </c>
    </row>
    <row r="82" spans="1:21" hidden="1" x14ac:dyDescent="0.2">
      <c r="A82" t="s">
        <v>547</v>
      </c>
      <c r="B82" s="51">
        <f>INDEX(parameters!$D$4:$P$20,MATCH(B60&amp;B62,parameters!$A$4:$A$20,0),MATCH(A82,parameters!$D$3:$P$3,0))</f>
        <v>20</v>
      </c>
    </row>
    <row r="83" spans="1:21" hidden="1" x14ac:dyDescent="0.2">
      <c r="A83" t="s">
        <v>630</v>
      </c>
      <c r="B83" s="51">
        <f>INDEX(parameters!$D$4:$T$20,MATCH(B60&amp;B62,parameters!$A$4:$A$20,0),MATCH(A83,parameters!$D$3:$T$3,0))</f>
        <v>2100</v>
      </c>
    </row>
    <row r="84" spans="1:21" hidden="1" x14ac:dyDescent="0.2"/>
    <row r="85" spans="1:21" hidden="1" x14ac:dyDescent="0.2">
      <c r="A85" s="3" t="s">
        <v>57</v>
      </c>
    </row>
    <row r="86" spans="1:21" hidden="1" x14ac:dyDescent="0.2">
      <c r="A86" s="2" t="s">
        <v>58</v>
      </c>
      <c r="B86" s="44" t="s">
        <v>59</v>
      </c>
      <c r="C86" s="2" t="s">
        <v>55</v>
      </c>
      <c r="D86" s="2" t="s">
        <v>60</v>
      </c>
      <c r="E86" s="2" t="s">
        <v>52</v>
      </c>
      <c r="F86" s="2" t="s">
        <v>61</v>
      </c>
      <c r="G86" s="2" t="s">
        <v>54</v>
      </c>
      <c r="H86" s="2" t="s">
        <v>87</v>
      </c>
      <c r="I86" s="2" t="s">
        <v>51</v>
      </c>
      <c r="J86" s="2" t="s">
        <v>138</v>
      </c>
      <c r="K86" s="2" t="s">
        <v>136</v>
      </c>
      <c r="L86" s="2" t="s">
        <v>221</v>
      </c>
      <c r="M86" s="2" t="s">
        <v>379</v>
      </c>
      <c r="N86" s="2" t="s">
        <v>1059</v>
      </c>
      <c r="O86" s="2" t="s">
        <v>1060</v>
      </c>
      <c r="P86" s="2" t="s">
        <v>1061</v>
      </c>
      <c r="Q86" s="2" t="s">
        <v>1062</v>
      </c>
      <c r="R86" s="2" t="s">
        <v>1063</v>
      </c>
      <c r="S86" s="2" t="s">
        <v>1064</v>
      </c>
      <c r="T86" s="2" t="s">
        <v>1065</v>
      </c>
      <c r="U86" s="2" t="s">
        <v>380</v>
      </c>
    </row>
    <row r="87" spans="1:21" hidden="1" x14ac:dyDescent="0.2">
      <c r="A87" t="str">
        <f>B50</f>
        <v>heat, residential, by transfer of geothermal heat using ground source heat pump using electricity from Solar PV (CH)</v>
      </c>
      <c r="B87" s="45">
        <v>1</v>
      </c>
      <c r="C87" t="str">
        <f>B56</f>
        <v>megajoule</v>
      </c>
      <c r="E87" t="str">
        <f>B53</f>
        <v>CH</v>
      </c>
      <c r="F87" t="s">
        <v>62</v>
      </c>
      <c r="G87" t="str">
        <f>B55</f>
        <v>heat, from residential heating system</v>
      </c>
      <c r="K87" t="str">
        <f>B50</f>
        <v>heat, residential, by transfer of geothermal heat using ground source heat pump using electricity from Solar PV (CH)</v>
      </c>
    </row>
    <row r="88" spans="1:21" x14ac:dyDescent="0.2">
      <c r="A88" t="str">
        <f>VLOOKUP(J88,'dataset mapping'!$A$4:$E$69,2,0)</f>
        <v>heat pump 10 kW production for ground source heat pump system</v>
      </c>
      <c r="B88" s="52">
        <f>1/(B81*B83*B82*3.6)</f>
        <v>6.6137566137566138E-7</v>
      </c>
      <c r="C88" t="str">
        <f>VLOOKUP(J88,'dataset mapping'!$A$4:$E$69,5,0)</f>
        <v>unit</v>
      </c>
      <c r="E88" t="str">
        <f>VLOOKUP(J88,'dataset mapping'!$A$4:$E$69,4,0)</f>
        <v>CH</v>
      </c>
      <c r="F88" t="s">
        <v>86</v>
      </c>
      <c r="G88" t="str">
        <f>VLOOKUP(J88,'dataset mapping'!$A$4:$E$69,3,0)</f>
        <v>heat pump 10 kW</v>
      </c>
      <c r="H88" t="s">
        <v>77</v>
      </c>
      <c r="J88" t="s">
        <v>543</v>
      </c>
      <c r="K88" t="str">
        <f>B50</f>
        <v>heat, residential, by transfer of geothermal heat using ground source heat pump using electricity from Solar PV (CH)</v>
      </c>
      <c r="L88">
        <v>2</v>
      </c>
      <c r="M88">
        <f t="shared" ref="M88:M97" si="2">LN(B88)</f>
        <v>-14.228943835721616</v>
      </c>
      <c r="N88">
        <v>1.5</v>
      </c>
      <c r="O88">
        <v>1.2</v>
      </c>
      <c r="P88">
        <v>1.5</v>
      </c>
      <c r="Q88">
        <v>1.1000000000000001</v>
      </c>
      <c r="R88">
        <v>2</v>
      </c>
      <c r="S88">
        <v>1.2</v>
      </c>
      <c r="T88">
        <v>3</v>
      </c>
      <c r="U88">
        <f t="shared" ref="U88:U97" si="3">LN(SQRT(EXP(
SQRT(
+POWER(LN(N88),2)
+POWER(LN(O88),2)
+POWER(LN(P88),2)
+POWER(LN(Q88),2)
+POWER(LN(R88),2)
+POWER(LN(S88),2)
+POWER(LN(T88),2)
)
)))</f>
        <v>0.72314801614797197</v>
      </c>
    </row>
    <row r="89" spans="1:21" x14ac:dyDescent="0.2">
      <c r="A89" t="str">
        <f>VLOOKUP(J89,'dataset mapping'!$A$4:$E$69,2,0)</f>
        <v>treatment of heat pump 10 kW production for air source heat pump system</v>
      </c>
      <c r="B89" s="52">
        <f>1/(B81*B83*B82*3.6)</f>
        <v>6.6137566137566138E-7</v>
      </c>
      <c r="C89" t="str">
        <f>VLOOKUP(J89,'dataset mapping'!$A$4:$E$69,5,0)</f>
        <v>unit</v>
      </c>
      <c r="E89" t="str">
        <f>VLOOKUP(J89,'dataset mapping'!$A$4:$E$69,4,0)</f>
        <v>CH</v>
      </c>
      <c r="F89" t="s">
        <v>86</v>
      </c>
      <c r="G89" t="str">
        <f>VLOOKUP(J89,'dataset mapping'!$A$4:$E$69,3,0)</f>
        <v>heat pump 10 kW</v>
      </c>
      <c r="H89" t="s">
        <v>77</v>
      </c>
      <c r="J89" t="s">
        <v>544</v>
      </c>
      <c r="K89" t="str">
        <f>B50</f>
        <v>heat, residential, by transfer of geothermal heat using ground source heat pump using electricity from Solar PV (CH)</v>
      </c>
      <c r="L89">
        <v>2</v>
      </c>
      <c r="M89">
        <f t="shared" si="2"/>
        <v>-14.228943835721616</v>
      </c>
      <c r="N89">
        <v>1.5</v>
      </c>
      <c r="O89">
        <v>1.2</v>
      </c>
      <c r="P89">
        <v>1.5</v>
      </c>
      <c r="Q89">
        <v>1.1000000000000001</v>
      </c>
      <c r="R89">
        <v>2</v>
      </c>
      <c r="S89">
        <v>1.2</v>
      </c>
      <c r="T89">
        <v>3</v>
      </c>
      <c r="U89">
        <f t="shared" si="3"/>
        <v>0.72314801614797197</v>
      </c>
    </row>
    <row r="90" spans="1:21" x14ac:dyDescent="0.2">
      <c r="A90" t="s">
        <v>290</v>
      </c>
      <c r="B90" s="55">
        <f>B87/B72/3.6</f>
        <v>7.1225071225071226E-2</v>
      </c>
      <c r="C90" t="s">
        <v>92</v>
      </c>
      <c r="E90" t="s">
        <v>64</v>
      </c>
      <c r="F90" t="s">
        <v>86</v>
      </c>
      <c r="G90" t="s">
        <v>93</v>
      </c>
      <c r="H90" t="s">
        <v>78</v>
      </c>
      <c r="I90" t="s">
        <v>609</v>
      </c>
      <c r="K90" t="str">
        <f>B50</f>
        <v>heat, residential, by transfer of geothermal heat using ground source heat pump using electricity from Solar PV (CH)</v>
      </c>
      <c r="L90">
        <v>2</v>
      </c>
      <c r="M90">
        <f t="shared" si="2"/>
        <v>-2.6419103985976649</v>
      </c>
      <c r="N90">
        <v>1.5</v>
      </c>
      <c r="O90">
        <v>1.2</v>
      </c>
      <c r="P90">
        <v>1.5</v>
      </c>
      <c r="Q90">
        <v>1.1000000000000001</v>
      </c>
      <c r="R90">
        <v>2</v>
      </c>
      <c r="S90">
        <v>1.2</v>
      </c>
      <c r="T90">
        <v>1.05</v>
      </c>
      <c r="U90">
        <f t="shared" si="3"/>
        <v>0.47095746419981693</v>
      </c>
    </row>
    <row r="91" spans="1:21" x14ac:dyDescent="0.2">
      <c r="A91" t="s">
        <v>539</v>
      </c>
      <c r="B91" s="45">
        <v>1</v>
      </c>
      <c r="C91" t="s">
        <v>65</v>
      </c>
      <c r="D91" t="s">
        <v>113</v>
      </c>
      <c r="F91" t="s">
        <v>99</v>
      </c>
      <c r="K91" t="str">
        <f>B50</f>
        <v>heat, residential, by transfer of geothermal heat using ground source heat pump using electricity from Solar PV (CH)</v>
      </c>
      <c r="L91">
        <v>2</v>
      </c>
      <c r="M91">
        <f t="shared" si="2"/>
        <v>0</v>
      </c>
      <c r="N91">
        <v>1.5</v>
      </c>
      <c r="O91">
        <v>1.2</v>
      </c>
      <c r="P91">
        <v>1.5</v>
      </c>
      <c r="Q91">
        <v>1.1000000000000001</v>
      </c>
      <c r="R91">
        <v>2</v>
      </c>
      <c r="S91">
        <v>1.2</v>
      </c>
      <c r="T91">
        <v>1.05</v>
      </c>
      <c r="U91">
        <f t="shared" si="3"/>
        <v>0.47095746419981693</v>
      </c>
    </row>
    <row r="92" spans="1:21" x14ac:dyDescent="0.2">
      <c r="A92" t="s">
        <v>540</v>
      </c>
      <c r="B92" s="52">
        <f>(1/(B81*B83*3.6))</f>
        <v>1.3227513227513228E-5</v>
      </c>
      <c r="C92" t="s">
        <v>55</v>
      </c>
      <c r="E92" t="s">
        <v>85</v>
      </c>
      <c r="F92" t="s">
        <v>86</v>
      </c>
      <c r="G92" t="s">
        <v>541</v>
      </c>
      <c r="H92" t="s">
        <v>155</v>
      </c>
      <c r="K92" t="str">
        <f>B50</f>
        <v>heat, residential, by transfer of geothermal heat using ground source heat pump using electricity from Solar PV (CH)</v>
      </c>
      <c r="L92">
        <v>2</v>
      </c>
      <c r="M92">
        <f t="shared" si="2"/>
        <v>-11.233211562167625</v>
      </c>
      <c r="N92">
        <v>1.5</v>
      </c>
      <c r="O92">
        <v>1.2</v>
      </c>
      <c r="P92">
        <v>1.5</v>
      </c>
      <c r="Q92">
        <v>1.1000000000000001</v>
      </c>
      <c r="R92">
        <v>2</v>
      </c>
      <c r="S92">
        <v>1.2</v>
      </c>
      <c r="T92">
        <v>1.05</v>
      </c>
      <c r="U92">
        <f t="shared" si="3"/>
        <v>0.47095746419981693</v>
      </c>
    </row>
    <row r="93" spans="1:21" x14ac:dyDescent="0.2">
      <c r="A93" t="s">
        <v>156</v>
      </c>
      <c r="B93" s="45">
        <f>1/(B81*B83*3.6)*0.03</f>
        <v>3.9682539682539683E-7</v>
      </c>
      <c r="C93" t="s">
        <v>56</v>
      </c>
      <c r="E93" t="s">
        <v>90</v>
      </c>
      <c r="F93" t="s">
        <v>86</v>
      </c>
      <c r="G93" t="s">
        <v>154</v>
      </c>
      <c r="H93" t="s">
        <v>155</v>
      </c>
      <c r="K93" t="str">
        <f>B50</f>
        <v>heat, residential, by transfer of geothermal heat using ground source heat pump using electricity from Solar PV (CH)</v>
      </c>
      <c r="L93">
        <v>2</v>
      </c>
      <c r="M93">
        <f t="shared" si="2"/>
        <v>-14.739769459487606</v>
      </c>
      <c r="N93">
        <v>1.5</v>
      </c>
      <c r="O93">
        <v>1.2</v>
      </c>
      <c r="P93">
        <v>1.5</v>
      </c>
      <c r="Q93">
        <v>1.1000000000000001</v>
      </c>
      <c r="R93">
        <v>2</v>
      </c>
      <c r="S93">
        <v>1.2</v>
      </c>
      <c r="T93">
        <v>1.05</v>
      </c>
      <c r="U93">
        <f t="shared" si="3"/>
        <v>0.47095746419981693</v>
      </c>
    </row>
    <row r="94" spans="1:21" x14ac:dyDescent="0.2">
      <c r="A94" t="s">
        <v>614</v>
      </c>
      <c r="B94" s="45">
        <f>1/(B81*B83*3.6)*(1.9*2%)*50%</f>
        <v>2.5132275132275135E-7</v>
      </c>
      <c r="C94" t="s">
        <v>56</v>
      </c>
      <c r="E94" t="s">
        <v>85</v>
      </c>
      <c r="F94" t="s">
        <v>86</v>
      </c>
      <c r="G94" t="s">
        <v>615</v>
      </c>
      <c r="H94" t="s">
        <v>618</v>
      </c>
      <c r="I94" s="6"/>
      <c r="L94">
        <v>2</v>
      </c>
      <c r="M94">
        <f t="shared" si="2"/>
        <v>-15.196527861983322</v>
      </c>
      <c r="N94">
        <v>1.5</v>
      </c>
      <c r="O94">
        <v>1.2</v>
      </c>
      <c r="P94">
        <v>1.5</v>
      </c>
      <c r="Q94">
        <v>1.1000000000000001</v>
      </c>
      <c r="R94">
        <v>2</v>
      </c>
      <c r="S94">
        <v>1.2</v>
      </c>
      <c r="T94">
        <v>1.05</v>
      </c>
      <c r="U94">
        <f t="shared" si="3"/>
        <v>0.47095746419981693</v>
      </c>
    </row>
    <row r="95" spans="1:21" x14ac:dyDescent="0.2">
      <c r="A95" t="s">
        <v>616</v>
      </c>
      <c r="B95" s="45">
        <f>1/(B81*B83*3.6)*(1.9*2%)*50%</f>
        <v>2.5132275132275135E-7</v>
      </c>
      <c r="C95" t="s">
        <v>56</v>
      </c>
      <c r="E95" t="s">
        <v>85</v>
      </c>
      <c r="F95" t="s">
        <v>86</v>
      </c>
      <c r="G95" t="s">
        <v>617</v>
      </c>
      <c r="H95" t="s">
        <v>618</v>
      </c>
      <c r="I95" s="6"/>
      <c r="L95">
        <v>2</v>
      </c>
      <c r="M95">
        <f t="shared" si="2"/>
        <v>-15.196527861983322</v>
      </c>
      <c r="N95">
        <v>1.5</v>
      </c>
      <c r="O95">
        <v>1.2</v>
      </c>
      <c r="P95">
        <v>1.5</v>
      </c>
      <c r="Q95">
        <v>1.1000000000000001</v>
      </c>
      <c r="R95">
        <v>2</v>
      </c>
      <c r="S95">
        <v>1.2</v>
      </c>
      <c r="T95">
        <v>1.05</v>
      </c>
      <c r="U95">
        <f t="shared" si="3"/>
        <v>0.47095746419981693</v>
      </c>
    </row>
    <row r="96" spans="1:21" x14ac:dyDescent="0.2">
      <c r="A96" t="s">
        <v>619</v>
      </c>
      <c r="B96" s="45">
        <f>B94</f>
        <v>2.5132275132275135E-7</v>
      </c>
      <c r="C96" t="s">
        <v>56</v>
      </c>
      <c r="D96" t="s">
        <v>100</v>
      </c>
      <c r="F96" t="s">
        <v>99</v>
      </c>
      <c r="H96" t="s">
        <v>618</v>
      </c>
      <c r="I96" s="6"/>
      <c r="L96">
        <v>2</v>
      </c>
      <c r="M96">
        <f t="shared" si="2"/>
        <v>-15.196527861983322</v>
      </c>
      <c r="N96">
        <v>1.5</v>
      </c>
      <c r="O96">
        <v>1.2</v>
      </c>
      <c r="P96">
        <v>1.5</v>
      </c>
      <c r="Q96">
        <v>1.1000000000000001</v>
      </c>
      <c r="R96">
        <v>2</v>
      </c>
      <c r="S96">
        <v>1.2</v>
      </c>
      <c r="T96">
        <v>1.5</v>
      </c>
      <c r="U96">
        <f t="shared" si="3"/>
        <v>0.51215847306170115</v>
      </c>
    </row>
    <row r="97" spans="1:21" x14ac:dyDescent="0.2">
      <c r="A97" t="s">
        <v>620</v>
      </c>
      <c r="B97" s="45">
        <f>B95</f>
        <v>2.5132275132275135E-7</v>
      </c>
      <c r="C97" t="s">
        <v>56</v>
      </c>
      <c r="D97" t="s">
        <v>100</v>
      </c>
      <c r="F97" t="s">
        <v>99</v>
      </c>
      <c r="H97" t="s">
        <v>618</v>
      </c>
      <c r="I97" s="6"/>
      <c r="L97">
        <v>2</v>
      </c>
      <c r="M97">
        <f t="shared" si="2"/>
        <v>-15.196527861983322</v>
      </c>
      <c r="N97">
        <v>1.5</v>
      </c>
      <c r="O97">
        <v>1.2</v>
      </c>
      <c r="P97">
        <v>1.5</v>
      </c>
      <c r="Q97">
        <v>1.1000000000000001</v>
      </c>
      <c r="R97">
        <v>2</v>
      </c>
      <c r="S97">
        <v>1.2</v>
      </c>
      <c r="T97">
        <v>1.5</v>
      </c>
      <c r="U97">
        <f t="shared" si="3"/>
        <v>0.51215847306170115</v>
      </c>
    </row>
    <row r="98" spans="1:21" hidden="1" x14ac:dyDescent="0.2"/>
    <row r="99" spans="1:21" hidden="1" x14ac:dyDescent="0.2">
      <c r="A99" s="2" t="s">
        <v>50</v>
      </c>
      <c r="B99" s="44" t="str">
        <f>"heat, residential, by "&amp;B110&amp;" using "&amp;B111&amp;IF(B112&lt;&gt;0,"allocated by "&amp;B112,"")&amp;" using "&amp;B118&amp;" from "&amp;B119&amp;""</f>
        <v>heat, residential, by transfer of geothermal heat using water source heat pump using electricity from grid</v>
      </c>
    </row>
    <row r="100" spans="1:21" hidden="1" x14ac:dyDescent="0.2">
      <c r="A100" t="s">
        <v>51</v>
      </c>
      <c r="B100" s="45" t="str">
        <f>"This dataset represents the supply of 1 megajoule of heat in a residence, by "&amp;B110&amp;" in a "&amp;B111&amp;". "&amp;" The "&amp;B109&amp;" is from "&amp;B119&amp;". "&amp;A121&amp;": "&amp;(B121*100)&amp;"%. "&amp;A122&amp;": "&amp;B122&amp;". "&amp;A123&amp;": "&amp;B123&amp;". "&amp;A124&amp;": "&amp;(B124*100)&amp;"%. "&amp;A125&amp;": "&amp;(B125*100)&amp;"%. "&amp;A126&amp;": "&amp;(B126*100)&amp;"%. "&amp;A127&amp;": "&amp;B127&amp;". "&amp;A128&amp;": "&amp;B128&amp;". "&amp;A129&amp;": "&amp;(B129*100)&amp;"%. "&amp;A130&amp;": "&amp;B130&amp;". "&amp;A131&amp;": "&amp;B131&amp;". "&amp;A132&amp;": "&amp;B132&amp;". "&amp;A133&amp;": "&amp;B133&amp;".  For more information, refer to: "&amp;B101</f>
        <v>This dataset represents the supply of 1 megajoule of heat in a residence, by transfer of geothermal heat in a water source heat pump.  The electricity is from grid. Heat conversion efficiency [% LHV input]: 390%.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101" spans="1:21" hidden="1" x14ac:dyDescent="0.2">
      <c r="A101" t="s">
        <v>63</v>
      </c>
      <c r="B101" s="45" t="s">
        <v>660</v>
      </c>
    </row>
    <row r="102" spans="1:21" hidden="1" x14ac:dyDescent="0.2">
      <c r="A102" t="s">
        <v>52</v>
      </c>
      <c r="B102" s="45" t="s">
        <v>64</v>
      </c>
    </row>
    <row r="103" spans="1:21" hidden="1" x14ac:dyDescent="0.2">
      <c r="A103" t="s">
        <v>48</v>
      </c>
      <c r="B103" s="45">
        <v>194</v>
      </c>
    </row>
    <row r="104" spans="1:21" hidden="1" x14ac:dyDescent="0.2">
      <c r="A104" t="s">
        <v>54</v>
      </c>
      <c r="B104" s="45" t="str">
        <f>INDEX(overview!$B$4:$R$200,MATCH(B103,overview!$A$4:$A$200,0),MATCH(A104,overview!$B$3:$R$3,0))</f>
        <v>heat, from residential heating system</v>
      </c>
    </row>
    <row r="105" spans="1:21" hidden="1" x14ac:dyDescent="0.2">
      <c r="A105" t="s">
        <v>55</v>
      </c>
      <c r="B105" s="45" t="str">
        <f>INDEX(overview!$B$4:$R$200,MATCH(B103,overview!$A$4:$A$200,0),MATCH(A105,overview!$B$3:$R$3,0))</f>
        <v>megajoule</v>
      </c>
    </row>
    <row r="106" spans="1:21" hidden="1" x14ac:dyDescent="0.2">
      <c r="A106" t="s">
        <v>0</v>
      </c>
      <c r="B106" s="45" t="str">
        <f>INDEX(overview!$B$4:$R$200,MATCH(B103,overview!$A$4:$A$200,0),MATCH(A106,overview!$B$3:$R$3,0))</f>
        <v>Switzerland</v>
      </c>
    </row>
    <row r="107" spans="1:21" hidden="1" x14ac:dyDescent="0.2">
      <c r="A107" t="s">
        <v>1</v>
      </c>
      <c r="B107" s="45">
        <f>INDEX(overview!$B$4:$R$200,MATCH(B103,overview!$A$4:$A$200,0),MATCH(A107,overview!$B$3:$R$3,0))</f>
        <v>2020</v>
      </c>
    </row>
    <row r="108" spans="1:21" hidden="1" x14ac:dyDescent="0.2">
      <c r="A108" t="s">
        <v>2</v>
      </c>
      <c r="B108" s="45" t="str">
        <f>INDEX(overview!$B$4:$R$200,MATCH(B103,overview!$A$4:$A$200,0),MATCH(A108,overview!$B$3:$R$3,0))</f>
        <v>1 MJ heat</v>
      </c>
    </row>
    <row r="109" spans="1:21" hidden="1" x14ac:dyDescent="0.2">
      <c r="A109" t="s">
        <v>5</v>
      </c>
      <c r="B109" s="45" t="str">
        <f>INDEX(overview!$B$4:$R$200,MATCH(B103,overview!$A$4:$A$200,0),MATCH(A109,overview!$B$3:$R$3,0))</f>
        <v>electricity</v>
      </c>
    </row>
    <row r="110" spans="1:21" hidden="1" x14ac:dyDescent="0.2">
      <c r="A110" t="s">
        <v>3</v>
      </c>
      <c r="B110" s="45" t="str">
        <f>INDEX(overview!$B$4:$R$200,MATCH(B103,overview!$A$4:$A$200,0),MATCH(A110,overview!$B$3:$R$3,0))</f>
        <v>transfer of geothermal heat</v>
      </c>
    </row>
    <row r="111" spans="1:21" hidden="1" x14ac:dyDescent="0.2">
      <c r="A111" t="s">
        <v>6</v>
      </c>
      <c r="B111" s="45" t="str">
        <f>INDEX(overview!$B$4:$R$200,MATCH(B103,overview!$A$4:$A$200,0),MATCH(A111,overview!$B$3:$R$3,0))</f>
        <v>water source heat pump</v>
      </c>
    </row>
    <row r="112" spans="1:21" hidden="1" x14ac:dyDescent="0.2">
      <c r="A112" t="s">
        <v>39</v>
      </c>
      <c r="B112" s="45">
        <f>INDEX(overview!$B$4:$R$200,MATCH(B103,overview!$A$4:$A$200,0),MATCH(A112,overview!$B$3:$R$3,0))</f>
        <v>0</v>
      </c>
    </row>
    <row r="113" spans="1:2" hidden="1" x14ac:dyDescent="0.2">
      <c r="A113" t="s">
        <v>4</v>
      </c>
      <c r="B113" s="45">
        <f>INDEX(overview!$B$4:$R$200,MATCH(B103,overview!$A$4:$A$200,0),MATCH(A113,overview!$B$3:$R$3,0))</f>
        <v>0</v>
      </c>
    </row>
    <row r="114" spans="1:2" hidden="1" x14ac:dyDescent="0.2">
      <c r="A114" t="s">
        <v>38</v>
      </c>
      <c r="B114" s="45">
        <f>INDEX(overview!$B$4:$R$200,MATCH(B103,overview!$A$4:$A$200,0),MATCH(A114,overview!$B$3:$R$3,0))</f>
        <v>0</v>
      </c>
    </row>
    <row r="115" spans="1:2" hidden="1" x14ac:dyDescent="0.2">
      <c r="A115" t="s">
        <v>12</v>
      </c>
      <c r="B115" s="45">
        <f>INDEX(overview!$B$4:$R$200,MATCH(B103,overview!$A$4:$A$200,0),MATCH(A115,overview!$B$3:$R$3,0))</f>
        <v>0</v>
      </c>
    </row>
    <row r="116" spans="1:2" hidden="1" x14ac:dyDescent="0.2">
      <c r="A116" t="s">
        <v>34</v>
      </c>
      <c r="B116" s="45">
        <f>INDEX(overview!$B$4:$R$200,MATCH(B103,overview!$A$4:$A$200,0),MATCH(A116,overview!$B$3:$R$3,0))</f>
        <v>0</v>
      </c>
    </row>
    <row r="117" spans="1:2" hidden="1" x14ac:dyDescent="0.2">
      <c r="A117" t="s">
        <v>15</v>
      </c>
      <c r="B117" s="45">
        <f>INDEX(overview!$B$4:$R$200,MATCH(B103,overview!$A$4:$A$200,0),MATCH(A117,overview!$B$3:$R$3,0))</f>
        <v>0</v>
      </c>
    </row>
    <row r="118" spans="1:2" hidden="1" x14ac:dyDescent="0.2">
      <c r="A118" t="s">
        <v>14</v>
      </c>
      <c r="B118" s="45" t="str">
        <f>INDEX(overview!$B$4:$R$200,MATCH(B103,overview!$A$4:$A$200,0),MATCH(A118,overview!$B$3:$R$3,0))</f>
        <v>electricity</v>
      </c>
    </row>
    <row r="119" spans="1:2" hidden="1" x14ac:dyDescent="0.2">
      <c r="A119" t="s">
        <v>26</v>
      </c>
      <c r="B119" s="45" t="str">
        <f>INDEX(overview!$B$4:$R$200,MATCH(B103,overview!$A$4:$A$200,0),MATCH(A119,overview!$B$3:$R$3,0))</f>
        <v>grid</v>
      </c>
    </row>
    <row r="120" spans="1:2" hidden="1" x14ac:dyDescent="0.2">
      <c r="A120" t="s">
        <v>29</v>
      </c>
      <c r="B120" s="45">
        <f>INDEX(overview!$B$4:$R$200,MATCH(B103,overview!$A$4:$A$200,0),MATCH(A120,overview!$B$3:$R$3,0))</f>
        <v>0</v>
      </c>
    </row>
    <row r="121" spans="1:2" hidden="1" x14ac:dyDescent="0.2">
      <c r="A121" t="s">
        <v>632</v>
      </c>
      <c r="B121" s="46">
        <f>INDEX(parameters!$D$4:$N$20,MATCH(B109&amp;B111,parameters!$A$4:$A$20,0),MATCH(A121,parameters!$D$3:$N$3,0))</f>
        <v>3.9</v>
      </c>
    </row>
    <row r="122" spans="1:2" hidden="1" x14ac:dyDescent="0.2">
      <c r="A122" t="s">
        <v>40</v>
      </c>
      <c r="B122" s="47">
        <f>INDEX(parameters!$D$4:$N$20,MATCH(B109&amp;B111,parameters!$A$4:$A$20,0),MATCH(A122,parameters!$D$3:$N$3,0))</f>
        <v>3.6</v>
      </c>
    </row>
    <row r="123" spans="1:2" hidden="1" x14ac:dyDescent="0.2">
      <c r="A123" t="s">
        <v>41</v>
      </c>
      <c r="B123" s="48">
        <f>INDEX(parameters!$D$4:$N$20,MATCH(B109&amp;B111,parameters!$A$4:$A$20,0),MATCH(A123,parameters!$D$3:$N$3,0))</f>
        <v>2.6666666666666665E-2</v>
      </c>
    </row>
    <row r="124" spans="1:2" hidden="1" x14ac:dyDescent="0.2">
      <c r="A124" t="s">
        <v>45</v>
      </c>
      <c r="B124" s="49">
        <f>INDEX(parameters!$D$4:$N$20,MATCH(B109&amp;B111,parameters!$A$4:$A$20,0),MATCH(A124,parameters!$D$3:$N$3,0))</f>
        <v>0</v>
      </c>
    </row>
    <row r="125" spans="1:2" hidden="1" x14ac:dyDescent="0.2">
      <c r="A125" t="s">
        <v>46</v>
      </c>
      <c r="B125" s="49">
        <f>INDEX(parameters!$D$4:$N$20,MATCH(B109&amp;B111,parameters!$A$4:$A$20,0),MATCH(A125,parameters!$D$3:$N$3,0))</f>
        <v>0</v>
      </c>
    </row>
    <row r="126" spans="1:2" hidden="1" x14ac:dyDescent="0.2">
      <c r="A126" t="s">
        <v>43</v>
      </c>
      <c r="B126" s="49">
        <f>INDEX(parameters!$D$4:$N$20,MATCH(B109&amp;B111,parameters!$A$4:$A$20,0),MATCH(A126,parameters!$D$3:$N$3,0))</f>
        <v>0</v>
      </c>
    </row>
    <row r="127" spans="1:2" hidden="1" x14ac:dyDescent="0.2">
      <c r="A127" t="s">
        <v>44</v>
      </c>
      <c r="B127" s="49">
        <f>INDEX(parameters!$D$4:$N$20,MATCH(B109&amp;B111,parameters!$A$4:$A$20,0),MATCH(A127,parameters!$D$3:$N$3,0))</f>
        <v>0</v>
      </c>
    </row>
    <row r="128" spans="1:2" hidden="1" x14ac:dyDescent="0.2">
      <c r="A128" t="s">
        <v>47</v>
      </c>
      <c r="B128" s="49">
        <f>INDEX(parameters!$D$4:$N$20,MATCH(B109&amp;B111,parameters!$A$4:$A$20,0),MATCH(A128,parameters!$D$3:$N$3,0))</f>
        <v>0.06</v>
      </c>
    </row>
    <row r="129" spans="1:21" hidden="1" x14ac:dyDescent="0.2">
      <c r="A129" t="s">
        <v>82</v>
      </c>
      <c r="B129" s="46">
        <f>IF(B120&lt;&gt;0,VLOOKUP(B120,parameters!$A$26:$B$28,2,0),0)</f>
        <v>0</v>
      </c>
    </row>
    <row r="130" spans="1:21" hidden="1" x14ac:dyDescent="0.2">
      <c r="A130" t="s">
        <v>548</v>
      </c>
      <c r="B130" s="50">
        <f>INDEX(parameters!$D$4:$P$20,MATCH(B109&amp;B111,parameters!$A$4:$A$20,0),MATCH(A130,parameters!$D$3:$P$3,0))</f>
        <v>10</v>
      </c>
    </row>
    <row r="131" spans="1:21" hidden="1" x14ac:dyDescent="0.2">
      <c r="A131" t="s">
        <v>547</v>
      </c>
      <c r="B131" s="51">
        <f>INDEX(parameters!$D$4:$P$20,MATCH(B109&amp;B111,parameters!$A$4:$A$20,0),MATCH(A131,parameters!$D$3:$P$3,0))</f>
        <v>20</v>
      </c>
    </row>
    <row r="132" spans="1:21" hidden="1" x14ac:dyDescent="0.2">
      <c r="A132" t="s">
        <v>630</v>
      </c>
      <c r="B132" s="51">
        <f>INDEX(parameters!$D$4:$T$20,MATCH(B109&amp;B111,parameters!$A$4:$A$20,0),MATCH(A132,parameters!$D$3:$T$3,0))</f>
        <v>2100</v>
      </c>
    </row>
    <row r="133" spans="1:21" hidden="1" x14ac:dyDescent="0.2"/>
    <row r="134" spans="1:21" hidden="1" x14ac:dyDescent="0.2">
      <c r="A134" s="3" t="s">
        <v>57</v>
      </c>
    </row>
    <row r="135" spans="1:21" hidden="1" x14ac:dyDescent="0.2">
      <c r="A135" s="2" t="s">
        <v>58</v>
      </c>
      <c r="B135" s="44" t="s">
        <v>59</v>
      </c>
      <c r="C135" s="2" t="s">
        <v>55</v>
      </c>
      <c r="D135" s="2" t="s">
        <v>60</v>
      </c>
      <c r="E135" s="2" t="s">
        <v>52</v>
      </c>
      <c r="F135" s="2" t="s">
        <v>61</v>
      </c>
      <c r="G135" s="2" t="s">
        <v>54</v>
      </c>
      <c r="H135" s="2" t="s">
        <v>87</v>
      </c>
      <c r="I135" s="2" t="s">
        <v>51</v>
      </c>
      <c r="J135" s="2" t="s">
        <v>138</v>
      </c>
      <c r="K135" s="2" t="s">
        <v>136</v>
      </c>
      <c r="L135" s="2" t="s">
        <v>221</v>
      </c>
      <c r="M135" s="2" t="s">
        <v>379</v>
      </c>
      <c r="N135" s="2" t="s">
        <v>1059</v>
      </c>
      <c r="O135" s="2" t="s">
        <v>1060</v>
      </c>
      <c r="P135" s="2" t="s">
        <v>1061</v>
      </c>
      <c r="Q135" s="2" t="s">
        <v>1062</v>
      </c>
      <c r="R135" s="2" t="s">
        <v>1063</v>
      </c>
      <c r="S135" s="2" t="s">
        <v>1064</v>
      </c>
      <c r="T135" s="2" t="s">
        <v>1065</v>
      </c>
      <c r="U135" s="2" t="s">
        <v>380</v>
      </c>
    </row>
    <row r="136" spans="1:21" hidden="1" x14ac:dyDescent="0.2">
      <c r="A136" t="str">
        <f>B99</f>
        <v>heat, residential, by transfer of geothermal heat using water source heat pump using electricity from grid</v>
      </c>
      <c r="B136" s="45">
        <v>1</v>
      </c>
      <c r="C136" t="str">
        <f>B105</f>
        <v>megajoule</v>
      </c>
      <c r="E136" t="str">
        <f>B102</f>
        <v>CH</v>
      </c>
      <c r="F136" t="s">
        <v>62</v>
      </c>
      <c r="G136" t="str">
        <f>B104</f>
        <v>heat, from residential heating system</v>
      </c>
      <c r="K136" t="str">
        <f>B99</f>
        <v>heat, residential, by transfer of geothermal heat using water source heat pump using electricity from grid</v>
      </c>
    </row>
    <row r="137" spans="1:21" x14ac:dyDescent="0.2">
      <c r="A137" t="str">
        <f>VLOOKUP(J137,'dataset mapping'!$A$4:$E$69,2,0)</f>
        <v>heat pump 10 kW production for water source heat pump system</v>
      </c>
      <c r="B137" s="52">
        <f>1/(B130*B132*B131*3.6)</f>
        <v>6.6137566137566138E-7</v>
      </c>
      <c r="C137" t="str">
        <f>VLOOKUP(J137,'dataset mapping'!$A$4:$E$69,5,0)</f>
        <v>unit</v>
      </c>
      <c r="E137" t="str">
        <f>VLOOKUP(J137,'dataset mapping'!$A$4:$E$69,4,0)</f>
        <v>CH</v>
      </c>
      <c r="F137" t="s">
        <v>86</v>
      </c>
      <c r="G137" t="str">
        <f>VLOOKUP(J137,'dataset mapping'!$A$4:$E$69,3,0)</f>
        <v>heat pump 10 kW</v>
      </c>
      <c r="H137" t="s">
        <v>77</v>
      </c>
      <c r="J137" t="s">
        <v>604</v>
      </c>
      <c r="K137" t="str">
        <f>B99</f>
        <v>heat, residential, by transfer of geothermal heat using water source heat pump using electricity from grid</v>
      </c>
      <c r="L137">
        <v>2</v>
      </c>
      <c r="M137">
        <f t="shared" ref="M137:M146" si="4">LN(B137)</f>
        <v>-14.228943835721616</v>
      </c>
      <c r="N137">
        <v>1.5</v>
      </c>
      <c r="O137">
        <v>1.2</v>
      </c>
      <c r="P137">
        <v>1.5</v>
      </c>
      <c r="Q137">
        <v>1.1000000000000001</v>
      </c>
      <c r="R137">
        <v>2</v>
      </c>
      <c r="S137">
        <v>1.2</v>
      </c>
      <c r="T137">
        <v>3</v>
      </c>
      <c r="U137">
        <f t="shared" ref="U137:U146" si="5">LN(SQRT(EXP(
SQRT(
+POWER(LN(N137),2)
+POWER(LN(O137),2)
+POWER(LN(P137),2)
+POWER(LN(Q137),2)
+POWER(LN(R137),2)
+POWER(LN(S137),2)
+POWER(LN(T137),2)
)
)))</f>
        <v>0.72314801614797197</v>
      </c>
    </row>
    <row r="138" spans="1:21" x14ac:dyDescent="0.2">
      <c r="A138" t="str">
        <f>VLOOKUP(J138,'dataset mapping'!$A$4:$E$69,2,0)</f>
        <v>treatment of heat pump 10 kW production for air source heat pump system</v>
      </c>
      <c r="B138" s="52">
        <f>1/(B130*B132*B131*3.6)</f>
        <v>6.6137566137566138E-7</v>
      </c>
      <c r="C138" t="str">
        <f>VLOOKUP(J138,'dataset mapping'!$A$4:$E$69,5,0)</f>
        <v>unit</v>
      </c>
      <c r="E138" t="str">
        <f>VLOOKUP(J138,'dataset mapping'!$A$4:$E$69,4,0)</f>
        <v>CH</v>
      </c>
      <c r="F138" t="s">
        <v>86</v>
      </c>
      <c r="G138" t="str">
        <f>VLOOKUP(J138,'dataset mapping'!$A$4:$E$69,3,0)</f>
        <v>heat pump 10 kW</v>
      </c>
      <c r="H138" t="s">
        <v>77</v>
      </c>
      <c r="J138" t="s">
        <v>605</v>
      </c>
      <c r="K138" t="str">
        <f>B99</f>
        <v>heat, residential, by transfer of geothermal heat using water source heat pump using electricity from grid</v>
      </c>
      <c r="L138">
        <v>2</v>
      </c>
      <c r="M138">
        <f t="shared" si="4"/>
        <v>-14.228943835721616</v>
      </c>
      <c r="N138">
        <v>1.5</v>
      </c>
      <c r="O138">
        <v>1.2</v>
      </c>
      <c r="P138">
        <v>1.5</v>
      </c>
      <c r="Q138">
        <v>1.1000000000000001</v>
      </c>
      <c r="R138">
        <v>2</v>
      </c>
      <c r="S138">
        <v>1.2</v>
      </c>
      <c r="T138">
        <v>1.05</v>
      </c>
      <c r="U138">
        <f t="shared" si="5"/>
        <v>0.47095746419981693</v>
      </c>
    </row>
    <row r="139" spans="1:21" x14ac:dyDescent="0.2">
      <c r="A139" t="s">
        <v>130</v>
      </c>
      <c r="B139" s="55">
        <f>B136/B121/3.6</f>
        <v>7.1225071225071226E-2</v>
      </c>
      <c r="C139" t="s">
        <v>92</v>
      </c>
      <c r="E139" t="s">
        <v>64</v>
      </c>
      <c r="F139" t="s">
        <v>86</v>
      </c>
      <c r="G139" t="s">
        <v>93</v>
      </c>
      <c r="H139" t="s">
        <v>78</v>
      </c>
      <c r="I139" t="s">
        <v>609</v>
      </c>
      <c r="K139" t="str">
        <f>B99</f>
        <v>heat, residential, by transfer of geothermal heat using water source heat pump using electricity from grid</v>
      </c>
      <c r="L139">
        <v>2</v>
      </c>
      <c r="M139">
        <f t="shared" si="4"/>
        <v>-2.6419103985976649</v>
      </c>
      <c r="N139">
        <v>1.5</v>
      </c>
      <c r="O139">
        <v>1.2</v>
      </c>
      <c r="P139">
        <v>1.5</v>
      </c>
      <c r="Q139">
        <v>1.1000000000000001</v>
      </c>
      <c r="R139">
        <v>2</v>
      </c>
      <c r="S139">
        <v>1.2</v>
      </c>
      <c r="T139">
        <v>1.05</v>
      </c>
      <c r="U139">
        <f t="shared" si="5"/>
        <v>0.47095746419981693</v>
      </c>
    </row>
    <row r="140" spans="1:21" x14ac:dyDescent="0.2">
      <c r="A140" t="s">
        <v>539</v>
      </c>
      <c r="B140" s="45">
        <v>1</v>
      </c>
      <c r="C140" t="s">
        <v>65</v>
      </c>
      <c r="D140" t="s">
        <v>113</v>
      </c>
      <c r="F140" t="s">
        <v>99</v>
      </c>
      <c r="K140" t="str">
        <f>B99</f>
        <v>heat, residential, by transfer of geothermal heat using water source heat pump using electricity from grid</v>
      </c>
      <c r="L140">
        <v>2</v>
      </c>
      <c r="M140">
        <f t="shared" si="4"/>
        <v>0</v>
      </c>
      <c r="N140">
        <v>1.5</v>
      </c>
      <c r="O140">
        <v>1.2</v>
      </c>
      <c r="P140">
        <v>1.5</v>
      </c>
      <c r="Q140">
        <v>1.1000000000000001</v>
      </c>
      <c r="R140">
        <v>2</v>
      </c>
      <c r="S140">
        <v>1.2</v>
      </c>
      <c r="T140">
        <v>1.05</v>
      </c>
      <c r="U140">
        <f t="shared" si="5"/>
        <v>0.47095746419981693</v>
      </c>
    </row>
    <row r="141" spans="1:21" x14ac:dyDescent="0.2">
      <c r="A141" t="s">
        <v>540</v>
      </c>
      <c r="B141" s="52">
        <f>(1/(B130*B132*3.6))</f>
        <v>1.3227513227513228E-5</v>
      </c>
      <c r="C141" t="s">
        <v>55</v>
      </c>
      <c r="E141" t="s">
        <v>85</v>
      </c>
      <c r="F141" t="s">
        <v>86</v>
      </c>
      <c r="G141" t="s">
        <v>541</v>
      </c>
      <c r="H141" t="s">
        <v>155</v>
      </c>
      <c r="K141" t="str">
        <f>B99</f>
        <v>heat, residential, by transfer of geothermal heat using water source heat pump using electricity from grid</v>
      </c>
      <c r="L141">
        <v>2</v>
      </c>
      <c r="M141">
        <f t="shared" si="4"/>
        <v>-11.233211562167625</v>
      </c>
      <c r="N141">
        <v>1.5</v>
      </c>
      <c r="O141">
        <v>1.2</v>
      </c>
      <c r="P141">
        <v>1.5</v>
      </c>
      <c r="Q141">
        <v>1.1000000000000001</v>
      </c>
      <c r="R141">
        <v>2</v>
      </c>
      <c r="S141">
        <v>1.2</v>
      </c>
      <c r="T141">
        <v>1.05</v>
      </c>
      <c r="U141">
        <f t="shared" si="5"/>
        <v>0.47095746419981693</v>
      </c>
    </row>
    <row r="142" spans="1:21" x14ac:dyDescent="0.2">
      <c r="A142" t="s">
        <v>156</v>
      </c>
      <c r="B142" s="45">
        <f>1/(B130*B132*3.6)*0.03</f>
        <v>3.9682539682539683E-7</v>
      </c>
      <c r="C142" t="s">
        <v>56</v>
      </c>
      <c r="E142" t="s">
        <v>90</v>
      </c>
      <c r="F142" t="s">
        <v>86</v>
      </c>
      <c r="G142" t="s">
        <v>154</v>
      </c>
      <c r="H142" t="s">
        <v>155</v>
      </c>
      <c r="K142" t="str">
        <f>B99</f>
        <v>heat, residential, by transfer of geothermal heat using water source heat pump using electricity from grid</v>
      </c>
      <c r="L142">
        <v>2</v>
      </c>
      <c r="M142">
        <f t="shared" si="4"/>
        <v>-14.739769459487606</v>
      </c>
      <c r="N142">
        <v>1.5</v>
      </c>
      <c r="O142">
        <v>1.2</v>
      </c>
      <c r="P142">
        <v>1.5</v>
      </c>
      <c r="Q142">
        <v>1.1000000000000001</v>
      </c>
      <c r="R142">
        <v>2</v>
      </c>
      <c r="S142">
        <v>1.2</v>
      </c>
      <c r="T142">
        <v>1.05</v>
      </c>
      <c r="U142">
        <f t="shared" si="5"/>
        <v>0.47095746419981693</v>
      </c>
    </row>
    <row r="143" spans="1:21" x14ac:dyDescent="0.2">
      <c r="A143" t="s">
        <v>614</v>
      </c>
      <c r="B143" s="45">
        <f>1/(B130*B132*3.6)*(1.9*2%)*50%</f>
        <v>2.5132275132275135E-7</v>
      </c>
      <c r="C143" t="s">
        <v>56</v>
      </c>
      <c r="E143" t="s">
        <v>85</v>
      </c>
      <c r="F143" t="s">
        <v>86</v>
      </c>
      <c r="G143" t="s">
        <v>615</v>
      </c>
      <c r="H143" t="s">
        <v>618</v>
      </c>
      <c r="I143" s="6"/>
      <c r="L143">
        <v>2</v>
      </c>
      <c r="M143">
        <f t="shared" si="4"/>
        <v>-15.196527861983322</v>
      </c>
      <c r="N143">
        <v>1.5</v>
      </c>
      <c r="O143">
        <v>1.2</v>
      </c>
      <c r="P143">
        <v>1.5</v>
      </c>
      <c r="Q143">
        <v>1.1000000000000001</v>
      </c>
      <c r="R143">
        <v>2</v>
      </c>
      <c r="S143">
        <v>1.2</v>
      </c>
      <c r="T143">
        <v>1.05</v>
      </c>
      <c r="U143">
        <f t="shared" si="5"/>
        <v>0.47095746419981693</v>
      </c>
    </row>
    <row r="144" spans="1:21" x14ac:dyDescent="0.2">
      <c r="A144" t="s">
        <v>616</v>
      </c>
      <c r="B144" s="45">
        <f>1/(B130*B132*3.6)*(1.9*2%)*50%</f>
        <v>2.5132275132275135E-7</v>
      </c>
      <c r="C144" t="s">
        <v>56</v>
      </c>
      <c r="E144" t="s">
        <v>85</v>
      </c>
      <c r="F144" t="s">
        <v>86</v>
      </c>
      <c r="G144" t="s">
        <v>617</v>
      </c>
      <c r="H144" t="s">
        <v>618</v>
      </c>
      <c r="I144" s="6"/>
      <c r="L144">
        <v>2</v>
      </c>
      <c r="M144">
        <f t="shared" si="4"/>
        <v>-15.196527861983322</v>
      </c>
      <c r="N144">
        <v>1.5</v>
      </c>
      <c r="O144">
        <v>1.2</v>
      </c>
      <c r="P144">
        <v>1.5</v>
      </c>
      <c r="Q144">
        <v>1.1000000000000001</v>
      </c>
      <c r="R144">
        <v>2</v>
      </c>
      <c r="S144">
        <v>1.2</v>
      </c>
      <c r="T144">
        <v>1.05</v>
      </c>
      <c r="U144">
        <f t="shared" si="5"/>
        <v>0.47095746419981693</v>
      </c>
    </row>
    <row r="145" spans="1:21" x14ac:dyDescent="0.2">
      <c r="A145" t="s">
        <v>619</v>
      </c>
      <c r="B145" s="45">
        <f>B143</f>
        <v>2.5132275132275135E-7</v>
      </c>
      <c r="C145" t="s">
        <v>56</v>
      </c>
      <c r="D145" t="s">
        <v>100</v>
      </c>
      <c r="F145" t="s">
        <v>99</v>
      </c>
      <c r="H145" t="s">
        <v>618</v>
      </c>
      <c r="I145" s="6"/>
      <c r="L145">
        <v>2</v>
      </c>
      <c r="M145">
        <f t="shared" si="4"/>
        <v>-15.196527861983322</v>
      </c>
      <c r="N145">
        <v>1.5</v>
      </c>
      <c r="O145">
        <v>1.2</v>
      </c>
      <c r="P145">
        <v>1.5</v>
      </c>
      <c r="Q145">
        <v>1.1000000000000001</v>
      </c>
      <c r="R145">
        <v>2</v>
      </c>
      <c r="S145">
        <v>1.2</v>
      </c>
      <c r="T145">
        <v>1.5</v>
      </c>
      <c r="U145">
        <f t="shared" si="5"/>
        <v>0.51215847306170115</v>
      </c>
    </row>
    <row r="146" spans="1:21" x14ac:dyDescent="0.2">
      <c r="A146" t="s">
        <v>620</v>
      </c>
      <c r="B146" s="45">
        <f>B144</f>
        <v>2.5132275132275135E-7</v>
      </c>
      <c r="C146" t="s">
        <v>56</v>
      </c>
      <c r="D146" t="s">
        <v>100</v>
      </c>
      <c r="F146" t="s">
        <v>99</v>
      </c>
      <c r="H146" t="s">
        <v>618</v>
      </c>
      <c r="I146" s="6"/>
      <c r="L146">
        <v>2</v>
      </c>
      <c r="M146">
        <f t="shared" si="4"/>
        <v>-15.196527861983322</v>
      </c>
      <c r="N146">
        <v>1.5</v>
      </c>
      <c r="O146">
        <v>1.2</v>
      </c>
      <c r="P146">
        <v>1.5</v>
      </c>
      <c r="Q146">
        <v>1.1000000000000001</v>
      </c>
      <c r="R146">
        <v>2</v>
      </c>
      <c r="S146">
        <v>1.2</v>
      </c>
      <c r="T146">
        <v>1.5</v>
      </c>
      <c r="U146">
        <f t="shared" si="5"/>
        <v>0.51215847306170115</v>
      </c>
    </row>
    <row r="147" spans="1:21" hidden="1" x14ac:dyDescent="0.2"/>
    <row r="148" spans="1:21" hidden="1" x14ac:dyDescent="0.2">
      <c r="A148" s="2" t="s">
        <v>50</v>
      </c>
      <c r="B148" s="44" t="str">
        <f>"heat, residential, by "&amp;B159&amp;" using "&amp;B160&amp;IF(B161&lt;&gt;0,"allocated by "&amp;B161,"")&amp;" using "&amp;B167&amp;" from "&amp;B168&amp;""</f>
        <v>heat, residential, by transfer of geothermal heat using water source heat pump using electricity from Solar PV (CH)</v>
      </c>
    </row>
    <row r="149" spans="1:21" hidden="1" x14ac:dyDescent="0.2">
      <c r="A149" t="s">
        <v>51</v>
      </c>
      <c r="B149" s="45" t="str">
        <f>"This dataset represents the supply of 1 megajoule of heat in a residence, by "&amp;B159&amp;" in a "&amp;B160&amp;". "&amp;" The "&amp;B158&amp;" is from "&amp;B168&amp;". "&amp;A170&amp;": "&amp;(B170*100)&amp;"%. "&amp;A171&amp;": "&amp;B171&amp;". "&amp;A172&amp;": "&amp;B172&amp;". "&amp;A173&amp;": "&amp;(B173*100)&amp;"%. "&amp;A174&amp;": "&amp;(B174*100)&amp;"%. "&amp;A175&amp;": "&amp;(B175*100)&amp;"%. "&amp;A176&amp;": "&amp;B176&amp;". "&amp;A177&amp;": "&amp;B177&amp;". "&amp;A178&amp;": "&amp;(B178*100)&amp;"%. "&amp;A179&amp;": "&amp;B179&amp;". "&amp;A180&amp;": "&amp;B180&amp;". "&amp;A181&amp;": "&amp;B181&amp;". "&amp;A182&amp;": "&amp;B182&amp;".  For more information, refer to: "&amp;B150</f>
        <v>This dataset represents the supply of 1 megajoule of heat in a residence, by transfer of geothermal heat in a water source heat pump.  The electricity is from Solar PV (CH). Heat conversion efficiency [% LHV input]: 390%.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150" spans="1:21" hidden="1" x14ac:dyDescent="0.2">
      <c r="A150" t="s">
        <v>63</v>
      </c>
      <c r="B150" s="45" t="s">
        <v>660</v>
      </c>
    </row>
    <row r="151" spans="1:21" hidden="1" x14ac:dyDescent="0.2">
      <c r="A151" t="s">
        <v>52</v>
      </c>
      <c r="B151" s="45" t="s">
        <v>64</v>
      </c>
    </row>
    <row r="152" spans="1:21" hidden="1" x14ac:dyDescent="0.2">
      <c r="A152" t="s">
        <v>48</v>
      </c>
      <c r="B152" s="45">
        <v>195</v>
      </c>
    </row>
    <row r="153" spans="1:21" hidden="1" x14ac:dyDescent="0.2">
      <c r="A153" t="s">
        <v>54</v>
      </c>
      <c r="B153" s="45" t="str">
        <f>INDEX(overview!$B$4:$R$200,MATCH(B152,overview!$A$4:$A$200,0),MATCH(A153,overview!$B$3:$R$3,0))</f>
        <v>heat, from residential heating system</v>
      </c>
    </row>
    <row r="154" spans="1:21" hidden="1" x14ac:dyDescent="0.2">
      <c r="A154" t="s">
        <v>55</v>
      </c>
      <c r="B154" s="45" t="str">
        <f>INDEX(overview!$B$4:$R$200,MATCH(B152,overview!$A$4:$A$200,0),MATCH(A154,overview!$B$3:$R$3,0))</f>
        <v>megajoule</v>
      </c>
    </row>
    <row r="155" spans="1:21" hidden="1" x14ac:dyDescent="0.2">
      <c r="A155" t="s">
        <v>0</v>
      </c>
      <c r="B155" s="45" t="str">
        <f>INDEX(overview!$B$4:$R$200,MATCH(B152,overview!$A$4:$A$200,0),MATCH(A155,overview!$B$3:$R$3,0))</f>
        <v>Switzerland</v>
      </c>
    </row>
    <row r="156" spans="1:21" hidden="1" x14ac:dyDescent="0.2">
      <c r="A156" t="s">
        <v>1</v>
      </c>
      <c r="B156" s="45">
        <f>INDEX(overview!$B$4:$R$200,MATCH(B152,overview!$A$4:$A$200,0),MATCH(A156,overview!$B$3:$R$3,0))</f>
        <v>2020</v>
      </c>
    </row>
    <row r="157" spans="1:21" hidden="1" x14ac:dyDescent="0.2">
      <c r="A157" t="s">
        <v>2</v>
      </c>
      <c r="B157" s="45" t="str">
        <f>INDEX(overview!$B$4:$R$200,MATCH(B152,overview!$A$4:$A$200,0),MATCH(A157,overview!$B$3:$R$3,0))</f>
        <v>1 MJ heat</v>
      </c>
    </row>
    <row r="158" spans="1:21" hidden="1" x14ac:dyDescent="0.2">
      <c r="A158" t="s">
        <v>5</v>
      </c>
      <c r="B158" s="45" t="str">
        <f>INDEX(overview!$B$4:$R$200,MATCH(B152,overview!$A$4:$A$200,0),MATCH(A158,overview!$B$3:$R$3,0))</f>
        <v>electricity</v>
      </c>
    </row>
    <row r="159" spans="1:21" hidden="1" x14ac:dyDescent="0.2">
      <c r="A159" t="s">
        <v>3</v>
      </c>
      <c r="B159" s="45" t="str">
        <f>INDEX(overview!$B$4:$R$200,MATCH(B152,overview!$A$4:$A$200,0),MATCH(A159,overview!$B$3:$R$3,0))</f>
        <v>transfer of geothermal heat</v>
      </c>
    </row>
    <row r="160" spans="1:21" hidden="1" x14ac:dyDescent="0.2">
      <c r="A160" t="s">
        <v>6</v>
      </c>
      <c r="B160" s="45" t="str">
        <f>INDEX(overview!$B$4:$R$200,MATCH(B152,overview!$A$4:$A$200,0),MATCH(A160,overview!$B$3:$R$3,0))</f>
        <v>water source heat pump</v>
      </c>
    </row>
    <row r="161" spans="1:2" hidden="1" x14ac:dyDescent="0.2">
      <c r="A161" t="s">
        <v>39</v>
      </c>
      <c r="B161" s="45">
        <f>INDEX(overview!$B$4:$R$200,MATCH(B152,overview!$A$4:$A$200,0),MATCH(A161,overview!$B$3:$R$3,0))</f>
        <v>0</v>
      </c>
    </row>
    <row r="162" spans="1:2" hidden="1" x14ac:dyDescent="0.2">
      <c r="A162" t="s">
        <v>4</v>
      </c>
      <c r="B162" s="45">
        <f>INDEX(overview!$B$4:$R$200,MATCH(B152,overview!$A$4:$A$200,0),MATCH(A162,overview!$B$3:$R$3,0))</f>
        <v>0</v>
      </c>
    </row>
    <row r="163" spans="1:2" hidden="1" x14ac:dyDescent="0.2">
      <c r="A163" t="s">
        <v>38</v>
      </c>
      <c r="B163" s="45">
        <f>INDEX(overview!$B$4:$R$200,MATCH(B152,overview!$A$4:$A$200,0),MATCH(A163,overview!$B$3:$R$3,0))</f>
        <v>0</v>
      </c>
    </row>
    <row r="164" spans="1:2" hidden="1" x14ac:dyDescent="0.2">
      <c r="A164" t="s">
        <v>12</v>
      </c>
      <c r="B164" s="45">
        <f>INDEX(overview!$B$4:$R$200,MATCH(B152,overview!$A$4:$A$200,0),MATCH(A164,overview!$B$3:$R$3,0))</f>
        <v>0</v>
      </c>
    </row>
    <row r="165" spans="1:2" hidden="1" x14ac:dyDescent="0.2">
      <c r="A165" t="s">
        <v>34</v>
      </c>
      <c r="B165" s="45">
        <f>INDEX(overview!$B$4:$R$200,MATCH(B152,overview!$A$4:$A$200,0),MATCH(A165,overview!$B$3:$R$3,0))</f>
        <v>0</v>
      </c>
    </row>
    <row r="166" spans="1:2" hidden="1" x14ac:dyDescent="0.2">
      <c r="A166" t="s">
        <v>15</v>
      </c>
      <c r="B166" s="45">
        <f>INDEX(overview!$B$4:$R$200,MATCH(B152,overview!$A$4:$A$200,0),MATCH(A166,overview!$B$3:$R$3,0))</f>
        <v>0</v>
      </c>
    </row>
    <row r="167" spans="1:2" hidden="1" x14ac:dyDescent="0.2">
      <c r="A167" t="s">
        <v>14</v>
      </c>
      <c r="B167" s="45" t="str">
        <f>INDEX(overview!$B$4:$R$200,MATCH(B152,overview!$A$4:$A$200,0),MATCH(A167,overview!$B$3:$R$3,0))</f>
        <v>electricity</v>
      </c>
    </row>
    <row r="168" spans="1:2" hidden="1" x14ac:dyDescent="0.2">
      <c r="A168" t="s">
        <v>26</v>
      </c>
      <c r="B168" s="45" t="str">
        <f>INDEX(overview!$B$4:$R$200,MATCH(B152,overview!$A$4:$A$200,0),MATCH(A168,overview!$B$3:$R$3,0))</f>
        <v>Solar PV (CH)</v>
      </c>
    </row>
    <row r="169" spans="1:2" hidden="1" x14ac:dyDescent="0.2">
      <c r="A169" t="s">
        <v>29</v>
      </c>
      <c r="B169" s="45">
        <f>INDEX(overview!$B$4:$R$200,MATCH(B152,overview!$A$4:$A$200,0),MATCH(A169,overview!$B$3:$R$3,0))</f>
        <v>0</v>
      </c>
    </row>
    <row r="170" spans="1:2" hidden="1" x14ac:dyDescent="0.2">
      <c r="A170" t="s">
        <v>632</v>
      </c>
      <c r="B170" s="46">
        <f>INDEX(parameters!$D$4:$N$20,MATCH(B158&amp;B160,parameters!$A$4:$A$20,0),MATCH(A170,parameters!$D$3:$N$3,0))</f>
        <v>3.9</v>
      </c>
    </row>
    <row r="171" spans="1:2" hidden="1" x14ac:dyDescent="0.2">
      <c r="A171" t="s">
        <v>40</v>
      </c>
      <c r="B171" s="47">
        <f>INDEX(parameters!$D$4:$N$20,MATCH(B158&amp;B160,parameters!$A$4:$A$20,0),MATCH(A171,parameters!$D$3:$N$3,0))</f>
        <v>3.6</v>
      </c>
    </row>
    <row r="172" spans="1:2" hidden="1" x14ac:dyDescent="0.2">
      <c r="A172" t="s">
        <v>41</v>
      </c>
      <c r="B172" s="48">
        <f>INDEX(parameters!$D$4:$N$20,MATCH(B158&amp;B160,parameters!$A$4:$A$20,0),MATCH(A172,parameters!$D$3:$N$3,0))</f>
        <v>2.6666666666666665E-2</v>
      </c>
    </row>
    <row r="173" spans="1:2" hidden="1" x14ac:dyDescent="0.2">
      <c r="A173" t="s">
        <v>45</v>
      </c>
      <c r="B173" s="49">
        <f>INDEX(parameters!$D$4:$N$20,MATCH(B158&amp;B160,parameters!$A$4:$A$20,0),MATCH(A173,parameters!$D$3:$N$3,0))</f>
        <v>0</v>
      </c>
    </row>
    <row r="174" spans="1:2" hidden="1" x14ac:dyDescent="0.2">
      <c r="A174" t="s">
        <v>46</v>
      </c>
      <c r="B174" s="49">
        <f>INDEX(parameters!$D$4:$N$20,MATCH(B158&amp;B160,parameters!$A$4:$A$20,0),MATCH(A174,parameters!$D$3:$N$3,0))</f>
        <v>0</v>
      </c>
    </row>
    <row r="175" spans="1:2" hidden="1" x14ac:dyDescent="0.2">
      <c r="A175" t="s">
        <v>43</v>
      </c>
      <c r="B175" s="49">
        <f>INDEX(parameters!$D$4:$N$20,MATCH(B158&amp;B160,parameters!$A$4:$A$20,0),MATCH(A175,parameters!$D$3:$N$3,0))</f>
        <v>0</v>
      </c>
    </row>
    <row r="176" spans="1:2" hidden="1" x14ac:dyDescent="0.2">
      <c r="A176" t="s">
        <v>44</v>
      </c>
      <c r="B176" s="49">
        <f>INDEX(parameters!$D$4:$N$20,MATCH(B158&amp;B160,parameters!$A$4:$A$20,0),MATCH(A176,parameters!$D$3:$N$3,0))</f>
        <v>0</v>
      </c>
    </row>
    <row r="177" spans="1:21" hidden="1" x14ac:dyDescent="0.2">
      <c r="A177" t="s">
        <v>47</v>
      </c>
      <c r="B177" s="49">
        <f>INDEX(parameters!$D$4:$N$20,MATCH(B158&amp;B160,parameters!$A$4:$A$20,0),MATCH(A177,parameters!$D$3:$N$3,0))</f>
        <v>0.06</v>
      </c>
    </row>
    <row r="178" spans="1:21" hidden="1" x14ac:dyDescent="0.2">
      <c r="A178" t="s">
        <v>82</v>
      </c>
      <c r="B178" s="46">
        <f>IF(B169&lt;&gt;0,VLOOKUP(B169,parameters!$A$26:$B$28,2,0),0)</f>
        <v>0</v>
      </c>
    </row>
    <row r="179" spans="1:21" hidden="1" x14ac:dyDescent="0.2">
      <c r="A179" t="s">
        <v>548</v>
      </c>
      <c r="B179" s="50">
        <f>INDEX(parameters!$D$4:$P$20,MATCH(B158&amp;B160,parameters!$A$4:$A$20,0),MATCH(A179,parameters!$D$3:$P$3,0))</f>
        <v>10</v>
      </c>
    </row>
    <row r="180" spans="1:21" hidden="1" x14ac:dyDescent="0.2">
      <c r="A180" t="s">
        <v>547</v>
      </c>
      <c r="B180" s="51">
        <f>INDEX(parameters!$D$4:$P$20,MATCH(B158&amp;B160,parameters!$A$4:$A$20,0),MATCH(A180,parameters!$D$3:$P$3,0))</f>
        <v>20</v>
      </c>
    </row>
    <row r="181" spans="1:21" hidden="1" x14ac:dyDescent="0.2">
      <c r="A181" t="s">
        <v>630</v>
      </c>
      <c r="B181" s="51">
        <f>INDEX(parameters!$D$4:$T$20,MATCH(B158&amp;B160,parameters!$A$4:$A$20,0),MATCH(A181,parameters!$D$3:$T$3,0))</f>
        <v>2100</v>
      </c>
    </row>
    <row r="182" spans="1:21" hidden="1" x14ac:dyDescent="0.2"/>
    <row r="183" spans="1:21" hidden="1" x14ac:dyDescent="0.2">
      <c r="A183" s="3" t="s">
        <v>57</v>
      </c>
    </row>
    <row r="184" spans="1:21" hidden="1" x14ac:dyDescent="0.2">
      <c r="A184" s="2" t="s">
        <v>58</v>
      </c>
      <c r="B184" s="44" t="s">
        <v>59</v>
      </c>
      <c r="C184" s="2" t="s">
        <v>55</v>
      </c>
      <c r="D184" s="2" t="s">
        <v>60</v>
      </c>
      <c r="E184" s="2" t="s">
        <v>52</v>
      </c>
      <c r="F184" s="2" t="s">
        <v>61</v>
      </c>
      <c r="G184" s="2" t="s">
        <v>54</v>
      </c>
      <c r="H184" s="2" t="s">
        <v>87</v>
      </c>
      <c r="I184" s="2" t="s">
        <v>51</v>
      </c>
      <c r="J184" s="2" t="s">
        <v>138</v>
      </c>
      <c r="K184" s="2" t="s">
        <v>136</v>
      </c>
      <c r="L184" s="2" t="s">
        <v>221</v>
      </c>
      <c r="M184" s="2" t="s">
        <v>379</v>
      </c>
      <c r="N184" s="2" t="s">
        <v>1059</v>
      </c>
      <c r="O184" s="2" t="s">
        <v>1060</v>
      </c>
      <c r="P184" s="2" t="s">
        <v>1061</v>
      </c>
      <c r="Q184" s="2" t="s">
        <v>1062</v>
      </c>
      <c r="R184" s="2" t="s">
        <v>1063</v>
      </c>
      <c r="S184" s="2" t="s">
        <v>1064</v>
      </c>
      <c r="T184" s="2" t="s">
        <v>1065</v>
      </c>
      <c r="U184" s="2" t="s">
        <v>380</v>
      </c>
    </row>
    <row r="185" spans="1:21" hidden="1" x14ac:dyDescent="0.2">
      <c r="A185" t="str">
        <f>B148</f>
        <v>heat, residential, by transfer of geothermal heat using water source heat pump using electricity from Solar PV (CH)</v>
      </c>
      <c r="B185" s="45">
        <v>1</v>
      </c>
      <c r="C185" t="str">
        <f>B154</f>
        <v>megajoule</v>
      </c>
      <c r="E185" t="str">
        <f>B151</f>
        <v>CH</v>
      </c>
      <c r="F185" t="s">
        <v>62</v>
      </c>
      <c r="G185" t="str">
        <f>B153</f>
        <v>heat, from residential heating system</v>
      </c>
      <c r="K185" t="str">
        <f>B148</f>
        <v>heat, residential, by transfer of geothermal heat using water source heat pump using electricity from Solar PV (CH)</v>
      </c>
    </row>
    <row r="186" spans="1:21" x14ac:dyDescent="0.2">
      <c r="A186" t="str">
        <f>VLOOKUP(J186,'dataset mapping'!$A$4:$E$69,2,0)</f>
        <v>heat pump 10 kW production for water source heat pump system</v>
      </c>
      <c r="B186" s="52">
        <f>1/(B179*B181*B180*3.6)</f>
        <v>6.6137566137566138E-7</v>
      </c>
      <c r="C186" t="str">
        <f>VLOOKUP(J186,'dataset mapping'!$A$4:$E$69,5,0)</f>
        <v>unit</v>
      </c>
      <c r="E186" t="str">
        <f>VLOOKUP(J186,'dataset mapping'!$A$4:$E$69,4,0)</f>
        <v>CH</v>
      </c>
      <c r="F186" t="s">
        <v>86</v>
      </c>
      <c r="G186" t="str">
        <f>VLOOKUP(J186,'dataset mapping'!$A$4:$E$69,3,0)</f>
        <v>heat pump 10 kW</v>
      </c>
      <c r="H186" t="s">
        <v>77</v>
      </c>
      <c r="J186" t="s">
        <v>604</v>
      </c>
      <c r="K186" t="str">
        <f>B148</f>
        <v>heat, residential, by transfer of geothermal heat using water source heat pump using electricity from Solar PV (CH)</v>
      </c>
      <c r="L186">
        <v>2</v>
      </c>
      <c r="M186">
        <f t="shared" ref="M186:M195" si="6">LN(B186)</f>
        <v>-14.228943835721616</v>
      </c>
      <c r="N186">
        <v>1.5</v>
      </c>
      <c r="O186">
        <v>1.2</v>
      </c>
      <c r="P186">
        <v>1.5</v>
      </c>
      <c r="Q186">
        <v>1.1000000000000001</v>
      </c>
      <c r="R186">
        <v>2</v>
      </c>
      <c r="S186">
        <v>1.2</v>
      </c>
      <c r="T186">
        <v>3</v>
      </c>
      <c r="U186">
        <f t="shared" ref="U186:U195" si="7">LN(SQRT(EXP(
SQRT(
+POWER(LN(N186),2)
+POWER(LN(O186),2)
+POWER(LN(P186),2)
+POWER(LN(Q186),2)
+POWER(LN(R186),2)
+POWER(LN(S186),2)
+POWER(LN(T186),2)
)
)))</f>
        <v>0.72314801614797197</v>
      </c>
    </row>
    <row r="187" spans="1:21" x14ac:dyDescent="0.2">
      <c r="A187" t="str">
        <f>VLOOKUP(J187,'dataset mapping'!$A$4:$E$69,2,0)</f>
        <v>treatment of heat pump 10 kW production for air source heat pump system</v>
      </c>
      <c r="B187" s="52">
        <f>1/(B179*B181*B180*3.6)</f>
        <v>6.6137566137566138E-7</v>
      </c>
      <c r="C187" t="str">
        <f>VLOOKUP(J187,'dataset mapping'!$A$4:$E$69,5,0)</f>
        <v>unit</v>
      </c>
      <c r="E187" t="str">
        <f>VLOOKUP(J187,'dataset mapping'!$A$4:$E$69,4,0)</f>
        <v>CH</v>
      </c>
      <c r="F187" t="s">
        <v>86</v>
      </c>
      <c r="G187" t="str">
        <f>VLOOKUP(J187,'dataset mapping'!$A$4:$E$69,3,0)</f>
        <v>heat pump 10 kW</v>
      </c>
      <c r="H187" t="s">
        <v>77</v>
      </c>
      <c r="J187" t="s">
        <v>605</v>
      </c>
      <c r="K187" t="str">
        <f>B148</f>
        <v>heat, residential, by transfer of geothermal heat using water source heat pump using electricity from Solar PV (CH)</v>
      </c>
      <c r="L187">
        <v>2</v>
      </c>
      <c r="M187">
        <f t="shared" si="6"/>
        <v>-14.228943835721616</v>
      </c>
      <c r="N187">
        <v>1.5</v>
      </c>
      <c r="O187">
        <v>1.2</v>
      </c>
      <c r="P187">
        <v>1.5</v>
      </c>
      <c r="Q187">
        <v>1.1000000000000001</v>
      </c>
      <c r="R187">
        <v>2</v>
      </c>
      <c r="S187">
        <v>1.2</v>
      </c>
      <c r="T187">
        <v>1.05</v>
      </c>
      <c r="U187">
        <f t="shared" si="7"/>
        <v>0.47095746419981693</v>
      </c>
    </row>
    <row r="188" spans="1:21" x14ac:dyDescent="0.2">
      <c r="A188" t="s">
        <v>290</v>
      </c>
      <c r="B188" s="55">
        <f>B185/B170/3.6</f>
        <v>7.1225071225071226E-2</v>
      </c>
      <c r="C188" t="s">
        <v>92</v>
      </c>
      <c r="E188" t="s">
        <v>64</v>
      </c>
      <c r="F188" t="s">
        <v>86</v>
      </c>
      <c r="G188" t="s">
        <v>93</v>
      </c>
      <c r="H188" t="s">
        <v>78</v>
      </c>
      <c r="I188" t="s">
        <v>609</v>
      </c>
      <c r="K188" t="str">
        <f>B148</f>
        <v>heat, residential, by transfer of geothermal heat using water source heat pump using electricity from Solar PV (CH)</v>
      </c>
      <c r="L188">
        <v>2</v>
      </c>
      <c r="M188">
        <f t="shared" si="6"/>
        <v>-2.6419103985976649</v>
      </c>
      <c r="N188">
        <v>1.5</v>
      </c>
      <c r="O188">
        <v>1.2</v>
      </c>
      <c r="P188">
        <v>1.5</v>
      </c>
      <c r="Q188">
        <v>1.1000000000000001</v>
      </c>
      <c r="R188">
        <v>2</v>
      </c>
      <c r="S188">
        <v>1.2</v>
      </c>
      <c r="T188">
        <v>1.05</v>
      </c>
      <c r="U188">
        <f t="shared" si="7"/>
        <v>0.47095746419981693</v>
      </c>
    </row>
    <row r="189" spans="1:21" x14ac:dyDescent="0.2">
      <c r="A189" t="s">
        <v>539</v>
      </c>
      <c r="B189" s="45">
        <v>1</v>
      </c>
      <c r="C189" t="s">
        <v>65</v>
      </c>
      <c r="D189" t="s">
        <v>113</v>
      </c>
      <c r="F189" t="s">
        <v>99</v>
      </c>
      <c r="K189" t="str">
        <f>B148</f>
        <v>heat, residential, by transfer of geothermal heat using water source heat pump using electricity from Solar PV (CH)</v>
      </c>
      <c r="L189">
        <v>2</v>
      </c>
      <c r="M189">
        <f t="shared" si="6"/>
        <v>0</v>
      </c>
      <c r="N189">
        <v>1.5</v>
      </c>
      <c r="O189">
        <v>1.2</v>
      </c>
      <c r="P189">
        <v>1.5</v>
      </c>
      <c r="Q189">
        <v>1.1000000000000001</v>
      </c>
      <c r="R189">
        <v>2</v>
      </c>
      <c r="S189">
        <v>1.2</v>
      </c>
      <c r="T189">
        <v>1.05</v>
      </c>
      <c r="U189">
        <f t="shared" si="7"/>
        <v>0.47095746419981693</v>
      </c>
    </row>
    <row r="190" spans="1:21" x14ac:dyDescent="0.2">
      <c r="A190" t="s">
        <v>540</v>
      </c>
      <c r="B190" s="52">
        <f>(1/(B179*B181*3.6))</f>
        <v>1.3227513227513228E-5</v>
      </c>
      <c r="C190" t="s">
        <v>55</v>
      </c>
      <c r="E190" t="s">
        <v>85</v>
      </c>
      <c r="F190" t="s">
        <v>86</v>
      </c>
      <c r="G190" t="s">
        <v>541</v>
      </c>
      <c r="H190" t="s">
        <v>155</v>
      </c>
      <c r="K190" t="str">
        <f>B148</f>
        <v>heat, residential, by transfer of geothermal heat using water source heat pump using electricity from Solar PV (CH)</v>
      </c>
      <c r="L190">
        <v>2</v>
      </c>
      <c r="M190">
        <f t="shared" si="6"/>
        <v>-11.233211562167625</v>
      </c>
      <c r="N190">
        <v>1.5</v>
      </c>
      <c r="O190">
        <v>1.2</v>
      </c>
      <c r="P190">
        <v>1.5</v>
      </c>
      <c r="Q190">
        <v>1.1000000000000001</v>
      </c>
      <c r="R190">
        <v>2</v>
      </c>
      <c r="S190">
        <v>1.2</v>
      </c>
      <c r="T190">
        <v>1.05</v>
      </c>
      <c r="U190">
        <f t="shared" si="7"/>
        <v>0.47095746419981693</v>
      </c>
    </row>
    <row r="191" spans="1:21" x14ac:dyDescent="0.2">
      <c r="A191" t="s">
        <v>156</v>
      </c>
      <c r="B191" s="45">
        <f>1/(B179*B181*3.6)*0.03</f>
        <v>3.9682539682539683E-7</v>
      </c>
      <c r="C191" t="s">
        <v>56</v>
      </c>
      <c r="E191" t="s">
        <v>90</v>
      </c>
      <c r="F191" t="s">
        <v>86</v>
      </c>
      <c r="G191" t="s">
        <v>154</v>
      </c>
      <c r="H191" t="s">
        <v>155</v>
      </c>
      <c r="K191" t="str">
        <f>B148</f>
        <v>heat, residential, by transfer of geothermal heat using water source heat pump using electricity from Solar PV (CH)</v>
      </c>
      <c r="L191">
        <v>2</v>
      </c>
      <c r="M191">
        <f t="shared" si="6"/>
        <v>-14.739769459487606</v>
      </c>
      <c r="N191">
        <v>1.5</v>
      </c>
      <c r="O191">
        <v>1.2</v>
      </c>
      <c r="P191">
        <v>1.5</v>
      </c>
      <c r="Q191">
        <v>1.1000000000000001</v>
      </c>
      <c r="R191">
        <v>2</v>
      </c>
      <c r="S191">
        <v>1.2</v>
      </c>
      <c r="T191">
        <v>1.05</v>
      </c>
      <c r="U191">
        <f t="shared" si="7"/>
        <v>0.47095746419981693</v>
      </c>
    </row>
    <row r="192" spans="1:21" x14ac:dyDescent="0.2">
      <c r="A192" t="s">
        <v>614</v>
      </c>
      <c r="B192" s="45">
        <f>1/(B179*B181*3.6)*(1.9*2%)*50%</f>
        <v>2.5132275132275135E-7</v>
      </c>
      <c r="C192" t="s">
        <v>56</v>
      </c>
      <c r="E192" t="s">
        <v>85</v>
      </c>
      <c r="F192" t="s">
        <v>86</v>
      </c>
      <c r="G192" t="s">
        <v>615</v>
      </c>
      <c r="H192" t="s">
        <v>618</v>
      </c>
      <c r="I192" s="6"/>
      <c r="L192">
        <v>2</v>
      </c>
      <c r="M192">
        <f t="shared" si="6"/>
        <v>-15.196527861983322</v>
      </c>
      <c r="N192">
        <v>1.5</v>
      </c>
      <c r="O192">
        <v>1.2</v>
      </c>
      <c r="P192">
        <v>1.5</v>
      </c>
      <c r="Q192">
        <v>1.1000000000000001</v>
      </c>
      <c r="R192">
        <v>2</v>
      </c>
      <c r="S192">
        <v>1.2</v>
      </c>
      <c r="T192">
        <v>1.05</v>
      </c>
      <c r="U192">
        <f t="shared" si="7"/>
        <v>0.47095746419981693</v>
      </c>
    </row>
    <row r="193" spans="1:21" x14ac:dyDescent="0.2">
      <c r="A193" t="s">
        <v>616</v>
      </c>
      <c r="B193" s="45">
        <f>1/(B179*B181*3.6)*(1.9*2%)*50%</f>
        <v>2.5132275132275135E-7</v>
      </c>
      <c r="C193" t="s">
        <v>56</v>
      </c>
      <c r="E193" t="s">
        <v>85</v>
      </c>
      <c r="F193" t="s">
        <v>86</v>
      </c>
      <c r="G193" t="s">
        <v>617</v>
      </c>
      <c r="H193" t="s">
        <v>618</v>
      </c>
      <c r="I193" s="6"/>
      <c r="L193">
        <v>2</v>
      </c>
      <c r="M193">
        <f t="shared" si="6"/>
        <v>-15.196527861983322</v>
      </c>
      <c r="N193">
        <v>1.5</v>
      </c>
      <c r="O193">
        <v>1.2</v>
      </c>
      <c r="P193">
        <v>1.5</v>
      </c>
      <c r="Q193">
        <v>1.1000000000000001</v>
      </c>
      <c r="R193">
        <v>2</v>
      </c>
      <c r="S193">
        <v>1.2</v>
      </c>
      <c r="T193">
        <v>1.05</v>
      </c>
      <c r="U193">
        <f t="shared" si="7"/>
        <v>0.47095746419981693</v>
      </c>
    </row>
    <row r="194" spans="1:21" x14ac:dyDescent="0.2">
      <c r="A194" t="s">
        <v>619</v>
      </c>
      <c r="B194" s="45">
        <f>B192</f>
        <v>2.5132275132275135E-7</v>
      </c>
      <c r="C194" t="s">
        <v>56</v>
      </c>
      <c r="D194" t="s">
        <v>100</v>
      </c>
      <c r="F194" t="s">
        <v>99</v>
      </c>
      <c r="H194" t="s">
        <v>618</v>
      </c>
      <c r="I194" s="6"/>
      <c r="L194">
        <v>2</v>
      </c>
      <c r="M194">
        <f t="shared" si="6"/>
        <v>-15.196527861983322</v>
      </c>
      <c r="N194">
        <v>1.5</v>
      </c>
      <c r="O194">
        <v>1.2</v>
      </c>
      <c r="P194">
        <v>1.5</v>
      </c>
      <c r="Q194">
        <v>1.1000000000000001</v>
      </c>
      <c r="R194">
        <v>2</v>
      </c>
      <c r="S194">
        <v>1.2</v>
      </c>
      <c r="T194">
        <v>1.5</v>
      </c>
      <c r="U194">
        <f t="shared" si="7"/>
        <v>0.51215847306170115</v>
      </c>
    </row>
    <row r="195" spans="1:21" x14ac:dyDescent="0.2">
      <c r="A195" t="s">
        <v>620</v>
      </c>
      <c r="B195" s="45">
        <f>B193</f>
        <v>2.5132275132275135E-7</v>
      </c>
      <c r="C195" t="s">
        <v>56</v>
      </c>
      <c r="D195" t="s">
        <v>100</v>
      </c>
      <c r="F195" t="s">
        <v>99</v>
      </c>
      <c r="H195" t="s">
        <v>618</v>
      </c>
      <c r="I195" s="6"/>
      <c r="L195">
        <v>2</v>
      </c>
      <c r="M195">
        <f t="shared" si="6"/>
        <v>-15.196527861983322</v>
      </c>
      <c r="N195">
        <v>1.5</v>
      </c>
      <c r="O195">
        <v>1.2</v>
      </c>
      <c r="P195">
        <v>1.5</v>
      </c>
      <c r="Q195">
        <v>1.1000000000000001</v>
      </c>
      <c r="R195">
        <v>2</v>
      </c>
      <c r="S195">
        <v>1.2</v>
      </c>
      <c r="T195">
        <v>1.5</v>
      </c>
      <c r="U195">
        <f t="shared" si="7"/>
        <v>0.51215847306170115</v>
      </c>
    </row>
    <row r="196" spans="1:21" hidden="1" x14ac:dyDescent="0.2"/>
    <row r="197" spans="1:21" hidden="1" x14ac:dyDescent="0.2">
      <c r="A197" s="2" t="s">
        <v>50</v>
      </c>
      <c r="B197" s="44" t="str">
        <f>"heat, residential, by "&amp;B208&amp;" using "&amp;B209&amp;IF(B210&lt;&gt;0,"allocated by "&amp;B210,"")&amp;" using "&amp;B216&amp;" from "&amp;B217&amp;""</f>
        <v>heat, residential, by transfer of outdoor heat using air source heat pump using electricity from grid</v>
      </c>
    </row>
    <row r="198" spans="1:21" hidden="1" x14ac:dyDescent="0.2">
      <c r="A198" t="s">
        <v>51</v>
      </c>
      <c r="B198" s="45" t="str">
        <f>"This dataset represents the supply of 1 megajoule of heat in a residence, by "&amp;B208&amp;" in an "&amp;B209&amp;". "&amp;" The "&amp;B207&amp;" is from "&amp;B217&amp;". "&amp;A219&amp;": "&amp;(B219*100)&amp;"%. "&amp;A220&amp;": "&amp;B220&amp;". "&amp;A221&amp;": "&amp;B221&amp;". "&amp;A222&amp;": "&amp;(B222*100)&amp;"%. "&amp;A223&amp;": "&amp;(B223*100)&amp;"%. "&amp;A224&amp;": "&amp;(B224*100)&amp;"%. "&amp;A225&amp;": "&amp;B225&amp;". "&amp;A226&amp;": "&amp;B226&amp;". "&amp;A227&amp;": "&amp;(B227*100)&amp;"%. "&amp;A228&amp;": "&amp;B228&amp;". "&amp;A229&amp;": "&amp;B229&amp;". "&amp;A230&amp;": "&amp;B230&amp;". "&amp;A231&amp;": "&amp;B231&amp;".  For more information, refer to: "&amp;B199</f>
        <v>This dataset represents the supply of 1 megajoule of heat in a residence, by transfer of outdoor heat in an air source heat pump.  The electricity is from grid. Heat conversion efficiency [% LHV input]: 280%.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199" spans="1:21" hidden="1" x14ac:dyDescent="0.2">
      <c r="A199" t="s">
        <v>63</v>
      </c>
      <c r="B199" s="45" t="s">
        <v>660</v>
      </c>
    </row>
    <row r="200" spans="1:21" hidden="1" x14ac:dyDescent="0.2">
      <c r="A200" t="s">
        <v>52</v>
      </c>
      <c r="B200" s="45" t="s">
        <v>64</v>
      </c>
    </row>
    <row r="201" spans="1:21" hidden="1" x14ac:dyDescent="0.2">
      <c r="A201" t="s">
        <v>48</v>
      </c>
      <c r="B201" s="45">
        <v>196</v>
      </c>
    </row>
    <row r="202" spans="1:21" hidden="1" x14ac:dyDescent="0.2">
      <c r="A202" t="s">
        <v>54</v>
      </c>
      <c r="B202" s="45" t="str">
        <f>INDEX(overview!$B$4:$R$200,MATCH(B201,overview!$A$4:$A$200,0),MATCH(A202,overview!$B$3:$R$3,0))</f>
        <v>heat, from residential heating system</v>
      </c>
    </row>
    <row r="203" spans="1:21" hidden="1" x14ac:dyDescent="0.2">
      <c r="A203" t="s">
        <v>55</v>
      </c>
      <c r="B203" s="45" t="str">
        <f>INDEX(overview!$B$4:$R$200,MATCH(B201,overview!$A$4:$A$200,0),MATCH(A203,overview!$B$3:$R$3,0))</f>
        <v>megajoule</v>
      </c>
    </row>
    <row r="204" spans="1:21" hidden="1" x14ac:dyDescent="0.2">
      <c r="A204" t="s">
        <v>0</v>
      </c>
      <c r="B204" s="45" t="str">
        <f>INDEX(overview!$B$4:$R$200,MATCH(B201,overview!$A$4:$A$200,0),MATCH(A204,overview!$B$3:$R$3,0))</f>
        <v>Switzerland</v>
      </c>
    </row>
    <row r="205" spans="1:21" hidden="1" x14ac:dyDescent="0.2">
      <c r="A205" t="s">
        <v>1</v>
      </c>
      <c r="B205" s="45">
        <f>INDEX(overview!$B$4:$R$200,MATCH(B201,overview!$A$4:$A$200,0),MATCH(A205,overview!$B$3:$R$3,0))</f>
        <v>2020</v>
      </c>
    </row>
    <row r="206" spans="1:21" hidden="1" x14ac:dyDescent="0.2">
      <c r="A206" t="s">
        <v>2</v>
      </c>
      <c r="B206" s="45" t="str">
        <f>INDEX(overview!$B$4:$R$200,MATCH(B201,overview!$A$4:$A$200,0),MATCH(A206,overview!$B$3:$R$3,0))</f>
        <v>1 MJ heat</v>
      </c>
    </row>
    <row r="207" spans="1:21" hidden="1" x14ac:dyDescent="0.2">
      <c r="A207" t="s">
        <v>5</v>
      </c>
      <c r="B207" s="45" t="str">
        <f>INDEX(overview!$B$4:$R$200,MATCH(B201,overview!$A$4:$A$200,0),MATCH(A207,overview!$B$3:$R$3,0))</f>
        <v>electricity</v>
      </c>
    </row>
    <row r="208" spans="1:21" hidden="1" x14ac:dyDescent="0.2">
      <c r="A208" t="s">
        <v>3</v>
      </c>
      <c r="B208" s="45" t="str">
        <f>INDEX(overview!$B$4:$R$200,MATCH(B201,overview!$A$4:$A$200,0),MATCH(A208,overview!$B$3:$R$3,0))</f>
        <v>transfer of outdoor heat</v>
      </c>
    </row>
    <row r="209" spans="1:2" hidden="1" x14ac:dyDescent="0.2">
      <c r="A209" t="s">
        <v>6</v>
      </c>
      <c r="B209" s="45" t="str">
        <f>INDEX(overview!$B$4:$R$200,MATCH(B201,overview!$A$4:$A$200,0),MATCH(A209,overview!$B$3:$R$3,0))</f>
        <v>air source heat pump</v>
      </c>
    </row>
    <row r="210" spans="1:2" hidden="1" x14ac:dyDescent="0.2">
      <c r="A210" t="s">
        <v>39</v>
      </c>
      <c r="B210" s="45">
        <f>INDEX(overview!$B$4:$R$200,MATCH(B201,overview!$A$4:$A$200,0),MATCH(A210,overview!$B$3:$R$3,0))</f>
        <v>0</v>
      </c>
    </row>
    <row r="211" spans="1:2" hidden="1" x14ac:dyDescent="0.2">
      <c r="A211" t="s">
        <v>4</v>
      </c>
      <c r="B211" s="45">
        <f>INDEX(overview!$B$4:$R$200,MATCH(B201,overview!$A$4:$A$200,0),MATCH(A211,overview!$B$3:$R$3,0))</f>
        <v>0</v>
      </c>
    </row>
    <row r="212" spans="1:2" hidden="1" x14ac:dyDescent="0.2">
      <c r="A212" t="s">
        <v>38</v>
      </c>
      <c r="B212" s="45">
        <f>INDEX(overview!$B$4:$R$200,MATCH(B201,overview!$A$4:$A$200,0),MATCH(A212,overview!$B$3:$R$3,0))</f>
        <v>0</v>
      </c>
    </row>
    <row r="213" spans="1:2" hidden="1" x14ac:dyDescent="0.2">
      <c r="A213" t="s">
        <v>12</v>
      </c>
      <c r="B213" s="45">
        <f>INDEX(overview!$B$4:$R$200,MATCH(B201,overview!$A$4:$A$200,0),MATCH(A213,overview!$B$3:$R$3,0))</f>
        <v>0</v>
      </c>
    </row>
    <row r="214" spans="1:2" hidden="1" x14ac:dyDescent="0.2">
      <c r="A214" t="s">
        <v>34</v>
      </c>
      <c r="B214" s="45">
        <f>INDEX(overview!$B$4:$R$200,MATCH(B201,overview!$A$4:$A$200,0),MATCH(A214,overview!$B$3:$R$3,0))</f>
        <v>0</v>
      </c>
    </row>
    <row r="215" spans="1:2" hidden="1" x14ac:dyDescent="0.2">
      <c r="A215" t="s">
        <v>15</v>
      </c>
      <c r="B215" s="45">
        <f>INDEX(overview!$B$4:$R$200,MATCH(B201,overview!$A$4:$A$200,0),MATCH(A215,overview!$B$3:$R$3,0))</f>
        <v>0</v>
      </c>
    </row>
    <row r="216" spans="1:2" hidden="1" x14ac:dyDescent="0.2">
      <c r="A216" t="s">
        <v>14</v>
      </c>
      <c r="B216" s="45" t="str">
        <f>INDEX(overview!$B$4:$R$200,MATCH(B201,overview!$A$4:$A$200,0),MATCH(A216,overview!$B$3:$R$3,0))</f>
        <v>electricity</v>
      </c>
    </row>
    <row r="217" spans="1:2" hidden="1" x14ac:dyDescent="0.2">
      <c r="A217" t="s">
        <v>26</v>
      </c>
      <c r="B217" s="45" t="str">
        <f>INDEX(overview!$B$4:$R$200,MATCH(B201,overview!$A$4:$A$200,0),MATCH(A217,overview!$B$3:$R$3,0))</f>
        <v>grid</v>
      </c>
    </row>
    <row r="218" spans="1:2" hidden="1" x14ac:dyDescent="0.2">
      <c r="A218" t="s">
        <v>29</v>
      </c>
      <c r="B218" s="45">
        <f>INDEX(overview!$B$4:$R$200,MATCH(B201,overview!$A$4:$A$200,0),MATCH(A218,overview!$B$3:$R$3,0))</f>
        <v>0</v>
      </c>
    </row>
    <row r="219" spans="1:2" hidden="1" x14ac:dyDescent="0.2">
      <c r="A219" t="s">
        <v>632</v>
      </c>
      <c r="B219" s="46">
        <f>INDEX(parameters!$D$4:$N$20,MATCH(B207&amp;B209,parameters!$A$4:$A$20,0),MATCH(A219,parameters!$D$3:$N$3,0))</f>
        <v>2.8</v>
      </c>
    </row>
    <row r="220" spans="1:2" hidden="1" x14ac:dyDescent="0.2">
      <c r="A220" t="s">
        <v>40</v>
      </c>
      <c r="B220" s="47">
        <f>INDEX(parameters!$D$4:$N$20,MATCH(B207&amp;B209,parameters!$A$4:$A$20,0),MATCH(A220,parameters!$D$3:$N$3,0))</f>
        <v>3.6</v>
      </c>
    </row>
    <row r="221" spans="1:2" hidden="1" x14ac:dyDescent="0.2">
      <c r="A221" t="s">
        <v>41</v>
      </c>
      <c r="B221" s="48">
        <f>INDEX(parameters!$D$4:$N$20,MATCH(B207&amp;B209,parameters!$A$4:$A$20,0),MATCH(A221,parameters!$D$3:$N$3,0))</f>
        <v>2.6666666666666665E-2</v>
      </c>
    </row>
    <row r="222" spans="1:2" hidden="1" x14ac:dyDescent="0.2">
      <c r="A222" t="s">
        <v>45</v>
      </c>
      <c r="B222" s="49">
        <f>INDEX(parameters!$D$4:$N$20,MATCH(B207&amp;B209,parameters!$A$4:$A$20,0),MATCH(A222,parameters!$D$3:$N$3,0))</f>
        <v>0</v>
      </c>
    </row>
    <row r="223" spans="1:2" hidden="1" x14ac:dyDescent="0.2">
      <c r="A223" t="s">
        <v>46</v>
      </c>
      <c r="B223" s="49">
        <f>INDEX(parameters!$D$4:$N$20,MATCH(B207&amp;B209,parameters!$A$4:$A$20,0),MATCH(A223,parameters!$D$3:$N$3,0))</f>
        <v>0</v>
      </c>
    </row>
    <row r="224" spans="1:2" hidden="1" x14ac:dyDescent="0.2">
      <c r="A224" t="s">
        <v>43</v>
      </c>
      <c r="B224" s="49">
        <f>INDEX(parameters!$D$4:$N$20,MATCH(B207&amp;B209,parameters!$A$4:$A$20,0),MATCH(A224,parameters!$D$3:$N$3,0))</f>
        <v>0</v>
      </c>
    </row>
    <row r="225" spans="1:21" hidden="1" x14ac:dyDescent="0.2">
      <c r="A225" t="s">
        <v>44</v>
      </c>
      <c r="B225" s="49">
        <f>INDEX(parameters!$D$4:$N$20,MATCH(B207&amp;B209,parameters!$A$4:$A$20,0),MATCH(A225,parameters!$D$3:$N$3,0))</f>
        <v>0</v>
      </c>
    </row>
    <row r="226" spans="1:21" hidden="1" x14ac:dyDescent="0.2">
      <c r="A226" t="s">
        <v>47</v>
      </c>
      <c r="B226" s="49">
        <f>INDEX(parameters!$D$4:$N$20,MATCH(B207&amp;B209,parameters!$A$4:$A$20,0),MATCH(A226,parameters!$D$3:$N$3,0))</f>
        <v>0.06</v>
      </c>
    </row>
    <row r="227" spans="1:21" hidden="1" x14ac:dyDescent="0.2">
      <c r="A227" t="s">
        <v>82</v>
      </c>
      <c r="B227" s="46">
        <f>IF(B218&lt;&gt;0,VLOOKUP(B218,parameters!$A$26:$B$28,2,0),0)</f>
        <v>0</v>
      </c>
    </row>
    <row r="228" spans="1:21" hidden="1" x14ac:dyDescent="0.2">
      <c r="A228" t="s">
        <v>548</v>
      </c>
      <c r="B228" s="50">
        <f>INDEX(parameters!$D$4:$P$20,MATCH(B207&amp;B209,parameters!$A$4:$A$20,0),MATCH(A228,parameters!$D$3:$P$3,0))</f>
        <v>10</v>
      </c>
    </row>
    <row r="229" spans="1:21" hidden="1" x14ac:dyDescent="0.2">
      <c r="A229" t="s">
        <v>547</v>
      </c>
      <c r="B229" s="51">
        <f>INDEX(parameters!$D$4:$P$20,MATCH(B207&amp;B209,parameters!$A$4:$A$20,0),MATCH(A229,parameters!$D$3:$P$3,0))</f>
        <v>20</v>
      </c>
    </row>
    <row r="230" spans="1:21" hidden="1" x14ac:dyDescent="0.2">
      <c r="A230" t="s">
        <v>630</v>
      </c>
      <c r="B230" s="51">
        <f>INDEX(parameters!$D$4:$T$20,MATCH(B207&amp;B209,parameters!$A$4:$A$20,0),MATCH(A230,parameters!$D$3:$T$3,0))</f>
        <v>2100</v>
      </c>
    </row>
    <row r="231" spans="1:21" hidden="1" x14ac:dyDescent="0.2"/>
    <row r="232" spans="1:21" hidden="1" x14ac:dyDescent="0.2">
      <c r="A232" s="3" t="s">
        <v>57</v>
      </c>
    </row>
    <row r="233" spans="1:21" hidden="1" x14ac:dyDescent="0.2">
      <c r="A233" s="2" t="s">
        <v>58</v>
      </c>
      <c r="B233" s="44" t="s">
        <v>59</v>
      </c>
      <c r="C233" s="2" t="s">
        <v>55</v>
      </c>
      <c r="D233" s="2" t="s">
        <v>60</v>
      </c>
      <c r="E233" s="2" t="s">
        <v>52</v>
      </c>
      <c r="F233" s="2" t="s">
        <v>61</v>
      </c>
      <c r="G233" s="2" t="s">
        <v>54</v>
      </c>
      <c r="H233" s="2" t="s">
        <v>87</v>
      </c>
      <c r="I233" s="2" t="s">
        <v>51</v>
      </c>
      <c r="J233" s="2" t="s">
        <v>138</v>
      </c>
      <c r="K233" s="2" t="s">
        <v>136</v>
      </c>
      <c r="L233" s="2" t="s">
        <v>221</v>
      </c>
      <c r="M233" s="2" t="s">
        <v>379</v>
      </c>
      <c r="N233" s="2" t="s">
        <v>1059</v>
      </c>
      <c r="O233" s="2" t="s">
        <v>1060</v>
      </c>
      <c r="P233" s="2" t="s">
        <v>1061</v>
      </c>
      <c r="Q233" s="2" t="s">
        <v>1062</v>
      </c>
      <c r="R233" s="2" t="s">
        <v>1063</v>
      </c>
      <c r="S233" s="2" t="s">
        <v>1064</v>
      </c>
      <c r="T233" s="2" t="s">
        <v>1065</v>
      </c>
      <c r="U233" s="2" t="s">
        <v>380</v>
      </c>
    </row>
    <row r="234" spans="1:21" hidden="1" x14ac:dyDescent="0.2">
      <c r="A234" t="str">
        <f>B197</f>
        <v>heat, residential, by transfer of outdoor heat using air source heat pump using electricity from grid</v>
      </c>
      <c r="B234" s="45">
        <v>1</v>
      </c>
      <c r="C234" t="str">
        <f>B203</f>
        <v>megajoule</v>
      </c>
      <c r="E234" t="str">
        <f>B200</f>
        <v>CH</v>
      </c>
      <c r="F234" t="s">
        <v>62</v>
      </c>
      <c r="G234" t="str">
        <f>B202</f>
        <v>heat, from residential heating system</v>
      </c>
      <c r="K234" t="str">
        <f>B197</f>
        <v>heat, residential, by transfer of outdoor heat using air source heat pump using electricity from grid</v>
      </c>
    </row>
    <row r="235" spans="1:21" x14ac:dyDescent="0.2">
      <c r="A235" t="str">
        <f>VLOOKUP(J235,'dataset mapping'!$A$4:$E$69,2,0)</f>
        <v>heat pump 10 kW production for air source heat pump system</v>
      </c>
      <c r="B235" s="52">
        <f>1/(B228*B230*B229*3.6)</f>
        <v>6.6137566137566138E-7</v>
      </c>
      <c r="C235" t="str">
        <f>VLOOKUP(J235,'dataset mapping'!$A$4:$E$69,5,0)</f>
        <v>unit</v>
      </c>
      <c r="E235" t="str">
        <f>VLOOKUP(J235,'dataset mapping'!$A$4:$E$69,4,0)</f>
        <v>CH</v>
      </c>
      <c r="F235" t="s">
        <v>86</v>
      </c>
      <c r="G235" t="str">
        <f>VLOOKUP(J235,'dataset mapping'!$A$4:$E$69,3,0)</f>
        <v>heat pump 10 kW</v>
      </c>
      <c r="H235" t="s">
        <v>77</v>
      </c>
      <c r="J235" t="s">
        <v>606</v>
      </c>
      <c r="K235" t="str">
        <f>B197</f>
        <v>heat, residential, by transfer of outdoor heat using air source heat pump using electricity from grid</v>
      </c>
      <c r="L235">
        <v>2</v>
      </c>
      <c r="M235">
        <f t="shared" ref="M235:M244" si="8">LN(B235)</f>
        <v>-14.228943835721616</v>
      </c>
      <c r="N235">
        <v>1.5</v>
      </c>
      <c r="O235">
        <v>1.2</v>
      </c>
      <c r="P235">
        <v>1.5</v>
      </c>
      <c r="Q235">
        <v>1.1000000000000001</v>
      </c>
      <c r="R235">
        <v>2</v>
      </c>
      <c r="S235">
        <v>1.2</v>
      </c>
      <c r="T235">
        <v>3</v>
      </c>
      <c r="U235">
        <f t="shared" ref="U235:U244" si="9">LN(SQRT(EXP(
SQRT(
+POWER(LN(N235),2)
+POWER(LN(O235),2)
+POWER(LN(P235),2)
+POWER(LN(Q235),2)
+POWER(LN(R235),2)
+POWER(LN(S235),2)
+POWER(LN(T235),2)
)
)))</f>
        <v>0.72314801614797197</v>
      </c>
    </row>
    <row r="236" spans="1:21" x14ac:dyDescent="0.2">
      <c r="A236" t="str">
        <f>VLOOKUP(J236,'dataset mapping'!$A$4:$E$69,2,0)</f>
        <v>treatment of heat pump 10 kW production for air source heat pump system</v>
      </c>
      <c r="B236" s="52">
        <f>1/(B228*B230*B229*3.6)</f>
        <v>6.6137566137566138E-7</v>
      </c>
      <c r="C236" t="str">
        <f>VLOOKUP(J236,'dataset mapping'!$A$4:$E$69,5,0)</f>
        <v>unit</v>
      </c>
      <c r="E236" t="str">
        <f>VLOOKUP(J236,'dataset mapping'!$A$4:$E$69,4,0)</f>
        <v>CH</v>
      </c>
      <c r="F236" t="s">
        <v>86</v>
      </c>
      <c r="G236" t="str">
        <f>VLOOKUP(J236,'dataset mapping'!$A$4:$E$69,3,0)</f>
        <v>heat pump 10 kW</v>
      </c>
      <c r="H236" t="s">
        <v>77</v>
      </c>
      <c r="J236" t="s">
        <v>607</v>
      </c>
      <c r="K236" t="str">
        <f>B197</f>
        <v>heat, residential, by transfer of outdoor heat using air source heat pump using electricity from grid</v>
      </c>
      <c r="L236">
        <v>2</v>
      </c>
      <c r="M236">
        <f t="shared" si="8"/>
        <v>-14.228943835721616</v>
      </c>
      <c r="N236">
        <v>1.5</v>
      </c>
      <c r="O236">
        <v>1.2</v>
      </c>
      <c r="P236">
        <v>1.5</v>
      </c>
      <c r="Q236">
        <v>1.1000000000000001</v>
      </c>
      <c r="R236">
        <v>2</v>
      </c>
      <c r="S236">
        <v>1.2</v>
      </c>
      <c r="T236">
        <v>1.05</v>
      </c>
      <c r="U236">
        <f t="shared" si="9"/>
        <v>0.47095746419981693</v>
      </c>
    </row>
    <row r="237" spans="1:21" x14ac:dyDescent="0.2">
      <c r="A237" t="s">
        <v>130</v>
      </c>
      <c r="B237" s="55">
        <f>B234/B219/3.6</f>
        <v>9.9206349206349201E-2</v>
      </c>
      <c r="C237" t="s">
        <v>92</v>
      </c>
      <c r="E237" t="s">
        <v>64</v>
      </c>
      <c r="F237" t="s">
        <v>86</v>
      </c>
      <c r="G237" t="s">
        <v>93</v>
      </c>
      <c r="H237" t="s">
        <v>78</v>
      </c>
      <c r="I237" t="s">
        <v>609</v>
      </c>
      <c r="K237" t="str">
        <f>B197</f>
        <v>heat, residential, by transfer of outdoor heat using air source heat pump using electricity from grid</v>
      </c>
      <c r="L237">
        <v>2</v>
      </c>
      <c r="M237">
        <f t="shared" si="8"/>
        <v>-2.3105532626432228</v>
      </c>
      <c r="N237">
        <v>1.5</v>
      </c>
      <c r="O237">
        <v>1.2</v>
      </c>
      <c r="P237">
        <v>1.5</v>
      </c>
      <c r="Q237">
        <v>1.1000000000000001</v>
      </c>
      <c r="R237">
        <v>2</v>
      </c>
      <c r="S237">
        <v>1.2</v>
      </c>
      <c r="T237">
        <v>1.05</v>
      </c>
      <c r="U237">
        <f t="shared" si="9"/>
        <v>0.47095746419981693</v>
      </c>
    </row>
    <row r="238" spans="1:21" x14ac:dyDescent="0.2">
      <c r="A238" t="s">
        <v>613</v>
      </c>
      <c r="B238" s="45">
        <v>1</v>
      </c>
      <c r="C238" t="s">
        <v>65</v>
      </c>
      <c r="D238" t="s">
        <v>394</v>
      </c>
      <c r="F238" t="s">
        <v>99</v>
      </c>
      <c r="K238" t="str">
        <f>B197</f>
        <v>heat, residential, by transfer of outdoor heat using air source heat pump using electricity from grid</v>
      </c>
      <c r="L238">
        <v>2</v>
      </c>
      <c r="M238">
        <f t="shared" si="8"/>
        <v>0</v>
      </c>
      <c r="N238">
        <v>1.5</v>
      </c>
      <c r="O238">
        <v>1.2</v>
      </c>
      <c r="P238">
        <v>1.5</v>
      </c>
      <c r="Q238">
        <v>1.1000000000000001</v>
      </c>
      <c r="R238">
        <v>2</v>
      </c>
      <c r="S238">
        <v>1.2</v>
      </c>
      <c r="T238">
        <v>1.05</v>
      </c>
      <c r="U238">
        <f t="shared" si="9"/>
        <v>0.47095746419981693</v>
      </c>
    </row>
    <row r="239" spans="1:21" x14ac:dyDescent="0.2">
      <c r="A239" t="s">
        <v>540</v>
      </c>
      <c r="B239" s="52">
        <f>(1/(B228*B230*3.6))</f>
        <v>1.3227513227513228E-5</v>
      </c>
      <c r="C239" t="s">
        <v>55</v>
      </c>
      <c r="E239" t="s">
        <v>85</v>
      </c>
      <c r="F239" t="s">
        <v>86</v>
      </c>
      <c r="G239" t="s">
        <v>541</v>
      </c>
      <c r="H239" t="s">
        <v>155</v>
      </c>
      <c r="K239" t="str">
        <f>B197</f>
        <v>heat, residential, by transfer of outdoor heat using air source heat pump using electricity from grid</v>
      </c>
      <c r="L239">
        <v>2</v>
      </c>
      <c r="M239">
        <f t="shared" si="8"/>
        <v>-11.233211562167625</v>
      </c>
      <c r="N239">
        <v>1.5</v>
      </c>
      <c r="O239">
        <v>1.2</v>
      </c>
      <c r="P239">
        <v>1.5</v>
      </c>
      <c r="Q239">
        <v>1.1000000000000001</v>
      </c>
      <c r="R239">
        <v>2</v>
      </c>
      <c r="S239">
        <v>1.2</v>
      </c>
      <c r="T239">
        <v>1.05</v>
      </c>
      <c r="U239">
        <f t="shared" si="9"/>
        <v>0.47095746419981693</v>
      </c>
    </row>
    <row r="240" spans="1:21" x14ac:dyDescent="0.2">
      <c r="A240" t="s">
        <v>156</v>
      </c>
      <c r="B240" s="45">
        <f>1/(B228*B230*3.6)*0.03</f>
        <v>3.9682539682539683E-7</v>
      </c>
      <c r="C240" t="s">
        <v>56</v>
      </c>
      <c r="E240" t="s">
        <v>90</v>
      </c>
      <c r="F240" t="s">
        <v>86</v>
      </c>
      <c r="G240" t="s">
        <v>154</v>
      </c>
      <c r="H240" t="s">
        <v>155</v>
      </c>
      <c r="K240" t="str">
        <f>B197</f>
        <v>heat, residential, by transfer of outdoor heat using air source heat pump using electricity from grid</v>
      </c>
      <c r="L240">
        <v>2</v>
      </c>
      <c r="M240">
        <f t="shared" si="8"/>
        <v>-14.739769459487606</v>
      </c>
      <c r="N240">
        <v>1.5</v>
      </c>
      <c r="O240">
        <v>1.2</v>
      </c>
      <c r="P240">
        <v>1.5</v>
      </c>
      <c r="Q240">
        <v>1.1000000000000001</v>
      </c>
      <c r="R240">
        <v>2</v>
      </c>
      <c r="S240">
        <v>1.2</v>
      </c>
      <c r="T240">
        <v>1.05</v>
      </c>
      <c r="U240">
        <f t="shared" si="9"/>
        <v>0.47095746419981693</v>
      </c>
    </row>
    <row r="241" spans="1:21" x14ac:dyDescent="0.2">
      <c r="A241" t="s">
        <v>614</v>
      </c>
      <c r="B241" s="45">
        <f>1/(B228*B230*3.6)*(2.5*2%)*50%</f>
        <v>3.3068783068783074E-7</v>
      </c>
      <c r="C241" t="s">
        <v>56</v>
      </c>
      <c r="E241" t="s">
        <v>85</v>
      </c>
      <c r="F241" t="s">
        <v>86</v>
      </c>
      <c r="G241" t="s">
        <v>615</v>
      </c>
      <c r="H241" t="s">
        <v>618</v>
      </c>
      <c r="I241" s="6"/>
      <c r="L241">
        <v>2</v>
      </c>
      <c r="M241">
        <f t="shared" si="8"/>
        <v>-14.922091016281561</v>
      </c>
      <c r="N241">
        <v>1.5</v>
      </c>
      <c r="O241">
        <v>1.2</v>
      </c>
      <c r="P241">
        <v>1.5</v>
      </c>
      <c r="Q241">
        <v>1.1000000000000001</v>
      </c>
      <c r="R241">
        <v>2</v>
      </c>
      <c r="S241">
        <v>1.2</v>
      </c>
      <c r="T241">
        <v>1.05</v>
      </c>
      <c r="U241">
        <f t="shared" si="9"/>
        <v>0.47095746419981693</v>
      </c>
    </row>
    <row r="242" spans="1:21" x14ac:dyDescent="0.2">
      <c r="A242" t="s">
        <v>616</v>
      </c>
      <c r="B242" s="45">
        <f>1/(B228*B230*3.6)*(2.5*2%)*50%</f>
        <v>3.3068783068783074E-7</v>
      </c>
      <c r="C242" t="s">
        <v>56</v>
      </c>
      <c r="E242" t="s">
        <v>85</v>
      </c>
      <c r="F242" t="s">
        <v>86</v>
      </c>
      <c r="G242" t="s">
        <v>617</v>
      </c>
      <c r="H242" t="s">
        <v>618</v>
      </c>
      <c r="I242" s="6"/>
      <c r="L242">
        <v>2</v>
      </c>
      <c r="M242">
        <f t="shared" si="8"/>
        <v>-14.922091016281561</v>
      </c>
      <c r="N242">
        <v>1.5</v>
      </c>
      <c r="O242">
        <v>1.2</v>
      </c>
      <c r="P242">
        <v>1.5</v>
      </c>
      <c r="Q242">
        <v>1.1000000000000001</v>
      </c>
      <c r="R242">
        <v>2</v>
      </c>
      <c r="S242">
        <v>1.2</v>
      </c>
      <c r="T242">
        <v>1.05</v>
      </c>
      <c r="U242">
        <f t="shared" si="9"/>
        <v>0.47095746419981693</v>
      </c>
    </row>
    <row r="243" spans="1:21" x14ac:dyDescent="0.2">
      <c r="A243" t="s">
        <v>619</v>
      </c>
      <c r="B243" s="45">
        <f>B241</f>
        <v>3.3068783068783074E-7</v>
      </c>
      <c r="C243" t="s">
        <v>56</v>
      </c>
      <c r="D243" t="s">
        <v>100</v>
      </c>
      <c r="F243" t="s">
        <v>99</v>
      </c>
      <c r="H243" t="s">
        <v>618</v>
      </c>
      <c r="I243" s="6"/>
      <c r="L243">
        <v>2</v>
      </c>
      <c r="M243">
        <f t="shared" si="8"/>
        <v>-14.922091016281561</v>
      </c>
      <c r="N243">
        <v>1.5</v>
      </c>
      <c r="O243">
        <v>1.2</v>
      </c>
      <c r="P243">
        <v>1.5</v>
      </c>
      <c r="Q243">
        <v>1.1000000000000001</v>
      </c>
      <c r="R243">
        <v>2</v>
      </c>
      <c r="S243">
        <v>1.2</v>
      </c>
      <c r="T243">
        <v>1.5</v>
      </c>
      <c r="U243">
        <f t="shared" si="9"/>
        <v>0.51215847306170115</v>
      </c>
    </row>
    <row r="244" spans="1:21" x14ac:dyDescent="0.2">
      <c r="A244" t="s">
        <v>620</v>
      </c>
      <c r="B244" s="45">
        <f>B242</f>
        <v>3.3068783068783074E-7</v>
      </c>
      <c r="C244" t="s">
        <v>56</v>
      </c>
      <c r="D244" t="s">
        <v>100</v>
      </c>
      <c r="F244" t="s">
        <v>99</v>
      </c>
      <c r="H244" t="s">
        <v>618</v>
      </c>
      <c r="I244" s="6"/>
      <c r="L244">
        <v>2</v>
      </c>
      <c r="M244">
        <f t="shared" si="8"/>
        <v>-14.922091016281561</v>
      </c>
      <c r="N244">
        <v>1.5</v>
      </c>
      <c r="O244">
        <v>1.2</v>
      </c>
      <c r="P244">
        <v>1.5</v>
      </c>
      <c r="Q244">
        <v>1.1000000000000001</v>
      </c>
      <c r="R244">
        <v>2</v>
      </c>
      <c r="S244">
        <v>1.2</v>
      </c>
      <c r="T244">
        <v>1.5</v>
      </c>
      <c r="U244">
        <f t="shared" si="9"/>
        <v>0.51215847306170115</v>
      </c>
    </row>
    <row r="245" spans="1:21" hidden="1" x14ac:dyDescent="0.2"/>
    <row r="246" spans="1:21" hidden="1" x14ac:dyDescent="0.2">
      <c r="A246" s="2" t="s">
        <v>50</v>
      </c>
      <c r="B246" s="44" t="str">
        <f>"heat, residential, by "&amp;B257&amp;" using "&amp;B258&amp;IF(B259&lt;&gt;0,"allocated by "&amp;B259,"")&amp;" using "&amp;B265&amp;" from "&amp;B266&amp;""</f>
        <v>heat, residential, by transfer of outdoor heat using air source heat pump using electricity from Solar PV (CH)</v>
      </c>
    </row>
    <row r="247" spans="1:21" hidden="1" x14ac:dyDescent="0.2">
      <c r="A247" t="s">
        <v>51</v>
      </c>
      <c r="B247" s="45" t="str">
        <f>"This dataset represents the supply of 1 megajoule of heat in a residence, by "&amp;B257&amp;" in an "&amp;B258&amp;". "&amp;" The "&amp;B256&amp;" is from "&amp;B266&amp;". "&amp;A268&amp;": "&amp;(B268*100)&amp;"%. "&amp;A269&amp;": "&amp;B269&amp;". "&amp;A270&amp;": "&amp;B270&amp;". "&amp;A271&amp;": "&amp;(B271*100)&amp;"%. "&amp;A272&amp;": "&amp;(B272*100)&amp;"%. "&amp;A273&amp;": "&amp;(B273*100)&amp;"%. "&amp;A274&amp;": "&amp;B274&amp;". "&amp;A275&amp;": "&amp;B275&amp;". "&amp;A276&amp;": "&amp;(B276*100)&amp;"%. "&amp;A277&amp;": "&amp;B277&amp;". "&amp;A278&amp;": "&amp;B278&amp;". "&amp;A279&amp;": "&amp;B279&amp;". "&amp;A280&amp;": "&amp;B280&amp;".  For more information, refer to: "&amp;B248</f>
        <v>This dataset represents the supply of 1 megajoule of heat in a residence, by transfer of outdoor heat in an air source heat pump.  The electricity is from Solar PV (CH). Heat conversion efficiency [% LHV input]: 280%. LHV [MJ/kg]: 3.6. Market price [€/MJ]: 0.0266666666666667. Distribution loss [% output]: 0%. Storage loss [% output]: 0%. Synthesis efficiency [% LHV input]: 0%. Hydrogen production efficiency [% LHV input]: 0. Grid loss [%]: 0.06. CO2 biogenic share [%]: 0%. Power [kW]: 10. Lifetime [years]: 20. Annual operation [hours]: 2100. : .  For more information, refer to: Sacchi, R., Treyer, T., Zhang, X., Bauer, C. Life Cycle Assessment of Power-to-X processes and associated electricity and heat applications in the residential sector. Paul Scherrer Institut, 2023.</v>
      </c>
    </row>
    <row r="248" spans="1:21" hidden="1" x14ac:dyDescent="0.2">
      <c r="A248" t="s">
        <v>63</v>
      </c>
      <c r="B248" s="45" t="s">
        <v>660</v>
      </c>
    </row>
    <row r="249" spans="1:21" hidden="1" x14ac:dyDescent="0.2">
      <c r="A249" t="s">
        <v>52</v>
      </c>
      <c r="B249" s="45" t="s">
        <v>64</v>
      </c>
    </row>
    <row r="250" spans="1:21" hidden="1" x14ac:dyDescent="0.2">
      <c r="A250" t="s">
        <v>48</v>
      </c>
      <c r="B250" s="45">
        <v>197</v>
      </c>
    </row>
    <row r="251" spans="1:21" hidden="1" x14ac:dyDescent="0.2">
      <c r="A251" t="s">
        <v>54</v>
      </c>
      <c r="B251" s="45" t="str">
        <f>INDEX(overview!$B$4:$R$200,MATCH(B250,overview!$A$4:$A$200,0),MATCH(A251,overview!$B$3:$R$3,0))</f>
        <v>heat, from residential heating system</v>
      </c>
    </row>
    <row r="252" spans="1:21" hidden="1" x14ac:dyDescent="0.2">
      <c r="A252" t="s">
        <v>55</v>
      </c>
      <c r="B252" s="45" t="str">
        <f>INDEX(overview!$B$4:$R$200,MATCH(B250,overview!$A$4:$A$200,0),MATCH(A252,overview!$B$3:$R$3,0))</f>
        <v>megajoule</v>
      </c>
    </row>
    <row r="253" spans="1:21" hidden="1" x14ac:dyDescent="0.2">
      <c r="A253" t="s">
        <v>0</v>
      </c>
      <c r="B253" s="45" t="str">
        <f>INDEX(overview!$B$4:$R$200,MATCH(B250,overview!$A$4:$A$200,0),MATCH(A253,overview!$B$3:$R$3,0))</f>
        <v>Switzerland</v>
      </c>
    </row>
    <row r="254" spans="1:21" hidden="1" x14ac:dyDescent="0.2">
      <c r="A254" t="s">
        <v>1</v>
      </c>
      <c r="B254" s="45">
        <f>INDEX(overview!$B$4:$R$200,MATCH(B250,overview!$A$4:$A$200,0),MATCH(A254,overview!$B$3:$R$3,0))</f>
        <v>2020</v>
      </c>
    </row>
    <row r="255" spans="1:21" hidden="1" x14ac:dyDescent="0.2">
      <c r="A255" t="s">
        <v>2</v>
      </c>
      <c r="B255" s="45" t="str">
        <f>INDEX(overview!$B$4:$R$200,MATCH(B250,overview!$A$4:$A$200,0),MATCH(A255,overview!$B$3:$R$3,0))</f>
        <v>1 MJ heat</v>
      </c>
    </row>
    <row r="256" spans="1:21" hidden="1" x14ac:dyDescent="0.2">
      <c r="A256" t="s">
        <v>5</v>
      </c>
      <c r="B256" s="45" t="str">
        <f>INDEX(overview!$B$4:$R$200,MATCH(B250,overview!$A$4:$A$200,0),MATCH(A256,overview!$B$3:$R$3,0))</f>
        <v>electricity</v>
      </c>
    </row>
    <row r="257" spans="1:2" hidden="1" x14ac:dyDescent="0.2">
      <c r="A257" t="s">
        <v>3</v>
      </c>
      <c r="B257" s="45" t="str">
        <f>INDEX(overview!$B$4:$R$200,MATCH(B250,overview!$A$4:$A$200,0),MATCH(A257,overview!$B$3:$R$3,0))</f>
        <v>transfer of outdoor heat</v>
      </c>
    </row>
    <row r="258" spans="1:2" hidden="1" x14ac:dyDescent="0.2">
      <c r="A258" t="s">
        <v>6</v>
      </c>
      <c r="B258" s="45" t="str">
        <f>INDEX(overview!$B$4:$R$200,MATCH(B250,overview!$A$4:$A$200,0),MATCH(A258,overview!$B$3:$R$3,0))</f>
        <v>air source heat pump</v>
      </c>
    </row>
    <row r="259" spans="1:2" hidden="1" x14ac:dyDescent="0.2">
      <c r="A259" t="s">
        <v>39</v>
      </c>
      <c r="B259" s="45">
        <f>INDEX(overview!$B$4:$R$200,MATCH(B250,overview!$A$4:$A$200,0),MATCH(A259,overview!$B$3:$R$3,0))</f>
        <v>0</v>
      </c>
    </row>
    <row r="260" spans="1:2" hidden="1" x14ac:dyDescent="0.2">
      <c r="A260" t="s">
        <v>4</v>
      </c>
      <c r="B260" s="45">
        <f>INDEX(overview!$B$4:$R$200,MATCH(B250,overview!$A$4:$A$200,0),MATCH(A260,overview!$B$3:$R$3,0))</f>
        <v>0</v>
      </c>
    </row>
    <row r="261" spans="1:2" hidden="1" x14ac:dyDescent="0.2">
      <c r="A261" t="s">
        <v>38</v>
      </c>
      <c r="B261" s="45">
        <f>INDEX(overview!$B$4:$R$200,MATCH(B250,overview!$A$4:$A$200,0),MATCH(A261,overview!$B$3:$R$3,0))</f>
        <v>0</v>
      </c>
    </row>
    <row r="262" spans="1:2" hidden="1" x14ac:dyDescent="0.2">
      <c r="A262" t="s">
        <v>12</v>
      </c>
      <c r="B262" s="45">
        <f>INDEX(overview!$B$4:$R$200,MATCH(B250,overview!$A$4:$A$200,0),MATCH(A262,overview!$B$3:$R$3,0))</f>
        <v>0</v>
      </c>
    </row>
    <row r="263" spans="1:2" hidden="1" x14ac:dyDescent="0.2">
      <c r="A263" t="s">
        <v>34</v>
      </c>
      <c r="B263" s="45">
        <f>INDEX(overview!$B$4:$R$200,MATCH(B250,overview!$A$4:$A$200,0),MATCH(A263,overview!$B$3:$R$3,0))</f>
        <v>0</v>
      </c>
    </row>
    <row r="264" spans="1:2" hidden="1" x14ac:dyDescent="0.2">
      <c r="A264" t="s">
        <v>15</v>
      </c>
      <c r="B264" s="45">
        <f>INDEX(overview!$B$4:$R$200,MATCH(B250,overview!$A$4:$A$200,0),MATCH(A264,overview!$B$3:$R$3,0))</f>
        <v>0</v>
      </c>
    </row>
    <row r="265" spans="1:2" hidden="1" x14ac:dyDescent="0.2">
      <c r="A265" t="s">
        <v>14</v>
      </c>
      <c r="B265" s="45" t="str">
        <f>INDEX(overview!$B$4:$R$200,MATCH(B250,overview!$A$4:$A$200,0),MATCH(A265,overview!$B$3:$R$3,0))</f>
        <v>electricity</v>
      </c>
    </row>
    <row r="266" spans="1:2" hidden="1" x14ac:dyDescent="0.2">
      <c r="A266" t="s">
        <v>26</v>
      </c>
      <c r="B266" s="45" t="str">
        <f>INDEX(overview!$B$4:$R$200,MATCH(B250,overview!$A$4:$A$200,0),MATCH(A266,overview!$B$3:$R$3,0))</f>
        <v>Solar PV (CH)</v>
      </c>
    </row>
    <row r="267" spans="1:2" hidden="1" x14ac:dyDescent="0.2">
      <c r="A267" t="s">
        <v>29</v>
      </c>
      <c r="B267" s="45">
        <f>INDEX(overview!$B$4:$R$200,MATCH(B250,overview!$A$4:$A$200,0),MATCH(A267,overview!$B$3:$R$3,0))</f>
        <v>0</v>
      </c>
    </row>
    <row r="268" spans="1:2" hidden="1" x14ac:dyDescent="0.2">
      <c r="A268" t="s">
        <v>632</v>
      </c>
      <c r="B268" s="46">
        <f>INDEX(parameters!$D$4:$N$20,MATCH(B256&amp;B258,parameters!$A$4:$A$20,0),MATCH(A268,parameters!$D$3:$N$3,0))</f>
        <v>2.8</v>
      </c>
    </row>
    <row r="269" spans="1:2" hidden="1" x14ac:dyDescent="0.2">
      <c r="A269" t="s">
        <v>40</v>
      </c>
      <c r="B269" s="47">
        <f>INDEX(parameters!$D$4:$N$20,MATCH(B256&amp;B258,parameters!$A$4:$A$20,0),MATCH(A269,parameters!$D$3:$N$3,0))</f>
        <v>3.6</v>
      </c>
    </row>
    <row r="270" spans="1:2" hidden="1" x14ac:dyDescent="0.2">
      <c r="A270" t="s">
        <v>41</v>
      </c>
      <c r="B270" s="48">
        <f>INDEX(parameters!$D$4:$N$20,MATCH(B256&amp;B258,parameters!$A$4:$A$20,0),MATCH(A270,parameters!$D$3:$N$3,0))</f>
        <v>2.6666666666666665E-2</v>
      </c>
    </row>
    <row r="271" spans="1:2" hidden="1" x14ac:dyDescent="0.2">
      <c r="A271" t="s">
        <v>45</v>
      </c>
      <c r="B271" s="49">
        <f>INDEX(parameters!$D$4:$N$20,MATCH(B256&amp;B258,parameters!$A$4:$A$20,0),MATCH(A271,parameters!$D$3:$N$3,0))</f>
        <v>0</v>
      </c>
    </row>
    <row r="272" spans="1:2" hidden="1" x14ac:dyDescent="0.2">
      <c r="A272" t="s">
        <v>46</v>
      </c>
      <c r="B272" s="49">
        <f>INDEX(parameters!$D$4:$N$20,MATCH(B256&amp;B258,parameters!$A$4:$A$20,0),MATCH(A272,parameters!$D$3:$N$3,0))</f>
        <v>0</v>
      </c>
    </row>
    <row r="273" spans="1:21" hidden="1" x14ac:dyDescent="0.2">
      <c r="A273" t="s">
        <v>43</v>
      </c>
      <c r="B273" s="49">
        <f>INDEX(parameters!$D$4:$N$20,MATCH(B256&amp;B258,parameters!$A$4:$A$20,0),MATCH(A273,parameters!$D$3:$N$3,0))</f>
        <v>0</v>
      </c>
    </row>
    <row r="274" spans="1:21" hidden="1" x14ac:dyDescent="0.2">
      <c r="A274" t="s">
        <v>44</v>
      </c>
      <c r="B274" s="49">
        <f>INDEX(parameters!$D$4:$N$20,MATCH(B256&amp;B258,parameters!$A$4:$A$20,0),MATCH(A274,parameters!$D$3:$N$3,0))</f>
        <v>0</v>
      </c>
    </row>
    <row r="275" spans="1:21" hidden="1" x14ac:dyDescent="0.2">
      <c r="A275" t="s">
        <v>47</v>
      </c>
      <c r="B275" s="49">
        <f>INDEX(parameters!$D$4:$N$20,MATCH(B256&amp;B258,parameters!$A$4:$A$20,0),MATCH(A275,parameters!$D$3:$N$3,0))</f>
        <v>0.06</v>
      </c>
    </row>
    <row r="276" spans="1:21" hidden="1" x14ac:dyDescent="0.2">
      <c r="A276" t="s">
        <v>82</v>
      </c>
      <c r="B276" s="46">
        <f>IF(B267&lt;&gt;0,VLOOKUP(B267,parameters!$A$26:$B$28,2,0),0)</f>
        <v>0</v>
      </c>
    </row>
    <row r="277" spans="1:21" hidden="1" x14ac:dyDescent="0.2">
      <c r="A277" t="s">
        <v>548</v>
      </c>
      <c r="B277" s="50">
        <f>INDEX(parameters!$D$4:$P$20,MATCH(B256&amp;B258,parameters!$A$4:$A$20,0),MATCH(A277,parameters!$D$3:$P$3,0))</f>
        <v>10</v>
      </c>
    </row>
    <row r="278" spans="1:21" hidden="1" x14ac:dyDescent="0.2">
      <c r="A278" t="s">
        <v>547</v>
      </c>
      <c r="B278" s="51">
        <f>INDEX(parameters!$D$4:$P$20,MATCH(B256&amp;B258,parameters!$A$4:$A$20,0),MATCH(A278,parameters!$D$3:$P$3,0))</f>
        <v>20</v>
      </c>
    </row>
    <row r="279" spans="1:21" hidden="1" x14ac:dyDescent="0.2">
      <c r="A279" t="s">
        <v>630</v>
      </c>
      <c r="B279" s="51">
        <f>INDEX(parameters!$D$4:$T$20,MATCH(B256&amp;B258,parameters!$A$4:$A$20,0),MATCH(A279,parameters!$D$3:$T$3,0))</f>
        <v>2100</v>
      </c>
    </row>
    <row r="280" spans="1:21" hidden="1" x14ac:dyDescent="0.2"/>
    <row r="281" spans="1:21" hidden="1" x14ac:dyDescent="0.2">
      <c r="A281" s="3" t="s">
        <v>57</v>
      </c>
    </row>
    <row r="282" spans="1:21" hidden="1" x14ac:dyDescent="0.2">
      <c r="A282" s="2" t="s">
        <v>58</v>
      </c>
      <c r="B282" s="44" t="s">
        <v>59</v>
      </c>
      <c r="C282" s="2" t="s">
        <v>55</v>
      </c>
      <c r="D282" s="2" t="s">
        <v>60</v>
      </c>
      <c r="E282" s="2" t="s">
        <v>52</v>
      </c>
      <c r="F282" s="2" t="s">
        <v>61</v>
      </c>
      <c r="G282" s="2" t="s">
        <v>54</v>
      </c>
      <c r="H282" s="2" t="s">
        <v>87</v>
      </c>
      <c r="I282" s="2" t="s">
        <v>51</v>
      </c>
      <c r="J282" s="2" t="s">
        <v>138</v>
      </c>
      <c r="K282" s="2" t="s">
        <v>136</v>
      </c>
      <c r="L282" s="2" t="s">
        <v>221</v>
      </c>
      <c r="M282" s="2" t="s">
        <v>379</v>
      </c>
      <c r="N282" s="2" t="s">
        <v>1059</v>
      </c>
      <c r="O282" s="2" t="s">
        <v>1060</v>
      </c>
      <c r="P282" s="2" t="s">
        <v>1061</v>
      </c>
      <c r="Q282" s="2" t="s">
        <v>1062</v>
      </c>
      <c r="R282" s="2" t="s">
        <v>1063</v>
      </c>
      <c r="S282" s="2" t="s">
        <v>1064</v>
      </c>
      <c r="T282" s="2" t="s">
        <v>1065</v>
      </c>
      <c r="U282" s="2" t="s">
        <v>380</v>
      </c>
    </row>
    <row r="283" spans="1:21" hidden="1" x14ac:dyDescent="0.2">
      <c r="A283" t="str">
        <f>B246</f>
        <v>heat, residential, by transfer of outdoor heat using air source heat pump using electricity from Solar PV (CH)</v>
      </c>
      <c r="B283" s="45">
        <v>1</v>
      </c>
      <c r="C283" t="str">
        <f>B252</f>
        <v>megajoule</v>
      </c>
      <c r="E283" t="str">
        <f>B249</f>
        <v>CH</v>
      </c>
      <c r="F283" t="s">
        <v>62</v>
      </c>
      <c r="G283" t="str">
        <f>B251</f>
        <v>heat, from residential heating system</v>
      </c>
      <c r="K283" t="str">
        <f>B246</f>
        <v>heat, residential, by transfer of outdoor heat using air source heat pump using electricity from Solar PV (CH)</v>
      </c>
    </row>
    <row r="284" spans="1:21" x14ac:dyDescent="0.2">
      <c r="A284" t="str">
        <f>VLOOKUP(J284,'dataset mapping'!$A$4:$E$69,2,0)</f>
        <v>heat pump 10 kW production for air source heat pump system</v>
      </c>
      <c r="B284" s="52">
        <f>1/(B277*B279*B278*3.6)</f>
        <v>6.6137566137566138E-7</v>
      </c>
      <c r="C284" t="str">
        <f>VLOOKUP(J284,'dataset mapping'!$A$4:$E$69,5,0)</f>
        <v>unit</v>
      </c>
      <c r="E284" t="str">
        <f>VLOOKUP(J284,'dataset mapping'!$A$4:$E$69,4,0)</f>
        <v>CH</v>
      </c>
      <c r="F284" t="s">
        <v>86</v>
      </c>
      <c r="G284" t="str">
        <f>VLOOKUP(J284,'dataset mapping'!$A$4:$E$69,3,0)</f>
        <v>heat pump 10 kW</v>
      </c>
      <c r="H284" t="s">
        <v>77</v>
      </c>
      <c r="J284" t="s">
        <v>606</v>
      </c>
      <c r="K284" t="str">
        <f>B246</f>
        <v>heat, residential, by transfer of outdoor heat using air source heat pump using electricity from Solar PV (CH)</v>
      </c>
      <c r="L284">
        <v>2</v>
      </c>
      <c r="M284">
        <f t="shared" ref="M284:M293" si="10">LN(B284)</f>
        <v>-14.228943835721616</v>
      </c>
      <c r="N284">
        <v>1.5</v>
      </c>
      <c r="O284">
        <v>1.2</v>
      </c>
      <c r="P284">
        <v>1.5</v>
      </c>
      <c r="Q284">
        <v>1.1000000000000001</v>
      </c>
      <c r="R284">
        <v>2</v>
      </c>
      <c r="S284">
        <v>1.2</v>
      </c>
      <c r="T284">
        <v>3</v>
      </c>
      <c r="U284">
        <f t="shared" ref="U284:U293" si="11">LN(SQRT(EXP(
SQRT(
+POWER(LN(N284),2)
+POWER(LN(O284),2)
+POWER(LN(P284),2)
+POWER(LN(Q284),2)
+POWER(LN(R284),2)
+POWER(LN(S284),2)
+POWER(LN(T284),2)
)
)))</f>
        <v>0.72314801614797197</v>
      </c>
    </row>
    <row r="285" spans="1:21" x14ac:dyDescent="0.2">
      <c r="A285" t="str">
        <f>VLOOKUP(J285,'dataset mapping'!$A$4:$E$69,2,0)</f>
        <v>treatment of heat pump 10 kW production for air source heat pump system</v>
      </c>
      <c r="B285" s="52">
        <f>1/(B277*B279*B278*3.6)</f>
        <v>6.6137566137566138E-7</v>
      </c>
      <c r="C285" t="str">
        <f>VLOOKUP(J285,'dataset mapping'!$A$4:$E$69,5,0)</f>
        <v>unit</v>
      </c>
      <c r="E285" t="str">
        <f>VLOOKUP(J285,'dataset mapping'!$A$4:$E$69,4,0)</f>
        <v>CH</v>
      </c>
      <c r="F285" t="s">
        <v>86</v>
      </c>
      <c r="G285" t="str">
        <f>VLOOKUP(J285,'dataset mapping'!$A$4:$E$69,3,0)</f>
        <v>heat pump 10 kW</v>
      </c>
      <c r="H285" t="s">
        <v>77</v>
      </c>
      <c r="J285" t="s">
        <v>607</v>
      </c>
      <c r="K285" t="str">
        <f>B246</f>
        <v>heat, residential, by transfer of outdoor heat using air source heat pump using electricity from Solar PV (CH)</v>
      </c>
      <c r="L285">
        <v>2</v>
      </c>
      <c r="M285">
        <f t="shared" si="10"/>
        <v>-14.228943835721616</v>
      </c>
      <c r="N285">
        <v>1.5</v>
      </c>
      <c r="O285">
        <v>1.2</v>
      </c>
      <c r="P285">
        <v>1.5</v>
      </c>
      <c r="Q285">
        <v>1.1000000000000001</v>
      </c>
      <c r="R285">
        <v>2</v>
      </c>
      <c r="S285">
        <v>1.2</v>
      </c>
      <c r="T285">
        <v>1.05</v>
      </c>
      <c r="U285">
        <f t="shared" si="11"/>
        <v>0.47095746419981693</v>
      </c>
    </row>
    <row r="286" spans="1:21" x14ac:dyDescent="0.2">
      <c r="A286" t="s">
        <v>290</v>
      </c>
      <c r="B286" s="55">
        <f>B283/B268/3.6</f>
        <v>9.9206349206349201E-2</v>
      </c>
      <c r="C286" t="s">
        <v>92</v>
      </c>
      <c r="E286" t="s">
        <v>64</v>
      </c>
      <c r="F286" t="s">
        <v>86</v>
      </c>
      <c r="G286" t="s">
        <v>93</v>
      </c>
      <c r="H286" t="s">
        <v>78</v>
      </c>
      <c r="I286" t="s">
        <v>609</v>
      </c>
      <c r="K286" t="str">
        <f>B246</f>
        <v>heat, residential, by transfer of outdoor heat using air source heat pump using electricity from Solar PV (CH)</v>
      </c>
      <c r="L286">
        <v>2</v>
      </c>
      <c r="M286">
        <f t="shared" si="10"/>
        <v>-2.3105532626432228</v>
      </c>
      <c r="N286">
        <v>1.5</v>
      </c>
      <c r="O286">
        <v>1.2</v>
      </c>
      <c r="P286">
        <v>1.5</v>
      </c>
      <c r="Q286">
        <v>1.1000000000000001</v>
      </c>
      <c r="R286">
        <v>2</v>
      </c>
      <c r="S286">
        <v>1.2</v>
      </c>
      <c r="T286">
        <v>1.05</v>
      </c>
      <c r="U286">
        <f t="shared" si="11"/>
        <v>0.47095746419981693</v>
      </c>
    </row>
    <row r="287" spans="1:21" x14ac:dyDescent="0.2">
      <c r="A287" t="s">
        <v>613</v>
      </c>
      <c r="B287" s="45">
        <v>1</v>
      </c>
      <c r="C287" t="s">
        <v>65</v>
      </c>
      <c r="D287" t="s">
        <v>394</v>
      </c>
      <c r="F287" t="s">
        <v>99</v>
      </c>
      <c r="K287" t="str">
        <f>B246</f>
        <v>heat, residential, by transfer of outdoor heat using air source heat pump using electricity from Solar PV (CH)</v>
      </c>
      <c r="L287">
        <v>2</v>
      </c>
      <c r="M287">
        <f t="shared" si="10"/>
        <v>0</v>
      </c>
      <c r="N287">
        <v>1.5</v>
      </c>
      <c r="O287">
        <v>1.2</v>
      </c>
      <c r="P287">
        <v>1.5</v>
      </c>
      <c r="Q287">
        <v>1.1000000000000001</v>
      </c>
      <c r="R287">
        <v>2</v>
      </c>
      <c r="S287">
        <v>1.2</v>
      </c>
      <c r="T287">
        <v>1.05</v>
      </c>
      <c r="U287">
        <f t="shared" si="11"/>
        <v>0.47095746419981693</v>
      </c>
    </row>
    <row r="288" spans="1:21" x14ac:dyDescent="0.2">
      <c r="A288" t="s">
        <v>540</v>
      </c>
      <c r="B288" s="52">
        <f>(1/(B277*B279*3.6))</f>
        <v>1.3227513227513228E-5</v>
      </c>
      <c r="C288" t="s">
        <v>55</v>
      </c>
      <c r="E288" t="s">
        <v>85</v>
      </c>
      <c r="F288" t="s">
        <v>86</v>
      </c>
      <c r="G288" t="s">
        <v>541</v>
      </c>
      <c r="H288" t="s">
        <v>155</v>
      </c>
      <c r="K288" t="str">
        <f>B246</f>
        <v>heat, residential, by transfer of outdoor heat using air source heat pump using electricity from Solar PV (CH)</v>
      </c>
      <c r="L288">
        <v>2</v>
      </c>
      <c r="M288">
        <f t="shared" si="10"/>
        <v>-11.233211562167625</v>
      </c>
      <c r="N288">
        <v>1.5</v>
      </c>
      <c r="O288">
        <v>1.2</v>
      </c>
      <c r="P288">
        <v>1.5</v>
      </c>
      <c r="Q288">
        <v>1.1000000000000001</v>
      </c>
      <c r="R288">
        <v>2</v>
      </c>
      <c r="S288">
        <v>1.2</v>
      </c>
      <c r="T288">
        <v>1.05</v>
      </c>
      <c r="U288">
        <f t="shared" si="11"/>
        <v>0.47095746419981693</v>
      </c>
    </row>
    <row r="289" spans="1:21" x14ac:dyDescent="0.2">
      <c r="A289" t="s">
        <v>156</v>
      </c>
      <c r="B289" s="45">
        <f>1/(B277*B279*3.6)*0.03</f>
        <v>3.9682539682539683E-7</v>
      </c>
      <c r="C289" t="s">
        <v>56</v>
      </c>
      <c r="E289" t="s">
        <v>90</v>
      </c>
      <c r="F289" t="s">
        <v>86</v>
      </c>
      <c r="G289" t="s">
        <v>154</v>
      </c>
      <c r="H289" t="s">
        <v>155</v>
      </c>
      <c r="K289" t="str">
        <f>B246</f>
        <v>heat, residential, by transfer of outdoor heat using air source heat pump using electricity from Solar PV (CH)</v>
      </c>
      <c r="L289">
        <v>2</v>
      </c>
      <c r="M289">
        <f t="shared" si="10"/>
        <v>-14.739769459487606</v>
      </c>
      <c r="N289">
        <v>1.5</v>
      </c>
      <c r="O289">
        <v>1.2</v>
      </c>
      <c r="P289">
        <v>1.5</v>
      </c>
      <c r="Q289">
        <v>1.1000000000000001</v>
      </c>
      <c r="R289">
        <v>2</v>
      </c>
      <c r="S289">
        <v>1.2</v>
      </c>
      <c r="T289">
        <v>1.05</v>
      </c>
      <c r="U289">
        <f t="shared" si="11"/>
        <v>0.47095746419981693</v>
      </c>
    </row>
    <row r="290" spans="1:21" x14ac:dyDescent="0.2">
      <c r="A290" t="s">
        <v>614</v>
      </c>
      <c r="B290" s="45">
        <f>1/(B277*B279*3.6)*(2.5*2%)*50%</f>
        <v>3.3068783068783074E-7</v>
      </c>
      <c r="C290" t="s">
        <v>56</v>
      </c>
      <c r="E290" t="s">
        <v>85</v>
      </c>
      <c r="F290" t="s">
        <v>86</v>
      </c>
      <c r="G290" t="s">
        <v>615</v>
      </c>
      <c r="H290" t="s">
        <v>618</v>
      </c>
      <c r="I290" s="6"/>
      <c r="L290">
        <v>2</v>
      </c>
      <c r="M290">
        <f t="shared" si="10"/>
        <v>-14.922091016281561</v>
      </c>
      <c r="N290">
        <v>1.5</v>
      </c>
      <c r="O290">
        <v>1.2</v>
      </c>
      <c r="P290">
        <v>1.5</v>
      </c>
      <c r="Q290">
        <v>1.1000000000000001</v>
      </c>
      <c r="R290">
        <v>2</v>
      </c>
      <c r="S290">
        <v>1.2</v>
      </c>
      <c r="T290">
        <v>1.05</v>
      </c>
      <c r="U290">
        <f t="shared" si="11"/>
        <v>0.47095746419981693</v>
      </c>
    </row>
    <row r="291" spans="1:21" x14ac:dyDescent="0.2">
      <c r="A291" t="s">
        <v>616</v>
      </c>
      <c r="B291" s="45">
        <f>1/(B277*B279*3.6)*(2.5*2%)*50%</f>
        <v>3.3068783068783074E-7</v>
      </c>
      <c r="C291" t="s">
        <v>56</v>
      </c>
      <c r="E291" t="s">
        <v>85</v>
      </c>
      <c r="F291" t="s">
        <v>86</v>
      </c>
      <c r="G291" t="s">
        <v>617</v>
      </c>
      <c r="H291" t="s">
        <v>618</v>
      </c>
      <c r="I291" s="6"/>
      <c r="L291">
        <v>2</v>
      </c>
      <c r="M291">
        <f t="shared" si="10"/>
        <v>-14.922091016281561</v>
      </c>
      <c r="N291">
        <v>1.5</v>
      </c>
      <c r="O291">
        <v>1.2</v>
      </c>
      <c r="P291">
        <v>1.5</v>
      </c>
      <c r="Q291">
        <v>1.1000000000000001</v>
      </c>
      <c r="R291">
        <v>2</v>
      </c>
      <c r="S291">
        <v>1.2</v>
      </c>
      <c r="T291">
        <v>1.05</v>
      </c>
      <c r="U291">
        <f t="shared" si="11"/>
        <v>0.47095746419981693</v>
      </c>
    </row>
    <row r="292" spans="1:21" x14ac:dyDescent="0.2">
      <c r="A292" t="s">
        <v>619</v>
      </c>
      <c r="B292" s="45">
        <f>B290</f>
        <v>3.3068783068783074E-7</v>
      </c>
      <c r="C292" t="s">
        <v>56</v>
      </c>
      <c r="D292" t="s">
        <v>100</v>
      </c>
      <c r="F292" t="s">
        <v>99</v>
      </c>
      <c r="H292" t="s">
        <v>618</v>
      </c>
      <c r="I292" s="6"/>
      <c r="L292">
        <v>2</v>
      </c>
      <c r="M292">
        <f t="shared" si="10"/>
        <v>-14.922091016281561</v>
      </c>
      <c r="N292">
        <v>1.5</v>
      </c>
      <c r="O292">
        <v>1.2</v>
      </c>
      <c r="P292">
        <v>1.5</v>
      </c>
      <c r="Q292">
        <v>1.1000000000000001</v>
      </c>
      <c r="R292">
        <v>2</v>
      </c>
      <c r="S292">
        <v>1.2</v>
      </c>
      <c r="T292">
        <v>1.5</v>
      </c>
      <c r="U292">
        <f t="shared" si="11"/>
        <v>0.51215847306170115</v>
      </c>
    </row>
    <row r="293" spans="1:21" x14ac:dyDescent="0.2">
      <c r="A293" t="s">
        <v>620</v>
      </c>
      <c r="B293" s="45">
        <f>B291</f>
        <v>3.3068783068783074E-7</v>
      </c>
      <c r="C293" t="s">
        <v>56</v>
      </c>
      <c r="D293" t="s">
        <v>100</v>
      </c>
      <c r="F293" t="s">
        <v>99</v>
      </c>
      <c r="H293" t="s">
        <v>618</v>
      </c>
      <c r="I293" s="6"/>
      <c r="L293">
        <v>2</v>
      </c>
      <c r="M293">
        <f t="shared" si="10"/>
        <v>-14.922091016281561</v>
      </c>
      <c r="N293">
        <v>1.5</v>
      </c>
      <c r="O293">
        <v>1.2</v>
      </c>
      <c r="P293">
        <v>1.5</v>
      </c>
      <c r="Q293">
        <v>1.1000000000000001</v>
      </c>
      <c r="R293">
        <v>2</v>
      </c>
      <c r="S293">
        <v>1.2</v>
      </c>
      <c r="T293">
        <v>1.5</v>
      </c>
      <c r="U293">
        <f t="shared" si="11"/>
        <v>0.51215847306170115</v>
      </c>
    </row>
  </sheetData>
  <autoFilter ref="A1:U293" xr:uid="{A18C023B-347B-454F-BA38-216F27EC5021}">
    <filterColumn colId="11">
      <filters>
        <filter val="2"/>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B5434-8218-EB42-848E-513354C35D51}">
  <sheetPr filterMode="1"/>
  <dimension ref="A1:T2125"/>
  <sheetViews>
    <sheetView tabSelected="1" workbookViewId="0">
      <selection activeCell="G1149" sqref="G1149"/>
    </sheetView>
  </sheetViews>
  <sheetFormatPr baseColWidth="10" defaultRowHeight="16" x14ac:dyDescent="0.2"/>
  <cols>
    <col min="1" max="1" width="85.83203125" style="17" customWidth="1"/>
    <col min="2" max="2" width="12.83203125" style="17" bestFit="1" customWidth="1"/>
    <col min="3" max="4" width="10.83203125" style="17"/>
    <col min="5" max="5" width="14" style="17" customWidth="1"/>
    <col min="6" max="6" width="17.5" style="17" customWidth="1"/>
    <col min="7" max="7" width="24.5" style="17" customWidth="1"/>
    <col min="8" max="8" width="10.83203125" style="17"/>
    <col min="9" max="9" width="14.6640625" style="17" bestFit="1" customWidth="1"/>
    <col min="10" max="10" width="10.83203125" style="17"/>
    <col min="11" max="16" width="4.6640625" style="31" bestFit="1" customWidth="1"/>
    <col min="17" max="17" width="6.83203125" style="31" customWidth="1"/>
    <col min="18" max="18" width="7.1640625" style="17" bestFit="1" customWidth="1"/>
    <col min="19" max="16384" width="10.83203125" style="17"/>
  </cols>
  <sheetData>
    <row r="1" spans="1:19" x14ac:dyDescent="0.2">
      <c r="A1" s="17" t="s">
        <v>129</v>
      </c>
      <c r="B1" s="17">
        <v>9</v>
      </c>
    </row>
    <row r="2" spans="1:19" hidden="1" x14ac:dyDescent="0.2">
      <c r="Q2" s="17"/>
    </row>
    <row r="3" spans="1:19" hidden="1" x14ac:dyDescent="0.2">
      <c r="A3" s="18" t="s">
        <v>50</v>
      </c>
      <c r="B3" s="18" t="s">
        <v>309</v>
      </c>
      <c r="Q3" s="17"/>
    </row>
    <row r="4" spans="1:19" hidden="1" x14ac:dyDescent="0.2">
      <c r="A4" s="17" t="s">
        <v>310</v>
      </c>
      <c r="B4" s="17">
        <v>1.3108706331708271</v>
      </c>
      <c r="Q4" s="17"/>
    </row>
    <row r="5" spans="1:19" hidden="1" x14ac:dyDescent="0.2">
      <c r="A5" s="17" t="s">
        <v>52</v>
      </c>
      <c r="B5" s="17" t="s">
        <v>64</v>
      </c>
      <c r="Q5" s="17"/>
    </row>
    <row r="6" spans="1:19" hidden="1" x14ac:dyDescent="0.2">
      <c r="A6" s="17" t="s">
        <v>54</v>
      </c>
      <c r="B6" s="17" t="s">
        <v>132</v>
      </c>
      <c r="Q6" s="17"/>
    </row>
    <row r="7" spans="1:19" hidden="1" x14ac:dyDescent="0.2">
      <c r="A7" s="17" t="s">
        <v>55</v>
      </c>
      <c r="B7" s="17" t="s">
        <v>56</v>
      </c>
      <c r="Q7" s="17"/>
    </row>
    <row r="8" spans="1:19" hidden="1" x14ac:dyDescent="0.2">
      <c r="A8" s="17" t="s">
        <v>51</v>
      </c>
      <c r="B8" s="17" t="s">
        <v>1066</v>
      </c>
      <c r="Q8" s="17"/>
    </row>
    <row r="9" spans="1:19" hidden="1" x14ac:dyDescent="0.2">
      <c r="A9" s="18" t="s">
        <v>57</v>
      </c>
      <c r="Q9" s="17"/>
    </row>
    <row r="10" spans="1:19" hidden="1" x14ac:dyDescent="0.2">
      <c r="A10" s="18" t="s">
        <v>58</v>
      </c>
      <c r="B10" s="18" t="s">
        <v>59</v>
      </c>
      <c r="C10" s="18" t="s">
        <v>52</v>
      </c>
      <c r="D10" s="18" t="s">
        <v>55</v>
      </c>
      <c r="E10" s="18" t="s">
        <v>60</v>
      </c>
      <c r="F10" s="18" t="s">
        <v>61</v>
      </c>
      <c r="G10" s="18" t="s">
        <v>54</v>
      </c>
      <c r="H10" s="18" t="s">
        <v>51</v>
      </c>
      <c r="I10" s="18" t="s">
        <v>221</v>
      </c>
      <c r="J10" s="2" t="s">
        <v>379</v>
      </c>
      <c r="K10" s="62" t="s">
        <v>1059</v>
      </c>
      <c r="L10" s="62" t="s">
        <v>1060</v>
      </c>
      <c r="M10" s="62" t="s">
        <v>1061</v>
      </c>
      <c r="N10" s="62" t="s">
        <v>1062</v>
      </c>
      <c r="O10" s="62" t="s">
        <v>1063</v>
      </c>
      <c r="P10" s="62" t="s">
        <v>1064</v>
      </c>
      <c r="Q10" s="2" t="s">
        <v>1065</v>
      </c>
      <c r="R10" s="2" t="s">
        <v>380</v>
      </c>
      <c r="S10" s="18" t="s">
        <v>1128</v>
      </c>
    </row>
    <row r="11" spans="1:19" hidden="1" x14ac:dyDescent="0.2">
      <c r="A11" s="17" t="s">
        <v>309</v>
      </c>
      <c r="B11" s="17">
        <v>1</v>
      </c>
      <c r="C11" s="17" t="s">
        <v>64</v>
      </c>
      <c r="D11" s="17" t="s">
        <v>56</v>
      </c>
      <c r="F11" s="17" t="s">
        <v>62</v>
      </c>
      <c r="G11" s="17" t="s">
        <v>132</v>
      </c>
      <c r="Q11" s="17"/>
    </row>
    <row r="12" spans="1:19" hidden="1" x14ac:dyDescent="0.2">
      <c r="A12" s="17" t="s">
        <v>311</v>
      </c>
      <c r="B12" s="17">
        <v>3.0676551327453981E-8</v>
      </c>
      <c r="D12" s="17" t="s">
        <v>56</v>
      </c>
      <c r="E12" s="17" t="s">
        <v>100</v>
      </c>
      <c r="F12" s="17" t="s">
        <v>99</v>
      </c>
      <c r="I12" s="17">
        <v>2</v>
      </c>
      <c r="J12">
        <f t="shared" ref="J12:J45" si="0">LN(B12)</f>
        <v>-17.299767274606072</v>
      </c>
      <c r="K12" s="13">
        <v>1.05</v>
      </c>
      <c r="L12" s="13">
        <v>1.1000000000000001</v>
      </c>
      <c r="M12" s="13">
        <v>1.03</v>
      </c>
      <c r="N12" s="13">
        <v>1.02</v>
      </c>
      <c r="O12" s="13">
        <v>1.2</v>
      </c>
      <c r="P12" s="13">
        <v>1.2</v>
      </c>
      <c r="Q12" s="13">
        <v>1.5</v>
      </c>
      <c r="R12">
        <f t="shared" ref="R12" si="1">LN(SQRT(EXP(
SQRT(
+POWER(LN(K12),2)
+POWER(LN(L12),2)
+POWER(LN(M12),2)
+POWER(LN(N12),2)
+POWER(LN(O12),2)
+POWER(LN(P12),2)
+POWER(LN(Q12),2)
)
)))</f>
        <v>0.24678666463592946</v>
      </c>
    </row>
    <row r="13" spans="1:19" hidden="1" x14ac:dyDescent="0.2">
      <c r="A13" s="17" t="s">
        <v>312</v>
      </c>
      <c r="B13" s="17">
        <v>4.6014826991180967E-6</v>
      </c>
      <c r="D13" s="17" t="s">
        <v>56</v>
      </c>
      <c r="E13" s="17" t="s">
        <v>100</v>
      </c>
      <c r="F13" s="17" t="s">
        <v>99</v>
      </c>
      <c r="I13" s="17">
        <v>2</v>
      </c>
      <c r="J13">
        <f t="shared" si="0"/>
        <v>-12.289131980509818</v>
      </c>
      <c r="K13" s="13">
        <v>1.05</v>
      </c>
      <c r="L13" s="13">
        <v>1.1000000000000001</v>
      </c>
      <c r="M13" s="13">
        <v>1.03</v>
      </c>
      <c r="N13" s="13">
        <v>1.02</v>
      </c>
      <c r="O13" s="13">
        <v>1.2</v>
      </c>
      <c r="P13" s="13">
        <v>1.2</v>
      </c>
      <c r="Q13" s="13">
        <v>1.5</v>
      </c>
      <c r="R13">
        <f t="shared" ref="R13:R47" si="2">LN(SQRT(EXP(
SQRT(
+POWER(LN(K13),2)
+POWER(LN(L13),2)
+POWER(LN(M13),2)
+POWER(LN(N13),2)
+POWER(LN(O13),2)
+POWER(LN(P13),2)
+POWER(LN(Q13),2)
)
)))</f>
        <v>0.24678666463592946</v>
      </c>
    </row>
    <row r="14" spans="1:19" hidden="1" x14ac:dyDescent="0.2">
      <c r="A14" s="17" t="s">
        <v>313</v>
      </c>
      <c r="B14" s="17">
        <v>1.2270911966962279E-5</v>
      </c>
      <c r="D14" s="17" t="s">
        <v>56</v>
      </c>
      <c r="E14" s="17" t="s">
        <v>100</v>
      </c>
      <c r="F14" s="17" t="s">
        <v>99</v>
      </c>
      <c r="I14" s="17">
        <v>2</v>
      </c>
      <c r="J14">
        <f t="shared" si="0"/>
        <v>-11.308278977067614</v>
      </c>
      <c r="K14" s="13">
        <v>1.05</v>
      </c>
      <c r="L14" s="13">
        <v>1.1000000000000001</v>
      </c>
      <c r="M14" s="13">
        <v>1.03</v>
      </c>
      <c r="N14" s="13">
        <v>1.02</v>
      </c>
      <c r="O14" s="13">
        <v>1.2</v>
      </c>
      <c r="P14" s="13">
        <v>1.2</v>
      </c>
      <c r="Q14" s="13">
        <v>1.5</v>
      </c>
      <c r="R14">
        <f t="shared" si="2"/>
        <v>0.24678666463592946</v>
      </c>
    </row>
    <row r="15" spans="1:19" hidden="1" x14ac:dyDescent="0.2">
      <c r="A15" s="17" t="s">
        <v>314</v>
      </c>
      <c r="B15" s="17">
        <v>3.067655132745397E-10</v>
      </c>
      <c r="D15" s="17" t="s">
        <v>56</v>
      </c>
      <c r="E15" s="17" t="s">
        <v>100</v>
      </c>
      <c r="F15" s="17" t="s">
        <v>99</v>
      </c>
      <c r="I15" s="17">
        <v>2</v>
      </c>
      <c r="J15">
        <f t="shared" si="0"/>
        <v>-21.904937460594166</v>
      </c>
      <c r="K15" s="13">
        <v>1.05</v>
      </c>
      <c r="L15" s="13">
        <v>1.1000000000000001</v>
      </c>
      <c r="M15" s="13">
        <v>1.03</v>
      </c>
      <c r="N15" s="13">
        <v>1.02</v>
      </c>
      <c r="O15" s="13">
        <v>1.2</v>
      </c>
      <c r="P15" s="13">
        <v>1.2</v>
      </c>
      <c r="Q15" s="13">
        <v>1.5</v>
      </c>
      <c r="R15">
        <f t="shared" si="2"/>
        <v>0.24678666463592946</v>
      </c>
    </row>
    <row r="16" spans="1:19" hidden="1" x14ac:dyDescent="0.2">
      <c r="A16" s="17" t="s">
        <v>315</v>
      </c>
      <c r="B16" s="17">
        <v>2.1474168801179165E-5</v>
      </c>
      <c r="D16" s="17" t="s">
        <v>56</v>
      </c>
      <c r="E16" s="17" t="s">
        <v>100</v>
      </c>
      <c r="F16" s="17" t="s">
        <v>99</v>
      </c>
      <c r="I16" s="17">
        <v>2</v>
      </c>
      <c r="J16">
        <f t="shared" si="0"/>
        <v>-10.748659796259599</v>
      </c>
      <c r="K16" s="13">
        <v>1.05</v>
      </c>
      <c r="L16" s="13">
        <v>1.1000000000000001</v>
      </c>
      <c r="M16" s="13">
        <v>1.03</v>
      </c>
      <c r="N16" s="13">
        <v>1.02</v>
      </c>
      <c r="O16" s="13">
        <v>1.2</v>
      </c>
      <c r="P16" s="13">
        <v>1.2</v>
      </c>
      <c r="Q16" s="13">
        <v>1.5</v>
      </c>
      <c r="R16">
        <f t="shared" si="2"/>
        <v>0.24678666463592946</v>
      </c>
    </row>
    <row r="17" spans="1:18" hidden="1" x14ac:dyDescent="0.2">
      <c r="A17" s="17" t="s">
        <v>316</v>
      </c>
      <c r="B17" s="17">
        <v>8.9222937864716503</v>
      </c>
      <c r="D17" s="17" t="s">
        <v>56</v>
      </c>
      <c r="E17" s="17" t="s">
        <v>100</v>
      </c>
      <c r="F17" s="17" t="s">
        <v>99</v>
      </c>
      <c r="I17" s="17">
        <v>2</v>
      </c>
      <c r="J17">
        <f t="shared" si="0"/>
        <v>2.1885530644840161</v>
      </c>
      <c r="K17" s="13">
        <v>1.05</v>
      </c>
      <c r="L17" s="13">
        <v>1.1000000000000001</v>
      </c>
      <c r="M17" s="13">
        <v>1.03</v>
      </c>
      <c r="N17" s="13">
        <v>1.02</v>
      </c>
      <c r="O17" s="13">
        <v>1.2</v>
      </c>
      <c r="P17" s="13">
        <v>1.2</v>
      </c>
      <c r="Q17" s="13">
        <v>1.05</v>
      </c>
      <c r="R17">
        <f t="shared" si="2"/>
        <v>0.14282258014318117</v>
      </c>
    </row>
    <row r="18" spans="1:18" hidden="1" x14ac:dyDescent="0.2">
      <c r="A18" s="17" t="s">
        <v>317</v>
      </c>
      <c r="B18" s="17">
        <v>6.4421923531576096E-5</v>
      </c>
      <c r="D18" s="17" t="s">
        <v>56</v>
      </c>
      <c r="E18" s="17" t="s">
        <v>100</v>
      </c>
      <c r="F18" s="17" t="s">
        <v>99</v>
      </c>
      <c r="I18" s="17">
        <v>2</v>
      </c>
      <c r="J18">
        <f t="shared" si="0"/>
        <v>-9.6500565552773168</v>
      </c>
      <c r="K18" s="13">
        <v>1.05</v>
      </c>
      <c r="L18" s="13">
        <v>1.1000000000000001</v>
      </c>
      <c r="M18" s="13">
        <v>1.03</v>
      </c>
      <c r="N18" s="13">
        <v>1.02</v>
      </c>
      <c r="O18" s="13">
        <v>1.2</v>
      </c>
      <c r="P18" s="13">
        <v>1.2</v>
      </c>
      <c r="Q18" s="13">
        <v>5</v>
      </c>
      <c r="R18">
        <f t="shared" si="2"/>
        <v>0.81693069954794462</v>
      </c>
    </row>
    <row r="19" spans="1:18" hidden="1" x14ac:dyDescent="0.2">
      <c r="A19" s="17" t="s">
        <v>318</v>
      </c>
      <c r="B19" s="17">
        <v>3.0676551327453981E-6</v>
      </c>
      <c r="D19" s="17" t="s">
        <v>56</v>
      </c>
      <c r="E19" s="17" t="s">
        <v>100</v>
      </c>
      <c r="F19" s="17" t="s">
        <v>99</v>
      </c>
      <c r="I19" s="17">
        <v>2</v>
      </c>
      <c r="J19">
        <f t="shared" si="0"/>
        <v>-12.694597088617982</v>
      </c>
      <c r="K19" s="13">
        <v>1.05</v>
      </c>
      <c r="L19" s="13">
        <v>1.1000000000000001</v>
      </c>
      <c r="M19" s="13">
        <v>1.03</v>
      </c>
      <c r="N19" s="13">
        <v>1.02</v>
      </c>
      <c r="O19" s="13">
        <v>1.2</v>
      </c>
      <c r="P19" s="13">
        <v>1.2</v>
      </c>
      <c r="Q19" s="13">
        <v>1.5</v>
      </c>
      <c r="R19">
        <f t="shared" si="2"/>
        <v>0.24678666463592946</v>
      </c>
    </row>
    <row r="20" spans="1:18" hidden="1" x14ac:dyDescent="0.2">
      <c r="A20" s="17" t="s">
        <v>319</v>
      </c>
      <c r="B20" s="17">
        <v>3.0676551327453981E-6</v>
      </c>
      <c r="D20" s="17" t="s">
        <v>56</v>
      </c>
      <c r="E20" s="17" t="s">
        <v>100</v>
      </c>
      <c r="F20" s="17" t="s">
        <v>99</v>
      </c>
      <c r="I20" s="17">
        <v>2</v>
      </c>
      <c r="J20">
        <f t="shared" si="0"/>
        <v>-12.694597088617982</v>
      </c>
      <c r="K20" s="13">
        <v>1.05</v>
      </c>
      <c r="L20" s="13">
        <v>1.1000000000000001</v>
      </c>
      <c r="M20" s="13">
        <v>1.03</v>
      </c>
      <c r="N20" s="13">
        <v>1.02</v>
      </c>
      <c r="O20" s="13">
        <v>1.2</v>
      </c>
      <c r="P20" s="13">
        <v>1.2</v>
      </c>
      <c r="Q20" s="13">
        <v>1.5</v>
      </c>
      <c r="R20">
        <f t="shared" si="2"/>
        <v>0.24678666463592946</v>
      </c>
    </row>
    <row r="21" spans="1:18" hidden="1" x14ac:dyDescent="0.2">
      <c r="A21" s="17" t="s">
        <v>402</v>
      </c>
      <c r="B21" s="17">
        <v>9.2032568342168839E-10</v>
      </c>
      <c r="D21" s="17" t="s">
        <v>56</v>
      </c>
      <c r="E21" s="17" t="s">
        <v>100</v>
      </c>
      <c r="F21" s="17" t="s">
        <v>99</v>
      </c>
      <c r="I21" s="17">
        <v>2</v>
      </c>
      <c r="J21">
        <f t="shared" si="0"/>
        <v>-20.806293504810768</v>
      </c>
      <c r="K21" s="13">
        <v>1.05</v>
      </c>
      <c r="L21" s="13">
        <v>1.1000000000000001</v>
      </c>
      <c r="M21" s="13">
        <v>1.03</v>
      </c>
      <c r="N21" s="13">
        <v>1.02</v>
      </c>
      <c r="O21" s="13">
        <v>1.2</v>
      </c>
      <c r="P21" s="13">
        <v>1.2</v>
      </c>
      <c r="Q21" s="13">
        <v>5</v>
      </c>
      <c r="R21">
        <f t="shared" si="2"/>
        <v>0.81693069954794462</v>
      </c>
    </row>
    <row r="22" spans="1:18" hidden="1" x14ac:dyDescent="0.2">
      <c r="A22" s="17" t="s">
        <v>320</v>
      </c>
      <c r="B22" s="17">
        <v>6.135601701471486E-5</v>
      </c>
      <c r="D22" s="17" t="s">
        <v>56</v>
      </c>
      <c r="E22" s="17" t="s">
        <v>100</v>
      </c>
      <c r="F22" s="17" t="s">
        <v>99</v>
      </c>
      <c r="I22" s="17">
        <v>2</v>
      </c>
      <c r="J22">
        <f t="shared" si="0"/>
        <v>-9.6988173147671048</v>
      </c>
      <c r="K22" s="13">
        <v>1.05</v>
      </c>
      <c r="L22" s="13">
        <v>1.1000000000000001</v>
      </c>
      <c r="M22" s="13">
        <v>1.03</v>
      </c>
      <c r="N22" s="13">
        <v>1.02</v>
      </c>
      <c r="O22" s="13">
        <v>1.2</v>
      </c>
      <c r="P22" s="13">
        <v>1.2</v>
      </c>
      <c r="Q22" s="13">
        <v>1.5</v>
      </c>
      <c r="R22">
        <f t="shared" si="2"/>
        <v>0.24678666463592946</v>
      </c>
    </row>
    <row r="23" spans="1:18" hidden="1" x14ac:dyDescent="0.2">
      <c r="A23" s="17" t="s">
        <v>135</v>
      </c>
      <c r="B23" s="17">
        <v>5.4912367481653793E-4</v>
      </c>
      <c r="D23" s="17" t="s">
        <v>56</v>
      </c>
      <c r="E23" s="17" t="s">
        <v>100</v>
      </c>
      <c r="F23" s="17" t="s">
        <v>99</v>
      </c>
      <c r="I23" s="17">
        <v>2</v>
      </c>
      <c r="J23">
        <f t="shared" si="0"/>
        <v>-7.5071868689350021</v>
      </c>
      <c r="K23" s="13">
        <v>1.05</v>
      </c>
      <c r="L23" s="13">
        <v>1.1000000000000001</v>
      </c>
      <c r="M23" s="13">
        <v>1.03</v>
      </c>
      <c r="N23" s="13">
        <v>1.02</v>
      </c>
      <c r="O23" s="13">
        <v>1.2</v>
      </c>
      <c r="P23" s="13">
        <v>1.2</v>
      </c>
      <c r="Q23" s="13">
        <v>1.5</v>
      </c>
      <c r="R23">
        <f t="shared" si="2"/>
        <v>0.24678666463592946</v>
      </c>
    </row>
    <row r="24" spans="1:18" hidden="1" x14ac:dyDescent="0.2">
      <c r="A24" s="17" t="s">
        <v>321</v>
      </c>
      <c r="B24" s="17">
        <v>3.0676551327453975E-7</v>
      </c>
      <c r="D24" s="17" t="s">
        <v>56</v>
      </c>
      <c r="E24" s="17" t="s">
        <v>100</v>
      </c>
      <c r="F24" s="17" t="s">
        <v>99</v>
      </c>
      <c r="I24" s="17">
        <v>2</v>
      </c>
      <c r="J24">
        <f t="shared" si="0"/>
        <v>-14.997182181612027</v>
      </c>
      <c r="K24" s="13">
        <v>1.05</v>
      </c>
      <c r="L24" s="13">
        <v>1.1000000000000001</v>
      </c>
      <c r="M24" s="13">
        <v>1.03</v>
      </c>
      <c r="N24" s="13">
        <v>1.02</v>
      </c>
      <c r="O24" s="13">
        <v>1.2</v>
      </c>
      <c r="P24" s="13">
        <v>1.2</v>
      </c>
      <c r="Q24" s="13">
        <v>3</v>
      </c>
      <c r="R24">
        <f t="shared" si="2"/>
        <v>0.56704533290732662</v>
      </c>
    </row>
    <row r="25" spans="1:18" hidden="1" x14ac:dyDescent="0.2">
      <c r="A25" s="17" t="s">
        <v>403</v>
      </c>
      <c r="B25" s="17">
        <v>6.135601701471486E-6</v>
      </c>
      <c r="D25" s="17" t="s">
        <v>56</v>
      </c>
      <c r="E25" s="17" t="s">
        <v>100</v>
      </c>
      <c r="F25" s="17" t="s">
        <v>99</v>
      </c>
      <c r="I25" s="17">
        <v>2</v>
      </c>
      <c r="J25">
        <f t="shared" si="0"/>
        <v>-12.001402407761152</v>
      </c>
      <c r="K25" s="13">
        <v>1.05</v>
      </c>
      <c r="L25" s="13">
        <v>1.1000000000000001</v>
      </c>
      <c r="M25" s="13">
        <v>1.03</v>
      </c>
      <c r="N25" s="13">
        <v>1.02</v>
      </c>
      <c r="O25" s="13">
        <v>1.2</v>
      </c>
      <c r="P25" s="13">
        <v>1.2</v>
      </c>
      <c r="Q25" s="13">
        <v>3</v>
      </c>
      <c r="R25">
        <f t="shared" si="2"/>
        <v>0.56704533290732662</v>
      </c>
    </row>
    <row r="26" spans="1:18" hidden="1" x14ac:dyDescent="0.2">
      <c r="A26" s="17" t="s">
        <v>322</v>
      </c>
      <c r="B26" s="17">
        <v>3.6814193080790292E-5</v>
      </c>
      <c r="D26" s="17" t="s">
        <v>56</v>
      </c>
      <c r="E26" s="17" t="s">
        <v>100</v>
      </c>
      <c r="F26" s="17" t="s">
        <v>99</v>
      </c>
      <c r="I26" s="17">
        <v>2</v>
      </c>
      <c r="J26">
        <f t="shared" si="0"/>
        <v>-10.209627105602182</v>
      </c>
      <c r="K26" s="13">
        <v>1.05</v>
      </c>
      <c r="L26" s="13">
        <v>1.1000000000000001</v>
      </c>
      <c r="M26" s="13">
        <v>1.03</v>
      </c>
      <c r="N26" s="13">
        <v>1.02</v>
      </c>
      <c r="O26" s="13">
        <v>1.2</v>
      </c>
      <c r="P26" s="13">
        <v>1.2</v>
      </c>
      <c r="Q26" s="13">
        <v>1.5</v>
      </c>
      <c r="R26">
        <f t="shared" si="2"/>
        <v>0.24678666463592946</v>
      </c>
    </row>
    <row r="27" spans="1:18" hidden="1" x14ac:dyDescent="0.2">
      <c r="A27" s="17" t="s">
        <v>323</v>
      </c>
      <c r="B27" s="17">
        <v>6.135601701471486E-6</v>
      </c>
      <c r="D27" s="17" t="s">
        <v>56</v>
      </c>
      <c r="E27" s="17" t="s">
        <v>100</v>
      </c>
      <c r="F27" s="17" t="s">
        <v>99</v>
      </c>
      <c r="I27" s="17">
        <v>2</v>
      </c>
      <c r="J27">
        <f t="shared" si="0"/>
        <v>-12.001402407761152</v>
      </c>
      <c r="K27" s="13">
        <v>1.05</v>
      </c>
      <c r="L27" s="13">
        <v>1.1000000000000001</v>
      </c>
      <c r="M27" s="13">
        <v>1.03</v>
      </c>
      <c r="N27" s="13">
        <v>1.02</v>
      </c>
      <c r="O27" s="13">
        <v>1.2</v>
      </c>
      <c r="P27" s="13">
        <v>1.2</v>
      </c>
      <c r="Q27" s="13">
        <v>1.5</v>
      </c>
      <c r="R27">
        <f t="shared" si="2"/>
        <v>0.24678666463592946</v>
      </c>
    </row>
    <row r="28" spans="1:18" hidden="1" x14ac:dyDescent="0.2">
      <c r="A28" s="17" t="s">
        <v>324</v>
      </c>
      <c r="B28" s="17">
        <v>6.1356017014714845E-7</v>
      </c>
      <c r="D28" s="17" t="s">
        <v>56</v>
      </c>
      <c r="E28" s="17" t="s">
        <v>100</v>
      </c>
      <c r="F28" s="17" t="s">
        <v>99</v>
      </c>
      <c r="I28" s="17">
        <v>2</v>
      </c>
      <c r="J28">
        <f t="shared" si="0"/>
        <v>-14.303987500755197</v>
      </c>
      <c r="K28" s="13">
        <v>1.05</v>
      </c>
      <c r="L28" s="13">
        <v>1.1000000000000001</v>
      </c>
      <c r="M28" s="13">
        <v>1.03</v>
      </c>
      <c r="N28" s="13">
        <v>1.02</v>
      </c>
      <c r="O28" s="13">
        <v>1.2</v>
      </c>
      <c r="P28" s="13">
        <v>1.2</v>
      </c>
      <c r="Q28" s="13">
        <v>1.5</v>
      </c>
      <c r="R28">
        <f t="shared" si="2"/>
        <v>0.24678666463592946</v>
      </c>
    </row>
    <row r="29" spans="1:18" hidden="1" x14ac:dyDescent="0.2">
      <c r="A29" s="17" t="s">
        <v>325</v>
      </c>
      <c r="B29" s="17">
        <v>1.6872686102061067E-5</v>
      </c>
      <c r="D29" s="17" t="s">
        <v>56</v>
      </c>
      <c r="E29" s="17" t="s">
        <v>100</v>
      </c>
      <c r="F29" s="17" t="s">
        <v>99</v>
      </c>
      <c r="I29" s="17">
        <v>2</v>
      </c>
      <c r="J29">
        <f t="shared" si="0"/>
        <v>-10.989814450485333</v>
      </c>
      <c r="K29" s="13">
        <v>1.05</v>
      </c>
      <c r="L29" s="13">
        <v>1.1000000000000001</v>
      </c>
      <c r="M29" s="13">
        <v>1.03</v>
      </c>
      <c r="N29" s="13">
        <v>1.02</v>
      </c>
      <c r="O29" s="13">
        <v>1.2</v>
      </c>
      <c r="P29" s="13">
        <v>1.2</v>
      </c>
      <c r="Q29" s="13">
        <v>1.05</v>
      </c>
      <c r="R29">
        <f t="shared" si="2"/>
        <v>0.14282258014318117</v>
      </c>
    </row>
    <row r="30" spans="1:18" hidden="1" x14ac:dyDescent="0.2">
      <c r="A30" s="17" t="s">
        <v>326</v>
      </c>
      <c r="B30" s="17">
        <v>6.135601701471486E-6</v>
      </c>
      <c r="D30" s="17" t="s">
        <v>56</v>
      </c>
      <c r="E30" s="17" t="s">
        <v>100</v>
      </c>
      <c r="F30" s="17" t="s">
        <v>99</v>
      </c>
      <c r="I30" s="17">
        <v>2</v>
      </c>
      <c r="J30">
        <f t="shared" si="0"/>
        <v>-12.001402407761152</v>
      </c>
      <c r="K30" s="13">
        <v>1.05</v>
      </c>
      <c r="L30" s="13">
        <v>1.1000000000000001</v>
      </c>
      <c r="M30" s="13">
        <v>1.03</v>
      </c>
      <c r="N30" s="13">
        <v>1.02</v>
      </c>
      <c r="O30" s="13">
        <v>1.2</v>
      </c>
      <c r="P30" s="13">
        <v>1.2</v>
      </c>
      <c r="Q30" s="13">
        <v>1.5</v>
      </c>
      <c r="R30">
        <f t="shared" si="2"/>
        <v>0.24678666463592946</v>
      </c>
    </row>
    <row r="31" spans="1:18" hidden="1" x14ac:dyDescent="0.2">
      <c r="A31" s="17" t="s">
        <v>327</v>
      </c>
      <c r="B31" s="17">
        <v>0.38038158908113223</v>
      </c>
      <c r="D31" s="17" t="s">
        <v>120</v>
      </c>
      <c r="E31" s="17" t="s">
        <v>328</v>
      </c>
      <c r="F31" s="17" t="s">
        <v>99</v>
      </c>
      <c r="I31" s="17">
        <v>2</v>
      </c>
      <c r="J31">
        <f t="shared" si="0"/>
        <v>-0.96658034832250983</v>
      </c>
      <c r="K31" s="13">
        <v>1.05</v>
      </c>
      <c r="L31" s="13">
        <v>1.1000000000000001</v>
      </c>
      <c r="M31" s="13">
        <v>1.03</v>
      </c>
      <c r="N31" s="13">
        <v>1.02</v>
      </c>
      <c r="O31" s="13">
        <v>1.2</v>
      </c>
      <c r="P31" s="13">
        <v>1.2</v>
      </c>
      <c r="Q31" s="13">
        <v>1.05</v>
      </c>
      <c r="R31">
        <f t="shared" si="2"/>
        <v>0.14282258014318117</v>
      </c>
    </row>
    <row r="32" spans="1:18" hidden="1" x14ac:dyDescent="0.2">
      <c r="A32" s="17" t="s">
        <v>237</v>
      </c>
      <c r="B32" s="17">
        <v>5.3483199147628007E-10</v>
      </c>
      <c r="C32" s="17" t="s">
        <v>90</v>
      </c>
      <c r="D32" s="17" t="s">
        <v>55</v>
      </c>
      <c r="F32" s="17" t="s">
        <v>86</v>
      </c>
      <c r="G32" s="17" t="s">
        <v>238</v>
      </c>
      <c r="I32" s="17">
        <v>2</v>
      </c>
      <c r="J32">
        <f t="shared" si="0"/>
        <v>-21.349068452975516</v>
      </c>
      <c r="K32" s="13">
        <v>1.05</v>
      </c>
      <c r="L32" s="13">
        <v>1.1000000000000001</v>
      </c>
      <c r="M32" s="13">
        <v>1.03</v>
      </c>
      <c r="N32" s="13">
        <v>1.02</v>
      </c>
      <c r="O32" s="13">
        <v>1.2</v>
      </c>
      <c r="P32" s="13">
        <v>1.2</v>
      </c>
      <c r="Q32">
        <v>3</v>
      </c>
      <c r="R32">
        <f t="shared" si="2"/>
        <v>0.56704533290732662</v>
      </c>
    </row>
    <row r="33" spans="1:19" hidden="1" x14ac:dyDescent="0.2">
      <c r="A33" s="17" t="s">
        <v>329</v>
      </c>
      <c r="B33" s="17">
        <v>5.3272799999999989E-4</v>
      </c>
      <c r="C33" s="17" t="s">
        <v>330</v>
      </c>
      <c r="D33" s="17" t="s">
        <v>56</v>
      </c>
      <c r="F33" s="17" t="s">
        <v>86</v>
      </c>
      <c r="G33" s="17" t="s">
        <v>331</v>
      </c>
      <c r="I33" s="17">
        <v>2</v>
      </c>
      <c r="J33">
        <f t="shared" si="0"/>
        <v>-7.5374995830048048</v>
      </c>
      <c r="K33" s="13">
        <v>1.05</v>
      </c>
      <c r="L33" s="13">
        <v>1.1000000000000001</v>
      </c>
      <c r="M33" s="13">
        <v>1.03</v>
      </c>
      <c r="N33" s="13">
        <v>1.02</v>
      </c>
      <c r="O33" s="13">
        <v>1.2</v>
      </c>
      <c r="P33" s="13">
        <v>1.2</v>
      </c>
      <c r="Q33">
        <v>1.05</v>
      </c>
      <c r="R33">
        <f t="shared" si="2"/>
        <v>0.14282258014318117</v>
      </c>
    </row>
    <row r="34" spans="1:19" hidden="1" x14ac:dyDescent="0.2">
      <c r="A34" s="17" t="s">
        <v>332</v>
      </c>
      <c r="B34" s="17">
        <v>3.6000000000000001E-5</v>
      </c>
      <c r="C34" s="17" t="s">
        <v>85</v>
      </c>
      <c r="D34" s="17" t="s">
        <v>56</v>
      </c>
      <c r="F34" s="17" t="s">
        <v>86</v>
      </c>
      <c r="G34" s="17" t="s">
        <v>333</v>
      </c>
      <c r="I34" s="17">
        <v>2</v>
      </c>
      <c r="J34">
        <f t="shared" si="0"/>
        <v>-10.231991619508165</v>
      </c>
      <c r="K34" s="13">
        <v>1.05</v>
      </c>
      <c r="L34" s="13">
        <v>1.1000000000000001</v>
      </c>
      <c r="M34" s="13">
        <v>1.03</v>
      </c>
      <c r="N34" s="13">
        <v>1.02</v>
      </c>
      <c r="O34" s="13">
        <v>1.2</v>
      </c>
      <c r="P34" s="13">
        <v>1.2</v>
      </c>
      <c r="Q34">
        <v>1.05</v>
      </c>
      <c r="R34">
        <f t="shared" si="2"/>
        <v>0.14282258014318117</v>
      </c>
    </row>
    <row r="35" spans="1:19" hidden="1" x14ac:dyDescent="0.2">
      <c r="A35" s="17" t="s">
        <v>334</v>
      </c>
      <c r="B35" s="17">
        <v>3.6239999999999997E-4</v>
      </c>
      <c r="C35" s="17" t="s">
        <v>85</v>
      </c>
      <c r="D35" s="17" t="s">
        <v>56</v>
      </c>
      <c r="F35" s="17" t="s">
        <v>86</v>
      </c>
      <c r="G35" s="17" t="s">
        <v>335</v>
      </c>
      <c r="I35" s="17">
        <v>2</v>
      </c>
      <c r="J35">
        <f t="shared" si="0"/>
        <v>-7.9227619837954499</v>
      </c>
      <c r="K35" s="13">
        <v>1.05</v>
      </c>
      <c r="L35" s="13">
        <v>1.1000000000000001</v>
      </c>
      <c r="M35" s="13">
        <v>1.03</v>
      </c>
      <c r="N35" s="13">
        <v>1.02</v>
      </c>
      <c r="O35" s="13">
        <v>1.2</v>
      </c>
      <c r="P35" s="13">
        <v>1.2</v>
      </c>
      <c r="Q35">
        <v>1.05</v>
      </c>
      <c r="R35">
        <f t="shared" si="2"/>
        <v>0.14282258014318117</v>
      </c>
    </row>
    <row r="36" spans="1:19" hidden="1" x14ac:dyDescent="0.2">
      <c r="A36" s="17" t="s">
        <v>336</v>
      </c>
      <c r="B36" s="17">
        <v>2.54628E-9</v>
      </c>
      <c r="C36" s="17" t="s">
        <v>85</v>
      </c>
      <c r="D36" s="17" t="s">
        <v>55</v>
      </c>
      <c r="F36" s="17" t="s">
        <v>86</v>
      </c>
      <c r="G36" s="17" t="s">
        <v>337</v>
      </c>
      <c r="I36" s="17">
        <v>2</v>
      </c>
      <c r="J36">
        <f t="shared" si="0"/>
        <v>-19.78863236642454</v>
      </c>
      <c r="K36" s="13">
        <v>1.05</v>
      </c>
      <c r="L36" s="13">
        <v>1.1000000000000001</v>
      </c>
      <c r="M36" s="13">
        <v>1.03</v>
      </c>
      <c r="N36" s="13">
        <v>1.02</v>
      </c>
      <c r="O36" s="13">
        <v>1.2</v>
      </c>
      <c r="P36" s="13">
        <v>1.2</v>
      </c>
      <c r="Q36">
        <v>3</v>
      </c>
      <c r="R36">
        <f t="shared" si="2"/>
        <v>0.56704533290732662</v>
      </c>
    </row>
    <row r="37" spans="1:19" hidden="1" x14ac:dyDescent="0.2">
      <c r="A37" s="17" t="s">
        <v>338</v>
      </c>
      <c r="B37" s="17">
        <v>2.796E-5</v>
      </c>
      <c r="C37" s="17" t="s">
        <v>85</v>
      </c>
      <c r="D37" s="17" t="s">
        <v>56</v>
      </c>
      <c r="F37" s="17" t="s">
        <v>86</v>
      </c>
      <c r="G37" s="17" t="s">
        <v>339</v>
      </c>
      <c r="I37" s="17">
        <v>2</v>
      </c>
      <c r="J37">
        <f t="shared" si="0"/>
        <v>-10.484735640598664</v>
      </c>
      <c r="K37" s="13">
        <v>1.05</v>
      </c>
      <c r="L37" s="13">
        <v>1.1000000000000001</v>
      </c>
      <c r="M37" s="13">
        <v>1.03</v>
      </c>
      <c r="N37" s="13">
        <v>1.02</v>
      </c>
      <c r="O37" s="13">
        <v>1.2</v>
      </c>
      <c r="P37" s="13">
        <v>1.2</v>
      </c>
      <c r="Q37">
        <v>1.05</v>
      </c>
      <c r="R37">
        <f t="shared" si="2"/>
        <v>0.14282258014318117</v>
      </c>
    </row>
    <row r="38" spans="1:19" hidden="1" x14ac:dyDescent="0.2">
      <c r="A38" s="17" t="s">
        <v>340</v>
      </c>
      <c r="B38" s="17">
        <v>1.668E-5</v>
      </c>
      <c r="C38" s="17" t="s">
        <v>85</v>
      </c>
      <c r="D38" s="17" t="s">
        <v>56</v>
      </c>
      <c r="F38" s="17" t="s">
        <v>86</v>
      </c>
      <c r="G38" s="17" t="s">
        <v>341</v>
      </c>
      <c r="I38" s="17">
        <v>2</v>
      </c>
      <c r="J38">
        <f t="shared" si="0"/>
        <v>-11.001300161033674</v>
      </c>
      <c r="K38" s="13">
        <v>1.05</v>
      </c>
      <c r="L38" s="13">
        <v>1.1000000000000001</v>
      </c>
      <c r="M38" s="13">
        <v>1.03</v>
      </c>
      <c r="N38" s="13">
        <v>1.02</v>
      </c>
      <c r="O38" s="13">
        <v>1.2</v>
      </c>
      <c r="P38" s="13">
        <v>1.2</v>
      </c>
      <c r="Q38">
        <v>1.05</v>
      </c>
      <c r="R38">
        <f t="shared" si="2"/>
        <v>0.14282258014318117</v>
      </c>
    </row>
    <row r="39" spans="1:19" hidden="1" x14ac:dyDescent="0.2">
      <c r="A39" s="17" t="s">
        <v>342</v>
      </c>
      <c r="B39" s="17">
        <v>2.0292014459767036E-4</v>
      </c>
      <c r="C39" s="17" t="s">
        <v>85</v>
      </c>
      <c r="D39" s="17" t="s">
        <v>56</v>
      </c>
      <c r="F39" s="17" t="s">
        <v>86</v>
      </c>
      <c r="G39" s="17" t="s">
        <v>343</v>
      </c>
      <c r="I39" s="17">
        <v>2</v>
      </c>
      <c r="J39">
        <f t="shared" si="0"/>
        <v>-8.5026980326814225</v>
      </c>
      <c r="K39" s="13">
        <v>1.05</v>
      </c>
      <c r="L39" s="13">
        <v>1.1000000000000001</v>
      </c>
      <c r="M39" s="13">
        <v>1.03</v>
      </c>
      <c r="N39" s="13">
        <v>1.02</v>
      </c>
      <c r="O39" s="13">
        <v>1.2</v>
      </c>
      <c r="P39" s="13">
        <v>1.2</v>
      </c>
      <c r="Q39">
        <v>1.05</v>
      </c>
      <c r="R39">
        <f t="shared" si="2"/>
        <v>0.14282258014318117</v>
      </c>
    </row>
    <row r="40" spans="1:19" hidden="1" x14ac:dyDescent="0.2">
      <c r="A40" s="17" t="s">
        <v>344</v>
      </c>
      <c r="B40" s="17">
        <v>3.1235999999999997E-4</v>
      </c>
      <c r="C40" s="17" t="s">
        <v>85</v>
      </c>
      <c r="D40" s="17" t="s">
        <v>56</v>
      </c>
      <c r="F40" s="17" t="s">
        <v>86</v>
      </c>
      <c r="G40" s="17" t="s">
        <v>345</v>
      </c>
      <c r="I40" s="17">
        <v>2</v>
      </c>
      <c r="J40">
        <f t="shared" si="0"/>
        <v>-8.0713541891697993</v>
      </c>
      <c r="K40" s="13">
        <v>1.05</v>
      </c>
      <c r="L40" s="13">
        <v>1.1000000000000001</v>
      </c>
      <c r="M40" s="13">
        <v>1.03</v>
      </c>
      <c r="N40" s="13">
        <v>1.02</v>
      </c>
      <c r="O40" s="13">
        <v>1.2</v>
      </c>
      <c r="P40" s="13">
        <v>1.2</v>
      </c>
      <c r="Q40">
        <v>1.05</v>
      </c>
      <c r="R40">
        <f t="shared" si="2"/>
        <v>0.14282258014318117</v>
      </c>
    </row>
    <row r="41" spans="1:19" hidden="1" x14ac:dyDescent="0.2">
      <c r="A41" s="17" t="s">
        <v>346</v>
      </c>
      <c r="B41" s="17">
        <v>4.8000000000000001E-5</v>
      </c>
      <c r="C41" s="17" t="s">
        <v>90</v>
      </c>
      <c r="D41" s="17" t="s">
        <v>56</v>
      </c>
      <c r="F41" s="17" t="s">
        <v>86</v>
      </c>
      <c r="G41" s="17" t="s">
        <v>347</v>
      </c>
      <c r="I41" s="17">
        <v>2</v>
      </c>
      <c r="J41">
        <f t="shared" si="0"/>
        <v>-9.9443095470563829</v>
      </c>
      <c r="K41" s="13">
        <v>1.05</v>
      </c>
      <c r="L41" s="13">
        <v>1.1000000000000001</v>
      </c>
      <c r="M41" s="13">
        <v>1.03</v>
      </c>
      <c r="N41" s="13">
        <v>1.02</v>
      </c>
      <c r="O41" s="13">
        <v>1.2</v>
      </c>
      <c r="P41" s="13">
        <v>1.2</v>
      </c>
      <c r="Q41">
        <v>1.05</v>
      </c>
      <c r="R41">
        <f t="shared" si="2"/>
        <v>0.14282258014318117</v>
      </c>
    </row>
    <row r="42" spans="1:19" hidden="1" x14ac:dyDescent="0.2">
      <c r="A42" s="17" t="s">
        <v>170</v>
      </c>
      <c r="B42" s="17">
        <v>1.1591999999999998E-5</v>
      </c>
      <c r="C42" s="17" t="s">
        <v>85</v>
      </c>
      <c r="D42" s="17" t="s">
        <v>56</v>
      </c>
      <c r="F42" s="17" t="s">
        <v>86</v>
      </c>
      <c r="G42" s="17" t="s">
        <v>171</v>
      </c>
      <c r="I42" s="17">
        <v>2</v>
      </c>
      <c r="J42">
        <f t="shared" si="0"/>
        <v>-11.365195352945893</v>
      </c>
      <c r="K42" s="13">
        <v>1.05</v>
      </c>
      <c r="L42" s="13">
        <v>1.1000000000000001</v>
      </c>
      <c r="M42" s="13">
        <v>1.03</v>
      </c>
      <c r="N42" s="13">
        <v>1.02</v>
      </c>
      <c r="O42" s="13">
        <v>1.2</v>
      </c>
      <c r="P42" s="13">
        <v>1.2</v>
      </c>
      <c r="Q42">
        <v>1.05</v>
      </c>
      <c r="R42">
        <f t="shared" si="2"/>
        <v>0.14282258014318117</v>
      </c>
    </row>
    <row r="43" spans="1:19" hidden="1" x14ac:dyDescent="0.2">
      <c r="A43" s="17" t="s">
        <v>95</v>
      </c>
      <c r="B43" s="17">
        <v>7.5384135551020997</v>
      </c>
      <c r="C43" s="17" t="s">
        <v>96</v>
      </c>
      <c r="D43" s="17" t="s">
        <v>56</v>
      </c>
      <c r="F43" s="17" t="s">
        <v>86</v>
      </c>
      <c r="G43" s="17" t="s">
        <v>97</v>
      </c>
      <c r="I43" s="17">
        <v>2</v>
      </c>
      <c r="J43">
        <f t="shared" si="0"/>
        <v>2.0200117560492603</v>
      </c>
      <c r="K43" s="13">
        <v>1.05</v>
      </c>
      <c r="L43" s="13">
        <v>1.1000000000000001</v>
      </c>
      <c r="M43" s="13">
        <v>1.03</v>
      </c>
      <c r="N43" s="13">
        <v>1.02</v>
      </c>
      <c r="O43" s="13">
        <v>1.2</v>
      </c>
      <c r="P43" s="13">
        <v>1.2</v>
      </c>
      <c r="Q43">
        <v>1.05</v>
      </c>
      <c r="R43">
        <f t="shared" si="2"/>
        <v>0.14282258014318117</v>
      </c>
    </row>
    <row r="44" spans="1:19" hidden="1" x14ac:dyDescent="0.2">
      <c r="A44" s="17" t="s">
        <v>348</v>
      </c>
      <c r="B44" s="17">
        <v>8.8290154606725723E-4</v>
      </c>
      <c r="C44" s="17" t="s">
        <v>85</v>
      </c>
      <c r="D44" s="17" t="s">
        <v>56</v>
      </c>
      <c r="F44" s="17" t="s">
        <v>86</v>
      </c>
      <c r="G44" s="17" t="s">
        <v>349</v>
      </c>
      <c r="I44" s="17">
        <v>2</v>
      </c>
      <c r="J44">
        <f t="shared" si="0"/>
        <v>-7.0322968629344089</v>
      </c>
      <c r="K44" s="13">
        <v>1.05</v>
      </c>
      <c r="L44" s="13">
        <v>1.1000000000000001</v>
      </c>
      <c r="M44" s="13">
        <v>1.03</v>
      </c>
      <c r="N44" s="13">
        <v>1.02</v>
      </c>
      <c r="O44" s="13">
        <v>1.2</v>
      </c>
      <c r="P44" s="13">
        <v>1.2</v>
      </c>
      <c r="Q44">
        <v>1.05</v>
      </c>
      <c r="R44">
        <f t="shared" si="2"/>
        <v>0.14282258014318117</v>
      </c>
    </row>
    <row r="45" spans="1:19" hidden="1" x14ac:dyDescent="0.2">
      <c r="A45" s="17" t="s">
        <v>350</v>
      </c>
      <c r="B45" s="17">
        <v>3.7140000000000003E-4</v>
      </c>
      <c r="C45" s="17" t="s">
        <v>85</v>
      </c>
      <c r="D45" s="17" t="s">
        <v>56</v>
      </c>
      <c r="F45" s="17" t="s">
        <v>86</v>
      </c>
      <c r="G45" s="17" t="s">
        <v>351</v>
      </c>
      <c r="I45" s="17">
        <v>2</v>
      </c>
      <c r="J45">
        <f t="shared" si="0"/>
        <v>-7.8982309090456688</v>
      </c>
      <c r="K45" s="13">
        <v>1.05</v>
      </c>
      <c r="L45" s="13">
        <v>1.1000000000000001</v>
      </c>
      <c r="M45" s="13">
        <v>1.03</v>
      </c>
      <c r="N45" s="13">
        <v>1.02</v>
      </c>
      <c r="O45" s="13">
        <v>1.2</v>
      </c>
      <c r="P45" s="13">
        <v>1.2</v>
      </c>
      <c r="Q45">
        <v>1.05</v>
      </c>
      <c r="R45">
        <f t="shared" si="2"/>
        <v>0.14282258014318117</v>
      </c>
    </row>
    <row r="46" spans="1:19" hidden="1" x14ac:dyDescent="0.2">
      <c r="A46" s="17" t="s">
        <v>352</v>
      </c>
      <c r="B46" s="17">
        <v>-1.2333113635208772</v>
      </c>
      <c r="C46" s="17" t="s">
        <v>90</v>
      </c>
      <c r="D46" s="17" t="s">
        <v>92</v>
      </c>
      <c r="F46" s="17" t="s">
        <v>86</v>
      </c>
      <c r="G46" s="17" t="s">
        <v>353</v>
      </c>
      <c r="I46" s="17">
        <v>2</v>
      </c>
      <c r="J46">
        <f>LN(B46*-1)</f>
        <v>0.20970271746195837</v>
      </c>
      <c r="K46" s="13">
        <v>1.05</v>
      </c>
      <c r="L46" s="13">
        <v>1.1000000000000001</v>
      </c>
      <c r="M46" s="13">
        <v>1.03</v>
      </c>
      <c r="N46" s="13">
        <v>1.02</v>
      </c>
      <c r="O46" s="13">
        <v>1.2</v>
      </c>
      <c r="P46" s="13">
        <v>1.2</v>
      </c>
      <c r="Q46">
        <v>1.05</v>
      </c>
      <c r="R46">
        <f>LN(SQRT(EXP(
SQRT(
+POWER(LN(K46),2)
+POWER(LN(L46),2)
+POWER(LN(M46),2)
+POWER(LN(N46),2)
+POWER(LN(O46),2)
+POWER(LN(P46),2)
+POWER(LN(Q46),2)
)
)))</f>
        <v>0.14282258014318117</v>
      </c>
      <c r="S46" s="17" t="b">
        <v>1</v>
      </c>
    </row>
    <row r="47" spans="1:19" hidden="1" x14ac:dyDescent="0.2">
      <c r="A47" s="17" t="s">
        <v>361</v>
      </c>
      <c r="B47" s="17">
        <f>(B4*120)/36</f>
        <v>4.3695687772360907</v>
      </c>
      <c r="C47" s="17" t="s">
        <v>64</v>
      </c>
      <c r="D47" s="17" t="s">
        <v>120</v>
      </c>
      <c r="F47" s="17" t="s">
        <v>86</v>
      </c>
      <c r="G47" s="17" t="s">
        <v>354</v>
      </c>
      <c r="I47" s="17">
        <v>2</v>
      </c>
      <c r="J47">
        <f>LN(B47)</f>
        <v>1.4746643262604955</v>
      </c>
      <c r="K47" s="13">
        <v>1.05</v>
      </c>
      <c r="L47" s="13">
        <v>1.1000000000000001</v>
      </c>
      <c r="M47" s="13">
        <v>1.03</v>
      </c>
      <c r="N47" s="13">
        <v>1.02</v>
      </c>
      <c r="O47" s="13">
        <v>1.2</v>
      </c>
      <c r="P47" s="13">
        <v>1.2</v>
      </c>
      <c r="Q47">
        <v>1.05</v>
      </c>
      <c r="R47">
        <f t="shared" si="2"/>
        <v>0.14282258014318117</v>
      </c>
    </row>
    <row r="48" spans="1:19" hidden="1" x14ac:dyDescent="0.2">
      <c r="Q48" s="17"/>
    </row>
    <row r="49" spans="1:19" hidden="1" x14ac:dyDescent="0.2">
      <c r="A49" s="18" t="s">
        <v>50</v>
      </c>
      <c r="B49" s="18" t="s">
        <v>355</v>
      </c>
      <c r="Q49" s="17"/>
    </row>
    <row r="50" spans="1:19" hidden="1" x14ac:dyDescent="0.2">
      <c r="A50" s="17" t="s">
        <v>310</v>
      </c>
      <c r="B50" s="17">
        <v>1.2903504392436329</v>
      </c>
      <c r="Q50" s="17"/>
    </row>
    <row r="51" spans="1:19" hidden="1" x14ac:dyDescent="0.2">
      <c r="A51" s="17" t="s">
        <v>52</v>
      </c>
      <c r="B51" s="17" t="s">
        <v>64</v>
      </c>
      <c r="Q51" s="17"/>
    </row>
    <row r="52" spans="1:19" hidden="1" x14ac:dyDescent="0.2">
      <c r="A52" s="17" t="s">
        <v>54</v>
      </c>
      <c r="B52" s="17" t="s">
        <v>132</v>
      </c>
      <c r="Q52" s="17"/>
    </row>
    <row r="53" spans="1:19" hidden="1" x14ac:dyDescent="0.2">
      <c r="A53" s="17" t="s">
        <v>55</v>
      </c>
      <c r="B53" s="17" t="s">
        <v>56</v>
      </c>
      <c r="Q53" s="17"/>
    </row>
    <row r="54" spans="1:19" hidden="1" x14ac:dyDescent="0.2">
      <c r="A54" s="17" t="s">
        <v>51</v>
      </c>
      <c r="B54" s="17" t="s">
        <v>1066</v>
      </c>
      <c r="Q54" s="17"/>
    </row>
    <row r="55" spans="1:19" hidden="1" x14ac:dyDescent="0.2">
      <c r="A55" s="18" t="s">
        <v>57</v>
      </c>
      <c r="Q55" s="17"/>
    </row>
    <row r="56" spans="1:19" hidden="1" x14ac:dyDescent="0.2">
      <c r="A56" s="18" t="s">
        <v>58</v>
      </c>
      <c r="B56" s="18" t="s">
        <v>59</v>
      </c>
      <c r="C56" s="18" t="s">
        <v>52</v>
      </c>
      <c r="D56" s="18" t="s">
        <v>55</v>
      </c>
      <c r="E56" s="18" t="s">
        <v>60</v>
      </c>
      <c r="F56" s="18" t="s">
        <v>61</v>
      </c>
      <c r="G56" s="18" t="s">
        <v>54</v>
      </c>
      <c r="H56" s="18" t="s">
        <v>51</v>
      </c>
      <c r="I56" s="18" t="s">
        <v>221</v>
      </c>
      <c r="J56" s="2" t="s">
        <v>379</v>
      </c>
      <c r="K56" s="62" t="s">
        <v>1059</v>
      </c>
      <c r="L56" s="62" t="s">
        <v>1060</v>
      </c>
      <c r="M56" s="62" t="s">
        <v>1061</v>
      </c>
      <c r="N56" s="62" t="s">
        <v>1062</v>
      </c>
      <c r="O56" s="62" t="s">
        <v>1063</v>
      </c>
      <c r="P56" s="62" t="s">
        <v>1064</v>
      </c>
      <c r="Q56" s="2" t="s">
        <v>1065</v>
      </c>
      <c r="R56" s="2" t="s">
        <v>380</v>
      </c>
      <c r="S56" s="18" t="s">
        <v>1128</v>
      </c>
    </row>
    <row r="57" spans="1:19" hidden="1" x14ac:dyDescent="0.2">
      <c r="A57" s="17" t="s">
        <v>355</v>
      </c>
      <c r="B57" s="17">
        <v>1</v>
      </c>
      <c r="C57" s="17" t="s">
        <v>64</v>
      </c>
      <c r="D57" s="17" t="s">
        <v>56</v>
      </c>
      <c r="F57" s="17" t="s">
        <v>62</v>
      </c>
      <c r="G57" s="17" t="s">
        <v>132</v>
      </c>
      <c r="Q57" s="17"/>
    </row>
    <row r="58" spans="1:19" hidden="1" x14ac:dyDescent="0.2">
      <c r="A58" s="17" t="s">
        <v>311</v>
      </c>
      <c r="B58" s="17">
        <v>2.803301033677894E-8</v>
      </c>
      <c r="C58" s="17" t="s">
        <v>356</v>
      </c>
      <c r="D58" s="17" t="s">
        <v>56</v>
      </c>
      <c r="E58" s="17" t="s">
        <v>100</v>
      </c>
      <c r="F58" s="17" t="s">
        <v>99</v>
      </c>
      <c r="G58" s="17" t="s">
        <v>356</v>
      </c>
      <c r="I58" s="17">
        <v>2</v>
      </c>
      <c r="J58">
        <f t="shared" ref="J58:J93" si="3">LN(B58)</f>
        <v>-17.389883080576706</v>
      </c>
      <c r="K58" s="13">
        <v>1.05</v>
      </c>
      <c r="L58" s="13">
        <v>1.1000000000000001</v>
      </c>
      <c r="M58" s="13">
        <v>1.03</v>
      </c>
      <c r="N58" s="13">
        <v>1.02</v>
      </c>
      <c r="O58" s="13">
        <v>1.2</v>
      </c>
      <c r="P58" s="13">
        <v>1.2</v>
      </c>
      <c r="Q58" s="13">
        <v>1.5</v>
      </c>
      <c r="R58">
        <f t="shared" ref="R58:R95" si="4">LN(SQRT(EXP(
SQRT(
+POWER(LN(K58),2)
+POWER(LN(L58),2)
+POWER(LN(M58),2)
+POWER(LN(N58),2)
+POWER(LN(O58),2)
+POWER(LN(P58),2)
+POWER(LN(Q58),2)
)
)))</f>
        <v>0.24678666463592946</v>
      </c>
    </row>
    <row r="59" spans="1:19" hidden="1" x14ac:dyDescent="0.2">
      <c r="A59" s="17" t="s">
        <v>312</v>
      </c>
      <c r="B59" s="17">
        <v>4.2049515505168402E-6</v>
      </c>
      <c r="C59" s="17" t="s">
        <v>356</v>
      </c>
      <c r="D59" s="17" t="s">
        <v>56</v>
      </c>
      <c r="E59" s="17" t="s">
        <v>100</v>
      </c>
      <c r="F59" s="17" t="s">
        <v>99</v>
      </c>
      <c r="G59" s="17" t="s">
        <v>356</v>
      </c>
      <c r="I59" s="17">
        <v>2</v>
      </c>
      <c r="J59">
        <f t="shared" si="3"/>
        <v>-12.379247786480452</v>
      </c>
      <c r="K59" s="13">
        <v>1.05</v>
      </c>
      <c r="L59" s="13">
        <v>1.1000000000000001</v>
      </c>
      <c r="M59" s="13">
        <v>1.03</v>
      </c>
      <c r="N59" s="13">
        <v>1.02</v>
      </c>
      <c r="O59" s="13">
        <v>1.2</v>
      </c>
      <c r="P59" s="13">
        <v>1.2</v>
      </c>
      <c r="Q59" s="13">
        <v>1.5</v>
      </c>
      <c r="R59">
        <f t="shared" si="4"/>
        <v>0.24678666463592946</v>
      </c>
    </row>
    <row r="60" spans="1:19" hidden="1" x14ac:dyDescent="0.2">
      <c r="A60" s="17" t="s">
        <v>313</v>
      </c>
      <c r="B60" s="17">
        <v>1.1213470456299422E-5</v>
      </c>
      <c r="C60" s="17" t="s">
        <v>356</v>
      </c>
      <c r="D60" s="17" t="s">
        <v>56</v>
      </c>
      <c r="E60" s="17" t="s">
        <v>100</v>
      </c>
      <c r="F60" s="17" t="s">
        <v>99</v>
      </c>
      <c r="G60" s="17" t="s">
        <v>356</v>
      </c>
      <c r="I60" s="17">
        <v>2</v>
      </c>
      <c r="J60">
        <f t="shared" si="3"/>
        <v>-11.398394783038247</v>
      </c>
      <c r="K60" s="13">
        <v>1.05</v>
      </c>
      <c r="L60" s="13">
        <v>1.1000000000000001</v>
      </c>
      <c r="M60" s="13">
        <v>1.03</v>
      </c>
      <c r="N60" s="13">
        <v>1.02</v>
      </c>
      <c r="O60" s="13">
        <v>1.2</v>
      </c>
      <c r="P60" s="13">
        <v>1.2</v>
      </c>
      <c r="Q60" s="13">
        <v>1.5</v>
      </c>
      <c r="R60">
        <f t="shared" si="4"/>
        <v>0.24678666463592946</v>
      </c>
    </row>
    <row r="61" spans="1:19" hidden="1" x14ac:dyDescent="0.2">
      <c r="A61" s="17" t="s">
        <v>314</v>
      </c>
      <c r="B61" s="17">
        <v>2.8033010336778933E-10</v>
      </c>
      <c r="C61" s="17" t="s">
        <v>356</v>
      </c>
      <c r="D61" s="17" t="s">
        <v>56</v>
      </c>
      <c r="E61" s="17" t="s">
        <v>100</v>
      </c>
      <c r="F61" s="17" t="s">
        <v>99</v>
      </c>
      <c r="G61" s="17" t="s">
        <v>356</v>
      </c>
      <c r="I61" s="17">
        <v>2</v>
      </c>
      <c r="J61">
        <f t="shared" si="3"/>
        <v>-21.995053266564799</v>
      </c>
      <c r="K61" s="13">
        <v>1.05</v>
      </c>
      <c r="L61" s="13">
        <v>1.1000000000000001</v>
      </c>
      <c r="M61" s="13">
        <v>1.03</v>
      </c>
      <c r="N61" s="13">
        <v>1.02</v>
      </c>
      <c r="O61" s="13">
        <v>1.2</v>
      </c>
      <c r="P61" s="13">
        <v>1.2</v>
      </c>
      <c r="Q61" s="13">
        <v>1.5</v>
      </c>
      <c r="R61">
        <f t="shared" si="4"/>
        <v>0.24678666463592946</v>
      </c>
    </row>
    <row r="62" spans="1:19" hidden="1" x14ac:dyDescent="0.2">
      <c r="A62" s="17" t="s">
        <v>315</v>
      </c>
      <c r="B62" s="17">
        <v>1.9623639878920949E-5</v>
      </c>
      <c r="C62" s="17" t="s">
        <v>356</v>
      </c>
      <c r="D62" s="17" t="s">
        <v>56</v>
      </c>
      <c r="E62" s="17" t="s">
        <v>100</v>
      </c>
      <c r="F62" s="17" t="s">
        <v>99</v>
      </c>
      <c r="G62" s="17" t="s">
        <v>356</v>
      </c>
      <c r="I62" s="17">
        <v>2</v>
      </c>
      <c r="J62">
        <f t="shared" si="3"/>
        <v>-10.838775602230232</v>
      </c>
      <c r="K62" s="13">
        <v>1.05</v>
      </c>
      <c r="L62" s="13">
        <v>1.1000000000000001</v>
      </c>
      <c r="M62" s="13">
        <v>1.03</v>
      </c>
      <c r="N62" s="13">
        <v>1.02</v>
      </c>
      <c r="O62" s="13">
        <v>1.2</v>
      </c>
      <c r="P62" s="13">
        <v>1.2</v>
      </c>
      <c r="Q62" s="13">
        <v>1.5</v>
      </c>
      <c r="R62">
        <f t="shared" si="4"/>
        <v>0.24678666463592946</v>
      </c>
    </row>
    <row r="63" spans="1:19" hidden="1" x14ac:dyDescent="0.2">
      <c r="A63" s="17" t="s">
        <v>316</v>
      </c>
      <c r="B63" s="17">
        <v>2.6104586734695769</v>
      </c>
      <c r="C63" s="17" t="s">
        <v>356</v>
      </c>
      <c r="D63" s="17" t="s">
        <v>56</v>
      </c>
      <c r="E63" s="17" t="s">
        <v>100</v>
      </c>
      <c r="F63" s="17" t="s">
        <v>99</v>
      </c>
      <c r="G63" s="17" t="s">
        <v>356</v>
      </c>
      <c r="I63" s="17">
        <v>2</v>
      </c>
      <c r="J63">
        <f t="shared" si="3"/>
        <v>0.95952594285619486</v>
      </c>
      <c r="K63" s="13">
        <v>1.05</v>
      </c>
      <c r="L63" s="13">
        <v>1.1000000000000001</v>
      </c>
      <c r="M63" s="13">
        <v>1.03</v>
      </c>
      <c r="N63" s="13">
        <v>1.02</v>
      </c>
      <c r="O63" s="13">
        <v>1.2</v>
      </c>
      <c r="P63" s="13">
        <v>1.2</v>
      </c>
      <c r="Q63" s="13">
        <v>1.05</v>
      </c>
      <c r="R63">
        <f t="shared" si="4"/>
        <v>0.14282258014318117</v>
      </c>
    </row>
    <row r="64" spans="1:19" hidden="1" x14ac:dyDescent="0.2">
      <c r="A64" s="17" t="s">
        <v>317</v>
      </c>
      <c r="B64" s="17">
        <v>5.8870386993587143E-5</v>
      </c>
      <c r="C64" s="17" t="s">
        <v>356</v>
      </c>
      <c r="D64" s="17" t="s">
        <v>56</v>
      </c>
      <c r="E64" s="17" t="s">
        <v>100</v>
      </c>
      <c r="F64" s="17" t="s">
        <v>99</v>
      </c>
      <c r="G64" s="17" t="s">
        <v>356</v>
      </c>
      <c r="I64" s="17">
        <v>2</v>
      </c>
      <c r="J64">
        <f t="shared" si="3"/>
        <v>-9.7401723612479501</v>
      </c>
      <c r="K64" s="13">
        <v>1.05</v>
      </c>
      <c r="L64" s="13">
        <v>1.1000000000000001</v>
      </c>
      <c r="M64" s="13">
        <v>1.03</v>
      </c>
      <c r="N64" s="13">
        <v>1.02</v>
      </c>
      <c r="O64" s="13">
        <v>1.2</v>
      </c>
      <c r="P64" s="13">
        <v>1.2</v>
      </c>
      <c r="Q64" s="13">
        <v>5</v>
      </c>
      <c r="R64">
        <f t="shared" si="4"/>
        <v>0.81693069954794462</v>
      </c>
    </row>
    <row r="65" spans="1:18" hidden="1" x14ac:dyDescent="0.2">
      <c r="A65" s="17" t="s">
        <v>318</v>
      </c>
      <c r="B65" s="17">
        <v>2.8033010336778938E-6</v>
      </c>
      <c r="C65" s="17" t="s">
        <v>356</v>
      </c>
      <c r="D65" s="17" t="s">
        <v>56</v>
      </c>
      <c r="E65" s="17" t="s">
        <v>100</v>
      </c>
      <c r="F65" s="17" t="s">
        <v>99</v>
      </c>
      <c r="G65" s="17" t="s">
        <v>356</v>
      </c>
      <c r="I65" s="17">
        <v>2</v>
      </c>
      <c r="J65">
        <f t="shared" si="3"/>
        <v>-12.784712894588615</v>
      </c>
      <c r="K65" s="13">
        <v>1.05</v>
      </c>
      <c r="L65" s="13">
        <v>1.1000000000000001</v>
      </c>
      <c r="M65" s="13">
        <v>1.03</v>
      </c>
      <c r="N65" s="13">
        <v>1.02</v>
      </c>
      <c r="O65" s="13">
        <v>1.2</v>
      </c>
      <c r="P65" s="13">
        <v>1.2</v>
      </c>
      <c r="Q65" s="13">
        <v>1.5</v>
      </c>
      <c r="R65">
        <f t="shared" si="4"/>
        <v>0.24678666463592946</v>
      </c>
    </row>
    <row r="66" spans="1:18" hidden="1" x14ac:dyDescent="0.2">
      <c r="A66" s="17" t="s">
        <v>319</v>
      </c>
      <c r="B66" s="17">
        <v>2.8033010336778938E-6</v>
      </c>
      <c r="C66" s="17" t="s">
        <v>356</v>
      </c>
      <c r="D66" s="17" t="s">
        <v>56</v>
      </c>
      <c r="E66" s="17" t="s">
        <v>100</v>
      </c>
      <c r="F66" s="17" t="s">
        <v>99</v>
      </c>
      <c r="G66" s="17" t="s">
        <v>356</v>
      </c>
      <c r="I66" s="17">
        <v>2</v>
      </c>
      <c r="J66">
        <f t="shared" si="3"/>
        <v>-12.784712894588615</v>
      </c>
      <c r="K66" s="13">
        <v>1.05</v>
      </c>
      <c r="L66" s="13">
        <v>1.1000000000000001</v>
      </c>
      <c r="M66" s="13">
        <v>1.03</v>
      </c>
      <c r="N66" s="13">
        <v>1.02</v>
      </c>
      <c r="O66" s="13">
        <v>1.2</v>
      </c>
      <c r="P66" s="13">
        <v>1.2</v>
      </c>
      <c r="Q66" s="13">
        <v>1.5</v>
      </c>
      <c r="R66">
        <f t="shared" si="4"/>
        <v>0.24678666463592946</v>
      </c>
    </row>
    <row r="67" spans="1:18" hidden="1" x14ac:dyDescent="0.2">
      <c r="A67" s="17" t="s">
        <v>402</v>
      </c>
      <c r="B67" s="17">
        <v>8.4101694226215283E-10</v>
      </c>
      <c r="C67" s="17" t="s">
        <v>356</v>
      </c>
      <c r="D67" s="17" t="s">
        <v>56</v>
      </c>
      <c r="E67" s="17" t="s">
        <v>100</v>
      </c>
      <c r="F67" s="17" t="s">
        <v>99</v>
      </c>
      <c r="G67" s="17" t="s">
        <v>356</v>
      </c>
      <c r="I67" s="17">
        <v>2</v>
      </c>
      <c r="J67">
        <f t="shared" si="3"/>
        <v>-20.896409310781401</v>
      </c>
      <c r="K67" s="13">
        <v>1.05</v>
      </c>
      <c r="L67" s="13">
        <v>1.1000000000000001</v>
      </c>
      <c r="M67" s="13">
        <v>1.03</v>
      </c>
      <c r="N67" s="13">
        <v>1.02</v>
      </c>
      <c r="O67" s="13">
        <v>1.2</v>
      </c>
      <c r="P67" s="13">
        <v>1.2</v>
      </c>
      <c r="Q67" s="13">
        <v>5</v>
      </c>
      <c r="R67">
        <f t="shared" si="4"/>
        <v>0.81693069954794462</v>
      </c>
    </row>
    <row r="68" spans="1:18" hidden="1" x14ac:dyDescent="0.2">
      <c r="A68" s="17" t="s">
        <v>320</v>
      </c>
      <c r="B68" s="17">
        <v>5.6068683889436346E-5</v>
      </c>
      <c r="C68" s="17" t="s">
        <v>356</v>
      </c>
      <c r="D68" s="17" t="s">
        <v>56</v>
      </c>
      <c r="E68" s="17" t="s">
        <v>100</v>
      </c>
      <c r="F68" s="17" t="s">
        <v>99</v>
      </c>
      <c r="G68" s="17" t="s">
        <v>356</v>
      </c>
      <c r="I68" s="17">
        <v>2</v>
      </c>
      <c r="J68">
        <f t="shared" si="3"/>
        <v>-9.7889331207377381</v>
      </c>
      <c r="K68" s="13">
        <v>1.05</v>
      </c>
      <c r="L68" s="13">
        <v>1.1000000000000001</v>
      </c>
      <c r="M68" s="13">
        <v>1.03</v>
      </c>
      <c r="N68" s="13">
        <v>1.02</v>
      </c>
      <c r="O68" s="13">
        <v>1.2</v>
      </c>
      <c r="P68" s="13">
        <v>1.2</v>
      </c>
      <c r="Q68" s="13">
        <v>1.5</v>
      </c>
      <c r="R68">
        <f t="shared" si="4"/>
        <v>0.24678666463592946</v>
      </c>
    </row>
    <row r="69" spans="1:18" hidden="1" x14ac:dyDescent="0.2">
      <c r="A69" s="17" t="s">
        <v>135</v>
      </c>
      <c r="B69" s="17">
        <v>5.0180313582138397E-4</v>
      </c>
      <c r="C69" s="17" t="s">
        <v>356</v>
      </c>
      <c r="D69" s="17" t="s">
        <v>56</v>
      </c>
      <c r="E69" s="17" t="s">
        <v>100</v>
      </c>
      <c r="F69" s="17" t="s">
        <v>99</v>
      </c>
      <c r="G69" s="17" t="s">
        <v>356</v>
      </c>
      <c r="I69" s="17">
        <v>2</v>
      </c>
      <c r="J69">
        <f t="shared" si="3"/>
        <v>-7.5973026749056354</v>
      </c>
      <c r="K69" s="13">
        <v>1.05</v>
      </c>
      <c r="L69" s="13">
        <v>1.1000000000000001</v>
      </c>
      <c r="M69" s="13">
        <v>1.03</v>
      </c>
      <c r="N69" s="13">
        <v>1.02</v>
      </c>
      <c r="O69" s="13">
        <v>1.2</v>
      </c>
      <c r="P69" s="13">
        <v>1.2</v>
      </c>
      <c r="Q69" s="13">
        <v>1.5</v>
      </c>
      <c r="R69">
        <f t="shared" si="4"/>
        <v>0.24678666463592946</v>
      </c>
    </row>
    <row r="70" spans="1:18" hidden="1" x14ac:dyDescent="0.2">
      <c r="A70" s="17" t="s">
        <v>321</v>
      </c>
      <c r="B70" s="17">
        <v>2.8033010336778935E-7</v>
      </c>
      <c r="C70" s="17" t="s">
        <v>356</v>
      </c>
      <c r="D70" s="17" t="s">
        <v>56</v>
      </c>
      <c r="E70" s="17" t="s">
        <v>100</v>
      </c>
      <c r="F70" s="17" t="s">
        <v>99</v>
      </c>
      <c r="G70" s="17" t="s">
        <v>356</v>
      </c>
      <c r="I70" s="17">
        <v>2</v>
      </c>
      <c r="J70">
        <f t="shared" si="3"/>
        <v>-15.08729798758266</v>
      </c>
      <c r="K70" s="13">
        <v>1.05</v>
      </c>
      <c r="L70" s="13">
        <v>1.1000000000000001</v>
      </c>
      <c r="M70" s="13">
        <v>1.03</v>
      </c>
      <c r="N70" s="13">
        <v>1.02</v>
      </c>
      <c r="O70" s="13">
        <v>1.2</v>
      </c>
      <c r="P70" s="13">
        <v>1.2</v>
      </c>
      <c r="Q70" s="13">
        <v>3</v>
      </c>
      <c r="R70">
        <f t="shared" si="4"/>
        <v>0.56704533290732662</v>
      </c>
    </row>
    <row r="71" spans="1:18" hidden="1" x14ac:dyDescent="0.2">
      <c r="A71" s="17" t="s">
        <v>403</v>
      </c>
      <c r="B71" s="17">
        <v>5.6068683889436342E-6</v>
      </c>
      <c r="C71" s="17" t="s">
        <v>356</v>
      </c>
      <c r="D71" s="17" t="s">
        <v>56</v>
      </c>
      <c r="E71" s="17" t="s">
        <v>100</v>
      </c>
      <c r="F71" s="17" t="s">
        <v>99</v>
      </c>
      <c r="G71" s="17" t="s">
        <v>356</v>
      </c>
      <c r="I71" s="17">
        <v>2</v>
      </c>
      <c r="J71">
        <f t="shared" si="3"/>
        <v>-12.091518213731785</v>
      </c>
      <c r="K71" s="13">
        <v>1.05</v>
      </c>
      <c r="L71" s="13">
        <v>1.1000000000000001</v>
      </c>
      <c r="M71" s="13">
        <v>1.03</v>
      </c>
      <c r="N71" s="13">
        <v>1.02</v>
      </c>
      <c r="O71" s="13">
        <v>1.2</v>
      </c>
      <c r="P71" s="13">
        <v>1.2</v>
      </c>
      <c r="Q71" s="13">
        <v>3</v>
      </c>
      <c r="R71">
        <f t="shared" si="4"/>
        <v>0.56704533290732662</v>
      </c>
    </row>
    <row r="72" spans="1:18" hidden="1" x14ac:dyDescent="0.2">
      <c r="A72" s="17" t="s">
        <v>322</v>
      </c>
      <c r="B72" s="17">
        <v>3.3641742976837502E-5</v>
      </c>
      <c r="C72" s="17" t="s">
        <v>356</v>
      </c>
      <c r="D72" s="17" t="s">
        <v>56</v>
      </c>
      <c r="E72" s="17" t="s">
        <v>100</v>
      </c>
      <c r="F72" s="17" t="s">
        <v>99</v>
      </c>
      <c r="G72" s="17" t="s">
        <v>356</v>
      </c>
      <c r="I72" s="17">
        <v>2</v>
      </c>
      <c r="J72">
        <f t="shared" si="3"/>
        <v>-10.299742911572816</v>
      </c>
      <c r="K72" s="13">
        <v>1.05</v>
      </c>
      <c r="L72" s="13">
        <v>1.1000000000000001</v>
      </c>
      <c r="M72" s="13">
        <v>1.03</v>
      </c>
      <c r="N72" s="13">
        <v>1.02</v>
      </c>
      <c r="O72" s="13">
        <v>1.2</v>
      </c>
      <c r="P72" s="13">
        <v>1.2</v>
      </c>
      <c r="Q72" s="13">
        <v>1.5</v>
      </c>
      <c r="R72">
        <f t="shared" si="4"/>
        <v>0.24678666463592946</v>
      </c>
    </row>
    <row r="73" spans="1:18" hidden="1" x14ac:dyDescent="0.2">
      <c r="A73" s="17" t="s">
        <v>323</v>
      </c>
      <c r="B73" s="17">
        <v>5.6068683889436342E-6</v>
      </c>
      <c r="C73" s="17" t="s">
        <v>356</v>
      </c>
      <c r="D73" s="17" t="s">
        <v>56</v>
      </c>
      <c r="E73" s="17" t="s">
        <v>100</v>
      </c>
      <c r="F73" s="17" t="s">
        <v>99</v>
      </c>
      <c r="G73" s="17" t="s">
        <v>356</v>
      </c>
      <c r="I73" s="17">
        <v>2</v>
      </c>
      <c r="J73">
        <f t="shared" si="3"/>
        <v>-12.091518213731785</v>
      </c>
      <c r="K73" s="13">
        <v>1.05</v>
      </c>
      <c r="L73" s="13">
        <v>1.1000000000000001</v>
      </c>
      <c r="M73" s="13">
        <v>1.03</v>
      </c>
      <c r="N73" s="13">
        <v>1.02</v>
      </c>
      <c r="O73" s="13">
        <v>1.2</v>
      </c>
      <c r="P73" s="13">
        <v>1.2</v>
      </c>
      <c r="Q73" s="13">
        <v>1.5</v>
      </c>
      <c r="R73">
        <f t="shared" si="4"/>
        <v>0.24678666463592946</v>
      </c>
    </row>
    <row r="74" spans="1:18" hidden="1" x14ac:dyDescent="0.2">
      <c r="A74" s="17" t="s">
        <v>324</v>
      </c>
      <c r="B74" s="17">
        <v>5.6068683889436334E-7</v>
      </c>
      <c r="C74" s="17" t="s">
        <v>356</v>
      </c>
      <c r="D74" s="17" t="s">
        <v>56</v>
      </c>
      <c r="E74" s="17" t="s">
        <v>100</v>
      </c>
      <c r="F74" s="17" t="s">
        <v>99</v>
      </c>
      <c r="G74" s="17" t="s">
        <v>356</v>
      </c>
      <c r="I74" s="17">
        <v>2</v>
      </c>
      <c r="J74">
        <f t="shared" si="3"/>
        <v>-14.39410330672583</v>
      </c>
      <c r="K74" s="13">
        <v>1.05</v>
      </c>
      <c r="L74" s="13">
        <v>1.1000000000000001</v>
      </c>
      <c r="M74" s="13">
        <v>1.03</v>
      </c>
      <c r="N74" s="13">
        <v>1.02</v>
      </c>
      <c r="O74" s="13">
        <v>1.2</v>
      </c>
      <c r="P74" s="13">
        <v>1.2</v>
      </c>
      <c r="Q74" s="13">
        <v>1.5</v>
      </c>
      <c r="R74">
        <f t="shared" si="4"/>
        <v>0.24678666463592946</v>
      </c>
    </row>
    <row r="75" spans="1:18" hidden="1" x14ac:dyDescent="0.2">
      <c r="A75" s="17" t="s">
        <v>325</v>
      </c>
      <c r="B75" s="17">
        <v>1.5418688328404109E-5</v>
      </c>
      <c r="C75" s="17" t="s">
        <v>356</v>
      </c>
      <c r="D75" s="17" t="s">
        <v>56</v>
      </c>
      <c r="E75" s="17" t="s">
        <v>100</v>
      </c>
      <c r="F75" s="17" t="s">
        <v>99</v>
      </c>
      <c r="G75" s="17" t="s">
        <v>356</v>
      </c>
      <c r="I75" s="17">
        <v>2</v>
      </c>
      <c r="J75">
        <f t="shared" si="3"/>
        <v>-11.079930256455967</v>
      </c>
      <c r="K75" s="13">
        <v>1.05</v>
      </c>
      <c r="L75" s="13">
        <v>1.1000000000000001</v>
      </c>
      <c r="M75" s="13">
        <v>1.03</v>
      </c>
      <c r="N75" s="13">
        <v>1.02</v>
      </c>
      <c r="O75" s="13">
        <v>1.2</v>
      </c>
      <c r="P75" s="13">
        <v>1.2</v>
      </c>
      <c r="Q75" s="13">
        <v>1.05</v>
      </c>
      <c r="R75">
        <f t="shared" si="4"/>
        <v>0.14282258014318117</v>
      </c>
    </row>
    <row r="76" spans="1:18" hidden="1" x14ac:dyDescent="0.2">
      <c r="A76" s="17" t="s">
        <v>326</v>
      </c>
      <c r="B76" s="17">
        <v>5.6068683889436342E-6</v>
      </c>
      <c r="C76" s="17" t="s">
        <v>356</v>
      </c>
      <c r="D76" s="17" t="s">
        <v>56</v>
      </c>
      <c r="E76" s="17" t="s">
        <v>100</v>
      </c>
      <c r="F76" s="17" t="s">
        <v>99</v>
      </c>
      <c r="G76" s="17" t="s">
        <v>356</v>
      </c>
      <c r="I76" s="17">
        <v>2</v>
      </c>
      <c r="J76">
        <f t="shared" si="3"/>
        <v>-12.091518213731785</v>
      </c>
      <c r="K76" s="13">
        <v>1.05</v>
      </c>
      <c r="L76" s="13">
        <v>1.1000000000000001</v>
      </c>
      <c r="M76" s="13">
        <v>1.03</v>
      </c>
      <c r="N76" s="13">
        <v>1.02</v>
      </c>
      <c r="O76" s="13">
        <v>1.2</v>
      </c>
      <c r="P76" s="13">
        <v>1.2</v>
      </c>
      <c r="Q76" s="13">
        <v>1.5</v>
      </c>
      <c r="R76">
        <f t="shared" si="4"/>
        <v>0.24678666463592946</v>
      </c>
    </row>
    <row r="77" spans="1:18" hidden="1" x14ac:dyDescent="0.2">
      <c r="A77" s="17" t="s">
        <v>327</v>
      </c>
      <c r="B77" s="17">
        <v>0.38033800779618782</v>
      </c>
      <c r="D77" s="17" t="s">
        <v>120</v>
      </c>
      <c r="E77" s="17" t="s">
        <v>328</v>
      </c>
      <c r="F77" s="17" t="s">
        <v>99</v>
      </c>
      <c r="I77" s="17">
        <v>2</v>
      </c>
      <c r="J77">
        <f t="shared" si="3"/>
        <v>-0.96669492742674479</v>
      </c>
      <c r="K77" s="13">
        <v>1.05</v>
      </c>
      <c r="L77" s="13">
        <v>1.1000000000000001</v>
      </c>
      <c r="M77" s="13">
        <v>1.03</v>
      </c>
      <c r="N77" s="13">
        <v>1.02</v>
      </c>
      <c r="O77" s="13">
        <v>1.2</v>
      </c>
      <c r="P77" s="13">
        <v>1.2</v>
      </c>
      <c r="Q77" s="13">
        <v>1.05</v>
      </c>
      <c r="R77">
        <f t="shared" si="4"/>
        <v>0.14282258014318117</v>
      </c>
    </row>
    <row r="78" spans="1:18" hidden="1" x14ac:dyDescent="0.2">
      <c r="A78" s="17" t="s">
        <v>1224</v>
      </c>
      <c r="B78" s="17">
        <v>6.1611670196058146</v>
      </c>
      <c r="C78" s="17" t="s">
        <v>64</v>
      </c>
      <c r="D78" s="17" t="s">
        <v>56</v>
      </c>
      <c r="F78" s="17" t="s">
        <v>86</v>
      </c>
      <c r="G78" s="17" t="s">
        <v>1250</v>
      </c>
      <c r="I78" s="17">
        <v>2</v>
      </c>
      <c r="J78">
        <f t="shared" si="3"/>
        <v>1.8182662108365197</v>
      </c>
      <c r="K78" s="13">
        <v>1.05</v>
      </c>
      <c r="L78" s="13">
        <v>1.1000000000000001</v>
      </c>
      <c r="M78" s="13">
        <v>1.03</v>
      </c>
      <c r="N78" s="13">
        <v>1.02</v>
      </c>
      <c r="O78" s="13">
        <v>1.2</v>
      </c>
      <c r="P78" s="13">
        <v>1.2</v>
      </c>
      <c r="Q78">
        <v>1.05</v>
      </c>
      <c r="R78">
        <f t="shared" si="4"/>
        <v>0.14282258014318117</v>
      </c>
    </row>
    <row r="79" spans="1:18" hidden="1" x14ac:dyDescent="0.2">
      <c r="A79" s="17" t="s">
        <v>237</v>
      </c>
      <c r="B79" s="17">
        <v>5.347707144163827E-10</v>
      </c>
      <c r="C79" s="17" t="s">
        <v>90</v>
      </c>
      <c r="D79" s="17" t="s">
        <v>55</v>
      </c>
      <c r="F79" s="17" t="s">
        <v>86</v>
      </c>
      <c r="G79" s="17" t="s">
        <v>238</v>
      </c>
      <c r="I79" s="17">
        <v>2</v>
      </c>
      <c r="J79">
        <f t="shared" si="3"/>
        <v>-21.34918303207975</v>
      </c>
      <c r="K79" s="13">
        <v>1.05</v>
      </c>
      <c r="L79" s="13">
        <v>1.1000000000000001</v>
      </c>
      <c r="M79" s="13">
        <v>1.03</v>
      </c>
      <c r="N79" s="13">
        <v>1.02</v>
      </c>
      <c r="O79" s="13">
        <v>1.2</v>
      </c>
      <c r="P79" s="13">
        <v>1.2</v>
      </c>
      <c r="Q79">
        <v>3</v>
      </c>
      <c r="R79">
        <f t="shared" si="4"/>
        <v>0.56704533290732662</v>
      </c>
    </row>
    <row r="80" spans="1:18" hidden="1" x14ac:dyDescent="0.2">
      <c r="A80" s="17" t="s">
        <v>329</v>
      </c>
      <c r="B80" s="17">
        <v>5.3272799999999989E-4</v>
      </c>
      <c r="C80" s="17" t="s">
        <v>330</v>
      </c>
      <c r="D80" s="17" t="s">
        <v>56</v>
      </c>
      <c r="F80" s="17" t="s">
        <v>86</v>
      </c>
      <c r="G80" s="17" t="s">
        <v>331</v>
      </c>
      <c r="I80" s="17">
        <v>2</v>
      </c>
      <c r="J80">
        <f t="shared" si="3"/>
        <v>-7.5374995830048048</v>
      </c>
      <c r="K80" s="13">
        <v>1.05</v>
      </c>
      <c r="L80" s="13">
        <v>1.1000000000000001</v>
      </c>
      <c r="M80" s="13">
        <v>1.03</v>
      </c>
      <c r="N80" s="13">
        <v>1.02</v>
      </c>
      <c r="O80" s="13">
        <v>1.2</v>
      </c>
      <c r="P80" s="13">
        <v>1.2</v>
      </c>
      <c r="Q80">
        <v>1.05</v>
      </c>
      <c r="R80">
        <f t="shared" si="4"/>
        <v>0.14282258014318117</v>
      </c>
    </row>
    <row r="81" spans="1:19" hidden="1" x14ac:dyDescent="0.2">
      <c r="A81" s="17" t="s">
        <v>332</v>
      </c>
      <c r="B81" s="17">
        <v>3.6000000000000001E-5</v>
      </c>
      <c r="C81" s="17" t="s">
        <v>85</v>
      </c>
      <c r="D81" s="17" t="s">
        <v>56</v>
      </c>
      <c r="F81" s="17" t="s">
        <v>86</v>
      </c>
      <c r="G81" s="17" t="s">
        <v>333</v>
      </c>
      <c r="I81" s="17">
        <v>2</v>
      </c>
      <c r="J81">
        <f t="shared" si="3"/>
        <v>-10.231991619508165</v>
      </c>
      <c r="K81" s="13">
        <v>1.05</v>
      </c>
      <c r="L81" s="13">
        <v>1.1000000000000001</v>
      </c>
      <c r="M81" s="13">
        <v>1.03</v>
      </c>
      <c r="N81" s="13">
        <v>1.02</v>
      </c>
      <c r="O81" s="13">
        <v>1.2</v>
      </c>
      <c r="P81" s="13">
        <v>1.2</v>
      </c>
      <c r="Q81">
        <v>1.05</v>
      </c>
      <c r="R81">
        <f t="shared" si="4"/>
        <v>0.14282258014318117</v>
      </c>
    </row>
    <row r="82" spans="1:19" hidden="1" x14ac:dyDescent="0.2">
      <c r="A82" s="17" t="s">
        <v>334</v>
      </c>
      <c r="B82" s="17">
        <v>3.6239999999999997E-4</v>
      </c>
      <c r="C82" s="17" t="s">
        <v>85</v>
      </c>
      <c r="D82" s="17" t="s">
        <v>56</v>
      </c>
      <c r="F82" s="17" t="s">
        <v>86</v>
      </c>
      <c r="G82" s="17" t="s">
        <v>335</v>
      </c>
      <c r="I82" s="17">
        <v>2</v>
      </c>
      <c r="J82">
        <f t="shared" si="3"/>
        <v>-7.9227619837954499</v>
      </c>
      <c r="K82" s="13">
        <v>1.05</v>
      </c>
      <c r="L82" s="13">
        <v>1.1000000000000001</v>
      </c>
      <c r="M82" s="13">
        <v>1.03</v>
      </c>
      <c r="N82" s="13">
        <v>1.02</v>
      </c>
      <c r="O82" s="13">
        <v>1.2</v>
      </c>
      <c r="P82" s="13">
        <v>1.2</v>
      </c>
      <c r="Q82">
        <v>1.05</v>
      </c>
      <c r="R82">
        <f t="shared" si="4"/>
        <v>0.14282258014318117</v>
      </c>
    </row>
    <row r="83" spans="1:19" hidden="1" x14ac:dyDescent="0.2">
      <c r="A83" s="17" t="s">
        <v>357</v>
      </c>
      <c r="B83" s="17">
        <v>2.0947967866659771E-4</v>
      </c>
      <c r="C83" s="17" t="s">
        <v>85</v>
      </c>
      <c r="D83" s="17" t="s">
        <v>56</v>
      </c>
      <c r="F83" s="17" t="s">
        <v>86</v>
      </c>
      <c r="G83" s="17" t="s">
        <v>358</v>
      </c>
      <c r="I83" s="17">
        <v>2</v>
      </c>
      <c r="J83">
        <f t="shared" si="3"/>
        <v>-8.4708838225115937</v>
      </c>
      <c r="K83" s="13">
        <v>1.05</v>
      </c>
      <c r="L83" s="13">
        <v>1.1000000000000001</v>
      </c>
      <c r="M83" s="13">
        <v>1.03</v>
      </c>
      <c r="N83" s="13">
        <v>1.02</v>
      </c>
      <c r="O83" s="13">
        <v>1.2</v>
      </c>
      <c r="P83" s="13">
        <v>1.2</v>
      </c>
      <c r="Q83">
        <v>1.05</v>
      </c>
      <c r="R83">
        <f t="shared" si="4"/>
        <v>0.14282258014318117</v>
      </c>
    </row>
    <row r="84" spans="1:19" hidden="1" x14ac:dyDescent="0.2">
      <c r="A84" s="17" t="s">
        <v>336</v>
      </c>
      <c r="B84" s="17">
        <v>2.54628E-9</v>
      </c>
      <c r="C84" s="17" t="s">
        <v>85</v>
      </c>
      <c r="D84" s="17" t="s">
        <v>55</v>
      </c>
      <c r="F84" s="17" t="s">
        <v>86</v>
      </c>
      <c r="G84" s="17" t="s">
        <v>337</v>
      </c>
      <c r="I84" s="17">
        <v>2</v>
      </c>
      <c r="J84">
        <f t="shared" si="3"/>
        <v>-19.78863236642454</v>
      </c>
      <c r="K84" s="13">
        <v>1.05</v>
      </c>
      <c r="L84" s="13">
        <v>1.1000000000000001</v>
      </c>
      <c r="M84" s="13">
        <v>1.03</v>
      </c>
      <c r="N84" s="13">
        <v>1.02</v>
      </c>
      <c r="O84" s="13">
        <v>1.2</v>
      </c>
      <c r="P84" s="13">
        <v>1.2</v>
      </c>
      <c r="Q84">
        <v>3</v>
      </c>
      <c r="R84">
        <f t="shared" si="4"/>
        <v>0.56704533290732662</v>
      </c>
    </row>
    <row r="85" spans="1:19" hidden="1" x14ac:dyDescent="0.2">
      <c r="A85" s="17" t="s">
        <v>338</v>
      </c>
      <c r="B85" s="17">
        <v>2.796E-5</v>
      </c>
      <c r="C85" s="17" t="s">
        <v>85</v>
      </c>
      <c r="D85" s="17" t="s">
        <v>56</v>
      </c>
      <c r="F85" s="17" t="s">
        <v>86</v>
      </c>
      <c r="G85" s="17" t="s">
        <v>339</v>
      </c>
      <c r="I85" s="17">
        <v>2</v>
      </c>
      <c r="J85">
        <f t="shared" si="3"/>
        <v>-10.484735640598664</v>
      </c>
      <c r="K85" s="13">
        <v>1.05</v>
      </c>
      <c r="L85" s="13">
        <v>1.1000000000000001</v>
      </c>
      <c r="M85" s="13">
        <v>1.03</v>
      </c>
      <c r="N85" s="13">
        <v>1.02</v>
      </c>
      <c r="O85" s="13">
        <v>1.2</v>
      </c>
      <c r="P85" s="13">
        <v>1.2</v>
      </c>
      <c r="Q85">
        <v>1.05</v>
      </c>
      <c r="R85">
        <f t="shared" si="4"/>
        <v>0.14282258014318117</v>
      </c>
    </row>
    <row r="86" spans="1:19" hidden="1" x14ac:dyDescent="0.2">
      <c r="A86" s="17" t="s">
        <v>340</v>
      </c>
      <c r="B86" s="17">
        <v>1.668E-5</v>
      </c>
      <c r="C86" s="17" t="s">
        <v>85</v>
      </c>
      <c r="D86" s="17" t="s">
        <v>56</v>
      </c>
      <c r="F86" s="17" t="s">
        <v>86</v>
      </c>
      <c r="G86" s="17" t="s">
        <v>341</v>
      </c>
      <c r="I86" s="17">
        <v>2</v>
      </c>
      <c r="J86">
        <f t="shared" si="3"/>
        <v>-11.001300161033674</v>
      </c>
      <c r="K86" s="13">
        <v>1.05</v>
      </c>
      <c r="L86" s="13">
        <v>1.1000000000000001</v>
      </c>
      <c r="M86" s="13">
        <v>1.03</v>
      </c>
      <c r="N86" s="13">
        <v>1.02</v>
      </c>
      <c r="O86" s="13">
        <v>1.2</v>
      </c>
      <c r="P86" s="13">
        <v>1.2</v>
      </c>
      <c r="Q86">
        <v>1.05</v>
      </c>
      <c r="R86">
        <f t="shared" si="4"/>
        <v>0.14282258014318117</v>
      </c>
    </row>
    <row r="87" spans="1:19" hidden="1" x14ac:dyDescent="0.2">
      <c r="A87" s="17" t="s">
        <v>342</v>
      </c>
      <c r="B87" s="17">
        <v>2.0292014459767036E-4</v>
      </c>
      <c r="C87" s="17" t="s">
        <v>85</v>
      </c>
      <c r="D87" s="17" t="s">
        <v>56</v>
      </c>
      <c r="F87" s="17" t="s">
        <v>86</v>
      </c>
      <c r="G87" s="17" t="s">
        <v>343</v>
      </c>
      <c r="I87" s="17">
        <v>2</v>
      </c>
      <c r="J87">
        <f t="shared" si="3"/>
        <v>-8.5026980326814225</v>
      </c>
      <c r="K87" s="13">
        <v>1.05</v>
      </c>
      <c r="L87" s="13">
        <v>1.1000000000000001</v>
      </c>
      <c r="M87" s="13">
        <v>1.03</v>
      </c>
      <c r="N87" s="13">
        <v>1.02</v>
      </c>
      <c r="O87" s="13">
        <v>1.2</v>
      </c>
      <c r="P87" s="13">
        <v>1.2</v>
      </c>
      <c r="Q87">
        <v>1.05</v>
      </c>
      <c r="R87">
        <f t="shared" si="4"/>
        <v>0.14282258014318117</v>
      </c>
    </row>
    <row r="88" spans="1:19" hidden="1" x14ac:dyDescent="0.2">
      <c r="A88" s="17" t="s">
        <v>344</v>
      </c>
      <c r="B88" s="17">
        <v>3.1235999999999997E-4</v>
      </c>
      <c r="C88" s="17" t="s">
        <v>85</v>
      </c>
      <c r="D88" s="17" t="s">
        <v>56</v>
      </c>
      <c r="F88" s="17" t="s">
        <v>86</v>
      </c>
      <c r="G88" s="17" t="s">
        <v>345</v>
      </c>
      <c r="I88" s="17">
        <v>2</v>
      </c>
      <c r="J88">
        <f t="shared" si="3"/>
        <v>-8.0713541891697993</v>
      </c>
      <c r="K88" s="13">
        <v>1.05</v>
      </c>
      <c r="L88" s="13">
        <v>1.1000000000000001</v>
      </c>
      <c r="M88" s="13">
        <v>1.03</v>
      </c>
      <c r="N88" s="13">
        <v>1.02</v>
      </c>
      <c r="O88" s="13">
        <v>1.2</v>
      </c>
      <c r="P88" s="13">
        <v>1.2</v>
      </c>
      <c r="Q88">
        <v>1.05</v>
      </c>
      <c r="R88">
        <f t="shared" si="4"/>
        <v>0.14282258014318117</v>
      </c>
    </row>
    <row r="89" spans="1:19" hidden="1" x14ac:dyDescent="0.2">
      <c r="A89" s="17" t="s">
        <v>346</v>
      </c>
      <c r="B89" s="17">
        <v>4.8000000000000001E-5</v>
      </c>
      <c r="C89" s="17" t="s">
        <v>90</v>
      </c>
      <c r="D89" s="17" t="s">
        <v>56</v>
      </c>
      <c r="F89" s="17" t="s">
        <v>86</v>
      </c>
      <c r="G89" s="17" t="s">
        <v>347</v>
      </c>
      <c r="I89" s="17">
        <v>2</v>
      </c>
      <c r="J89">
        <f t="shared" si="3"/>
        <v>-9.9443095470563829</v>
      </c>
      <c r="K89" s="13">
        <v>1.05</v>
      </c>
      <c r="L89" s="13">
        <v>1.1000000000000001</v>
      </c>
      <c r="M89" s="13">
        <v>1.03</v>
      </c>
      <c r="N89" s="13">
        <v>1.02</v>
      </c>
      <c r="O89" s="13">
        <v>1.2</v>
      </c>
      <c r="P89" s="13">
        <v>1.2</v>
      </c>
      <c r="Q89">
        <v>1.05</v>
      </c>
      <c r="R89">
        <f t="shared" si="4"/>
        <v>0.14282258014318117</v>
      </c>
    </row>
    <row r="90" spans="1:19" hidden="1" x14ac:dyDescent="0.2">
      <c r="A90" s="17" t="s">
        <v>170</v>
      </c>
      <c r="B90" s="17">
        <v>1.1591999999999998E-5</v>
      </c>
      <c r="C90" s="17" t="s">
        <v>85</v>
      </c>
      <c r="D90" s="17" t="s">
        <v>56</v>
      </c>
      <c r="F90" s="17" t="s">
        <v>86</v>
      </c>
      <c r="G90" s="17" t="s">
        <v>171</v>
      </c>
      <c r="I90" s="17">
        <v>2</v>
      </c>
      <c r="J90">
        <f t="shared" si="3"/>
        <v>-11.365195352945893</v>
      </c>
      <c r="K90" s="13">
        <v>1.05</v>
      </c>
      <c r="L90" s="13">
        <v>1.1000000000000001</v>
      </c>
      <c r="M90" s="13">
        <v>1.03</v>
      </c>
      <c r="N90" s="13">
        <v>1.02</v>
      </c>
      <c r="O90" s="13">
        <v>1.2</v>
      </c>
      <c r="P90" s="13">
        <v>1.2</v>
      </c>
      <c r="Q90">
        <v>1.05</v>
      </c>
      <c r="R90">
        <f t="shared" si="4"/>
        <v>0.14282258014318117</v>
      </c>
    </row>
    <row r="91" spans="1:19" hidden="1" x14ac:dyDescent="0.2">
      <c r="A91" s="17" t="s">
        <v>95</v>
      </c>
      <c r="B91" s="17">
        <v>7.5375498599112571</v>
      </c>
      <c r="C91" s="17" t="s">
        <v>96</v>
      </c>
      <c r="D91" s="17" t="s">
        <v>56</v>
      </c>
      <c r="F91" s="17" t="s">
        <v>86</v>
      </c>
      <c r="G91" s="17" t="s">
        <v>97</v>
      </c>
      <c r="I91" s="17">
        <v>2</v>
      </c>
      <c r="J91">
        <f t="shared" si="3"/>
        <v>2.0198971769450251</v>
      </c>
      <c r="K91" s="13">
        <v>1.05</v>
      </c>
      <c r="L91" s="13">
        <v>1.1000000000000001</v>
      </c>
      <c r="M91" s="13">
        <v>1.03</v>
      </c>
      <c r="N91" s="13">
        <v>1.02</v>
      </c>
      <c r="O91" s="13">
        <v>1.2</v>
      </c>
      <c r="P91" s="13">
        <v>1.2</v>
      </c>
      <c r="Q91">
        <v>1.05</v>
      </c>
      <c r="R91">
        <f t="shared" si="4"/>
        <v>0.14282258014318117</v>
      </c>
    </row>
    <row r="92" spans="1:19" hidden="1" x14ac:dyDescent="0.2">
      <c r="A92" s="17" t="s">
        <v>348</v>
      </c>
      <c r="B92" s="17">
        <v>8.8290154606725723E-4</v>
      </c>
      <c r="C92" s="17" t="s">
        <v>85</v>
      </c>
      <c r="D92" s="17" t="s">
        <v>56</v>
      </c>
      <c r="F92" s="17" t="s">
        <v>86</v>
      </c>
      <c r="G92" s="17" t="s">
        <v>349</v>
      </c>
      <c r="I92" s="17">
        <v>2</v>
      </c>
      <c r="J92">
        <f t="shared" si="3"/>
        <v>-7.0322968629344089</v>
      </c>
      <c r="K92" s="13">
        <v>1.05</v>
      </c>
      <c r="L92" s="13">
        <v>1.1000000000000001</v>
      </c>
      <c r="M92" s="13">
        <v>1.03</v>
      </c>
      <c r="N92" s="13">
        <v>1.02</v>
      </c>
      <c r="O92" s="13">
        <v>1.2</v>
      </c>
      <c r="P92" s="13">
        <v>1.2</v>
      </c>
      <c r="Q92">
        <v>1.05</v>
      </c>
      <c r="R92">
        <f t="shared" si="4"/>
        <v>0.14282258014318117</v>
      </c>
    </row>
    <row r="93" spans="1:19" hidden="1" x14ac:dyDescent="0.2">
      <c r="A93" s="17" t="s">
        <v>350</v>
      </c>
      <c r="B93" s="17">
        <v>3.7140000000000003E-4</v>
      </c>
      <c r="C93" s="17" t="s">
        <v>85</v>
      </c>
      <c r="D93" s="17" t="s">
        <v>56</v>
      </c>
      <c r="F93" s="17" t="s">
        <v>86</v>
      </c>
      <c r="G93" s="17" t="s">
        <v>351</v>
      </c>
      <c r="I93" s="17">
        <v>2</v>
      </c>
      <c r="J93">
        <f t="shared" si="3"/>
        <v>-7.8982309090456688</v>
      </c>
      <c r="K93" s="13">
        <v>1.05</v>
      </c>
      <c r="L93" s="13">
        <v>1.1000000000000001</v>
      </c>
      <c r="M93" s="13">
        <v>1.03</v>
      </c>
      <c r="N93" s="13">
        <v>1.02</v>
      </c>
      <c r="O93" s="13">
        <v>1.2</v>
      </c>
      <c r="P93" s="13">
        <v>1.2</v>
      </c>
      <c r="Q93">
        <v>1.05</v>
      </c>
      <c r="R93">
        <f t="shared" si="4"/>
        <v>0.14282258014318117</v>
      </c>
    </row>
    <row r="94" spans="1:19" hidden="1" x14ac:dyDescent="0.2">
      <c r="A94" s="17" t="s">
        <v>352</v>
      </c>
      <c r="B94" s="17">
        <v>-0.56116062779246523</v>
      </c>
      <c r="C94" s="17" t="s">
        <v>90</v>
      </c>
      <c r="D94" s="17" t="s">
        <v>92</v>
      </c>
      <c r="F94" s="17" t="s">
        <v>86</v>
      </c>
      <c r="G94" s="17" t="s">
        <v>353</v>
      </c>
      <c r="I94" s="17">
        <v>2</v>
      </c>
      <c r="J94">
        <f>LN(B94*-1)</f>
        <v>-0.5777480903916089</v>
      </c>
      <c r="K94" s="13">
        <v>1.05</v>
      </c>
      <c r="L94" s="13">
        <v>1.1000000000000001</v>
      </c>
      <c r="M94" s="13">
        <v>1.03</v>
      </c>
      <c r="N94" s="13">
        <v>1.02</v>
      </c>
      <c r="O94" s="13">
        <v>1.2</v>
      </c>
      <c r="P94" s="13">
        <v>1.2</v>
      </c>
      <c r="Q94">
        <v>1.05</v>
      </c>
      <c r="R94">
        <f>LN(SQRT(EXP(
SQRT(
+POWER(LN(K94),2)
+POWER(LN(L94),2)
+POWER(LN(M94),2)
+POWER(LN(N94),2)
+POWER(LN(O94),2)
+POWER(LN(P94),2)
+POWER(LN(Q94),2)
)
)))</f>
        <v>0.14282258014318117</v>
      </c>
      <c r="S94" s="17" t="b">
        <v>1</v>
      </c>
    </row>
    <row r="95" spans="1:19" hidden="1" x14ac:dyDescent="0.2">
      <c r="A95" s="17" t="s">
        <v>361</v>
      </c>
      <c r="B95" s="17">
        <f>(B50*120)/36</f>
        <v>4.3011681308121101</v>
      </c>
      <c r="C95" s="17" t="s">
        <v>64</v>
      </c>
      <c r="D95" s="17" t="s">
        <v>120</v>
      </c>
      <c r="F95" s="17" t="s">
        <v>86</v>
      </c>
      <c r="G95" s="17" t="s">
        <v>354</v>
      </c>
      <c r="I95" s="17">
        <v>2</v>
      </c>
      <c r="J95">
        <f>LN(B95)</f>
        <v>1.458886644135472</v>
      </c>
      <c r="K95" s="13">
        <v>1.05</v>
      </c>
      <c r="L95" s="13">
        <v>1.1000000000000001</v>
      </c>
      <c r="M95" s="13">
        <v>1.03</v>
      </c>
      <c r="N95" s="13">
        <v>1.02</v>
      </c>
      <c r="O95" s="13">
        <v>1.2</v>
      </c>
      <c r="P95" s="13">
        <v>1.2</v>
      </c>
      <c r="Q95">
        <v>1.05</v>
      </c>
      <c r="R95">
        <f t="shared" si="4"/>
        <v>0.14282258014318117</v>
      </c>
    </row>
    <row r="96" spans="1:19" hidden="1" x14ac:dyDescent="0.2">
      <c r="Q96" s="17"/>
    </row>
    <row r="97" spans="1:19" hidden="1" x14ac:dyDescent="0.2">
      <c r="A97" s="18" t="s">
        <v>50</v>
      </c>
      <c r="B97" s="18" t="s">
        <v>362</v>
      </c>
      <c r="Q97" s="17"/>
    </row>
    <row r="98" spans="1:19" hidden="1" x14ac:dyDescent="0.2">
      <c r="A98" s="17" t="s">
        <v>310</v>
      </c>
      <c r="B98" s="17">
        <v>1.3108706331708271</v>
      </c>
      <c r="Q98" s="17"/>
    </row>
    <row r="99" spans="1:19" hidden="1" x14ac:dyDescent="0.2">
      <c r="A99" s="17" t="s">
        <v>52</v>
      </c>
      <c r="B99" s="17" t="s">
        <v>64</v>
      </c>
      <c r="Q99" s="17"/>
    </row>
    <row r="100" spans="1:19" hidden="1" x14ac:dyDescent="0.2">
      <c r="A100" s="17" t="s">
        <v>54</v>
      </c>
      <c r="B100" s="17" t="s">
        <v>132</v>
      </c>
      <c r="Q100" s="17"/>
    </row>
    <row r="101" spans="1:19" hidden="1" x14ac:dyDescent="0.2">
      <c r="A101" s="17" t="s">
        <v>55</v>
      </c>
      <c r="B101" s="17" t="s">
        <v>56</v>
      </c>
      <c r="Q101" s="17"/>
    </row>
    <row r="102" spans="1:19" hidden="1" x14ac:dyDescent="0.2">
      <c r="A102" s="17" t="s">
        <v>51</v>
      </c>
      <c r="B102" s="17" t="s">
        <v>1066</v>
      </c>
      <c r="Q102" s="17"/>
    </row>
    <row r="103" spans="1:19" hidden="1" x14ac:dyDescent="0.2">
      <c r="A103" s="18" t="s">
        <v>57</v>
      </c>
      <c r="Q103" s="17"/>
    </row>
    <row r="104" spans="1:19" hidden="1" x14ac:dyDescent="0.2">
      <c r="A104" s="18" t="s">
        <v>58</v>
      </c>
      <c r="B104" s="18" t="s">
        <v>59</v>
      </c>
      <c r="C104" s="18" t="s">
        <v>52</v>
      </c>
      <c r="D104" s="18" t="s">
        <v>55</v>
      </c>
      <c r="E104" s="18" t="s">
        <v>60</v>
      </c>
      <c r="F104" s="18" t="s">
        <v>61</v>
      </c>
      <c r="G104" s="18" t="s">
        <v>54</v>
      </c>
      <c r="H104" s="18" t="s">
        <v>51</v>
      </c>
      <c r="I104" s="18" t="s">
        <v>221</v>
      </c>
      <c r="J104" s="2" t="s">
        <v>379</v>
      </c>
      <c r="K104" s="62" t="s">
        <v>1059</v>
      </c>
      <c r="L104" s="62" t="s">
        <v>1060</v>
      </c>
      <c r="M104" s="62" t="s">
        <v>1061</v>
      </c>
      <c r="N104" s="62" t="s">
        <v>1062</v>
      </c>
      <c r="O104" s="62" t="s">
        <v>1063</v>
      </c>
      <c r="P104" s="62" t="s">
        <v>1064</v>
      </c>
      <c r="Q104" s="2" t="s">
        <v>1065</v>
      </c>
      <c r="R104" s="2" t="s">
        <v>380</v>
      </c>
      <c r="S104" s="18" t="s">
        <v>1128</v>
      </c>
    </row>
    <row r="105" spans="1:19" hidden="1" x14ac:dyDescent="0.2">
      <c r="A105" s="17" t="s">
        <v>362</v>
      </c>
      <c r="B105" s="17">
        <v>1</v>
      </c>
      <c r="C105" s="17" t="s">
        <v>64</v>
      </c>
      <c r="D105" s="17" t="s">
        <v>56</v>
      </c>
      <c r="F105" s="17" t="s">
        <v>62</v>
      </c>
      <c r="G105" s="17" t="s">
        <v>132</v>
      </c>
      <c r="Q105" s="17"/>
    </row>
    <row r="106" spans="1:19" hidden="1" x14ac:dyDescent="0.2">
      <c r="A106" s="17" t="s">
        <v>311</v>
      </c>
      <c r="B106" s="17">
        <v>3.0676551327453981E-8</v>
      </c>
      <c r="D106" s="17" t="s">
        <v>56</v>
      </c>
      <c r="E106" s="17" t="s">
        <v>100</v>
      </c>
      <c r="F106" s="17" t="s">
        <v>99</v>
      </c>
      <c r="I106" s="17">
        <v>2</v>
      </c>
      <c r="J106">
        <f t="shared" ref="J106:J139" si="5">LN(B106)</f>
        <v>-17.299767274606072</v>
      </c>
      <c r="K106" s="13">
        <v>1.05</v>
      </c>
      <c r="L106" s="13">
        <v>1.1000000000000001</v>
      </c>
      <c r="M106" s="13">
        <v>1.03</v>
      </c>
      <c r="N106" s="13">
        <v>1.02</v>
      </c>
      <c r="O106" s="13">
        <v>1.2</v>
      </c>
      <c r="P106" s="13">
        <v>1.2</v>
      </c>
      <c r="Q106" s="13">
        <v>1.5</v>
      </c>
      <c r="R106">
        <f t="shared" ref="R106:R141" si="6">LN(SQRT(EXP(
SQRT(
+POWER(LN(K106),2)
+POWER(LN(L106),2)
+POWER(LN(M106),2)
+POWER(LN(N106),2)
+POWER(LN(O106),2)
+POWER(LN(P106),2)
+POWER(LN(Q106),2)
)
)))</f>
        <v>0.24678666463592946</v>
      </c>
    </row>
    <row r="107" spans="1:19" hidden="1" x14ac:dyDescent="0.2">
      <c r="A107" s="17" t="s">
        <v>312</v>
      </c>
      <c r="B107" s="17">
        <v>4.6014826991180967E-6</v>
      </c>
      <c r="D107" s="17" t="s">
        <v>56</v>
      </c>
      <c r="E107" s="17" t="s">
        <v>100</v>
      </c>
      <c r="F107" s="17" t="s">
        <v>99</v>
      </c>
      <c r="I107" s="17">
        <v>2</v>
      </c>
      <c r="J107">
        <f t="shared" si="5"/>
        <v>-12.289131980509818</v>
      </c>
      <c r="K107" s="13">
        <v>1.05</v>
      </c>
      <c r="L107" s="13">
        <v>1.1000000000000001</v>
      </c>
      <c r="M107" s="13">
        <v>1.03</v>
      </c>
      <c r="N107" s="13">
        <v>1.02</v>
      </c>
      <c r="O107" s="13">
        <v>1.2</v>
      </c>
      <c r="P107" s="13">
        <v>1.2</v>
      </c>
      <c r="Q107" s="13">
        <v>1.5</v>
      </c>
      <c r="R107">
        <f t="shared" si="6"/>
        <v>0.24678666463592946</v>
      </c>
    </row>
    <row r="108" spans="1:19" hidden="1" x14ac:dyDescent="0.2">
      <c r="A108" s="17" t="s">
        <v>313</v>
      </c>
      <c r="B108" s="17">
        <v>1.2270911966962279E-5</v>
      </c>
      <c r="D108" s="17" t="s">
        <v>56</v>
      </c>
      <c r="E108" s="17" t="s">
        <v>100</v>
      </c>
      <c r="F108" s="17" t="s">
        <v>99</v>
      </c>
      <c r="I108" s="17">
        <v>2</v>
      </c>
      <c r="J108">
        <f t="shared" si="5"/>
        <v>-11.308278977067614</v>
      </c>
      <c r="K108" s="13">
        <v>1.05</v>
      </c>
      <c r="L108" s="13">
        <v>1.1000000000000001</v>
      </c>
      <c r="M108" s="13">
        <v>1.03</v>
      </c>
      <c r="N108" s="13">
        <v>1.02</v>
      </c>
      <c r="O108" s="13">
        <v>1.2</v>
      </c>
      <c r="P108" s="13">
        <v>1.2</v>
      </c>
      <c r="Q108" s="13">
        <v>1.5</v>
      </c>
      <c r="R108">
        <f t="shared" si="6"/>
        <v>0.24678666463592946</v>
      </c>
    </row>
    <row r="109" spans="1:19" hidden="1" x14ac:dyDescent="0.2">
      <c r="A109" s="17" t="s">
        <v>314</v>
      </c>
      <c r="B109" s="17">
        <v>3.067655132745397E-10</v>
      </c>
      <c r="D109" s="17" t="s">
        <v>56</v>
      </c>
      <c r="E109" s="17" t="s">
        <v>100</v>
      </c>
      <c r="F109" s="17" t="s">
        <v>99</v>
      </c>
      <c r="I109" s="17">
        <v>2</v>
      </c>
      <c r="J109">
        <f t="shared" si="5"/>
        <v>-21.904937460594166</v>
      </c>
      <c r="K109" s="13">
        <v>1.05</v>
      </c>
      <c r="L109" s="13">
        <v>1.1000000000000001</v>
      </c>
      <c r="M109" s="13">
        <v>1.03</v>
      </c>
      <c r="N109" s="13">
        <v>1.02</v>
      </c>
      <c r="O109" s="13">
        <v>1.2</v>
      </c>
      <c r="P109" s="13">
        <v>1.2</v>
      </c>
      <c r="Q109" s="13">
        <v>1.5</v>
      </c>
      <c r="R109">
        <f t="shared" si="6"/>
        <v>0.24678666463592946</v>
      </c>
    </row>
    <row r="110" spans="1:19" hidden="1" x14ac:dyDescent="0.2">
      <c r="A110" s="17" t="s">
        <v>315</v>
      </c>
      <c r="B110" s="17">
        <v>2.1474168801179165E-5</v>
      </c>
      <c r="D110" s="17" t="s">
        <v>56</v>
      </c>
      <c r="E110" s="17" t="s">
        <v>100</v>
      </c>
      <c r="F110" s="17" t="s">
        <v>99</v>
      </c>
      <c r="I110" s="17">
        <v>2</v>
      </c>
      <c r="J110">
        <f t="shared" si="5"/>
        <v>-10.748659796259599</v>
      </c>
      <c r="K110" s="13">
        <v>1.05</v>
      </c>
      <c r="L110" s="13">
        <v>1.1000000000000001</v>
      </c>
      <c r="M110" s="13">
        <v>1.03</v>
      </c>
      <c r="N110" s="13">
        <v>1.02</v>
      </c>
      <c r="O110" s="13">
        <v>1.2</v>
      </c>
      <c r="P110" s="13">
        <v>1.2</v>
      </c>
      <c r="Q110" s="13">
        <v>1.5</v>
      </c>
      <c r="R110">
        <f t="shared" si="6"/>
        <v>0.24678666463592946</v>
      </c>
    </row>
    <row r="111" spans="1:19" hidden="1" x14ac:dyDescent="0.2">
      <c r="A111" s="17" t="s">
        <v>316</v>
      </c>
      <c r="B111" s="17">
        <v>8.9222937864716503</v>
      </c>
      <c r="D111" s="17" t="s">
        <v>56</v>
      </c>
      <c r="E111" s="17" t="s">
        <v>100</v>
      </c>
      <c r="F111" s="17" t="s">
        <v>99</v>
      </c>
      <c r="I111" s="17">
        <v>2</v>
      </c>
      <c r="J111">
        <f t="shared" si="5"/>
        <v>2.1885530644840161</v>
      </c>
      <c r="K111" s="13">
        <v>1.05</v>
      </c>
      <c r="L111" s="13">
        <v>1.1000000000000001</v>
      </c>
      <c r="M111" s="13">
        <v>1.03</v>
      </c>
      <c r="N111" s="13">
        <v>1.02</v>
      </c>
      <c r="O111" s="13">
        <v>1.2</v>
      </c>
      <c r="P111" s="13">
        <v>1.2</v>
      </c>
      <c r="Q111" s="13">
        <v>1.05</v>
      </c>
      <c r="R111">
        <f t="shared" si="6"/>
        <v>0.14282258014318117</v>
      </c>
    </row>
    <row r="112" spans="1:19" hidden="1" x14ac:dyDescent="0.2">
      <c r="A112" s="17" t="s">
        <v>317</v>
      </c>
      <c r="B112" s="17">
        <v>6.4421923531576096E-5</v>
      </c>
      <c r="D112" s="17" t="s">
        <v>56</v>
      </c>
      <c r="E112" s="17" t="s">
        <v>100</v>
      </c>
      <c r="F112" s="17" t="s">
        <v>99</v>
      </c>
      <c r="I112" s="17">
        <v>2</v>
      </c>
      <c r="J112">
        <f t="shared" si="5"/>
        <v>-9.6500565552773168</v>
      </c>
      <c r="K112" s="13">
        <v>1.05</v>
      </c>
      <c r="L112" s="13">
        <v>1.1000000000000001</v>
      </c>
      <c r="M112" s="13">
        <v>1.03</v>
      </c>
      <c r="N112" s="13">
        <v>1.02</v>
      </c>
      <c r="O112" s="13">
        <v>1.2</v>
      </c>
      <c r="P112" s="13">
        <v>1.2</v>
      </c>
      <c r="Q112" s="13">
        <v>5</v>
      </c>
      <c r="R112">
        <f t="shared" si="6"/>
        <v>0.81693069954794462</v>
      </c>
    </row>
    <row r="113" spans="1:18" hidden="1" x14ac:dyDescent="0.2">
      <c r="A113" s="17" t="s">
        <v>318</v>
      </c>
      <c r="B113" s="17">
        <v>3.0676551327453981E-6</v>
      </c>
      <c r="D113" s="17" t="s">
        <v>56</v>
      </c>
      <c r="E113" s="17" t="s">
        <v>100</v>
      </c>
      <c r="F113" s="17" t="s">
        <v>99</v>
      </c>
      <c r="I113" s="17">
        <v>2</v>
      </c>
      <c r="J113">
        <f t="shared" si="5"/>
        <v>-12.694597088617982</v>
      </c>
      <c r="K113" s="13">
        <v>1.05</v>
      </c>
      <c r="L113" s="13">
        <v>1.1000000000000001</v>
      </c>
      <c r="M113" s="13">
        <v>1.03</v>
      </c>
      <c r="N113" s="13">
        <v>1.02</v>
      </c>
      <c r="O113" s="13">
        <v>1.2</v>
      </c>
      <c r="P113" s="13">
        <v>1.2</v>
      </c>
      <c r="Q113" s="13">
        <v>1.5</v>
      </c>
      <c r="R113">
        <f t="shared" si="6"/>
        <v>0.24678666463592946</v>
      </c>
    </row>
    <row r="114" spans="1:18" hidden="1" x14ac:dyDescent="0.2">
      <c r="A114" s="17" t="s">
        <v>319</v>
      </c>
      <c r="B114" s="17">
        <v>3.0676551327453981E-6</v>
      </c>
      <c r="D114" s="17" t="s">
        <v>56</v>
      </c>
      <c r="E114" s="17" t="s">
        <v>100</v>
      </c>
      <c r="F114" s="17" t="s">
        <v>99</v>
      </c>
      <c r="I114" s="17">
        <v>2</v>
      </c>
      <c r="J114">
        <f t="shared" si="5"/>
        <v>-12.694597088617982</v>
      </c>
      <c r="K114" s="13">
        <v>1.05</v>
      </c>
      <c r="L114" s="13">
        <v>1.1000000000000001</v>
      </c>
      <c r="M114" s="13">
        <v>1.03</v>
      </c>
      <c r="N114" s="13">
        <v>1.02</v>
      </c>
      <c r="O114" s="13">
        <v>1.2</v>
      </c>
      <c r="P114" s="13">
        <v>1.2</v>
      </c>
      <c r="Q114" s="13">
        <v>1.5</v>
      </c>
      <c r="R114">
        <f t="shared" si="6"/>
        <v>0.24678666463592946</v>
      </c>
    </row>
    <row r="115" spans="1:18" hidden="1" x14ac:dyDescent="0.2">
      <c r="A115" s="17" t="s">
        <v>402</v>
      </c>
      <c r="B115" s="17">
        <v>9.2032568342168839E-10</v>
      </c>
      <c r="D115" s="17" t="s">
        <v>56</v>
      </c>
      <c r="E115" s="17" t="s">
        <v>100</v>
      </c>
      <c r="F115" s="17" t="s">
        <v>99</v>
      </c>
      <c r="I115" s="17">
        <v>2</v>
      </c>
      <c r="J115">
        <f t="shared" si="5"/>
        <v>-20.806293504810768</v>
      </c>
      <c r="K115" s="13">
        <v>1.05</v>
      </c>
      <c r="L115" s="13">
        <v>1.1000000000000001</v>
      </c>
      <c r="M115" s="13">
        <v>1.03</v>
      </c>
      <c r="N115" s="13">
        <v>1.02</v>
      </c>
      <c r="O115" s="13">
        <v>1.2</v>
      </c>
      <c r="P115" s="13">
        <v>1.2</v>
      </c>
      <c r="Q115" s="13">
        <v>5</v>
      </c>
      <c r="R115">
        <f t="shared" si="6"/>
        <v>0.81693069954794462</v>
      </c>
    </row>
    <row r="116" spans="1:18" hidden="1" x14ac:dyDescent="0.2">
      <c r="A116" s="17" t="s">
        <v>320</v>
      </c>
      <c r="B116" s="17">
        <v>6.135601701471486E-5</v>
      </c>
      <c r="D116" s="17" t="s">
        <v>56</v>
      </c>
      <c r="E116" s="17" t="s">
        <v>100</v>
      </c>
      <c r="F116" s="17" t="s">
        <v>99</v>
      </c>
      <c r="I116" s="17">
        <v>2</v>
      </c>
      <c r="J116">
        <f t="shared" si="5"/>
        <v>-9.6988173147671048</v>
      </c>
      <c r="K116" s="13">
        <v>1.05</v>
      </c>
      <c r="L116" s="13">
        <v>1.1000000000000001</v>
      </c>
      <c r="M116" s="13">
        <v>1.03</v>
      </c>
      <c r="N116" s="13">
        <v>1.02</v>
      </c>
      <c r="O116" s="13">
        <v>1.2</v>
      </c>
      <c r="P116" s="13">
        <v>1.2</v>
      </c>
      <c r="Q116" s="13">
        <v>1.5</v>
      </c>
      <c r="R116">
        <f t="shared" si="6"/>
        <v>0.24678666463592946</v>
      </c>
    </row>
    <row r="117" spans="1:18" hidden="1" x14ac:dyDescent="0.2">
      <c r="A117" s="17" t="s">
        <v>135</v>
      </c>
      <c r="B117" s="17">
        <v>5.4912367481653793E-4</v>
      </c>
      <c r="D117" s="17" t="s">
        <v>56</v>
      </c>
      <c r="E117" s="17" t="s">
        <v>100</v>
      </c>
      <c r="F117" s="17" t="s">
        <v>99</v>
      </c>
      <c r="I117" s="17">
        <v>2</v>
      </c>
      <c r="J117">
        <f t="shared" si="5"/>
        <v>-7.5071868689350021</v>
      </c>
      <c r="K117" s="13">
        <v>1.05</v>
      </c>
      <c r="L117" s="13">
        <v>1.1000000000000001</v>
      </c>
      <c r="M117" s="13">
        <v>1.03</v>
      </c>
      <c r="N117" s="13">
        <v>1.02</v>
      </c>
      <c r="O117" s="13">
        <v>1.2</v>
      </c>
      <c r="P117" s="13">
        <v>1.2</v>
      </c>
      <c r="Q117" s="13">
        <v>1.5</v>
      </c>
      <c r="R117">
        <f t="shared" si="6"/>
        <v>0.24678666463592946</v>
      </c>
    </row>
    <row r="118" spans="1:18" hidden="1" x14ac:dyDescent="0.2">
      <c r="A118" s="17" t="s">
        <v>321</v>
      </c>
      <c r="B118" s="17">
        <v>3.0676551327453975E-7</v>
      </c>
      <c r="D118" s="17" t="s">
        <v>56</v>
      </c>
      <c r="E118" s="17" t="s">
        <v>100</v>
      </c>
      <c r="F118" s="17" t="s">
        <v>99</v>
      </c>
      <c r="I118" s="17">
        <v>2</v>
      </c>
      <c r="J118">
        <f t="shared" si="5"/>
        <v>-14.997182181612027</v>
      </c>
      <c r="K118" s="13">
        <v>1.05</v>
      </c>
      <c r="L118" s="13">
        <v>1.1000000000000001</v>
      </c>
      <c r="M118" s="13">
        <v>1.03</v>
      </c>
      <c r="N118" s="13">
        <v>1.02</v>
      </c>
      <c r="O118" s="13">
        <v>1.2</v>
      </c>
      <c r="P118" s="13">
        <v>1.2</v>
      </c>
      <c r="Q118" s="13">
        <v>3</v>
      </c>
      <c r="R118">
        <f t="shared" si="6"/>
        <v>0.56704533290732662</v>
      </c>
    </row>
    <row r="119" spans="1:18" hidden="1" x14ac:dyDescent="0.2">
      <c r="A119" s="17" t="s">
        <v>403</v>
      </c>
      <c r="B119" s="17">
        <v>6.135601701471486E-6</v>
      </c>
      <c r="D119" s="17" t="s">
        <v>56</v>
      </c>
      <c r="E119" s="17" t="s">
        <v>100</v>
      </c>
      <c r="F119" s="17" t="s">
        <v>99</v>
      </c>
      <c r="I119" s="17">
        <v>2</v>
      </c>
      <c r="J119">
        <f t="shared" si="5"/>
        <v>-12.001402407761152</v>
      </c>
      <c r="K119" s="13">
        <v>1.05</v>
      </c>
      <c r="L119" s="13">
        <v>1.1000000000000001</v>
      </c>
      <c r="M119" s="13">
        <v>1.03</v>
      </c>
      <c r="N119" s="13">
        <v>1.02</v>
      </c>
      <c r="O119" s="13">
        <v>1.2</v>
      </c>
      <c r="P119" s="13">
        <v>1.2</v>
      </c>
      <c r="Q119" s="13">
        <v>3</v>
      </c>
      <c r="R119">
        <f t="shared" si="6"/>
        <v>0.56704533290732662</v>
      </c>
    </row>
    <row r="120" spans="1:18" hidden="1" x14ac:dyDescent="0.2">
      <c r="A120" s="17" t="s">
        <v>322</v>
      </c>
      <c r="B120" s="17">
        <v>3.6814193080790292E-5</v>
      </c>
      <c r="D120" s="17" t="s">
        <v>56</v>
      </c>
      <c r="E120" s="17" t="s">
        <v>100</v>
      </c>
      <c r="F120" s="17" t="s">
        <v>99</v>
      </c>
      <c r="I120" s="17">
        <v>2</v>
      </c>
      <c r="J120">
        <f t="shared" si="5"/>
        <v>-10.209627105602182</v>
      </c>
      <c r="K120" s="13">
        <v>1.05</v>
      </c>
      <c r="L120" s="13">
        <v>1.1000000000000001</v>
      </c>
      <c r="M120" s="13">
        <v>1.03</v>
      </c>
      <c r="N120" s="13">
        <v>1.02</v>
      </c>
      <c r="O120" s="13">
        <v>1.2</v>
      </c>
      <c r="P120" s="13">
        <v>1.2</v>
      </c>
      <c r="Q120" s="13">
        <v>1.5</v>
      </c>
      <c r="R120">
        <f t="shared" si="6"/>
        <v>0.24678666463592946</v>
      </c>
    </row>
    <row r="121" spans="1:18" hidden="1" x14ac:dyDescent="0.2">
      <c r="A121" s="17" t="s">
        <v>323</v>
      </c>
      <c r="B121" s="17">
        <v>6.135601701471486E-6</v>
      </c>
      <c r="D121" s="17" t="s">
        <v>56</v>
      </c>
      <c r="E121" s="17" t="s">
        <v>100</v>
      </c>
      <c r="F121" s="17" t="s">
        <v>99</v>
      </c>
      <c r="I121" s="17">
        <v>2</v>
      </c>
      <c r="J121">
        <f t="shared" si="5"/>
        <v>-12.001402407761152</v>
      </c>
      <c r="K121" s="13">
        <v>1.05</v>
      </c>
      <c r="L121" s="13">
        <v>1.1000000000000001</v>
      </c>
      <c r="M121" s="13">
        <v>1.03</v>
      </c>
      <c r="N121" s="13">
        <v>1.02</v>
      </c>
      <c r="O121" s="13">
        <v>1.2</v>
      </c>
      <c r="P121" s="13">
        <v>1.2</v>
      </c>
      <c r="Q121" s="13">
        <v>1.5</v>
      </c>
      <c r="R121">
        <f t="shared" si="6"/>
        <v>0.24678666463592946</v>
      </c>
    </row>
    <row r="122" spans="1:18" hidden="1" x14ac:dyDescent="0.2">
      <c r="A122" s="17" t="s">
        <v>324</v>
      </c>
      <c r="B122" s="17">
        <v>6.1356017014714845E-7</v>
      </c>
      <c r="D122" s="17" t="s">
        <v>56</v>
      </c>
      <c r="E122" s="17" t="s">
        <v>100</v>
      </c>
      <c r="F122" s="17" t="s">
        <v>99</v>
      </c>
      <c r="I122" s="17">
        <v>2</v>
      </c>
      <c r="J122">
        <f t="shared" si="5"/>
        <v>-14.303987500755197</v>
      </c>
      <c r="K122" s="13">
        <v>1.05</v>
      </c>
      <c r="L122" s="13">
        <v>1.1000000000000001</v>
      </c>
      <c r="M122" s="13">
        <v>1.03</v>
      </c>
      <c r="N122" s="13">
        <v>1.02</v>
      </c>
      <c r="O122" s="13">
        <v>1.2</v>
      </c>
      <c r="P122" s="13">
        <v>1.2</v>
      </c>
      <c r="Q122" s="13">
        <v>1.5</v>
      </c>
      <c r="R122">
        <f t="shared" si="6"/>
        <v>0.24678666463592946</v>
      </c>
    </row>
    <row r="123" spans="1:18" hidden="1" x14ac:dyDescent="0.2">
      <c r="A123" s="17" t="s">
        <v>325</v>
      </c>
      <c r="B123" s="17">
        <v>1.6872686102061067E-5</v>
      </c>
      <c r="D123" s="17" t="s">
        <v>56</v>
      </c>
      <c r="E123" s="17" t="s">
        <v>100</v>
      </c>
      <c r="F123" s="17" t="s">
        <v>99</v>
      </c>
      <c r="I123" s="17">
        <v>2</v>
      </c>
      <c r="J123">
        <f t="shared" si="5"/>
        <v>-10.989814450485333</v>
      </c>
      <c r="K123" s="13">
        <v>1.05</v>
      </c>
      <c r="L123" s="13">
        <v>1.1000000000000001</v>
      </c>
      <c r="M123" s="13">
        <v>1.03</v>
      </c>
      <c r="N123" s="13">
        <v>1.02</v>
      </c>
      <c r="O123" s="13">
        <v>1.2</v>
      </c>
      <c r="P123" s="13">
        <v>1.2</v>
      </c>
      <c r="Q123" s="13">
        <v>1.05</v>
      </c>
      <c r="R123">
        <f t="shared" si="6"/>
        <v>0.14282258014318117</v>
      </c>
    </row>
    <row r="124" spans="1:18" hidden="1" x14ac:dyDescent="0.2">
      <c r="A124" s="17" t="s">
        <v>326</v>
      </c>
      <c r="B124" s="17">
        <v>6.135601701471486E-6</v>
      </c>
      <c r="D124" s="17" t="s">
        <v>56</v>
      </c>
      <c r="E124" s="17" t="s">
        <v>100</v>
      </c>
      <c r="F124" s="17" t="s">
        <v>99</v>
      </c>
      <c r="I124" s="17">
        <v>2</v>
      </c>
      <c r="J124">
        <f t="shared" si="5"/>
        <v>-12.001402407761152</v>
      </c>
      <c r="K124" s="13">
        <v>1.05</v>
      </c>
      <c r="L124" s="13">
        <v>1.1000000000000001</v>
      </c>
      <c r="M124" s="13">
        <v>1.03</v>
      </c>
      <c r="N124" s="13">
        <v>1.02</v>
      </c>
      <c r="O124" s="13">
        <v>1.2</v>
      </c>
      <c r="P124" s="13">
        <v>1.2</v>
      </c>
      <c r="Q124" s="13">
        <v>1.5</v>
      </c>
      <c r="R124">
        <f t="shared" si="6"/>
        <v>0.24678666463592946</v>
      </c>
    </row>
    <row r="125" spans="1:18" hidden="1" x14ac:dyDescent="0.2">
      <c r="A125" s="17" t="s">
        <v>327</v>
      </c>
      <c r="B125" s="17">
        <v>0.38038158908113223</v>
      </c>
      <c r="D125" s="17" t="s">
        <v>120</v>
      </c>
      <c r="E125" s="17" t="s">
        <v>328</v>
      </c>
      <c r="F125" s="17" t="s">
        <v>99</v>
      </c>
      <c r="I125" s="17">
        <v>2</v>
      </c>
      <c r="J125">
        <f t="shared" si="5"/>
        <v>-0.96658034832250983</v>
      </c>
      <c r="K125" s="13">
        <v>1.05</v>
      </c>
      <c r="L125" s="13">
        <v>1.1000000000000001</v>
      </c>
      <c r="M125" s="13">
        <v>1.03</v>
      </c>
      <c r="N125" s="13">
        <v>1.02</v>
      </c>
      <c r="O125" s="13">
        <v>1.2</v>
      </c>
      <c r="P125" s="13">
        <v>1.2</v>
      </c>
      <c r="Q125" s="13">
        <v>1.05</v>
      </c>
      <c r="R125">
        <f t="shared" si="6"/>
        <v>0.14282258014318117</v>
      </c>
    </row>
    <row r="126" spans="1:18" hidden="1" x14ac:dyDescent="0.2">
      <c r="A126" s="17" t="s">
        <v>237</v>
      </c>
      <c r="B126" s="17">
        <v>5.3483199147628007E-10</v>
      </c>
      <c r="C126" s="17" t="s">
        <v>90</v>
      </c>
      <c r="D126" s="17" t="s">
        <v>55</v>
      </c>
      <c r="F126" s="17" t="s">
        <v>86</v>
      </c>
      <c r="G126" s="17" t="s">
        <v>238</v>
      </c>
      <c r="I126" s="17">
        <v>2</v>
      </c>
      <c r="J126">
        <f t="shared" si="5"/>
        <v>-21.349068452975516</v>
      </c>
      <c r="K126" s="13">
        <v>1.05</v>
      </c>
      <c r="L126" s="13">
        <v>1.1000000000000001</v>
      </c>
      <c r="M126" s="13">
        <v>1.03</v>
      </c>
      <c r="N126" s="13">
        <v>1.02</v>
      </c>
      <c r="O126" s="13">
        <v>1.2</v>
      </c>
      <c r="P126" s="13">
        <v>1.2</v>
      </c>
      <c r="Q126">
        <v>3</v>
      </c>
      <c r="R126">
        <f t="shared" si="6"/>
        <v>0.56704533290732662</v>
      </c>
    </row>
    <row r="127" spans="1:18" hidden="1" x14ac:dyDescent="0.2">
      <c r="A127" s="17" t="s">
        <v>329</v>
      </c>
      <c r="B127" s="17">
        <v>5.3272799999999989E-4</v>
      </c>
      <c r="C127" s="17" t="s">
        <v>330</v>
      </c>
      <c r="D127" s="17" t="s">
        <v>56</v>
      </c>
      <c r="F127" s="17" t="s">
        <v>86</v>
      </c>
      <c r="G127" s="17" t="s">
        <v>331</v>
      </c>
      <c r="I127" s="17">
        <v>2</v>
      </c>
      <c r="J127">
        <f t="shared" si="5"/>
        <v>-7.5374995830048048</v>
      </c>
      <c r="K127" s="13">
        <v>1.05</v>
      </c>
      <c r="L127" s="13">
        <v>1.1000000000000001</v>
      </c>
      <c r="M127" s="13">
        <v>1.03</v>
      </c>
      <c r="N127" s="13">
        <v>1.02</v>
      </c>
      <c r="O127" s="13">
        <v>1.2</v>
      </c>
      <c r="P127" s="13">
        <v>1.2</v>
      </c>
      <c r="Q127">
        <v>1.05</v>
      </c>
      <c r="R127">
        <f t="shared" si="6"/>
        <v>0.14282258014318117</v>
      </c>
    </row>
    <row r="128" spans="1:18" hidden="1" x14ac:dyDescent="0.2">
      <c r="A128" s="17" t="s">
        <v>332</v>
      </c>
      <c r="B128" s="17">
        <v>3.6000000000000001E-5</v>
      </c>
      <c r="C128" s="17" t="s">
        <v>85</v>
      </c>
      <c r="D128" s="17" t="s">
        <v>56</v>
      </c>
      <c r="F128" s="17" t="s">
        <v>86</v>
      </c>
      <c r="G128" s="17" t="s">
        <v>333</v>
      </c>
      <c r="I128" s="17">
        <v>2</v>
      </c>
      <c r="J128">
        <f t="shared" si="5"/>
        <v>-10.231991619508165</v>
      </c>
      <c r="K128" s="13">
        <v>1.05</v>
      </c>
      <c r="L128" s="13">
        <v>1.1000000000000001</v>
      </c>
      <c r="M128" s="13">
        <v>1.03</v>
      </c>
      <c r="N128" s="13">
        <v>1.02</v>
      </c>
      <c r="O128" s="13">
        <v>1.2</v>
      </c>
      <c r="P128" s="13">
        <v>1.2</v>
      </c>
      <c r="Q128">
        <v>1.05</v>
      </c>
      <c r="R128">
        <f t="shared" si="6"/>
        <v>0.14282258014318117</v>
      </c>
    </row>
    <row r="129" spans="1:19" hidden="1" x14ac:dyDescent="0.2">
      <c r="A129" s="17" t="s">
        <v>334</v>
      </c>
      <c r="B129" s="17">
        <v>3.6239999999999997E-4</v>
      </c>
      <c r="C129" s="17" t="s">
        <v>85</v>
      </c>
      <c r="D129" s="17" t="s">
        <v>56</v>
      </c>
      <c r="F129" s="17" t="s">
        <v>86</v>
      </c>
      <c r="G129" s="17" t="s">
        <v>335</v>
      </c>
      <c r="I129" s="17">
        <v>2</v>
      </c>
      <c r="J129">
        <f t="shared" si="5"/>
        <v>-7.9227619837954499</v>
      </c>
      <c r="K129" s="13">
        <v>1.05</v>
      </c>
      <c r="L129" s="13">
        <v>1.1000000000000001</v>
      </c>
      <c r="M129" s="13">
        <v>1.03</v>
      </c>
      <c r="N129" s="13">
        <v>1.02</v>
      </c>
      <c r="O129" s="13">
        <v>1.2</v>
      </c>
      <c r="P129" s="13">
        <v>1.2</v>
      </c>
      <c r="Q129">
        <v>1.05</v>
      </c>
      <c r="R129">
        <f t="shared" si="6"/>
        <v>0.14282258014318117</v>
      </c>
    </row>
    <row r="130" spans="1:19" hidden="1" x14ac:dyDescent="0.2">
      <c r="A130" s="17" t="s">
        <v>336</v>
      </c>
      <c r="B130" s="17">
        <v>2.54628E-9</v>
      </c>
      <c r="C130" s="17" t="s">
        <v>85</v>
      </c>
      <c r="D130" s="17" t="s">
        <v>55</v>
      </c>
      <c r="F130" s="17" t="s">
        <v>86</v>
      </c>
      <c r="G130" s="17" t="s">
        <v>337</v>
      </c>
      <c r="I130" s="17">
        <v>2</v>
      </c>
      <c r="J130">
        <f t="shared" si="5"/>
        <v>-19.78863236642454</v>
      </c>
      <c r="K130" s="13">
        <v>1.05</v>
      </c>
      <c r="L130" s="13">
        <v>1.1000000000000001</v>
      </c>
      <c r="M130" s="13">
        <v>1.03</v>
      </c>
      <c r="N130" s="13">
        <v>1.02</v>
      </c>
      <c r="O130" s="13">
        <v>1.2</v>
      </c>
      <c r="P130" s="13">
        <v>1.2</v>
      </c>
      <c r="Q130">
        <v>3</v>
      </c>
      <c r="R130">
        <f t="shared" si="6"/>
        <v>0.56704533290732662</v>
      </c>
    </row>
    <row r="131" spans="1:19" hidden="1" x14ac:dyDescent="0.2">
      <c r="A131" s="17" t="s">
        <v>338</v>
      </c>
      <c r="B131" s="17">
        <v>2.796E-5</v>
      </c>
      <c r="C131" s="17" t="s">
        <v>85</v>
      </c>
      <c r="D131" s="17" t="s">
        <v>56</v>
      </c>
      <c r="F131" s="17" t="s">
        <v>86</v>
      </c>
      <c r="G131" s="17" t="s">
        <v>339</v>
      </c>
      <c r="I131" s="17">
        <v>2</v>
      </c>
      <c r="J131">
        <f t="shared" si="5"/>
        <v>-10.484735640598664</v>
      </c>
      <c r="K131" s="13">
        <v>1.05</v>
      </c>
      <c r="L131" s="13">
        <v>1.1000000000000001</v>
      </c>
      <c r="M131" s="13">
        <v>1.03</v>
      </c>
      <c r="N131" s="13">
        <v>1.02</v>
      </c>
      <c r="O131" s="13">
        <v>1.2</v>
      </c>
      <c r="P131" s="13">
        <v>1.2</v>
      </c>
      <c r="Q131">
        <v>1.05</v>
      </c>
      <c r="R131">
        <f t="shared" si="6"/>
        <v>0.14282258014318117</v>
      </c>
    </row>
    <row r="132" spans="1:19" hidden="1" x14ac:dyDescent="0.2">
      <c r="A132" s="17" t="s">
        <v>340</v>
      </c>
      <c r="B132" s="17">
        <v>1.668E-5</v>
      </c>
      <c r="C132" s="17" t="s">
        <v>85</v>
      </c>
      <c r="D132" s="17" t="s">
        <v>56</v>
      </c>
      <c r="F132" s="17" t="s">
        <v>86</v>
      </c>
      <c r="G132" s="17" t="s">
        <v>341</v>
      </c>
      <c r="I132" s="17">
        <v>2</v>
      </c>
      <c r="J132">
        <f t="shared" si="5"/>
        <v>-11.001300161033674</v>
      </c>
      <c r="K132" s="13">
        <v>1.05</v>
      </c>
      <c r="L132" s="13">
        <v>1.1000000000000001</v>
      </c>
      <c r="M132" s="13">
        <v>1.03</v>
      </c>
      <c r="N132" s="13">
        <v>1.02</v>
      </c>
      <c r="O132" s="13">
        <v>1.2</v>
      </c>
      <c r="P132" s="13">
        <v>1.2</v>
      </c>
      <c r="Q132">
        <v>1.05</v>
      </c>
      <c r="R132">
        <f t="shared" si="6"/>
        <v>0.14282258014318117</v>
      </c>
    </row>
    <row r="133" spans="1:19" hidden="1" x14ac:dyDescent="0.2">
      <c r="A133" s="17" t="s">
        <v>342</v>
      </c>
      <c r="B133" s="17">
        <v>2.0292014459767036E-4</v>
      </c>
      <c r="C133" s="17" t="s">
        <v>85</v>
      </c>
      <c r="D133" s="17" t="s">
        <v>56</v>
      </c>
      <c r="F133" s="17" t="s">
        <v>86</v>
      </c>
      <c r="G133" s="17" t="s">
        <v>343</v>
      </c>
      <c r="I133" s="17">
        <v>2</v>
      </c>
      <c r="J133">
        <f t="shared" si="5"/>
        <v>-8.5026980326814225</v>
      </c>
      <c r="K133" s="13">
        <v>1.05</v>
      </c>
      <c r="L133" s="13">
        <v>1.1000000000000001</v>
      </c>
      <c r="M133" s="13">
        <v>1.03</v>
      </c>
      <c r="N133" s="13">
        <v>1.02</v>
      </c>
      <c r="O133" s="13">
        <v>1.2</v>
      </c>
      <c r="P133" s="13">
        <v>1.2</v>
      </c>
      <c r="Q133">
        <v>1.05</v>
      </c>
      <c r="R133">
        <f t="shared" si="6"/>
        <v>0.14282258014318117</v>
      </c>
    </row>
    <row r="134" spans="1:19" hidden="1" x14ac:dyDescent="0.2">
      <c r="A134" s="17" t="s">
        <v>344</v>
      </c>
      <c r="B134" s="17">
        <v>3.1235999999999997E-4</v>
      </c>
      <c r="C134" s="17" t="s">
        <v>85</v>
      </c>
      <c r="D134" s="17" t="s">
        <v>56</v>
      </c>
      <c r="F134" s="17" t="s">
        <v>86</v>
      </c>
      <c r="G134" s="17" t="s">
        <v>345</v>
      </c>
      <c r="I134" s="17">
        <v>2</v>
      </c>
      <c r="J134">
        <f t="shared" si="5"/>
        <v>-8.0713541891697993</v>
      </c>
      <c r="K134" s="13">
        <v>1.05</v>
      </c>
      <c r="L134" s="13">
        <v>1.1000000000000001</v>
      </c>
      <c r="M134" s="13">
        <v>1.03</v>
      </c>
      <c r="N134" s="13">
        <v>1.02</v>
      </c>
      <c r="O134" s="13">
        <v>1.2</v>
      </c>
      <c r="P134" s="13">
        <v>1.2</v>
      </c>
      <c r="Q134">
        <v>1.05</v>
      </c>
      <c r="R134">
        <f t="shared" si="6"/>
        <v>0.14282258014318117</v>
      </c>
    </row>
    <row r="135" spans="1:19" hidden="1" x14ac:dyDescent="0.2">
      <c r="A135" s="17" t="s">
        <v>346</v>
      </c>
      <c r="B135" s="17">
        <v>4.8000000000000001E-5</v>
      </c>
      <c r="C135" s="17" t="s">
        <v>90</v>
      </c>
      <c r="D135" s="17" t="s">
        <v>56</v>
      </c>
      <c r="F135" s="17" t="s">
        <v>86</v>
      </c>
      <c r="G135" s="17" t="s">
        <v>347</v>
      </c>
      <c r="I135" s="17">
        <v>2</v>
      </c>
      <c r="J135">
        <f t="shared" si="5"/>
        <v>-9.9443095470563829</v>
      </c>
      <c r="K135" s="13">
        <v>1.05</v>
      </c>
      <c r="L135" s="13">
        <v>1.1000000000000001</v>
      </c>
      <c r="M135" s="13">
        <v>1.03</v>
      </c>
      <c r="N135" s="13">
        <v>1.02</v>
      </c>
      <c r="O135" s="13">
        <v>1.2</v>
      </c>
      <c r="P135" s="13">
        <v>1.2</v>
      </c>
      <c r="Q135">
        <v>1.05</v>
      </c>
      <c r="R135">
        <f t="shared" si="6"/>
        <v>0.14282258014318117</v>
      </c>
    </row>
    <row r="136" spans="1:19" hidden="1" x14ac:dyDescent="0.2">
      <c r="A136" s="17" t="s">
        <v>170</v>
      </c>
      <c r="B136" s="17">
        <v>1.1591999999999998E-5</v>
      </c>
      <c r="C136" s="17" t="s">
        <v>85</v>
      </c>
      <c r="D136" s="17" t="s">
        <v>56</v>
      </c>
      <c r="F136" s="17" t="s">
        <v>86</v>
      </c>
      <c r="G136" s="17" t="s">
        <v>171</v>
      </c>
      <c r="I136" s="17">
        <v>2</v>
      </c>
      <c r="J136">
        <f t="shared" si="5"/>
        <v>-11.365195352945893</v>
      </c>
      <c r="K136" s="13">
        <v>1.05</v>
      </c>
      <c r="L136" s="13">
        <v>1.1000000000000001</v>
      </c>
      <c r="M136" s="13">
        <v>1.03</v>
      </c>
      <c r="N136" s="13">
        <v>1.02</v>
      </c>
      <c r="O136" s="13">
        <v>1.2</v>
      </c>
      <c r="P136" s="13">
        <v>1.2</v>
      </c>
      <c r="Q136">
        <v>1.05</v>
      </c>
      <c r="R136">
        <f t="shared" si="6"/>
        <v>0.14282258014318117</v>
      </c>
    </row>
    <row r="137" spans="1:19" hidden="1" x14ac:dyDescent="0.2">
      <c r="A137" s="17" t="s">
        <v>95</v>
      </c>
      <c r="B137" s="17">
        <v>7.5384135551020997</v>
      </c>
      <c r="C137" s="17" t="s">
        <v>96</v>
      </c>
      <c r="D137" s="17" t="s">
        <v>56</v>
      </c>
      <c r="F137" s="17" t="s">
        <v>86</v>
      </c>
      <c r="G137" s="17" t="s">
        <v>97</v>
      </c>
      <c r="I137" s="17">
        <v>2</v>
      </c>
      <c r="J137">
        <f t="shared" si="5"/>
        <v>2.0200117560492603</v>
      </c>
      <c r="K137" s="13">
        <v>1.05</v>
      </c>
      <c r="L137" s="13">
        <v>1.1000000000000001</v>
      </c>
      <c r="M137" s="13">
        <v>1.03</v>
      </c>
      <c r="N137" s="13">
        <v>1.02</v>
      </c>
      <c r="O137" s="13">
        <v>1.2</v>
      </c>
      <c r="P137" s="13">
        <v>1.2</v>
      </c>
      <c r="Q137">
        <v>1.05</v>
      </c>
      <c r="R137">
        <f t="shared" si="6"/>
        <v>0.14282258014318117</v>
      </c>
    </row>
    <row r="138" spans="1:19" hidden="1" x14ac:dyDescent="0.2">
      <c r="A138" s="17" t="s">
        <v>348</v>
      </c>
      <c r="B138" s="17">
        <v>8.8290154606725723E-4</v>
      </c>
      <c r="C138" s="17" t="s">
        <v>85</v>
      </c>
      <c r="D138" s="17" t="s">
        <v>56</v>
      </c>
      <c r="F138" s="17" t="s">
        <v>86</v>
      </c>
      <c r="G138" s="17" t="s">
        <v>349</v>
      </c>
      <c r="I138" s="17">
        <v>2</v>
      </c>
      <c r="J138">
        <f t="shared" si="5"/>
        <v>-7.0322968629344089</v>
      </c>
      <c r="K138" s="13">
        <v>1.05</v>
      </c>
      <c r="L138" s="13">
        <v>1.1000000000000001</v>
      </c>
      <c r="M138" s="13">
        <v>1.03</v>
      </c>
      <c r="N138" s="13">
        <v>1.02</v>
      </c>
      <c r="O138" s="13">
        <v>1.2</v>
      </c>
      <c r="P138" s="13">
        <v>1.2</v>
      </c>
      <c r="Q138">
        <v>1.05</v>
      </c>
      <c r="R138">
        <f t="shared" si="6"/>
        <v>0.14282258014318117</v>
      </c>
    </row>
    <row r="139" spans="1:19" hidden="1" x14ac:dyDescent="0.2">
      <c r="A139" s="17" t="s">
        <v>350</v>
      </c>
      <c r="B139" s="17">
        <v>3.7140000000000003E-4</v>
      </c>
      <c r="C139" s="17" t="s">
        <v>85</v>
      </c>
      <c r="D139" s="17" t="s">
        <v>56</v>
      </c>
      <c r="F139" s="17" t="s">
        <v>86</v>
      </c>
      <c r="G139" s="17" t="s">
        <v>351</v>
      </c>
      <c r="I139" s="17">
        <v>2</v>
      </c>
      <c r="J139">
        <f t="shared" si="5"/>
        <v>-7.8982309090456688</v>
      </c>
      <c r="K139" s="13">
        <v>1.05</v>
      </c>
      <c r="L139" s="13">
        <v>1.1000000000000001</v>
      </c>
      <c r="M139" s="13">
        <v>1.03</v>
      </c>
      <c r="N139" s="13">
        <v>1.02</v>
      </c>
      <c r="O139" s="13">
        <v>1.2</v>
      </c>
      <c r="P139" s="13">
        <v>1.2</v>
      </c>
      <c r="Q139">
        <v>1.05</v>
      </c>
      <c r="R139">
        <f t="shared" si="6"/>
        <v>0.14282258014318117</v>
      </c>
    </row>
    <row r="140" spans="1:19" hidden="1" x14ac:dyDescent="0.2">
      <c r="A140" s="17" t="s">
        <v>352</v>
      </c>
      <c r="B140" s="17">
        <v>-1.2333113635208772</v>
      </c>
      <c r="C140" s="17" t="s">
        <v>90</v>
      </c>
      <c r="D140" s="17" t="s">
        <v>92</v>
      </c>
      <c r="F140" s="17" t="s">
        <v>86</v>
      </c>
      <c r="G140" s="17" t="s">
        <v>353</v>
      </c>
      <c r="I140" s="17">
        <v>2</v>
      </c>
      <c r="J140">
        <f>LN(B140*-1)</f>
        <v>0.20970271746195837</v>
      </c>
      <c r="K140" s="13">
        <v>1.05</v>
      </c>
      <c r="L140" s="13">
        <v>1.1000000000000001</v>
      </c>
      <c r="M140" s="13">
        <v>1.03</v>
      </c>
      <c r="N140" s="13">
        <v>1.02</v>
      </c>
      <c r="O140" s="13">
        <v>1.2</v>
      </c>
      <c r="P140" s="13">
        <v>1.2</v>
      </c>
      <c r="Q140">
        <v>1.05</v>
      </c>
      <c r="R140">
        <f>LN(SQRT(EXP(
SQRT(
+POWER(LN(K140),2)
+POWER(LN(L140),2)
+POWER(LN(M140),2)
+POWER(LN(N140),2)
+POWER(LN(O140),2)
+POWER(LN(P140),2)
+POWER(LN(Q140),2)
)
)))</f>
        <v>0.14282258014318117</v>
      </c>
      <c r="S140" s="17" t="b">
        <v>1</v>
      </c>
    </row>
    <row r="141" spans="1:19" hidden="1" x14ac:dyDescent="0.2">
      <c r="A141" s="17" t="s">
        <v>662</v>
      </c>
      <c r="B141" s="17">
        <f>(B98*120)/36</f>
        <v>4.3695687772360907</v>
      </c>
      <c r="C141" s="17" t="s">
        <v>296</v>
      </c>
      <c r="D141" s="17" t="s">
        <v>120</v>
      </c>
      <c r="F141" s="17" t="s">
        <v>86</v>
      </c>
      <c r="G141" s="17" t="s">
        <v>354</v>
      </c>
      <c r="I141" s="17">
        <v>2</v>
      </c>
      <c r="J141">
        <f>LN(B141)</f>
        <v>1.4746643262604955</v>
      </c>
      <c r="K141" s="13">
        <v>1.05</v>
      </c>
      <c r="L141" s="13">
        <v>1.1000000000000001</v>
      </c>
      <c r="M141" s="13">
        <v>1.03</v>
      </c>
      <c r="N141" s="13">
        <v>1.02</v>
      </c>
      <c r="O141" s="13">
        <v>1.2</v>
      </c>
      <c r="P141" s="13">
        <v>1.2</v>
      </c>
      <c r="Q141">
        <v>1.05</v>
      </c>
      <c r="R141">
        <f t="shared" si="6"/>
        <v>0.14282258014318117</v>
      </c>
    </row>
    <row r="142" spans="1:19" hidden="1" x14ac:dyDescent="0.2">
      <c r="Q142" s="17"/>
    </row>
    <row r="143" spans="1:19" hidden="1" x14ac:dyDescent="0.2">
      <c r="A143" s="18" t="s">
        <v>50</v>
      </c>
      <c r="B143" s="18" t="s">
        <v>363</v>
      </c>
      <c r="Q143" s="17"/>
    </row>
    <row r="144" spans="1:19" hidden="1" x14ac:dyDescent="0.2">
      <c r="A144" s="17" t="s">
        <v>310</v>
      </c>
      <c r="B144" s="17">
        <v>1.2903504392436329</v>
      </c>
      <c r="Q144" s="17"/>
    </row>
    <row r="145" spans="1:19" hidden="1" x14ac:dyDescent="0.2">
      <c r="A145" s="17" t="s">
        <v>52</v>
      </c>
      <c r="B145" s="17" t="s">
        <v>64</v>
      </c>
      <c r="Q145" s="17"/>
    </row>
    <row r="146" spans="1:19" hidden="1" x14ac:dyDescent="0.2">
      <c r="A146" s="17" t="s">
        <v>54</v>
      </c>
      <c r="B146" s="17" t="s">
        <v>132</v>
      </c>
      <c r="Q146" s="17"/>
    </row>
    <row r="147" spans="1:19" hidden="1" x14ac:dyDescent="0.2">
      <c r="A147" s="17" t="s">
        <v>55</v>
      </c>
      <c r="B147" s="17" t="s">
        <v>56</v>
      </c>
      <c r="Q147" s="17"/>
    </row>
    <row r="148" spans="1:19" hidden="1" x14ac:dyDescent="0.2">
      <c r="A148" s="17" t="s">
        <v>51</v>
      </c>
      <c r="B148" s="17" t="s">
        <v>1066</v>
      </c>
      <c r="Q148" s="17"/>
    </row>
    <row r="149" spans="1:19" hidden="1" x14ac:dyDescent="0.2">
      <c r="A149" s="18" t="s">
        <v>57</v>
      </c>
      <c r="Q149" s="17"/>
    </row>
    <row r="150" spans="1:19" hidden="1" x14ac:dyDescent="0.2">
      <c r="A150" s="18" t="s">
        <v>58</v>
      </c>
      <c r="B150" s="18" t="s">
        <v>59</v>
      </c>
      <c r="C150" s="18" t="s">
        <v>52</v>
      </c>
      <c r="D150" s="18" t="s">
        <v>55</v>
      </c>
      <c r="E150" s="18" t="s">
        <v>60</v>
      </c>
      <c r="F150" s="18" t="s">
        <v>61</v>
      </c>
      <c r="G150" s="18" t="s">
        <v>54</v>
      </c>
      <c r="H150" s="18" t="s">
        <v>51</v>
      </c>
      <c r="I150" s="18" t="s">
        <v>221</v>
      </c>
      <c r="J150" s="2" t="s">
        <v>379</v>
      </c>
      <c r="K150" s="62" t="s">
        <v>1059</v>
      </c>
      <c r="L150" s="62" t="s">
        <v>1060</v>
      </c>
      <c r="M150" s="62" t="s">
        <v>1061</v>
      </c>
      <c r="N150" s="62" t="s">
        <v>1062</v>
      </c>
      <c r="O150" s="62" t="s">
        <v>1063</v>
      </c>
      <c r="P150" s="62" t="s">
        <v>1064</v>
      </c>
      <c r="Q150" s="2" t="s">
        <v>1065</v>
      </c>
      <c r="R150" s="2" t="s">
        <v>380</v>
      </c>
      <c r="S150" s="18" t="s">
        <v>1128</v>
      </c>
    </row>
    <row r="151" spans="1:19" hidden="1" x14ac:dyDescent="0.2">
      <c r="A151" s="17" t="s">
        <v>363</v>
      </c>
      <c r="B151" s="17">
        <v>1</v>
      </c>
      <c r="C151" s="17" t="s">
        <v>64</v>
      </c>
      <c r="D151" s="17" t="s">
        <v>56</v>
      </c>
      <c r="F151" s="17" t="s">
        <v>62</v>
      </c>
      <c r="G151" s="17" t="s">
        <v>132</v>
      </c>
      <c r="Q151" s="17"/>
    </row>
    <row r="152" spans="1:19" hidden="1" x14ac:dyDescent="0.2">
      <c r="A152" s="17" t="s">
        <v>311</v>
      </c>
      <c r="B152" s="17">
        <v>2.803301033677894E-8</v>
      </c>
      <c r="C152" s="17" t="s">
        <v>356</v>
      </c>
      <c r="D152" s="17" t="s">
        <v>56</v>
      </c>
      <c r="E152" s="17" t="s">
        <v>100</v>
      </c>
      <c r="F152" s="17" t="s">
        <v>99</v>
      </c>
      <c r="G152" s="17" t="s">
        <v>356</v>
      </c>
      <c r="I152" s="17">
        <v>2</v>
      </c>
      <c r="J152">
        <f t="shared" ref="J152:J187" si="7">LN(B152)</f>
        <v>-17.389883080576706</v>
      </c>
      <c r="K152" s="13">
        <v>1.05</v>
      </c>
      <c r="L152" s="13">
        <v>1.1000000000000001</v>
      </c>
      <c r="M152" s="13">
        <v>1.03</v>
      </c>
      <c r="N152" s="13">
        <v>1.02</v>
      </c>
      <c r="O152" s="13">
        <v>1.2</v>
      </c>
      <c r="P152" s="13">
        <v>1.2</v>
      </c>
      <c r="Q152" s="13">
        <v>1.5</v>
      </c>
      <c r="R152">
        <f t="shared" ref="R152:R189" si="8">LN(SQRT(EXP(
SQRT(
+POWER(LN(K152),2)
+POWER(LN(L152),2)
+POWER(LN(M152),2)
+POWER(LN(N152),2)
+POWER(LN(O152),2)
+POWER(LN(P152),2)
+POWER(LN(Q152),2)
)
)))</f>
        <v>0.24678666463592946</v>
      </c>
    </row>
    <row r="153" spans="1:19" hidden="1" x14ac:dyDescent="0.2">
      <c r="A153" s="17" t="s">
        <v>312</v>
      </c>
      <c r="B153" s="17">
        <v>4.2049515505168402E-6</v>
      </c>
      <c r="C153" s="17" t="s">
        <v>356</v>
      </c>
      <c r="D153" s="17" t="s">
        <v>56</v>
      </c>
      <c r="E153" s="17" t="s">
        <v>100</v>
      </c>
      <c r="F153" s="17" t="s">
        <v>99</v>
      </c>
      <c r="G153" s="17" t="s">
        <v>356</v>
      </c>
      <c r="I153" s="17">
        <v>2</v>
      </c>
      <c r="J153">
        <f t="shared" si="7"/>
        <v>-12.379247786480452</v>
      </c>
      <c r="K153" s="13">
        <v>1.05</v>
      </c>
      <c r="L153" s="13">
        <v>1.1000000000000001</v>
      </c>
      <c r="M153" s="13">
        <v>1.03</v>
      </c>
      <c r="N153" s="13">
        <v>1.02</v>
      </c>
      <c r="O153" s="13">
        <v>1.2</v>
      </c>
      <c r="P153" s="13">
        <v>1.2</v>
      </c>
      <c r="Q153" s="13">
        <v>1.5</v>
      </c>
      <c r="R153">
        <f t="shared" si="8"/>
        <v>0.24678666463592946</v>
      </c>
    </row>
    <row r="154" spans="1:19" hidden="1" x14ac:dyDescent="0.2">
      <c r="A154" s="17" t="s">
        <v>313</v>
      </c>
      <c r="B154" s="17">
        <v>1.1213470456299422E-5</v>
      </c>
      <c r="C154" s="17" t="s">
        <v>356</v>
      </c>
      <c r="D154" s="17" t="s">
        <v>56</v>
      </c>
      <c r="E154" s="17" t="s">
        <v>100</v>
      </c>
      <c r="F154" s="17" t="s">
        <v>99</v>
      </c>
      <c r="G154" s="17" t="s">
        <v>356</v>
      </c>
      <c r="I154" s="17">
        <v>2</v>
      </c>
      <c r="J154">
        <f t="shared" si="7"/>
        <v>-11.398394783038247</v>
      </c>
      <c r="K154" s="13">
        <v>1.05</v>
      </c>
      <c r="L154" s="13">
        <v>1.1000000000000001</v>
      </c>
      <c r="M154" s="13">
        <v>1.03</v>
      </c>
      <c r="N154" s="13">
        <v>1.02</v>
      </c>
      <c r="O154" s="13">
        <v>1.2</v>
      </c>
      <c r="P154" s="13">
        <v>1.2</v>
      </c>
      <c r="Q154" s="13">
        <v>1.5</v>
      </c>
      <c r="R154">
        <f t="shared" si="8"/>
        <v>0.24678666463592946</v>
      </c>
    </row>
    <row r="155" spans="1:19" hidden="1" x14ac:dyDescent="0.2">
      <c r="A155" s="17" t="s">
        <v>314</v>
      </c>
      <c r="B155" s="17">
        <v>2.8033010336778933E-10</v>
      </c>
      <c r="C155" s="17" t="s">
        <v>356</v>
      </c>
      <c r="D155" s="17" t="s">
        <v>56</v>
      </c>
      <c r="E155" s="17" t="s">
        <v>100</v>
      </c>
      <c r="F155" s="17" t="s">
        <v>99</v>
      </c>
      <c r="G155" s="17" t="s">
        <v>356</v>
      </c>
      <c r="I155" s="17">
        <v>2</v>
      </c>
      <c r="J155">
        <f t="shared" si="7"/>
        <v>-21.995053266564799</v>
      </c>
      <c r="K155" s="13">
        <v>1.05</v>
      </c>
      <c r="L155" s="13">
        <v>1.1000000000000001</v>
      </c>
      <c r="M155" s="13">
        <v>1.03</v>
      </c>
      <c r="N155" s="13">
        <v>1.02</v>
      </c>
      <c r="O155" s="13">
        <v>1.2</v>
      </c>
      <c r="P155" s="13">
        <v>1.2</v>
      </c>
      <c r="Q155" s="13">
        <v>1.5</v>
      </c>
      <c r="R155">
        <f t="shared" si="8"/>
        <v>0.24678666463592946</v>
      </c>
    </row>
    <row r="156" spans="1:19" hidden="1" x14ac:dyDescent="0.2">
      <c r="A156" s="17" t="s">
        <v>315</v>
      </c>
      <c r="B156" s="17">
        <v>1.9623639878920949E-5</v>
      </c>
      <c r="C156" s="17" t="s">
        <v>356</v>
      </c>
      <c r="D156" s="17" t="s">
        <v>56</v>
      </c>
      <c r="E156" s="17" t="s">
        <v>100</v>
      </c>
      <c r="F156" s="17" t="s">
        <v>99</v>
      </c>
      <c r="G156" s="17" t="s">
        <v>356</v>
      </c>
      <c r="I156" s="17">
        <v>2</v>
      </c>
      <c r="J156">
        <f t="shared" si="7"/>
        <v>-10.838775602230232</v>
      </c>
      <c r="K156" s="13">
        <v>1.05</v>
      </c>
      <c r="L156" s="13">
        <v>1.1000000000000001</v>
      </c>
      <c r="M156" s="13">
        <v>1.03</v>
      </c>
      <c r="N156" s="13">
        <v>1.02</v>
      </c>
      <c r="O156" s="13">
        <v>1.2</v>
      </c>
      <c r="P156" s="13">
        <v>1.2</v>
      </c>
      <c r="Q156" s="13">
        <v>1.5</v>
      </c>
      <c r="R156">
        <f t="shared" si="8"/>
        <v>0.24678666463592946</v>
      </c>
    </row>
    <row r="157" spans="1:19" hidden="1" x14ac:dyDescent="0.2">
      <c r="A157" s="17" t="s">
        <v>316</v>
      </c>
      <c r="B157" s="17">
        <v>2.6104586734695769</v>
      </c>
      <c r="C157" s="17" t="s">
        <v>356</v>
      </c>
      <c r="D157" s="17" t="s">
        <v>56</v>
      </c>
      <c r="E157" s="17" t="s">
        <v>100</v>
      </c>
      <c r="F157" s="17" t="s">
        <v>99</v>
      </c>
      <c r="G157" s="17" t="s">
        <v>356</v>
      </c>
      <c r="I157" s="17">
        <v>2</v>
      </c>
      <c r="J157">
        <f t="shared" si="7"/>
        <v>0.95952594285619486</v>
      </c>
      <c r="K157" s="13">
        <v>1.05</v>
      </c>
      <c r="L157" s="13">
        <v>1.1000000000000001</v>
      </c>
      <c r="M157" s="13">
        <v>1.03</v>
      </c>
      <c r="N157" s="13">
        <v>1.02</v>
      </c>
      <c r="O157" s="13">
        <v>1.2</v>
      </c>
      <c r="P157" s="13">
        <v>1.2</v>
      </c>
      <c r="Q157" s="13">
        <v>1.05</v>
      </c>
      <c r="R157">
        <f t="shared" si="8"/>
        <v>0.14282258014318117</v>
      </c>
    </row>
    <row r="158" spans="1:19" hidden="1" x14ac:dyDescent="0.2">
      <c r="A158" s="17" t="s">
        <v>317</v>
      </c>
      <c r="B158" s="17">
        <v>5.8870386993587143E-5</v>
      </c>
      <c r="C158" s="17" t="s">
        <v>356</v>
      </c>
      <c r="D158" s="17" t="s">
        <v>56</v>
      </c>
      <c r="E158" s="17" t="s">
        <v>100</v>
      </c>
      <c r="F158" s="17" t="s">
        <v>99</v>
      </c>
      <c r="G158" s="17" t="s">
        <v>356</v>
      </c>
      <c r="I158" s="17">
        <v>2</v>
      </c>
      <c r="J158">
        <f t="shared" si="7"/>
        <v>-9.7401723612479501</v>
      </c>
      <c r="K158" s="13">
        <v>1.05</v>
      </c>
      <c r="L158" s="13">
        <v>1.1000000000000001</v>
      </c>
      <c r="M158" s="13">
        <v>1.03</v>
      </c>
      <c r="N158" s="13">
        <v>1.02</v>
      </c>
      <c r="O158" s="13">
        <v>1.2</v>
      </c>
      <c r="P158" s="13">
        <v>1.2</v>
      </c>
      <c r="Q158" s="13">
        <v>5</v>
      </c>
      <c r="R158">
        <f t="shared" si="8"/>
        <v>0.81693069954794462</v>
      </c>
    </row>
    <row r="159" spans="1:19" hidden="1" x14ac:dyDescent="0.2">
      <c r="A159" s="17" t="s">
        <v>318</v>
      </c>
      <c r="B159" s="17">
        <v>2.8033010336778938E-6</v>
      </c>
      <c r="C159" s="17" t="s">
        <v>356</v>
      </c>
      <c r="D159" s="17" t="s">
        <v>56</v>
      </c>
      <c r="E159" s="17" t="s">
        <v>100</v>
      </c>
      <c r="F159" s="17" t="s">
        <v>99</v>
      </c>
      <c r="G159" s="17" t="s">
        <v>356</v>
      </c>
      <c r="I159" s="17">
        <v>2</v>
      </c>
      <c r="J159">
        <f t="shared" si="7"/>
        <v>-12.784712894588615</v>
      </c>
      <c r="K159" s="13">
        <v>1.05</v>
      </c>
      <c r="L159" s="13">
        <v>1.1000000000000001</v>
      </c>
      <c r="M159" s="13">
        <v>1.03</v>
      </c>
      <c r="N159" s="13">
        <v>1.02</v>
      </c>
      <c r="O159" s="13">
        <v>1.2</v>
      </c>
      <c r="P159" s="13">
        <v>1.2</v>
      </c>
      <c r="Q159" s="13">
        <v>1.5</v>
      </c>
      <c r="R159">
        <f t="shared" si="8"/>
        <v>0.24678666463592946</v>
      </c>
    </row>
    <row r="160" spans="1:19" hidden="1" x14ac:dyDescent="0.2">
      <c r="A160" s="17" t="s">
        <v>319</v>
      </c>
      <c r="B160" s="17">
        <v>2.8033010336778938E-6</v>
      </c>
      <c r="C160" s="17" t="s">
        <v>356</v>
      </c>
      <c r="D160" s="17" t="s">
        <v>56</v>
      </c>
      <c r="E160" s="17" t="s">
        <v>100</v>
      </c>
      <c r="F160" s="17" t="s">
        <v>99</v>
      </c>
      <c r="G160" s="17" t="s">
        <v>356</v>
      </c>
      <c r="I160" s="17">
        <v>2</v>
      </c>
      <c r="J160">
        <f t="shared" si="7"/>
        <v>-12.784712894588615</v>
      </c>
      <c r="K160" s="13">
        <v>1.05</v>
      </c>
      <c r="L160" s="13">
        <v>1.1000000000000001</v>
      </c>
      <c r="M160" s="13">
        <v>1.03</v>
      </c>
      <c r="N160" s="13">
        <v>1.02</v>
      </c>
      <c r="O160" s="13">
        <v>1.2</v>
      </c>
      <c r="P160" s="13">
        <v>1.2</v>
      </c>
      <c r="Q160" s="13">
        <v>1.5</v>
      </c>
      <c r="R160">
        <f t="shared" si="8"/>
        <v>0.24678666463592946</v>
      </c>
    </row>
    <row r="161" spans="1:18" hidden="1" x14ac:dyDescent="0.2">
      <c r="A161" s="17" t="s">
        <v>402</v>
      </c>
      <c r="B161" s="17">
        <v>8.4101694226215283E-10</v>
      </c>
      <c r="C161" s="17" t="s">
        <v>356</v>
      </c>
      <c r="D161" s="17" t="s">
        <v>56</v>
      </c>
      <c r="E161" s="17" t="s">
        <v>100</v>
      </c>
      <c r="F161" s="17" t="s">
        <v>99</v>
      </c>
      <c r="G161" s="17" t="s">
        <v>356</v>
      </c>
      <c r="I161" s="17">
        <v>2</v>
      </c>
      <c r="J161">
        <f t="shared" si="7"/>
        <v>-20.896409310781401</v>
      </c>
      <c r="K161" s="13">
        <v>1.05</v>
      </c>
      <c r="L161" s="13">
        <v>1.1000000000000001</v>
      </c>
      <c r="M161" s="13">
        <v>1.03</v>
      </c>
      <c r="N161" s="13">
        <v>1.02</v>
      </c>
      <c r="O161" s="13">
        <v>1.2</v>
      </c>
      <c r="P161" s="13">
        <v>1.2</v>
      </c>
      <c r="Q161" s="13">
        <v>5</v>
      </c>
      <c r="R161">
        <f t="shared" si="8"/>
        <v>0.81693069954794462</v>
      </c>
    </row>
    <row r="162" spans="1:18" hidden="1" x14ac:dyDescent="0.2">
      <c r="A162" s="17" t="s">
        <v>320</v>
      </c>
      <c r="B162" s="17">
        <v>5.6068683889436346E-5</v>
      </c>
      <c r="C162" s="17" t="s">
        <v>356</v>
      </c>
      <c r="D162" s="17" t="s">
        <v>56</v>
      </c>
      <c r="E162" s="17" t="s">
        <v>100</v>
      </c>
      <c r="F162" s="17" t="s">
        <v>99</v>
      </c>
      <c r="G162" s="17" t="s">
        <v>356</v>
      </c>
      <c r="I162" s="17">
        <v>2</v>
      </c>
      <c r="J162">
        <f t="shared" si="7"/>
        <v>-9.7889331207377381</v>
      </c>
      <c r="K162" s="13">
        <v>1.05</v>
      </c>
      <c r="L162" s="13">
        <v>1.1000000000000001</v>
      </c>
      <c r="M162" s="13">
        <v>1.03</v>
      </c>
      <c r="N162" s="13">
        <v>1.02</v>
      </c>
      <c r="O162" s="13">
        <v>1.2</v>
      </c>
      <c r="P162" s="13">
        <v>1.2</v>
      </c>
      <c r="Q162" s="13">
        <v>1.5</v>
      </c>
      <c r="R162">
        <f t="shared" si="8"/>
        <v>0.24678666463592946</v>
      </c>
    </row>
    <row r="163" spans="1:18" hidden="1" x14ac:dyDescent="0.2">
      <c r="A163" s="17" t="s">
        <v>135</v>
      </c>
      <c r="B163" s="17">
        <v>5.0180313582138397E-4</v>
      </c>
      <c r="C163" s="17" t="s">
        <v>356</v>
      </c>
      <c r="D163" s="17" t="s">
        <v>56</v>
      </c>
      <c r="E163" s="17" t="s">
        <v>100</v>
      </c>
      <c r="F163" s="17" t="s">
        <v>99</v>
      </c>
      <c r="G163" s="17" t="s">
        <v>356</v>
      </c>
      <c r="I163" s="17">
        <v>2</v>
      </c>
      <c r="J163">
        <f t="shared" si="7"/>
        <v>-7.5973026749056354</v>
      </c>
      <c r="K163" s="13">
        <v>1.05</v>
      </c>
      <c r="L163" s="13">
        <v>1.1000000000000001</v>
      </c>
      <c r="M163" s="13">
        <v>1.03</v>
      </c>
      <c r="N163" s="13">
        <v>1.02</v>
      </c>
      <c r="O163" s="13">
        <v>1.2</v>
      </c>
      <c r="P163" s="13">
        <v>1.2</v>
      </c>
      <c r="Q163" s="13">
        <v>1.5</v>
      </c>
      <c r="R163">
        <f t="shared" si="8"/>
        <v>0.24678666463592946</v>
      </c>
    </row>
    <row r="164" spans="1:18" hidden="1" x14ac:dyDescent="0.2">
      <c r="A164" s="17" t="s">
        <v>321</v>
      </c>
      <c r="B164" s="17">
        <v>2.8033010336778935E-7</v>
      </c>
      <c r="C164" s="17" t="s">
        <v>356</v>
      </c>
      <c r="D164" s="17" t="s">
        <v>56</v>
      </c>
      <c r="E164" s="17" t="s">
        <v>100</v>
      </c>
      <c r="F164" s="17" t="s">
        <v>99</v>
      </c>
      <c r="G164" s="17" t="s">
        <v>356</v>
      </c>
      <c r="I164" s="17">
        <v>2</v>
      </c>
      <c r="J164">
        <f t="shared" si="7"/>
        <v>-15.08729798758266</v>
      </c>
      <c r="K164" s="13">
        <v>1.05</v>
      </c>
      <c r="L164" s="13">
        <v>1.1000000000000001</v>
      </c>
      <c r="M164" s="13">
        <v>1.03</v>
      </c>
      <c r="N164" s="13">
        <v>1.02</v>
      </c>
      <c r="O164" s="13">
        <v>1.2</v>
      </c>
      <c r="P164" s="13">
        <v>1.2</v>
      </c>
      <c r="Q164" s="13">
        <v>3</v>
      </c>
      <c r="R164">
        <f t="shared" si="8"/>
        <v>0.56704533290732662</v>
      </c>
    </row>
    <row r="165" spans="1:18" hidden="1" x14ac:dyDescent="0.2">
      <c r="A165" s="17" t="s">
        <v>403</v>
      </c>
      <c r="B165" s="17">
        <v>5.6068683889436342E-6</v>
      </c>
      <c r="C165" s="17" t="s">
        <v>356</v>
      </c>
      <c r="D165" s="17" t="s">
        <v>56</v>
      </c>
      <c r="E165" s="17" t="s">
        <v>100</v>
      </c>
      <c r="F165" s="17" t="s">
        <v>99</v>
      </c>
      <c r="G165" s="17" t="s">
        <v>356</v>
      </c>
      <c r="I165" s="17">
        <v>2</v>
      </c>
      <c r="J165">
        <f t="shared" si="7"/>
        <v>-12.091518213731785</v>
      </c>
      <c r="K165" s="13">
        <v>1.05</v>
      </c>
      <c r="L165" s="13">
        <v>1.1000000000000001</v>
      </c>
      <c r="M165" s="13">
        <v>1.03</v>
      </c>
      <c r="N165" s="13">
        <v>1.02</v>
      </c>
      <c r="O165" s="13">
        <v>1.2</v>
      </c>
      <c r="P165" s="13">
        <v>1.2</v>
      </c>
      <c r="Q165" s="13">
        <v>3</v>
      </c>
      <c r="R165">
        <f t="shared" si="8"/>
        <v>0.56704533290732662</v>
      </c>
    </row>
    <row r="166" spans="1:18" hidden="1" x14ac:dyDescent="0.2">
      <c r="A166" s="17" t="s">
        <v>322</v>
      </c>
      <c r="B166" s="17">
        <v>3.3641742976837502E-5</v>
      </c>
      <c r="C166" s="17" t="s">
        <v>356</v>
      </c>
      <c r="D166" s="17" t="s">
        <v>56</v>
      </c>
      <c r="E166" s="17" t="s">
        <v>100</v>
      </c>
      <c r="F166" s="17" t="s">
        <v>99</v>
      </c>
      <c r="G166" s="17" t="s">
        <v>356</v>
      </c>
      <c r="I166" s="17">
        <v>2</v>
      </c>
      <c r="J166">
        <f t="shared" si="7"/>
        <v>-10.299742911572816</v>
      </c>
      <c r="K166" s="13">
        <v>1.05</v>
      </c>
      <c r="L166" s="13">
        <v>1.1000000000000001</v>
      </c>
      <c r="M166" s="13">
        <v>1.03</v>
      </c>
      <c r="N166" s="13">
        <v>1.02</v>
      </c>
      <c r="O166" s="13">
        <v>1.2</v>
      </c>
      <c r="P166" s="13">
        <v>1.2</v>
      </c>
      <c r="Q166" s="13">
        <v>1.5</v>
      </c>
      <c r="R166">
        <f t="shared" si="8"/>
        <v>0.24678666463592946</v>
      </c>
    </row>
    <row r="167" spans="1:18" hidden="1" x14ac:dyDescent="0.2">
      <c r="A167" s="17" t="s">
        <v>323</v>
      </c>
      <c r="B167" s="17">
        <v>5.6068683889436342E-6</v>
      </c>
      <c r="C167" s="17" t="s">
        <v>356</v>
      </c>
      <c r="D167" s="17" t="s">
        <v>56</v>
      </c>
      <c r="E167" s="17" t="s">
        <v>100</v>
      </c>
      <c r="F167" s="17" t="s">
        <v>99</v>
      </c>
      <c r="G167" s="17" t="s">
        <v>356</v>
      </c>
      <c r="I167" s="17">
        <v>2</v>
      </c>
      <c r="J167">
        <f t="shared" si="7"/>
        <v>-12.091518213731785</v>
      </c>
      <c r="K167" s="13">
        <v>1.05</v>
      </c>
      <c r="L167" s="13">
        <v>1.1000000000000001</v>
      </c>
      <c r="M167" s="13">
        <v>1.03</v>
      </c>
      <c r="N167" s="13">
        <v>1.02</v>
      </c>
      <c r="O167" s="13">
        <v>1.2</v>
      </c>
      <c r="P167" s="13">
        <v>1.2</v>
      </c>
      <c r="Q167" s="13">
        <v>1.5</v>
      </c>
      <c r="R167">
        <f t="shared" si="8"/>
        <v>0.24678666463592946</v>
      </c>
    </row>
    <row r="168" spans="1:18" hidden="1" x14ac:dyDescent="0.2">
      <c r="A168" s="17" t="s">
        <v>324</v>
      </c>
      <c r="B168" s="17">
        <v>5.6068683889436334E-7</v>
      </c>
      <c r="C168" s="17" t="s">
        <v>356</v>
      </c>
      <c r="D168" s="17" t="s">
        <v>56</v>
      </c>
      <c r="E168" s="17" t="s">
        <v>100</v>
      </c>
      <c r="F168" s="17" t="s">
        <v>99</v>
      </c>
      <c r="G168" s="17" t="s">
        <v>356</v>
      </c>
      <c r="I168" s="17">
        <v>2</v>
      </c>
      <c r="J168">
        <f t="shared" si="7"/>
        <v>-14.39410330672583</v>
      </c>
      <c r="K168" s="13">
        <v>1.05</v>
      </c>
      <c r="L168" s="13">
        <v>1.1000000000000001</v>
      </c>
      <c r="M168" s="13">
        <v>1.03</v>
      </c>
      <c r="N168" s="13">
        <v>1.02</v>
      </c>
      <c r="O168" s="13">
        <v>1.2</v>
      </c>
      <c r="P168" s="13">
        <v>1.2</v>
      </c>
      <c r="Q168" s="13">
        <v>1.5</v>
      </c>
      <c r="R168">
        <f t="shared" si="8"/>
        <v>0.24678666463592946</v>
      </c>
    </row>
    <row r="169" spans="1:18" hidden="1" x14ac:dyDescent="0.2">
      <c r="A169" s="17" t="s">
        <v>325</v>
      </c>
      <c r="B169" s="17">
        <v>1.5418688328404109E-5</v>
      </c>
      <c r="C169" s="17" t="s">
        <v>356</v>
      </c>
      <c r="D169" s="17" t="s">
        <v>56</v>
      </c>
      <c r="E169" s="17" t="s">
        <v>100</v>
      </c>
      <c r="F169" s="17" t="s">
        <v>99</v>
      </c>
      <c r="G169" s="17" t="s">
        <v>356</v>
      </c>
      <c r="I169" s="17">
        <v>2</v>
      </c>
      <c r="J169">
        <f t="shared" si="7"/>
        <v>-11.079930256455967</v>
      </c>
      <c r="K169" s="13">
        <v>1.05</v>
      </c>
      <c r="L169" s="13">
        <v>1.1000000000000001</v>
      </c>
      <c r="M169" s="13">
        <v>1.03</v>
      </c>
      <c r="N169" s="13">
        <v>1.02</v>
      </c>
      <c r="O169" s="13">
        <v>1.2</v>
      </c>
      <c r="P169" s="13">
        <v>1.2</v>
      </c>
      <c r="Q169" s="13">
        <v>1.05</v>
      </c>
      <c r="R169">
        <f t="shared" si="8"/>
        <v>0.14282258014318117</v>
      </c>
    </row>
    <row r="170" spans="1:18" hidden="1" x14ac:dyDescent="0.2">
      <c r="A170" s="17" t="s">
        <v>326</v>
      </c>
      <c r="B170" s="17">
        <v>5.6068683889436342E-6</v>
      </c>
      <c r="C170" s="17" t="s">
        <v>356</v>
      </c>
      <c r="D170" s="17" t="s">
        <v>56</v>
      </c>
      <c r="E170" s="17" t="s">
        <v>100</v>
      </c>
      <c r="F170" s="17" t="s">
        <v>99</v>
      </c>
      <c r="G170" s="17" t="s">
        <v>356</v>
      </c>
      <c r="I170" s="17">
        <v>2</v>
      </c>
      <c r="J170">
        <f t="shared" si="7"/>
        <v>-12.091518213731785</v>
      </c>
      <c r="K170" s="13">
        <v>1.05</v>
      </c>
      <c r="L170" s="13">
        <v>1.1000000000000001</v>
      </c>
      <c r="M170" s="13">
        <v>1.03</v>
      </c>
      <c r="N170" s="13">
        <v>1.02</v>
      </c>
      <c r="O170" s="13">
        <v>1.2</v>
      </c>
      <c r="P170" s="13">
        <v>1.2</v>
      </c>
      <c r="Q170" s="13">
        <v>1.5</v>
      </c>
      <c r="R170">
        <f t="shared" si="8"/>
        <v>0.24678666463592946</v>
      </c>
    </row>
    <row r="171" spans="1:18" hidden="1" x14ac:dyDescent="0.2">
      <c r="A171" s="17" t="s">
        <v>327</v>
      </c>
      <c r="B171" s="17">
        <v>0.38033800779618782</v>
      </c>
      <c r="D171" s="17" t="s">
        <v>120</v>
      </c>
      <c r="E171" s="17" t="s">
        <v>328</v>
      </c>
      <c r="F171" s="17" t="s">
        <v>99</v>
      </c>
      <c r="I171" s="17">
        <v>2</v>
      </c>
      <c r="J171">
        <f t="shared" si="7"/>
        <v>-0.96669492742674479</v>
      </c>
      <c r="K171" s="13">
        <v>1.05</v>
      </c>
      <c r="L171" s="13">
        <v>1.1000000000000001</v>
      </c>
      <c r="M171" s="13">
        <v>1.03</v>
      </c>
      <c r="N171" s="13">
        <v>1.02</v>
      </c>
      <c r="O171" s="13">
        <v>1.2</v>
      </c>
      <c r="P171" s="13">
        <v>1.2</v>
      </c>
      <c r="Q171" s="13">
        <v>1.05</v>
      </c>
      <c r="R171">
        <f t="shared" si="8"/>
        <v>0.14282258014318117</v>
      </c>
    </row>
    <row r="172" spans="1:18" hidden="1" x14ac:dyDescent="0.2">
      <c r="A172" s="17" t="s">
        <v>1224</v>
      </c>
      <c r="B172" s="17">
        <v>6.1611670196058146</v>
      </c>
      <c r="C172" s="17" t="s">
        <v>64</v>
      </c>
      <c r="D172" s="17" t="s">
        <v>56</v>
      </c>
      <c r="F172" s="17" t="s">
        <v>86</v>
      </c>
      <c r="G172" s="17" t="s">
        <v>1250</v>
      </c>
      <c r="I172" s="17">
        <v>2</v>
      </c>
      <c r="J172">
        <f t="shared" si="7"/>
        <v>1.8182662108365197</v>
      </c>
      <c r="K172" s="13">
        <v>1.05</v>
      </c>
      <c r="L172" s="13">
        <v>1.1000000000000001</v>
      </c>
      <c r="M172" s="13">
        <v>1.03</v>
      </c>
      <c r="N172" s="13">
        <v>1.02</v>
      </c>
      <c r="O172" s="13">
        <v>1.2</v>
      </c>
      <c r="P172" s="13">
        <v>1.2</v>
      </c>
      <c r="Q172">
        <v>1.05</v>
      </c>
      <c r="R172">
        <f t="shared" si="8"/>
        <v>0.14282258014318117</v>
      </c>
    </row>
    <row r="173" spans="1:18" hidden="1" x14ac:dyDescent="0.2">
      <c r="A173" s="17" t="s">
        <v>237</v>
      </c>
      <c r="B173" s="17">
        <v>5.347707144163827E-10</v>
      </c>
      <c r="C173" s="17" t="s">
        <v>90</v>
      </c>
      <c r="D173" s="17" t="s">
        <v>55</v>
      </c>
      <c r="F173" s="17" t="s">
        <v>86</v>
      </c>
      <c r="G173" s="17" t="s">
        <v>238</v>
      </c>
      <c r="I173" s="17">
        <v>2</v>
      </c>
      <c r="J173">
        <f t="shared" si="7"/>
        <v>-21.34918303207975</v>
      </c>
      <c r="K173" s="13">
        <v>1.05</v>
      </c>
      <c r="L173" s="13">
        <v>1.1000000000000001</v>
      </c>
      <c r="M173" s="13">
        <v>1.03</v>
      </c>
      <c r="N173" s="13">
        <v>1.02</v>
      </c>
      <c r="O173" s="13">
        <v>1.2</v>
      </c>
      <c r="P173" s="13">
        <v>1.2</v>
      </c>
      <c r="Q173">
        <v>3</v>
      </c>
      <c r="R173">
        <f t="shared" si="8"/>
        <v>0.56704533290732662</v>
      </c>
    </row>
    <row r="174" spans="1:18" hidden="1" x14ac:dyDescent="0.2">
      <c r="A174" s="17" t="s">
        <v>329</v>
      </c>
      <c r="B174" s="17">
        <v>5.3272799999999989E-4</v>
      </c>
      <c r="C174" s="17" t="s">
        <v>330</v>
      </c>
      <c r="D174" s="17" t="s">
        <v>56</v>
      </c>
      <c r="F174" s="17" t="s">
        <v>86</v>
      </c>
      <c r="G174" s="17" t="s">
        <v>331</v>
      </c>
      <c r="I174" s="17">
        <v>2</v>
      </c>
      <c r="J174">
        <f t="shared" si="7"/>
        <v>-7.5374995830048048</v>
      </c>
      <c r="K174" s="13">
        <v>1.05</v>
      </c>
      <c r="L174" s="13">
        <v>1.1000000000000001</v>
      </c>
      <c r="M174" s="13">
        <v>1.03</v>
      </c>
      <c r="N174" s="13">
        <v>1.02</v>
      </c>
      <c r="O174" s="13">
        <v>1.2</v>
      </c>
      <c r="P174" s="13">
        <v>1.2</v>
      </c>
      <c r="Q174">
        <v>1.05</v>
      </c>
      <c r="R174">
        <f t="shared" si="8"/>
        <v>0.14282258014318117</v>
      </c>
    </row>
    <row r="175" spans="1:18" hidden="1" x14ac:dyDescent="0.2">
      <c r="A175" s="17" t="s">
        <v>332</v>
      </c>
      <c r="B175" s="17">
        <v>3.6000000000000001E-5</v>
      </c>
      <c r="C175" s="17" t="s">
        <v>85</v>
      </c>
      <c r="D175" s="17" t="s">
        <v>56</v>
      </c>
      <c r="F175" s="17" t="s">
        <v>86</v>
      </c>
      <c r="G175" s="17" t="s">
        <v>333</v>
      </c>
      <c r="I175" s="17">
        <v>2</v>
      </c>
      <c r="J175">
        <f t="shared" si="7"/>
        <v>-10.231991619508165</v>
      </c>
      <c r="K175" s="13">
        <v>1.05</v>
      </c>
      <c r="L175" s="13">
        <v>1.1000000000000001</v>
      </c>
      <c r="M175" s="13">
        <v>1.03</v>
      </c>
      <c r="N175" s="13">
        <v>1.02</v>
      </c>
      <c r="O175" s="13">
        <v>1.2</v>
      </c>
      <c r="P175" s="13">
        <v>1.2</v>
      </c>
      <c r="Q175">
        <v>1.05</v>
      </c>
      <c r="R175">
        <f t="shared" si="8"/>
        <v>0.14282258014318117</v>
      </c>
    </row>
    <row r="176" spans="1:18" hidden="1" x14ac:dyDescent="0.2">
      <c r="A176" s="17" t="s">
        <v>334</v>
      </c>
      <c r="B176" s="17">
        <v>3.6239999999999997E-4</v>
      </c>
      <c r="C176" s="17" t="s">
        <v>85</v>
      </c>
      <c r="D176" s="17" t="s">
        <v>56</v>
      </c>
      <c r="F176" s="17" t="s">
        <v>86</v>
      </c>
      <c r="G176" s="17" t="s">
        <v>335</v>
      </c>
      <c r="I176" s="17">
        <v>2</v>
      </c>
      <c r="J176">
        <f t="shared" si="7"/>
        <v>-7.9227619837954499</v>
      </c>
      <c r="K176" s="13">
        <v>1.05</v>
      </c>
      <c r="L176" s="13">
        <v>1.1000000000000001</v>
      </c>
      <c r="M176" s="13">
        <v>1.03</v>
      </c>
      <c r="N176" s="13">
        <v>1.02</v>
      </c>
      <c r="O176" s="13">
        <v>1.2</v>
      </c>
      <c r="P176" s="13">
        <v>1.2</v>
      </c>
      <c r="Q176">
        <v>1.05</v>
      </c>
      <c r="R176">
        <f t="shared" si="8"/>
        <v>0.14282258014318117</v>
      </c>
    </row>
    <row r="177" spans="1:19" hidden="1" x14ac:dyDescent="0.2">
      <c r="A177" s="17" t="s">
        <v>357</v>
      </c>
      <c r="B177" s="17">
        <v>2.0947967866659771E-4</v>
      </c>
      <c r="C177" s="17" t="s">
        <v>85</v>
      </c>
      <c r="D177" s="17" t="s">
        <v>56</v>
      </c>
      <c r="F177" s="17" t="s">
        <v>86</v>
      </c>
      <c r="G177" s="17" t="s">
        <v>358</v>
      </c>
      <c r="I177" s="17">
        <v>2</v>
      </c>
      <c r="J177">
        <f t="shared" si="7"/>
        <v>-8.4708838225115937</v>
      </c>
      <c r="K177" s="13">
        <v>1.05</v>
      </c>
      <c r="L177" s="13">
        <v>1.1000000000000001</v>
      </c>
      <c r="M177" s="13">
        <v>1.03</v>
      </c>
      <c r="N177" s="13">
        <v>1.02</v>
      </c>
      <c r="O177" s="13">
        <v>1.2</v>
      </c>
      <c r="P177" s="13">
        <v>1.2</v>
      </c>
      <c r="Q177">
        <v>1.05</v>
      </c>
      <c r="R177">
        <f t="shared" si="8"/>
        <v>0.14282258014318117</v>
      </c>
    </row>
    <row r="178" spans="1:19" hidden="1" x14ac:dyDescent="0.2">
      <c r="A178" s="17" t="s">
        <v>336</v>
      </c>
      <c r="B178" s="17">
        <v>2.54628E-9</v>
      </c>
      <c r="C178" s="17" t="s">
        <v>85</v>
      </c>
      <c r="D178" s="17" t="s">
        <v>55</v>
      </c>
      <c r="F178" s="17" t="s">
        <v>86</v>
      </c>
      <c r="G178" s="17" t="s">
        <v>337</v>
      </c>
      <c r="I178" s="17">
        <v>2</v>
      </c>
      <c r="J178">
        <f t="shared" si="7"/>
        <v>-19.78863236642454</v>
      </c>
      <c r="K178" s="13">
        <v>1.05</v>
      </c>
      <c r="L178" s="13">
        <v>1.1000000000000001</v>
      </c>
      <c r="M178" s="13">
        <v>1.03</v>
      </c>
      <c r="N178" s="13">
        <v>1.02</v>
      </c>
      <c r="O178" s="13">
        <v>1.2</v>
      </c>
      <c r="P178" s="13">
        <v>1.2</v>
      </c>
      <c r="Q178">
        <v>3</v>
      </c>
      <c r="R178">
        <f t="shared" si="8"/>
        <v>0.56704533290732662</v>
      </c>
    </row>
    <row r="179" spans="1:19" hidden="1" x14ac:dyDescent="0.2">
      <c r="A179" s="17" t="s">
        <v>338</v>
      </c>
      <c r="B179" s="17">
        <v>2.796E-5</v>
      </c>
      <c r="C179" s="17" t="s">
        <v>85</v>
      </c>
      <c r="D179" s="17" t="s">
        <v>56</v>
      </c>
      <c r="F179" s="17" t="s">
        <v>86</v>
      </c>
      <c r="G179" s="17" t="s">
        <v>339</v>
      </c>
      <c r="I179" s="17">
        <v>2</v>
      </c>
      <c r="J179">
        <f t="shared" si="7"/>
        <v>-10.484735640598664</v>
      </c>
      <c r="K179" s="13">
        <v>1.05</v>
      </c>
      <c r="L179" s="13">
        <v>1.1000000000000001</v>
      </c>
      <c r="M179" s="13">
        <v>1.03</v>
      </c>
      <c r="N179" s="13">
        <v>1.02</v>
      </c>
      <c r="O179" s="13">
        <v>1.2</v>
      </c>
      <c r="P179" s="13">
        <v>1.2</v>
      </c>
      <c r="Q179">
        <v>1.05</v>
      </c>
      <c r="R179">
        <f t="shared" si="8"/>
        <v>0.14282258014318117</v>
      </c>
    </row>
    <row r="180" spans="1:19" hidden="1" x14ac:dyDescent="0.2">
      <c r="A180" s="17" t="s">
        <v>340</v>
      </c>
      <c r="B180" s="17">
        <v>1.668E-5</v>
      </c>
      <c r="C180" s="17" t="s">
        <v>85</v>
      </c>
      <c r="D180" s="17" t="s">
        <v>56</v>
      </c>
      <c r="F180" s="17" t="s">
        <v>86</v>
      </c>
      <c r="G180" s="17" t="s">
        <v>341</v>
      </c>
      <c r="I180" s="17">
        <v>2</v>
      </c>
      <c r="J180">
        <f t="shared" si="7"/>
        <v>-11.001300161033674</v>
      </c>
      <c r="K180" s="13">
        <v>1.05</v>
      </c>
      <c r="L180" s="13">
        <v>1.1000000000000001</v>
      </c>
      <c r="M180" s="13">
        <v>1.03</v>
      </c>
      <c r="N180" s="13">
        <v>1.02</v>
      </c>
      <c r="O180" s="13">
        <v>1.2</v>
      </c>
      <c r="P180" s="13">
        <v>1.2</v>
      </c>
      <c r="Q180">
        <v>1.05</v>
      </c>
      <c r="R180">
        <f t="shared" si="8"/>
        <v>0.14282258014318117</v>
      </c>
    </row>
    <row r="181" spans="1:19" hidden="1" x14ac:dyDescent="0.2">
      <c r="A181" s="17" t="s">
        <v>342</v>
      </c>
      <c r="B181" s="17">
        <v>2.0292014459767036E-4</v>
      </c>
      <c r="C181" s="17" t="s">
        <v>85</v>
      </c>
      <c r="D181" s="17" t="s">
        <v>56</v>
      </c>
      <c r="F181" s="17" t="s">
        <v>86</v>
      </c>
      <c r="G181" s="17" t="s">
        <v>343</v>
      </c>
      <c r="I181" s="17">
        <v>2</v>
      </c>
      <c r="J181">
        <f t="shared" si="7"/>
        <v>-8.5026980326814225</v>
      </c>
      <c r="K181" s="13">
        <v>1.05</v>
      </c>
      <c r="L181" s="13">
        <v>1.1000000000000001</v>
      </c>
      <c r="M181" s="13">
        <v>1.03</v>
      </c>
      <c r="N181" s="13">
        <v>1.02</v>
      </c>
      <c r="O181" s="13">
        <v>1.2</v>
      </c>
      <c r="P181" s="13">
        <v>1.2</v>
      </c>
      <c r="Q181">
        <v>1.05</v>
      </c>
      <c r="R181">
        <f t="shared" si="8"/>
        <v>0.14282258014318117</v>
      </c>
    </row>
    <row r="182" spans="1:19" hidden="1" x14ac:dyDescent="0.2">
      <c r="A182" s="17" t="s">
        <v>344</v>
      </c>
      <c r="B182" s="17">
        <v>3.1235999999999997E-4</v>
      </c>
      <c r="C182" s="17" t="s">
        <v>85</v>
      </c>
      <c r="D182" s="17" t="s">
        <v>56</v>
      </c>
      <c r="F182" s="17" t="s">
        <v>86</v>
      </c>
      <c r="G182" s="17" t="s">
        <v>345</v>
      </c>
      <c r="I182" s="17">
        <v>2</v>
      </c>
      <c r="J182">
        <f t="shared" si="7"/>
        <v>-8.0713541891697993</v>
      </c>
      <c r="K182" s="13">
        <v>1.05</v>
      </c>
      <c r="L182" s="13">
        <v>1.1000000000000001</v>
      </c>
      <c r="M182" s="13">
        <v>1.03</v>
      </c>
      <c r="N182" s="13">
        <v>1.02</v>
      </c>
      <c r="O182" s="13">
        <v>1.2</v>
      </c>
      <c r="P182" s="13">
        <v>1.2</v>
      </c>
      <c r="Q182">
        <v>1.05</v>
      </c>
      <c r="R182">
        <f t="shared" si="8"/>
        <v>0.14282258014318117</v>
      </c>
    </row>
    <row r="183" spans="1:19" hidden="1" x14ac:dyDescent="0.2">
      <c r="A183" s="17" t="s">
        <v>346</v>
      </c>
      <c r="B183" s="17">
        <v>4.8000000000000001E-5</v>
      </c>
      <c r="C183" s="17" t="s">
        <v>90</v>
      </c>
      <c r="D183" s="17" t="s">
        <v>56</v>
      </c>
      <c r="F183" s="17" t="s">
        <v>86</v>
      </c>
      <c r="G183" s="17" t="s">
        <v>347</v>
      </c>
      <c r="I183" s="17">
        <v>2</v>
      </c>
      <c r="J183">
        <f t="shared" si="7"/>
        <v>-9.9443095470563829</v>
      </c>
      <c r="K183" s="13">
        <v>1.05</v>
      </c>
      <c r="L183" s="13">
        <v>1.1000000000000001</v>
      </c>
      <c r="M183" s="13">
        <v>1.03</v>
      </c>
      <c r="N183" s="13">
        <v>1.02</v>
      </c>
      <c r="O183" s="13">
        <v>1.2</v>
      </c>
      <c r="P183" s="13">
        <v>1.2</v>
      </c>
      <c r="Q183">
        <v>1.05</v>
      </c>
      <c r="R183">
        <f t="shared" si="8"/>
        <v>0.14282258014318117</v>
      </c>
    </row>
    <row r="184" spans="1:19" hidden="1" x14ac:dyDescent="0.2">
      <c r="A184" s="17" t="s">
        <v>170</v>
      </c>
      <c r="B184" s="17">
        <v>1.1591999999999998E-5</v>
      </c>
      <c r="C184" s="17" t="s">
        <v>85</v>
      </c>
      <c r="D184" s="17" t="s">
        <v>56</v>
      </c>
      <c r="F184" s="17" t="s">
        <v>86</v>
      </c>
      <c r="G184" s="17" t="s">
        <v>171</v>
      </c>
      <c r="I184" s="17">
        <v>2</v>
      </c>
      <c r="J184">
        <f t="shared" si="7"/>
        <v>-11.365195352945893</v>
      </c>
      <c r="K184" s="13">
        <v>1.05</v>
      </c>
      <c r="L184" s="13">
        <v>1.1000000000000001</v>
      </c>
      <c r="M184" s="13">
        <v>1.03</v>
      </c>
      <c r="N184" s="13">
        <v>1.02</v>
      </c>
      <c r="O184" s="13">
        <v>1.2</v>
      </c>
      <c r="P184" s="13">
        <v>1.2</v>
      </c>
      <c r="Q184">
        <v>1.05</v>
      </c>
      <c r="R184">
        <f t="shared" si="8"/>
        <v>0.14282258014318117</v>
      </c>
    </row>
    <row r="185" spans="1:19" hidden="1" x14ac:dyDescent="0.2">
      <c r="A185" s="17" t="s">
        <v>95</v>
      </c>
      <c r="B185" s="17">
        <v>7.5375498599112571</v>
      </c>
      <c r="C185" s="17" t="s">
        <v>96</v>
      </c>
      <c r="D185" s="17" t="s">
        <v>56</v>
      </c>
      <c r="F185" s="17" t="s">
        <v>86</v>
      </c>
      <c r="G185" s="17" t="s">
        <v>97</v>
      </c>
      <c r="I185" s="17">
        <v>2</v>
      </c>
      <c r="J185">
        <f t="shared" si="7"/>
        <v>2.0198971769450251</v>
      </c>
      <c r="K185" s="13">
        <v>1.05</v>
      </c>
      <c r="L185" s="13">
        <v>1.1000000000000001</v>
      </c>
      <c r="M185" s="13">
        <v>1.03</v>
      </c>
      <c r="N185" s="13">
        <v>1.02</v>
      </c>
      <c r="O185" s="13">
        <v>1.2</v>
      </c>
      <c r="P185" s="13">
        <v>1.2</v>
      </c>
      <c r="Q185">
        <v>1.05</v>
      </c>
      <c r="R185">
        <f t="shared" si="8"/>
        <v>0.14282258014318117</v>
      </c>
    </row>
    <row r="186" spans="1:19" hidden="1" x14ac:dyDescent="0.2">
      <c r="A186" s="17" t="s">
        <v>348</v>
      </c>
      <c r="B186" s="17">
        <v>8.8290154606725723E-4</v>
      </c>
      <c r="C186" s="17" t="s">
        <v>85</v>
      </c>
      <c r="D186" s="17" t="s">
        <v>56</v>
      </c>
      <c r="F186" s="17" t="s">
        <v>86</v>
      </c>
      <c r="G186" s="17" t="s">
        <v>349</v>
      </c>
      <c r="I186" s="17">
        <v>2</v>
      </c>
      <c r="J186">
        <f t="shared" si="7"/>
        <v>-7.0322968629344089</v>
      </c>
      <c r="K186" s="13">
        <v>1.05</v>
      </c>
      <c r="L186" s="13">
        <v>1.1000000000000001</v>
      </c>
      <c r="M186" s="13">
        <v>1.03</v>
      </c>
      <c r="N186" s="13">
        <v>1.02</v>
      </c>
      <c r="O186" s="13">
        <v>1.2</v>
      </c>
      <c r="P186" s="13">
        <v>1.2</v>
      </c>
      <c r="Q186">
        <v>1.05</v>
      </c>
      <c r="R186">
        <f t="shared" si="8"/>
        <v>0.14282258014318117</v>
      </c>
    </row>
    <row r="187" spans="1:19" hidden="1" x14ac:dyDescent="0.2">
      <c r="A187" s="17" t="s">
        <v>350</v>
      </c>
      <c r="B187" s="17">
        <v>3.7140000000000003E-4</v>
      </c>
      <c r="C187" s="17" t="s">
        <v>85</v>
      </c>
      <c r="D187" s="17" t="s">
        <v>56</v>
      </c>
      <c r="F187" s="17" t="s">
        <v>86</v>
      </c>
      <c r="G187" s="17" t="s">
        <v>351</v>
      </c>
      <c r="I187" s="17">
        <v>2</v>
      </c>
      <c r="J187">
        <f t="shared" si="7"/>
        <v>-7.8982309090456688</v>
      </c>
      <c r="K187" s="13">
        <v>1.05</v>
      </c>
      <c r="L187" s="13">
        <v>1.1000000000000001</v>
      </c>
      <c r="M187" s="13">
        <v>1.03</v>
      </c>
      <c r="N187" s="13">
        <v>1.02</v>
      </c>
      <c r="O187" s="13">
        <v>1.2</v>
      </c>
      <c r="P187" s="13">
        <v>1.2</v>
      </c>
      <c r="Q187">
        <v>1.05</v>
      </c>
      <c r="R187">
        <f t="shared" si="8"/>
        <v>0.14282258014318117</v>
      </c>
    </row>
    <row r="188" spans="1:19" hidden="1" x14ac:dyDescent="0.2">
      <c r="A188" s="17" t="s">
        <v>352</v>
      </c>
      <c r="B188" s="17">
        <v>-0.56116062779246523</v>
      </c>
      <c r="C188" s="17" t="s">
        <v>90</v>
      </c>
      <c r="D188" s="17" t="s">
        <v>92</v>
      </c>
      <c r="F188" s="17" t="s">
        <v>86</v>
      </c>
      <c r="G188" s="17" t="s">
        <v>353</v>
      </c>
      <c r="I188" s="17">
        <v>2</v>
      </c>
      <c r="J188">
        <f>LN(B188*-1)</f>
        <v>-0.5777480903916089</v>
      </c>
      <c r="K188" s="13">
        <v>1.05</v>
      </c>
      <c r="L188" s="13">
        <v>1.1000000000000001</v>
      </c>
      <c r="M188" s="13">
        <v>1.03</v>
      </c>
      <c r="N188" s="13">
        <v>1.02</v>
      </c>
      <c r="O188" s="13">
        <v>1.2</v>
      </c>
      <c r="P188" s="13">
        <v>1.2</v>
      </c>
      <c r="Q188">
        <v>1.05</v>
      </c>
      <c r="R188">
        <f>LN(SQRT(EXP(
SQRT(
+POWER(LN(K188),2)
+POWER(LN(L188),2)
+POWER(LN(M188),2)
+POWER(LN(N188),2)
+POWER(LN(O188),2)
+POWER(LN(P188),2)
+POWER(LN(Q188),2)
)
)))</f>
        <v>0.14282258014318117</v>
      </c>
      <c r="S188" s="17" t="b">
        <v>1</v>
      </c>
    </row>
    <row r="189" spans="1:19" hidden="1" x14ac:dyDescent="0.2">
      <c r="A189" s="17" t="s">
        <v>662</v>
      </c>
      <c r="B189" s="17">
        <f>(B144*120)/36</f>
        <v>4.3011681308121101</v>
      </c>
      <c r="C189" s="17" t="s">
        <v>296</v>
      </c>
      <c r="D189" s="17" t="s">
        <v>120</v>
      </c>
      <c r="F189" s="17" t="s">
        <v>86</v>
      </c>
      <c r="G189" s="17" t="s">
        <v>354</v>
      </c>
      <c r="I189" s="17">
        <v>2</v>
      </c>
      <c r="J189">
        <f>LN(B189)</f>
        <v>1.458886644135472</v>
      </c>
      <c r="K189" s="13">
        <v>1.05</v>
      </c>
      <c r="L189" s="13">
        <v>1.1000000000000001</v>
      </c>
      <c r="M189" s="13">
        <v>1.03</v>
      </c>
      <c r="N189" s="13">
        <v>1.02</v>
      </c>
      <c r="O189" s="13">
        <v>1.2</v>
      </c>
      <c r="P189" s="13">
        <v>1.2</v>
      </c>
      <c r="Q189">
        <v>1.05</v>
      </c>
      <c r="R189">
        <f t="shared" si="8"/>
        <v>0.14282258014318117</v>
      </c>
    </row>
    <row r="190" spans="1:19" hidden="1" x14ac:dyDescent="0.2">
      <c r="Q190" s="17"/>
    </row>
    <row r="191" spans="1:19" hidden="1" x14ac:dyDescent="0.2">
      <c r="A191" s="18" t="s">
        <v>50</v>
      </c>
      <c r="B191" s="18" t="s">
        <v>359</v>
      </c>
      <c r="Q191" s="17"/>
    </row>
    <row r="192" spans="1:19" hidden="1" x14ac:dyDescent="0.2">
      <c r="A192" s="17" t="s">
        <v>310</v>
      </c>
      <c r="B192" s="17">
        <v>1.4388489208633095</v>
      </c>
      <c r="Q192" s="17"/>
    </row>
    <row r="193" spans="1:19" hidden="1" x14ac:dyDescent="0.2">
      <c r="A193" s="17" t="s">
        <v>52</v>
      </c>
      <c r="B193" s="17" t="s">
        <v>64</v>
      </c>
      <c r="Q193" s="17"/>
    </row>
    <row r="194" spans="1:19" hidden="1" x14ac:dyDescent="0.2">
      <c r="A194" s="17" t="s">
        <v>54</v>
      </c>
      <c r="B194" s="17" t="s">
        <v>132</v>
      </c>
      <c r="Q194" s="17"/>
    </row>
    <row r="195" spans="1:19" hidden="1" x14ac:dyDescent="0.2">
      <c r="A195" s="17" t="s">
        <v>55</v>
      </c>
      <c r="B195" s="17" t="s">
        <v>56</v>
      </c>
      <c r="Q195" s="17"/>
    </row>
    <row r="196" spans="1:19" hidden="1" x14ac:dyDescent="0.2">
      <c r="A196" s="17" t="s">
        <v>51</v>
      </c>
      <c r="B196" s="17" t="s">
        <v>1066</v>
      </c>
      <c r="Q196" s="17"/>
    </row>
    <row r="197" spans="1:19" hidden="1" x14ac:dyDescent="0.2">
      <c r="A197" s="18" t="s">
        <v>57</v>
      </c>
      <c r="Q197" s="17"/>
    </row>
    <row r="198" spans="1:19" hidden="1" x14ac:dyDescent="0.2">
      <c r="A198" s="18" t="s">
        <v>58</v>
      </c>
      <c r="B198" s="18" t="s">
        <v>59</v>
      </c>
      <c r="C198" s="18" t="s">
        <v>52</v>
      </c>
      <c r="D198" s="18" t="s">
        <v>55</v>
      </c>
      <c r="E198" s="18" t="s">
        <v>60</v>
      </c>
      <c r="F198" s="18" t="s">
        <v>61</v>
      </c>
      <c r="G198" s="18" t="s">
        <v>54</v>
      </c>
      <c r="H198" s="18" t="s">
        <v>51</v>
      </c>
      <c r="I198" s="18" t="s">
        <v>221</v>
      </c>
      <c r="J198" s="2" t="s">
        <v>379</v>
      </c>
      <c r="K198" s="62" t="s">
        <v>1059</v>
      </c>
      <c r="L198" s="62" t="s">
        <v>1060</v>
      </c>
      <c r="M198" s="62" t="s">
        <v>1061</v>
      </c>
      <c r="N198" s="62" t="s">
        <v>1062</v>
      </c>
      <c r="O198" s="62" t="s">
        <v>1063</v>
      </c>
      <c r="P198" s="62" t="s">
        <v>1064</v>
      </c>
      <c r="Q198" s="2" t="s">
        <v>1065</v>
      </c>
      <c r="R198" s="2" t="s">
        <v>380</v>
      </c>
      <c r="S198" s="18" t="s">
        <v>1128</v>
      </c>
    </row>
    <row r="199" spans="1:19" hidden="1" x14ac:dyDescent="0.2">
      <c r="A199" s="17" t="str">
        <f>B191</f>
        <v>hydrogen production, auto-thermal reforming of natural gas, 25 bar</v>
      </c>
      <c r="B199" s="17">
        <v>1</v>
      </c>
      <c r="C199" s="17" t="s">
        <v>64</v>
      </c>
      <c r="D199" s="17" t="s">
        <v>56</v>
      </c>
      <c r="F199" s="17" t="s">
        <v>62</v>
      </c>
      <c r="G199" s="17" t="s">
        <v>132</v>
      </c>
      <c r="Q199" s="17"/>
    </row>
    <row r="200" spans="1:19" hidden="1" x14ac:dyDescent="0.2">
      <c r="A200" s="17" t="s">
        <v>316</v>
      </c>
      <c r="B200" s="17">
        <v>8.9868381043588528</v>
      </c>
      <c r="C200" s="17" t="s">
        <v>356</v>
      </c>
      <c r="D200" s="17" t="s">
        <v>56</v>
      </c>
      <c r="E200" s="17" t="s">
        <v>100</v>
      </c>
      <c r="F200" s="17" t="s">
        <v>99</v>
      </c>
      <c r="G200" s="17" t="s">
        <v>356</v>
      </c>
      <c r="I200" s="17">
        <v>2</v>
      </c>
      <c r="J200">
        <f t="shared" ref="J200:J216" si="9">LN(B200)</f>
        <v>2.195761074088566</v>
      </c>
      <c r="K200" s="13">
        <v>1.05</v>
      </c>
      <c r="L200" s="13">
        <v>1.1000000000000001</v>
      </c>
      <c r="M200" s="13">
        <v>1.03</v>
      </c>
      <c r="N200" s="13">
        <v>1.02</v>
      </c>
      <c r="O200" s="13">
        <v>1.2</v>
      </c>
      <c r="P200" s="13">
        <v>1.2</v>
      </c>
      <c r="Q200" s="13">
        <v>1.05</v>
      </c>
      <c r="R200">
        <f t="shared" ref="R200:R218" si="10">LN(SQRT(EXP(
SQRT(
+POWER(LN(K200),2)
+POWER(LN(L200),2)
+POWER(LN(M200),2)
+POWER(LN(N200),2)
+POWER(LN(O200),2)
+POWER(LN(P200),2)
+POWER(LN(Q200),2)
)
)))</f>
        <v>0.14282258014318117</v>
      </c>
    </row>
    <row r="201" spans="1:19" hidden="1" x14ac:dyDescent="0.2">
      <c r="A201" s="17" t="s">
        <v>135</v>
      </c>
      <c r="B201" s="17">
        <v>2.9996721816189444E-3</v>
      </c>
      <c r="C201" s="17" t="s">
        <v>356</v>
      </c>
      <c r="D201" s="17" t="s">
        <v>56</v>
      </c>
      <c r="E201" s="17" t="s">
        <v>100</v>
      </c>
      <c r="F201" s="17" t="s">
        <v>99</v>
      </c>
      <c r="G201" s="17" t="s">
        <v>356</v>
      </c>
      <c r="I201" s="17">
        <v>2</v>
      </c>
      <c r="J201">
        <f t="shared" si="9"/>
        <v>-5.809252269078419</v>
      </c>
      <c r="K201" s="13">
        <v>1.05</v>
      </c>
      <c r="L201" s="13">
        <v>1.1000000000000001</v>
      </c>
      <c r="M201" s="13">
        <v>1.03</v>
      </c>
      <c r="N201" s="13">
        <v>1.02</v>
      </c>
      <c r="O201" s="13">
        <v>1.2</v>
      </c>
      <c r="P201" s="13">
        <v>1.2</v>
      </c>
      <c r="Q201" s="13">
        <v>1.5</v>
      </c>
      <c r="R201">
        <f t="shared" si="10"/>
        <v>0.24678666463592946</v>
      </c>
    </row>
    <row r="202" spans="1:19" hidden="1" x14ac:dyDescent="0.2">
      <c r="A202" s="17" t="s">
        <v>327</v>
      </c>
      <c r="B202" s="17">
        <v>0.38041197561668283</v>
      </c>
      <c r="D202" s="17" t="s">
        <v>120</v>
      </c>
      <c r="E202" s="17" t="s">
        <v>328</v>
      </c>
      <c r="F202" s="17" t="s">
        <v>99</v>
      </c>
      <c r="I202" s="17">
        <v>2</v>
      </c>
      <c r="J202">
        <f t="shared" si="9"/>
        <v>-0.96650046716426474</v>
      </c>
      <c r="K202" s="13">
        <v>1.05</v>
      </c>
      <c r="L202" s="13">
        <v>1.1000000000000001</v>
      </c>
      <c r="M202" s="13">
        <v>1.03</v>
      </c>
      <c r="N202" s="13">
        <v>1.02</v>
      </c>
      <c r="O202" s="13">
        <v>1.2</v>
      </c>
      <c r="P202" s="13">
        <v>1.2</v>
      </c>
      <c r="Q202" s="13">
        <v>1.05</v>
      </c>
      <c r="R202">
        <f t="shared" si="10"/>
        <v>0.14282258014318117</v>
      </c>
    </row>
    <row r="203" spans="1:19" hidden="1" x14ac:dyDescent="0.2">
      <c r="A203" s="17" t="s">
        <v>237</v>
      </c>
      <c r="B203" s="17">
        <v>5.3487471618165237E-10</v>
      </c>
      <c r="C203" s="17" t="s">
        <v>90</v>
      </c>
      <c r="D203" s="17" t="s">
        <v>55</v>
      </c>
      <c r="F203" s="17" t="s">
        <v>86</v>
      </c>
      <c r="G203" s="17" t="s">
        <v>238</v>
      </c>
      <c r="I203" s="17">
        <v>2</v>
      </c>
      <c r="J203">
        <f t="shared" si="9"/>
        <v>-21.348988571817269</v>
      </c>
      <c r="K203" s="13">
        <v>1.05</v>
      </c>
      <c r="L203" s="13">
        <v>1.1000000000000001</v>
      </c>
      <c r="M203" s="13">
        <v>1.03</v>
      </c>
      <c r="N203" s="13">
        <v>1.02</v>
      </c>
      <c r="O203" s="13">
        <v>1.2</v>
      </c>
      <c r="P203" s="13">
        <v>1.2</v>
      </c>
      <c r="Q203">
        <v>3</v>
      </c>
      <c r="R203">
        <f t="shared" si="10"/>
        <v>0.56704533290732662</v>
      </c>
    </row>
    <row r="204" spans="1:19" hidden="1" x14ac:dyDescent="0.2">
      <c r="A204" s="17" t="s">
        <v>329</v>
      </c>
      <c r="B204" s="17">
        <v>5.3272799999999989E-4</v>
      </c>
      <c r="C204" s="17" t="s">
        <v>330</v>
      </c>
      <c r="D204" s="17" t="s">
        <v>56</v>
      </c>
      <c r="F204" s="17" t="s">
        <v>86</v>
      </c>
      <c r="G204" s="17" t="s">
        <v>331</v>
      </c>
      <c r="I204" s="17">
        <v>2</v>
      </c>
      <c r="J204">
        <f t="shared" si="9"/>
        <v>-7.5374995830048048</v>
      </c>
      <c r="K204" s="13">
        <v>1.05</v>
      </c>
      <c r="L204" s="13">
        <v>1.1000000000000001</v>
      </c>
      <c r="M204" s="13">
        <v>1.03</v>
      </c>
      <c r="N204" s="13">
        <v>1.02</v>
      </c>
      <c r="O204" s="13">
        <v>1.2</v>
      </c>
      <c r="P204" s="13">
        <v>1.2</v>
      </c>
      <c r="Q204">
        <v>1.05</v>
      </c>
      <c r="R204">
        <f t="shared" si="10"/>
        <v>0.14282258014318117</v>
      </c>
    </row>
    <row r="205" spans="1:19" hidden="1" x14ac:dyDescent="0.2">
      <c r="A205" s="17" t="s">
        <v>332</v>
      </c>
      <c r="B205" s="17">
        <v>3.6000000000000001E-5</v>
      </c>
      <c r="C205" s="17" t="s">
        <v>85</v>
      </c>
      <c r="D205" s="17" t="s">
        <v>56</v>
      </c>
      <c r="F205" s="17" t="s">
        <v>86</v>
      </c>
      <c r="G205" s="17" t="s">
        <v>333</v>
      </c>
      <c r="I205" s="17">
        <v>2</v>
      </c>
      <c r="J205">
        <f t="shared" si="9"/>
        <v>-10.231991619508165</v>
      </c>
      <c r="K205" s="13">
        <v>1.05</v>
      </c>
      <c r="L205" s="13">
        <v>1.1000000000000001</v>
      </c>
      <c r="M205" s="13">
        <v>1.03</v>
      </c>
      <c r="N205" s="13">
        <v>1.02</v>
      </c>
      <c r="O205" s="13">
        <v>1.2</v>
      </c>
      <c r="P205" s="13">
        <v>1.2</v>
      </c>
      <c r="Q205">
        <v>1.05</v>
      </c>
      <c r="R205">
        <f t="shared" si="10"/>
        <v>0.14282258014318117</v>
      </c>
    </row>
    <row r="206" spans="1:19" hidden="1" x14ac:dyDescent="0.2">
      <c r="A206" s="17" t="s">
        <v>334</v>
      </c>
      <c r="B206" s="17">
        <v>3.6239999999999997E-4</v>
      </c>
      <c r="C206" s="17" t="s">
        <v>85</v>
      </c>
      <c r="D206" s="17" t="s">
        <v>56</v>
      </c>
      <c r="F206" s="17" t="s">
        <v>86</v>
      </c>
      <c r="G206" s="17" t="s">
        <v>335</v>
      </c>
      <c r="I206" s="17">
        <v>2</v>
      </c>
      <c r="J206">
        <f t="shared" si="9"/>
        <v>-7.9227619837954499</v>
      </c>
      <c r="K206" s="13">
        <v>1.05</v>
      </c>
      <c r="L206" s="13">
        <v>1.1000000000000001</v>
      </c>
      <c r="M206" s="13">
        <v>1.03</v>
      </c>
      <c r="N206" s="13">
        <v>1.02</v>
      </c>
      <c r="O206" s="13">
        <v>1.2</v>
      </c>
      <c r="P206" s="13">
        <v>1.2</v>
      </c>
      <c r="Q206">
        <v>1.05</v>
      </c>
      <c r="R206">
        <f t="shared" si="10"/>
        <v>0.14282258014318117</v>
      </c>
    </row>
    <row r="207" spans="1:19" hidden="1" x14ac:dyDescent="0.2">
      <c r="A207" s="17" t="s">
        <v>336</v>
      </c>
      <c r="B207" s="17">
        <v>2.54628E-9</v>
      </c>
      <c r="C207" s="17" t="s">
        <v>85</v>
      </c>
      <c r="D207" s="17" t="s">
        <v>55</v>
      </c>
      <c r="F207" s="17" t="s">
        <v>86</v>
      </c>
      <c r="G207" s="17" t="s">
        <v>337</v>
      </c>
      <c r="I207" s="17">
        <v>2</v>
      </c>
      <c r="J207">
        <f t="shared" si="9"/>
        <v>-19.78863236642454</v>
      </c>
      <c r="K207" s="13">
        <v>1.05</v>
      </c>
      <c r="L207" s="13">
        <v>1.1000000000000001</v>
      </c>
      <c r="M207" s="13">
        <v>1.03</v>
      </c>
      <c r="N207" s="13">
        <v>1.02</v>
      </c>
      <c r="O207" s="13">
        <v>1.2</v>
      </c>
      <c r="P207" s="13">
        <v>1.2</v>
      </c>
      <c r="Q207">
        <v>3</v>
      </c>
      <c r="R207">
        <f t="shared" si="10"/>
        <v>0.56704533290732662</v>
      </c>
    </row>
    <row r="208" spans="1:19" hidden="1" x14ac:dyDescent="0.2">
      <c r="A208" s="17" t="s">
        <v>338</v>
      </c>
      <c r="B208" s="17">
        <v>2.796E-5</v>
      </c>
      <c r="C208" s="17" t="s">
        <v>85</v>
      </c>
      <c r="D208" s="17" t="s">
        <v>56</v>
      </c>
      <c r="F208" s="17" t="s">
        <v>86</v>
      </c>
      <c r="G208" s="17" t="s">
        <v>339</v>
      </c>
      <c r="I208" s="17">
        <v>2</v>
      </c>
      <c r="J208">
        <f t="shared" si="9"/>
        <v>-10.484735640598664</v>
      </c>
      <c r="K208" s="13">
        <v>1.05</v>
      </c>
      <c r="L208" s="13">
        <v>1.1000000000000001</v>
      </c>
      <c r="M208" s="13">
        <v>1.03</v>
      </c>
      <c r="N208" s="13">
        <v>1.02</v>
      </c>
      <c r="O208" s="13">
        <v>1.2</v>
      </c>
      <c r="P208" s="13">
        <v>1.2</v>
      </c>
      <c r="Q208">
        <v>1.05</v>
      </c>
      <c r="R208">
        <f t="shared" si="10"/>
        <v>0.14282258014318117</v>
      </c>
    </row>
    <row r="209" spans="1:19" hidden="1" x14ac:dyDescent="0.2">
      <c r="A209" s="17" t="s">
        <v>340</v>
      </c>
      <c r="B209" s="17">
        <v>1.668E-5</v>
      </c>
      <c r="C209" s="17" t="s">
        <v>85</v>
      </c>
      <c r="D209" s="17" t="s">
        <v>56</v>
      </c>
      <c r="F209" s="17" t="s">
        <v>86</v>
      </c>
      <c r="G209" s="17" t="s">
        <v>341</v>
      </c>
      <c r="I209" s="17">
        <v>2</v>
      </c>
      <c r="J209">
        <f t="shared" si="9"/>
        <v>-11.001300161033674</v>
      </c>
      <c r="K209" s="13">
        <v>1.05</v>
      </c>
      <c r="L209" s="13">
        <v>1.1000000000000001</v>
      </c>
      <c r="M209" s="13">
        <v>1.03</v>
      </c>
      <c r="N209" s="13">
        <v>1.02</v>
      </c>
      <c r="O209" s="13">
        <v>1.2</v>
      </c>
      <c r="P209" s="13">
        <v>1.2</v>
      </c>
      <c r="Q209">
        <v>1.05</v>
      </c>
      <c r="R209">
        <f t="shared" si="10"/>
        <v>0.14282258014318117</v>
      </c>
    </row>
    <row r="210" spans="1:19" hidden="1" x14ac:dyDescent="0.2">
      <c r="A210" s="17" t="s">
        <v>342</v>
      </c>
      <c r="B210" s="17">
        <v>2.0292014459767036E-4</v>
      </c>
      <c r="C210" s="17" t="s">
        <v>85</v>
      </c>
      <c r="D210" s="17" t="s">
        <v>56</v>
      </c>
      <c r="F210" s="17" t="s">
        <v>86</v>
      </c>
      <c r="G210" s="17" t="s">
        <v>343</v>
      </c>
      <c r="I210" s="17">
        <v>2</v>
      </c>
      <c r="J210">
        <f t="shared" si="9"/>
        <v>-8.5026980326814225</v>
      </c>
      <c r="K210" s="13">
        <v>1.05</v>
      </c>
      <c r="L210" s="13">
        <v>1.1000000000000001</v>
      </c>
      <c r="M210" s="13">
        <v>1.03</v>
      </c>
      <c r="N210" s="13">
        <v>1.02</v>
      </c>
      <c r="O210" s="13">
        <v>1.2</v>
      </c>
      <c r="P210" s="13">
        <v>1.2</v>
      </c>
      <c r="Q210">
        <v>1.05</v>
      </c>
      <c r="R210">
        <f t="shared" si="10"/>
        <v>0.14282258014318117</v>
      </c>
    </row>
    <row r="211" spans="1:19" hidden="1" x14ac:dyDescent="0.2">
      <c r="A211" s="17" t="s">
        <v>344</v>
      </c>
      <c r="B211" s="17">
        <v>3.1235999999999997E-4</v>
      </c>
      <c r="C211" s="17" t="s">
        <v>85</v>
      </c>
      <c r="D211" s="17" t="s">
        <v>56</v>
      </c>
      <c r="F211" s="17" t="s">
        <v>86</v>
      </c>
      <c r="G211" s="17" t="s">
        <v>345</v>
      </c>
      <c r="I211" s="17">
        <v>2</v>
      </c>
      <c r="J211">
        <f t="shared" si="9"/>
        <v>-8.0713541891697993</v>
      </c>
      <c r="K211" s="13">
        <v>1.05</v>
      </c>
      <c r="L211" s="13">
        <v>1.1000000000000001</v>
      </c>
      <c r="M211" s="13">
        <v>1.03</v>
      </c>
      <c r="N211" s="13">
        <v>1.02</v>
      </c>
      <c r="O211" s="13">
        <v>1.2</v>
      </c>
      <c r="P211" s="13">
        <v>1.2</v>
      </c>
      <c r="Q211">
        <v>1.05</v>
      </c>
      <c r="R211">
        <f t="shared" si="10"/>
        <v>0.14282258014318117</v>
      </c>
    </row>
    <row r="212" spans="1:19" hidden="1" x14ac:dyDescent="0.2">
      <c r="A212" s="17" t="s">
        <v>346</v>
      </c>
      <c r="B212" s="17">
        <v>4.8000000000000001E-5</v>
      </c>
      <c r="C212" s="17" t="s">
        <v>90</v>
      </c>
      <c r="D212" s="17" t="s">
        <v>56</v>
      </c>
      <c r="F212" s="17" t="s">
        <v>86</v>
      </c>
      <c r="G212" s="17" t="s">
        <v>347</v>
      </c>
      <c r="I212" s="17">
        <v>2</v>
      </c>
      <c r="J212">
        <f t="shared" si="9"/>
        <v>-9.9443095470563829</v>
      </c>
      <c r="K212" s="13">
        <v>1.05</v>
      </c>
      <c r="L212" s="13">
        <v>1.1000000000000001</v>
      </c>
      <c r="M212" s="13">
        <v>1.03</v>
      </c>
      <c r="N212" s="13">
        <v>1.02</v>
      </c>
      <c r="O212" s="13">
        <v>1.2</v>
      </c>
      <c r="P212" s="13">
        <v>1.2</v>
      </c>
      <c r="Q212">
        <v>1.05</v>
      </c>
      <c r="R212">
        <f t="shared" si="10"/>
        <v>0.14282258014318117</v>
      </c>
    </row>
    <row r="213" spans="1:19" hidden="1" x14ac:dyDescent="0.2">
      <c r="A213" s="17" t="s">
        <v>170</v>
      </c>
      <c r="B213" s="17">
        <v>1.1591999999999998E-5</v>
      </c>
      <c r="C213" s="17" t="s">
        <v>85</v>
      </c>
      <c r="D213" s="17" t="s">
        <v>56</v>
      </c>
      <c r="F213" s="17" t="s">
        <v>86</v>
      </c>
      <c r="G213" s="17" t="s">
        <v>171</v>
      </c>
      <c r="I213" s="17">
        <v>2</v>
      </c>
      <c r="J213">
        <f t="shared" si="9"/>
        <v>-11.365195352945893</v>
      </c>
      <c r="K213" s="13">
        <v>1.05</v>
      </c>
      <c r="L213" s="13">
        <v>1.1000000000000001</v>
      </c>
      <c r="M213" s="13">
        <v>1.03</v>
      </c>
      <c r="N213" s="13">
        <v>1.02</v>
      </c>
      <c r="O213" s="13">
        <v>1.2</v>
      </c>
      <c r="P213" s="13">
        <v>1.2</v>
      </c>
      <c r="Q213">
        <v>1.05</v>
      </c>
      <c r="R213">
        <f t="shared" si="10"/>
        <v>0.14282258014318117</v>
      </c>
    </row>
    <row r="214" spans="1:19" hidden="1" x14ac:dyDescent="0.2">
      <c r="A214" s="17" t="s">
        <v>95</v>
      </c>
      <c r="B214" s="17">
        <v>7.5390157563601576</v>
      </c>
      <c r="C214" s="17" t="s">
        <v>96</v>
      </c>
      <c r="D214" s="17" t="s">
        <v>56</v>
      </c>
      <c r="F214" s="17" t="s">
        <v>86</v>
      </c>
      <c r="G214" s="17" t="s">
        <v>97</v>
      </c>
      <c r="I214" s="17">
        <v>2</v>
      </c>
      <c r="J214">
        <f t="shared" si="9"/>
        <v>2.0200916372075053</v>
      </c>
      <c r="K214" s="13">
        <v>1.05</v>
      </c>
      <c r="L214" s="13">
        <v>1.1000000000000001</v>
      </c>
      <c r="M214" s="13">
        <v>1.03</v>
      </c>
      <c r="N214" s="13">
        <v>1.02</v>
      </c>
      <c r="O214" s="13">
        <v>1.2</v>
      </c>
      <c r="P214" s="13">
        <v>1.2</v>
      </c>
      <c r="Q214">
        <v>1.05</v>
      </c>
      <c r="R214">
        <f t="shared" si="10"/>
        <v>0.14282258014318117</v>
      </c>
    </row>
    <row r="215" spans="1:19" hidden="1" x14ac:dyDescent="0.2">
      <c r="A215" s="17" t="s">
        <v>348</v>
      </c>
      <c r="B215" s="17">
        <v>8.8290154606725723E-4</v>
      </c>
      <c r="C215" s="17" t="s">
        <v>85</v>
      </c>
      <c r="D215" s="17" t="s">
        <v>56</v>
      </c>
      <c r="F215" s="17" t="s">
        <v>86</v>
      </c>
      <c r="G215" s="17" t="s">
        <v>349</v>
      </c>
      <c r="I215" s="17">
        <v>2</v>
      </c>
      <c r="J215">
        <f t="shared" si="9"/>
        <v>-7.0322968629344089</v>
      </c>
      <c r="K215" s="13">
        <v>1.05</v>
      </c>
      <c r="L215" s="13">
        <v>1.1000000000000001</v>
      </c>
      <c r="M215" s="13">
        <v>1.03</v>
      </c>
      <c r="N215" s="13">
        <v>1.02</v>
      </c>
      <c r="O215" s="13">
        <v>1.2</v>
      </c>
      <c r="P215" s="13">
        <v>1.2</v>
      </c>
      <c r="Q215">
        <v>1.05</v>
      </c>
      <c r="R215">
        <f t="shared" si="10"/>
        <v>0.14282258014318117</v>
      </c>
    </row>
    <row r="216" spans="1:19" hidden="1" x14ac:dyDescent="0.2">
      <c r="A216" s="17" t="s">
        <v>350</v>
      </c>
      <c r="B216" s="17">
        <v>3.7140000000000003E-4</v>
      </c>
      <c r="C216" s="17" t="s">
        <v>85</v>
      </c>
      <c r="D216" s="17" t="s">
        <v>56</v>
      </c>
      <c r="F216" s="17" t="s">
        <v>86</v>
      </c>
      <c r="G216" s="17" t="s">
        <v>351</v>
      </c>
      <c r="I216" s="17">
        <v>2</v>
      </c>
      <c r="J216">
        <f t="shared" si="9"/>
        <v>-7.8982309090456688</v>
      </c>
      <c r="K216" s="13">
        <v>1.05</v>
      </c>
      <c r="L216" s="13">
        <v>1.1000000000000001</v>
      </c>
      <c r="M216" s="13">
        <v>1.03</v>
      </c>
      <c r="N216" s="13">
        <v>1.02</v>
      </c>
      <c r="O216" s="13">
        <v>1.2</v>
      </c>
      <c r="P216" s="13">
        <v>1.2</v>
      </c>
      <c r="Q216">
        <v>1.05</v>
      </c>
      <c r="R216">
        <f t="shared" si="10"/>
        <v>0.14282258014318117</v>
      </c>
    </row>
    <row r="217" spans="1:19" hidden="1" x14ac:dyDescent="0.2">
      <c r="A217" s="17" t="s">
        <v>352</v>
      </c>
      <c r="B217" s="17">
        <v>-0.61975263847726747</v>
      </c>
      <c r="C217" s="17" t="s">
        <v>90</v>
      </c>
      <c r="D217" s="17" t="s">
        <v>92</v>
      </c>
      <c r="F217" s="17" t="s">
        <v>86</v>
      </c>
      <c r="G217" s="17" t="s">
        <v>353</v>
      </c>
      <c r="I217" s="17">
        <v>2</v>
      </c>
      <c r="J217">
        <f>LN(B217*-1)</f>
        <v>-0.47843485075074027</v>
      </c>
      <c r="K217" s="13">
        <v>1.05</v>
      </c>
      <c r="L217" s="13">
        <v>1.1000000000000001</v>
      </c>
      <c r="M217" s="13">
        <v>1.03</v>
      </c>
      <c r="N217" s="13">
        <v>1.02</v>
      </c>
      <c r="O217" s="13">
        <v>1.2</v>
      </c>
      <c r="P217" s="13">
        <v>1.2</v>
      </c>
      <c r="Q217">
        <v>1.05</v>
      </c>
      <c r="R217">
        <f>LN(SQRT(EXP(
SQRT(
+POWER(LN(K217),2)
+POWER(LN(L217),2)
+POWER(LN(M217),2)
+POWER(LN(N217),2)
+POWER(LN(O217),2)
+POWER(LN(P217),2)
+POWER(LN(Q217),2)
)
)))</f>
        <v>0.14282258014318117</v>
      </c>
      <c r="S217" s="17" t="b">
        <v>1</v>
      </c>
    </row>
    <row r="218" spans="1:19" hidden="1" x14ac:dyDescent="0.2">
      <c r="A218" s="17" t="s">
        <v>361</v>
      </c>
      <c r="B218" s="17">
        <f>(B192*120)/36</f>
        <v>4.7961630695443649</v>
      </c>
      <c r="C218" s="17" t="s">
        <v>64</v>
      </c>
      <c r="D218" s="17" t="s">
        <v>120</v>
      </c>
      <c r="F218" s="17" t="s">
        <v>86</v>
      </c>
      <c r="G218" s="17" t="s">
        <v>354</v>
      </c>
      <c r="I218" s="17">
        <v>2</v>
      </c>
      <c r="J218">
        <f>LN(B218)</f>
        <v>1.5678162377432809</v>
      </c>
      <c r="K218" s="13">
        <v>1.05</v>
      </c>
      <c r="L218" s="13">
        <v>1.1000000000000001</v>
      </c>
      <c r="M218" s="13">
        <v>1.03</v>
      </c>
      <c r="N218" s="13">
        <v>1.02</v>
      </c>
      <c r="O218" s="13">
        <v>1.2</v>
      </c>
      <c r="P218" s="13">
        <v>1.2</v>
      </c>
      <c r="Q218">
        <v>1.05</v>
      </c>
      <c r="R218">
        <f t="shared" si="10"/>
        <v>0.14282258014318117</v>
      </c>
    </row>
    <row r="219" spans="1:19" hidden="1" x14ac:dyDescent="0.2">
      <c r="Q219" s="17"/>
    </row>
    <row r="220" spans="1:19" hidden="1" x14ac:dyDescent="0.2">
      <c r="A220" s="18" t="s">
        <v>50</v>
      </c>
      <c r="B220" s="18" t="s">
        <v>360</v>
      </c>
      <c r="Q220" s="17"/>
    </row>
    <row r="221" spans="1:19" hidden="1" x14ac:dyDescent="0.2">
      <c r="A221" s="17" t="s">
        <v>310</v>
      </c>
      <c r="B221" s="17">
        <v>1.3068466902465423</v>
      </c>
      <c r="Q221" s="17"/>
    </row>
    <row r="222" spans="1:19" hidden="1" x14ac:dyDescent="0.2">
      <c r="A222" s="17" t="s">
        <v>52</v>
      </c>
      <c r="B222" s="17" t="s">
        <v>64</v>
      </c>
      <c r="Q222" s="17"/>
    </row>
    <row r="223" spans="1:19" hidden="1" x14ac:dyDescent="0.2">
      <c r="A223" s="17" t="s">
        <v>54</v>
      </c>
      <c r="B223" s="17" t="s">
        <v>132</v>
      </c>
      <c r="Q223" s="17"/>
    </row>
    <row r="224" spans="1:19" hidden="1" x14ac:dyDescent="0.2">
      <c r="A224" s="17" t="s">
        <v>55</v>
      </c>
      <c r="B224" s="17" t="s">
        <v>56</v>
      </c>
      <c r="Q224" s="17"/>
    </row>
    <row r="225" spans="1:19" hidden="1" x14ac:dyDescent="0.2">
      <c r="A225" s="17" t="s">
        <v>51</v>
      </c>
      <c r="B225" s="17" t="s">
        <v>1066</v>
      </c>
      <c r="Q225" s="17"/>
    </row>
    <row r="226" spans="1:19" hidden="1" x14ac:dyDescent="0.2">
      <c r="A226" s="18" t="s">
        <v>57</v>
      </c>
      <c r="Q226" s="17"/>
    </row>
    <row r="227" spans="1:19" hidden="1" x14ac:dyDescent="0.2">
      <c r="A227" s="18" t="s">
        <v>58</v>
      </c>
      <c r="B227" s="18" t="s">
        <v>59</v>
      </c>
      <c r="C227" s="18" t="s">
        <v>52</v>
      </c>
      <c r="D227" s="18" t="s">
        <v>55</v>
      </c>
      <c r="E227" s="18" t="s">
        <v>60</v>
      </c>
      <c r="F227" s="18" t="s">
        <v>61</v>
      </c>
      <c r="G227" s="18" t="s">
        <v>54</v>
      </c>
      <c r="H227" s="18" t="s">
        <v>51</v>
      </c>
      <c r="I227" s="18" t="s">
        <v>221</v>
      </c>
      <c r="J227" s="2" t="s">
        <v>379</v>
      </c>
      <c r="K227" s="62" t="s">
        <v>1059</v>
      </c>
      <c r="L227" s="62" t="s">
        <v>1060</v>
      </c>
      <c r="M227" s="62" t="s">
        <v>1061</v>
      </c>
      <c r="N227" s="62" t="s">
        <v>1062</v>
      </c>
      <c r="O227" s="62" t="s">
        <v>1063</v>
      </c>
      <c r="P227" s="62" t="s">
        <v>1064</v>
      </c>
      <c r="Q227" s="2" t="s">
        <v>1065</v>
      </c>
      <c r="R227" s="2" t="s">
        <v>380</v>
      </c>
      <c r="S227" s="18" t="s">
        <v>1128</v>
      </c>
    </row>
    <row r="228" spans="1:19" hidden="1" x14ac:dyDescent="0.2">
      <c r="A228" s="17" t="str">
        <f>B220</f>
        <v>hydrogen production, auto-thermal reforming of natural gas, with CCS (MDEA, 98% eff.), 25 bar</v>
      </c>
      <c r="B228" s="17">
        <v>1</v>
      </c>
      <c r="C228" s="17" t="s">
        <v>64</v>
      </c>
      <c r="D228" s="17" t="s">
        <v>56</v>
      </c>
      <c r="F228" s="17" t="s">
        <v>62</v>
      </c>
      <c r="G228" s="17" t="s">
        <v>132</v>
      </c>
      <c r="Q228" s="17"/>
    </row>
    <row r="229" spans="1:19" hidden="1" x14ac:dyDescent="0.2">
      <c r="A229" s="17" t="s">
        <v>316</v>
      </c>
      <c r="B229" s="17">
        <v>0.58838389214647391</v>
      </c>
      <c r="C229" s="17" t="s">
        <v>356</v>
      </c>
      <c r="D229" s="17" t="s">
        <v>56</v>
      </c>
      <c r="E229" s="17" t="s">
        <v>100</v>
      </c>
      <c r="F229" s="17" t="s">
        <v>99</v>
      </c>
      <c r="G229" s="17" t="s">
        <v>356</v>
      </c>
      <c r="I229" s="17">
        <v>2</v>
      </c>
      <c r="J229">
        <f t="shared" ref="J229:J247" si="11">LN(B229)</f>
        <v>-0.5303756663153778</v>
      </c>
      <c r="K229" s="13">
        <v>1.05</v>
      </c>
      <c r="L229" s="13">
        <v>1.1000000000000001</v>
      </c>
      <c r="M229" s="13">
        <v>1.03</v>
      </c>
      <c r="N229" s="13">
        <v>1.02</v>
      </c>
      <c r="O229" s="13">
        <v>1.2</v>
      </c>
      <c r="P229" s="13">
        <v>1.2</v>
      </c>
      <c r="Q229" s="13">
        <v>1.05</v>
      </c>
      <c r="R229">
        <f t="shared" ref="R229:R249" si="12">LN(SQRT(EXP(
SQRT(
+POWER(LN(K229),2)
+POWER(LN(L229),2)
+POWER(LN(M229),2)
+POWER(LN(N229),2)
+POWER(LN(O229),2)
+POWER(LN(P229),2)
+POWER(LN(Q229),2)
)
)))</f>
        <v>0.14282258014318117</v>
      </c>
    </row>
    <row r="230" spans="1:19" hidden="1" x14ac:dyDescent="0.2">
      <c r="A230" s="17" t="s">
        <v>135</v>
      </c>
      <c r="B230" s="17">
        <v>2.9996721816189444E-3</v>
      </c>
      <c r="C230" s="17" t="s">
        <v>356</v>
      </c>
      <c r="D230" s="17" t="s">
        <v>56</v>
      </c>
      <c r="E230" s="17" t="s">
        <v>100</v>
      </c>
      <c r="F230" s="17" t="s">
        <v>99</v>
      </c>
      <c r="G230" s="17" t="s">
        <v>356</v>
      </c>
      <c r="I230" s="17">
        <v>2</v>
      </c>
      <c r="J230">
        <f t="shared" si="11"/>
        <v>-5.809252269078419</v>
      </c>
      <c r="K230" s="13">
        <v>1.05</v>
      </c>
      <c r="L230" s="13">
        <v>1.1000000000000001</v>
      </c>
      <c r="M230" s="13">
        <v>1.03</v>
      </c>
      <c r="N230" s="13">
        <v>1.02</v>
      </c>
      <c r="O230" s="13">
        <v>1.2</v>
      </c>
      <c r="P230" s="13">
        <v>1.2</v>
      </c>
      <c r="Q230" s="13">
        <v>1.5</v>
      </c>
      <c r="R230">
        <f t="shared" si="12"/>
        <v>0.24678666463592946</v>
      </c>
    </row>
    <row r="231" spans="1:19" hidden="1" x14ac:dyDescent="0.2">
      <c r="A231" s="17" t="s">
        <v>327</v>
      </c>
      <c r="B231" s="17">
        <v>0.38041305426253447</v>
      </c>
      <c r="D231" s="17" t="s">
        <v>120</v>
      </c>
      <c r="E231" s="17" t="s">
        <v>328</v>
      </c>
      <c r="F231" s="17" t="s">
        <v>99</v>
      </c>
      <c r="I231" s="17">
        <v>2</v>
      </c>
      <c r="J231">
        <f t="shared" si="11"/>
        <v>-0.96649763170063174</v>
      </c>
      <c r="K231" s="13">
        <v>1.05</v>
      </c>
      <c r="L231" s="13">
        <v>1.1000000000000001</v>
      </c>
      <c r="M231" s="13">
        <v>1.03</v>
      </c>
      <c r="N231" s="13">
        <v>1.02</v>
      </c>
      <c r="O231" s="13">
        <v>1.2</v>
      </c>
      <c r="P231" s="13">
        <v>1.2</v>
      </c>
      <c r="Q231" s="13">
        <v>1.05</v>
      </c>
      <c r="R231">
        <f t="shared" si="12"/>
        <v>0.14282258014318117</v>
      </c>
    </row>
    <row r="232" spans="1:19" hidden="1" x14ac:dyDescent="0.2">
      <c r="A232" s="17" t="s">
        <v>1224</v>
      </c>
      <c r="B232" s="17">
        <v>8.3442634742423714</v>
      </c>
      <c r="C232" s="17" t="s">
        <v>64</v>
      </c>
      <c r="D232" s="17" t="s">
        <v>56</v>
      </c>
      <c r="F232" s="17" t="s">
        <v>86</v>
      </c>
      <c r="G232" s="17" t="s">
        <v>1250</v>
      </c>
      <c r="I232" s="17">
        <v>2</v>
      </c>
      <c r="J232">
        <f t="shared" si="11"/>
        <v>2.1215742936911202</v>
      </c>
      <c r="K232" s="13">
        <v>1.05</v>
      </c>
      <c r="L232" s="13">
        <v>1.1000000000000001</v>
      </c>
      <c r="M232" s="13">
        <v>1.03</v>
      </c>
      <c r="N232" s="13">
        <v>1.02</v>
      </c>
      <c r="O232" s="13">
        <v>1.2</v>
      </c>
      <c r="P232" s="13">
        <v>1.2</v>
      </c>
      <c r="Q232">
        <v>1.05</v>
      </c>
      <c r="R232">
        <f t="shared" si="12"/>
        <v>0.14282258014318117</v>
      </c>
    </row>
    <row r="233" spans="1:19" hidden="1" x14ac:dyDescent="0.2">
      <c r="A233" s="17" t="s">
        <v>237</v>
      </c>
      <c r="B233" s="17">
        <v>5.3487623280160849E-10</v>
      </c>
      <c r="C233" s="17" t="s">
        <v>90</v>
      </c>
      <c r="D233" s="17" t="s">
        <v>55</v>
      </c>
      <c r="F233" s="17" t="s">
        <v>86</v>
      </c>
      <c r="G233" s="17" t="s">
        <v>238</v>
      </c>
      <c r="I233" s="17">
        <v>2</v>
      </c>
      <c r="J233">
        <f t="shared" si="11"/>
        <v>-21.348985736353637</v>
      </c>
      <c r="K233" s="13">
        <v>1.05</v>
      </c>
      <c r="L233" s="13">
        <v>1.1000000000000001</v>
      </c>
      <c r="M233" s="13">
        <v>1.03</v>
      </c>
      <c r="N233" s="13">
        <v>1.02</v>
      </c>
      <c r="O233" s="13">
        <v>1.2</v>
      </c>
      <c r="P233" s="13">
        <v>1.2</v>
      </c>
      <c r="Q233">
        <v>3</v>
      </c>
      <c r="R233">
        <f t="shared" si="12"/>
        <v>0.56704533290732662</v>
      </c>
    </row>
    <row r="234" spans="1:19" hidden="1" x14ac:dyDescent="0.2">
      <c r="A234" s="17" t="s">
        <v>329</v>
      </c>
      <c r="B234" s="17">
        <v>5.3272799999999989E-4</v>
      </c>
      <c r="C234" s="17" t="s">
        <v>330</v>
      </c>
      <c r="D234" s="17" t="s">
        <v>56</v>
      </c>
      <c r="F234" s="17" t="s">
        <v>86</v>
      </c>
      <c r="G234" s="17" t="s">
        <v>331</v>
      </c>
      <c r="I234" s="17">
        <v>2</v>
      </c>
      <c r="J234">
        <f t="shared" si="11"/>
        <v>-7.5374995830048048</v>
      </c>
      <c r="K234" s="13">
        <v>1.05</v>
      </c>
      <c r="L234" s="13">
        <v>1.1000000000000001</v>
      </c>
      <c r="M234" s="13">
        <v>1.03</v>
      </c>
      <c r="N234" s="13">
        <v>1.02</v>
      </c>
      <c r="O234" s="13">
        <v>1.2</v>
      </c>
      <c r="P234" s="13">
        <v>1.2</v>
      </c>
      <c r="Q234">
        <v>1.05</v>
      </c>
      <c r="R234">
        <f t="shared" si="12"/>
        <v>0.14282258014318117</v>
      </c>
    </row>
    <row r="235" spans="1:19" hidden="1" x14ac:dyDescent="0.2">
      <c r="A235" s="17" t="s">
        <v>332</v>
      </c>
      <c r="B235" s="17">
        <v>3.6000000000000001E-5</v>
      </c>
      <c r="C235" s="17" t="s">
        <v>85</v>
      </c>
      <c r="D235" s="17" t="s">
        <v>56</v>
      </c>
      <c r="F235" s="17" t="s">
        <v>86</v>
      </c>
      <c r="G235" s="17" t="s">
        <v>333</v>
      </c>
      <c r="I235" s="17">
        <v>2</v>
      </c>
      <c r="J235">
        <f t="shared" si="11"/>
        <v>-10.231991619508165</v>
      </c>
      <c r="K235" s="13">
        <v>1.05</v>
      </c>
      <c r="L235" s="13">
        <v>1.1000000000000001</v>
      </c>
      <c r="M235" s="13">
        <v>1.03</v>
      </c>
      <c r="N235" s="13">
        <v>1.02</v>
      </c>
      <c r="O235" s="13">
        <v>1.2</v>
      </c>
      <c r="P235" s="13">
        <v>1.2</v>
      </c>
      <c r="Q235">
        <v>1.05</v>
      </c>
      <c r="R235">
        <f t="shared" si="12"/>
        <v>0.14282258014318117</v>
      </c>
    </row>
    <row r="236" spans="1:19" hidden="1" x14ac:dyDescent="0.2">
      <c r="A236" s="17" t="s">
        <v>334</v>
      </c>
      <c r="B236" s="17">
        <v>3.6239999999999997E-4</v>
      </c>
      <c r="C236" s="17" t="s">
        <v>85</v>
      </c>
      <c r="D236" s="17" t="s">
        <v>56</v>
      </c>
      <c r="F236" s="17" t="s">
        <v>86</v>
      </c>
      <c r="G236" s="17" t="s">
        <v>335</v>
      </c>
      <c r="I236" s="17">
        <v>2</v>
      </c>
      <c r="J236">
        <f t="shared" si="11"/>
        <v>-7.9227619837954499</v>
      </c>
      <c r="K236" s="13">
        <v>1.05</v>
      </c>
      <c r="L236" s="13">
        <v>1.1000000000000001</v>
      </c>
      <c r="M236" s="13">
        <v>1.03</v>
      </c>
      <c r="N236" s="13">
        <v>1.02</v>
      </c>
      <c r="O236" s="13">
        <v>1.2</v>
      </c>
      <c r="P236" s="13">
        <v>1.2</v>
      </c>
      <c r="Q236">
        <v>1.05</v>
      </c>
      <c r="R236">
        <f t="shared" si="12"/>
        <v>0.14282258014318117</v>
      </c>
    </row>
    <row r="237" spans="1:19" hidden="1" x14ac:dyDescent="0.2">
      <c r="A237" s="17" t="s">
        <v>357</v>
      </c>
      <c r="B237" s="17">
        <v>2.8370495812424056E-4</v>
      </c>
      <c r="C237" s="17" t="s">
        <v>85</v>
      </c>
      <c r="D237" s="17" t="s">
        <v>56</v>
      </c>
      <c r="F237" s="17" t="s">
        <v>86</v>
      </c>
      <c r="G237" s="17" t="s">
        <v>358</v>
      </c>
      <c r="I237" s="17">
        <v>2</v>
      </c>
      <c r="J237">
        <f t="shared" si="11"/>
        <v>-8.1675757396569928</v>
      </c>
      <c r="K237" s="13">
        <v>1.05</v>
      </c>
      <c r="L237" s="13">
        <v>1.1000000000000001</v>
      </c>
      <c r="M237" s="13">
        <v>1.03</v>
      </c>
      <c r="N237" s="13">
        <v>1.02</v>
      </c>
      <c r="O237" s="13">
        <v>1.2</v>
      </c>
      <c r="P237" s="13">
        <v>1.2</v>
      </c>
      <c r="Q237">
        <v>1.05</v>
      </c>
      <c r="R237">
        <f t="shared" si="12"/>
        <v>0.14282258014318117</v>
      </c>
    </row>
    <row r="238" spans="1:19" hidden="1" x14ac:dyDescent="0.2">
      <c r="A238" s="17" t="s">
        <v>336</v>
      </c>
      <c r="B238" s="17">
        <v>2.54628E-9</v>
      </c>
      <c r="C238" s="17" t="s">
        <v>85</v>
      </c>
      <c r="D238" s="17" t="s">
        <v>55</v>
      </c>
      <c r="F238" s="17" t="s">
        <v>86</v>
      </c>
      <c r="G238" s="17" t="s">
        <v>337</v>
      </c>
      <c r="I238" s="17">
        <v>2</v>
      </c>
      <c r="J238">
        <f t="shared" si="11"/>
        <v>-19.78863236642454</v>
      </c>
      <c r="K238" s="13">
        <v>1.05</v>
      </c>
      <c r="L238" s="13">
        <v>1.1000000000000001</v>
      </c>
      <c r="M238" s="13">
        <v>1.03</v>
      </c>
      <c r="N238" s="13">
        <v>1.02</v>
      </c>
      <c r="O238" s="13">
        <v>1.2</v>
      </c>
      <c r="P238" s="13">
        <v>1.2</v>
      </c>
      <c r="Q238">
        <v>3</v>
      </c>
      <c r="R238">
        <f t="shared" si="12"/>
        <v>0.56704533290732662</v>
      </c>
    </row>
    <row r="239" spans="1:19" hidden="1" x14ac:dyDescent="0.2">
      <c r="A239" s="17" t="s">
        <v>338</v>
      </c>
      <c r="B239" s="17">
        <v>2.796E-5</v>
      </c>
      <c r="C239" s="17" t="s">
        <v>85</v>
      </c>
      <c r="D239" s="17" t="s">
        <v>56</v>
      </c>
      <c r="F239" s="17" t="s">
        <v>86</v>
      </c>
      <c r="G239" s="17" t="s">
        <v>339</v>
      </c>
      <c r="I239" s="17">
        <v>2</v>
      </c>
      <c r="J239">
        <f t="shared" si="11"/>
        <v>-10.484735640598664</v>
      </c>
      <c r="K239" s="13">
        <v>1.05</v>
      </c>
      <c r="L239" s="13">
        <v>1.1000000000000001</v>
      </c>
      <c r="M239" s="13">
        <v>1.03</v>
      </c>
      <c r="N239" s="13">
        <v>1.02</v>
      </c>
      <c r="O239" s="13">
        <v>1.2</v>
      </c>
      <c r="P239" s="13">
        <v>1.2</v>
      </c>
      <c r="Q239">
        <v>1.05</v>
      </c>
      <c r="R239">
        <f t="shared" si="12"/>
        <v>0.14282258014318117</v>
      </c>
    </row>
    <row r="240" spans="1:19" hidden="1" x14ac:dyDescent="0.2">
      <c r="A240" s="17" t="s">
        <v>340</v>
      </c>
      <c r="B240" s="17">
        <v>1.668E-5</v>
      </c>
      <c r="C240" s="17" t="s">
        <v>85</v>
      </c>
      <c r="D240" s="17" t="s">
        <v>56</v>
      </c>
      <c r="F240" s="17" t="s">
        <v>86</v>
      </c>
      <c r="G240" s="17" t="s">
        <v>341</v>
      </c>
      <c r="I240" s="17">
        <v>2</v>
      </c>
      <c r="J240">
        <f t="shared" si="11"/>
        <v>-11.001300161033674</v>
      </c>
      <c r="K240" s="13">
        <v>1.05</v>
      </c>
      <c r="L240" s="13">
        <v>1.1000000000000001</v>
      </c>
      <c r="M240" s="13">
        <v>1.03</v>
      </c>
      <c r="N240" s="13">
        <v>1.02</v>
      </c>
      <c r="O240" s="13">
        <v>1.2</v>
      </c>
      <c r="P240" s="13">
        <v>1.2</v>
      </c>
      <c r="Q240">
        <v>1.05</v>
      </c>
      <c r="R240">
        <f t="shared" si="12"/>
        <v>0.14282258014318117</v>
      </c>
    </row>
    <row r="241" spans="1:19" hidden="1" x14ac:dyDescent="0.2">
      <c r="A241" s="17" t="s">
        <v>342</v>
      </c>
      <c r="B241" s="17">
        <v>2.0292014459767036E-4</v>
      </c>
      <c r="C241" s="17" t="s">
        <v>85</v>
      </c>
      <c r="D241" s="17" t="s">
        <v>56</v>
      </c>
      <c r="F241" s="17" t="s">
        <v>86</v>
      </c>
      <c r="G241" s="17" t="s">
        <v>343</v>
      </c>
      <c r="I241" s="17">
        <v>2</v>
      </c>
      <c r="J241">
        <f t="shared" si="11"/>
        <v>-8.5026980326814225</v>
      </c>
      <c r="K241" s="13">
        <v>1.05</v>
      </c>
      <c r="L241" s="13">
        <v>1.1000000000000001</v>
      </c>
      <c r="M241" s="13">
        <v>1.03</v>
      </c>
      <c r="N241" s="13">
        <v>1.02</v>
      </c>
      <c r="O241" s="13">
        <v>1.2</v>
      </c>
      <c r="P241" s="13">
        <v>1.2</v>
      </c>
      <c r="Q241">
        <v>1.05</v>
      </c>
      <c r="R241">
        <f t="shared" si="12"/>
        <v>0.14282258014318117</v>
      </c>
    </row>
    <row r="242" spans="1:19" hidden="1" x14ac:dyDescent="0.2">
      <c r="A242" s="17" t="s">
        <v>344</v>
      </c>
      <c r="B242" s="17">
        <v>3.1235999999999997E-4</v>
      </c>
      <c r="C242" s="17" t="s">
        <v>85</v>
      </c>
      <c r="D242" s="17" t="s">
        <v>56</v>
      </c>
      <c r="F242" s="17" t="s">
        <v>86</v>
      </c>
      <c r="G242" s="17" t="s">
        <v>345</v>
      </c>
      <c r="I242" s="17">
        <v>2</v>
      </c>
      <c r="J242">
        <f t="shared" si="11"/>
        <v>-8.0713541891697993</v>
      </c>
      <c r="K242" s="13">
        <v>1.05</v>
      </c>
      <c r="L242" s="13">
        <v>1.1000000000000001</v>
      </c>
      <c r="M242" s="13">
        <v>1.03</v>
      </c>
      <c r="N242" s="13">
        <v>1.02</v>
      </c>
      <c r="O242" s="13">
        <v>1.2</v>
      </c>
      <c r="P242" s="13">
        <v>1.2</v>
      </c>
      <c r="Q242">
        <v>1.05</v>
      </c>
      <c r="R242">
        <f t="shared" si="12"/>
        <v>0.14282258014318117</v>
      </c>
    </row>
    <row r="243" spans="1:19" hidden="1" x14ac:dyDescent="0.2">
      <c r="A243" s="17" t="s">
        <v>346</v>
      </c>
      <c r="B243" s="17">
        <v>4.8000000000000001E-5</v>
      </c>
      <c r="C243" s="17" t="s">
        <v>90</v>
      </c>
      <c r="D243" s="17" t="s">
        <v>56</v>
      </c>
      <c r="F243" s="17" t="s">
        <v>86</v>
      </c>
      <c r="G243" s="17" t="s">
        <v>347</v>
      </c>
      <c r="I243" s="17">
        <v>2</v>
      </c>
      <c r="J243">
        <f t="shared" si="11"/>
        <v>-9.9443095470563829</v>
      </c>
      <c r="K243" s="13">
        <v>1.05</v>
      </c>
      <c r="L243" s="13">
        <v>1.1000000000000001</v>
      </c>
      <c r="M243" s="13">
        <v>1.03</v>
      </c>
      <c r="N243" s="13">
        <v>1.02</v>
      </c>
      <c r="O243" s="13">
        <v>1.2</v>
      </c>
      <c r="P243" s="13">
        <v>1.2</v>
      </c>
      <c r="Q243">
        <v>1.05</v>
      </c>
      <c r="R243">
        <f t="shared" si="12"/>
        <v>0.14282258014318117</v>
      </c>
    </row>
    <row r="244" spans="1:19" hidden="1" x14ac:dyDescent="0.2">
      <c r="A244" s="17" t="s">
        <v>170</v>
      </c>
      <c r="B244" s="17">
        <v>1.1591999999999998E-5</v>
      </c>
      <c r="C244" s="17" t="s">
        <v>85</v>
      </c>
      <c r="D244" s="17" t="s">
        <v>56</v>
      </c>
      <c r="F244" s="17" t="s">
        <v>86</v>
      </c>
      <c r="G244" s="17" t="s">
        <v>171</v>
      </c>
      <c r="I244" s="17">
        <v>2</v>
      </c>
      <c r="J244">
        <f t="shared" si="11"/>
        <v>-11.365195352945893</v>
      </c>
      <c r="K244" s="13">
        <v>1.05</v>
      </c>
      <c r="L244" s="13">
        <v>1.1000000000000001</v>
      </c>
      <c r="M244" s="13">
        <v>1.03</v>
      </c>
      <c r="N244" s="13">
        <v>1.02</v>
      </c>
      <c r="O244" s="13">
        <v>1.2</v>
      </c>
      <c r="P244" s="13">
        <v>1.2</v>
      </c>
      <c r="Q244">
        <v>1.05</v>
      </c>
      <c r="R244">
        <f t="shared" si="12"/>
        <v>0.14282258014318117</v>
      </c>
    </row>
    <row r="245" spans="1:19" hidden="1" x14ac:dyDescent="0.2">
      <c r="A245" s="17" t="s">
        <v>95</v>
      </c>
      <c r="B245" s="17">
        <v>7.5390371329954711</v>
      </c>
      <c r="C245" s="17" t="s">
        <v>96</v>
      </c>
      <c r="D245" s="17" t="s">
        <v>56</v>
      </c>
      <c r="F245" s="17" t="s">
        <v>86</v>
      </c>
      <c r="G245" s="17" t="s">
        <v>97</v>
      </c>
      <c r="I245" s="17">
        <v>2</v>
      </c>
      <c r="J245">
        <f t="shared" si="11"/>
        <v>2.0200944726711385</v>
      </c>
      <c r="K245" s="13">
        <v>1.05</v>
      </c>
      <c r="L245" s="13">
        <v>1.1000000000000001</v>
      </c>
      <c r="M245" s="13">
        <v>1.03</v>
      </c>
      <c r="N245" s="13">
        <v>1.02</v>
      </c>
      <c r="O245" s="13">
        <v>1.2</v>
      </c>
      <c r="P245" s="13">
        <v>1.2</v>
      </c>
      <c r="Q245">
        <v>1.05</v>
      </c>
      <c r="R245">
        <f t="shared" si="12"/>
        <v>0.14282258014318117</v>
      </c>
    </row>
    <row r="246" spans="1:19" hidden="1" x14ac:dyDescent="0.2">
      <c r="A246" s="17" t="s">
        <v>348</v>
      </c>
      <c r="B246" s="17">
        <v>8.8290154606725723E-4</v>
      </c>
      <c r="C246" s="17" t="s">
        <v>85</v>
      </c>
      <c r="D246" s="17" t="s">
        <v>56</v>
      </c>
      <c r="F246" s="17" t="s">
        <v>86</v>
      </c>
      <c r="G246" s="17" t="s">
        <v>349</v>
      </c>
      <c r="I246" s="17">
        <v>2</v>
      </c>
      <c r="J246">
        <f t="shared" si="11"/>
        <v>-7.0322968629344089</v>
      </c>
      <c r="K246" s="13">
        <v>1.05</v>
      </c>
      <c r="L246" s="13">
        <v>1.1000000000000001</v>
      </c>
      <c r="M246" s="13">
        <v>1.03</v>
      </c>
      <c r="N246" s="13">
        <v>1.02</v>
      </c>
      <c r="O246" s="13">
        <v>1.2</v>
      </c>
      <c r="P246" s="13">
        <v>1.2</v>
      </c>
      <c r="Q246">
        <v>1.05</v>
      </c>
      <c r="R246">
        <f t="shared" si="12"/>
        <v>0.14282258014318117</v>
      </c>
    </row>
    <row r="247" spans="1:19" hidden="1" x14ac:dyDescent="0.2">
      <c r="A247" s="17" t="s">
        <v>350</v>
      </c>
      <c r="B247" s="17">
        <v>3.7140000000000003E-4</v>
      </c>
      <c r="C247" s="17" t="s">
        <v>85</v>
      </c>
      <c r="D247" s="17" t="s">
        <v>56</v>
      </c>
      <c r="F247" s="17" t="s">
        <v>86</v>
      </c>
      <c r="G247" s="17" t="s">
        <v>351</v>
      </c>
      <c r="I247" s="17">
        <v>2</v>
      </c>
      <c r="J247">
        <f t="shared" si="11"/>
        <v>-7.8982309090456688</v>
      </c>
      <c r="K247" s="13">
        <v>1.05</v>
      </c>
      <c r="L247" s="13">
        <v>1.1000000000000001</v>
      </c>
      <c r="M247" s="13">
        <v>1.03</v>
      </c>
      <c r="N247" s="13">
        <v>1.02</v>
      </c>
      <c r="O247" s="13">
        <v>1.2</v>
      </c>
      <c r="P247" s="13">
        <v>1.2</v>
      </c>
      <c r="Q247">
        <v>1.05</v>
      </c>
      <c r="R247">
        <f t="shared" si="12"/>
        <v>0.14282258014318117</v>
      </c>
    </row>
    <row r="248" spans="1:19" hidden="1" x14ac:dyDescent="0.2">
      <c r="A248" s="17" t="s">
        <v>352</v>
      </c>
      <c r="B248" s="17">
        <v>-0.10151390957570747</v>
      </c>
      <c r="C248" s="17" t="s">
        <v>90</v>
      </c>
      <c r="D248" s="17" t="s">
        <v>92</v>
      </c>
      <c r="F248" s="17" t="s">
        <v>86</v>
      </c>
      <c r="G248" s="17" t="s">
        <v>353</v>
      </c>
      <c r="I248" s="17">
        <v>2</v>
      </c>
      <c r="J248">
        <f>LN(B248*-1)</f>
        <v>-2.2875594497346858</v>
      </c>
      <c r="K248" s="13">
        <v>1.05</v>
      </c>
      <c r="L248" s="13">
        <v>1.1000000000000001</v>
      </c>
      <c r="M248" s="13">
        <v>1.03</v>
      </c>
      <c r="N248" s="13">
        <v>1.02</v>
      </c>
      <c r="O248" s="13">
        <v>1.2</v>
      </c>
      <c r="P248" s="13">
        <v>1.2</v>
      </c>
      <c r="Q248">
        <v>1.05</v>
      </c>
      <c r="R248">
        <f>LN(SQRT(EXP(
SQRT(
+POWER(LN(K248),2)
+POWER(LN(L248),2)
+POWER(LN(M248),2)
+POWER(LN(N248),2)
+POWER(LN(O248),2)
+POWER(LN(P248),2)
+POWER(LN(Q248),2)
)
)))</f>
        <v>0.14282258014318117</v>
      </c>
      <c r="S248" s="17" t="b">
        <v>1</v>
      </c>
    </row>
    <row r="249" spans="1:19" hidden="1" x14ac:dyDescent="0.2">
      <c r="A249" s="17" t="s">
        <v>361</v>
      </c>
      <c r="B249" s="17">
        <f>(B221*120)/36</f>
        <v>4.3561556341551411</v>
      </c>
      <c r="C249" s="17" t="s">
        <v>64</v>
      </c>
      <c r="D249" s="17" t="s">
        <v>120</v>
      </c>
      <c r="F249" s="17" t="s">
        <v>86</v>
      </c>
      <c r="G249" s="17" t="s">
        <v>354</v>
      </c>
      <c r="I249" s="17">
        <v>2</v>
      </c>
      <c r="J249">
        <f>LN(B249)</f>
        <v>1.471589933118213</v>
      </c>
      <c r="K249" s="13">
        <v>1.05</v>
      </c>
      <c r="L249" s="13">
        <v>1.1000000000000001</v>
      </c>
      <c r="M249" s="13">
        <v>1.03</v>
      </c>
      <c r="N249" s="13">
        <v>1.02</v>
      </c>
      <c r="O249" s="13">
        <v>1.2</v>
      </c>
      <c r="P249" s="13">
        <v>1.2</v>
      </c>
      <c r="Q249">
        <v>1.05</v>
      </c>
      <c r="R249">
        <f t="shared" si="12"/>
        <v>0.14282258014318117</v>
      </c>
    </row>
    <row r="250" spans="1:19" hidden="1" x14ac:dyDescent="0.2">
      <c r="Q250" s="17"/>
    </row>
    <row r="251" spans="1:19" hidden="1" x14ac:dyDescent="0.2">
      <c r="A251" s="19" t="s">
        <v>50</v>
      </c>
      <c r="B251" s="20" t="s">
        <v>1224</v>
      </c>
      <c r="C251" s="21"/>
      <c r="Q251" s="17"/>
    </row>
    <row r="252" spans="1:19" hidden="1" x14ac:dyDescent="0.2">
      <c r="A252" s="22" t="s">
        <v>53</v>
      </c>
      <c r="B252" s="23">
        <v>1</v>
      </c>
      <c r="Q252" s="17"/>
    </row>
    <row r="253" spans="1:19" hidden="1" x14ac:dyDescent="0.2">
      <c r="A253" s="22" t="s">
        <v>51</v>
      </c>
      <c r="B253" t="s">
        <v>1229</v>
      </c>
      <c r="Q253" s="17"/>
    </row>
    <row r="254" spans="1:19" hidden="1" x14ac:dyDescent="0.2">
      <c r="A254" s="22" t="s">
        <v>54</v>
      </c>
      <c r="B254" s="24" t="s">
        <v>1250</v>
      </c>
      <c r="Q254" s="17"/>
    </row>
    <row r="255" spans="1:19" hidden="1" x14ac:dyDescent="0.2">
      <c r="A255" s="22" t="s">
        <v>52</v>
      </c>
      <c r="B255" s="23" t="s">
        <v>64</v>
      </c>
      <c r="Q255" s="17"/>
    </row>
    <row r="256" spans="1:19" hidden="1" x14ac:dyDescent="0.2">
      <c r="A256" s="22" t="s">
        <v>55</v>
      </c>
      <c r="B256" s="25" t="s">
        <v>56</v>
      </c>
      <c r="H256" s="18"/>
      <c r="I256" s="18"/>
      <c r="J256" s="18"/>
      <c r="Q256" s="17"/>
    </row>
    <row r="257" spans="1:19" hidden="1" x14ac:dyDescent="0.2">
      <c r="A257" s="18" t="s">
        <v>57</v>
      </c>
      <c r="B257" s="20"/>
      <c r="C257" s="18"/>
      <c r="D257" s="18"/>
      <c r="E257" s="18"/>
      <c r="F257" s="18"/>
      <c r="G257" s="18"/>
      <c r="H257" s="21"/>
      <c r="I257" s="21"/>
      <c r="J257" s="21"/>
      <c r="Q257" s="17"/>
    </row>
    <row r="258" spans="1:19" hidden="1" x14ac:dyDescent="0.2">
      <c r="A258" s="18" t="s">
        <v>58</v>
      </c>
      <c r="B258" s="18" t="s">
        <v>59</v>
      </c>
      <c r="C258" s="18" t="s">
        <v>52</v>
      </c>
      <c r="D258" s="18" t="s">
        <v>55</v>
      </c>
      <c r="E258" s="18" t="s">
        <v>60</v>
      </c>
      <c r="F258" s="18" t="s">
        <v>61</v>
      </c>
      <c r="G258" s="18" t="s">
        <v>54</v>
      </c>
      <c r="H258" s="18" t="s">
        <v>51</v>
      </c>
      <c r="I258" s="18" t="s">
        <v>221</v>
      </c>
      <c r="J258" s="2" t="s">
        <v>379</v>
      </c>
      <c r="K258" s="62" t="s">
        <v>1059</v>
      </c>
      <c r="L258" s="62" t="s">
        <v>1060</v>
      </c>
      <c r="M258" s="62" t="s">
        <v>1061</v>
      </c>
      <c r="N258" s="62" t="s">
        <v>1062</v>
      </c>
      <c r="O258" s="62" t="s">
        <v>1063</v>
      </c>
      <c r="P258" s="62" t="s">
        <v>1064</v>
      </c>
      <c r="Q258" s="2" t="s">
        <v>1065</v>
      </c>
      <c r="R258" s="2" t="s">
        <v>380</v>
      </c>
      <c r="S258" s="18" t="s">
        <v>1128</v>
      </c>
    </row>
    <row r="259" spans="1:19" hidden="1" x14ac:dyDescent="0.2">
      <c r="A259" s="25" t="str">
        <f>B251</f>
        <v>carbon dioxide storage, at hydrogen production plant, pre, pipeline 200km, storage 1000m</v>
      </c>
      <c r="B259" s="25">
        <v>1</v>
      </c>
      <c r="C259" s="17" t="str">
        <f>B255</f>
        <v>CH</v>
      </c>
      <c r="D259" s="17" t="str">
        <f>B256</f>
        <v>kilogram</v>
      </c>
      <c r="E259" s="21"/>
      <c r="F259" s="17" t="s">
        <v>62</v>
      </c>
      <c r="G259" s="25" t="str">
        <f>B254</f>
        <v>carbon dioxide, stored</v>
      </c>
      <c r="H259" s="21"/>
      <c r="J259"/>
      <c r="K259" s="13"/>
      <c r="L259" s="13"/>
      <c r="M259" s="13"/>
      <c r="N259" s="13"/>
      <c r="O259" s="13"/>
      <c r="P259" s="13"/>
      <c r="Q259"/>
      <c r="R259"/>
    </row>
    <row r="260" spans="1:19" hidden="1" x14ac:dyDescent="0.2">
      <c r="A260" s="17" t="s">
        <v>1230</v>
      </c>
      <c r="B260" s="17">
        <v>9.4800000000000006E-3</v>
      </c>
      <c r="C260" s="17" t="s">
        <v>64</v>
      </c>
      <c r="D260" s="17" t="s">
        <v>92</v>
      </c>
      <c r="F260" s="17" t="s">
        <v>86</v>
      </c>
      <c r="G260" s="17" t="s">
        <v>1227</v>
      </c>
      <c r="I260" s="17">
        <v>2</v>
      </c>
      <c r="J260">
        <f t="shared" ref="J260:J263" si="13">LN(B260)</f>
        <v>-4.6585709627152063</v>
      </c>
      <c r="K260" s="13">
        <v>1.2</v>
      </c>
      <c r="L260" s="13">
        <v>1.2</v>
      </c>
      <c r="M260" s="13">
        <v>1.1000000000000001</v>
      </c>
      <c r="N260" s="13">
        <v>1.02</v>
      </c>
      <c r="O260" s="13">
        <v>1.2</v>
      </c>
      <c r="P260" s="13">
        <v>1.2</v>
      </c>
      <c r="Q260">
        <v>1.05</v>
      </c>
      <c r="R260">
        <f t="shared" ref="R260:R263" si="14">LN(SQRT(EXP(
SQRT(
+POWER(LN(K260),2)
+POWER(LN(L260),2)
+POWER(LN(M260),2)
+POWER(LN(N260),2)
+POWER(LN(O260),2)
+POWER(LN(P260),2)
+POWER(LN(Q260),2)
)
)))</f>
        <v>0.19027693950458713</v>
      </c>
    </row>
    <row r="261" spans="1:19" hidden="1" x14ac:dyDescent="0.2">
      <c r="A261" s="17" t="s">
        <v>1226</v>
      </c>
      <c r="B261" s="17">
        <v>1.5200000000000001E-3</v>
      </c>
      <c r="C261" s="17" t="s">
        <v>90</v>
      </c>
      <c r="D261" s="17" t="s">
        <v>123</v>
      </c>
      <c r="F261" s="17" t="s">
        <v>86</v>
      </c>
      <c r="G261" s="17" t="s">
        <v>1226</v>
      </c>
      <c r="I261" s="17">
        <v>2</v>
      </c>
      <c r="J261">
        <f t="shared" si="13"/>
        <v>-6.4890449441239522</v>
      </c>
      <c r="K261" s="13">
        <v>1.2</v>
      </c>
      <c r="L261" s="13">
        <v>1.2</v>
      </c>
      <c r="M261" s="13">
        <v>1.1000000000000001</v>
      </c>
      <c r="N261" s="13">
        <v>1.02</v>
      </c>
      <c r="O261" s="13">
        <v>1.2</v>
      </c>
      <c r="P261" s="13">
        <v>1.2</v>
      </c>
      <c r="Q261">
        <v>3</v>
      </c>
      <c r="R261">
        <f t="shared" si="14"/>
        <v>0.58081617907945515</v>
      </c>
    </row>
    <row r="262" spans="1:19" hidden="1" x14ac:dyDescent="0.2">
      <c r="A262" s="17" t="s">
        <v>1249</v>
      </c>
      <c r="B262" s="25">
        <v>1.6899999999999999E-8</v>
      </c>
      <c r="C262" s="17" t="s">
        <v>64</v>
      </c>
      <c r="D262" s="17" t="s">
        <v>267</v>
      </c>
      <c r="F262" s="17" t="s">
        <v>86</v>
      </c>
      <c r="G262" s="17" t="s">
        <v>1251</v>
      </c>
      <c r="I262" s="17">
        <v>2</v>
      </c>
      <c r="J262">
        <f t="shared" si="13"/>
        <v>-17.895952215017385</v>
      </c>
      <c r="K262" s="13">
        <v>1.2</v>
      </c>
      <c r="L262" s="13">
        <v>1.2</v>
      </c>
      <c r="M262" s="13">
        <v>1.1000000000000001</v>
      </c>
      <c r="N262" s="13">
        <v>1.02</v>
      </c>
      <c r="O262" s="13">
        <v>1.2</v>
      </c>
      <c r="P262" s="13">
        <v>1.2</v>
      </c>
      <c r="Q262">
        <v>3</v>
      </c>
      <c r="R262">
        <f t="shared" si="14"/>
        <v>0.58081617907945515</v>
      </c>
    </row>
    <row r="263" spans="1:19" hidden="1" x14ac:dyDescent="0.2">
      <c r="A263" s="17" t="s">
        <v>1225</v>
      </c>
      <c r="B263" s="25">
        <v>2.5400000000000001E-11</v>
      </c>
      <c r="C263" s="17" t="s">
        <v>85</v>
      </c>
      <c r="D263" s="17" t="s">
        <v>55</v>
      </c>
      <c r="F263" s="17" t="s">
        <v>86</v>
      </c>
      <c r="G263" s="17" t="s">
        <v>1228</v>
      </c>
      <c r="I263" s="17">
        <v>2</v>
      </c>
      <c r="J263">
        <f t="shared" si="13"/>
        <v>-24.396271941904057</v>
      </c>
      <c r="K263" s="13">
        <v>1.2</v>
      </c>
      <c r="L263" s="13">
        <v>1.2</v>
      </c>
      <c r="M263" s="13">
        <v>1.1000000000000001</v>
      </c>
      <c r="N263" s="13">
        <v>1.02</v>
      </c>
      <c r="O263" s="13">
        <v>1.2</v>
      </c>
      <c r="P263" s="13">
        <v>1.2</v>
      </c>
      <c r="Q263">
        <v>3</v>
      </c>
      <c r="R263">
        <f t="shared" si="14"/>
        <v>0.58081617907945515</v>
      </c>
    </row>
    <row r="264" spans="1:19" hidden="1" x14ac:dyDescent="0.2">
      <c r="Q264" s="17"/>
    </row>
    <row r="265" spans="1:19" customFormat="1" hidden="1" x14ac:dyDescent="0.2">
      <c r="A265" s="2" t="s">
        <v>50</v>
      </c>
      <c r="B265" s="2" t="s">
        <v>1249</v>
      </c>
      <c r="M265" t="s">
        <v>356</v>
      </c>
    </row>
    <row r="266" spans="1:19" customFormat="1" hidden="1" x14ac:dyDescent="0.2">
      <c r="A266" t="s">
        <v>52</v>
      </c>
      <c r="B266" t="s">
        <v>64</v>
      </c>
      <c r="M266" t="s">
        <v>356</v>
      </c>
    </row>
    <row r="267" spans="1:19" customFormat="1" hidden="1" x14ac:dyDescent="0.2">
      <c r="A267" t="s">
        <v>53</v>
      </c>
      <c r="B267">
        <v>1</v>
      </c>
      <c r="M267" t="s">
        <v>356</v>
      </c>
    </row>
    <row r="268" spans="1:19" customFormat="1" hidden="1" x14ac:dyDescent="0.2">
      <c r="A268" t="s">
        <v>54</v>
      </c>
      <c r="B268" t="s">
        <v>1251</v>
      </c>
      <c r="M268" t="s">
        <v>356</v>
      </c>
    </row>
    <row r="269" spans="1:19" customFormat="1" hidden="1" x14ac:dyDescent="0.2">
      <c r="A269" t="s">
        <v>51</v>
      </c>
      <c r="B269" t="s">
        <v>1229</v>
      </c>
    </row>
    <row r="270" spans="1:19" customFormat="1" hidden="1" x14ac:dyDescent="0.2">
      <c r="A270" t="s">
        <v>61</v>
      </c>
      <c r="B270" t="s">
        <v>121</v>
      </c>
      <c r="M270" t="s">
        <v>356</v>
      </c>
    </row>
    <row r="271" spans="1:19" customFormat="1" hidden="1" x14ac:dyDescent="0.2">
      <c r="A271" t="s">
        <v>55</v>
      </c>
      <c r="B271" t="s">
        <v>267</v>
      </c>
      <c r="M271" t="s">
        <v>356</v>
      </c>
    </row>
    <row r="272" spans="1:19" customFormat="1" hidden="1" x14ac:dyDescent="0.2">
      <c r="A272" s="2" t="s">
        <v>57</v>
      </c>
      <c r="M272" t="s">
        <v>356</v>
      </c>
    </row>
    <row r="273" spans="1:19" customFormat="1" hidden="1" x14ac:dyDescent="0.2">
      <c r="A273" s="2" t="s">
        <v>58</v>
      </c>
      <c r="B273" s="2" t="s">
        <v>59</v>
      </c>
      <c r="C273" s="2" t="s">
        <v>52</v>
      </c>
      <c r="D273" s="2" t="s">
        <v>55</v>
      </c>
      <c r="E273" s="2" t="s">
        <v>60</v>
      </c>
      <c r="F273" s="2" t="s">
        <v>61</v>
      </c>
      <c r="G273" s="18" t="s">
        <v>54</v>
      </c>
      <c r="H273" s="18" t="s">
        <v>51</v>
      </c>
      <c r="I273" s="2" t="s">
        <v>221</v>
      </c>
      <c r="J273" s="2" t="s">
        <v>379</v>
      </c>
      <c r="K273" s="62" t="s">
        <v>1059</v>
      </c>
      <c r="L273" s="62" t="s">
        <v>1060</v>
      </c>
      <c r="M273" s="62" t="s">
        <v>1061</v>
      </c>
      <c r="N273" s="62" t="s">
        <v>1062</v>
      </c>
      <c r="O273" s="62" t="s">
        <v>1063</v>
      </c>
      <c r="P273" s="62" t="s">
        <v>1064</v>
      </c>
      <c r="Q273" s="2" t="s">
        <v>1065</v>
      </c>
      <c r="R273" s="2" t="s">
        <v>380</v>
      </c>
      <c r="S273" s="18" t="s">
        <v>1128</v>
      </c>
    </row>
    <row r="274" spans="1:19" customFormat="1" hidden="1" x14ac:dyDescent="0.2">
      <c r="A274" t="s">
        <v>1272</v>
      </c>
      <c r="B274">
        <v>4.7800000000000002E-7</v>
      </c>
      <c r="D274" t="s">
        <v>56</v>
      </c>
      <c r="E274" t="s">
        <v>409</v>
      </c>
      <c r="F274" t="s">
        <v>99</v>
      </c>
      <c r="G274" s="17"/>
      <c r="H274" s="17"/>
      <c r="I274">
        <v>2</v>
      </c>
      <c r="J274">
        <f t="shared" ref="J274:J312" si="15">LN(B274)</f>
        <v>-14.553655104454956</v>
      </c>
      <c r="K274" s="13">
        <v>1.2</v>
      </c>
      <c r="L274" s="13">
        <v>1.2</v>
      </c>
      <c r="M274" s="13">
        <v>1.1000000000000001</v>
      </c>
      <c r="N274" s="13">
        <v>1.02</v>
      </c>
      <c r="O274" s="13">
        <v>1.2</v>
      </c>
      <c r="P274" s="13">
        <v>1.2</v>
      </c>
      <c r="Q274">
        <v>1.05</v>
      </c>
      <c r="R274">
        <f t="shared" ref="R274" si="16">LN(SQRT(EXP(
SQRT(
+POWER(LN(K274),2)
+POWER(LN(L274),2)
+POWER(LN(M274),2)
+POWER(LN(N274),2)
+POWER(LN(O274),2)
+POWER(LN(P274),2)
+POWER(LN(Q274),2)
)
)))</f>
        <v>0.19027693950458713</v>
      </c>
    </row>
    <row r="275" spans="1:19" customFormat="1" hidden="1" x14ac:dyDescent="0.2">
      <c r="A275" t="s">
        <v>1273</v>
      </c>
      <c r="B275">
        <v>0.06</v>
      </c>
      <c r="D275" t="s">
        <v>56</v>
      </c>
      <c r="E275" t="s">
        <v>409</v>
      </c>
      <c r="F275" t="s">
        <v>99</v>
      </c>
      <c r="G275" s="17"/>
      <c r="H275" s="17"/>
      <c r="I275">
        <v>2</v>
      </c>
      <c r="J275">
        <f t="shared" si="15"/>
        <v>-2.8134107167600364</v>
      </c>
      <c r="K275" s="13">
        <v>1.2</v>
      </c>
      <c r="L275" s="13">
        <v>1.2</v>
      </c>
      <c r="M275" s="13">
        <v>1.1000000000000001</v>
      </c>
      <c r="N275" s="13">
        <v>1.02</v>
      </c>
      <c r="O275" s="13">
        <v>1.2</v>
      </c>
      <c r="P275" s="13">
        <v>1.2</v>
      </c>
      <c r="Q275">
        <v>1.05</v>
      </c>
      <c r="R275">
        <f t="shared" ref="R275:R295" si="17">LN(SQRT(EXP(
SQRT(
+POWER(LN(K275),2)
+POWER(LN(L275),2)
+POWER(LN(M275),2)
+POWER(LN(N275),2)
+POWER(LN(O275),2)
+POWER(LN(P275),2)
+POWER(LN(Q275),2)
)
)))</f>
        <v>0.19027693950458713</v>
      </c>
    </row>
    <row r="276" spans="1:19" customFormat="1" hidden="1" x14ac:dyDescent="0.2">
      <c r="A276" t="s">
        <v>652</v>
      </c>
      <c r="B276">
        <v>4.2000000000000002E-4</v>
      </c>
      <c r="D276" t="s">
        <v>56</v>
      </c>
      <c r="E276" t="s">
        <v>409</v>
      </c>
      <c r="F276" t="s">
        <v>99</v>
      </c>
      <c r="G276" s="17"/>
      <c r="H276" s="17"/>
      <c r="I276">
        <v>2</v>
      </c>
      <c r="J276">
        <f t="shared" si="15"/>
        <v>-7.7752558466868598</v>
      </c>
      <c r="K276" s="13">
        <v>1.2</v>
      </c>
      <c r="L276" s="13">
        <v>1.2</v>
      </c>
      <c r="M276" s="13">
        <v>1.1000000000000001</v>
      </c>
      <c r="N276" s="13">
        <v>1.02</v>
      </c>
      <c r="O276" s="13">
        <v>1.2</v>
      </c>
      <c r="P276" s="13">
        <v>1.2</v>
      </c>
      <c r="Q276">
        <v>1.05</v>
      </c>
      <c r="R276">
        <f t="shared" si="17"/>
        <v>0.19027693950458713</v>
      </c>
    </row>
    <row r="277" spans="1:19" customFormat="1" hidden="1" x14ac:dyDescent="0.2">
      <c r="A277" t="s">
        <v>208</v>
      </c>
      <c r="B277">
        <v>0.3</v>
      </c>
      <c r="D277" t="s">
        <v>56</v>
      </c>
      <c r="E277" t="s">
        <v>409</v>
      </c>
      <c r="F277" t="s">
        <v>99</v>
      </c>
      <c r="G277" s="17"/>
      <c r="H277" s="17"/>
      <c r="I277">
        <v>2</v>
      </c>
      <c r="J277">
        <f t="shared" si="15"/>
        <v>-1.2039728043259361</v>
      </c>
      <c r="K277" s="13">
        <v>1.2</v>
      </c>
      <c r="L277" s="13">
        <v>1.2</v>
      </c>
      <c r="M277" s="13">
        <v>1.1000000000000001</v>
      </c>
      <c r="N277" s="13">
        <v>1.02</v>
      </c>
      <c r="O277" s="13">
        <v>1.2</v>
      </c>
      <c r="P277" s="13">
        <v>1.2</v>
      </c>
      <c r="Q277">
        <v>1.05</v>
      </c>
      <c r="R277">
        <f t="shared" si="17"/>
        <v>0.19027693950458713</v>
      </c>
    </row>
    <row r="278" spans="1:19" customFormat="1" hidden="1" x14ac:dyDescent="0.2">
      <c r="A278" t="s">
        <v>1274</v>
      </c>
      <c r="B278">
        <v>6.0000000000000001E-3</v>
      </c>
      <c r="D278" t="s">
        <v>56</v>
      </c>
      <c r="E278" t="s">
        <v>409</v>
      </c>
      <c r="F278" t="s">
        <v>99</v>
      </c>
      <c r="G278" s="17"/>
      <c r="H278" s="17"/>
      <c r="I278">
        <v>2</v>
      </c>
      <c r="J278">
        <f t="shared" si="15"/>
        <v>-5.1159958097540823</v>
      </c>
      <c r="K278" s="13">
        <v>1.2</v>
      </c>
      <c r="L278" s="13">
        <v>1.2</v>
      </c>
      <c r="M278" s="13">
        <v>1.1000000000000001</v>
      </c>
      <c r="N278" s="13">
        <v>1.02</v>
      </c>
      <c r="O278" s="13">
        <v>1.2</v>
      </c>
      <c r="P278" s="13">
        <v>1.2</v>
      </c>
      <c r="Q278">
        <v>1.05</v>
      </c>
      <c r="R278">
        <f t="shared" si="17"/>
        <v>0.19027693950458713</v>
      </c>
    </row>
    <row r="279" spans="1:19" customFormat="1" hidden="1" x14ac:dyDescent="0.2">
      <c r="A279" t="s">
        <v>1231</v>
      </c>
      <c r="B279">
        <v>8.9999999999999993E-3</v>
      </c>
      <c r="D279" t="s">
        <v>56</v>
      </c>
      <c r="E279" t="s">
        <v>409</v>
      </c>
      <c r="F279" t="s">
        <v>99</v>
      </c>
      <c r="G279" s="17"/>
      <c r="H279" s="17"/>
      <c r="I279">
        <v>2</v>
      </c>
      <c r="J279">
        <f t="shared" si="15"/>
        <v>-4.7105307016459177</v>
      </c>
      <c r="K279" s="13">
        <v>1.2</v>
      </c>
      <c r="L279" s="13">
        <v>1.2</v>
      </c>
      <c r="M279" s="13">
        <v>1.1000000000000001</v>
      </c>
      <c r="N279" s="13">
        <v>1.02</v>
      </c>
      <c r="O279" s="13">
        <v>1.2</v>
      </c>
      <c r="P279" s="13">
        <v>1.2</v>
      </c>
      <c r="Q279">
        <v>1.05</v>
      </c>
      <c r="R279">
        <f t="shared" si="17"/>
        <v>0.19027693950458713</v>
      </c>
    </row>
    <row r="280" spans="1:19" customFormat="1" hidden="1" x14ac:dyDescent="0.2">
      <c r="A280" t="s">
        <v>210</v>
      </c>
      <c r="B280">
        <v>3</v>
      </c>
      <c r="D280" t="s">
        <v>56</v>
      </c>
      <c r="E280" t="s">
        <v>409</v>
      </c>
      <c r="F280" t="s">
        <v>99</v>
      </c>
      <c r="G280" s="17"/>
      <c r="H280" s="17"/>
      <c r="I280">
        <v>2</v>
      </c>
      <c r="J280">
        <f t="shared" si="15"/>
        <v>1.0986122886681098</v>
      </c>
      <c r="K280" s="13">
        <v>1.2</v>
      </c>
      <c r="L280" s="13">
        <v>1.2</v>
      </c>
      <c r="M280" s="13">
        <v>1.1000000000000001</v>
      </c>
      <c r="N280" s="13">
        <v>1.02</v>
      </c>
      <c r="O280" s="13">
        <v>1.2</v>
      </c>
      <c r="P280" s="13">
        <v>1.2</v>
      </c>
      <c r="Q280">
        <v>1.05</v>
      </c>
      <c r="R280">
        <f t="shared" si="17"/>
        <v>0.19027693950458713</v>
      </c>
    </row>
    <row r="281" spans="1:19" customFormat="1" hidden="1" x14ac:dyDescent="0.2">
      <c r="A281" t="s">
        <v>1275</v>
      </c>
      <c r="B281">
        <v>0.6</v>
      </c>
      <c r="D281" t="s">
        <v>56</v>
      </c>
      <c r="E281" t="s">
        <v>409</v>
      </c>
      <c r="F281" t="s">
        <v>99</v>
      </c>
      <c r="G281" s="17"/>
      <c r="H281" s="17"/>
      <c r="I281">
        <v>2</v>
      </c>
      <c r="J281">
        <f t="shared" si="15"/>
        <v>-0.51082562376599072</v>
      </c>
      <c r="K281" s="13">
        <v>1.2</v>
      </c>
      <c r="L281" s="13">
        <v>1.2</v>
      </c>
      <c r="M281" s="13">
        <v>1.1000000000000001</v>
      </c>
      <c r="N281" s="13">
        <v>1.02</v>
      </c>
      <c r="O281" s="13">
        <v>1.2</v>
      </c>
      <c r="P281" s="13">
        <v>1.2</v>
      </c>
      <c r="Q281">
        <v>1.05</v>
      </c>
      <c r="R281">
        <f t="shared" si="17"/>
        <v>0.19027693950458713</v>
      </c>
    </row>
    <row r="282" spans="1:19" customFormat="1" hidden="1" x14ac:dyDescent="0.2">
      <c r="A282" t="s">
        <v>211</v>
      </c>
      <c r="B282">
        <v>6</v>
      </c>
      <c r="D282" t="s">
        <v>56</v>
      </c>
      <c r="E282" t="s">
        <v>409</v>
      </c>
      <c r="F282" t="s">
        <v>99</v>
      </c>
      <c r="G282" s="17"/>
      <c r="H282" s="17"/>
      <c r="I282">
        <v>2</v>
      </c>
      <c r="J282">
        <f t="shared" si="15"/>
        <v>1.791759469228055</v>
      </c>
      <c r="K282" s="13">
        <v>1.2</v>
      </c>
      <c r="L282" s="13">
        <v>1.2</v>
      </c>
      <c r="M282" s="13">
        <v>1.1000000000000001</v>
      </c>
      <c r="N282" s="13">
        <v>1.02</v>
      </c>
      <c r="O282" s="13">
        <v>1.2</v>
      </c>
      <c r="P282" s="13">
        <v>1.2</v>
      </c>
      <c r="Q282">
        <v>1.05</v>
      </c>
      <c r="R282">
        <f t="shared" si="17"/>
        <v>0.19027693950458713</v>
      </c>
    </row>
    <row r="283" spans="1:19" customFormat="1" hidden="1" x14ac:dyDescent="0.2">
      <c r="A283" t="s">
        <v>787</v>
      </c>
      <c r="B283">
        <v>5.9999999999999995E-4</v>
      </c>
      <c r="D283" t="s">
        <v>56</v>
      </c>
      <c r="E283" t="s">
        <v>409</v>
      </c>
      <c r="F283" t="s">
        <v>99</v>
      </c>
      <c r="G283" s="17"/>
      <c r="H283" s="17"/>
      <c r="I283">
        <v>2</v>
      </c>
      <c r="J283">
        <f t="shared" si="15"/>
        <v>-7.4185809027481282</v>
      </c>
      <c r="K283" s="13">
        <v>1.2</v>
      </c>
      <c r="L283" s="13">
        <v>1.2</v>
      </c>
      <c r="M283" s="13">
        <v>1.1000000000000001</v>
      </c>
      <c r="N283" s="13">
        <v>1.02</v>
      </c>
      <c r="O283" s="13">
        <v>1.2</v>
      </c>
      <c r="P283" s="13">
        <v>1.2</v>
      </c>
      <c r="Q283">
        <v>1.05</v>
      </c>
      <c r="R283">
        <f t="shared" si="17"/>
        <v>0.19027693950458713</v>
      </c>
    </row>
    <row r="284" spans="1:19" customFormat="1" hidden="1" x14ac:dyDescent="0.2">
      <c r="A284" t="s">
        <v>1232</v>
      </c>
      <c r="B284">
        <v>0.3</v>
      </c>
      <c r="D284" t="s">
        <v>56</v>
      </c>
      <c r="E284" t="s">
        <v>409</v>
      </c>
      <c r="F284" t="s">
        <v>99</v>
      </c>
      <c r="G284" s="17"/>
      <c r="H284" s="17"/>
      <c r="I284">
        <v>2</v>
      </c>
      <c r="J284">
        <f t="shared" si="15"/>
        <v>-1.2039728043259361</v>
      </c>
      <c r="K284" s="13">
        <v>1.2</v>
      </c>
      <c r="L284" s="13">
        <v>1.2</v>
      </c>
      <c r="M284" s="13">
        <v>1.1000000000000001</v>
      </c>
      <c r="N284" s="13">
        <v>1.02</v>
      </c>
      <c r="O284" s="13">
        <v>1.2</v>
      </c>
      <c r="P284" s="13">
        <v>1.2</v>
      </c>
      <c r="Q284">
        <v>1.05</v>
      </c>
      <c r="R284">
        <f t="shared" si="17"/>
        <v>0.19027693950458713</v>
      </c>
    </row>
    <row r="285" spans="1:19" customFormat="1" hidden="1" x14ac:dyDescent="0.2">
      <c r="A285" t="s">
        <v>1233</v>
      </c>
      <c r="B285">
        <v>3.0000000000000001E-3</v>
      </c>
      <c r="D285" t="s">
        <v>56</v>
      </c>
      <c r="E285" t="s">
        <v>409</v>
      </c>
      <c r="F285" t="s">
        <v>99</v>
      </c>
      <c r="G285" s="17"/>
      <c r="H285" s="17"/>
      <c r="I285">
        <v>2</v>
      </c>
      <c r="J285">
        <f t="shared" si="15"/>
        <v>-5.8091429903140277</v>
      </c>
      <c r="K285" s="13">
        <v>1.2</v>
      </c>
      <c r="L285" s="13">
        <v>1.2</v>
      </c>
      <c r="M285" s="13">
        <v>1.1000000000000001</v>
      </c>
      <c r="N285" s="13">
        <v>1.02</v>
      </c>
      <c r="O285" s="13">
        <v>1.2</v>
      </c>
      <c r="P285" s="13">
        <v>1.2</v>
      </c>
      <c r="Q285">
        <v>1.05</v>
      </c>
      <c r="R285">
        <f t="shared" si="17"/>
        <v>0.19027693950458713</v>
      </c>
    </row>
    <row r="286" spans="1:19" customFormat="1" hidden="1" x14ac:dyDescent="0.2">
      <c r="A286" t="s">
        <v>1234</v>
      </c>
      <c r="B286">
        <v>3.0000000000000001E-3</v>
      </c>
      <c r="D286" t="s">
        <v>56</v>
      </c>
      <c r="E286" t="s">
        <v>409</v>
      </c>
      <c r="F286" t="s">
        <v>99</v>
      </c>
      <c r="G286" s="17"/>
      <c r="H286" s="17"/>
      <c r="I286">
        <v>2</v>
      </c>
      <c r="J286">
        <f t="shared" si="15"/>
        <v>-5.8091429903140277</v>
      </c>
      <c r="K286" s="13">
        <v>1.2</v>
      </c>
      <c r="L286" s="13">
        <v>1.2</v>
      </c>
      <c r="M286" s="13">
        <v>1.1000000000000001</v>
      </c>
      <c r="N286" s="13">
        <v>1.02</v>
      </c>
      <c r="O286" s="13">
        <v>1.2</v>
      </c>
      <c r="P286" s="13">
        <v>1.2</v>
      </c>
      <c r="Q286">
        <v>1.05</v>
      </c>
      <c r="R286">
        <f t="shared" si="17"/>
        <v>0.19027693950458713</v>
      </c>
    </row>
    <row r="287" spans="1:19" customFormat="1" hidden="1" x14ac:dyDescent="0.2">
      <c r="A287" t="s">
        <v>657</v>
      </c>
      <c r="B287">
        <v>0.18</v>
      </c>
      <c r="D287" t="s">
        <v>56</v>
      </c>
      <c r="E287" t="s">
        <v>409</v>
      </c>
      <c r="F287" t="s">
        <v>99</v>
      </c>
      <c r="G287" s="17"/>
      <c r="H287" s="17"/>
      <c r="I287">
        <v>2</v>
      </c>
      <c r="J287">
        <f t="shared" si="15"/>
        <v>-1.7147984280919266</v>
      </c>
      <c r="K287" s="13">
        <v>1.2</v>
      </c>
      <c r="L287" s="13">
        <v>1.2</v>
      </c>
      <c r="M287" s="13">
        <v>1.1000000000000001</v>
      </c>
      <c r="N287" s="13">
        <v>1.02</v>
      </c>
      <c r="O287" s="13">
        <v>1.2</v>
      </c>
      <c r="P287" s="13">
        <v>1.2</v>
      </c>
      <c r="Q287">
        <v>1.05</v>
      </c>
      <c r="R287">
        <f t="shared" si="17"/>
        <v>0.19027693950458713</v>
      </c>
    </row>
    <row r="288" spans="1:19" customFormat="1" hidden="1" x14ac:dyDescent="0.2">
      <c r="A288" t="s">
        <v>1235</v>
      </c>
      <c r="B288">
        <v>0.12</v>
      </c>
      <c r="D288" t="s">
        <v>56</v>
      </c>
      <c r="E288" t="s">
        <v>409</v>
      </c>
      <c r="F288" t="s">
        <v>99</v>
      </c>
      <c r="G288" s="17"/>
      <c r="H288" s="17"/>
      <c r="I288">
        <v>2</v>
      </c>
      <c r="J288">
        <f t="shared" si="15"/>
        <v>-2.120263536200091</v>
      </c>
      <c r="K288" s="13">
        <v>1.2</v>
      </c>
      <c r="L288" s="13">
        <v>1.2</v>
      </c>
      <c r="M288" s="13">
        <v>1.1000000000000001</v>
      </c>
      <c r="N288" s="13">
        <v>1.02</v>
      </c>
      <c r="O288" s="13">
        <v>1.2</v>
      </c>
      <c r="P288" s="13">
        <v>1.2</v>
      </c>
      <c r="Q288">
        <v>1.05</v>
      </c>
      <c r="R288">
        <f t="shared" si="17"/>
        <v>0.19027693950458713</v>
      </c>
    </row>
    <row r="289" spans="1:18" customFormat="1" hidden="1" x14ac:dyDescent="0.2">
      <c r="A289" t="s">
        <v>1276</v>
      </c>
      <c r="B289">
        <v>3.0000000000000001E-3</v>
      </c>
      <c r="D289" t="s">
        <v>56</v>
      </c>
      <c r="E289" t="s">
        <v>409</v>
      </c>
      <c r="F289" t="s">
        <v>99</v>
      </c>
      <c r="G289" s="17"/>
      <c r="H289" s="17"/>
      <c r="I289">
        <v>2</v>
      </c>
      <c r="J289">
        <f t="shared" si="15"/>
        <v>-5.8091429903140277</v>
      </c>
      <c r="K289" s="13">
        <v>1.2</v>
      </c>
      <c r="L289" s="13">
        <v>1.2</v>
      </c>
      <c r="M289" s="13">
        <v>1.1000000000000001</v>
      </c>
      <c r="N289" s="13">
        <v>1.02</v>
      </c>
      <c r="O289" s="13">
        <v>1.2</v>
      </c>
      <c r="P289" s="13">
        <v>1.2</v>
      </c>
      <c r="Q289">
        <v>1.05</v>
      </c>
      <c r="R289">
        <f t="shared" si="17"/>
        <v>0.19027693950458713</v>
      </c>
    </row>
    <row r="290" spans="1:18" customFormat="1" hidden="1" x14ac:dyDescent="0.2">
      <c r="A290" t="s">
        <v>788</v>
      </c>
      <c r="B290">
        <v>0.06</v>
      </c>
      <c r="D290" t="s">
        <v>56</v>
      </c>
      <c r="E290" t="s">
        <v>409</v>
      </c>
      <c r="F290" t="s">
        <v>99</v>
      </c>
      <c r="G290" s="17"/>
      <c r="H290" s="17"/>
      <c r="I290">
        <v>2</v>
      </c>
      <c r="J290">
        <f t="shared" si="15"/>
        <v>-2.8134107167600364</v>
      </c>
      <c r="K290" s="13">
        <v>1.2</v>
      </c>
      <c r="L290" s="13">
        <v>1.2</v>
      </c>
      <c r="M290" s="13">
        <v>1.1000000000000001</v>
      </c>
      <c r="N290" s="13">
        <v>1.02</v>
      </c>
      <c r="O290" s="13">
        <v>1.2</v>
      </c>
      <c r="P290" s="13">
        <v>1.2</v>
      </c>
      <c r="Q290">
        <v>1.05</v>
      </c>
      <c r="R290">
        <f t="shared" si="17"/>
        <v>0.19027693950458713</v>
      </c>
    </row>
    <row r="291" spans="1:18" customFormat="1" hidden="1" x14ac:dyDescent="0.2">
      <c r="A291" t="s">
        <v>654</v>
      </c>
      <c r="B291">
        <v>1.4800000000000001E-2</v>
      </c>
      <c r="D291" t="s">
        <v>56</v>
      </c>
      <c r="E291" t="s">
        <v>1236</v>
      </c>
      <c r="F291" t="s">
        <v>99</v>
      </c>
      <c r="G291" s="17"/>
      <c r="H291" s="17"/>
      <c r="I291">
        <v>2</v>
      </c>
      <c r="J291">
        <f t="shared" si="15"/>
        <v>-4.213128098212068</v>
      </c>
      <c r="K291" s="13">
        <v>1.2</v>
      </c>
      <c r="L291" s="13">
        <v>1.2</v>
      </c>
      <c r="M291" s="13">
        <v>1.1000000000000001</v>
      </c>
      <c r="N291" s="13">
        <v>1.02</v>
      </c>
      <c r="O291" s="13">
        <v>1.2</v>
      </c>
      <c r="P291" s="13">
        <v>1.2</v>
      </c>
      <c r="Q291">
        <v>1.05</v>
      </c>
      <c r="R291">
        <f t="shared" si="17"/>
        <v>0.19027693950458713</v>
      </c>
    </row>
    <row r="292" spans="1:18" customFormat="1" hidden="1" x14ac:dyDescent="0.2">
      <c r="A292" t="s">
        <v>215</v>
      </c>
      <c r="B292">
        <v>1.1999999999999999E-3</v>
      </c>
      <c r="D292" t="s">
        <v>56</v>
      </c>
      <c r="E292" t="s">
        <v>409</v>
      </c>
      <c r="F292" t="s">
        <v>99</v>
      </c>
      <c r="G292" s="17"/>
      <c r="H292" s="17"/>
      <c r="I292">
        <v>2</v>
      </c>
      <c r="J292">
        <f t="shared" si="15"/>
        <v>-6.7254337221881828</v>
      </c>
      <c r="K292" s="13">
        <v>1.2</v>
      </c>
      <c r="L292" s="13">
        <v>1.2</v>
      </c>
      <c r="M292" s="13">
        <v>1.1000000000000001</v>
      </c>
      <c r="N292" s="13">
        <v>1.02</v>
      </c>
      <c r="O292" s="13">
        <v>1.2</v>
      </c>
      <c r="P292" s="13">
        <v>1.2</v>
      </c>
      <c r="Q292">
        <v>1.05</v>
      </c>
      <c r="R292">
        <f t="shared" si="17"/>
        <v>0.19027693950458713</v>
      </c>
    </row>
    <row r="293" spans="1:18" customFormat="1" hidden="1" x14ac:dyDescent="0.2">
      <c r="A293" t="s">
        <v>1277</v>
      </c>
      <c r="B293">
        <v>0.9</v>
      </c>
      <c r="D293" t="s">
        <v>56</v>
      </c>
      <c r="E293" t="s">
        <v>409</v>
      </c>
      <c r="F293" t="s">
        <v>99</v>
      </c>
      <c r="G293" s="17"/>
      <c r="H293" s="17"/>
      <c r="I293">
        <v>2</v>
      </c>
      <c r="J293">
        <f t="shared" si="15"/>
        <v>-0.10536051565782628</v>
      </c>
      <c r="K293" s="13">
        <v>1.2</v>
      </c>
      <c r="L293" s="13">
        <v>1.2</v>
      </c>
      <c r="M293" s="13">
        <v>1.1000000000000001</v>
      </c>
      <c r="N293" s="13">
        <v>1.02</v>
      </c>
      <c r="O293" s="13">
        <v>1.2</v>
      </c>
      <c r="P293" s="13">
        <v>1.2</v>
      </c>
      <c r="Q293">
        <v>1.05</v>
      </c>
      <c r="R293">
        <f t="shared" si="17"/>
        <v>0.19027693950458713</v>
      </c>
    </row>
    <row r="294" spans="1:18" customFormat="1" hidden="1" x14ac:dyDescent="0.2">
      <c r="A294" t="s">
        <v>1237</v>
      </c>
      <c r="B294">
        <v>0.03</v>
      </c>
      <c r="D294" t="s">
        <v>56</v>
      </c>
      <c r="E294" t="s">
        <v>409</v>
      </c>
      <c r="F294" t="s">
        <v>99</v>
      </c>
      <c r="G294" s="17"/>
      <c r="H294" s="17"/>
      <c r="I294">
        <v>2</v>
      </c>
      <c r="J294">
        <f t="shared" si="15"/>
        <v>-3.5065578973199818</v>
      </c>
      <c r="K294" s="13">
        <v>1.2</v>
      </c>
      <c r="L294" s="13">
        <v>1.2</v>
      </c>
      <c r="M294" s="13">
        <v>1.1000000000000001</v>
      </c>
      <c r="N294" s="13">
        <v>1.02</v>
      </c>
      <c r="O294" s="13">
        <v>1.2</v>
      </c>
      <c r="P294" s="13">
        <v>1.2</v>
      </c>
      <c r="Q294">
        <v>1.05</v>
      </c>
      <c r="R294">
        <f t="shared" si="17"/>
        <v>0.19027693950458713</v>
      </c>
    </row>
    <row r="295" spans="1:18" customFormat="1" hidden="1" x14ac:dyDescent="0.2">
      <c r="A295" t="s">
        <v>1280</v>
      </c>
      <c r="B295">
        <v>6</v>
      </c>
      <c r="D295" t="s">
        <v>56</v>
      </c>
      <c r="E295" t="s">
        <v>409</v>
      </c>
      <c r="F295" t="s">
        <v>99</v>
      </c>
      <c r="G295" s="17"/>
      <c r="H295" s="17"/>
      <c r="I295">
        <v>2</v>
      </c>
      <c r="J295">
        <f t="shared" si="15"/>
        <v>1.791759469228055</v>
      </c>
      <c r="K295" s="13">
        <v>1.2</v>
      </c>
      <c r="L295" s="13">
        <v>1.2</v>
      </c>
      <c r="M295" s="13">
        <v>1.1000000000000001</v>
      </c>
      <c r="N295" s="13">
        <v>1.02</v>
      </c>
      <c r="O295" s="13">
        <v>1.2</v>
      </c>
      <c r="P295" s="13">
        <v>1.2</v>
      </c>
      <c r="Q295">
        <v>1.05</v>
      </c>
      <c r="R295">
        <f t="shared" si="17"/>
        <v>0.19027693950458713</v>
      </c>
    </row>
    <row r="296" spans="1:18" customFormat="1" hidden="1" x14ac:dyDescent="0.2">
      <c r="A296" t="s">
        <v>1238</v>
      </c>
      <c r="B296">
        <v>1.7999999999999999E-2</v>
      </c>
      <c r="D296" t="s">
        <v>56</v>
      </c>
      <c r="E296" t="s">
        <v>409</v>
      </c>
      <c r="F296" t="s">
        <v>99</v>
      </c>
      <c r="G296" s="17"/>
      <c r="H296" s="17"/>
      <c r="I296">
        <v>2</v>
      </c>
      <c r="J296">
        <f t="shared" si="15"/>
        <v>-4.0173835210859723</v>
      </c>
      <c r="K296" s="13">
        <v>1.2</v>
      </c>
      <c r="L296" s="13">
        <v>1.2</v>
      </c>
      <c r="M296" s="13">
        <v>1.1000000000000001</v>
      </c>
      <c r="N296" s="13">
        <v>1.02</v>
      </c>
      <c r="O296" s="13">
        <v>1.2</v>
      </c>
      <c r="P296" s="13">
        <v>1.2</v>
      </c>
      <c r="Q296">
        <v>1.05</v>
      </c>
      <c r="R296">
        <f t="shared" ref="R296:R315" si="18">LN(SQRT(EXP(
SQRT(
+POWER(LN(K296),2)
+POWER(LN(L296),2)
+POWER(LN(M296),2)
+POWER(LN(N296),2)
+POWER(LN(O296),2)
+POWER(LN(P296),2)
+POWER(LN(Q296),2)
)
)))</f>
        <v>0.19027693950458713</v>
      </c>
    </row>
    <row r="297" spans="1:18" customFormat="1" hidden="1" x14ac:dyDescent="0.2">
      <c r="A297" t="s">
        <v>1239</v>
      </c>
      <c r="B297">
        <v>0.12</v>
      </c>
      <c r="D297" t="s">
        <v>56</v>
      </c>
      <c r="E297" t="s">
        <v>409</v>
      </c>
      <c r="F297" t="s">
        <v>99</v>
      </c>
      <c r="G297" s="17"/>
      <c r="H297" s="17"/>
      <c r="I297">
        <v>2</v>
      </c>
      <c r="J297">
        <f t="shared" si="15"/>
        <v>-2.120263536200091</v>
      </c>
      <c r="K297" s="13">
        <v>1.2</v>
      </c>
      <c r="L297" s="13">
        <v>1.2</v>
      </c>
      <c r="M297" s="13">
        <v>1.1000000000000001</v>
      </c>
      <c r="N297" s="13">
        <v>1.02</v>
      </c>
      <c r="O297" s="13">
        <v>1.2</v>
      </c>
      <c r="P297" s="13">
        <v>1.2</v>
      </c>
      <c r="Q297">
        <v>1.05</v>
      </c>
      <c r="R297">
        <f t="shared" si="18"/>
        <v>0.19027693950458713</v>
      </c>
    </row>
    <row r="298" spans="1:18" customFormat="1" hidden="1" x14ac:dyDescent="0.2">
      <c r="A298" t="s">
        <v>217</v>
      </c>
      <c r="B298">
        <v>0.3</v>
      </c>
      <c r="D298" t="s">
        <v>56</v>
      </c>
      <c r="E298" t="s">
        <v>409</v>
      </c>
      <c r="F298" t="s">
        <v>99</v>
      </c>
      <c r="G298" s="17"/>
      <c r="H298" s="17"/>
      <c r="I298">
        <v>2</v>
      </c>
      <c r="J298">
        <f t="shared" si="15"/>
        <v>-1.2039728043259361</v>
      </c>
      <c r="K298" s="13">
        <v>1.2</v>
      </c>
      <c r="L298" s="13">
        <v>1.2</v>
      </c>
      <c r="M298" s="13">
        <v>1.1000000000000001</v>
      </c>
      <c r="N298" s="13">
        <v>1.02</v>
      </c>
      <c r="O298" s="13">
        <v>1.2</v>
      </c>
      <c r="P298" s="13">
        <v>1.2</v>
      </c>
      <c r="Q298">
        <v>1.05</v>
      </c>
      <c r="R298">
        <f t="shared" si="18"/>
        <v>0.19027693950458713</v>
      </c>
    </row>
    <row r="299" spans="1:18" customFormat="1" hidden="1" x14ac:dyDescent="0.2">
      <c r="A299" t="s">
        <v>1240</v>
      </c>
      <c r="B299">
        <v>3.34</v>
      </c>
      <c r="D299" t="s">
        <v>120</v>
      </c>
      <c r="E299" t="s">
        <v>328</v>
      </c>
      <c r="F299" t="s">
        <v>99</v>
      </c>
      <c r="G299" s="17"/>
      <c r="H299" s="17"/>
      <c r="I299">
        <v>2</v>
      </c>
      <c r="J299">
        <f t="shared" si="15"/>
        <v>1.205970806988609</v>
      </c>
      <c r="K299" s="13">
        <v>1.2</v>
      </c>
      <c r="L299" s="13">
        <v>1.2</v>
      </c>
      <c r="M299" s="13">
        <v>1.1000000000000001</v>
      </c>
      <c r="N299" s="13">
        <v>1.02</v>
      </c>
      <c r="O299" s="13">
        <v>1.2</v>
      </c>
      <c r="P299" s="13">
        <v>1.2</v>
      </c>
      <c r="Q299">
        <v>1.05</v>
      </c>
      <c r="R299">
        <f t="shared" si="18"/>
        <v>0.19027693950458713</v>
      </c>
    </row>
    <row r="300" spans="1:18" customFormat="1" hidden="1" x14ac:dyDescent="0.2">
      <c r="A300" t="s">
        <v>508</v>
      </c>
      <c r="B300">
        <v>1.1999999999999999E-3</v>
      </c>
      <c r="D300" t="s">
        <v>56</v>
      </c>
      <c r="E300" t="s">
        <v>409</v>
      </c>
      <c r="F300" t="s">
        <v>99</v>
      </c>
      <c r="G300" s="17"/>
      <c r="H300" s="17"/>
      <c r="I300">
        <v>2</v>
      </c>
      <c r="J300">
        <f t="shared" si="15"/>
        <v>-6.7254337221881828</v>
      </c>
      <c r="K300" s="13">
        <v>1.2</v>
      </c>
      <c r="L300" s="13">
        <v>1.2</v>
      </c>
      <c r="M300" s="13">
        <v>1.1000000000000001</v>
      </c>
      <c r="N300" s="13">
        <v>1.02</v>
      </c>
      <c r="O300" s="13">
        <v>1.2</v>
      </c>
      <c r="P300" s="13">
        <v>1.2</v>
      </c>
      <c r="Q300">
        <v>1.05</v>
      </c>
      <c r="R300">
        <f t="shared" si="18"/>
        <v>0.19027693950458713</v>
      </c>
    </row>
    <row r="301" spans="1:18" customFormat="1" hidden="1" x14ac:dyDescent="0.2">
      <c r="A301" t="str">
        <f>B265</f>
        <v>drilling, deep borehole</v>
      </c>
      <c r="B301">
        <v>1</v>
      </c>
      <c r="C301" t="s">
        <v>64</v>
      </c>
      <c r="D301" t="s">
        <v>267</v>
      </c>
      <c r="F301" t="s">
        <v>62</v>
      </c>
      <c r="G301" s="17" t="str">
        <f>B268</f>
        <v>deep borehole</v>
      </c>
      <c r="H301" s="17"/>
      <c r="K301" s="13"/>
      <c r="L301" s="13"/>
      <c r="M301" s="13"/>
      <c r="N301" s="13"/>
      <c r="O301" s="13"/>
      <c r="P301" s="13"/>
    </row>
    <row r="302" spans="1:18" customFormat="1" hidden="1" x14ac:dyDescent="0.2">
      <c r="A302" t="s">
        <v>1283</v>
      </c>
      <c r="B302">
        <v>20</v>
      </c>
      <c r="C302" t="s">
        <v>85</v>
      </c>
      <c r="D302" t="s">
        <v>56</v>
      </c>
      <c r="F302" t="s">
        <v>86</v>
      </c>
      <c r="G302" t="s">
        <v>1278</v>
      </c>
      <c r="H302" s="17"/>
      <c r="I302">
        <v>2</v>
      </c>
      <c r="J302">
        <f t="shared" si="15"/>
        <v>2.9957322735539909</v>
      </c>
      <c r="K302" s="13">
        <v>1.2</v>
      </c>
      <c r="L302" s="13">
        <v>1.2</v>
      </c>
      <c r="M302" s="13">
        <v>1.1000000000000001</v>
      </c>
      <c r="N302" s="13">
        <v>1.02</v>
      </c>
      <c r="O302" s="13">
        <v>1.2</v>
      </c>
      <c r="P302" s="13">
        <v>1.2</v>
      </c>
      <c r="Q302">
        <v>1.05</v>
      </c>
      <c r="R302">
        <f t="shared" si="18"/>
        <v>0.19027693950458713</v>
      </c>
    </row>
    <row r="303" spans="1:18" customFormat="1" hidden="1" x14ac:dyDescent="0.2">
      <c r="A303" t="s">
        <v>1282</v>
      </c>
      <c r="B303">
        <v>270</v>
      </c>
      <c r="C303" t="s">
        <v>85</v>
      </c>
      <c r="D303" t="s">
        <v>56</v>
      </c>
      <c r="F303" t="s">
        <v>86</v>
      </c>
      <c r="G303" s="17" t="s">
        <v>1279</v>
      </c>
      <c r="H303" s="17"/>
      <c r="I303">
        <v>2</v>
      </c>
      <c r="J303">
        <f t="shared" si="15"/>
        <v>5.598421958998375</v>
      </c>
      <c r="K303" s="13">
        <v>1.2</v>
      </c>
      <c r="L303" s="13">
        <v>1.2</v>
      </c>
      <c r="M303" s="13">
        <v>1.1000000000000001</v>
      </c>
      <c r="N303" s="13">
        <v>1.02</v>
      </c>
      <c r="O303" s="13">
        <v>1.2</v>
      </c>
      <c r="P303" s="13">
        <v>1.2</v>
      </c>
      <c r="Q303">
        <v>1.05</v>
      </c>
      <c r="R303">
        <f t="shared" si="18"/>
        <v>0.19027693950458713</v>
      </c>
    </row>
    <row r="304" spans="1:18" customFormat="1" hidden="1" x14ac:dyDescent="0.2">
      <c r="A304" t="s">
        <v>515</v>
      </c>
      <c r="B304">
        <v>200</v>
      </c>
      <c r="C304" t="s">
        <v>64</v>
      </c>
      <c r="D304" t="s">
        <v>56</v>
      </c>
      <c r="F304" t="s">
        <v>86</v>
      </c>
      <c r="G304" s="17" t="s">
        <v>516</v>
      </c>
      <c r="H304" s="17"/>
      <c r="I304">
        <v>2</v>
      </c>
      <c r="J304">
        <f t="shared" si="15"/>
        <v>5.2983173665480363</v>
      </c>
      <c r="K304" s="13">
        <v>1.2</v>
      </c>
      <c r="L304" s="13">
        <v>1.2</v>
      </c>
      <c r="M304" s="13">
        <v>1.1000000000000001</v>
      </c>
      <c r="N304" s="13">
        <v>1.02</v>
      </c>
      <c r="O304" s="13">
        <v>1.2</v>
      </c>
      <c r="P304" s="13">
        <v>1.2</v>
      </c>
      <c r="Q304">
        <v>1.05</v>
      </c>
      <c r="R304">
        <f t="shared" si="18"/>
        <v>0.19027693950458713</v>
      </c>
    </row>
    <row r="305" spans="1:19" customFormat="1" hidden="1" x14ac:dyDescent="0.2">
      <c r="A305" t="s">
        <v>1295</v>
      </c>
      <c r="B305">
        <v>6300</v>
      </c>
      <c r="C305" t="s">
        <v>85</v>
      </c>
      <c r="D305" t="s">
        <v>65</v>
      </c>
      <c r="F305" t="s">
        <v>86</v>
      </c>
      <c r="G305" s="17" t="s">
        <v>1241</v>
      </c>
      <c r="H305" s="17"/>
      <c r="I305">
        <v>2</v>
      </c>
      <c r="J305">
        <f t="shared" si="15"/>
        <v>8.7483049123796235</v>
      </c>
      <c r="K305" s="13">
        <v>1.2</v>
      </c>
      <c r="L305" s="13">
        <v>1.2</v>
      </c>
      <c r="M305" s="13">
        <v>1.1000000000000001</v>
      </c>
      <c r="N305" s="13">
        <v>1.02</v>
      </c>
      <c r="O305" s="13">
        <v>1.2</v>
      </c>
      <c r="P305" s="13">
        <v>1.2</v>
      </c>
      <c r="Q305">
        <v>1.05</v>
      </c>
      <c r="R305">
        <f t="shared" si="18"/>
        <v>0.19027693950458713</v>
      </c>
    </row>
    <row r="306" spans="1:19" customFormat="1" hidden="1" x14ac:dyDescent="0.2">
      <c r="A306" t="s">
        <v>1242</v>
      </c>
      <c r="B306">
        <v>0.2</v>
      </c>
      <c r="C306" t="s">
        <v>90</v>
      </c>
      <c r="D306" t="s">
        <v>56</v>
      </c>
      <c r="F306" t="s">
        <v>86</v>
      </c>
      <c r="G306" t="s">
        <v>1243</v>
      </c>
      <c r="H306" s="17"/>
      <c r="I306">
        <v>2</v>
      </c>
      <c r="J306">
        <f t="shared" si="15"/>
        <v>-1.6094379124341003</v>
      </c>
      <c r="K306" s="13">
        <v>1.2</v>
      </c>
      <c r="L306" s="13">
        <v>1.2</v>
      </c>
      <c r="M306" s="13">
        <v>1.1000000000000001</v>
      </c>
      <c r="N306" s="13">
        <v>1.02</v>
      </c>
      <c r="O306" s="13">
        <v>1.2</v>
      </c>
      <c r="P306" s="13">
        <v>1.2</v>
      </c>
      <c r="Q306">
        <v>1.05</v>
      </c>
      <c r="R306">
        <f t="shared" si="18"/>
        <v>0.19027693950458713</v>
      </c>
    </row>
    <row r="307" spans="1:19" customFormat="1" hidden="1" x14ac:dyDescent="0.2">
      <c r="A307" t="s">
        <v>1244</v>
      </c>
      <c r="B307">
        <v>9.0500000000000007</v>
      </c>
      <c r="C307" t="s">
        <v>85</v>
      </c>
      <c r="D307" t="s">
        <v>56</v>
      </c>
      <c r="F307" t="s">
        <v>86</v>
      </c>
      <c r="G307" t="s">
        <v>1245</v>
      </c>
      <c r="H307" s="17"/>
      <c r="I307">
        <v>2</v>
      </c>
      <c r="J307">
        <f t="shared" si="15"/>
        <v>2.2027647577118348</v>
      </c>
      <c r="K307" s="13">
        <v>1.2</v>
      </c>
      <c r="L307" s="13">
        <v>1.2</v>
      </c>
      <c r="M307" s="13">
        <v>1.1000000000000001</v>
      </c>
      <c r="N307" s="13">
        <v>1.02</v>
      </c>
      <c r="O307" s="13">
        <v>1.2</v>
      </c>
      <c r="P307" s="13">
        <v>1.2</v>
      </c>
      <c r="Q307">
        <v>3</v>
      </c>
      <c r="R307">
        <f t="shared" si="18"/>
        <v>0.58081617907945515</v>
      </c>
    </row>
    <row r="308" spans="1:19" customFormat="1" hidden="1" x14ac:dyDescent="0.2">
      <c r="A308" t="s">
        <v>647</v>
      </c>
      <c r="B308">
        <v>42.2</v>
      </c>
      <c r="C308" t="s">
        <v>85</v>
      </c>
      <c r="D308" t="s">
        <v>56</v>
      </c>
      <c r="F308" t="s">
        <v>86</v>
      </c>
      <c r="G308" t="s">
        <v>192</v>
      </c>
      <c r="H308" s="17"/>
      <c r="I308">
        <v>2</v>
      </c>
      <c r="J308">
        <f t="shared" si="15"/>
        <v>3.7424202210419661</v>
      </c>
      <c r="K308" s="13">
        <v>1.2</v>
      </c>
      <c r="L308" s="13">
        <v>1.2</v>
      </c>
      <c r="M308" s="13">
        <v>1.1000000000000001</v>
      </c>
      <c r="N308" s="13">
        <v>1.02</v>
      </c>
      <c r="O308" s="13">
        <v>1.2</v>
      </c>
      <c r="P308" s="13">
        <v>1.2</v>
      </c>
      <c r="Q308">
        <v>3</v>
      </c>
      <c r="R308">
        <f t="shared" si="18"/>
        <v>0.58081617907945515</v>
      </c>
    </row>
    <row r="309" spans="1:19" customFormat="1" hidden="1" x14ac:dyDescent="0.2">
      <c r="A309" t="s">
        <v>156</v>
      </c>
      <c r="B309">
        <v>60</v>
      </c>
      <c r="C309" t="s">
        <v>90</v>
      </c>
      <c r="D309" t="s">
        <v>56</v>
      </c>
      <c r="F309" t="s">
        <v>86</v>
      </c>
      <c r="G309" t="s">
        <v>154</v>
      </c>
      <c r="H309" s="17"/>
      <c r="I309">
        <v>2</v>
      </c>
      <c r="J309">
        <f t="shared" si="15"/>
        <v>4.0943445622221004</v>
      </c>
      <c r="K309" s="13">
        <v>1.2</v>
      </c>
      <c r="L309" s="13">
        <v>1.2</v>
      </c>
      <c r="M309" s="13">
        <v>1.1000000000000001</v>
      </c>
      <c r="N309" s="13">
        <v>1.02</v>
      </c>
      <c r="O309" s="13">
        <v>1.2</v>
      </c>
      <c r="P309" s="13">
        <v>1.2</v>
      </c>
      <c r="Q309">
        <v>1.05</v>
      </c>
      <c r="R309">
        <f t="shared" si="18"/>
        <v>0.19027693950458713</v>
      </c>
    </row>
    <row r="310" spans="1:19" customFormat="1" hidden="1" x14ac:dyDescent="0.2">
      <c r="A310" t="s">
        <v>114</v>
      </c>
      <c r="B310">
        <v>210</v>
      </c>
      <c r="C310" t="s">
        <v>85</v>
      </c>
      <c r="D310" t="s">
        <v>56</v>
      </c>
      <c r="F310" t="s">
        <v>86</v>
      </c>
      <c r="G310" t="s">
        <v>115</v>
      </c>
      <c r="H310" s="17"/>
      <c r="I310">
        <v>2</v>
      </c>
      <c r="J310">
        <f t="shared" si="15"/>
        <v>5.3471075307174685</v>
      </c>
      <c r="K310" s="13">
        <v>1.2</v>
      </c>
      <c r="L310" s="13">
        <v>1.2</v>
      </c>
      <c r="M310" s="13">
        <v>1.1000000000000001</v>
      </c>
      <c r="N310" s="13">
        <v>1.02</v>
      </c>
      <c r="O310" s="13">
        <v>1.2</v>
      </c>
      <c r="P310" s="13">
        <v>1.2</v>
      </c>
      <c r="Q310">
        <v>3</v>
      </c>
      <c r="R310">
        <f t="shared" si="18"/>
        <v>0.58081617907945515</v>
      </c>
    </row>
    <row r="311" spans="1:19" customFormat="1" hidden="1" x14ac:dyDescent="0.2">
      <c r="A311" t="s">
        <v>180</v>
      </c>
      <c r="B311">
        <v>487</v>
      </c>
      <c r="C311" t="s">
        <v>64</v>
      </c>
      <c r="D311" t="s">
        <v>123</v>
      </c>
      <c r="F311" t="s">
        <v>86</v>
      </c>
      <c r="G311" t="s">
        <v>181</v>
      </c>
      <c r="H311" s="17"/>
      <c r="I311">
        <v>2</v>
      </c>
      <c r="J311">
        <f t="shared" si="15"/>
        <v>6.1882641230825897</v>
      </c>
      <c r="K311" s="13">
        <v>1.2</v>
      </c>
      <c r="L311" s="13">
        <v>1.2</v>
      </c>
      <c r="M311" s="13">
        <v>1.1000000000000001</v>
      </c>
      <c r="N311" s="13">
        <v>1.02</v>
      </c>
      <c r="O311" s="13">
        <v>1.2</v>
      </c>
      <c r="P311" s="13">
        <v>1.2</v>
      </c>
      <c r="Q311">
        <v>2</v>
      </c>
      <c r="R311">
        <f t="shared" si="18"/>
        <v>0.39461810292593341</v>
      </c>
    </row>
    <row r="312" spans="1:19" customFormat="1" hidden="1" x14ac:dyDescent="0.2">
      <c r="A312" t="s">
        <v>182</v>
      </c>
      <c r="B312">
        <v>81.099999999999994</v>
      </c>
      <c r="C312" t="s">
        <v>90</v>
      </c>
      <c r="D312" t="s">
        <v>123</v>
      </c>
      <c r="F312" t="s">
        <v>86</v>
      </c>
      <c r="G312" t="s">
        <v>183</v>
      </c>
      <c r="H312" s="17"/>
      <c r="I312">
        <v>2</v>
      </c>
      <c r="J312">
        <f t="shared" si="15"/>
        <v>4.3956829611213672</v>
      </c>
      <c r="K312" s="13">
        <v>1.2</v>
      </c>
      <c r="L312" s="13">
        <v>1.2</v>
      </c>
      <c r="M312" s="13">
        <v>1.1000000000000001</v>
      </c>
      <c r="N312" s="13">
        <v>1.02</v>
      </c>
      <c r="O312" s="13">
        <v>1.2</v>
      </c>
      <c r="P312" s="13">
        <v>1.2</v>
      </c>
      <c r="Q312">
        <v>2</v>
      </c>
      <c r="R312">
        <f t="shared" si="18"/>
        <v>0.39461810292593341</v>
      </c>
    </row>
    <row r="313" spans="1:19" customFormat="1" hidden="1" x14ac:dyDescent="0.2">
      <c r="A313" t="s">
        <v>1246</v>
      </c>
      <c r="B313">
        <v>-237</v>
      </c>
      <c r="C313" t="s">
        <v>64</v>
      </c>
      <c r="D313" t="s">
        <v>56</v>
      </c>
      <c r="E313" t="s">
        <v>1247</v>
      </c>
      <c r="F313" t="s">
        <v>86</v>
      </c>
      <c r="G313" t="s">
        <v>1281</v>
      </c>
      <c r="H313" s="17"/>
      <c r="I313">
        <v>2</v>
      </c>
      <c r="J313">
        <f>LN(B313*-1)</f>
        <v>5.4680601411351315</v>
      </c>
      <c r="K313" s="13">
        <v>1.2</v>
      </c>
      <c r="L313" s="13">
        <v>1.2</v>
      </c>
      <c r="M313" s="13">
        <v>1.1000000000000001</v>
      </c>
      <c r="N313" s="13">
        <v>1.02</v>
      </c>
      <c r="O313" s="13">
        <v>1.2</v>
      </c>
      <c r="P313" s="13">
        <v>1.2</v>
      </c>
      <c r="Q313">
        <v>1.05</v>
      </c>
      <c r="R313">
        <f t="shared" si="18"/>
        <v>0.19027693950458713</v>
      </c>
      <c r="S313" t="b">
        <v>1</v>
      </c>
    </row>
    <row r="314" spans="1:19" customFormat="1" hidden="1" x14ac:dyDescent="0.2">
      <c r="A314" t="s">
        <v>1248</v>
      </c>
      <c r="B314">
        <v>-158</v>
      </c>
      <c r="C314" t="s">
        <v>64</v>
      </c>
      <c r="D314" t="s">
        <v>56</v>
      </c>
      <c r="E314" t="s">
        <v>1247</v>
      </c>
      <c r="F314" t="s">
        <v>86</v>
      </c>
      <c r="G314" t="s">
        <v>1281</v>
      </c>
      <c r="H314" s="17"/>
      <c r="I314">
        <v>2</v>
      </c>
      <c r="J314">
        <f>LN(B314*-1)</f>
        <v>5.0625950330269669</v>
      </c>
      <c r="K314" s="13">
        <v>1.2</v>
      </c>
      <c r="L314" s="13">
        <v>1.2</v>
      </c>
      <c r="M314" s="13">
        <v>1.1000000000000001</v>
      </c>
      <c r="N314" s="13">
        <v>1.02</v>
      </c>
      <c r="O314" s="13">
        <v>1.2</v>
      </c>
      <c r="P314" s="13">
        <v>1.2</v>
      </c>
      <c r="Q314">
        <v>1.05</v>
      </c>
      <c r="R314">
        <f t="shared" si="18"/>
        <v>0.19027693950458713</v>
      </c>
      <c r="S314" t="b">
        <v>1</v>
      </c>
    </row>
    <row r="315" spans="1:19" customFormat="1" hidden="1" x14ac:dyDescent="0.2">
      <c r="A315" t="s">
        <v>247</v>
      </c>
      <c r="B315">
        <v>-5</v>
      </c>
      <c r="C315" t="s">
        <v>64</v>
      </c>
      <c r="D315" t="s">
        <v>56</v>
      </c>
      <c r="E315" t="s">
        <v>1247</v>
      </c>
      <c r="F315" t="s">
        <v>86</v>
      </c>
      <c r="G315" t="s">
        <v>248</v>
      </c>
      <c r="H315" s="17"/>
      <c r="I315">
        <v>2</v>
      </c>
      <c r="J315">
        <f>LN(B315*-1)</f>
        <v>1.6094379124341003</v>
      </c>
      <c r="K315" s="13">
        <v>1.2</v>
      </c>
      <c r="L315" s="13">
        <v>1.2</v>
      </c>
      <c r="M315" s="13">
        <v>1.1000000000000001</v>
      </c>
      <c r="N315" s="13">
        <v>1.02</v>
      </c>
      <c r="O315" s="13">
        <v>1.2</v>
      </c>
      <c r="P315" s="13">
        <v>1.2</v>
      </c>
      <c r="Q315">
        <v>1.05</v>
      </c>
      <c r="R315">
        <f t="shared" si="18"/>
        <v>0.19027693950458713</v>
      </c>
      <c r="S315" t="b">
        <v>1</v>
      </c>
    </row>
    <row r="316" spans="1:19" customFormat="1" hidden="1" x14ac:dyDescent="0.2"/>
    <row r="317" spans="1:19" customFormat="1" hidden="1" x14ac:dyDescent="0.2">
      <c r="A317" s="2" t="s">
        <v>50</v>
      </c>
      <c r="B317" s="2" t="s">
        <v>1268</v>
      </c>
      <c r="M317" t="s">
        <v>356</v>
      </c>
    </row>
    <row r="318" spans="1:19" customFormat="1" hidden="1" x14ac:dyDescent="0.2">
      <c r="A318" t="s">
        <v>52</v>
      </c>
      <c r="B318" t="s">
        <v>64</v>
      </c>
      <c r="M318" t="s">
        <v>356</v>
      </c>
    </row>
    <row r="319" spans="1:19" customFormat="1" hidden="1" x14ac:dyDescent="0.2">
      <c r="A319" t="s">
        <v>53</v>
      </c>
      <c r="B319">
        <v>1</v>
      </c>
      <c r="M319" t="s">
        <v>356</v>
      </c>
    </row>
    <row r="320" spans="1:19" customFormat="1" hidden="1" x14ac:dyDescent="0.2">
      <c r="A320" t="s">
        <v>54</v>
      </c>
      <c r="B320" t="s">
        <v>1269</v>
      </c>
      <c r="M320" t="s">
        <v>356</v>
      </c>
    </row>
    <row r="321" spans="1:19" customFormat="1" hidden="1" x14ac:dyDescent="0.2">
      <c r="A321" t="s">
        <v>61</v>
      </c>
      <c r="B321" t="s">
        <v>121</v>
      </c>
      <c r="M321" t="s">
        <v>356</v>
      </c>
    </row>
    <row r="322" spans="1:19" customFormat="1" hidden="1" x14ac:dyDescent="0.2">
      <c r="A322" t="s">
        <v>55</v>
      </c>
      <c r="B322" t="s">
        <v>123</v>
      </c>
      <c r="M322" t="s">
        <v>356</v>
      </c>
    </row>
    <row r="323" spans="1:19" customFormat="1" hidden="1" x14ac:dyDescent="0.2">
      <c r="A323" t="s">
        <v>51</v>
      </c>
      <c r="B323" t="s">
        <v>1229</v>
      </c>
    </row>
    <row r="324" spans="1:19" customFormat="1" hidden="1" x14ac:dyDescent="0.2">
      <c r="A324" s="2" t="s">
        <v>57</v>
      </c>
      <c r="M324" t="s">
        <v>356</v>
      </c>
    </row>
    <row r="325" spans="1:19" customFormat="1" hidden="1" x14ac:dyDescent="0.2">
      <c r="A325" s="2" t="s">
        <v>58</v>
      </c>
      <c r="B325" s="2" t="s">
        <v>59</v>
      </c>
      <c r="C325" s="2" t="s">
        <v>52</v>
      </c>
      <c r="D325" s="2" t="s">
        <v>55</v>
      </c>
      <c r="E325" s="2" t="s">
        <v>60</v>
      </c>
      <c r="F325" s="2" t="s">
        <v>61</v>
      </c>
      <c r="G325" s="2" t="s">
        <v>54</v>
      </c>
      <c r="H325" s="18" t="s">
        <v>51</v>
      </c>
      <c r="I325" s="2" t="s">
        <v>221</v>
      </c>
      <c r="J325" s="2" t="s">
        <v>379</v>
      </c>
      <c r="K325" s="62" t="s">
        <v>1059</v>
      </c>
      <c r="L325" s="62" t="s">
        <v>1060</v>
      </c>
      <c r="M325" s="62" t="s">
        <v>1061</v>
      </c>
      <c r="N325" s="62" t="s">
        <v>1062</v>
      </c>
      <c r="O325" s="62" t="s">
        <v>1063</v>
      </c>
      <c r="P325" s="62" t="s">
        <v>1064</v>
      </c>
      <c r="Q325" s="2" t="s">
        <v>1065</v>
      </c>
      <c r="R325" s="2" t="s">
        <v>380</v>
      </c>
      <c r="S325" s="18" t="s">
        <v>1128</v>
      </c>
    </row>
    <row r="326" spans="1:19" customFormat="1" hidden="1" x14ac:dyDescent="0.2">
      <c r="A326" t="s">
        <v>316</v>
      </c>
      <c r="B326">
        <v>2.5999999999999998E-4</v>
      </c>
      <c r="D326" t="s">
        <v>56</v>
      </c>
      <c r="E326" t="s">
        <v>408</v>
      </c>
      <c r="F326" t="s">
        <v>99</v>
      </c>
      <c r="G326" s="17"/>
      <c r="H326" s="17"/>
      <c r="I326">
        <v>2</v>
      </c>
      <c r="J326">
        <f t="shared" ref="J326:J330" si="19">LN(B326)</f>
        <v>-8.2548289269487469</v>
      </c>
      <c r="K326" s="13">
        <v>1.5</v>
      </c>
      <c r="L326" s="13">
        <v>1.2</v>
      </c>
      <c r="M326" s="13">
        <v>1.5</v>
      </c>
      <c r="N326" s="13">
        <v>1.1000000000000001</v>
      </c>
      <c r="O326" s="13">
        <v>2</v>
      </c>
      <c r="P326" s="13">
        <v>1.2</v>
      </c>
      <c r="Q326">
        <v>2</v>
      </c>
      <c r="R326">
        <f t="shared" ref="R326:R330" si="20">LN(SQRT(EXP(
SQRT(
+POWER(LN(K326),2)
+POWER(LN(L326),2)
+POWER(LN(M326),2)
+POWER(LN(N326),2)
+POWER(LN(O326),2)
+POWER(LN(P326),2)
+POWER(LN(Q326),2)
)
)))</f>
        <v>0.58422518478336083</v>
      </c>
    </row>
    <row r="327" spans="1:19" customFormat="1" hidden="1" x14ac:dyDescent="0.2">
      <c r="A327" t="str">
        <f>B317</f>
        <v>carbon dioxide transport, supercritical, by pipeline, with recompression</v>
      </c>
      <c r="B327">
        <v>1</v>
      </c>
      <c r="C327" t="s">
        <v>64</v>
      </c>
      <c r="D327" t="s">
        <v>123</v>
      </c>
      <c r="F327" t="s">
        <v>62</v>
      </c>
      <c r="G327" t="str">
        <f>B320</f>
        <v>carbon dioxide, transported</v>
      </c>
      <c r="H327" s="17"/>
      <c r="K327" s="13"/>
      <c r="L327" s="13"/>
      <c r="M327" s="13"/>
      <c r="N327" s="13"/>
      <c r="O327" s="13"/>
      <c r="P327" s="13"/>
    </row>
    <row r="328" spans="1:19" customFormat="1" hidden="1" x14ac:dyDescent="0.2">
      <c r="A328" t="s">
        <v>1270</v>
      </c>
      <c r="B328">
        <v>4.2199999999999999E-9</v>
      </c>
      <c r="C328" t="s">
        <v>64</v>
      </c>
      <c r="D328" t="s">
        <v>164</v>
      </c>
      <c r="F328" t="s">
        <v>86</v>
      </c>
      <c r="G328" t="s">
        <v>1271</v>
      </c>
      <c r="H328" s="17"/>
      <c r="I328">
        <v>2</v>
      </c>
      <c r="J328">
        <f t="shared" si="19"/>
        <v>-19.283430708898489</v>
      </c>
      <c r="K328" s="13">
        <v>1.2</v>
      </c>
      <c r="L328" s="13">
        <v>1.2</v>
      </c>
      <c r="M328" s="13">
        <v>1.1000000000000001</v>
      </c>
      <c r="N328" s="13">
        <v>1.02</v>
      </c>
      <c r="O328" s="13">
        <v>1.2</v>
      </c>
      <c r="P328" s="13">
        <v>1.2</v>
      </c>
      <c r="Q328">
        <v>2</v>
      </c>
      <c r="R328">
        <f t="shared" si="20"/>
        <v>0.39461810292593341</v>
      </c>
    </row>
    <row r="329" spans="1:19" customFormat="1" hidden="1" x14ac:dyDescent="0.2">
      <c r="A329" t="s">
        <v>1225</v>
      </c>
      <c r="B329">
        <v>4.22E-11</v>
      </c>
      <c r="C329" t="s">
        <v>85</v>
      </c>
      <c r="D329" t="s">
        <v>55</v>
      </c>
      <c r="F329" t="s">
        <v>86</v>
      </c>
      <c r="G329" t="s">
        <v>1228</v>
      </c>
      <c r="H329" s="17"/>
      <c r="I329">
        <v>2</v>
      </c>
      <c r="J329">
        <f t="shared" si="19"/>
        <v>-23.888600894886583</v>
      </c>
      <c r="K329" s="13">
        <v>1.2</v>
      </c>
      <c r="L329" s="13">
        <v>1.2</v>
      </c>
      <c r="M329" s="13">
        <v>1.1000000000000001</v>
      </c>
      <c r="N329" s="13">
        <v>1.02</v>
      </c>
      <c r="O329" s="13">
        <v>1.2</v>
      </c>
      <c r="P329" s="13">
        <v>1.2</v>
      </c>
      <c r="Q329">
        <v>2</v>
      </c>
      <c r="R329">
        <f t="shared" si="20"/>
        <v>0.39461810292593341</v>
      </c>
    </row>
    <row r="330" spans="1:19" customFormat="1" hidden="1" x14ac:dyDescent="0.2">
      <c r="A330" t="s">
        <v>1230</v>
      </c>
      <c r="B330">
        <v>3.8899999999999997E-2</v>
      </c>
      <c r="C330" t="s">
        <v>64</v>
      </c>
      <c r="D330" t="s">
        <v>92</v>
      </c>
      <c r="F330" t="s">
        <v>86</v>
      </c>
      <c r="G330" t="s">
        <v>1227</v>
      </c>
      <c r="H330" s="17"/>
      <c r="I330">
        <v>2</v>
      </c>
      <c r="J330">
        <f t="shared" si="19"/>
        <v>-3.2467610283577364</v>
      </c>
      <c r="K330" s="13">
        <v>1.2</v>
      </c>
      <c r="L330" s="13">
        <v>1.2</v>
      </c>
      <c r="M330" s="13">
        <v>1.1000000000000001</v>
      </c>
      <c r="N330" s="13">
        <v>1.02</v>
      </c>
      <c r="O330" s="13">
        <v>1.2</v>
      </c>
      <c r="P330" s="13">
        <v>1.2</v>
      </c>
      <c r="Q330">
        <v>2</v>
      </c>
      <c r="R330">
        <f t="shared" si="20"/>
        <v>0.39461810292593341</v>
      </c>
    </row>
    <row r="331" spans="1:19" customFormat="1" hidden="1" x14ac:dyDescent="0.2">
      <c r="M331" t="s">
        <v>356</v>
      </c>
    </row>
    <row r="332" spans="1:19" customFormat="1" hidden="1" x14ac:dyDescent="0.2">
      <c r="A332" s="2" t="s">
        <v>50</v>
      </c>
      <c r="B332" s="2" t="s">
        <v>1270</v>
      </c>
      <c r="M332" t="s">
        <v>356</v>
      </c>
    </row>
    <row r="333" spans="1:19" customFormat="1" hidden="1" x14ac:dyDescent="0.2">
      <c r="A333" t="s">
        <v>52</v>
      </c>
      <c r="B333" t="s">
        <v>64</v>
      </c>
      <c r="M333" t="s">
        <v>356</v>
      </c>
    </row>
    <row r="334" spans="1:19" customFormat="1" hidden="1" x14ac:dyDescent="0.2">
      <c r="A334" t="s">
        <v>53</v>
      </c>
      <c r="B334">
        <v>1</v>
      </c>
      <c r="M334" t="s">
        <v>356</v>
      </c>
    </row>
    <row r="335" spans="1:19" customFormat="1" hidden="1" x14ac:dyDescent="0.2">
      <c r="A335" t="s">
        <v>54</v>
      </c>
      <c r="B335" t="s">
        <v>1271</v>
      </c>
      <c r="M335" t="s">
        <v>356</v>
      </c>
    </row>
    <row r="336" spans="1:19" customFormat="1" hidden="1" x14ac:dyDescent="0.2">
      <c r="A336" t="s">
        <v>61</v>
      </c>
      <c r="B336" t="s">
        <v>121</v>
      </c>
      <c r="M336" t="s">
        <v>356</v>
      </c>
    </row>
    <row r="337" spans="1:20" customFormat="1" hidden="1" x14ac:dyDescent="0.2">
      <c r="A337" t="s">
        <v>55</v>
      </c>
      <c r="B337" t="s">
        <v>164</v>
      </c>
      <c r="M337" t="s">
        <v>356</v>
      </c>
    </row>
    <row r="338" spans="1:20" customFormat="1" hidden="1" x14ac:dyDescent="0.2">
      <c r="A338" s="2" t="s">
        <v>57</v>
      </c>
      <c r="M338" t="s">
        <v>356</v>
      </c>
    </row>
    <row r="339" spans="1:20" customFormat="1" hidden="1" x14ac:dyDescent="0.2">
      <c r="A339" t="s">
        <v>58</v>
      </c>
      <c r="B339" t="s">
        <v>59</v>
      </c>
      <c r="C339" t="s">
        <v>52</v>
      </c>
      <c r="D339" t="s">
        <v>55</v>
      </c>
      <c r="E339" t="s">
        <v>60</v>
      </c>
      <c r="F339" t="s">
        <v>61</v>
      </c>
      <c r="G339" t="s">
        <v>54</v>
      </c>
      <c r="H339" s="17" t="s">
        <v>51</v>
      </c>
      <c r="I339" t="s">
        <v>221</v>
      </c>
      <c r="J339" s="2" t="s">
        <v>379</v>
      </c>
      <c r="K339" s="62" t="s">
        <v>1059</v>
      </c>
      <c r="L339" s="62" t="s">
        <v>1060</v>
      </c>
      <c r="M339" s="62" t="s">
        <v>1061</v>
      </c>
      <c r="N339" s="62" t="s">
        <v>1062</v>
      </c>
      <c r="O339" s="62" t="s">
        <v>1063</v>
      </c>
      <c r="P339" s="62" t="s">
        <v>1064</v>
      </c>
      <c r="Q339" s="2" t="s">
        <v>1065</v>
      </c>
      <c r="R339" s="2" t="s">
        <v>380</v>
      </c>
      <c r="S339" s="18" t="s">
        <v>1128</v>
      </c>
      <c r="T339" s="17"/>
    </row>
    <row r="340" spans="1:20" customFormat="1" hidden="1" x14ac:dyDescent="0.2">
      <c r="A340" t="s">
        <v>1252</v>
      </c>
      <c r="B340">
        <v>3330</v>
      </c>
      <c r="D340" t="s">
        <v>1253</v>
      </c>
      <c r="E340" t="s">
        <v>1254</v>
      </c>
      <c r="F340" t="s">
        <v>99</v>
      </c>
      <c r="G340" t="s">
        <v>356</v>
      </c>
      <c r="H340" s="17"/>
      <c r="I340">
        <v>2</v>
      </c>
      <c r="J340">
        <f t="shared" ref="J340" si="21">LN(B340)</f>
        <v>8.1107275829744889</v>
      </c>
      <c r="K340" s="13">
        <v>1.2</v>
      </c>
      <c r="L340" s="13">
        <v>1.2</v>
      </c>
      <c r="M340" s="13">
        <v>1.1000000000000001</v>
      </c>
      <c r="N340" s="13">
        <v>1.02</v>
      </c>
      <c r="O340" s="13">
        <v>1.2</v>
      </c>
      <c r="P340" s="13">
        <v>1.2</v>
      </c>
      <c r="Q340">
        <v>2</v>
      </c>
      <c r="R340">
        <f t="shared" ref="R340" si="22">LN(SQRT(EXP(
SQRT(
+POWER(LN(K340),2)
+POWER(LN(L340),2)
+POWER(LN(M340),2)
+POWER(LN(N340),2)
+POWER(LN(O340),2)
+POWER(LN(P340),2)
+POWER(LN(Q340),2)
)
)))</f>
        <v>0.39461810292593341</v>
      </c>
      <c r="T340" s="17"/>
    </row>
    <row r="341" spans="1:20" customFormat="1" hidden="1" x14ac:dyDescent="0.2">
      <c r="A341" t="s">
        <v>1255</v>
      </c>
      <c r="B341">
        <v>2000</v>
      </c>
      <c r="D341" t="s">
        <v>1256</v>
      </c>
      <c r="E341" t="s">
        <v>1254</v>
      </c>
      <c r="F341" t="s">
        <v>99</v>
      </c>
      <c r="G341" t="s">
        <v>356</v>
      </c>
      <c r="H341" s="17"/>
      <c r="I341">
        <v>2</v>
      </c>
      <c r="J341">
        <f t="shared" ref="J341:J353" si="23">LN(B341)</f>
        <v>7.6009024595420822</v>
      </c>
      <c r="K341" s="13">
        <v>1.2</v>
      </c>
      <c r="L341" s="13">
        <v>1.2</v>
      </c>
      <c r="M341" s="13">
        <v>1.1000000000000001</v>
      </c>
      <c r="N341" s="13">
        <v>1.02</v>
      </c>
      <c r="O341" s="13">
        <v>1.2</v>
      </c>
      <c r="P341" s="13">
        <v>1.2</v>
      </c>
      <c r="Q341">
        <v>2</v>
      </c>
      <c r="R341">
        <f t="shared" ref="R341:R356" si="24">LN(SQRT(EXP(
SQRT(
+POWER(LN(K341),2)
+POWER(LN(L341),2)
+POWER(LN(M341),2)
+POWER(LN(N341),2)
+POWER(LN(O341),2)
+POWER(LN(P341),2)
+POWER(LN(Q341),2)
)
)))</f>
        <v>0.39461810292593341</v>
      </c>
      <c r="T341" s="17"/>
    </row>
    <row r="342" spans="1:20" customFormat="1" hidden="1" x14ac:dyDescent="0.2">
      <c r="A342" t="s">
        <v>1257</v>
      </c>
      <c r="B342">
        <v>2000</v>
      </c>
      <c r="D342" t="s">
        <v>1256</v>
      </c>
      <c r="E342" t="s">
        <v>1254</v>
      </c>
      <c r="F342" t="s">
        <v>99</v>
      </c>
      <c r="G342" t="s">
        <v>356</v>
      </c>
      <c r="H342" s="17"/>
      <c r="I342">
        <v>2</v>
      </c>
      <c r="J342">
        <f t="shared" si="23"/>
        <v>7.6009024595420822</v>
      </c>
      <c r="K342" s="13">
        <v>1.2</v>
      </c>
      <c r="L342" s="13">
        <v>1.2</v>
      </c>
      <c r="M342" s="13">
        <v>1.1000000000000001</v>
      </c>
      <c r="N342" s="13">
        <v>1.02</v>
      </c>
      <c r="O342" s="13">
        <v>1.2</v>
      </c>
      <c r="P342" s="13">
        <v>1.2</v>
      </c>
      <c r="Q342">
        <v>2</v>
      </c>
      <c r="R342">
        <f t="shared" si="24"/>
        <v>0.39461810292593341</v>
      </c>
      <c r="T342" s="17"/>
    </row>
    <row r="343" spans="1:20" customFormat="1" hidden="1" x14ac:dyDescent="0.2">
      <c r="A343" t="s">
        <v>1258</v>
      </c>
      <c r="B343">
        <v>187</v>
      </c>
      <c r="D343" t="s">
        <v>120</v>
      </c>
      <c r="E343" t="s">
        <v>328</v>
      </c>
      <c r="F343" t="s">
        <v>99</v>
      </c>
      <c r="G343" t="s">
        <v>356</v>
      </c>
      <c r="H343" s="17"/>
      <c r="I343">
        <v>2</v>
      </c>
      <c r="J343">
        <f t="shared" si="23"/>
        <v>5.2311086168545868</v>
      </c>
      <c r="K343" s="13">
        <v>1.2</v>
      </c>
      <c r="L343" s="13">
        <v>1.2</v>
      </c>
      <c r="M343" s="13">
        <v>1.1000000000000001</v>
      </c>
      <c r="N343" s="13">
        <v>1.02</v>
      </c>
      <c r="O343" s="13">
        <v>1.2</v>
      </c>
      <c r="P343" s="13">
        <v>1.2</v>
      </c>
      <c r="Q343">
        <v>2</v>
      </c>
      <c r="R343">
        <f t="shared" si="24"/>
        <v>0.39461810292593341</v>
      </c>
      <c r="T343" s="17"/>
    </row>
    <row r="344" spans="1:20" customFormat="1" hidden="1" x14ac:dyDescent="0.2">
      <c r="A344" t="str">
        <f>B332</f>
        <v>pipeline contruction, for supercritical carbon dioxide transport</v>
      </c>
      <c r="B344">
        <v>1</v>
      </c>
      <c r="C344" t="s">
        <v>64</v>
      </c>
      <c r="D344" t="s">
        <v>164</v>
      </c>
      <c r="F344" t="s">
        <v>62</v>
      </c>
      <c r="G344" t="str">
        <f>B335</f>
        <v>pipeline, for supercritical carbon dioxide transport</v>
      </c>
      <c r="H344" s="17"/>
      <c r="K344" s="13"/>
      <c r="L344" s="13"/>
      <c r="M344" s="13"/>
      <c r="N344" s="13"/>
      <c r="O344" s="13"/>
      <c r="P344" s="13"/>
      <c r="T344" s="17"/>
    </row>
    <row r="345" spans="1:20" customFormat="1" hidden="1" x14ac:dyDescent="0.2">
      <c r="A345" t="s">
        <v>176</v>
      </c>
      <c r="B345">
        <v>270000</v>
      </c>
      <c r="C345" t="s">
        <v>90</v>
      </c>
      <c r="D345" t="s">
        <v>56</v>
      </c>
      <c r="F345" t="s">
        <v>86</v>
      </c>
      <c r="G345" s="17" t="s">
        <v>176</v>
      </c>
      <c r="H345" s="17"/>
      <c r="I345">
        <v>2</v>
      </c>
      <c r="J345">
        <f t="shared" si="23"/>
        <v>12.506177237980511</v>
      </c>
      <c r="K345" s="13">
        <v>1.2</v>
      </c>
      <c r="L345" s="13">
        <v>1.2</v>
      </c>
      <c r="M345" s="13">
        <v>1.1000000000000001</v>
      </c>
      <c r="N345" s="13">
        <v>1.02</v>
      </c>
      <c r="O345" s="13">
        <v>1.2</v>
      </c>
      <c r="P345" s="13">
        <v>1.2</v>
      </c>
      <c r="Q345">
        <v>2</v>
      </c>
      <c r="R345">
        <f t="shared" si="24"/>
        <v>0.39461810292593341</v>
      </c>
      <c r="T345" s="17"/>
    </row>
    <row r="346" spans="1:20" customFormat="1" hidden="1" x14ac:dyDescent="0.2">
      <c r="A346" t="s">
        <v>1259</v>
      </c>
      <c r="B346">
        <v>4400000</v>
      </c>
      <c r="C346" t="s">
        <v>64</v>
      </c>
      <c r="D346" t="s">
        <v>56</v>
      </c>
      <c r="F346" t="s">
        <v>86</v>
      </c>
      <c r="G346" t="s">
        <v>569</v>
      </c>
      <c r="H346" s="17"/>
      <c r="I346">
        <v>2</v>
      </c>
      <c r="J346">
        <f t="shared" si="23"/>
        <v>15.29711509888849</v>
      </c>
      <c r="K346" s="13">
        <v>1.2</v>
      </c>
      <c r="L346" s="13">
        <v>1.2</v>
      </c>
      <c r="M346" s="13">
        <v>1.1000000000000001</v>
      </c>
      <c r="N346" s="13">
        <v>1.02</v>
      </c>
      <c r="O346" s="13">
        <v>1.2</v>
      </c>
      <c r="P346" s="13">
        <v>1.2</v>
      </c>
      <c r="Q346">
        <v>2</v>
      </c>
      <c r="R346">
        <f t="shared" si="24"/>
        <v>0.39461810292593341</v>
      </c>
      <c r="T346" s="17"/>
    </row>
    <row r="347" spans="1:20" customFormat="1" hidden="1" x14ac:dyDescent="0.2">
      <c r="A347" t="s">
        <v>517</v>
      </c>
      <c r="B347">
        <v>3310000</v>
      </c>
      <c r="C347" t="s">
        <v>85</v>
      </c>
      <c r="D347" t="s">
        <v>65</v>
      </c>
      <c r="F347" t="s">
        <v>86</v>
      </c>
      <c r="G347" t="s">
        <v>518</v>
      </c>
      <c r="H347" s="17"/>
      <c r="I347">
        <v>2</v>
      </c>
      <c r="J347">
        <f t="shared" si="23"/>
        <v>15.012458747353246</v>
      </c>
      <c r="K347" s="13">
        <v>1.2</v>
      </c>
      <c r="L347" s="13">
        <v>1.2</v>
      </c>
      <c r="M347" s="13">
        <v>1.1000000000000001</v>
      </c>
      <c r="N347" s="13">
        <v>1.02</v>
      </c>
      <c r="O347" s="13">
        <v>1.2</v>
      </c>
      <c r="P347" s="13">
        <v>1.2</v>
      </c>
      <c r="Q347">
        <v>2</v>
      </c>
      <c r="R347">
        <f t="shared" si="24"/>
        <v>0.39461810292593341</v>
      </c>
      <c r="T347" s="17"/>
    </row>
    <row r="348" spans="1:20" customFormat="1" hidden="1" x14ac:dyDescent="0.2">
      <c r="A348" t="s">
        <v>114</v>
      </c>
      <c r="B348">
        <v>270000</v>
      </c>
      <c r="C348" t="s">
        <v>85</v>
      </c>
      <c r="D348" t="s">
        <v>56</v>
      </c>
      <c r="F348" t="s">
        <v>86</v>
      </c>
      <c r="G348" t="s">
        <v>115</v>
      </c>
      <c r="H348" s="17"/>
      <c r="I348">
        <v>2</v>
      </c>
      <c r="J348">
        <f t="shared" si="23"/>
        <v>12.506177237980511</v>
      </c>
      <c r="K348" s="13">
        <v>1.2</v>
      </c>
      <c r="L348" s="13">
        <v>1.2</v>
      </c>
      <c r="M348" s="13">
        <v>1.1000000000000001</v>
      </c>
      <c r="N348" s="13">
        <v>1.02</v>
      </c>
      <c r="O348" s="13">
        <v>1.2</v>
      </c>
      <c r="P348" s="13">
        <v>1.2</v>
      </c>
      <c r="Q348">
        <v>2</v>
      </c>
      <c r="R348">
        <f t="shared" si="24"/>
        <v>0.39461810292593341</v>
      </c>
      <c r="T348" s="17"/>
    </row>
    <row r="349" spans="1:20" customFormat="1" hidden="1" x14ac:dyDescent="0.2">
      <c r="A349" t="s">
        <v>1260</v>
      </c>
      <c r="B349">
        <v>5120</v>
      </c>
      <c r="C349" t="s">
        <v>85</v>
      </c>
      <c r="D349" t="s">
        <v>56</v>
      </c>
      <c r="F349" t="s">
        <v>86</v>
      </c>
      <c r="G349" t="s">
        <v>1261</v>
      </c>
      <c r="H349" s="17"/>
      <c r="I349">
        <v>2</v>
      </c>
      <c r="J349">
        <f t="shared" si="23"/>
        <v>8.5409097180335536</v>
      </c>
      <c r="K349" s="13">
        <v>1.2</v>
      </c>
      <c r="L349" s="13">
        <v>1.2</v>
      </c>
      <c r="M349" s="13">
        <v>1.1000000000000001</v>
      </c>
      <c r="N349" s="13">
        <v>1.02</v>
      </c>
      <c r="O349" s="13">
        <v>1.2</v>
      </c>
      <c r="P349" s="13">
        <v>1.2</v>
      </c>
      <c r="Q349">
        <v>2</v>
      </c>
      <c r="R349">
        <f t="shared" si="24"/>
        <v>0.39461810292593341</v>
      </c>
      <c r="T349" s="17"/>
    </row>
    <row r="350" spans="1:20" customFormat="1" hidden="1" x14ac:dyDescent="0.2">
      <c r="A350" t="s">
        <v>180</v>
      </c>
      <c r="B350">
        <v>55100</v>
      </c>
      <c r="C350" t="s">
        <v>96</v>
      </c>
      <c r="D350" t="s">
        <v>123</v>
      </c>
      <c r="F350" t="s">
        <v>86</v>
      </c>
      <c r="G350" t="s">
        <v>181</v>
      </c>
      <c r="H350" s="17"/>
      <c r="I350">
        <v>2</v>
      </c>
      <c r="J350">
        <f t="shared" si="23"/>
        <v>10.916904995141007</v>
      </c>
      <c r="K350" s="13">
        <v>1.2</v>
      </c>
      <c r="L350" s="13">
        <v>1.2</v>
      </c>
      <c r="M350" s="13">
        <v>1.1000000000000001</v>
      </c>
      <c r="N350" s="13">
        <v>1.02</v>
      </c>
      <c r="O350" s="13">
        <v>1.2</v>
      </c>
      <c r="P350" s="13">
        <v>1.2</v>
      </c>
      <c r="Q350">
        <v>2</v>
      </c>
      <c r="R350">
        <f t="shared" si="24"/>
        <v>0.39461810292593341</v>
      </c>
      <c r="T350" s="17"/>
    </row>
    <row r="351" spans="1:20" customFormat="1" hidden="1" x14ac:dyDescent="0.2">
      <c r="A351" t="s">
        <v>182</v>
      </c>
      <c r="B351">
        <v>315000</v>
      </c>
      <c r="C351" t="s">
        <v>90</v>
      </c>
      <c r="D351" t="s">
        <v>123</v>
      </c>
      <c r="F351" t="s">
        <v>86</v>
      </c>
      <c r="G351" t="s">
        <v>183</v>
      </c>
      <c r="H351" s="17"/>
      <c r="I351">
        <v>2</v>
      </c>
      <c r="J351">
        <f t="shared" si="23"/>
        <v>12.66032791780777</v>
      </c>
      <c r="K351" s="13">
        <v>1.2</v>
      </c>
      <c r="L351" s="13">
        <v>1.2</v>
      </c>
      <c r="M351" s="13">
        <v>1.1000000000000001</v>
      </c>
      <c r="N351" s="13">
        <v>1.02</v>
      </c>
      <c r="O351" s="13">
        <v>1.2</v>
      </c>
      <c r="P351" s="13">
        <v>1.2</v>
      </c>
      <c r="Q351">
        <v>2</v>
      </c>
      <c r="R351">
        <f t="shared" si="24"/>
        <v>0.39461810292593341</v>
      </c>
      <c r="T351" s="17"/>
    </row>
    <row r="352" spans="1:20" customFormat="1" hidden="1" x14ac:dyDescent="0.2">
      <c r="A352" t="s">
        <v>1292</v>
      </c>
      <c r="B352">
        <v>26</v>
      </c>
      <c r="C352" t="s">
        <v>85</v>
      </c>
      <c r="D352" t="s">
        <v>1263</v>
      </c>
      <c r="F352" t="s">
        <v>86</v>
      </c>
      <c r="G352" t="s">
        <v>1262</v>
      </c>
      <c r="H352" s="17"/>
      <c r="I352">
        <v>2</v>
      </c>
      <c r="J352">
        <f t="shared" si="23"/>
        <v>3.2580965380214821</v>
      </c>
      <c r="K352" s="13">
        <v>1.2</v>
      </c>
      <c r="L352" s="13">
        <v>1.2</v>
      </c>
      <c r="M352" s="13">
        <v>1.1000000000000001</v>
      </c>
      <c r="N352" s="13">
        <v>1.02</v>
      </c>
      <c r="O352" s="13">
        <v>1.2</v>
      </c>
      <c r="P352" s="13">
        <v>1.2</v>
      </c>
      <c r="Q352">
        <v>2</v>
      </c>
      <c r="R352">
        <f t="shared" si="24"/>
        <v>0.39461810292593341</v>
      </c>
      <c r="T352" s="17"/>
    </row>
    <row r="353" spans="1:20" customFormat="1" hidden="1" x14ac:dyDescent="0.2">
      <c r="A353" t="s">
        <v>1293</v>
      </c>
      <c r="B353">
        <v>10.4</v>
      </c>
      <c r="C353" t="s">
        <v>85</v>
      </c>
      <c r="D353" t="s">
        <v>55</v>
      </c>
      <c r="F353" t="s">
        <v>86</v>
      </c>
      <c r="G353" t="s">
        <v>1264</v>
      </c>
      <c r="H353" s="17"/>
      <c r="I353">
        <v>2</v>
      </c>
      <c r="J353">
        <f t="shared" si="23"/>
        <v>2.341805806147327</v>
      </c>
      <c r="K353" s="13">
        <v>1.2</v>
      </c>
      <c r="L353" s="13">
        <v>1.2</v>
      </c>
      <c r="M353" s="13">
        <v>1.1000000000000001</v>
      </c>
      <c r="N353" s="13">
        <v>1.02</v>
      </c>
      <c r="O353" s="13">
        <v>1.2</v>
      </c>
      <c r="P353" s="13">
        <v>1.2</v>
      </c>
      <c r="Q353">
        <v>2</v>
      </c>
      <c r="R353">
        <f t="shared" si="24"/>
        <v>0.39461810292593341</v>
      </c>
      <c r="T353" s="17"/>
    </row>
    <row r="354" spans="1:20" customFormat="1" hidden="1" x14ac:dyDescent="0.2">
      <c r="A354" t="s">
        <v>1265</v>
      </c>
      <c r="B354">
        <v>-4400000</v>
      </c>
      <c r="C354" t="s">
        <v>64</v>
      </c>
      <c r="D354" t="s">
        <v>56</v>
      </c>
      <c r="E354" t="s">
        <v>1247</v>
      </c>
      <c r="F354" t="s">
        <v>86</v>
      </c>
      <c r="G354" t="s">
        <v>1266</v>
      </c>
      <c r="H354" s="17"/>
      <c r="I354">
        <v>2</v>
      </c>
      <c r="J354">
        <f>LN(B354*-1)</f>
        <v>15.29711509888849</v>
      </c>
      <c r="K354" s="13">
        <v>1.2</v>
      </c>
      <c r="L354" s="13">
        <v>1.2</v>
      </c>
      <c r="M354" s="13">
        <v>1.1000000000000001</v>
      </c>
      <c r="N354" s="13">
        <v>1.02</v>
      </c>
      <c r="O354" s="13">
        <v>1.2</v>
      </c>
      <c r="P354" s="13">
        <v>1.2</v>
      </c>
      <c r="Q354">
        <v>2</v>
      </c>
      <c r="R354">
        <f t="shared" si="24"/>
        <v>0.39461810292593341</v>
      </c>
      <c r="S354" t="b">
        <v>1</v>
      </c>
      <c r="T354" s="17"/>
    </row>
    <row r="355" spans="1:20" customFormat="1" hidden="1" x14ac:dyDescent="0.2">
      <c r="A355" t="s">
        <v>1267</v>
      </c>
      <c r="B355">
        <v>-135000</v>
      </c>
      <c r="C355" t="s">
        <v>64</v>
      </c>
      <c r="D355" t="s">
        <v>56</v>
      </c>
      <c r="E355" t="s">
        <v>1247</v>
      </c>
      <c r="F355" t="s">
        <v>86</v>
      </c>
      <c r="G355" t="s">
        <v>535</v>
      </c>
      <c r="H355" s="17"/>
      <c r="I355">
        <v>2</v>
      </c>
      <c r="J355">
        <f>LN(B355*-1)</f>
        <v>11.813030057420567</v>
      </c>
      <c r="K355" s="13">
        <v>1.2</v>
      </c>
      <c r="L355" s="13">
        <v>1.2</v>
      </c>
      <c r="M355" s="13">
        <v>1.1000000000000001</v>
      </c>
      <c r="N355" s="13">
        <v>1.02</v>
      </c>
      <c r="O355" s="13">
        <v>1.2</v>
      </c>
      <c r="P355" s="13">
        <v>1.2</v>
      </c>
      <c r="Q355">
        <v>2</v>
      </c>
      <c r="R355">
        <f t="shared" si="24"/>
        <v>0.39461810292593341</v>
      </c>
      <c r="S355" t="b">
        <v>1</v>
      </c>
      <c r="T355" s="17"/>
    </row>
    <row r="356" spans="1:20" customFormat="1" hidden="1" x14ac:dyDescent="0.2">
      <c r="A356" t="s">
        <v>474</v>
      </c>
      <c r="B356">
        <v>-5120</v>
      </c>
      <c r="C356" t="s">
        <v>64</v>
      </c>
      <c r="D356" t="s">
        <v>56</v>
      </c>
      <c r="E356" t="s">
        <v>1247</v>
      </c>
      <c r="F356" t="s">
        <v>86</v>
      </c>
      <c r="G356" t="s">
        <v>475</v>
      </c>
      <c r="H356" s="17"/>
      <c r="I356">
        <v>2</v>
      </c>
      <c r="J356">
        <f>LN(B356*-1)</f>
        <v>8.5409097180335536</v>
      </c>
      <c r="K356" s="13">
        <v>1.2</v>
      </c>
      <c r="L356" s="13">
        <v>1.2</v>
      </c>
      <c r="M356" s="13">
        <v>1.1000000000000001</v>
      </c>
      <c r="N356" s="13">
        <v>1.02</v>
      </c>
      <c r="O356" s="13">
        <v>1.2</v>
      </c>
      <c r="P356" s="13">
        <v>1.2</v>
      </c>
      <c r="Q356">
        <v>2</v>
      </c>
      <c r="R356">
        <f t="shared" si="24"/>
        <v>0.39461810292593341</v>
      </c>
      <c r="S356" t="b">
        <v>1</v>
      </c>
      <c r="T356" s="17"/>
    </row>
    <row r="357" spans="1:20" customFormat="1" hidden="1" x14ac:dyDescent="0.2">
      <c r="M357" t="s">
        <v>356</v>
      </c>
    </row>
    <row r="358" spans="1:20" hidden="1" x14ac:dyDescent="0.2">
      <c r="A358" s="19" t="s">
        <v>50</v>
      </c>
      <c r="B358" s="20" t="s">
        <v>813</v>
      </c>
      <c r="C358" s="21"/>
      <c r="Q358" s="17"/>
    </row>
    <row r="359" spans="1:20" hidden="1" x14ac:dyDescent="0.2">
      <c r="A359" s="22" t="s">
        <v>53</v>
      </c>
      <c r="B359" s="23">
        <v>1</v>
      </c>
      <c r="Q359" s="17"/>
    </row>
    <row r="360" spans="1:20" hidden="1" x14ac:dyDescent="0.2">
      <c r="A360" s="22" t="s">
        <v>51</v>
      </c>
      <c r="B360" s="23" t="s">
        <v>696</v>
      </c>
      <c r="Q360" s="17"/>
    </row>
    <row r="361" spans="1:20" hidden="1" x14ac:dyDescent="0.2">
      <c r="A361" s="22" t="s">
        <v>54</v>
      </c>
      <c r="B361" s="24" t="s">
        <v>814</v>
      </c>
      <c r="Q361" s="17"/>
    </row>
    <row r="362" spans="1:20" hidden="1" x14ac:dyDescent="0.2">
      <c r="A362" s="22" t="s">
        <v>52</v>
      </c>
      <c r="B362" s="23" t="s">
        <v>64</v>
      </c>
      <c r="Q362" s="17"/>
    </row>
    <row r="363" spans="1:20" hidden="1" x14ac:dyDescent="0.2">
      <c r="A363" s="22" t="s">
        <v>55</v>
      </c>
      <c r="B363" s="25" t="s">
        <v>56</v>
      </c>
      <c r="H363" s="18"/>
      <c r="I363" s="18"/>
      <c r="J363" s="18"/>
      <c r="Q363" s="17"/>
    </row>
    <row r="364" spans="1:20" hidden="1" x14ac:dyDescent="0.2">
      <c r="A364" s="18" t="s">
        <v>57</v>
      </c>
      <c r="B364" s="20"/>
      <c r="C364" s="18"/>
      <c r="D364" s="18"/>
      <c r="E364" s="18"/>
      <c r="F364" s="18"/>
      <c r="G364" s="18"/>
      <c r="H364" s="21"/>
      <c r="I364" s="21"/>
      <c r="J364" s="21"/>
      <c r="Q364" s="17"/>
    </row>
    <row r="365" spans="1:20" hidden="1" x14ac:dyDescent="0.2">
      <c r="A365" s="18" t="s">
        <v>58</v>
      </c>
      <c r="B365" s="18" t="s">
        <v>59</v>
      </c>
      <c r="C365" s="18" t="s">
        <v>52</v>
      </c>
      <c r="D365" s="18" t="s">
        <v>55</v>
      </c>
      <c r="E365" s="18" t="s">
        <v>60</v>
      </c>
      <c r="F365" s="18" t="s">
        <v>61</v>
      </c>
      <c r="G365" s="18" t="s">
        <v>54</v>
      </c>
      <c r="H365" s="18" t="s">
        <v>51</v>
      </c>
      <c r="I365" s="18" t="s">
        <v>221</v>
      </c>
      <c r="J365" s="2" t="s">
        <v>379</v>
      </c>
      <c r="K365" s="62" t="s">
        <v>1059</v>
      </c>
      <c r="L365" s="62" t="s">
        <v>1060</v>
      </c>
      <c r="M365" s="62" t="s">
        <v>1061</v>
      </c>
      <c r="N365" s="62" t="s">
        <v>1062</v>
      </c>
      <c r="O365" s="62" t="s">
        <v>1063</v>
      </c>
      <c r="P365" s="62" t="s">
        <v>1064</v>
      </c>
      <c r="Q365" s="2" t="s">
        <v>1065</v>
      </c>
      <c r="R365" s="2" t="s">
        <v>380</v>
      </c>
      <c r="S365" s="18" t="s">
        <v>1128</v>
      </c>
    </row>
    <row r="366" spans="1:20" hidden="1" x14ac:dyDescent="0.2">
      <c r="A366" s="25" t="s">
        <v>813</v>
      </c>
      <c r="B366" s="25">
        <v>1</v>
      </c>
      <c r="C366" s="17" t="str">
        <f>B362</f>
        <v>CH</v>
      </c>
      <c r="D366" s="17" t="str">
        <f>B363</f>
        <v>kilogram</v>
      </c>
      <c r="E366" s="21"/>
      <c r="F366" s="17" t="s">
        <v>62</v>
      </c>
      <c r="G366" s="17" t="s">
        <v>814</v>
      </c>
      <c r="H366" s="21"/>
      <c r="I366" s="21"/>
      <c r="Q366" s="17"/>
    </row>
    <row r="367" spans="1:20" hidden="1" x14ac:dyDescent="0.2">
      <c r="A367" s="25" t="str">
        <f>B438</f>
        <v>electrolyzer production, 1MWe, PEM, Stack</v>
      </c>
      <c r="B367" s="17">
        <f>1/2964315.35</f>
        <v>3.3734602494299401E-7</v>
      </c>
      <c r="C367" s="17" t="s">
        <v>90</v>
      </c>
      <c r="D367" s="17" t="s">
        <v>55</v>
      </c>
      <c r="F367" s="17" t="s">
        <v>86</v>
      </c>
      <c r="G367" s="17" t="s">
        <v>1006</v>
      </c>
      <c r="H367" s="17" t="s">
        <v>698</v>
      </c>
      <c r="I367" s="17">
        <v>2</v>
      </c>
      <c r="J367">
        <f t="shared" ref="J367:J372" si="25">LN(B367)</f>
        <v>-14.902156653126054</v>
      </c>
      <c r="K367" s="13">
        <v>1.05</v>
      </c>
      <c r="L367" s="13">
        <v>1.1000000000000001</v>
      </c>
      <c r="M367" s="13">
        <v>1</v>
      </c>
      <c r="N367" s="13">
        <v>1.02</v>
      </c>
      <c r="O367" s="13">
        <v>1.2</v>
      </c>
      <c r="P367" s="13">
        <v>1.2</v>
      </c>
      <c r="Q367">
        <v>3</v>
      </c>
      <c r="R367">
        <f t="shared" ref="R367:R372" si="26">LN(SQRT(EXP(
SQRT(
+POWER(LN(K367),2)
+POWER(LN(L367),2)
+POWER(LN(M367),2)
+POWER(LN(N367),2)
+POWER(LN(O367),2)
+POWER(LN(P367),2)
+POWER(LN(Q367),2)
)
)))</f>
        <v>0.5668526959223994</v>
      </c>
    </row>
    <row r="368" spans="1:20" hidden="1" x14ac:dyDescent="0.2">
      <c r="A368" s="25" t="str">
        <f>B463</f>
        <v>electrolyzer production, 1MWe, PEM, Balance of Plant</v>
      </c>
      <c r="B368" s="17">
        <f>1/2964315.35</f>
        <v>3.3734602494299401E-7</v>
      </c>
      <c r="C368" s="17" t="s">
        <v>90</v>
      </c>
      <c r="D368" s="17" t="s">
        <v>55</v>
      </c>
      <c r="F368" s="17" t="s">
        <v>86</v>
      </c>
      <c r="G368" s="17" t="s">
        <v>1007</v>
      </c>
      <c r="H368" s="17" t="s">
        <v>697</v>
      </c>
      <c r="I368" s="17">
        <v>2</v>
      </c>
      <c r="J368">
        <f t="shared" si="25"/>
        <v>-14.902156653126054</v>
      </c>
      <c r="K368" s="13">
        <v>1.05</v>
      </c>
      <c r="L368" s="13">
        <v>1.1000000000000001</v>
      </c>
      <c r="M368" s="13">
        <v>1</v>
      </c>
      <c r="N368" s="13">
        <v>1.02</v>
      </c>
      <c r="O368" s="13">
        <v>1.2</v>
      </c>
      <c r="P368" s="13">
        <v>1.2</v>
      </c>
      <c r="Q368">
        <v>3</v>
      </c>
      <c r="R368">
        <f t="shared" si="26"/>
        <v>0.5668526959223994</v>
      </c>
    </row>
    <row r="369" spans="1:19" hidden="1" x14ac:dyDescent="0.2">
      <c r="A369" s="22" t="s">
        <v>130</v>
      </c>
      <c r="B369" s="25">
        <v>54</v>
      </c>
      <c r="C369" s="17" t="s">
        <v>64</v>
      </c>
      <c r="D369" s="17" t="s">
        <v>92</v>
      </c>
      <c r="E369" s="21"/>
      <c r="F369" s="17" t="s">
        <v>86</v>
      </c>
      <c r="G369" s="17" t="s">
        <v>93</v>
      </c>
      <c r="H369" s="21" t="s">
        <v>94</v>
      </c>
      <c r="I369" s="17">
        <v>2</v>
      </c>
      <c r="J369">
        <f t="shared" si="25"/>
        <v>3.9889840465642745</v>
      </c>
      <c r="K369" s="13">
        <v>1.05</v>
      </c>
      <c r="L369" s="13">
        <v>1.1000000000000001</v>
      </c>
      <c r="M369" s="13">
        <v>1</v>
      </c>
      <c r="N369" s="13">
        <v>1.02</v>
      </c>
      <c r="O369" s="13">
        <v>1.2</v>
      </c>
      <c r="P369" s="13">
        <v>1.2</v>
      </c>
      <c r="Q369">
        <v>1.05</v>
      </c>
      <c r="R369">
        <f t="shared" si="26"/>
        <v>0.14205582952229279</v>
      </c>
    </row>
    <row r="370" spans="1:19" hidden="1" x14ac:dyDescent="0.2">
      <c r="A370" s="22" t="s">
        <v>263</v>
      </c>
      <c r="B370" s="25">
        <f>0.28*3.6</f>
        <v>1.0080000000000002</v>
      </c>
      <c r="C370" s="17" t="s">
        <v>90</v>
      </c>
      <c r="D370" s="17" t="s">
        <v>65</v>
      </c>
      <c r="E370" s="21"/>
      <c r="F370" s="17" t="s">
        <v>86</v>
      </c>
      <c r="G370" s="17" t="s">
        <v>199</v>
      </c>
      <c r="H370" s="21" t="s">
        <v>695</v>
      </c>
      <c r="I370" s="17">
        <v>2</v>
      </c>
      <c r="J370">
        <f t="shared" si="25"/>
        <v>7.9681696491771016E-3</v>
      </c>
      <c r="K370" s="13">
        <v>1.05</v>
      </c>
      <c r="L370" s="13">
        <v>1.1000000000000001</v>
      </c>
      <c r="M370" s="13">
        <v>1</v>
      </c>
      <c r="N370" s="13">
        <v>1.02</v>
      </c>
      <c r="O370" s="13">
        <v>1.2</v>
      </c>
      <c r="P370" s="13">
        <v>1.2</v>
      </c>
      <c r="Q370">
        <v>1.05</v>
      </c>
      <c r="R370">
        <f t="shared" si="26"/>
        <v>0.14205582952229279</v>
      </c>
    </row>
    <row r="371" spans="1:19" hidden="1" x14ac:dyDescent="0.2">
      <c r="A371" s="22" t="s">
        <v>95</v>
      </c>
      <c r="B371" s="25">
        <v>14</v>
      </c>
      <c r="C371" s="17" t="s">
        <v>96</v>
      </c>
      <c r="D371" s="17" t="s">
        <v>56</v>
      </c>
      <c r="F371" s="17" t="s">
        <v>86</v>
      </c>
      <c r="G371" s="17" t="s">
        <v>97</v>
      </c>
      <c r="H371" s="71" t="s">
        <v>1192</v>
      </c>
      <c r="I371" s="17">
        <v>2</v>
      </c>
      <c r="J371">
        <f t="shared" si="25"/>
        <v>2.6390573296152584</v>
      </c>
      <c r="K371" s="13">
        <v>1.05</v>
      </c>
      <c r="L371" s="13">
        <v>1.1000000000000001</v>
      </c>
      <c r="M371" s="13">
        <v>1</v>
      </c>
      <c r="N371" s="13">
        <v>1.02</v>
      </c>
      <c r="O371" s="13">
        <v>1.2</v>
      </c>
      <c r="P371" s="13">
        <v>1.2</v>
      </c>
      <c r="Q371">
        <v>1.05</v>
      </c>
      <c r="R371">
        <f t="shared" si="26"/>
        <v>0.14205582952229279</v>
      </c>
    </row>
    <row r="372" spans="1:19" hidden="1" x14ac:dyDescent="0.2">
      <c r="A372" s="27" t="s">
        <v>98</v>
      </c>
      <c r="B372" s="24">
        <v>8</v>
      </c>
      <c r="C372" s="27"/>
      <c r="D372" s="27" t="s">
        <v>56</v>
      </c>
      <c r="E372" s="27" t="s">
        <v>100</v>
      </c>
      <c r="F372" s="27" t="s">
        <v>99</v>
      </c>
      <c r="G372" s="27"/>
      <c r="H372" s="28"/>
      <c r="I372" s="17">
        <v>2</v>
      </c>
      <c r="J372">
        <f t="shared" si="25"/>
        <v>2.0794415416798357</v>
      </c>
      <c r="K372" s="13">
        <v>1.05</v>
      </c>
      <c r="L372" s="13">
        <v>1.1000000000000001</v>
      </c>
      <c r="M372" s="13">
        <v>1</v>
      </c>
      <c r="N372" s="13">
        <v>1.02</v>
      </c>
      <c r="O372" s="13">
        <v>1.2</v>
      </c>
      <c r="P372" s="13">
        <v>1.2</v>
      </c>
      <c r="Q372" s="13">
        <v>1.5</v>
      </c>
      <c r="R372">
        <f t="shared" si="26"/>
        <v>0.24634371748562628</v>
      </c>
    </row>
    <row r="373" spans="1:19" hidden="1" x14ac:dyDescent="0.2">
      <c r="Q373" s="17"/>
    </row>
    <row r="374" spans="1:19" hidden="1" x14ac:dyDescent="0.2">
      <c r="A374" s="19" t="s">
        <v>50</v>
      </c>
      <c r="B374" s="20" t="s">
        <v>815</v>
      </c>
      <c r="C374" s="21"/>
      <c r="Q374" s="17"/>
    </row>
    <row r="375" spans="1:19" hidden="1" x14ac:dyDescent="0.2">
      <c r="A375" s="22" t="s">
        <v>53</v>
      </c>
      <c r="B375" s="23">
        <v>1</v>
      </c>
      <c r="Q375" s="17"/>
    </row>
    <row r="376" spans="1:19" hidden="1" x14ac:dyDescent="0.2">
      <c r="A376" s="22" t="s">
        <v>51</v>
      </c>
      <c r="B376" s="23" t="s">
        <v>89</v>
      </c>
      <c r="Q376" s="17"/>
    </row>
    <row r="377" spans="1:19" hidden="1" x14ac:dyDescent="0.2">
      <c r="A377" s="22" t="s">
        <v>54</v>
      </c>
      <c r="B377" s="24" t="s">
        <v>814</v>
      </c>
      <c r="Q377" s="17"/>
    </row>
    <row r="378" spans="1:19" hidden="1" x14ac:dyDescent="0.2">
      <c r="A378" s="22" t="s">
        <v>52</v>
      </c>
      <c r="B378" s="23" t="s">
        <v>64</v>
      </c>
      <c r="Q378" s="17"/>
    </row>
    <row r="379" spans="1:19" hidden="1" x14ac:dyDescent="0.2">
      <c r="A379" s="22" t="s">
        <v>55</v>
      </c>
      <c r="B379" s="25" t="s">
        <v>56</v>
      </c>
      <c r="H379" s="18"/>
      <c r="I379" s="18"/>
      <c r="J379" s="18"/>
      <c r="Q379" s="17"/>
    </row>
    <row r="380" spans="1:19" hidden="1" x14ac:dyDescent="0.2">
      <c r="A380" s="18" t="s">
        <v>57</v>
      </c>
      <c r="B380" s="20"/>
      <c r="C380" s="18"/>
      <c r="D380" s="18"/>
      <c r="E380" s="18"/>
      <c r="F380" s="18"/>
      <c r="G380" s="18"/>
      <c r="H380" s="21"/>
      <c r="I380" s="21"/>
      <c r="J380" s="21"/>
      <c r="Q380" s="17"/>
    </row>
    <row r="381" spans="1:19" hidden="1" x14ac:dyDescent="0.2">
      <c r="A381" s="18" t="s">
        <v>58</v>
      </c>
      <c r="B381" s="18" t="s">
        <v>59</v>
      </c>
      <c r="C381" s="18" t="s">
        <v>52</v>
      </c>
      <c r="D381" s="18" t="s">
        <v>55</v>
      </c>
      <c r="E381" s="18" t="s">
        <v>60</v>
      </c>
      <c r="F381" s="18" t="s">
        <v>61</v>
      </c>
      <c r="G381" s="18" t="s">
        <v>54</v>
      </c>
      <c r="H381" s="18" t="s">
        <v>51</v>
      </c>
      <c r="I381" s="18" t="s">
        <v>221</v>
      </c>
      <c r="J381" s="2" t="s">
        <v>379</v>
      </c>
      <c r="K381" s="62" t="s">
        <v>1059</v>
      </c>
      <c r="L381" s="62" t="s">
        <v>1060</v>
      </c>
      <c r="M381" s="62" t="s">
        <v>1061</v>
      </c>
      <c r="N381" s="62" t="s">
        <v>1062</v>
      </c>
      <c r="O381" s="62" t="s">
        <v>1063</v>
      </c>
      <c r="P381" s="62" t="s">
        <v>1064</v>
      </c>
      <c r="Q381" s="2" t="s">
        <v>1065</v>
      </c>
      <c r="R381" s="2" t="s">
        <v>380</v>
      </c>
      <c r="S381" s="18" t="s">
        <v>1128</v>
      </c>
    </row>
    <row r="382" spans="1:19" hidden="1" x14ac:dyDescent="0.2">
      <c r="A382" s="25" t="s">
        <v>815</v>
      </c>
      <c r="B382" s="25">
        <v>1</v>
      </c>
      <c r="C382" s="17" t="str">
        <f>B378</f>
        <v>CH</v>
      </c>
      <c r="D382" s="17" t="str">
        <f>B379</f>
        <v>kilogram</v>
      </c>
      <c r="E382" s="21"/>
      <c r="F382" s="17" t="s">
        <v>62</v>
      </c>
      <c r="G382" s="17" t="s">
        <v>814</v>
      </c>
      <c r="H382" s="21"/>
      <c r="I382" s="21"/>
      <c r="Q382" s="17"/>
    </row>
    <row r="383" spans="1:19" hidden="1" x14ac:dyDescent="0.2">
      <c r="A383" s="17" t="str">
        <f>A367</f>
        <v>electrolyzer production, 1MWe, PEM, Stack</v>
      </c>
      <c r="B383" s="17">
        <f>B367</f>
        <v>3.3734602494299401E-7</v>
      </c>
      <c r="C383" s="17" t="s">
        <v>90</v>
      </c>
      <c r="D383" s="17" t="s">
        <v>55</v>
      </c>
      <c r="F383" s="17" t="s">
        <v>86</v>
      </c>
      <c r="G383" s="17" t="s">
        <v>1006</v>
      </c>
      <c r="H383" s="17" t="s">
        <v>698</v>
      </c>
      <c r="I383" s="17">
        <v>2</v>
      </c>
      <c r="J383">
        <f t="shared" ref="J383:J388" si="27">LN(B383)</f>
        <v>-14.902156653126054</v>
      </c>
      <c r="K383" s="13">
        <v>1.05</v>
      </c>
      <c r="L383" s="13">
        <v>1.1000000000000001</v>
      </c>
      <c r="M383" s="13">
        <v>1</v>
      </c>
      <c r="N383" s="13">
        <v>1.02</v>
      </c>
      <c r="O383" s="13">
        <v>1.2</v>
      </c>
      <c r="P383" s="13">
        <v>1.2</v>
      </c>
      <c r="Q383">
        <v>3</v>
      </c>
      <c r="R383">
        <f t="shared" ref="R383:R388" si="28">LN(SQRT(EXP(
SQRT(
+POWER(LN(K383),2)
+POWER(LN(L383),2)
+POWER(LN(M383),2)
+POWER(LN(N383),2)
+POWER(LN(O383),2)
+POWER(LN(P383),2)
+POWER(LN(Q383),2)
)
)))</f>
        <v>0.5668526959223994</v>
      </c>
    </row>
    <row r="384" spans="1:19" hidden="1" x14ac:dyDescent="0.2">
      <c r="A384" s="17" t="str">
        <f>A368</f>
        <v>electrolyzer production, 1MWe, PEM, Balance of Plant</v>
      </c>
      <c r="B384" s="17">
        <f>B368</f>
        <v>3.3734602494299401E-7</v>
      </c>
      <c r="C384" s="17" t="s">
        <v>90</v>
      </c>
      <c r="D384" s="17" t="s">
        <v>55</v>
      </c>
      <c r="F384" s="17" t="s">
        <v>86</v>
      </c>
      <c r="G384" s="17" t="s">
        <v>1007</v>
      </c>
      <c r="H384" s="17" t="s">
        <v>697</v>
      </c>
      <c r="I384" s="17">
        <v>2</v>
      </c>
      <c r="J384">
        <f t="shared" si="27"/>
        <v>-14.902156653126054</v>
      </c>
      <c r="K384" s="13">
        <v>1.05</v>
      </c>
      <c r="L384" s="13">
        <v>1.1000000000000001</v>
      </c>
      <c r="M384" s="13">
        <v>1</v>
      </c>
      <c r="N384" s="13">
        <v>1.02</v>
      </c>
      <c r="O384" s="13">
        <v>1.2</v>
      </c>
      <c r="P384" s="13">
        <v>1.2</v>
      </c>
      <c r="Q384">
        <v>3</v>
      </c>
      <c r="R384">
        <f t="shared" si="28"/>
        <v>0.5668526959223994</v>
      </c>
    </row>
    <row r="385" spans="1:19" hidden="1" x14ac:dyDescent="0.2">
      <c r="A385" s="17" t="s">
        <v>290</v>
      </c>
      <c r="B385" s="17">
        <f>B369</f>
        <v>54</v>
      </c>
      <c r="C385" s="17" t="s">
        <v>64</v>
      </c>
      <c r="D385" s="17" t="s">
        <v>92</v>
      </c>
      <c r="E385" s="21"/>
      <c r="F385" s="17" t="s">
        <v>86</v>
      </c>
      <c r="G385" s="17" t="s">
        <v>93</v>
      </c>
      <c r="H385" s="21" t="s">
        <v>94</v>
      </c>
      <c r="I385" s="17">
        <v>2</v>
      </c>
      <c r="J385">
        <f t="shared" si="27"/>
        <v>3.9889840465642745</v>
      </c>
      <c r="K385" s="13">
        <v>1.05</v>
      </c>
      <c r="L385" s="13">
        <v>1.1000000000000001</v>
      </c>
      <c r="M385" s="13">
        <v>1</v>
      </c>
      <c r="N385" s="13">
        <v>1.02</v>
      </c>
      <c r="O385" s="13">
        <v>1.2</v>
      </c>
      <c r="P385" s="13">
        <v>1.2</v>
      </c>
      <c r="Q385">
        <v>1.05</v>
      </c>
      <c r="R385">
        <f t="shared" si="28"/>
        <v>0.14205582952229279</v>
      </c>
    </row>
    <row r="386" spans="1:19" hidden="1" x14ac:dyDescent="0.2">
      <c r="A386" s="22" t="s">
        <v>263</v>
      </c>
      <c r="B386" s="25">
        <f>0.28*3.6</f>
        <v>1.0080000000000002</v>
      </c>
      <c r="C386" s="17" t="s">
        <v>90</v>
      </c>
      <c r="D386" s="17" t="s">
        <v>65</v>
      </c>
      <c r="E386" s="21"/>
      <c r="F386" s="17" t="s">
        <v>86</v>
      </c>
      <c r="G386" s="17" t="s">
        <v>199</v>
      </c>
      <c r="H386" s="21" t="s">
        <v>695</v>
      </c>
      <c r="I386" s="17">
        <v>2</v>
      </c>
      <c r="J386">
        <f t="shared" si="27"/>
        <v>7.9681696491771016E-3</v>
      </c>
      <c r="K386" s="13">
        <v>1.05</v>
      </c>
      <c r="L386" s="13">
        <v>1.1000000000000001</v>
      </c>
      <c r="M386" s="13">
        <v>1</v>
      </c>
      <c r="N386" s="13">
        <v>1.02</v>
      </c>
      <c r="O386" s="13">
        <v>1.2</v>
      </c>
      <c r="P386" s="13">
        <v>1.2</v>
      </c>
      <c r="Q386">
        <v>1.05</v>
      </c>
      <c r="R386">
        <f t="shared" si="28"/>
        <v>0.14205582952229279</v>
      </c>
    </row>
    <row r="387" spans="1:19" hidden="1" x14ac:dyDescent="0.2">
      <c r="A387" s="17" t="str">
        <f>A371</f>
        <v>market for water, deionised</v>
      </c>
      <c r="B387" s="17">
        <v>14</v>
      </c>
      <c r="C387" s="17" t="s">
        <v>96</v>
      </c>
      <c r="D387" s="17" t="s">
        <v>56</v>
      </c>
      <c r="F387" s="17" t="s">
        <v>86</v>
      </c>
      <c r="G387" s="17" t="s">
        <v>97</v>
      </c>
      <c r="H387" s="71" t="s">
        <v>1192</v>
      </c>
      <c r="I387" s="17">
        <v>2</v>
      </c>
      <c r="J387">
        <f t="shared" si="27"/>
        <v>2.6390573296152584</v>
      </c>
      <c r="K387" s="13">
        <v>1.05</v>
      </c>
      <c r="L387" s="13">
        <v>1.1000000000000001</v>
      </c>
      <c r="M387" s="13">
        <v>1</v>
      </c>
      <c r="N387" s="13">
        <v>1.02</v>
      </c>
      <c r="O387" s="13">
        <v>1.2</v>
      </c>
      <c r="P387" s="13">
        <v>1.2</v>
      </c>
      <c r="Q387">
        <v>1.05</v>
      </c>
      <c r="R387">
        <f t="shared" si="28"/>
        <v>0.14205582952229279</v>
      </c>
    </row>
    <row r="388" spans="1:19" hidden="1" x14ac:dyDescent="0.2">
      <c r="A388" s="17" t="str">
        <f>A372</f>
        <v>Oxygen</v>
      </c>
      <c r="B388" s="17">
        <f>B372</f>
        <v>8</v>
      </c>
      <c r="C388" s="27"/>
      <c r="D388" s="27" t="s">
        <v>56</v>
      </c>
      <c r="E388" s="27" t="s">
        <v>100</v>
      </c>
      <c r="F388" s="27" t="s">
        <v>99</v>
      </c>
      <c r="G388" s="27"/>
      <c r="H388" s="28"/>
      <c r="I388" s="17">
        <v>2</v>
      </c>
      <c r="J388">
        <f t="shared" si="27"/>
        <v>2.0794415416798357</v>
      </c>
      <c r="K388" s="13">
        <v>1.05</v>
      </c>
      <c r="L388" s="13">
        <v>1.1000000000000001</v>
      </c>
      <c r="M388" s="13">
        <v>1</v>
      </c>
      <c r="N388" s="13">
        <v>1.02</v>
      </c>
      <c r="O388" s="13">
        <v>1.2</v>
      </c>
      <c r="P388" s="13">
        <v>1.2</v>
      </c>
      <c r="Q388" s="13">
        <v>1.5</v>
      </c>
      <c r="R388">
        <f t="shared" si="28"/>
        <v>0.24634371748562628</v>
      </c>
    </row>
    <row r="389" spans="1:19" hidden="1" x14ac:dyDescent="0.2">
      <c r="Q389" s="17"/>
    </row>
    <row r="390" spans="1:19" hidden="1" x14ac:dyDescent="0.2">
      <c r="A390" s="19" t="s">
        <v>50</v>
      </c>
      <c r="B390" s="20" t="s">
        <v>816</v>
      </c>
      <c r="C390" s="21"/>
      <c r="Q390" s="17"/>
    </row>
    <row r="391" spans="1:19" hidden="1" x14ac:dyDescent="0.2">
      <c r="A391" s="22" t="s">
        <v>53</v>
      </c>
      <c r="B391" s="23">
        <v>1</v>
      </c>
      <c r="Q391" s="17"/>
    </row>
    <row r="392" spans="1:19" hidden="1" x14ac:dyDescent="0.2">
      <c r="A392" s="22" t="s">
        <v>51</v>
      </c>
      <c r="B392" s="23" t="s">
        <v>89</v>
      </c>
      <c r="Q392" s="17"/>
    </row>
    <row r="393" spans="1:19" hidden="1" x14ac:dyDescent="0.2">
      <c r="A393" s="22" t="s">
        <v>54</v>
      </c>
      <c r="B393" s="24" t="s">
        <v>814</v>
      </c>
      <c r="Q393" s="17"/>
    </row>
    <row r="394" spans="1:19" hidden="1" x14ac:dyDescent="0.2">
      <c r="A394" s="22" t="s">
        <v>52</v>
      </c>
      <c r="B394" s="17" t="s">
        <v>639</v>
      </c>
      <c r="Q394" s="17"/>
    </row>
    <row r="395" spans="1:19" hidden="1" x14ac:dyDescent="0.2">
      <c r="A395" s="22" t="s">
        <v>55</v>
      </c>
      <c r="B395" s="25" t="s">
        <v>56</v>
      </c>
      <c r="H395" s="18"/>
      <c r="I395" s="18"/>
      <c r="J395" s="18"/>
      <c r="Q395" s="17"/>
    </row>
    <row r="396" spans="1:19" hidden="1" x14ac:dyDescent="0.2">
      <c r="A396" s="18" t="s">
        <v>57</v>
      </c>
      <c r="B396" s="20"/>
      <c r="C396" s="18"/>
      <c r="D396" s="18"/>
      <c r="E396" s="18"/>
      <c r="F396" s="18"/>
      <c r="G396" s="18"/>
      <c r="H396" s="21"/>
      <c r="I396" s="21"/>
      <c r="J396" s="21"/>
      <c r="Q396" s="17"/>
    </row>
    <row r="397" spans="1:19" hidden="1" x14ac:dyDescent="0.2">
      <c r="A397" s="18" t="s">
        <v>58</v>
      </c>
      <c r="B397" s="20" t="s">
        <v>59</v>
      </c>
      <c r="C397" s="18" t="s">
        <v>52</v>
      </c>
      <c r="D397" s="18" t="s">
        <v>55</v>
      </c>
      <c r="E397" s="18" t="s">
        <v>60</v>
      </c>
      <c r="F397" s="18" t="s">
        <v>61</v>
      </c>
      <c r="G397" s="18" t="s">
        <v>54</v>
      </c>
      <c r="H397" s="60" t="s">
        <v>51</v>
      </c>
      <c r="I397" s="18" t="s">
        <v>221</v>
      </c>
      <c r="J397" s="2" t="s">
        <v>379</v>
      </c>
      <c r="K397" s="62" t="s">
        <v>1059</v>
      </c>
      <c r="L397" s="62" t="s">
        <v>1060</v>
      </c>
      <c r="M397" s="62" t="s">
        <v>1061</v>
      </c>
      <c r="N397" s="62" t="s">
        <v>1062</v>
      </c>
      <c r="O397" s="62" t="s">
        <v>1063</v>
      </c>
      <c r="P397" s="62" t="s">
        <v>1064</v>
      </c>
      <c r="Q397" s="2" t="s">
        <v>1065</v>
      </c>
      <c r="R397" s="2" t="s">
        <v>380</v>
      </c>
      <c r="S397" s="18" t="s">
        <v>1128</v>
      </c>
    </row>
    <row r="398" spans="1:19" hidden="1" x14ac:dyDescent="0.2">
      <c r="A398" s="25" t="s">
        <v>816</v>
      </c>
      <c r="B398" s="25">
        <v>1</v>
      </c>
      <c r="C398" s="17" t="s">
        <v>639</v>
      </c>
      <c r="D398" s="17" t="str">
        <f>B395</f>
        <v>kilogram</v>
      </c>
      <c r="E398" s="21"/>
      <c r="F398" s="17" t="s">
        <v>62</v>
      </c>
      <c r="G398" s="17" t="s">
        <v>814</v>
      </c>
      <c r="H398" s="21"/>
      <c r="I398" s="21"/>
      <c r="Q398" s="17"/>
    </row>
    <row r="399" spans="1:19" hidden="1" x14ac:dyDescent="0.2">
      <c r="A399" s="17" t="str">
        <f>A383</f>
        <v>electrolyzer production, 1MWe, PEM, Stack</v>
      </c>
      <c r="B399" s="17">
        <f>B383</f>
        <v>3.3734602494299401E-7</v>
      </c>
      <c r="C399" s="17" t="s">
        <v>90</v>
      </c>
      <c r="D399" s="17" t="s">
        <v>55</v>
      </c>
      <c r="F399" s="17" t="s">
        <v>86</v>
      </c>
      <c r="G399" s="17" t="s">
        <v>1006</v>
      </c>
      <c r="H399" s="17" t="s">
        <v>698</v>
      </c>
      <c r="I399" s="17">
        <v>2</v>
      </c>
      <c r="J399">
        <f t="shared" ref="J399:J404" si="29">LN(B399)</f>
        <v>-14.902156653126054</v>
      </c>
      <c r="K399" s="13">
        <v>1.05</v>
      </c>
      <c r="L399" s="13">
        <v>1.1000000000000001</v>
      </c>
      <c r="M399" s="13">
        <v>1</v>
      </c>
      <c r="N399" s="13">
        <v>1.02</v>
      </c>
      <c r="O399" s="13">
        <v>1.2</v>
      </c>
      <c r="P399" s="13">
        <v>1.2</v>
      </c>
      <c r="Q399">
        <v>3</v>
      </c>
      <c r="R399">
        <f t="shared" ref="R399:R404" si="30">LN(SQRT(EXP(
SQRT(
+POWER(LN(K399),2)
+POWER(LN(L399),2)
+POWER(LN(M399),2)
+POWER(LN(N399),2)
+POWER(LN(O399),2)
+POWER(LN(P399),2)
+POWER(LN(Q399),2)
)
)))</f>
        <v>0.5668526959223994</v>
      </c>
    </row>
    <row r="400" spans="1:19" hidden="1" x14ac:dyDescent="0.2">
      <c r="A400" s="17" t="str">
        <f>A384</f>
        <v>electrolyzer production, 1MWe, PEM, Balance of Plant</v>
      </c>
      <c r="B400" s="17">
        <f>B384</f>
        <v>3.3734602494299401E-7</v>
      </c>
      <c r="C400" s="17" t="s">
        <v>90</v>
      </c>
      <c r="D400" s="17" t="s">
        <v>55</v>
      </c>
      <c r="F400" s="17" t="s">
        <v>86</v>
      </c>
      <c r="G400" s="17" t="s">
        <v>1007</v>
      </c>
      <c r="H400" s="17" t="s">
        <v>697</v>
      </c>
      <c r="I400" s="17">
        <v>2</v>
      </c>
      <c r="J400">
        <f t="shared" si="29"/>
        <v>-14.902156653126054</v>
      </c>
      <c r="K400" s="13">
        <v>1.05</v>
      </c>
      <c r="L400" s="13">
        <v>1.1000000000000001</v>
      </c>
      <c r="M400" s="13">
        <v>1</v>
      </c>
      <c r="N400" s="13">
        <v>1.02</v>
      </c>
      <c r="O400" s="13">
        <v>1.2</v>
      </c>
      <c r="P400" s="13">
        <v>1.2</v>
      </c>
      <c r="Q400">
        <v>3</v>
      </c>
      <c r="R400">
        <f t="shared" si="30"/>
        <v>0.5668526959223994</v>
      </c>
    </row>
    <row r="401" spans="1:19" hidden="1" x14ac:dyDescent="0.2">
      <c r="A401" s="17" t="s">
        <v>290</v>
      </c>
      <c r="B401" s="17">
        <f>B385</f>
        <v>54</v>
      </c>
      <c r="C401" s="17" t="s">
        <v>639</v>
      </c>
      <c r="D401" s="17" t="s">
        <v>92</v>
      </c>
      <c r="E401" s="21"/>
      <c r="F401" s="17" t="s">
        <v>86</v>
      </c>
      <c r="G401" s="17" t="s">
        <v>93</v>
      </c>
      <c r="H401" s="21" t="s">
        <v>94</v>
      </c>
      <c r="I401" s="17">
        <v>2</v>
      </c>
      <c r="J401">
        <f t="shared" si="29"/>
        <v>3.9889840465642745</v>
      </c>
      <c r="K401" s="13">
        <v>1.05</v>
      </c>
      <c r="L401" s="13">
        <v>1.1000000000000001</v>
      </c>
      <c r="M401" s="13">
        <v>1</v>
      </c>
      <c r="N401" s="13">
        <v>1.02</v>
      </c>
      <c r="O401" s="13">
        <v>1.2</v>
      </c>
      <c r="P401" s="13">
        <v>1.2</v>
      </c>
      <c r="Q401">
        <v>1.05</v>
      </c>
      <c r="R401">
        <f t="shared" si="30"/>
        <v>0.14205582952229279</v>
      </c>
    </row>
    <row r="402" spans="1:19" hidden="1" x14ac:dyDescent="0.2">
      <c r="A402" s="22" t="s">
        <v>263</v>
      </c>
      <c r="B402" s="25">
        <f>0.28*3.6</f>
        <v>1.0080000000000002</v>
      </c>
      <c r="C402" s="17" t="s">
        <v>90</v>
      </c>
      <c r="D402" s="17" t="s">
        <v>65</v>
      </c>
      <c r="E402" s="21"/>
      <c r="F402" s="17" t="s">
        <v>86</v>
      </c>
      <c r="G402" s="17" t="s">
        <v>199</v>
      </c>
      <c r="H402" s="21" t="s">
        <v>695</v>
      </c>
      <c r="I402" s="17">
        <v>2</v>
      </c>
      <c r="J402">
        <f t="shared" si="29"/>
        <v>7.9681696491771016E-3</v>
      </c>
      <c r="K402" s="13">
        <v>1.05</v>
      </c>
      <c r="L402" s="13">
        <v>1.1000000000000001</v>
      </c>
      <c r="M402" s="13">
        <v>1</v>
      </c>
      <c r="N402" s="13">
        <v>1.02</v>
      </c>
      <c r="O402" s="13">
        <v>1.2</v>
      </c>
      <c r="P402" s="13">
        <v>1.2</v>
      </c>
      <c r="Q402">
        <v>1.05</v>
      </c>
      <c r="R402">
        <f t="shared" si="30"/>
        <v>0.14205582952229279</v>
      </c>
    </row>
    <row r="403" spans="1:19" hidden="1" x14ac:dyDescent="0.2">
      <c r="A403" s="17" t="str">
        <f>A387</f>
        <v>market for water, deionised</v>
      </c>
      <c r="B403" s="17">
        <v>14</v>
      </c>
      <c r="C403" s="17" t="s">
        <v>96</v>
      </c>
      <c r="D403" s="17" t="s">
        <v>56</v>
      </c>
      <c r="F403" s="17" t="s">
        <v>86</v>
      </c>
      <c r="G403" s="17" t="s">
        <v>97</v>
      </c>
      <c r="H403" s="71" t="s">
        <v>1192</v>
      </c>
      <c r="I403" s="17">
        <v>2</v>
      </c>
      <c r="J403">
        <f t="shared" si="29"/>
        <v>2.6390573296152584</v>
      </c>
      <c r="K403" s="13">
        <v>1.05</v>
      </c>
      <c r="L403" s="13">
        <v>1.1000000000000001</v>
      </c>
      <c r="M403" s="13">
        <v>1</v>
      </c>
      <c r="N403" s="13">
        <v>1.02</v>
      </c>
      <c r="O403" s="13">
        <v>1.2</v>
      </c>
      <c r="P403" s="13">
        <v>1.2</v>
      </c>
      <c r="Q403">
        <v>1.05</v>
      </c>
      <c r="R403">
        <f t="shared" si="30"/>
        <v>0.14205582952229279</v>
      </c>
    </row>
    <row r="404" spans="1:19" hidden="1" x14ac:dyDescent="0.2">
      <c r="A404" s="17" t="str">
        <f>A388</f>
        <v>Oxygen</v>
      </c>
      <c r="B404" s="17">
        <f>B388</f>
        <v>8</v>
      </c>
      <c r="C404" s="27"/>
      <c r="D404" s="27" t="s">
        <v>56</v>
      </c>
      <c r="E404" s="27" t="s">
        <v>100</v>
      </c>
      <c r="F404" s="27" t="s">
        <v>99</v>
      </c>
      <c r="I404" s="17">
        <v>2</v>
      </c>
      <c r="J404">
        <f t="shared" si="29"/>
        <v>2.0794415416798357</v>
      </c>
      <c r="K404" s="13">
        <v>1.05</v>
      </c>
      <c r="L404" s="13">
        <v>1.1000000000000001</v>
      </c>
      <c r="M404" s="13">
        <v>1</v>
      </c>
      <c r="N404" s="13">
        <v>1.02</v>
      </c>
      <c r="O404" s="13">
        <v>1.2</v>
      </c>
      <c r="P404" s="13">
        <v>1.2</v>
      </c>
      <c r="Q404" s="13">
        <v>1.5</v>
      </c>
      <c r="R404">
        <f t="shared" si="30"/>
        <v>0.24634371748562628</v>
      </c>
    </row>
    <row r="405" spans="1:19" hidden="1" x14ac:dyDescent="0.2">
      <c r="B405" s="25"/>
      <c r="Q405" s="17"/>
    </row>
    <row r="406" spans="1:19" hidden="1" x14ac:dyDescent="0.2">
      <c r="A406" s="19" t="s">
        <v>50</v>
      </c>
      <c r="B406" s="20" t="s">
        <v>817</v>
      </c>
      <c r="C406" s="21"/>
      <c r="Q406" s="17"/>
    </row>
    <row r="407" spans="1:19" hidden="1" x14ac:dyDescent="0.2">
      <c r="A407" s="22" t="s">
        <v>53</v>
      </c>
      <c r="B407" s="23">
        <v>1</v>
      </c>
      <c r="Q407" s="17"/>
    </row>
    <row r="408" spans="1:19" hidden="1" x14ac:dyDescent="0.2">
      <c r="A408" s="22" t="s">
        <v>51</v>
      </c>
      <c r="B408" s="23" t="s">
        <v>89</v>
      </c>
      <c r="Q408" s="17"/>
    </row>
    <row r="409" spans="1:19" hidden="1" x14ac:dyDescent="0.2">
      <c r="A409" s="22" t="s">
        <v>54</v>
      </c>
      <c r="B409" s="24" t="s">
        <v>814</v>
      </c>
      <c r="Q409" s="17"/>
    </row>
    <row r="410" spans="1:19" hidden="1" x14ac:dyDescent="0.2">
      <c r="A410" s="22" t="s">
        <v>52</v>
      </c>
      <c r="B410" s="23" t="s">
        <v>296</v>
      </c>
      <c r="Q410" s="17"/>
    </row>
    <row r="411" spans="1:19" hidden="1" x14ac:dyDescent="0.2">
      <c r="A411" s="22" t="s">
        <v>55</v>
      </c>
      <c r="B411" s="25" t="s">
        <v>56</v>
      </c>
      <c r="H411" s="18"/>
      <c r="I411" s="18"/>
      <c r="J411" s="18"/>
      <c r="Q411" s="17"/>
    </row>
    <row r="412" spans="1:19" hidden="1" x14ac:dyDescent="0.2">
      <c r="A412" s="18" t="s">
        <v>57</v>
      </c>
      <c r="B412" s="20"/>
      <c r="C412" s="18"/>
      <c r="D412" s="18"/>
      <c r="E412" s="18"/>
      <c r="F412" s="18"/>
      <c r="G412" s="18"/>
      <c r="H412" s="21"/>
      <c r="I412" s="21"/>
      <c r="J412" s="21"/>
      <c r="Q412" s="17"/>
    </row>
    <row r="413" spans="1:19" hidden="1" x14ac:dyDescent="0.2">
      <c r="A413" s="18" t="s">
        <v>58</v>
      </c>
      <c r="B413" s="20" t="s">
        <v>59</v>
      </c>
      <c r="C413" s="18" t="s">
        <v>52</v>
      </c>
      <c r="D413" s="18" t="s">
        <v>55</v>
      </c>
      <c r="E413" s="18" t="s">
        <v>60</v>
      </c>
      <c r="F413" s="18" t="s">
        <v>61</v>
      </c>
      <c r="G413" s="18" t="s">
        <v>54</v>
      </c>
      <c r="H413" s="60" t="s">
        <v>51</v>
      </c>
      <c r="I413" s="18" t="s">
        <v>221</v>
      </c>
      <c r="J413" s="2" t="s">
        <v>379</v>
      </c>
      <c r="K413" s="62" t="s">
        <v>1059</v>
      </c>
      <c r="L413" s="62" t="s">
        <v>1060</v>
      </c>
      <c r="M413" s="62" t="s">
        <v>1061</v>
      </c>
      <c r="N413" s="62" t="s">
        <v>1062</v>
      </c>
      <c r="O413" s="62" t="s">
        <v>1063</v>
      </c>
      <c r="P413" s="62" t="s">
        <v>1064</v>
      </c>
      <c r="Q413" s="2" t="s">
        <v>1065</v>
      </c>
      <c r="R413" s="2" t="s">
        <v>380</v>
      </c>
      <c r="S413" s="18" t="s">
        <v>1128</v>
      </c>
    </row>
    <row r="414" spans="1:19" hidden="1" x14ac:dyDescent="0.2">
      <c r="A414" s="25" t="s">
        <v>817</v>
      </c>
      <c r="B414" s="25">
        <v>1</v>
      </c>
      <c r="C414" s="17" t="str">
        <f>B410</f>
        <v>DE</v>
      </c>
      <c r="D414" s="17" t="str">
        <f>B411</f>
        <v>kilogram</v>
      </c>
      <c r="E414" s="21"/>
      <c r="F414" s="17" t="s">
        <v>62</v>
      </c>
      <c r="G414" s="17" t="s">
        <v>814</v>
      </c>
      <c r="H414" s="21"/>
      <c r="I414" s="21"/>
      <c r="Q414" s="17"/>
    </row>
    <row r="415" spans="1:19" hidden="1" x14ac:dyDescent="0.2">
      <c r="A415" s="17" t="str">
        <f>A399</f>
        <v>electrolyzer production, 1MWe, PEM, Stack</v>
      </c>
      <c r="B415" s="17">
        <f>B399</f>
        <v>3.3734602494299401E-7</v>
      </c>
      <c r="C415" s="17" t="s">
        <v>90</v>
      </c>
      <c r="D415" s="17" t="s">
        <v>55</v>
      </c>
      <c r="F415" s="17" t="s">
        <v>86</v>
      </c>
      <c r="G415" s="17" t="s">
        <v>1006</v>
      </c>
      <c r="H415" s="17" t="s">
        <v>698</v>
      </c>
      <c r="I415" s="17">
        <v>2</v>
      </c>
      <c r="J415">
        <f t="shared" ref="J415:J420" si="31">LN(B415)</f>
        <v>-14.902156653126054</v>
      </c>
      <c r="K415" s="13">
        <v>1.05</v>
      </c>
      <c r="L415" s="13">
        <v>1.1000000000000001</v>
      </c>
      <c r="M415" s="13">
        <v>1</v>
      </c>
      <c r="N415" s="13">
        <v>1.02</v>
      </c>
      <c r="O415" s="13">
        <v>1.2</v>
      </c>
      <c r="P415" s="13">
        <v>1.2</v>
      </c>
      <c r="Q415">
        <v>3</v>
      </c>
      <c r="R415">
        <f t="shared" ref="R415:R420" si="32">LN(SQRT(EXP(
SQRT(
+POWER(LN(K415),2)
+POWER(LN(L415),2)
+POWER(LN(M415),2)
+POWER(LN(N415),2)
+POWER(LN(O415),2)
+POWER(LN(P415),2)
+POWER(LN(Q415),2)
)
)))</f>
        <v>0.5668526959223994</v>
      </c>
    </row>
    <row r="416" spans="1:19" hidden="1" x14ac:dyDescent="0.2">
      <c r="A416" s="17" t="str">
        <f t="shared" ref="A416:B416" si="33">A400</f>
        <v>electrolyzer production, 1MWe, PEM, Balance of Plant</v>
      </c>
      <c r="B416" s="17">
        <f t="shared" si="33"/>
        <v>3.3734602494299401E-7</v>
      </c>
      <c r="C416" s="17" t="s">
        <v>90</v>
      </c>
      <c r="D416" s="17" t="s">
        <v>55</v>
      </c>
      <c r="F416" s="17" t="s">
        <v>86</v>
      </c>
      <c r="G416" s="17" t="s">
        <v>1007</v>
      </c>
      <c r="H416" s="17" t="s">
        <v>697</v>
      </c>
      <c r="I416" s="17">
        <v>2</v>
      </c>
      <c r="J416">
        <f t="shared" si="31"/>
        <v>-14.902156653126054</v>
      </c>
      <c r="K416" s="13">
        <v>1.05</v>
      </c>
      <c r="L416" s="13">
        <v>1.1000000000000001</v>
      </c>
      <c r="M416" s="13">
        <v>1</v>
      </c>
      <c r="N416" s="13">
        <v>1.02</v>
      </c>
      <c r="O416" s="13">
        <v>1.2</v>
      </c>
      <c r="P416" s="13">
        <v>1.2</v>
      </c>
      <c r="Q416">
        <v>3</v>
      </c>
      <c r="R416">
        <f t="shared" si="32"/>
        <v>0.5668526959223994</v>
      </c>
    </row>
    <row r="417" spans="1:19" hidden="1" x14ac:dyDescent="0.2">
      <c r="A417" s="17" t="s">
        <v>290</v>
      </c>
      <c r="B417" s="17">
        <f t="shared" ref="B417" si="34">B401</f>
        <v>54</v>
      </c>
      <c r="C417" s="17" t="s">
        <v>296</v>
      </c>
      <c r="D417" s="17" t="s">
        <v>92</v>
      </c>
      <c r="E417" s="21"/>
      <c r="F417" s="17" t="s">
        <v>86</v>
      </c>
      <c r="G417" s="17" t="s">
        <v>93</v>
      </c>
      <c r="H417" s="21" t="s">
        <v>94</v>
      </c>
      <c r="I417" s="17">
        <v>2</v>
      </c>
      <c r="J417">
        <f t="shared" si="31"/>
        <v>3.9889840465642745</v>
      </c>
      <c r="K417" s="13">
        <v>1.05</v>
      </c>
      <c r="L417" s="13">
        <v>1.1000000000000001</v>
      </c>
      <c r="M417" s="13">
        <v>1</v>
      </c>
      <c r="N417" s="13">
        <v>1.02</v>
      </c>
      <c r="O417" s="13">
        <v>1.2</v>
      </c>
      <c r="P417" s="13">
        <v>1.2</v>
      </c>
      <c r="Q417">
        <v>1.05</v>
      </c>
      <c r="R417">
        <f t="shared" si="32"/>
        <v>0.14205582952229279</v>
      </c>
    </row>
    <row r="418" spans="1:19" hidden="1" x14ac:dyDescent="0.2">
      <c r="A418" s="22" t="s">
        <v>263</v>
      </c>
      <c r="B418" s="25">
        <f>0.28*3.6</f>
        <v>1.0080000000000002</v>
      </c>
      <c r="C418" s="17" t="s">
        <v>90</v>
      </c>
      <c r="D418" s="17" t="s">
        <v>65</v>
      </c>
      <c r="E418" s="21"/>
      <c r="F418" s="17" t="s">
        <v>86</v>
      </c>
      <c r="G418" s="17" t="s">
        <v>199</v>
      </c>
      <c r="H418" s="21" t="s">
        <v>695</v>
      </c>
      <c r="I418" s="17">
        <v>2</v>
      </c>
      <c r="J418">
        <f t="shared" si="31"/>
        <v>7.9681696491771016E-3</v>
      </c>
      <c r="K418" s="13">
        <v>1.05</v>
      </c>
      <c r="L418" s="13">
        <v>1.1000000000000001</v>
      </c>
      <c r="M418" s="13">
        <v>1</v>
      </c>
      <c r="N418" s="13">
        <v>1.02</v>
      </c>
      <c r="O418" s="13">
        <v>1.2</v>
      </c>
      <c r="P418" s="13">
        <v>1.2</v>
      </c>
      <c r="Q418">
        <v>1.05</v>
      </c>
      <c r="R418">
        <f t="shared" si="32"/>
        <v>0.14205582952229279</v>
      </c>
    </row>
    <row r="419" spans="1:19" hidden="1" x14ac:dyDescent="0.2">
      <c r="A419" s="17" t="str">
        <f t="shared" ref="A419" si="35">A403</f>
        <v>market for water, deionised</v>
      </c>
      <c r="B419" s="17">
        <v>14</v>
      </c>
      <c r="C419" s="17" t="s">
        <v>96</v>
      </c>
      <c r="D419" s="17" t="s">
        <v>56</v>
      </c>
      <c r="F419" s="17" t="s">
        <v>86</v>
      </c>
      <c r="G419" s="17" t="s">
        <v>97</v>
      </c>
      <c r="H419" s="71" t="s">
        <v>1192</v>
      </c>
      <c r="I419" s="17">
        <v>2</v>
      </c>
      <c r="J419">
        <f t="shared" si="31"/>
        <v>2.6390573296152584</v>
      </c>
      <c r="K419" s="13">
        <v>1.05</v>
      </c>
      <c r="L419" s="13">
        <v>1.1000000000000001</v>
      </c>
      <c r="M419" s="13">
        <v>1</v>
      </c>
      <c r="N419" s="13">
        <v>1.02</v>
      </c>
      <c r="O419" s="13">
        <v>1.2</v>
      </c>
      <c r="P419" s="13">
        <v>1.2</v>
      </c>
      <c r="Q419">
        <v>1.05</v>
      </c>
      <c r="R419">
        <f t="shared" si="32"/>
        <v>0.14205582952229279</v>
      </c>
    </row>
    <row r="420" spans="1:19" hidden="1" x14ac:dyDescent="0.2">
      <c r="A420" s="17" t="str">
        <f t="shared" ref="A420:B420" si="36">A404</f>
        <v>Oxygen</v>
      </c>
      <c r="B420" s="17">
        <f t="shared" si="36"/>
        <v>8</v>
      </c>
      <c r="C420" s="27"/>
      <c r="D420" s="27" t="s">
        <v>56</v>
      </c>
      <c r="E420" s="27" t="s">
        <v>100</v>
      </c>
      <c r="F420" s="27" t="s">
        <v>99</v>
      </c>
      <c r="H420" s="28"/>
      <c r="I420" s="17">
        <v>2</v>
      </c>
      <c r="J420">
        <f t="shared" si="31"/>
        <v>2.0794415416798357</v>
      </c>
      <c r="K420" s="13">
        <v>1.05</v>
      </c>
      <c r="L420" s="13">
        <v>1.1000000000000001</v>
      </c>
      <c r="M420" s="13">
        <v>1</v>
      </c>
      <c r="N420" s="13">
        <v>1.02</v>
      </c>
      <c r="O420" s="13">
        <v>1.2</v>
      </c>
      <c r="P420" s="13">
        <v>1.2</v>
      </c>
      <c r="Q420" s="13">
        <v>1.5</v>
      </c>
      <c r="R420">
        <f t="shared" si="32"/>
        <v>0.24634371748562628</v>
      </c>
    </row>
    <row r="421" spans="1:19" hidden="1" x14ac:dyDescent="0.2">
      <c r="B421" s="25"/>
      <c r="Q421" s="17"/>
    </row>
    <row r="422" spans="1:19" hidden="1" x14ac:dyDescent="0.2">
      <c r="A422" s="19" t="s">
        <v>50</v>
      </c>
      <c r="B422" s="20" t="s">
        <v>818</v>
      </c>
      <c r="C422" s="21"/>
      <c r="Q422" s="17"/>
    </row>
    <row r="423" spans="1:19" hidden="1" x14ac:dyDescent="0.2">
      <c r="A423" s="22" t="s">
        <v>53</v>
      </c>
      <c r="B423" s="23">
        <v>1</v>
      </c>
      <c r="Q423" s="17"/>
    </row>
    <row r="424" spans="1:19" hidden="1" x14ac:dyDescent="0.2">
      <c r="A424" s="22" t="s">
        <v>51</v>
      </c>
      <c r="B424" s="23" t="s">
        <v>89</v>
      </c>
      <c r="Q424" s="17"/>
    </row>
    <row r="425" spans="1:19" hidden="1" x14ac:dyDescent="0.2">
      <c r="A425" s="22" t="s">
        <v>54</v>
      </c>
      <c r="B425" s="24" t="s">
        <v>814</v>
      </c>
      <c r="Q425" s="17"/>
    </row>
    <row r="426" spans="1:19" hidden="1" x14ac:dyDescent="0.2">
      <c r="A426" s="22" t="s">
        <v>52</v>
      </c>
      <c r="B426" s="23" t="s">
        <v>301</v>
      </c>
      <c r="Q426" s="17"/>
    </row>
    <row r="427" spans="1:19" hidden="1" x14ac:dyDescent="0.2">
      <c r="A427" s="22" t="s">
        <v>55</v>
      </c>
      <c r="B427" s="25" t="s">
        <v>56</v>
      </c>
      <c r="H427" s="18"/>
      <c r="I427" s="18"/>
      <c r="J427" s="18"/>
      <c r="Q427" s="17"/>
    </row>
    <row r="428" spans="1:19" hidden="1" x14ac:dyDescent="0.2">
      <c r="A428" s="18" t="s">
        <v>57</v>
      </c>
      <c r="B428" s="20"/>
      <c r="C428" s="18"/>
      <c r="D428" s="18"/>
      <c r="E428" s="18"/>
      <c r="F428" s="18"/>
      <c r="G428" s="18"/>
      <c r="H428" s="21"/>
      <c r="I428" s="21"/>
      <c r="J428" s="21"/>
      <c r="Q428" s="17"/>
    </row>
    <row r="429" spans="1:19" hidden="1" x14ac:dyDescent="0.2">
      <c r="A429" s="18" t="s">
        <v>58</v>
      </c>
      <c r="B429" s="20" t="s">
        <v>59</v>
      </c>
      <c r="C429" s="18" t="s">
        <v>52</v>
      </c>
      <c r="D429" s="18" t="s">
        <v>55</v>
      </c>
      <c r="E429" s="18" t="s">
        <v>60</v>
      </c>
      <c r="F429" s="18" t="s">
        <v>61</v>
      </c>
      <c r="G429" s="18" t="s">
        <v>54</v>
      </c>
      <c r="H429" s="60" t="s">
        <v>51</v>
      </c>
      <c r="I429" s="18" t="s">
        <v>221</v>
      </c>
      <c r="J429" s="2" t="s">
        <v>379</v>
      </c>
      <c r="K429" s="62" t="s">
        <v>1059</v>
      </c>
      <c r="L429" s="62" t="s">
        <v>1060</v>
      </c>
      <c r="M429" s="62" t="s">
        <v>1061</v>
      </c>
      <c r="N429" s="62" t="s">
        <v>1062</v>
      </c>
      <c r="O429" s="62" t="s">
        <v>1063</v>
      </c>
      <c r="P429" s="62" t="s">
        <v>1064</v>
      </c>
      <c r="Q429" s="2" t="s">
        <v>1065</v>
      </c>
      <c r="R429" s="2" t="s">
        <v>380</v>
      </c>
      <c r="S429" s="18" t="s">
        <v>1128</v>
      </c>
    </row>
    <row r="430" spans="1:19" hidden="1" x14ac:dyDescent="0.2">
      <c r="A430" s="25" t="s">
        <v>818</v>
      </c>
      <c r="B430" s="25">
        <v>1</v>
      </c>
      <c r="C430" s="17" t="str">
        <f>B426</f>
        <v>DK</v>
      </c>
      <c r="D430" s="17" t="str">
        <f>B427</f>
        <v>kilogram</v>
      </c>
      <c r="E430" s="21"/>
      <c r="F430" s="17" t="s">
        <v>62</v>
      </c>
      <c r="G430" s="17" t="s">
        <v>814</v>
      </c>
      <c r="H430" s="21"/>
      <c r="I430" s="21"/>
      <c r="Q430" s="17"/>
    </row>
    <row r="431" spans="1:19" hidden="1" x14ac:dyDescent="0.2">
      <c r="A431" s="17" t="str">
        <f>A415</f>
        <v>electrolyzer production, 1MWe, PEM, Stack</v>
      </c>
      <c r="B431" s="17">
        <f>B415</f>
        <v>3.3734602494299401E-7</v>
      </c>
      <c r="C431" s="17" t="s">
        <v>90</v>
      </c>
      <c r="D431" s="17" t="s">
        <v>55</v>
      </c>
      <c r="F431" s="17" t="s">
        <v>86</v>
      </c>
      <c r="G431" s="17" t="s">
        <v>1006</v>
      </c>
      <c r="H431" s="17" t="s">
        <v>698</v>
      </c>
      <c r="I431" s="17">
        <v>2</v>
      </c>
      <c r="J431">
        <f t="shared" ref="J431:J436" si="37">LN(B431)</f>
        <v>-14.902156653126054</v>
      </c>
      <c r="K431" s="13">
        <v>1.05</v>
      </c>
      <c r="L431" s="13">
        <v>1.1000000000000001</v>
      </c>
      <c r="M431" s="13">
        <v>1</v>
      </c>
      <c r="N431" s="13">
        <v>1.02</v>
      </c>
      <c r="O431" s="13">
        <v>1.2</v>
      </c>
      <c r="P431" s="13">
        <v>1.2</v>
      </c>
      <c r="Q431">
        <v>3</v>
      </c>
      <c r="R431">
        <f t="shared" ref="R431:R436" si="38">LN(SQRT(EXP(
SQRT(
+POWER(LN(K431),2)
+POWER(LN(L431),2)
+POWER(LN(M431),2)
+POWER(LN(N431),2)
+POWER(LN(O431),2)
+POWER(LN(P431),2)
+POWER(LN(Q431),2)
)
)))</f>
        <v>0.5668526959223994</v>
      </c>
    </row>
    <row r="432" spans="1:19" hidden="1" x14ac:dyDescent="0.2">
      <c r="A432" s="17" t="str">
        <f t="shared" ref="A432:B432" si="39">A416</f>
        <v>electrolyzer production, 1MWe, PEM, Balance of Plant</v>
      </c>
      <c r="B432" s="17">
        <f t="shared" si="39"/>
        <v>3.3734602494299401E-7</v>
      </c>
      <c r="C432" s="17" t="s">
        <v>90</v>
      </c>
      <c r="D432" s="17" t="s">
        <v>55</v>
      </c>
      <c r="F432" s="17" t="s">
        <v>86</v>
      </c>
      <c r="G432" s="17" t="s">
        <v>1007</v>
      </c>
      <c r="H432" s="17" t="s">
        <v>697</v>
      </c>
      <c r="I432" s="17">
        <v>2</v>
      </c>
      <c r="J432">
        <f t="shared" si="37"/>
        <v>-14.902156653126054</v>
      </c>
      <c r="K432" s="13">
        <v>1.05</v>
      </c>
      <c r="L432" s="13">
        <v>1.1000000000000001</v>
      </c>
      <c r="M432" s="13">
        <v>1</v>
      </c>
      <c r="N432" s="13">
        <v>1.02</v>
      </c>
      <c r="O432" s="13">
        <v>1.2</v>
      </c>
      <c r="P432" s="13">
        <v>1.2</v>
      </c>
      <c r="Q432">
        <v>3</v>
      </c>
      <c r="R432">
        <f t="shared" si="38"/>
        <v>0.5668526959223994</v>
      </c>
    </row>
    <row r="433" spans="1:19" hidden="1" x14ac:dyDescent="0.2">
      <c r="A433" s="17" t="s">
        <v>542</v>
      </c>
      <c r="B433" s="17">
        <f>B417*1.06</f>
        <v>57.24</v>
      </c>
      <c r="C433" s="17" t="s">
        <v>301</v>
      </c>
      <c r="D433" s="17" t="s">
        <v>92</v>
      </c>
      <c r="E433" s="21"/>
      <c r="F433" s="17" t="s">
        <v>86</v>
      </c>
      <c r="G433" s="17" t="s">
        <v>353</v>
      </c>
      <c r="H433" s="21" t="s">
        <v>94</v>
      </c>
      <c r="I433" s="17">
        <v>2</v>
      </c>
      <c r="J433">
        <f t="shared" si="37"/>
        <v>4.0472529546882505</v>
      </c>
      <c r="K433" s="13">
        <v>1.05</v>
      </c>
      <c r="L433" s="13">
        <v>1.1000000000000001</v>
      </c>
      <c r="M433" s="13">
        <v>1</v>
      </c>
      <c r="N433" s="13">
        <v>1.02</v>
      </c>
      <c r="O433" s="13">
        <v>1.2</v>
      </c>
      <c r="P433" s="13">
        <v>1.2</v>
      </c>
      <c r="Q433">
        <v>1.05</v>
      </c>
      <c r="R433">
        <f t="shared" si="38"/>
        <v>0.14205582952229279</v>
      </c>
    </row>
    <row r="434" spans="1:19" hidden="1" x14ac:dyDescent="0.2">
      <c r="A434" s="22" t="s">
        <v>263</v>
      </c>
      <c r="B434" s="25">
        <f>0.28*3.6</f>
        <v>1.0080000000000002</v>
      </c>
      <c r="C434" s="17" t="s">
        <v>90</v>
      </c>
      <c r="D434" s="17" t="s">
        <v>65</v>
      </c>
      <c r="E434" s="21"/>
      <c r="F434" s="17" t="s">
        <v>86</v>
      </c>
      <c r="G434" s="17" t="s">
        <v>199</v>
      </c>
      <c r="H434" s="21" t="s">
        <v>695</v>
      </c>
      <c r="I434" s="17">
        <v>2</v>
      </c>
      <c r="J434">
        <f t="shared" si="37"/>
        <v>7.9681696491771016E-3</v>
      </c>
      <c r="K434" s="13">
        <v>1.05</v>
      </c>
      <c r="L434" s="13">
        <v>1.1000000000000001</v>
      </c>
      <c r="M434" s="13">
        <v>1</v>
      </c>
      <c r="N434" s="13">
        <v>1.02</v>
      </c>
      <c r="O434" s="13">
        <v>1.2</v>
      </c>
      <c r="P434" s="13">
        <v>1.2</v>
      </c>
      <c r="Q434">
        <v>1.05</v>
      </c>
      <c r="R434">
        <f t="shared" si="38"/>
        <v>0.14205582952229279</v>
      </c>
    </row>
    <row r="435" spans="1:19" hidden="1" x14ac:dyDescent="0.2">
      <c r="A435" s="17" t="str">
        <f t="shared" ref="A435" si="40">A419</f>
        <v>market for water, deionised</v>
      </c>
      <c r="B435" s="17">
        <v>14</v>
      </c>
      <c r="C435" s="17" t="s">
        <v>96</v>
      </c>
      <c r="D435" s="17" t="s">
        <v>56</v>
      </c>
      <c r="F435" s="17" t="s">
        <v>86</v>
      </c>
      <c r="G435" s="17" t="s">
        <v>97</v>
      </c>
      <c r="H435" s="21" t="s">
        <v>1192</v>
      </c>
      <c r="I435" s="17">
        <v>2</v>
      </c>
      <c r="J435">
        <f t="shared" si="37"/>
        <v>2.6390573296152584</v>
      </c>
      <c r="K435" s="13">
        <v>1.05</v>
      </c>
      <c r="L435" s="13">
        <v>1.1000000000000001</v>
      </c>
      <c r="M435" s="13">
        <v>1</v>
      </c>
      <c r="N435" s="13">
        <v>1.02</v>
      </c>
      <c r="O435" s="13">
        <v>1.2</v>
      </c>
      <c r="P435" s="13">
        <v>1.2</v>
      </c>
      <c r="Q435">
        <v>1.05</v>
      </c>
      <c r="R435">
        <f t="shared" si="38"/>
        <v>0.14205582952229279</v>
      </c>
    </row>
    <row r="436" spans="1:19" hidden="1" x14ac:dyDescent="0.2">
      <c r="A436" s="17" t="str">
        <f t="shared" ref="A436:B436" si="41">A420</f>
        <v>Oxygen</v>
      </c>
      <c r="B436" s="17">
        <f t="shared" si="41"/>
        <v>8</v>
      </c>
      <c r="C436" s="27"/>
      <c r="D436" s="27" t="s">
        <v>56</v>
      </c>
      <c r="E436" s="27" t="s">
        <v>100</v>
      </c>
      <c r="F436" s="27" t="s">
        <v>99</v>
      </c>
      <c r="H436" s="28"/>
      <c r="I436" s="17">
        <v>2</v>
      </c>
      <c r="J436">
        <f t="shared" si="37"/>
        <v>2.0794415416798357</v>
      </c>
      <c r="K436" s="13">
        <v>1.05</v>
      </c>
      <c r="L436" s="13">
        <v>1.1000000000000001</v>
      </c>
      <c r="M436" s="13">
        <v>1</v>
      </c>
      <c r="N436" s="13">
        <v>1.02</v>
      </c>
      <c r="O436" s="13">
        <v>1.2</v>
      </c>
      <c r="P436" s="13">
        <v>1.2</v>
      </c>
      <c r="Q436" s="13">
        <v>1.5</v>
      </c>
      <c r="R436">
        <f t="shared" si="38"/>
        <v>0.24634371748562628</v>
      </c>
    </row>
    <row r="437" spans="1:19" hidden="1" x14ac:dyDescent="0.2">
      <c r="B437" s="25"/>
      <c r="Q437" s="17"/>
    </row>
    <row r="438" spans="1:19" hidden="1" x14ac:dyDescent="0.2">
      <c r="A438" s="19" t="s">
        <v>50</v>
      </c>
      <c r="B438" s="20" t="s">
        <v>748</v>
      </c>
      <c r="Q438" s="17"/>
    </row>
    <row r="439" spans="1:19" hidden="1" x14ac:dyDescent="0.2">
      <c r="A439" s="22" t="s">
        <v>53</v>
      </c>
      <c r="B439" s="23">
        <v>1</v>
      </c>
      <c r="Q439" s="17"/>
    </row>
    <row r="440" spans="1:19" hidden="1" x14ac:dyDescent="0.2">
      <c r="A440" s="22" t="s">
        <v>51</v>
      </c>
      <c r="B440" s="23" t="s">
        <v>1188</v>
      </c>
      <c r="Q440" s="17"/>
    </row>
    <row r="441" spans="1:19" hidden="1" x14ac:dyDescent="0.2">
      <c r="A441" s="22" t="s">
        <v>54</v>
      </c>
      <c r="B441" s="25" t="s">
        <v>1006</v>
      </c>
      <c r="Q441" s="17"/>
    </row>
    <row r="442" spans="1:19" hidden="1" x14ac:dyDescent="0.2">
      <c r="A442" s="22" t="s">
        <v>52</v>
      </c>
      <c r="B442" s="23" t="s">
        <v>90</v>
      </c>
      <c r="Q442" s="17"/>
    </row>
    <row r="443" spans="1:19" hidden="1" x14ac:dyDescent="0.2">
      <c r="A443" s="22" t="s">
        <v>55</v>
      </c>
      <c r="B443" s="25" t="s">
        <v>55</v>
      </c>
      <c r="Q443" s="17"/>
    </row>
    <row r="444" spans="1:19" hidden="1" x14ac:dyDescent="0.2">
      <c r="A444" s="18" t="s">
        <v>57</v>
      </c>
      <c r="B444" s="20"/>
      <c r="C444" s="18"/>
      <c r="D444" s="18"/>
      <c r="E444" s="18"/>
      <c r="F444" s="18"/>
      <c r="G444" s="18"/>
      <c r="H444" s="18"/>
      <c r="I444" s="18"/>
      <c r="J444" s="18"/>
      <c r="Q444" s="17"/>
    </row>
    <row r="445" spans="1:19" hidden="1" x14ac:dyDescent="0.2">
      <c r="A445" s="18" t="s">
        <v>58</v>
      </c>
      <c r="B445" s="20" t="s">
        <v>59</v>
      </c>
      <c r="C445" s="18" t="s">
        <v>52</v>
      </c>
      <c r="D445" s="18" t="s">
        <v>55</v>
      </c>
      <c r="E445" s="60" t="s">
        <v>60</v>
      </c>
      <c r="F445" s="18" t="s">
        <v>61</v>
      </c>
      <c r="G445" s="18" t="s">
        <v>54</v>
      </c>
      <c r="H445" s="60" t="s">
        <v>51</v>
      </c>
      <c r="I445" s="18" t="s">
        <v>221</v>
      </c>
      <c r="J445" s="2" t="s">
        <v>379</v>
      </c>
      <c r="K445" s="62" t="s">
        <v>1059</v>
      </c>
      <c r="L445" s="62" t="s">
        <v>1060</v>
      </c>
      <c r="M445" s="62" t="s">
        <v>1061</v>
      </c>
      <c r="N445" s="62" t="s">
        <v>1062</v>
      </c>
      <c r="O445" s="62" t="s">
        <v>1063</v>
      </c>
      <c r="P445" s="62" t="s">
        <v>1064</v>
      </c>
      <c r="Q445" s="2" t="s">
        <v>1065</v>
      </c>
      <c r="R445" s="2" t="s">
        <v>380</v>
      </c>
      <c r="S445" s="18" t="s">
        <v>1128</v>
      </c>
    </row>
    <row r="446" spans="1:19" hidden="1" x14ac:dyDescent="0.2">
      <c r="A446" s="25" t="str">
        <f>B438</f>
        <v>electrolyzer production, 1MWe, PEM, Stack</v>
      </c>
      <c r="B446" s="25">
        <v>1</v>
      </c>
      <c r="C446" s="17" t="s">
        <v>90</v>
      </c>
      <c r="D446" s="17" t="str">
        <f>B443</f>
        <v>unit</v>
      </c>
      <c r="F446" s="17" t="s">
        <v>62</v>
      </c>
      <c r="G446" s="17" t="str">
        <f>B441</f>
        <v>electrolyzer, 1MWe, PEM, Stack</v>
      </c>
      <c r="Q446" s="17"/>
    </row>
    <row r="447" spans="1:19" hidden="1" x14ac:dyDescent="0.2">
      <c r="A447" s="17" t="s">
        <v>101</v>
      </c>
      <c r="B447" s="25">
        <v>27</v>
      </c>
      <c r="C447" s="17" t="s">
        <v>85</v>
      </c>
      <c r="D447" s="17" t="s">
        <v>56</v>
      </c>
      <c r="F447" s="17" t="s">
        <v>86</v>
      </c>
      <c r="G447" s="17" t="s">
        <v>102</v>
      </c>
      <c r="H447" s="17" t="s">
        <v>686</v>
      </c>
      <c r="I447" s="17">
        <v>2</v>
      </c>
      <c r="J447">
        <f t="shared" ref="J447:J461" si="42">LN(B447)</f>
        <v>3.2958368660043291</v>
      </c>
      <c r="K447" s="13">
        <v>1.05</v>
      </c>
      <c r="L447" s="13">
        <v>1.1000000000000001</v>
      </c>
      <c r="M447" s="13">
        <v>1</v>
      </c>
      <c r="N447" s="13">
        <v>1.02</v>
      </c>
      <c r="O447" s="13">
        <v>1.2</v>
      </c>
      <c r="P447" s="13">
        <v>1.2</v>
      </c>
      <c r="Q447">
        <v>1.05</v>
      </c>
      <c r="R447">
        <f t="shared" ref="R447:R461" si="43">LN(SQRT(EXP(
SQRT(
+POWER(LN(K447),2)
+POWER(LN(L447),2)
+POWER(LN(M447),2)
+POWER(LN(N447),2)
+POWER(LN(O447),2)
+POWER(LN(P447),2)
+POWER(LN(Q447),2)
)
)))</f>
        <v>0.14205582952229279</v>
      </c>
    </row>
    <row r="448" spans="1:19" hidden="1" x14ac:dyDescent="0.2">
      <c r="A448" s="17" t="s">
        <v>222</v>
      </c>
      <c r="B448" s="25">
        <v>27</v>
      </c>
      <c r="C448" s="17" t="s">
        <v>85</v>
      </c>
      <c r="D448" s="17" t="s">
        <v>56</v>
      </c>
      <c r="F448" s="17" t="s">
        <v>86</v>
      </c>
      <c r="G448" s="17" t="s">
        <v>125</v>
      </c>
      <c r="H448" s="17" t="s">
        <v>686</v>
      </c>
      <c r="I448" s="17">
        <v>2</v>
      </c>
      <c r="J448">
        <f t="shared" si="42"/>
        <v>3.2958368660043291</v>
      </c>
      <c r="K448" s="13">
        <v>1.05</v>
      </c>
      <c r="L448" s="13">
        <v>1.1000000000000001</v>
      </c>
      <c r="M448" s="13">
        <v>1</v>
      </c>
      <c r="N448" s="13">
        <v>1.02</v>
      </c>
      <c r="O448" s="13">
        <v>1.2</v>
      </c>
      <c r="P448" s="13">
        <v>1.2</v>
      </c>
      <c r="Q448">
        <v>1.05</v>
      </c>
      <c r="R448">
        <f t="shared" si="43"/>
        <v>0.14205582952229279</v>
      </c>
    </row>
    <row r="449" spans="1:18" hidden="1" x14ac:dyDescent="0.2">
      <c r="A449" s="17" t="s">
        <v>1284</v>
      </c>
      <c r="B449" s="25">
        <v>528</v>
      </c>
      <c r="C449" s="17" t="s">
        <v>85</v>
      </c>
      <c r="D449" s="17" t="s">
        <v>56</v>
      </c>
      <c r="F449" s="17" t="s">
        <v>86</v>
      </c>
      <c r="G449" s="17" t="s">
        <v>650</v>
      </c>
      <c r="H449" s="17" t="s">
        <v>687</v>
      </c>
      <c r="I449" s="17">
        <v>2</v>
      </c>
      <c r="J449">
        <f t="shared" si="42"/>
        <v>6.2690962837062614</v>
      </c>
      <c r="K449" s="13">
        <v>1.05</v>
      </c>
      <c r="L449" s="13">
        <v>1.1000000000000001</v>
      </c>
      <c r="M449" s="13">
        <v>1</v>
      </c>
      <c r="N449" s="13">
        <v>1.02</v>
      </c>
      <c r="O449" s="13">
        <v>1.2</v>
      </c>
      <c r="P449" s="13">
        <v>1.2</v>
      </c>
      <c r="Q449">
        <v>1.05</v>
      </c>
      <c r="R449">
        <f t="shared" si="43"/>
        <v>0.14205582952229279</v>
      </c>
    </row>
    <row r="450" spans="1:18" hidden="1" x14ac:dyDescent="0.2">
      <c r="A450" s="17" t="s">
        <v>1285</v>
      </c>
      <c r="B450" s="25">
        <v>16</v>
      </c>
      <c r="C450" s="17" t="s">
        <v>85</v>
      </c>
      <c r="D450" s="17" t="s">
        <v>56</v>
      </c>
      <c r="F450" s="17" t="s">
        <v>86</v>
      </c>
      <c r="G450" s="17" t="s">
        <v>107</v>
      </c>
      <c r="H450" s="17" t="s">
        <v>688</v>
      </c>
      <c r="I450" s="17">
        <v>2</v>
      </c>
      <c r="J450">
        <f t="shared" si="42"/>
        <v>2.7725887222397811</v>
      </c>
      <c r="K450" s="13">
        <v>1.05</v>
      </c>
      <c r="L450" s="13">
        <v>1.1000000000000001</v>
      </c>
      <c r="M450" s="13">
        <v>1</v>
      </c>
      <c r="N450" s="13">
        <v>1.02</v>
      </c>
      <c r="O450" s="13">
        <v>1.2</v>
      </c>
      <c r="P450" s="13">
        <v>1.2</v>
      </c>
      <c r="Q450">
        <v>1.05</v>
      </c>
      <c r="R450">
        <f t="shared" si="43"/>
        <v>0.14205582952229279</v>
      </c>
    </row>
    <row r="451" spans="1:18" hidden="1" x14ac:dyDescent="0.2">
      <c r="A451" s="17" t="s">
        <v>244</v>
      </c>
      <c r="B451" s="25">
        <v>4.5</v>
      </c>
      <c r="C451" s="17" t="s">
        <v>85</v>
      </c>
      <c r="D451" s="17" t="s">
        <v>56</v>
      </c>
      <c r="F451" s="17" t="s">
        <v>86</v>
      </c>
      <c r="G451" s="17" t="s">
        <v>245</v>
      </c>
      <c r="H451" s="17" t="s">
        <v>689</v>
      </c>
      <c r="I451" s="17">
        <v>2</v>
      </c>
      <c r="J451">
        <f t="shared" si="42"/>
        <v>1.5040773967762742</v>
      </c>
      <c r="K451" s="13">
        <v>1.05</v>
      </c>
      <c r="L451" s="13">
        <v>1.1000000000000001</v>
      </c>
      <c r="M451" s="13">
        <v>1</v>
      </c>
      <c r="N451" s="13">
        <v>1.02</v>
      </c>
      <c r="O451" s="13">
        <v>1.2</v>
      </c>
      <c r="P451" s="13">
        <v>1.2</v>
      </c>
      <c r="Q451">
        <v>1.05</v>
      </c>
      <c r="R451">
        <f t="shared" si="43"/>
        <v>0.14205582952229279</v>
      </c>
    </row>
    <row r="452" spans="1:18" hidden="1" x14ac:dyDescent="0.2">
      <c r="A452" s="17" t="s">
        <v>784</v>
      </c>
      <c r="B452" s="25">
        <v>0.8</v>
      </c>
      <c r="C452" s="17" t="s">
        <v>85</v>
      </c>
      <c r="D452" s="17" t="s">
        <v>56</v>
      </c>
      <c r="F452" s="17" t="s">
        <v>86</v>
      </c>
      <c r="G452" s="17" t="s">
        <v>684</v>
      </c>
      <c r="H452" s="17" t="s">
        <v>689</v>
      </c>
      <c r="I452" s="17">
        <v>2</v>
      </c>
      <c r="J452">
        <f t="shared" si="42"/>
        <v>-0.22314355131420971</v>
      </c>
      <c r="K452" s="13">
        <v>1.05</v>
      </c>
      <c r="L452" s="13">
        <v>1.1000000000000001</v>
      </c>
      <c r="M452" s="13">
        <v>1</v>
      </c>
      <c r="N452" s="13">
        <v>1.02</v>
      </c>
      <c r="O452" s="13">
        <v>1.2</v>
      </c>
      <c r="P452" s="13">
        <v>1.2</v>
      </c>
      <c r="Q452">
        <v>1.05</v>
      </c>
      <c r="R452">
        <f t="shared" si="43"/>
        <v>0.14205582952229279</v>
      </c>
    </row>
    <row r="453" spans="1:18" hidden="1" x14ac:dyDescent="0.2">
      <c r="A453" s="17" t="s">
        <v>111</v>
      </c>
      <c r="B453" s="25">
        <v>7.4999999999999997E-2</v>
      </c>
      <c r="C453" s="17" t="s">
        <v>85</v>
      </c>
      <c r="D453" s="17" t="s">
        <v>56</v>
      </c>
      <c r="E453" s="21"/>
      <c r="F453" s="17" t="s">
        <v>86</v>
      </c>
      <c r="G453" s="17" t="s">
        <v>112</v>
      </c>
      <c r="H453" s="21" t="s">
        <v>690</v>
      </c>
      <c r="I453" s="17">
        <v>2</v>
      </c>
      <c r="J453">
        <f t="shared" si="42"/>
        <v>-2.5902671654458267</v>
      </c>
      <c r="K453" s="13">
        <v>1.05</v>
      </c>
      <c r="L453" s="13">
        <v>1.1000000000000001</v>
      </c>
      <c r="M453" s="13">
        <v>1</v>
      </c>
      <c r="N453" s="13">
        <v>1.02</v>
      </c>
      <c r="O453" s="13">
        <v>1.2</v>
      </c>
      <c r="P453" s="13">
        <v>1.2</v>
      </c>
      <c r="Q453">
        <v>1.05</v>
      </c>
      <c r="R453">
        <f t="shared" si="43"/>
        <v>0.14205582952229279</v>
      </c>
    </row>
    <row r="454" spans="1:18" hidden="1" x14ac:dyDescent="0.2">
      <c r="A454" s="17" t="s">
        <v>244</v>
      </c>
      <c r="B454" s="25">
        <v>4.5</v>
      </c>
      <c r="C454" s="17" t="s">
        <v>85</v>
      </c>
      <c r="D454" s="17" t="s">
        <v>56</v>
      </c>
      <c r="F454" s="17" t="s">
        <v>86</v>
      </c>
      <c r="G454" s="17" t="s">
        <v>245</v>
      </c>
      <c r="H454" s="21" t="s">
        <v>690</v>
      </c>
      <c r="I454" s="17">
        <v>2</v>
      </c>
      <c r="J454">
        <f t="shared" si="42"/>
        <v>1.5040773967762742</v>
      </c>
      <c r="K454" s="13">
        <v>1.05</v>
      </c>
      <c r="L454" s="13">
        <v>1.1000000000000001</v>
      </c>
      <c r="M454" s="13">
        <v>1</v>
      </c>
      <c r="N454" s="13">
        <v>1.02</v>
      </c>
      <c r="O454" s="13">
        <v>1.2</v>
      </c>
      <c r="P454" s="13">
        <v>1.2</v>
      </c>
      <c r="Q454">
        <v>1.05</v>
      </c>
      <c r="R454">
        <f t="shared" si="43"/>
        <v>0.14205582952229279</v>
      </c>
    </row>
    <row r="455" spans="1:18" hidden="1" x14ac:dyDescent="0.2">
      <c r="A455" s="17" t="s">
        <v>454</v>
      </c>
      <c r="B455" s="25">
        <v>4.5</v>
      </c>
      <c r="C455" s="17" t="s">
        <v>85</v>
      </c>
      <c r="D455" s="17" t="s">
        <v>56</v>
      </c>
      <c r="F455" s="17" t="s">
        <v>86</v>
      </c>
      <c r="G455" s="17" t="s">
        <v>455</v>
      </c>
      <c r="H455" s="17" t="s">
        <v>691</v>
      </c>
      <c r="I455" s="17">
        <v>2</v>
      </c>
      <c r="J455">
        <f t="shared" si="42"/>
        <v>1.5040773967762742</v>
      </c>
      <c r="K455" s="13">
        <v>1.05</v>
      </c>
      <c r="L455" s="13">
        <v>1.1000000000000001</v>
      </c>
      <c r="M455" s="13">
        <v>1</v>
      </c>
      <c r="N455" s="13">
        <v>1.02</v>
      </c>
      <c r="O455" s="13">
        <v>1.2</v>
      </c>
      <c r="P455" s="13">
        <v>1.2</v>
      </c>
      <c r="Q455">
        <v>1.05</v>
      </c>
      <c r="R455">
        <f t="shared" si="43"/>
        <v>0.14205582952229279</v>
      </c>
    </row>
    <row r="456" spans="1:18" hidden="1" x14ac:dyDescent="0.2">
      <c r="A456" s="17" t="s">
        <v>1294</v>
      </c>
      <c r="B456" s="25">
        <v>4.5</v>
      </c>
      <c r="C456" s="17" t="s">
        <v>85</v>
      </c>
      <c r="D456" s="17" t="s">
        <v>56</v>
      </c>
      <c r="F456" s="17" t="s">
        <v>86</v>
      </c>
      <c r="G456" s="17" t="s">
        <v>663</v>
      </c>
      <c r="H456" s="17" t="s">
        <v>691</v>
      </c>
      <c r="I456" s="17">
        <v>2</v>
      </c>
      <c r="J456">
        <f t="shared" si="42"/>
        <v>1.5040773967762742</v>
      </c>
      <c r="K456" s="13">
        <v>1.05</v>
      </c>
      <c r="L456" s="13">
        <v>1.1000000000000001</v>
      </c>
      <c r="M456" s="13">
        <v>1</v>
      </c>
      <c r="N456" s="13">
        <v>1.02</v>
      </c>
      <c r="O456" s="13">
        <v>1.2</v>
      </c>
      <c r="P456" s="13">
        <v>1.2</v>
      </c>
      <c r="Q456">
        <v>1.05</v>
      </c>
      <c r="R456">
        <f t="shared" si="43"/>
        <v>0.14205582952229279</v>
      </c>
    </row>
    <row r="457" spans="1:18" hidden="1" x14ac:dyDescent="0.2">
      <c r="A457" s="17" t="s">
        <v>223</v>
      </c>
      <c r="B457" s="25">
        <v>100</v>
      </c>
      <c r="C457" s="17" t="s">
        <v>85</v>
      </c>
      <c r="D457" s="17" t="s">
        <v>56</v>
      </c>
      <c r="F457" s="17" t="s">
        <v>86</v>
      </c>
      <c r="G457" s="17" t="s">
        <v>224</v>
      </c>
      <c r="H457" s="17" t="s">
        <v>692</v>
      </c>
      <c r="I457" s="17">
        <v>2</v>
      </c>
      <c r="J457">
        <f t="shared" si="42"/>
        <v>4.6051701859880918</v>
      </c>
      <c r="K457" s="13">
        <v>1.05</v>
      </c>
      <c r="L457" s="13">
        <v>1.1000000000000001</v>
      </c>
      <c r="M457" s="13">
        <v>1</v>
      </c>
      <c r="N457" s="13">
        <v>1.02</v>
      </c>
      <c r="O457" s="13">
        <v>1.2</v>
      </c>
      <c r="P457" s="13">
        <v>1.2</v>
      </c>
      <c r="Q457">
        <v>1.05</v>
      </c>
      <c r="R457">
        <f t="shared" si="43"/>
        <v>0.14205582952229279</v>
      </c>
    </row>
    <row r="458" spans="1:18" hidden="1" x14ac:dyDescent="0.2">
      <c r="A458" s="17" t="s">
        <v>103</v>
      </c>
      <c r="B458" s="25">
        <v>100</v>
      </c>
      <c r="C458" s="17" t="s">
        <v>85</v>
      </c>
      <c r="D458" s="17" t="s">
        <v>56</v>
      </c>
      <c r="F458" s="17" t="s">
        <v>86</v>
      </c>
      <c r="G458" s="17" t="s">
        <v>104</v>
      </c>
      <c r="H458" s="17" t="s">
        <v>692</v>
      </c>
      <c r="I458" s="17">
        <v>2</v>
      </c>
      <c r="J458">
        <f t="shared" si="42"/>
        <v>4.6051701859880918</v>
      </c>
      <c r="K458" s="13">
        <v>1.05</v>
      </c>
      <c r="L458" s="13">
        <v>1.1000000000000001</v>
      </c>
      <c r="M458" s="13">
        <v>1</v>
      </c>
      <c r="N458" s="13">
        <v>1.02</v>
      </c>
      <c r="O458" s="13">
        <v>1.2</v>
      </c>
      <c r="P458" s="13">
        <v>1.2</v>
      </c>
      <c r="Q458">
        <v>1.05</v>
      </c>
      <c r="R458">
        <f t="shared" si="43"/>
        <v>0.14205582952229279</v>
      </c>
    </row>
    <row r="459" spans="1:18" hidden="1" x14ac:dyDescent="0.2">
      <c r="A459" s="17" t="s">
        <v>683</v>
      </c>
      <c r="B459" s="25">
        <v>4.8</v>
      </c>
      <c r="C459" s="17" t="s">
        <v>85</v>
      </c>
      <c r="D459" s="17" t="s">
        <v>56</v>
      </c>
      <c r="F459" s="17" t="s">
        <v>86</v>
      </c>
      <c r="G459" s="17" t="s">
        <v>685</v>
      </c>
      <c r="H459" s="17" t="s">
        <v>693</v>
      </c>
      <c r="I459" s="17">
        <v>2</v>
      </c>
      <c r="J459">
        <f t="shared" si="42"/>
        <v>1.5686159179138452</v>
      </c>
      <c r="K459" s="13">
        <v>1.05</v>
      </c>
      <c r="L459" s="13">
        <v>1.1000000000000001</v>
      </c>
      <c r="M459" s="13">
        <v>1</v>
      </c>
      <c r="N459" s="13">
        <v>1.02</v>
      </c>
      <c r="O459" s="13">
        <v>1.2</v>
      </c>
      <c r="P459" s="13">
        <v>1.2</v>
      </c>
      <c r="Q459">
        <v>1.05</v>
      </c>
      <c r="R459">
        <f t="shared" si="43"/>
        <v>0.14205582952229279</v>
      </c>
    </row>
    <row r="460" spans="1:18" hidden="1" x14ac:dyDescent="0.2">
      <c r="A460" s="17" t="s">
        <v>91</v>
      </c>
      <c r="B460" s="25">
        <v>311672</v>
      </c>
      <c r="C460" s="17" t="s">
        <v>85</v>
      </c>
      <c r="D460" s="17" t="s">
        <v>92</v>
      </c>
      <c r="E460" s="21"/>
      <c r="F460" s="17" t="s">
        <v>86</v>
      </c>
      <c r="G460" s="21" t="s">
        <v>93</v>
      </c>
      <c r="H460" s="17" t="s">
        <v>694</v>
      </c>
      <c r="I460" s="17">
        <v>2</v>
      </c>
      <c r="J460">
        <f t="shared" si="42"/>
        <v>12.649706631755766</v>
      </c>
      <c r="K460" s="13">
        <v>1.05</v>
      </c>
      <c r="L460" s="13">
        <v>1.1000000000000001</v>
      </c>
      <c r="M460" s="13">
        <v>1</v>
      </c>
      <c r="N460" s="13">
        <v>1.02</v>
      </c>
      <c r="O460" s="13">
        <v>1.2</v>
      </c>
      <c r="P460" s="13">
        <v>1.2</v>
      </c>
      <c r="Q460">
        <v>1.05</v>
      </c>
      <c r="R460">
        <f t="shared" si="43"/>
        <v>0.14205582952229279</v>
      </c>
    </row>
    <row r="461" spans="1:18" hidden="1" x14ac:dyDescent="0.2">
      <c r="A461" s="17" t="s">
        <v>651</v>
      </c>
      <c r="B461" s="25">
        <v>0.8</v>
      </c>
      <c r="D461" s="17" t="s">
        <v>56</v>
      </c>
      <c r="E461" s="21" t="s">
        <v>113</v>
      </c>
      <c r="F461" s="17" t="s">
        <v>99</v>
      </c>
      <c r="G461" s="21"/>
      <c r="I461" s="17">
        <v>2</v>
      </c>
      <c r="J461">
        <f t="shared" si="42"/>
        <v>-0.22314355131420971</v>
      </c>
      <c r="K461" s="13">
        <v>1.05</v>
      </c>
      <c r="L461" s="13">
        <v>1.1000000000000001</v>
      </c>
      <c r="M461" s="13">
        <v>1</v>
      </c>
      <c r="N461" s="13">
        <v>1.02</v>
      </c>
      <c r="O461" s="13">
        <v>1.2</v>
      </c>
      <c r="P461" s="13">
        <v>1.2</v>
      </c>
      <c r="Q461" s="13">
        <v>1.5</v>
      </c>
      <c r="R461">
        <f t="shared" si="43"/>
        <v>0.24634371748562628</v>
      </c>
    </row>
    <row r="462" spans="1:18" hidden="1" x14ac:dyDescent="0.2">
      <c r="B462" s="25"/>
      <c r="Q462" s="17"/>
    </row>
    <row r="463" spans="1:18" hidden="1" x14ac:dyDescent="0.2">
      <c r="A463" s="19" t="s">
        <v>50</v>
      </c>
      <c r="B463" s="20" t="s">
        <v>749</v>
      </c>
      <c r="K463" s="63"/>
      <c r="L463" s="64"/>
      <c r="Q463" s="17"/>
    </row>
    <row r="464" spans="1:18" hidden="1" x14ac:dyDescent="0.2">
      <c r="A464" s="22" t="s">
        <v>53</v>
      </c>
      <c r="B464" s="23">
        <v>1</v>
      </c>
      <c r="K464" s="65"/>
      <c r="L464" s="64"/>
      <c r="Q464" s="17"/>
    </row>
    <row r="465" spans="1:19" hidden="1" x14ac:dyDescent="0.2">
      <c r="A465" s="22" t="s">
        <v>51</v>
      </c>
      <c r="B465" s="23" t="s">
        <v>796</v>
      </c>
      <c r="L465" s="64"/>
      <c r="Q465" s="17"/>
    </row>
    <row r="466" spans="1:19" hidden="1" x14ac:dyDescent="0.2">
      <c r="A466" s="22" t="s">
        <v>54</v>
      </c>
      <c r="B466" s="25" t="s">
        <v>1007</v>
      </c>
      <c r="Q466" s="17"/>
    </row>
    <row r="467" spans="1:19" ht="16.25" hidden="1" customHeight="1" x14ac:dyDescent="0.2">
      <c r="A467" s="22" t="s">
        <v>52</v>
      </c>
      <c r="B467" s="23" t="s">
        <v>90</v>
      </c>
      <c r="Q467" s="17"/>
    </row>
    <row r="468" spans="1:19" hidden="1" x14ac:dyDescent="0.2">
      <c r="A468" s="22" t="s">
        <v>55</v>
      </c>
      <c r="B468" s="25" t="s">
        <v>55</v>
      </c>
      <c r="H468" s="18"/>
      <c r="I468" s="18"/>
      <c r="Q468" s="17"/>
    </row>
    <row r="469" spans="1:19" hidden="1" x14ac:dyDescent="0.2">
      <c r="A469" s="18" t="s">
        <v>57</v>
      </c>
      <c r="B469" s="20"/>
      <c r="C469" s="18"/>
      <c r="D469" s="18"/>
      <c r="E469" s="18"/>
      <c r="F469" s="18"/>
      <c r="G469" s="18"/>
      <c r="H469" s="21"/>
      <c r="I469" s="21"/>
      <c r="Q469" s="17"/>
    </row>
    <row r="470" spans="1:19" hidden="1" x14ac:dyDescent="0.2">
      <c r="A470" s="18" t="s">
        <v>58</v>
      </c>
      <c r="B470" s="20" t="s">
        <v>59</v>
      </c>
      <c r="C470" s="18" t="s">
        <v>52</v>
      </c>
      <c r="D470" s="18" t="s">
        <v>55</v>
      </c>
      <c r="E470" s="60" t="s">
        <v>60</v>
      </c>
      <c r="F470" s="18" t="s">
        <v>61</v>
      </c>
      <c r="G470" s="18" t="s">
        <v>54</v>
      </c>
      <c r="H470" s="60" t="s">
        <v>51</v>
      </c>
      <c r="I470" s="18" t="s">
        <v>221</v>
      </c>
      <c r="J470" s="2" t="s">
        <v>379</v>
      </c>
      <c r="K470" s="62" t="s">
        <v>1059</v>
      </c>
      <c r="L470" s="62" t="s">
        <v>1060</v>
      </c>
      <c r="M470" s="62" t="s">
        <v>1061</v>
      </c>
      <c r="N470" s="62" t="s">
        <v>1062</v>
      </c>
      <c r="O470" s="62" t="s">
        <v>1063</v>
      </c>
      <c r="P470" s="62" t="s">
        <v>1064</v>
      </c>
      <c r="Q470" s="2" t="s">
        <v>1065</v>
      </c>
      <c r="R470" s="2" t="s">
        <v>380</v>
      </c>
      <c r="S470" s="18" t="s">
        <v>1128</v>
      </c>
    </row>
    <row r="471" spans="1:19" hidden="1" x14ac:dyDescent="0.2">
      <c r="A471" s="25" t="str">
        <f>B463</f>
        <v>electrolyzer production, 1MWe, PEM, Balance of Plant</v>
      </c>
      <c r="B471" s="25">
        <v>1</v>
      </c>
      <c r="C471" s="17" t="s">
        <v>90</v>
      </c>
      <c r="D471" s="17" t="s">
        <v>55</v>
      </c>
      <c r="F471" s="17" t="s">
        <v>62</v>
      </c>
      <c r="G471" s="25" t="str">
        <f>B466</f>
        <v>electrolyzer, 1MWe, PEM, Balance of Plant</v>
      </c>
      <c r="H471" s="21"/>
      <c r="I471" s="21"/>
      <c r="P471" s="65"/>
      <c r="Q471" s="17"/>
    </row>
    <row r="472" spans="1:19" hidden="1" x14ac:dyDescent="0.2">
      <c r="A472" s="17" t="s">
        <v>101</v>
      </c>
      <c r="B472" s="25">
        <v>100</v>
      </c>
      <c r="C472" s="17" t="s">
        <v>85</v>
      </c>
      <c r="D472" s="17" t="s">
        <v>56</v>
      </c>
      <c r="F472" s="17" t="s">
        <v>86</v>
      </c>
      <c r="G472" s="17" t="s">
        <v>102</v>
      </c>
      <c r="H472" s="26" t="s">
        <v>665</v>
      </c>
      <c r="I472" s="17">
        <v>2</v>
      </c>
      <c r="J472">
        <f t="shared" ref="J472:J520" si="44">LN(B472)</f>
        <v>4.6051701859880918</v>
      </c>
      <c r="K472" s="13">
        <v>1.05</v>
      </c>
      <c r="L472" s="13">
        <v>1.1000000000000001</v>
      </c>
      <c r="M472" s="13">
        <v>1</v>
      </c>
      <c r="N472" s="13">
        <v>1.02</v>
      </c>
      <c r="O472" s="13">
        <v>1.2</v>
      </c>
      <c r="P472" s="13">
        <v>1.2</v>
      </c>
      <c r="Q472">
        <v>1.05</v>
      </c>
      <c r="R472">
        <f t="shared" ref="R472:R520" si="45">LN(SQRT(EXP(
SQRT(
+POWER(LN(K472),2)
+POWER(LN(L472),2)
+POWER(LN(M472),2)
+POWER(LN(N472),2)
+POWER(LN(O472),2)
+POWER(LN(P472),2)
+POWER(LN(Q472),2)
)
)))</f>
        <v>0.14205582952229279</v>
      </c>
    </row>
    <row r="473" spans="1:19" hidden="1" x14ac:dyDescent="0.2">
      <c r="A473" s="17" t="s">
        <v>454</v>
      </c>
      <c r="B473" s="25">
        <v>200</v>
      </c>
      <c r="C473" s="17" t="s">
        <v>85</v>
      </c>
      <c r="D473" s="17" t="s">
        <v>56</v>
      </c>
      <c r="F473" s="17" t="s">
        <v>86</v>
      </c>
      <c r="G473" s="17" t="s">
        <v>455</v>
      </c>
      <c r="H473" s="26" t="s">
        <v>665</v>
      </c>
      <c r="I473" s="17">
        <v>2</v>
      </c>
      <c r="J473">
        <f t="shared" si="44"/>
        <v>5.2983173665480363</v>
      </c>
      <c r="K473" s="13">
        <v>1.05</v>
      </c>
      <c r="L473" s="13">
        <v>1.1000000000000001</v>
      </c>
      <c r="M473" s="13">
        <v>1</v>
      </c>
      <c r="N473" s="13">
        <v>1.02</v>
      </c>
      <c r="O473" s="13">
        <v>1.2</v>
      </c>
      <c r="P473" s="13">
        <v>1.2</v>
      </c>
      <c r="Q473">
        <v>1.05</v>
      </c>
      <c r="R473">
        <f t="shared" si="45"/>
        <v>0.14205582952229279</v>
      </c>
    </row>
    <row r="474" spans="1:19" hidden="1" x14ac:dyDescent="0.2">
      <c r="A474" s="17" t="s">
        <v>447</v>
      </c>
      <c r="B474" s="25">
        <v>600</v>
      </c>
      <c r="C474" s="17" t="s">
        <v>85</v>
      </c>
      <c r="D474" s="17" t="s">
        <v>56</v>
      </c>
      <c r="F474" s="17" t="s">
        <v>86</v>
      </c>
      <c r="G474" s="17" t="s">
        <v>124</v>
      </c>
      <c r="H474" s="26" t="s">
        <v>665</v>
      </c>
      <c r="I474" s="17">
        <v>2</v>
      </c>
      <c r="J474">
        <f t="shared" si="44"/>
        <v>6.3969296552161463</v>
      </c>
      <c r="K474" s="13">
        <v>1.05</v>
      </c>
      <c r="L474" s="13">
        <v>1.1000000000000001</v>
      </c>
      <c r="M474" s="13">
        <v>1</v>
      </c>
      <c r="N474" s="13">
        <v>1.02</v>
      </c>
      <c r="O474" s="13">
        <v>1.2</v>
      </c>
      <c r="P474" s="13">
        <v>1.2</v>
      </c>
      <c r="Q474">
        <v>1.05</v>
      </c>
      <c r="R474">
        <f t="shared" si="45"/>
        <v>0.14205582952229279</v>
      </c>
    </row>
    <row r="475" spans="1:19" hidden="1" x14ac:dyDescent="0.2">
      <c r="A475" s="17" t="s">
        <v>222</v>
      </c>
      <c r="B475" s="25">
        <v>100</v>
      </c>
      <c r="C475" s="17" t="s">
        <v>85</v>
      </c>
      <c r="D475" s="17" t="s">
        <v>56</v>
      </c>
      <c r="F475" s="17" t="s">
        <v>86</v>
      </c>
      <c r="G475" s="17" t="s">
        <v>125</v>
      </c>
      <c r="H475" s="26" t="s">
        <v>665</v>
      </c>
      <c r="I475" s="17">
        <v>2</v>
      </c>
      <c r="J475">
        <f t="shared" si="44"/>
        <v>4.6051701859880918</v>
      </c>
      <c r="K475" s="13">
        <v>1.05</v>
      </c>
      <c r="L475" s="13">
        <v>1.1000000000000001</v>
      </c>
      <c r="M475" s="13">
        <v>1</v>
      </c>
      <c r="N475" s="13">
        <v>1.02</v>
      </c>
      <c r="O475" s="13">
        <v>1.2</v>
      </c>
      <c r="P475" s="13">
        <v>1.2</v>
      </c>
      <c r="Q475">
        <v>1.05</v>
      </c>
      <c r="R475">
        <f t="shared" si="45"/>
        <v>0.14205582952229279</v>
      </c>
    </row>
    <row r="476" spans="1:19" hidden="1" x14ac:dyDescent="0.2">
      <c r="A476" s="17" t="s">
        <v>228</v>
      </c>
      <c r="B476" s="25">
        <v>600</v>
      </c>
      <c r="C476" s="17" t="s">
        <v>85</v>
      </c>
      <c r="D476" s="17" t="s">
        <v>56</v>
      </c>
      <c r="F476" s="17" t="s">
        <v>86</v>
      </c>
      <c r="G476" s="17" t="s">
        <v>126</v>
      </c>
      <c r="H476" s="26" t="s">
        <v>665</v>
      </c>
      <c r="I476" s="17">
        <v>2</v>
      </c>
      <c r="J476">
        <f t="shared" si="44"/>
        <v>6.3969296552161463</v>
      </c>
      <c r="K476" s="13">
        <v>1.05</v>
      </c>
      <c r="L476" s="13">
        <v>1.1000000000000001</v>
      </c>
      <c r="M476" s="13">
        <v>1</v>
      </c>
      <c r="N476" s="13">
        <v>1.02</v>
      </c>
      <c r="O476" s="13">
        <v>1.2</v>
      </c>
      <c r="P476" s="13">
        <v>1.2</v>
      </c>
      <c r="Q476">
        <v>1.05</v>
      </c>
      <c r="R476">
        <f t="shared" si="45"/>
        <v>0.14205582952229279</v>
      </c>
    </row>
    <row r="477" spans="1:19" hidden="1" x14ac:dyDescent="0.2">
      <c r="A477" s="17" t="s">
        <v>523</v>
      </c>
      <c r="B477" s="25">
        <v>100</v>
      </c>
      <c r="C477" s="17" t="s">
        <v>85</v>
      </c>
      <c r="D477" s="17" t="s">
        <v>56</v>
      </c>
      <c r="F477" s="17" t="s">
        <v>86</v>
      </c>
      <c r="G477" s="17" t="s">
        <v>127</v>
      </c>
      <c r="H477" s="26" t="s">
        <v>665</v>
      </c>
      <c r="I477" s="17">
        <v>2</v>
      </c>
      <c r="J477">
        <f t="shared" si="44"/>
        <v>4.6051701859880918</v>
      </c>
      <c r="K477" s="13">
        <v>1.05</v>
      </c>
      <c r="L477" s="13">
        <v>1.1000000000000001</v>
      </c>
      <c r="M477" s="13">
        <v>1</v>
      </c>
      <c r="N477" s="13">
        <v>1.02</v>
      </c>
      <c r="O477" s="13">
        <v>1.2</v>
      </c>
      <c r="P477" s="13">
        <v>1.2</v>
      </c>
      <c r="Q477">
        <v>1.05</v>
      </c>
      <c r="R477">
        <f t="shared" si="45"/>
        <v>0.14205582952229279</v>
      </c>
    </row>
    <row r="478" spans="1:19" hidden="1" x14ac:dyDescent="0.2">
      <c r="A478" s="17" t="s">
        <v>718</v>
      </c>
      <c r="B478" s="25">
        <v>200</v>
      </c>
      <c r="C478" s="17" t="s">
        <v>85</v>
      </c>
      <c r="D478" s="17" t="s">
        <v>56</v>
      </c>
      <c r="F478" s="17" t="s">
        <v>86</v>
      </c>
      <c r="G478" s="17" t="s">
        <v>128</v>
      </c>
      <c r="H478" s="26" t="s">
        <v>665</v>
      </c>
      <c r="I478" s="17">
        <v>2</v>
      </c>
      <c r="J478">
        <f t="shared" si="44"/>
        <v>5.2983173665480363</v>
      </c>
      <c r="K478" s="13">
        <v>1.05</v>
      </c>
      <c r="L478" s="13">
        <v>1.1000000000000001</v>
      </c>
      <c r="M478" s="13">
        <v>1</v>
      </c>
      <c r="N478" s="13">
        <v>1.02</v>
      </c>
      <c r="O478" s="13">
        <v>1.2</v>
      </c>
      <c r="P478" s="13">
        <v>1.2</v>
      </c>
      <c r="Q478">
        <v>1.05</v>
      </c>
      <c r="R478">
        <f t="shared" si="45"/>
        <v>0.14205582952229279</v>
      </c>
    </row>
    <row r="479" spans="1:19" hidden="1" x14ac:dyDescent="0.2">
      <c r="A479" s="17" t="s">
        <v>118</v>
      </c>
      <c r="B479" s="25">
        <v>100</v>
      </c>
      <c r="C479" s="17" t="s">
        <v>85</v>
      </c>
      <c r="D479" s="17" t="s">
        <v>56</v>
      </c>
      <c r="F479" s="17" t="s">
        <v>86</v>
      </c>
      <c r="G479" s="17" t="s">
        <v>119</v>
      </c>
      <c r="H479" s="21" t="s">
        <v>666</v>
      </c>
      <c r="I479" s="17">
        <v>2</v>
      </c>
      <c r="J479">
        <f t="shared" si="44"/>
        <v>4.6051701859880918</v>
      </c>
      <c r="K479" s="13">
        <v>1.05</v>
      </c>
      <c r="L479" s="13">
        <v>1.1000000000000001</v>
      </c>
      <c r="M479" s="13">
        <v>1</v>
      </c>
      <c r="N479" s="13">
        <v>1.02</v>
      </c>
      <c r="O479" s="13">
        <v>1.2</v>
      </c>
      <c r="P479" s="13">
        <v>1.2</v>
      </c>
      <c r="Q479">
        <v>1.05</v>
      </c>
      <c r="R479">
        <f t="shared" si="45"/>
        <v>0.14205582952229279</v>
      </c>
    </row>
    <row r="480" spans="1:19" hidden="1" x14ac:dyDescent="0.2">
      <c r="A480" s="17" t="s">
        <v>114</v>
      </c>
      <c r="B480" s="25">
        <v>900</v>
      </c>
      <c r="C480" s="17" t="s">
        <v>85</v>
      </c>
      <c r="D480" s="17" t="s">
        <v>56</v>
      </c>
      <c r="F480" s="17" t="s">
        <v>86</v>
      </c>
      <c r="G480" s="17" t="s">
        <v>115</v>
      </c>
      <c r="H480" s="21" t="s">
        <v>667</v>
      </c>
      <c r="I480" s="17">
        <v>2</v>
      </c>
      <c r="J480">
        <f t="shared" si="44"/>
        <v>6.8023947633243109</v>
      </c>
      <c r="K480" s="13">
        <v>1.05</v>
      </c>
      <c r="L480" s="13">
        <v>1.1000000000000001</v>
      </c>
      <c r="M480" s="13">
        <v>1</v>
      </c>
      <c r="N480" s="13">
        <v>1.02</v>
      </c>
      <c r="O480" s="13">
        <v>1.2</v>
      </c>
      <c r="P480" s="13">
        <v>1.2</v>
      </c>
      <c r="Q480">
        <v>1.05</v>
      </c>
      <c r="R480">
        <f t="shared" si="45"/>
        <v>0.14205582952229279</v>
      </c>
    </row>
    <row r="481" spans="1:18" hidden="1" x14ac:dyDescent="0.2">
      <c r="A481" s="17" t="s">
        <v>228</v>
      </c>
      <c r="B481" s="25">
        <v>900</v>
      </c>
      <c r="C481" s="17" t="s">
        <v>85</v>
      </c>
      <c r="D481" s="17" t="s">
        <v>56</v>
      </c>
      <c r="F481" s="17" t="s">
        <v>86</v>
      </c>
      <c r="G481" s="17" t="s">
        <v>126</v>
      </c>
      <c r="H481" s="21" t="s">
        <v>667</v>
      </c>
      <c r="I481" s="17">
        <v>2</v>
      </c>
      <c r="J481">
        <f t="shared" si="44"/>
        <v>6.8023947633243109</v>
      </c>
      <c r="K481" s="13">
        <v>1.05</v>
      </c>
      <c r="L481" s="13">
        <v>1.1000000000000001</v>
      </c>
      <c r="M481" s="13">
        <v>1</v>
      </c>
      <c r="N481" s="13">
        <v>1.02</v>
      </c>
      <c r="O481" s="13">
        <v>1.2</v>
      </c>
      <c r="P481" s="13">
        <v>1.2</v>
      </c>
      <c r="Q481">
        <v>1.05</v>
      </c>
      <c r="R481">
        <f t="shared" si="45"/>
        <v>0.14205582952229279</v>
      </c>
    </row>
    <row r="482" spans="1:18" hidden="1" x14ac:dyDescent="0.2">
      <c r="A482" s="17" t="s">
        <v>223</v>
      </c>
      <c r="B482" s="25">
        <v>750</v>
      </c>
      <c r="C482" s="17" t="s">
        <v>85</v>
      </c>
      <c r="D482" s="17" t="s">
        <v>56</v>
      </c>
      <c r="F482" s="17" t="s">
        <v>86</v>
      </c>
      <c r="G482" s="17" t="s">
        <v>224</v>
      </c>
      <c r="H482" s="21" t="s">
        <v>668</v>
      </c>
      <c r="I482" s="17">
        <v>2</v>
      </c>
      <c r="J482">
        <f t="shared" si="44"/>
        <v>6.620073206530356</v>
      </c>
      <c r="K482" s="13">
        <v>1.05</v>
      </c>
      <c r="L482" s="13">
        <v>1.1000000000000001</v>
      </c>
      <c r="M482" s="13">
        <v>1</v>
      </c>
      <c r="N482" s="13">
        <v>1.02</v>
      </c>
      <c r="O482" s="13">
        <v>1.2</v>
      </c>
      <c r="P482" s="13">
        <v>1.2</v>
      </c>
      <c r="Q482">
        <v>1.05</v>
      </c>
      <c r="R482">
        <f t="shared" si="45"/>
        <v>0.14205582952229279</v>
      </c>
    </row>
    <row r="483" spans="1:18" hidden="1" x14ac:dyDescent="0.2">
      <c r="A483" s="17" t="s">
        <v>103</v>
      </c>
      <c r="B483" s="25">
        <v>750</v>
      </c>
      <c r="C483" s="17" t="s">
        <v>85</v>
      </c>
      <c r="D483" s="17" t="s">
        <v>56</v>
      </c>
      <c r="F483" s="17" t="s">
        <v>86</v>
      </c>
      <c r="G483" s="17" t="s">
        <v>104</v>
      </c>
      <c r="H483" s="21" t="s">
        <v>668</v>
      </c>
      <c r="I483" s="17">
        <v>2</v>
      </c>
      <c r="J483">
        <f t="shared" si="44"/>
        <v>6.620073206530356</v>
      </c>
      <c r="K483" s="13">
        <v>1.05</v>
      </c>
      <c r="L483" s="13">
        <v>1.1000000000000001</v>
      </c>
      <c r="M483" s="13">
        <v>1</v>
      </c>
      <c r="N483" s="13">
        <v>1.02</v>
      </c>
      <c r="O483" s="13">
        <v>1.2</v>
      </c>
      <c r="P483" s="13">
        <v>1.2</v>
      </c>
      <c r="Q483">
        <v>1.05</v>
      </c>
      <c r="R483">
        <f t="shared" si="45"/>
        <v>0.14205582952229279</v>
      </c>
    </row>
    <row r="484" spans="1:18" hidden="1" x14ac:dyDescent="0.2">
      <c r="A484" s="17" t="s">
        <v>101</v>
      </c>
      <c r="B484" s="25">
        <v>100</v>
      </c>
      <c r="C484" s="17" t="s">
        <v>85</v>
      </c>
      <c r="D484" s="17" t="s">
        <v>56</v>
      </c>
      <c r="F484" s="17" t="s">
        <v>86</v>
      </c>
      <c r="G484" s="17" t="s">
        <v>102</v>
      </c>
      <c r="H484" s="21" t="s">
        <v>669</v>
      </c>
      <c r="I484" s="17">
        <v>2</v>
      </c>
      <c r="J484">
        <f t="shared" si="44"/>
        <v>4.6051701859880918</v>
      </c>
      <c r="K484" s="13">
        <v>1.05</v>
      </c>
      <c r="L484" s="13">
        <v>1.1000000000000001</v>
      </c>
      <c r="M484" s="13">
        <v>1</v>
      </c>
      <c r="N484" s="13">
        <v>1.02</v>
      </c>
      <c r="O484" s="13">
        <v>1.2</v>
      </c>
      <c r="P484" s="13">
        <v>1.2</v>
      </c>
      <c r="Q484">
        <v>1.05</v>
      </c>
      <c r="R484">
        <f t="shared" si="45"/>
        <v>0.14205582952229279</v>
      </c>
    </row>
    <row r="485" spans="1:18" hidden="1" x14ac:dyDescent="0.2">
      <c r="A485" s="17" t="s">
        <v>222</v>
      </c>
      <c r="B485" s="25">
        <v>100</v>
      </c>
      <c r="C485" s="17" t="s">
        <v>85</v>
      </c>
      <c r="D485" s="17" t="s">
        <v>56</v>
      </c>
      <c r="F485" s="17" t="s">
        <v>86</v>
      </c>
      <c r="G485" s="17" t="s">
        <v>125</v>
      </c>
      <c r="H485" s="21" t="s">
        <v>669</v>
      </c>
      <c r="I485" s="17">
        <v>2</v>
      </c>
      <c r="J485">
        <f t="shared" si="44"/>
        <v>4.6051701859880918</v>
      </c>
      <c r="K485" s="13">
        <v>1.05</v>
      </c>
      <c r="L485" s="13">
        <v>1.1000000000000001</v>
      </c>
      <c r="M485" s="13">
        <v>1</v>
      </c>
      <c r="N485" s="13">
        <v>1.02</v>
      </c>
      <c r="O485" s="13">
        <v>1.2</v>
      </c>
      <c r="P485" s="13">
        <v>1.2</v>
      </c>
      <c r="Q485">
        <v>1.05</v>
      </c>
      <c r="R485">
        <f t="shared" si="45"/>
        <v>0.14205582952229279</v>
      </c>
    </row>
    <row r="486" spans="1:18" hidden="1" x14ac:dyDescent="0.2">
      <c r="A486" s="17" t="s">
        <v>454</v>
      </c>
      <c r="B486" s="25">
        <v>100</v>
      </c>
      <c r="C486" s="17" t="s">
        <v>85</v>
      </c>
      <c r="D486" s="17" t="s">
        <v>56</v>
      </c>
      <c r="F486" s="17" t="s">
        <v>86</v>
      </c>
      <c r="G486" s="17" t="s">
        <v>455</v>
      </c>
      <c r="H486" s="21" t="s">
        <v>670</v>
      </c>
      <c r="I486" s="17">
        <v>2</v>
      </c>
      <c r="J486">
        <f t="shared" si="44"/>
        <v>4.6051701859880918</v>
      </c>
      <c r="K486" s="13">
        <v>1.05</v>
      </c>
      <c r="L486" s="13">
        <v>1.1000000000000001</v>
      </c>
      <c r="M486" s="13">
        <v>1</v>
      </c>
      <c r="N486" s="13">
        <v>1.02</v>
      </c>
      <c r="O486" s="13">
        <v>1.2</v>
      </c>
      <c r="P486" s="13">
        <v>1.2</v>
      </c>
      <c r="Q486">
        <v>1.05</v>
      </c>
      <c r="R486">
        <f t="shared" si="45"/>
        <v>0.14205582952229279</v>
      </c>
    </row>
    <row r="487" spans="1:18" hidden="1" x14ac:dyDescent="0.2">
      <c r="A487" s="17" t="s">
        <v>1294</v>
      </c>
      <c r="B487" s="25">
        <v>100</v>
      </c>
      <c r="C487" s="17" t="s">
        <v>85</v>
      </c>
      <c r="D487" s="17" t="s">
        <v>56</v>
      </c>
      <c r="F487" s="17" t="s">
        <v>86</v>
      </c>
      <c r="G487" s="17" t="s">
        <v>663</v>
      </c>
      <c r="H487" s="21" t="s">
        <v>670</v>
      </c>
      <c r="I487" s="17">
        <v>2</v>
      </c>
      <c r="J487">
        <f t="shared" si="44"/>
        <v>4.6051701859880918</v>
      </c>
      <c r="K487" s="13">
        <v>1.05</v>
      </c>
      <c r="L487" s="13">
        <v>1.1000000000000001</v>
      </c>
      <c r="M487" s="13">
        <v>1</v>
      </c>
      <c r="N487" s="13">
        <v>1.02</v>
      </c>
      <c r="O487" s="13">
        <v>1.2</v>
      </c>
      <c r="P487" s="13">
        <v>1.2</v>
      </c>
      <c r="Q487">
        <v>1.05</v>
      </c>
      <c r="R487">
        <f t="shared" si="45"/>
        <v>0.14205582952229279</v>
      </c>
    </row>
    <row r="488" spans="1:18" hidden="1" x14ac:dyDescent="0.2">
      <c r="A488" s="17" t="s">
        <v>116</v>
      </c>
      <c r="B488" s="25">
        <v>300</v>
      </c>
      <c r="C488" s="17" t="s">
        <v>85</v>
      </c>
      <c r="D488" s="17" t="s">
        <v>56</v>
      </c>
      <c r="F488" s="17" t="s">
        <v>86</v>
      </c>
      <c r="G488" s="17" t="s">
        <v>117</v>
      </c>
      <c r="H488" s="21" t="s">
        <v>671</v>
      </c>
      <c r="I488" s="17">
        <v>2</v>
      </c>
      <c r="J488">
        <f t="shared" si="44"/>
        <v>5.7037824746562009</v>
      </c>
      <c r="K488" s="13">
        <v>1.05</v>
      </c>
      <c r="L488" s="13">
        <v>1.1000000000000001</v>
      </c>
      <c r="M488" s="13">
        <v>1</v>
      </c>
      <c r="N488" s="13">
        <v>1.02</v>
      </c>
      <c r="O488" s="13">
        <v>1.2</v>
      </c>
      <c r="P488" s="13">
        <v>1.2</v>
      </c>
      <c r="Q488">
        <v>1.05</v>
      </c>
      <c r="R488">
        <f t="shared" si="45"/>
        <v>0.14205582952229279</v>
      </c>
    </row>
    <row r="489" spans="1:18" hidden="1" x14ac:dyDescent="0.2">
      <c r="A489" s="17" t="s">
        <v>699</v>
      </c>
      <c r="B489" s="25">
        <v>300</v>
      </c>
      <c r="C489" s="17" t="s">
        <v>85</v>
      </c>
      <c r="D489" s="17" t="s">
        <v>56</v>
      </c>
      <c r="F489" s="17" t="s">
        <v>86</v>
      </c>
      <c r="G489" s="17" t="s">
        <v>664</v>
      </c>
      <c r="H489" s="21" t="s">
        <v>671</v>
      </c>
      <c r="I489" s="17">
        <v>2</v>
      </c>
      <c r="J489">
        <f t="shared" si="44"/>
        <v>5.7037824746562009</v>
      </c>
      <c r="K489" s="13">
        <v>1.05</v>
      </c>
      <c r="L489" s="13">
        <v>1.1000000000000001</v>
      </c>
      <c r="M489" s="13">
        <v>1</v>
      </c>
      <c r="N489" s="13">
        <v>1.02</v>
      </c>
      <c r="O489" s="13">
        <v>1.2</v>
      </c>
      <c r="P489" s="13">
        <v>1.2</v>
      </c>
      <c r="Q489">
        <v>1.05</v>
      </c>
      <c r="R489">
        <f t="shared" si="45"/>
        <v>0.14205582952229279</v>
      </c>
    </row>
    <row r="490" spans="1:18" hidden="1" x14ac:dyDescent="0.2">
      <c r="A490" s="17" t="s">
        <v>156</v>
      </c>
      <c r="B490" s="25">
        <v>100</v>
      </c>
      <c r="C490" s="17" t="s">
        <v>90</v>
      </c>
      <c r="D490" s="17" t="s">
        <v>56</v>
      </c>
      <c r="F490" s="17" t="s">
        <v>86</v>
      </c>
      <c r="G490" s="17" t="s">
        <v>154</v>
      </c>
      <c r="H490" s="21" t="s">
        <v>672</v>
      </c>
      <c r="I490" s="17">
        <v>2</v>
      </c>
      <c r="J490">
        <f t="shared" si="44"/>
        <v>4.6051701859880918</v>
      </c>
      <c r="K490" s="13">
        <v>1.05</v>
      </c>
      <c r="L490" s="13">
        <v>1.1000000000000001</v>
      </c>
      <c r="M490" s="13">
        <v>1</v>
      </c>
      <c r="N490" s="13">
        <v>1.02</v>
      </c>
      <c r="O490" s="13">
        <v>1.2</v>
      </c>
      <c r="P490" s="13">
        <v>1.2</v>
      </c>
      <c r="Q490">
        <v>1.05</v>
      </c>
      <c r="R490">
        <f t="shared" si="45"/>
        <v>0.14205582952229279</v>
      </c>
    </row>
    <row r="491" spans="1:18" hidden="1" x14ac:dyDescent="0.2">
      <c r="A491" s="17" t="s">
        <v>348</v>
      </c>
      <c r="B491" s="25">
        <v>100</v>
      </c>
      <c r="C491" s="17" t="s">
        <v>85</v>
      </c>
      <c r="D491" s="17" t="s">
        <v>56</v>
      </c>
      <c r="F491" s="17" t="s">
        <v>86</v>
      </c>
      <c r="G491" s="17" t="s">
        <v>349</v>
      </c>
      <c r="H491" s="21" t="s">
        <v>673</v>
      </c>
      <c r="I491" s="17">
        <v>2</v>
      </c>
      <c r="J491">
        <f t="shared" si="44"/>
        <v>4.6051701859880918</v>
      </c>
      <c r="K491" s="13">
        <v>1.05</v>
      </c>
      <c r="L491" s="13">
        <v>1.1000000000000001</v>
      </c>
      <c r="M491" s="13">
        <v>1</v>
      </c>
      <c r="N491" s="13">
        <v>1.02</v>
      </c>
      <c r="O491" s="13">
        <v>1.2</v>
      </c>
      <c r="P491" s="13">
        <v>1.2</v>
      </c>
      <c r="Q491">
        <v>1.05</v>
      </c>
      <c r="R491">
        <f t="shared" si="45"/>
        <v>0.14205582952229279</v>
      </c>
    </row>
    <row r="492" spans="1:18" hidden="1" x14ac:dyDescent="0.2">
      <c r="A492" s="17" t="s">
        <v>223</v>
      </c>
      <c r="B492" s="25">
        <v>1161</v>
      </c>
      <c r="C492" s="17" t="s">
        <v>85</v>
      </c>
      <c r="D492" s="17" t="s">
        <v>56</v>
      </c>
      <c r="F492" s="17" t="s">
        <v>86</v>
      </c>
      <c r="G492" s="17" t="s">
        <v>224</v>
      </c>
      <c r="H492" s="21" t="s">
        <v>674</v>
      </c>
      <c r="I492" s="17">
        <v>2</v>
      </c>
      <c r="J492">
        <f t="shared" si="44"/>
        <v>7.0570369816978911</v>
      </c>
      <c r="K492" s="13">
        <v>1.05</v>
      </c>
      <c r="L492" s="13">
        <v>1.1000000000000001</v>
      </c>
      <c r="M492" s="13">
        <v>1</v>
      </c>
      <c r="N492" s="13">
        <v>1.02</v>
      </c>
      <c r="O492" s="13">
        <v>1.2</v>
      </c>
      <c r="P492" s="13">
        <v>1.2</v>
      </c>
      <c r="Q492">
        <v>1.05</v>
      </c>
      <c r="R492">
        <f t="shared" si="45"/>
        <v>0.14205582952229279</v>
      </c>
    </row>
    <row r="493" spans="1:18" hidden="1" x14ac:dyDescent="0.2">
      <c r="A493" s="17" t="s">
        <v>103</v>
      </c>
      <c r="B493" s="25">
        <v>1161</v>
      </c>
      <c r="C493" s="17" t="s">
        <v>85</v>
      </c>
      <c r="D493" s="17" t="s">
        <v>56</v>
      </c>
      <c r="F493" s="17" t="s">
        <v>86</v>
      </c>
      <c r="G493" s="17" t="s">
        <v>104</v>
      </c>
      <c r="H493" s="21" t="s">
        <v>674</v>
      </c>
      <c r="I493" s="17">
        <v>2</v>
      </c>
      <c r="J493">
        <f t="shared" si="44"/>
        <v>7.0570369816978911</v>
      </c>
      <c r="K493" s="13">
        <v>1.05</v>
      </c>
      <c r="L493" s="13">
        <v>1.1000000000000001</v>
      </c>
      <c r="M493" s="13">
        <v>1</v>
      </c>
      <c r="N493" s="13">
        <v>1.02</v>
      </c>
      <c r="O493" s="13">
        <v>1.2</v>
      </c>
      <c r="P493" s="13">
        <v>1.2</v>
      </c>
      <c r="Q493">
        <v>1.05</v>
      </c>
      <c r="R493">
        <f t="shared" si="45"/>
        <v>0.14205582952229279</v>
      </c>
    </row>
    <row r="494" spans="1:18" hidden="1" x14ac:dyDescent="0.2">
      <c r="A494" s="17" t="s">
        <v>770</v>
      </c>
      <c r="B494" s="25">
        <v>464.6</v>
      </c>
      <c r="C494" s="17" t="s">
        <v>85</v>
      </c>
      <c r="D494" s="17" t="s">
        <v>56</v>
      </c>
      <c r="F494" s="17" t="s">
        <v>86</v>
      </c>
      <c r="G494" s="17" t="s">
        <v>579</v>
      </c>
      <c r="H494" s="21" t="s">
        <v>675</v>
      </c>
      <c r="I494" s="17">
        <v>2</v>
      </c>
      <c r="J494">
        <f t="shared" si="44"/>
        <v>6.1411768203363089</v>
      </c>
      <c r="K494" s="13">
        <v>1.05</v>
      </c>
      <c r="L494" s="13">
        <v>1.1000000000000001</v>
      </c>
      <c r="M494" s="13">
        <v>1</v>
      </c>
      <c r="N494" s="13">
        <v>1.02</v>
      </c>
      <c r="O494" s="13">
        <v>1.2</v>
      </c>
      <c r="P494" s="13">
        <v>1.2</v>
      </c>
      <c r="Q494">
        <v>1.05</v>
      </c>
      <c r="R494">
        <f t="shared" si="45"/>
        <v>0.14205582952229279</v>
      </c>
    </row>
    <row r="495" spans="1:18" hidden="1" x14ac:dyDescent="0.2">
      <c r="A495" s="17" t="s">
        <v>771</v>
      </c>
      <c r="B495" s="25">
        <v>464.6</v>
      </c>
      <c r="C495" s="17" t="s">
        <v>85</v>
      </c>
      <c r="D495" s="17" t="s">
        <v>56</v>
      </c>
      <c r="F495" s="17" t="s">
        <v>86</v>
      </c>
      <c r="G495" s="17" t="s">
        <v>682</v>
      </c>
      <c r="H495" s="21" t="s">
        <v>675</v>
      </c>
      <c r="I495" s="17">
        <v>2</v>
      </c>
      <c r="J495">
        <f t="shared" si="44"/>
        <v>6.1411768203363089</v>
      </c>
      <c r="K495" s="13">
        <v>1.05</v>
      </c>
      <c r="L495" s="13">
        <v>1.1000000000000001</v>
      </c>
      <c r="M495" s="13">
        <v>1</v>
      </c>
      <c r="N495" s="13">
        <v>1.02</v>
      </c>
      <c r="O495" s="13">
        <v>1.2</v>
      </c>
      <c r="P495" s="13">
        <v>1.2</v>
      </c>
      <c r="Q495">
        <v>1.05</v>
      </c>
      <c r="R495">
        <f t="shared" si="45"/>
        <v>0.14205582952229279</v>
      </c>
    </row>
    <row r="496" spans="1:18" hidden="1" x14ac:dyDescent="0.2">
      <c r="A496" s="17" t="s">
        <v>447</v>
      </c>
      <c r="B496" s="25">
        <v>232.3</v>
      </c>
      <c r="C496" s="17" t="s">
        <v>85</v>
      </c>
      <c r="D496" s="17" t="s">
        <v>56</v>
      </c>
      <c r="F496" s="17" t="s">
        <v>86</v>
      </c>
      <c r="G496" s="17" t="s">
        <v>124</v>
      </c>
      <c r="H496" s="21" t="s">
        <v>675</v>
      </c>
      <c r="I496" s="17">
        <v>2</v>
      </c>
      <c r="J496">
        <f t="shared" si="44"/>
        <v>5.4480296397763635</v>
      </c>
      <c r="K496" s="13">
        <v>1.05</v>
      </c>
      <c r="L496" s="13">
        <v>1.1000000000000001</v>
      </c>
      <c r="M496" s="13">
        <v>1</v>
      </c>
      <c r="N496" s="13">
        <v>1.02</v>
      </c>
      <c r="O496" s="13">
        <v>1.2</v>
      </c>
      <c r="P496" s="13">
        <v>1.2</v>
      </c>
      <c r="Q496">
        <v>1.05</v>
      </c>
      <c r="R496">
        <f t="shared" si="45"/>
        <v>0.14205582952229279</v>
      </c>
    </row>
    <row r="497" spans="1:18" hidden="1" x14ac:dyDescent="0.2">
      <c r="A497" s="17" t="s">
        <v>228</v>
      </c>
      <c r="B497" s="25">
        <v>232.3</v>
      </c>
      <c r="C497" s="17" t="s">
        <v>85</v>
      </c>
      <c r="D497" s="17" t="s">
        <v>56</v>
      </c>
      <c r="F497" s="17" t="s">
        <v>86</v>
      </c>
      <c r="G497" s="17" t="s">
        <v>126</v>
      </c>
      <c r="H497" s="21" t="s">
        <v>675</v>
      </c>
      <c r="I497" s="17">
        <v>2</v>
      </c>
      <c r="J497">
        <f t="shared" si="44"/>
        <v>5.4480296397763635</v>
      </c>
      <c r="K497" s="13">
        <v>1.05</v>
      </c>
      <c r="L497" s="13">
        <v>1.1000000000000001</v>
      </c>
      <c r="M497" s="13">
        <v>1</v>
      </c>
      <c r="N497" s="13">
        <v>1.02</v>
      </c>
      <c r="O497" s="13">
        <v>1.2</v>
      </c>
      <c r="P497" s="13">
        <v>1.2</v>
      </c>
      <c r="Q497">
        <v>1.05</v>
      </c>
      <c r="R497">
        <f t="shared" si="45"/>
        <v>0.14205582952229279</v>
      </c>
    </row>
    <row r="498" spans="1:18" hidden="1" x14ac:dyDescent="0.2">
      <c r="A498" s="17" t="s">
        <v>101</v>
      </c>
      <c r="B498" s="25">
        <v>60</v>
      </c>
      <c r="C498" s="17" t="s">
        <v>85</v>
      </c>
      <c r="D498" s="17" t="s">
        <v>56</v>
      </c>
      <c r="F498" s="17" t="s">
        <v>86</v>
      </c>
      <c r="G498" s="17" t="s">
        <v>102</v>
      </c>
      <c r="H498" s="21" t="s">
        <v>676</v>
      </c>
      <c r="I498" s="17">
        <v>2</v>
      </c>
      <c r="J498">
        <f t="shared" si="44"/>
        <v>4.0943445622221004</v>
      </c>
      <c r="K498" s="13">
        <v>1.05</v>
      </c>
      <c r="L498" s="13">
        <v>1.1000000000000001</v>
      </c>
      <c r="M498" s="13">
        <v>1</v>
      </c>
      <c r="N498" s="13">
        <v>1.02</v>
      </c>
      <c r="O498" s="13">
        <v>1.2</v>
      </c>
      <c r="P498" s="13">
        <v>1.2</v>
      </c>
      <c r="Q498">
        <v>1.05</v>
      </c>
      <c r="R498">
        <f t="shared" si="45"/>
        <v>0.14205582952229279</v>
      </c>
    </row>
    <row r="499" spans="1:18" hidden="1" x14ac:dyDescent="0.2">
      <c r="A499" s="17" t="s">
        <v>454</v>
      </c>
      <c r="B499" s="25">
        <v>45</v>
      </c>
      <c r="C499" s="17" t="s">
        <v>85</v>
      </c>
      <c r="D499" s="17" t="s">
        <v>56</v>
      </c>
      <c r="F499" s="17" t="s">
        <v>86</v>
      </c>
      <c r="G499" s="17" t="s">
        <v>455</v>
      </c>
      <c r="H499" s="21" t="s">
        <v>676</v>
      </c>
      <c r="I499" s="17">
        <v>2</v>
      </c>
      <c r="J499">
        <f t="shared" si="44"/>
        <v>3.8066624897703196</v>
      </c>
      <c r="K499" s="13">
        <v>1.05</v>
      </c>
      <c r="L499" s="13">
        <v>1.1000000000000001</v>
      </c>
      <c r="M499" s="13">
        <v>1</v>
      </c>
      <c r="N499" s="13">
        <v>1.02</v>
      </c>
      <c r="O499" s="13">
        <v>1.2</v>
      </c>
      <c r="P499" s="13">
        <v>1.2</v>
      </c>
      <c r="Q499">
        <v>1.05</v>
      </c>
      <c r="R499">
        <f t="shared" si="45"/>
        <v>0.14205582952229279</v>
      </c>
    </row>
    <row r="500" spans="1:18" hidden="1" x14ac:dyDescent="0.2">
      <c r="A500" s="17" t="s">
        <v>447</v>
      </c>
      <c r="B500" s="25">
        <v>180</v>
      </c>
      <c r="C500" s="17" t="s">
        <v>85</v>
      </c>
      <c r="D500" s="17" t="s">
        <v>56</v>
      </c>
      <c r="F500" s="17" t="s">
        <v>86</v>
      </c>
      <c r="G500" s="17" t="s">
        <v>124</v>
      </c>
      <c r="H500" s="21" t="s">
        <v>676</v>
      </c>
      <c r="I500" s="17">
        <v>2</v>
      </c>
      <c r="J500">
        <f t="shared" si="44"/>
        <v>5.1929568508902104</v>
      </c>
      <c r="K500" s="13">
        <v>1.05</v>
      </c>
      <c r="L500" s="13">
        <v>1.1000000000000001</v>
      </c>
      <c r="M500" s="13">
        <v>1</v>
      </c>
      <c r="N500" s="13">
        <v>1.02</v>
      </c>
      <c r="O500" s="13">
        <v>1.2</v>
      </c>
      <c r="P500" s="13">
        <v>1.2</v>
      </c>
      <c r="Q500">
        <v>1.05</v>
      </c>
      <c r="R500">
        <f t="shared" si="45"/>
        <v>0.14205582952229279</v>
      </c>
    </row>
    <row r="501" spans="1:18" hidden="1" x14ac:dyDescent="0.2">
      <c r="A501" s="17" t="s">
        <v>523</v>
      </c>
      <c r="B501" s="25">
        <v>15</v>
      </c>
      <c r="C501" s="17" t="s">
        <v>85</v>
      </c>
      <c r="D501" s="17" t="s">
        <v>56</v>
      </c>
      <c r="F501" s="17" t="s">
        <v>86</v>
      </c>
      <c r="G501" s="17" t="s">
        <v>127</v>
      </c>
      <c r="H501" s="21" t="s">
        <v>676</v>
      </c>
      <c r="I501" s="17">
        <v>2</v>
      </c>
      <c r="J501">
        <f t="shared" si="44"/>
        <v>2.7080502011022101</v>
      </c>
      <c r="K501" s="13">
        <v>1.05</v>
      </c>
      <c r="L501" s="13">
        <v>1.1000000000000001</v>
      </c>
      <c r="M501" s="13">
        <v>1</v>
      </c>
      <c r="N501" s="13">
        <v>1.02</v>
      </c>
      <c r="O501" s="13">
        <v>1.2</v>
      </c>
      <c r="P501" s="13">
        <v>1.2</v>
      </c>
      <c r="Q501">
        <v>1.05</v>
      </c>
      <c r="R501">
        <f t="shared" si="45"/>
        <v>0.14205582952229279</v>
      </c>
    </row>
    <row r="502" spans="1:18" hidden="1" x14ac:dyDescent="0.2">
      <c r="A502" s="17" t="s">
        <v>718</v>
      </c>
      <c r="B502" s="25">
        <v>45</v>
      </c>
      <c r="C502" s="17" t="s">
        <v>85</v>
      </c>
      <c r="D502" s="17" t="s">
        <v>56</v>
      </c>
      <c r="F502" s="17" t="s">
        <v>86</v>
      </c>
      <c r="G502" s="17" t="s">
        <v>128</v>
      </c>
      <c r="H502" s="21" t="s">
        <v>676</v>
      </c>
      <c r="I502" s="17">
        <v>2</v>
      </c>
      <c r="J502">
        <f t="shared" si="44"/>
        <v>3.8066624897703196</v>
      </c>
      <c r="K502" s="13">
        <v>1.05</v>
      </c>
      <c r="L502" s="13">
        <v>1.1000000000000001</v>
      </c>
      <c r="M502" s="13">
        <v>1</v>
      </c>
      <c r="N502" s="13">
        <v>1.02</v>
      </c>
      <c r="O502" s="13">
        <v>1.2</v>
      </c>
      <c r="P502" s="13">
        <v>1.2</v>
      </c>
      <c r="Q502">
        <v>1.05</v>
      </c>
      <c r="R502">
        <f t="shared" si="45"/>
        <v>0.14205582952229279</v>
      </c>
    </row>
    <row r="503" spans="1:18" hidden="1" x14ac:dyDescent="0.2">
      <c r="A503" s="17" t="s">
        <v>425</v>
      </c>
      <c r="B503" s="25">
        <v>600</v>
      </c>
      <c r="C503" s="17" t="s">
        <v>85</v>
      </c>
      <c r="D503" s="17" t="s">
        <v>56</v>
      </c>
      <c r="F503" s="17" t="s">
        <v>86</v>
      </c>
      <c r="G503" s="17" t="s">
        <v>426</v>
      </c>
      <c r="H503" s="21" t="s">
        <v>677</v>
      </c>
      <c r="I503" s="17">
        <v>2</v>
      </c>
      <c r="J503">
        <f t="shared" si="44"/>
        <v>6.3969296552161463</v>
      </c>
      <c r="K503" s="13">
        <v>1.05</v>
      </c>
      <c r="L503" s="13">
        <v>1.1000000000000001</v>
      </c>
      <c r="M503" s="13">
        <v>1</v>
      </c>
      <c r="N503" s="13">
        <v>1.02</v>
      </c>
      <c r="O503" s="13">
        <v>1.2</v>
      </c>
      <c r="P503" s="13">
        <v>1.2</v>
      </c>
      <c r="Q503">
        <v>1.05</v>
      </c>
      <c r="R503">
        <f t="shared" si="45"/>
        <v>0.14205582952229279</v>
      </c>
    </row>
    <row r="504" spans="1:18" hidden="1" x14ac:dyDescent="0.2">
      <c r="A504" s="17" t="s">
        <v>583</v>
      </c>
      <c r="B504" s="25">
        <v>7</v>
      </c>
      <c r="C504" s="17" t="s">
        <v>85</v>
      </c>
      <c r="D504" s="17" t="s">
        <v>56</v>
      </c>
      <c r="F504" s="17" t="s">
        <v>86</v>
      </c>
      <c r="G504" s="17" t="s">
        <v>246</v>
      </c>
      <c r="H504" s="21" t="s">
        <v>677</v>
      </c>
      <c r="I504" s="17">
        <v>2</v>
      </c>
      <c r="J504">
        <f t="shared" si="44"/>
        <v>1.9459101490553132</v>
      </c>
      <c r="K504" s="13">
        <v>1.05</v>
      </c>
      <c r="L504" s="13">
        <v>1.1000000000000001</v>
      </c>
      <c r="M504" s="13">
        <v>1</v>
      </c>
      <c r="N504" s="13">
        <v>1.02</v>
      </c>
      <c r="O504" s="13">
        <v>1.2</v>
      </c>
      <c r="P504" s="13">
        <v>1.2</v>
      </c>
      <c r="Q504">
        <v>1.05</v>
      </c>
      <c r="R504">
        <f t="shared" si="45"/>
        <v>0.14205582952229279</v>
      </c>
    </row>
    <row r="505" spans="1:18" hidden="1" x14ac:dyDescent="0.2">
      <c r="A505" s="17" t="s">
        <v>447</v>
      </c>
      <c r="B505" s="25">
        <v>1300</v>
      </c>
      <c r="C505" s="17" t="s">
        <v>85</v>
      </c>
      <c r="D505" s="17" t="s">
        <v>56</v>
      </c>
      <c r="F505" s="17" t="s">
        <v>86</v>
      </c>
      <c r="G505" s="17" t="s">
        <v>124</v>
      </c>
      <c r="H505" s="21" t="s">
        <v>677</v>
      </c>
      <c r="I505" s="17">
        <v>2</v>
      </c>
      <c r="J505">
        <f t="shared" si="44"/>
        <v>7.1701195434496281</v>
      </c>
      <c r="K505" s="13">
        <v>1.05</v>
      </c>
      <c r="L505" s="13">
        <v>1.1000000000000001</v>
      </c>
      <c r="M505" s="13">
        <v>1</v>
      </c>
      <c r="N505" s="13">
        <v>1.02</v>
      </c>
      <c r="O505" s="13">
        <v>1.2</v>
      </c>
      <c r="P505" s="13">
        <v>1.2</v>
      </c>
      <c r="Q505">
        <v>1.05</v>
      </c>
      <c r="R505">
        <f t="shared" si="45"/>
        <v>0.14205582952229279</v>
      </c>
    </row>
    <row r="506" spans="1:18" hidden="1" x14ac:dyDescent="0.2">
      <c r="A506" s="17" t="s">
        <v>223</v>
      </c>
      <c r="B506" s="25">
        <v>405</v>
      </c>
      <c r="C506" s="17" t="s">
        <v>85</v>
      </c>
      <c r="D506" s="17" t="s">
        <v>56</v>
      </c>
      <c r="F506" s="17" t="s">
        <v>86</v>
      </c>
      <c r="G506" s="17" t="s">
        <v>224</v>
      </c>
      <c r="H506" s="21" t="s">
        <v>677</v>
      </c>
      <c r="I506" s="17">
        <v>2</v>
      </c>
      <c r="J506">
        <f t="shared" si="44"/>
        <v>6.0038870671065387</v>
      </c>
      <c r="K506" s="13">
        <v>1.05</v>
      </c>
      <c r="L506" s="13">
        <v>1.1000000000000001</v>
      </c>
      <c r="M506" s="13">
        <v>1</v>
      </c>
      <c r="N506" s="13">
        <v>1.02</v>
      </c>
      <c r="O506" s="13">
        <v>1.2</v>
      </c>
      <c r="P506" s="13">
        <v>1.2</v>
      </c>
      <c r="Q506">
        <v>1.05</v>
      </c>
      <c r="R506">
        <f t="shared" si="45"/>
        <v>0.14205582952229279</v>
      </c>
    </row>
    <row r="507" spans="1:18" hidden="1" x14ac:dyDescent="0.2">
      <c r="A507" s="17" t="s">
        <v>228</v>
      </c>
      <c r="B507" s="25">
        <v>400</v>
      </c>
      <c r="C507" s="17" t="s">
        <v>85</v>
      </c>
      <c r="D507" s="17" t="s">
        <v>56</v>
      </c>
      <c r="F507" s="17" t="s">
        <v>86</v>
      </c>
      <c r="G507" s="17" t="s">
        <v>126</v>
      </c>
      <c r="H507" s="21" t="s">
        <v>677</v>
      </c>
      <c r="I507" s="17">
        <v>2</v>
      </c>
      <c r="J507">
        <f t="shared" si="44"/>
        <v>5.9914645471079817</v>
      </c>
      <c r="K507" s="13">
        <v>1.05</v>
      </c>
      <c r="L507" s="13">
        <v>1.1000000000000001</v>
      </c>
      <c r="M507" s="13">
        <v>1</v>
      </c>
      <c r="N507" s="13">
        <v>1.02</v>
      </c>
      <c r="O507" s="13">
        <v>1.2</v>
      </c>
      <c r="P507" s="13">
        <v>1.2</v>
      </c>
      <c r="Q507">
        <v>1.05</v>
      </c>
      <c r="R507">
        <f t="shared" si="45"/>
        <v>0.14205582952229279</v>
      </c>
    </row>
    <row r="508" spans="1:18" hidden="1" x14ac:dyDescent="0.2">
      <c r="A508" s="17" t="s">
        <v>103</v>
      </c>
      <c r="B508" s="25">
        <v>405</v>
      </c>
      <c r="C508" s="17" t="s">
        <v>85</v>
      </c>
      <c r="D508" s="17" t="s">
        <v>56</v>
      </c>
      <c r="F508" s="17" t="s">
        <v>86</v>
      </c>
      <c r="G508" s="17" t="s">
        <v>104</v>
      </c>
      <c r="H508" s="21" t="s">
        <v>677</v>
      </c>
      <c r="I508" s="17">
        <v>2</v>
      </c>
      <c r="J508">
        <f t="shared" si="44"/>
        <v>6.0038870671065387</v>
      </c>
      <c r="K508" s="13">
        <v>1.05</v>
      </c>
      <c r="L508" s="13">
        <v>1.1000000000000001</v>
      </c>
      <c r="M508" s="13">
        <v>1</v>
      </c>
      <c r="N508" s="13">
        <v>1.02</v>
      </c>
      <c r="O508" s="13">
        <v>1.2</v>
      </c>
      <c r="P508" s="13">
        <v>1.2</v>
      </c>
      <c r="Q508">
        <v>1.05</v>
      </c>
      <c r="R508">
        <f t="shared" si="45"/>
        <v>0.14205582952229279</v>
      </c>
    </row>
    <row r="509" spans="1:18" hidden="1" x14ac:dyDescent="0.2">
      <c r="A509" s="17" t="s">
        <v>447</v>
      </c>
      <c r="B509" s="25">
        <v>1000</v>
      </c>
      <c r="C509" s="17" t="s">
        <v>85</v>
      </c>
      <c r="D509" s="17" t="s">
        <v>56</v>
      </c>
      <c r="F509" s="17" t="s">
        <v>86</v>
      </c>
      <c r="G509" s="17" t="s">
        <v>124</v>
      </c>
      <c r="H509" s="21" t="s">
        <v>678</v>
      </c>
      <c r="I509" s="17">
        <v>2</v>
      </c>
      <c r="J509">
        <f t="shared" si="44"/>
        <v>6.9077552789821368</v>
      </c>
      <c r="K509" s="13">
        <v>1.05</v>
      </c>
      <c r="L509" s="13">
        <v>1.1000000000000001</v>
      </c>
      <c r="M509" s="13">
        <v>1</v>
      </c>
      <c r="N509" s="13">
        <v>1.02</v>
      </c>
      <c r="O509" s="13">
        <v>1.2</v>
      </c>
      <c r="P509" s="13">
        <v>1.2</v>
      </c>
      <c r="Q509">
        <v>1.05</v>
      </c>
      <c r="R509">
        <f t="shared" si="45"/>
        <v>0.14205582952229279</v>
      </c>
    </row>
    <row r="510" spans="1:18" hidden="1" x14ac:dyDescent="0.2">
      <c r="A510" s="17" t="s">
        <v>223</v>
      </c>
      <c r="B510" s="25">
        <v>1500</v>
      </c>
      <c r="C510" s="17" t="s">
        <v>85</v>
      </c>
      <c r="D510" s="17" t="s">
        <v>56</v>
      </c>
      <c r="F510" s="17" t="s">
        <v>86</v>
      </c>
      <c r="G510" s="17" t="s">
        <v>224</v>
      </c>
      <c r="H510" s="21" t="s">
        <v>678</v>
      </c>
      <c r="I510" s="17">
        <v>2</v>
      </c>
      <c r="J510">
        <f t="shared" si="44"/>
        <v>7.3132203870903014</v>
      </c>
      <c r="K510" s="13">
        <v>1.05</v>
      </c>
      <c r="L510" s="13">
        <v>1.1000000000000001</v>
      </c>
      <c r="M510" s="13">
        <v>1</v>
      </c>
      <c r="N510" s="13">
        <v>1.02</v>
      </c>
      <c r="O510" s="13">
        <v>1.2</v>
      </c>
      <c r="P510" s="13">
        <v>1.2</v>
      </c>
      <c r="Q510">
        <v>1.05</v>
      </c>
      <c r="R510">
        <f t="shared" si="45"/>
        <v>0.14205582952229279</v>
      </c>
    </row>
    <row r="511" spans="1:18" hidden="1" x14ac:dyDescent="0.2">
      <c r="A511" s="17" t="s">
        <v>228</v>
      </c>
      <c r="B511" s="25">
        <v>1000</v>
      </c>
      <c r="C511" s="17" t="s">
        <v>85</v>
      </c>
      <c r="D511" s="17" t="s">
        <v>56</v>
      </c>
      <c r="F511" s="17" t="s">
        <v>86</v>
      </c>
      <c r="G511" s="17" t="s">
        <v>126</v>
      </c>
      <c r="H511" s="21" t="s">
        <v>678</v>
      </c>
      <c r="I511" s="17">
        <v>2</v>
      </c>
      <c r="J511">
        <f t="shared" si="44"/>
        <v>6.9077552789821368</v>
      </c>
      <c r="K511" s="13">
        <v>1.05</v>
      </c>
      <c r="L511" s="13">
        <v>1.1000000000000001</v>
      </c>
      <c r="M511" s="13">
        <v>1</v>
      </c>
      <c r="N511" s="13">
        <v>1.02</v>
      </c>
      <c r="O511" s="13">
        <v>1.2</v>
      </c>
      <c r="P511" s="13">
        <v>1.2</v>
      </c>
      <c r="Q511">
        <v>1.05</v>
      </c>
      <c r="R511">
        <f t="shared" si="45"/>
        <v>0.14205582952229279</v>
      </c>
    </row>
    <row r="512" spans="1:18" hidden="1" x14ac:dyDescent="0.2">
      <c r="A512" s="17" t="s">
        <v>103</v>
      </c>
      <c r="B512" s="25">
        <v>1500</v>
      </c>
      <c r="C512" s="17" t="s">
        <v>85</v>
      </c>
      <c r="D512" s="17" t="s">
        <v>56</v>
      </c>
      <c r="F512" s="17" t="s">
        <v>86</v>
      </c>
      <c r="G512" s="17" t="s">
        <v>104</v>
      </c>
      <c r="H512" s="21" t="s">
        <v>678</v>
      </c>
      <c r="I512" s="17">
        <v>2</v>
      </c>
      <c r="J512">
        <f t="shared" si="44"/>
        <v>7.3132203870903014</v>
      </c>
      <c r="K512" s="13">
        <v>1.05</v>
      </c>
      <c r="L512" s="13">
        <v>1.1000000000000001</v>
      </c>
      <c r="M512" s="13">
        <v>1</v>
      </c>
      <c r="N512" s="13">
        <v>1.02</v>
      </c>
      <c r="O512" s="13">
        <v>1.2</v>
      </c>
      <c r="P512" s="13">
        <v>1.2</v>
      </c>
      <c r="Q512">
        <v>1.05</v>
      </c>
      <c r="R512">
        <f t="shared" si="45"/>
        <v>0.14205582952229279</v>
      </c>
    </row>
    <row r="513" spans="1:18" hidden="1" x14ac:dyDescent="0.2">
      <c r="A513" s="17" t="s">
        <v>223</v>
      </c>
      <c r="B513" s="25">
        <v>511</v>
      </c>
      <c r="C513" s="17" t="s">
        <v>85</v>
      </c>
      <c r="D513" s="17" t="s">
        <v>56</v>
      </c>
      <c r="F513" s="17" t="s">
        <v>86</v>
      </c>
      <c r="G513" s="17" t="s">
        <v>224</v>
      </c>
      <c r="H513" s="21" t="s">
        <v>679</v>
      </c>
      <c r="I513" s="17">
        <v>2</v>
      </c>
      <c r="J513">
        <f t="shared" si="44"/>
        <v>6.2363695902037044</v>
      </c>
      <c r="K513" s="13">
        <v>1.05</v>
      </c>
      <c r="L513" s="13">
        <v>1.1000000000000001</v>
      </c>
      <c r="M513" s="13">
        <v>1</v>
      </c>
      <c r="N513" s="13">
        <v>1.02</v>
      </c>
      <c r="O513" s="13">
        <v>1.2</v>
      </c>
      <c r="P513" s="13">
        <v>1.2</v>
      </c>
      <c r="Q513">
        <v>1.05</v>
      </c>
      <c r="R513">
        <f t="shared" si="45"/>
        <v>0.14205582952229279</v>
      </c>
    </row>
    <row r="514" spans="1:18" hidden="1" x14ac:dyDescent="0.2">
      <c r="A514" s="17" t="s">
        <v>103</v>
      </c>
      <c r="B514" s="25">
        <v>511</v>
      </c>
      <c r="C514" s="17" t="s">
        <v>85</v>
      </c>
      <c r="D514" s="17" t="s">
        <v>56</v>
      </c>
      <c r="F514" s="17" t="s">
        <v>86</v>
      </c>
      <c r="G514" s="17" t="s">
        <v>104</v>
      </c>
      <c r="H514" s="21" t="s">
        <v>679</v>
      </c>
      <c r="I514" s="17">
        <v>2</v>
      </c>
      <c r="J514">
        <f t="shared" si="44"/>
        <v>6.2363695902037044</v>
      </c>
      <c r="K514" s="13">
        <v>1.05</v>
      </c>
      <c r="L514" s="13">
        <v>1.1000000000000001</v>
      </c>
      <c r="M514" s="13">
        <v>1</v>
      </c>
      <c r="N514" s="13">
        <v>1.02</v>
      </c>
      <c r="O514" s="13">
        <v>1.2</v>
      </c>
      <c r="P514" s="13">
        <v>1.2</v>
      </c>
      <c r="Q514">
        <v>1.05</v>
      </c>
      <c r="R514">
        <f t="shared" si="45"/>
        <v>0.14205582952229279</v>
      </c>
    </row>
    <row r="515" spans="1:18" hidden="1" x14ac:dyDescent="0.2">
      <c r="A515" s="17" t="s">
        <v>700</v>
      </c>
      <c r="B515" s="25">
        <v>29</v>
      </c>
      <c r="C515" s="17" t="s">
        <v>85</v>
      </c>
      <c r="D515" s="17" t="s">
        <v>267</v>
      </c>
      <c r="F515" s="17" t="s">
        <v>86</v>
      </c>
      <c r="G515" s="17" t="s">
        <v>701</v>
      </c>
      <c r="H515" s="21" t="s">
        <v>679</v>
      </c>
      <c r="I515" s="17">
        <v>2</v>
      </c>
      <c r="J515">
        <f t="shared" si="44"/>
        <v>3.3672958299864741</v>
      </c>
      <c r="K515" s="13">
        <v>1.05</v>
      </c>
      <c r="L515" s="13">
        <v>1.1000000000000001</v>
      </c>
      <c r="M515" s="13">
        <v>1</v>
      </c>
      <c r="N515" s="13">
        <v>1.02</v>
      </c>
      <c r="O515" s="13">
        <v>1.2</v>
      </c>
      <c r="P515" s="13">
        <v>1.2</v>
      </c>
      <c r="Q515">
        <v>1.05</v>
      </c>
      <c r="R515">
        <f t="shared" si="45"/>
        <v>0.14205582952229279</v>
      </c>
    </row>
    <row r="516" spans="1:18" hidden="1" x14ac:dyDescent="0.2">
      <c r="A516" s="17" t="s">
        <v>228</v>
      </c>
      <c r="B516" s="25">
        <v>2250</v>
      </c>
      <c r="C516" s="17" t="s">
        <v>85</v>
      </c>
      <c r="D516" s="17" t="s">
        <v>56</v>
      </c>
      <c r="F516" s="17" t="s">
        <v>86</v>
      </c>
      <c r="G516" s="17" t="s">
        <v>126</v>
      </c>
      <c r="H516" s="21" t="s">
        <v>680</v>
      </c>
      <c r="I516" s="17">
        <v>2</v>
      </c>
      <c r="J516">
        <f t="shared" si="44"/>
        <v>7.718685495198466</v>
      </c>
      <c r="K516" s="13">
        <v>1.05</v>
      </c>
      <c r="L516" s="13">
        <v>1.1000000000000001</v>
      </c>
      <c r="M516" s="13">
        <v>1</v>
      </c>
      <c r="N516" s="13">
        <v>1.02</v>
      </c>
      <c r="O516" s="13">
        <v>1.2</v>
      </c>
      <c r="P516" s="13">
        <v>1.2</v>
      </c>
      <c r="Q516">
        <v>1.05</v>
      </c>
      <c r="R516">
        <f t="shared" si="45"/>
        <v>0.14205582952229279</v>
      </c>
    </row>
    <row r="517" spans="1:18" ht="15.5" hidden="1" customHeight="1" x14ac:dyDescent="0.2">
      <c r="A517" s="29" t="s">
        <v>114</v>
      </c>
      <c r="B517" s="30">
        <v>2250</v>
      </c>
      <c r="C517" s="17" t="s">
        <v>85</v>
      </c>
      <c r="D517" s="17" t="s">
        <v>56</v>
      </c>
      <c r="F517" s="17" t="s">
        <v>86</v>
      </c>
      <c r="G517" s="21" t="s">
        <v>115</v>
      </c>
      <c r="H517" s="21" t="s">
        <v>680</v>
      </c>
      <c r="I517" s="17">
        <v>2</v>
      </c>
      <c r="J517">
        <f t="shared" si="44"/>
        <v>7.718685495198466</v>
      </c>
      <c r="K517" s="13">
        <v>1.05</v>
      </c>
      <c r="L517" s="13">
        <v>1.1000000000000001</v>
      </c>
      <c r="M517" s="13">
        <v>1</v>
      </c>
      <c r="N517" s="13">
        <v>1.02</v>
      </c>
      <c r="O517" s="13">
        <v>1.2</v>
      </c>
      <c r="P517" s="13">
        <v>1.2</v>
      </c>
      <c r="Q517">
        <v>1.05</v>
      </c>
      <c r="R517">
        <f t="shared" si="45"/>
        <v>0.14205582952229279</v>
      </c>
    </row>
    <row r="518" spans="1:18" hidden="1" x14ac:dyDescent="0.2">
      <c r="A518" s="17" t="s">
        <v>646</v>
      </c>
      <c r="B518" s="30">
        <v>5600</v>
      </c>
      <c r="C518" s="17" t="s">
        <v>64</v>
      </c>
      <c r="D518" s="21" t="s">
        <v>120</v>
      </c>
      <c r="F518" s="17" t="s">
        <v>86</v>
      </c>
      <c r="G518" s="21" t="s">
        <v>645</v>
      </c>
      <c r="H518" s="21" t="s">
        <v>681</v>
      </c>
      <c r="I518" s="17">
        <v>2</v>
      </c>
      <c r="J518">
        <f t="shared" si="44"/>
        <v>8.6305218767232414</v>
      </c>
      <c r="K518" s="13">
        <v>1.05</v>
      </c>
      <c r="L518" s="13">
        <v>1.1000000000000001</v>
      </c>
      <c r="M518" s="13">
        <v>1</v>
      </c>
      <c r="N518" s="13">
        <v>1.02</v>
      </c>
      <c r="O518" s="13">
        <v>1.2</v>
      </c>
      <c r="P518" s="13">
        <v>1.2</v>
      </c>
      <c r="Q518">
        <v>1.05</v>
      </c>
      <c r="R518">
        <f t="shared" si="45"/>
        <v>0.14205582952229279</v>
      </c>
    </row>
    <row r="519" spans="1:18" hidden="1" x14ac:dyDescent="0.2">
      <c r="A519" s="17" t="s">
        <v>646</v>
      </c>
      <c r="B519" s="30">
        <v>2.2999999999999998</v>
      </c>
      <c r="C519" s="17" t="s">
        <v>64</v>
      </c>
      <c r="D519" s="21" t="s">
        <v>120</v>
      </c>
      <c r="F519" s="17" t="s">
        <v>86</v>
      </c>
      <c r="G519" s="21" t="s">
        <v>645</v>
      </c>
      <c r="H519" s="21" t="s">
        <v>681</v>
      </c>
      <c r="I519" s="17">
        <v>2</v>
      </c>
      <c r="J519">
        <f t="shared" si="44"/>
        <v>0.83290912293510388</v>
      </c>
      <c r="K519" s="13">
        <v>1.05</v>
      </c>
      <c r="L519" s="13">
        <v>1.1000000000000001</v>
      </c>
      <c r="M519" s="13">
        <v>1</v>
      </c>
      <c r="N519" s="13">
        <v>1.02</v>
      </c>
      <c r="O519" s="13">
        <v>1.2</v>
      </c>
      <c r="P519" s="13">
        <v>1.2</v>
      </c>
      <c r="Q519">
        <v>1.05</v>
      </c>
      <c r="R519">
        <f t="shared" si="45"/>
        <v>0.14205582952229279</v>
      </c>
    </row>
    <row r="520" spans="1:18" hidden="1" x14ac:dyDescent="0.2">
      <c r="A520" s="17" t="s">
        <v>91</v>
      </c>
      <c r="B520" s="25">
        <v>50000</v>
      </c>
      <c r="C520" s="17" t="s">
        <v>85</v>
      </c>
      <c r="D520" s="17" t="s">
        <v>92</v>
      </c>
      <c r="F520" s="17" t="s">
        <v>86</v>
      </c>
      <c r="G520" s="21" t="s">
        <v>93</v>
      </c>
      <c r="H520" s="17" t="s">
        <v>694</v>
      </c>
      <c r="I520" s="17">
        <v>2</v>
      </c>
      <c r="J520">
        <f t="shared" si="44"/>
        <v>10.819778284410283</v>
      </c>
      <c r="K520" s="13">
        <v>1.05</v>
      </c>
      <c r="L520" s="13">
        <v>1.1000000000000001</v>
      </c>
      <c r="M520" s="13">
        <v>1</v>
      </c>
      <c r="N520" s="13">
        <v>1.02</v>
      </c>
      <c r="O520" s="13">
        <v>1.2</v>
      </c>
      <c r="P520" s="13">
        <v>1.2</v>
      </c>
      <c r="Q520">
        <v>1.05</v>
      </c>
      <c r="R520">
        <f t="shared" si="45"/>
        <v>0.14205582952229279</v>
      </c>
    </row>
    <row r="521" spans="1:18" hidden="1" x14ac:dyDescent="0.2">
      <c r="B521" s="25"/>
      <c r="Q521" s="17"/>
    </row>
    <row r="522" spans="1:18" hidden="1" x14ac:dyDescent="0.2">
      <c r="A522" s="19" t="s">
        <v>50</v>
      </c>
      <c r="B522" s="20" t="s">
        <v>784</v>
      </c>
      <c r="K522" s="63"/>
      <c r="L522" s="64"/>
      <c r="Q522" s="17"/>
    </row>
    <row r="523" spans="1:18" hidden="1" x14ac:dyDescent="0.2">
      <c r="A523" s="22" t="s">
        <v>53</v>
      </c>
      <c r="B523" s="23">
        <v>1</v>
      </c>
      <c r="K523" s="65"/>
      <c r="L523" s="64"/>
      <c r="Q523" s="17"/>
    </row>
    <row r="524" spans="1:18" hidden="1" x14ac:dyDescent="0.2">
      <c r="A524" s="22" t="s">
        <v>51</v>
      </c>
      <c r="B524" s="23" t="s">
        <v>785</v>
      </c>
      <c r="L524" s="64"/>
      <c r="Q524" s="17"/>
    </row>
    <row r="525" spans="1:18" hidden="1" x14ac:dyDescent="0.2">
      <c r="A525" s="22" t="s">
        <v>54</v>
      </c>
      <c r="B525" s="25" t="s">
        <v>684</v>
      </c>
      <c r="Q525" s="17"/>
    </row>
    <row r="526" spans="1:18" ht="16.25" hidden="1" customHeight="1" x14ac:dyDescent="0.2">
      <c r="A526" s="22" t="s">
        <v>52</v>
      </c>
      <c r="B526" s="23" t="s">
        <v>85</v>
      </c>
      <c r="Q526" s="17"/>
    </row>
    <row r="527" spans="1:18" hidden="1" x14ac:dyDescent="0.2">
      <c r="A527" s="22" t="s">
        <v>55</v>
      </c>
      <c r="B527" s="25" t="s">
        <v>56</v>
      </c>
      <c r="H527" s="18"/>
      <c r="I527" s="18"/>
      <c r="Q527" s="17"/>
    </row>
    <row r="528" spans="1:18" hidden="1" x14ac:dyDescent="0.2">
      <c r="A528" s="18" t="s">
        <v>57</v>
      </c>
      <c r="B528" s="20"/>
      <c r="C528" s="18"/>
      <c r="D528" s="18"/>
      <c r="E528" s="18"/>
      <c r="F528" s="18"/>
      <c r="G528" s="18"/>
      <c r="H528" s="21"/>
      <c r="I528" s="21"/>
      <c r="Q528" s="17"/>
    </row>
    <row r="529" spans="1:19" hidden="1" x14ac:dyDescent="0.2">
      <c r="A529" s="18" t="s">
        <v>58</v>
      </c>
      <c r="B529" s="20" t="s">
        <v>59</v>
      </c>
      <c r="C529" s="18" t="s">
        <v>52</v>
      </c>
      <c r="D529" s="18" t="s">
        <v>55</v>
      </c>
      <c r="E529" s="60" t="s">
        <v>60</v>
      </c>
      <c r="F529" s="18" t="s">
        <v>61</v>
      </c>
      <c r="G529" s="18" t="s">
        <v>54</v>
      </c>
      <c r="H529" s="60" t="s">
        <v>51</v>
      </c>
      <c r="I529" s="18" t="s">
        <v>221</v>
      </c>
      <c r="J529" s="2" t="s">
        <v>379</v>
      </c>
      <c r="K529" s="62" t="s">
        <v>1059</v>
      </c>
      <c r="L529" s="62" t="s">
        <v>1060</v>
      </c>
      <c r="M529" s="62" t="s">
        <v>1061</v>
      </c>
      <c r="N529" s="62" t="s">
        <v>1062</v>
      </c>
      <c r="O529" s="62" t="s">
        <v>1063</v>
      </c>
      <c r="P529" s="62" t="s">
        <v>1064</v>
      </c>
      <c r="Q529" s="2" t="s">
        <v>1065</v>
      </c>
      <c r="R529" s="2" t="s">
        <v>380</v>
      </c>
      <c r="S529" s="18" t="s">
        <v>1128</v>
      </c>
    </row>
    <row r="530" spans="1:19" hidden="1" x14ac:dyDescent="0.2">
      <c r="A530" s="25" t="str">
        <f>B522</f>
        <v>iridium production</v>
      </c>
      <c r="B530" s="25">
        <v>1</v>
      </c>
      <c r="C530" s="17" t="s">
        <v>85</v>
      </c>
      <c r="D530" s="17" t="s">
        <v>56</v>
      </c>
      <c r="E530" s="21"/>
      <c r="F530" s="17" t="s">
        <v>62</v>
      </c>
      <c r="G530" s="25" t="str">
        <f>B525</f>
        <v>iridium</v>
      </c>
      <c r="H530" s="21"/>
      <c r="I530" s="21"/>
      <c r="J530" s="21"/>
      <c r="Q530" s="17"/>
    </row>
    <row r="531" spans="1:19" hidden="1" x14ac:dyDescent="0.2">
      <c r="A531" s="17" t="s">
        <v>373</v>
      </c>
      <c r="B531" s="25">
        <v>7.8099999999999989E-2</v>
      </c>
      <c r="D531" s="17" t="s">
        <v>56</v>
      </c>
      <c r="E531" s="17" t="s">
        <v>100</v>
      </c>
      <c r="F531" s="17" t="s">
        <v>99</v>
      </c>
      <c r="I531" s="17">
        <v>2</v>
      </c>
      <c r="J531">
        <f t="shared" ref="J531:J562" si="46">LN(B531)</f>
        <v>-2.549765222136497</v>
      </c>
      <c r="K531" s="13">
        <v>1.5</v>
      </c>
      <c r="L531" s="13">
        <v>1.2</v>
      </c>
      <c r="M531" s="13">
        <v>1.5</v>
      </c>
      <c r="N531" s="13">
        <v>1.1000000000000001</v>
      </c>
      <c r="O531" s="13">
        <v>2</v>
      </c>
      <c r="P531" s="13">
        <v>1.2</v>
      </c>
      <c r="Q531" s="13">
        <v>1.5</v>
      </c>
      <c r="R531">
        <f t="shared" ref="R531:R562" si="47">LN(SQRT(EXP(
SQRT(
+POWER(LN(K531),2)
+POWER(LN(L531),2)
+POWER(LN(M531),2)
+POWER(LN(N531),2)
+POWER(LN(O531),2)
+POWER(LN(P531),2)
+POWER(LN(Q531),2)
)
)))</f>
        <v>0.51215847306170115</v>
      </c>
    </row>
    <row r="532" spans="1:19" hidden="1" x14ac:dyDescent="0.2">
      <c r="A532" s="17" t="s">
        <v>320</v>
      </c>
      <c r="B532" s="25">
        <v>19.13</v>
      </c>
      <c r="D532" s="17" t="s">
        <v>56</v>
      </c>
      <c r="E532" s="17" t="s">
        <v>100</v>
      </c>
      <c r="F532" s="17" t="s">
        <v>99</v>
      </c>
      <c r="I532" s="17">
        <v>2</v>
      </c>
      <c r="J532">
        <f t="shared" si="46"/>
        <v>2.9512577834521614</v>
      </c>
      <c r="K532" s="13">
        <v>1.5</v>
      </c>
      <c r="L532" s="13">
        <v>1.2</v>
      </c>
      <c r="M532" s="13">
        <v>1.5</v>
      </c>
      <c r="N532" s="13">
        <v>1.1000000000000001</v>
      </c>
      <c r="O532" s="13">
        <v>2</v>
      </c>
      <c r="P532" s="13">
        <v>1.2</v>
      </c>
      <c r="Q532" s="13">
        <v>1.5</v>
      </c>
      <c r="R532">
        <f t="shared" si="47"/>
        <v>0.51215847306170115</v>
      </c>
    </row>
    <row r="533" spans="1:19" hidden="1" x14ac:dyDescent="0.2">
      <c r="A533" s="17" t="s">
        <v>786</v>
      </c>
      <c r="B533" s="25">
        <v>8.1000000000000006E-4</v>
      </c>
      <c r="D533" s="17" t="s">
        <v>56</v>
      </c>
      <c r="E533" s="17" t="s">
        <v>100</v>
      </c>
      <c r="F533" s="17" t="s">
        <v>99</v>
      </c>
      <c r="I533" s="17">
        <v>2</v>
      </c>
      <c r="J533">
        <f t="shared" si="46"/>
        <v>-7.1184763102977895</v>
      </c>
      <c r="K533" s="13">
        <v>1.5</v>
      </c>
      <c r="L533" s="13">
        <v>1.2</v>
      </c>
      <c r="M533" s="13">
        <v>1.5</v>
      </c>
      <c r="N533" s="13">
        <v>1.1000000000000001</v>
      </c>
      <c r="O533" s="13">
        <v>2</v>
      </c>
      <c r="P533" s="13">
        <v>1.2</v>
      </c>
      <c r="Q533" s="13">
        <v>1.5</v>
      </c>
      <c r="R533">
        <f t="shared" si="47"/>
        <v>0.51215847306170115</v>
      </c>
    </row>
    <row r="534" spans="1:19" hidden="1" x14ac:dyDescent="0.2">
      <c r="A534" s="17" t="s">
        <v>787</v>
      </c>
      <c r="B534" s="25">
        <v>6.9299999999999995E-3</v>
      </c>
      <c r="D534" s="17" t="s">
        <v>56</v>
      </c>
      <c r="E534" s="17" t="s">
        <v>100</v>
      </c>
      <c r="F534" s="17" t="s">
        <v>99</v>
      </c>
      <c r="I534" s="17">
        <v>2</v>
      </c>
      <c r="J534">
        <f t="shared" si="46"/>
        <v>-4.9718954657803254</v>
      </c>
      <c r="K534" s="13">
        <v>1.5</v>
      </c>
      <c r="L534" s="13">
        <v>1.2</v>
      </c>
      <c r="M534" s="13">
        <v>1.5</v>
      </c>
      <c r="N534" s="13">
        <v>1.1000000000000001</v>
      </c>
      <c r="O534" s="13">
        <v>2</v>
      </c>
      <c r="P534" s="13">
        <v>1.2</v>
      </c>
      <c r="Q534" s="13">
        <v>5</v>
      </c>
      <c r="R534">
        <f t="shared" si="47"/>
        <v>0.93208283513358414</v>
      </c>
    </row>
    <row r="535" spans="1:19" hidden="1" x14ac:dyDescent="0.2">
      <c r="A535" s="17" t="s">
        <v>317</v>
      </c>
      <c r="B535" s="25">
        <v>7.1589999999999998</v>
      </c>
      <c r="D535" s="17" t="s">
        <v>56</v>
      </c>
      <c r="E535" s="17" t="s">
        <v>100</v>
      </c>
      <c r="F535" s="17" t="s">
        <v>99</v>
      </c>
      <c r="I535" s="17">
        <v>2</v>
      </c>
      <c r="J535">
        <f t="shared" si="46"/>
        <v>1.9683703064140479</v>
      </c>
      <c r="K535" s="13">
        <v>1.5</v>
      </c>
      <c r="L535" s="13">
        <v>1.2</v>
      </c>
      <c r="M535" s="13">
        <v>1.5</v>
      </c>
      <c r="N535" s="13">
        <v>1.1000000000000001</v>
      </c>
      <c r="O535" s="13">
        <v>2</v>
      </c>
      <c r="P535" s="13">
        <v>1.2</v>
      </c>
      <c r="Q535" s="13">
        <v>5</v>
      </c>
      <c r="R535">
        <f t="shared" si="47"/>
        <v>0.93208283513358414</v>
      </c>
    </row>
    <row r="536" spans="1:19" hidden="1" x14ac:dyDescent="0.2">
      <c r="A536" s="17" t="s">
        <v>316</v>
      </c>
      <c r="B536" s="25">
        <v>11146.616</v>
      </c>
      <c r="D536" s="17" t="s">
        <v>56</v>
      </c>
      <c r="E536" s="17" t="s">
        <v>100</v>
      </c>
      <c r="F536" s="17" t="s">
        <v>99</v>
      </c>
      <c r="I536" s="17">
        <v>2</v>
      </c>
      <c r="J536">
        <f t="shared" si="46"/>
        <v>9.3188912330656528</v>
      </c>
      <c r="K536" s="13">
        <v>1.5</v>
      </c>
      <c r="L536" s="13">
        <v>1.2</v>
      </c>
      <c r="M536" s="13">
        <v>1.5</v>
      </c>
      <c r="N536" s="13">
        <v>1.1000000000000001</v>
      </c>
      <c r="O536" s="13">
        <v>2</v>
      </c>
      <c r="P536" s="13">
        <v>1.2</v>
      </c>
      <c r="Q536" s="13">
        <v>1.05</v>
      </c>
      <c r="R536">
        <f t="shared" si="47"/>
        <v>0.47095746419981693</v>
      </c>
    </row>
    <row r="537" spans="1:19" hidden="1" x14ac:dyDescent="0.2">
      <c r="A537" s="17" t="s">
        <v>371</v>
      </c>
      <c r="B537" s="25">
        <v>412.19600000000003</v>
      </c>
      <c r="D537" s="17" t="s">
        <v>56</v>
      </c>
      <c r="E537" s="17" t="s">
        <v>100</v>
      </c>
      <c r="F537" s="17" t="s">
        <v>99</v>
      </c>
      <c r="I537" s="17">
        <v>2</v>
      </c>
      <c r="J537">
        <f t="shared" si="46"/>
        <v>6.0214989643821033</v>
      </c>
      <c r="K537" s="13">
        <v>1.5</v>
      </c>
      <c r="L537" s="13">
        <v>1.2</v>
      </c>
      <c r="M537" s="13">
        <v>1.5</v>
      </c>
      <c r="N537" s="13">
        <v>1.1000000000000001</v>
      </c>
      <c r="O537" s="13">
        <v>2</v>
      </c>
      <c r="P537" s="13">
        <v>1.2</v>
      </c>
      <c r="Q537" s="13">
        <v>1.05</v>
      </c>
      <c r="R537">
        <f t="shared" si="47"/>
        <v>0.47095746419981693</v>
      </c>
    </row>
    <row r="538" spans="1:19" hidden="1" x14ac:dyDescent="0.2">
      <c r="A538" s="17" t="s">
        <v>788</v>
      </c>
      <c r="B538" s="25">
        <v>8.7600000000000004E-8</v>
      </c>
      <c r="D538" s="17" t="s">
        <v>56</v>
      </c>
      <c r="E538" s="17" t="s">
        <v>100</v>
      </c>
      <c r="F538" s="17" t="s">
        <v>99</v>
      </c>
      <c r="I538" s="17">
        <v>2</v>
      </c>
      <c r="J538">
        <f t="shared" si="46"/>
        <v>-16.250484839004066</v>
      </c>
      <c r="K538" s="13">
        <v>1.5</v>
      </c>
      <c r="L538" s="13">
        <v>1.2</v>
      </c>
      <c r="M538" s="13">
        <v>1.5</v>
      </c>
      <c r="N538" s="13">
        <v>1.1000000000000001</v>
      </c>
      <c r="O538" s="13">
        <v>2</v>
      </c>
      <c r="P538" s="13">
        <v>1.2</v>
      </c>
      <c r="Q538" s="13">
        <v>1.5</v>
      </c>
      <c r="R538">
        <f t="shared" si="47"/>
        <v>0.51215847306170115</v>
      </c>
    </row>
    <row r="539" spans="1:19" hidden="1" x14ac:dyDescent="0.2">
      <c r="A539" s="17" t="s">
        <v>401</v>
      </c>
      <c r="B539" s="25">
        <v>5.7299999999999999E-9</v>
      </c>
      <c r="D539" s="17" t="s">
        <v>56</v>
      </c>
      <c r="E539" s="17" t="s">
        <v>100</v>
      </c>
      <c r="F539" s="17" t="s">
        <v>99</v>
      </c>
      <c r="I539" s="17">
        <v>2</v>
      </c>
      <c r="J539">
        <f t="shared" si="46"/>
        <v>-18.977550306219761</v>
      </c>
      <c r="K539" s="13">
        <v>1.5</v>
      </c>
      <c r="L539" s="13">
        <v>1.2</v>
      </c>
      <c r="M539" s="13">
        <v>1.5</v>
      </c>
      <c r="N539" s="13">
        <v>1.1000000000000001</v>
      </c>
      <c r="O539" s="13">
        <v>2</v>
      </c>
      <c r="P539" s="13">
        <v>1.2</v>
      </c>
      <c r="Q539" s="13">
        <v>1.5</v>
      </c>
      <c r="R539">
        <f t="shared" si="47"/>
        <v>0.51215847306170115</v>
      </c>
    </row>
    <row r="540" spans="1:19" hidden="1" x14ac:dyDescent="0.2">
      <c r="A540" s="17" t="s">
        <v>506</v>
      </c>
      <c r="B540" s="25">
        <v>5.5599999999999998E-3</v>
      </c>
      <c r="D540" s="17" t="s">
        <v>56</v>
      </c>
      <c r="E540" s="17" t="s">
        <v>100</v>
      </c>
      <c r="F540" s="17" t="s">
        <v>99</v>
      </c>
      <c r="I540" s="17">
        <v>2</v>
      </c>
      <c r="J540">
        <f t="shared" si="46"/>
        <v>-5.1921571707196463</v>
      </c>
      <c r="K540" s="13">
        <v>1.5</v>
      </c>
      <c r="L540" s="13">
        <v>1.2</v>
      </c>
      <c r="M540" s="13">
        <v>1.5</v>
      </c>
      <c r="N540" s="13">
        <v>1.1000000000000001</v>
      </c>
      <c r="O540" s="13">
        <v>2</v>
      </c>
      <c r="P540" s="13">
        <v>1.2</v>
      </c>
      <c r="Q540" s="13">
        <v>1.5</v>
      </c>
      <c r="R540">
        <f t="shared" si="47"/>
        <v>0.51215847306170115</v>
      </c>
    </row>
    <row r="541" spans="1:19" hidden="1" x14ac:dyDescent="0.2">
      <c r="A541" s="17" t="s">
        <v>655</v>
      </c>
      <c r="B541" s="25">
        <v>36.700000000000003</v>
      </c>
      <c r="D541" s="17" t="s">
        <v>56</v>
      </c>
      <c r="E541" s="17" t="s">
        <v>100</v>
      </c>
      <c r="F541" s="17" t="s">
        <v>99</v>
      </c>
      <c r="I541" s="17">
        <v>2</v>
      </c>
      <c r="J541">
        <f t="shared" si="46"/>
        <v>3.6027767550605247</v>
      </c>
      <c r="K541" s="13">
        <v>1.5</v>
      </c>
      <c r="L541" s="13">
        <v>1.2</v>
      </c>
      <c r="M541" s="13">
        <v>1.5</v>
      </c>
      <c r="N541" s="13">
        <v>1.1000000000000001</v>
      </c>
      <c r="O541" s="13">
        <v>2</v>
      </c>
      <c r="P541" s="13">
        <v>1.2</v>
      </c>
      <c r="Q541" s="13">
        <v>2</v>
      </c>
      <c r="R541">
        <f t="shared" si="47"/>
        <v>0.58422518478336083</v>
      </c>
    </row>
    <row r="542" spans="1:19" hidden="1" x14ac:dyDescent="0.2">
      <c r="A542" s="17" t="s">
        <v>319</v>
      </c>
      <c r="B542" s="25">
        <v>4.8600000000000004E-2</v>
      </c>
      <c r="D542" s="17" t="s">
        <v>56</v>
      </c>
      <c r="E542" s="17" t="s">
        <v>100</v>
      </c>
      <c r="F542" s="17" t="s">
        <v>99</v>
      </c>
      <c r="I542" s="17">
        <v>2</v>
      </c>
      <c r="J542">
        <f t="shared" si="46"/>
        <v>-3.0241317480756891</v>
      </c>
      <c r="K542" s="13">
        <v>1.5</v>
      </c>
      <c r="L542" s="13">
        <v>1.2</v>
      </c>
      <c r="M542" s="13">
        <v>1.5</v>
      </c>
      <c r="N542" s="13">
        <v>1.1000000000000001</v>
      </c>
      <c r="O542" s="13">
        <v>2</v>
      </c>
      <c r="P542" s="13">
        <v>1.2</v>
      </c>
      <c r="Q542" s="13">
        <v>1.5</v>
      </c>
      <c r="R542">
        <f t="shared" si="47"/>
        <v>0.51215847306170115</v>
      </c>
    </row>
    <row r="543" spans="1:19" hidden="1" x14ac:dyDescent="0.2">
      <c r="A543" s="17" t="s">
        <v>372</v>
      </c>
      <c r="B543" s="25">
        <v>1.9100000000000002E-2</v>
      </c>
      <c r="D543" s="17" t="s">
        <v>56</v>
      </c>
      <c r="E543" s="17" t="s">
        <v>100</v>
      </c>
      <c r="F543" s="17" t="s">
        <v>99</v>
      </c>
      <c r="I543" s="17">
        <v>2</v>
      </c>
      <c r="J543">
        <f t="shared" si="46"/>
        <v>-3.9580669439295528</v>
      </c>
      <c r="K543" s="13">
        <v>1.5</v>
      </c>
      <c r="L543" s="13">
        <v>1.2</v>
      </c>
      <c r="M543" s="13">
        <v>1.5</v>
      </c>
      <c r="N543" s="13">
        <v>1.1000000000000001</v>
      </c>
      <c r="O543" s="13">
        <v>2</v>
      </c>
      <c r="P543" s="13">
        <v>1.2</v>
      </c>
      <c r="Q543" s="13">
        <v>1.5</v>
      </c>
      <c r="R543">
        <f t="shared" si="47"/>
        <v>0.51215847306170115</v>
      </c>
    </row>
    <row r="544" spans="1:19" hidden="1" x14ac:dyDescent="0.2">
      <c r="A544" s="17" t="s">
        <v>656</v>
      </c>
      <c r="B544" s="25">
        <v>0.499</v>
      </c>
      <c r="D544" s="17" t="s">
        <v>56</v>
      </c>
      <c r="E544" s="17" t="s">
        <v>100</v>
      </c>
      <c r="F544" s="17" t="s">
        <v>99</v>
      </c>
      <c r="I544" s="17">
        <v>2</v>
      </c>
      <c r="J544">
        <f t="shared" si="46"/>
        <v>-0.69514918323061836</v>
      </c>
      <c r="K544" s="13">
        <v>1.5</v>
      </c>
      <c r="L544" s="13">
        <v>1.2</v>
      </c>
      <c r="M544" s="13">
        <v>1.5</v>
      </c>
      <c r="N544" s="13">
        <v>1.1000000000000001</v>
      </c>
      <c r="O544" s="13">
        <v>2</v>
      </c>
      <c r="P544" s="13">
        <v>1.2</v>
      </c>
      <c r="Q544" s="13">
        <v>1.5</v>
      </c>
      <c r="R544">
        <f t="shared" si="47"/>
        <v>0.51215847306170115</v>
      </c>
    </row>
    <row r="545" spans="1:18" hidden="1" x14ac:dyDescent="0.2">
      <c r="A545" s="17" t="s">
        <v>789</v>
      </c>
      <c r="B545" s="25">
        <v>4.6999999999999999E-9</v>
      </c>
      <c r="D545" s="17" t="s">
        <v>56</v>
      </c>
      <c r="E545" s="17" t="s">
        <v>100</v>
      </c>
      <c r="F545" s="17" t="s">
        <v>99</v>
      </c>
      <c r="I545" s="17">
        <v>2</v>
      </c>
      <c r="J545">
        <f t="shared" si="46"/>
        <v>-19.175703328230398</v>
      </c>
      <c r="K545" s="13">
        <v>1.5</v>
      </c>
      <c r="L545" s="13">
        <v>1.2</v>
      </c>
      <c r="M545" s="13">
        <v>1.5</v>
      </c>
      <c r="N545" s="13">
        <v>1.1000000000000001</v>
      </c>
      <c r="O545" s="13">
        <v>2</v>
      </c>
      <c r="P545" s="13">
        <v>1.2</v>
      </c>
      <c r="Q545" s="13">
        <v>1.5</v>
      </c>
      <c r="R545">
        <f t="shared" si="47"/>
        <v>0.51215847306170115</v>
      </c>
    </row>
    <row r="546" spans="1:18" hidden="1" x14ac:dyDescent="0.2">
      <c r="A546" s="17" t="s">
        <v>507</v>
      </c>
      <c r="B546" s="25">
        <v>4.87E-2</v>
      </c>
      <c r="D546" s="17" t="s">
        <v>56</v>
      </c>
      <c r="E546" s="17" t="s">
        <v>100</v>
      </c>
      <c r="F546" s="17" t="s">
        <v>99</v>
      </c>
      <c r="I546" s="17">
        <v>2</v>
      </c>
      <c r="J546">
        <f t="shared" si="46"/>
        <v>-3.0220762488935931</v>
      </c>
      <c r="K546" s="13">
        <v>1.5</v>
      </c>
      <c r="L546" s="13">
        <v>1.2</v>
      </c>
      <c r="M546" s="13">
        <v>1.5</v>
      </c>
      <c r="N546" s="13">
        <v>1.1000000000000001</v>
      </c>
      <c r="O546" s="13">
        <v>2</v>
      </c>
      <c r="P546" s="13">
        <v>1.2</v>
      </c>
      <c r="Q546" s="13">
        <v>1.5</v>
      </c>
      <c r="R546">
        <f t="shared" si="47"/>
        <v>0.51215847306170115</v>
      </c>
    </row>
    <row r="547" spans="1:18" hidden="1" x14ac:dyDescent="0.2">
      <c r="A547" s="17" t="s">
        <v>790</v>
      </c>
      <c r="B547" s="25">
        <v>2.1E-7</v>
      </c>
      <c r="D547" s="17" t="s">
        <v>56</v>
      </c>
      <c r="E547" s="17" t="s">
        <v>100</v>
      </c>
      <c r="F547" s="17" t="s">
        <v>99</v>
      </c>
      <c r="I547" s="17">
        <v>2</v>
      </c>
      <c r="J547">
        <f t="shared" si="46"/>
        <v>-15.376158306228943</v>
      </c>
      <c r="K547" s="13">
        <v>1.5</v>
      </c>
      <c r="L547" s="13">
        <v>1.2</v>
      </c>
      <c r="M547" s="13">
        <v>1.5</v>
      </c>
      <c r="N547" s="13">
        <v>1.1000000000000001</v>
      </c>
      <c r="O547" s="13">
        <v>2</v>
      </c>
      <c r="P547" s="13">
        <v>1.2</v>
      </c>
      <c r="Q547" s="13">
        <v>1.5</v>
      </c>
      <c r="R547">
        <f t="shared" si="47"/>
        <v>0.51215847306170115</v>
      </c>
    </row>
    <row r="548" spans="1:18" hidden="1" x14ac:dyDescent="0.2">
      <c r="A548" s="17" t="s">
        <v>505</v>
      </c>
      <c r="B548" s="25">
        <v>2.5600000000000001E-2</v>
      </c>
      <c r="D548" s="17" t="s">
        <v>56</v>
      </c>
      <c r="E548" s="17" t="s">
        <v>100</v>
      </c>
      <c r="F548" s="17" t="s">
        <v>99</v>
      </c>
      <c r="I548" s="17">
        <v>2</v>
      </c>
      <c r="J548">
        <f t="shared" si="46"/>
        <v>-3.6651629274966204</v>
      </c>
      <c r="K548" s="13">
        <v>1.5</v>
      </c>
      <c r="L548" s="13">
        <v>1.2</v>
      </c>
      <c r="M548" s="13">
        <v>1.5</v>
      </c>
      <c r="N548" s="13">
        <v>1.1000000000000001</v>
      </c>
      <c r="O548" s="13">
        <v>2</v>
      </c>
      <c r="P548" s="13">
        <v>1.2</v>
      </c>
      <c r="Q548" s="13">
        <v>5</v>
      </c>
      <c r="R548">
        <f t="shared" si="47"/>
        <v>0.93208283513358414</v>
      </c>
    </row>
    <row r="549" spans="1:18" hidden="1" x14ac:dyDescent="0.2">
      <c r="A549" s="17" t="s">
        <v>318</v>
      </c>
      <c r="B549" s="25">
        <v>1.06</v>
      </c>
      <c r="D549" s="17" t="s">
        <v>56</v>
      </c>
      <c r="E549" s="17" t="s">
        <v>100</v>
      </c>
      <c r="F549" s="17" t="s">
        <v>99</v>
      </c>
      <c r="I549" s="17">
        <v>2</v>
      </c>
      <c r="J549">
        <f t="shared" si="46"/>
        <v>5.8268908123975824E-2</v>
      </c>
      <c r="K549" s="13">
        <v>1.5</v>
      </c>
      <c r="L549" s="13">
        <v>1.2</v>
      </c>
      <c r="M549" s="13">
        <v>1.5</v>
      </c>
      <c r="N549" s="13">
        <v>1.1000000000000001</v>
      </c>
      <c r="O549" s="13">
        <v>2</v>
      </c>
      <c r="P549" s="13">
        <v>1.2</v>
      </c>
      <c r="Q549" s="13">
        <v>1.5</v>
      </c>
      <c r="R549">
        <f t="shared" si="47"/>
        <v>0.51215847306170115</v>
      </c>
    </row>
    <row r="550" spans="1:18" hidden="1" x14ac:dyDescent="0.2">
      <c r="A550" s="17" t="s">
        <v>207</v>
      </c>
      <c r="B550" s="25">
        <v>0.35199999999999998</v>
      </c>
      <c r="D550" s="17" t="s">
        <v>56</v>
      </c>
      <c r="E550" s="17" t="s">
        <v>100</v>
      </c>
      <c r="F550" s="17" t="s">
        <v>99</v>
      </c>
      <c r="I550" s="17">
        <v>2</v>
      </c>
      <c r="J550">
        <f t="shared" si="46"/>
        <v>-1.04412410338404</v>
      </c>
      <c r="K550" s="13">
        <v>1.5</v>
      </c>
      <c r="L550" s="13">
        <v>1.2</v>
      </c>
      <c r="M550" s="13">
        <v>1.5</v>
      </c>
      <c r="N550" s="13">
        <v>1.1000000000000001</v>
      </c>
      <c r="O550" s="13">
        <v>2</v>
      </c>
      <c r="P550" s="13">
        <v>1.2</v>
      </c>
      <c r="Q550" s="13">
        <v>1.5</v>
      </c>
      <c r="R550">
        <f t="shared" si="47"/>
        <v>0.51215847306170115</v>
      </c>
    </row>
    <row r="551" spans="1:18" hidden="1" x14ac:dyDescent="0.2">
      <c r="A551" s="17" t="s">
        <v>659</v>
      </c>
      <c r="B551" s="25">
        <v>2.69E-2</v>
      </c>
      <c r="D551" s="17" t="s">
        <v>56</v>
      </c>
      <c r="E551" s="17" t="s">
        <v>100</v>
      </c>
      <c r="F551" s="17" t="s">
        <v>99</v>
      </c>
      <c r="I551" s="17">
        <v>2</v>
      </c>
      <c r="J551">
        <f t="shared" si="46"/>
        <v>-3.6156289923743437</v>
      </c>
      <c r="K551" s="13">
        <v>1.5</v>
      </c>
      <c r="L551" s="13">
        <v>1.2</v>
      </c>
      <c r="M551" s="13">
        <v>1.5</v>
      </c>
      <c r="N551" s="13">
        <v>1.1000000000000001</v>
      </c>
      <c r="O551" s="13">
        <v>2</v>
      </c>
      <c r="P551" s="13">
        <v>1.2</v>
      </c>
      <c r="Q551" s="13">
        <v>5</v>
      </c>
      <c r="R551">
        <f t="shared" si="47"/>
        <v>0.93208283513358414</v>
      </c>
    </row>
    <row r="552" spans="1:18" hidden="1" x14ac:dyDescent="0.2">
      <c r="A552" s="17" t="s">
        <v>493</v>
      </c>
      <c r="B552" s="25">
        <v>26.859000000000002</v>
      </c>
      <c r="D552" s="17" t="s">
        <v>56</v>
      </c>
      <c r="E552" s="17" t="s">
        <v>100</v>
      </c>
      <c r="F552" s="17" t="s">
        <v>99</v>
      </c>
      <c r="I552" s="17">
        <v>2</v>
      </c>
      <c r="J552">
        <f t="shared" si="46"/>
        <v>3.2906009603201287</v>
      </c>
      <c r="K552" s="13">
        <v>1.5</v>
      </c>
      <c r="L552" s="13">
        <v>1.2</v>
      </c>
      <c r="M552" s="13">
        <v>1.5</v>
      </c>
      <c r="N552" s="13">
        <v>1.1000000000000001</v>
      </c>
      <c r="O552" s="13">
        <v>2</v>
      </c>
      <c r="P552" s="13">
        <v>1.2</v>
      </c>
      <c r="Q552" s="13">
        <v>1.5</v>
      </c>
      <c r="R552">
        <f t="shared" si="47"/>
        <v>0.51215847306170115</v>
      </c>
    </row>
    <row r="553" spans="1:18" hidden="1" x14ac:dyDescent="0.2">
      <c r="A553" s="17" t="s">
        <v>135</v>
      </c>
      <c r="B553" s="25">
        <v>30.635000000000002</v>
      </c>
      <c r="D553" s="17" t="s">
        <v>56</v>
      </c>
      <c r="E553" s="17" t="s">
        <v>100</v>
      </c>
      <c r="F553" s="17" t="s">
        <v>99</v>
      </c>
      <c r="I553" s="17">
        <v>2</v>
      </c>
      <c r="J553">
        <f t="shared" si="46"/>
        <v>3.4221431461776177</v>
      </c>
      <c r="K553" s="13">
        <v>1.5</v>
      </c>
      <c r="L553" s="13">
        <v>1.2</v>
      </c>
      <c r="M553" s="13">
        <v>1.5</v>
      </c>
      <c r="N553" s="13">
        <v>1.1000000000000001</v>
      </c>
      <c r="O553" s="13">
        <v>2</v>
      </c>
      <c r="P553" s="13">
        <v>1.2</v>
      </c>
      <c r="Q553" s="13">
        <v>1.5</v>
      </c>
      <c r="R553">
        <f t="shared" si="47"/>
        <v>0.51215847306170115</v>
      </c>
    </row>
    <row r="554" spans="1:18" hidden="1" x14ac:dyDescent="0.2">
      <c r="A554" s="17" t="s">
        <v>791</v>
      </c>
      <c r="B554" s="25">
        <v>9.5200000000000002E-10</v>
      </c>
      <c r="D554" s="17" t="s">
        <v>56</v>
      </c>
      <c r="E554" s="17" t="s">
        <v>100</v>
      </c>
      <c r="F554" s="17" t="s">
        <v>99</v>
      </c>
      <c r="I554" s="17">
        <v>2</v>
      </c>
      <c r="J554">
        <f t="shared" si="46"/>
        <v>-20.772456081137182</v>
      </c>
      <c r="K554" s="13">
        <v>1.5</v>
      </c>
      <c r="L554" s="13">
        <v>1.2</v>
      </c>
      <c r="M554" s="13">
        <v>1.5</v>
      </c>
      <c r="N554" s="13">
        <v>1.1000000000000001</v>
      </c>
      <c r="O554" s="13">
        <v>2</v>
      </c>
      <c r="P554" s="13">
        <v>1.2</v>
      </c>
      <c r="Q554" s="13">
        <v>1.5</v>
      </c>
      <c r="R554">
        <f t="shared" si="47"/>
        <v>0.51215847306170115</v>
      </c>
    </row>
    <row r="555" spans="1:18" hidden="1" x14ac:dyDescent="0.2">
      <c r="A555" s="17" t="s">
        <v>792</v>
      </c>
      <c r="B555" s="25">
        <v>2.4599999999999997E-6</v>
      </c>
      <c r="D555" s="17" t="s">
        <v>56</v>
      </c>
      <c r="E555" s="17" t="s">
        <v>100</v>
      </c>
      <c r="F555" s="17" t="s">
        <v>99</v>
      </c>
      <c r="I555" s="17">
        <v>2</v>
      </c>
      <c r="J555">
        <f t="shared" si="46"/>
        <v>-12.915349208020002</v>
      </c>
      <c r="K555" s="13">
        <v>1.5</v>
      </c>
      <c r="L555" s="13">
        <v>1.2</v>
      </c>
      <c r="M555" s="13">
        <v>1.5</v>
      </c>
      <c r="N555" s="13">
        <v>1.1000000000000001</v>
      </c>
      <c r="O555" s="13">
        <v>2</v>
      </c>
      <c r="P555" s="13">
        <v>1.2</v>
      </c>
      <c r="Q555" s="13">
        <v>1.5</v>
      </c>
      <c r="R555">
        <f t="shared" si="47"/>
        <v>0.51215847306170115</v>
      </c>
    </row>
    <row r="556" spans="1:18" hidden="1" x14ac:dyDescent="0.2">
      <c r="A556" s="17" t="s">
        <v>793</v>
      </c>
      <c r="B556" s="25">
        <v>3.4299999999999998E-6</v>
      </c>
      <c r="D556" s="17" t="s">
        <v>56</v>
      </c>
      <c r="E556" s="17" t="s">
        <v>100</v>
      </c>
      <c r="F556" s="17" t="s">
        <v>99</v>
      </c>
      <c r="I556" s="17">
        <v>2</v>
      </c>
      <c r="J556">
        <f t="shared" si="46"/>
        <v>-12.582950296786425</v>
      </c>
      <c r="K556" s="13">
        <v>1.5</v>
      </c>
      <c r="L556" s="13">
        <v>1.2</v>
      </c>
      <c r="M556" s="13">
        <v>1.5</v>
      </c>
      <c r="N556" s="13">
        <v>1.1000000000000001</v>
      </c>
      <c r="O556" s="13">
        <v>2</v>
      </c>
      <c r="P556" s="13">
        <v>1.2</v>
      </c>
      <c r="Q556" s="13">
        <v>1.5</v>
      </c>
      <c r="R556">
        <f t="shared" si="47"/>
        <v>0.51215847306170115</v>
      </c>
    </row>
    <row r="557" spans="1:18" hidden="1" x14ac:dyDescent="0.2">
      <c r="A557" s="17" t="s">
        <v>321</v>
      </c>
      <c r="B557" s="25">
        <v>1.5E-3</v>
      </c>
      <c r="D557" s="17" t="s">
        <v>56</v>
      </c>
      <c r="E557" s="17" t="s">
        <v>100</v>
      </c>
      <c r="F557" s="17" t="s">
        <v>99</v>
      </c>
      <c r="I557" s="17">
        <v>2</v>
      </c>
      <c r="J557">
        <f t="shared" si="46"/>
        <v>-6.5022901708739722</v>
      </c>
      <c r="K557" s="13">
        <v>1.5</v>
      </c>
      <c r="L557" s="13">
        <v>1.2</v>
      </c>
      <c r="M557" s="13">
        <v>1.5</v>
      </c>
      <c r="N557" s="13">
        <v>1.1000000000000001</v>
      </c>
      <c r="O557" s="13">
        <v>2</v>
      </c>
      <c r="P557" s="13">
        <v>1.2</v>
      </c>
      <c r="Q557" s="13">
        <v>3</v>
      </c>
      <c r="R557">
        <f t="shared" si="47"/>
        <v>0.72314801614797197</v>
      </c>
    </row>
    <row r="558" spans="1:18" hidden="1" x14ac:dyDescent="0.2">
      <c r="A558" s="17" t="s">
        <v>402</v>
      </c>
      <c r="B558" s="25">
        <v>2.6200000000000003E-4</v>
      </c>
      <c r="D558" s="17" t="s">
        <v>56</v>
      </c>
      <c r="E558" s="17" t="s">
        <v>100</v>
      </c>
      <c r="F558" s="17" t="s">
        <v>99</v>
      </c>
      <c r="I558" s="17">
        <v>2</v>
      </c>
      <c r="J558">
        <f t="shared" si="46"/>
        <v>-8.2471660542031771</v>
      </c>
      <c r="K558" s="13">
        <v>1.5</v>
      </c>
      <c r="L558" s="13">
        <v>1.2</v>
      </c>
      <c r="M558" s="13">
        <v>1.5</v>
      </c>
      <c r="N558" s="13">
        <v>1.1000000000000001</v>
      </c>
      <c r="O558" s="13">
        <v>2</v>
      </c>
      <c r="P558" s="13">
        <v>1.2</v>
      </c>
      <c r="Q558" s="13">
        <v>5</v>
      </c>
      <c r="R558">
        <f t="shared" si="47"/>
        <v>0.93208283513358414</v>
      </c>
    </row>
    <row r="559" spans="1:18" hidden="1" x14ac:dyDescent="0.2">
      <c r="A559" s="17" t="s">
        <v>794</v>
      </c>
      <c r="B559" s="25">
        <v>4.4299999999999999E-5</v>
      </c>
      <c r="D559" s="17" t="s">
        <v>56</v>
      </c>
      <c r="E559" s="17" t="s">
        <v>100</v>
      </c>
      <c r="F559" s="17" t="s">
        <v>99</v>
      </c>
      <c r="I559" s="17">
        <v>2</v>
      </c>
      <c r="J559">
        <f t="shared" si="46"/>
        <v>-10.024525880913185</v>
      </c>
      <c r="K559" s="13">
        <v>1.5</v>
      </c>
      <c r="L559" s="13">
        <v>1.2</v>
      </c>
      <c r="M559" s="13">
        <v>1.5</v>
      </c>
      <c r="N559" s="13">
        <v>1.1000000000000001</v>
      </c>
      <c r="O559" s="13">
        <v>2</v>
      </c>
      <c r="P559" s="13">
        <v>1.2</v>
      </c>
      <c r="Q559" s="13">
        <v>1.5</v>
      </c>
      <c r="R559">
        <f t="shared" si="47"/>
        <v>0.51215847306170115</v>
      </c>
    </row>
    <row r="560" spans="1:18" hidden="1" x14ac:dyDescent="0.2">
      <c r="A560" s="17" t="s">
        <v>325</v>
      </c>
      <c r="B560" s="25">
        <v>2172.2550000000001</v>
      </c>
      <c r="D560" s="17" t="s">
        <v>56</v>
      </c>
      <c r="E560" s="17" t="s">
        <v>100</v>
      </c>
      <c r="F560" s="17" t="s">
        <v>99</v>
      </c>
      <c r="I560" s="17">
        <v>2</v>
      </c>
      <c r="J560">
        <f t="shared" si="46"/>
        <v>7.6835210774775131</v>
      </c>
      <c r="K560" s="13">
        <v>1.5</v>
      </c>
      <c r="L560" s="13">
        <v>1.2</v>
      </c>
      <c r="M560" s="13">
        <v>1.5</v>
      </c>
      <c r="N560" s="13">
        <v>1.1000000000000001</v>
      </c>
      <c r="O560" s="13">
        <v>2</v>
      </c>
      <c r="P560" s="13">
        <v>1.2</v>
      </c>
      <c r="Q560" s="13">
        <v>1.05</v>
      </c>
      <c r="R560">
        <f t="shared" si="47"/>
        <v>0.47095746419981693</v>
      </c>
    </row>
    <row r="561" spans="1:19" hidden="1" x14ac:dyDescent="0.2">
      <c r="A561" s="17" t="s">
        <v>795</v>
      </c>
      <c r="B561" s="25">
        <v>1.02E-4</v>
      </c>
      <c r="D561" s="17" t="s">
        <v>56</v>
      </c>
      <c r="E561" s="17" t="s">
        <v>100</v>
      </c>
      <c r="F561" s="17" t="s">
        <v>99</v>
      </c>
      <c r="I561" s="17">
        <v>2</v>
      </c>
      <c r="J561">
        <f t="shared" si="46"/>
        <v>-9.1905377446800038</v>
      </c>
      <c r="K561" s="13">
        <v>1.5</v>
      </c>
      <c r="L561" s="13">
        <v>1.2</v>
      </c>
      <c r="M561" s="13">
        <v>1.5</v>
      </c>
      <c r="N561" s="13">
        <v>1.1000000000000001</v>
      </c>
      <c r="O561" s="13">
        <v>2</v>
      </c>
      <c r="P561" s="13">
        <v>1.2</v>
      </c>
      <c r="Q561" s="13">
        <v>1.5</v>
      </c>
      <c r="R561">
        <f t="shared" si="47"/>
        <v>0.51215847306170115</v>
      </c>
    </row>
    <row r="562" spans="1:19" hidden="1" x14ac:dyDescent="0.2">
      <c r="A562" s="17" t="s">
        <v>508</v>
      </c>
      <c r="B562" s="25">
        <v>6.7900000000000002E-2</v>
      </c>
      <c r="D562" s="17" t="s">
        <v>56</v>
      </c>
      <c r="E562" s="17" t="s">
        <v>100</v>
      </c>
      <c r="F562" s="17" t="s">
        <v>99</v>
      </c>
      <c r="I562" s="17">
        <v>2</v>
      </c>
      <c r="J562">
        <f t="shared" si="46"/>
        <v>-2.6897192444174864</v>
      </c>
      <c r="K562" s="13">
        <v>1.5</v>
      </c>
      <c r="L562" s="13">
        <v>1.2</v>
      </c>
      <c r="M562" s="13">
        <v>1.5</v>
      </c>
      <c r="N562" s="13">
        <v>1.1000000000000001</v>
      </c>
      <c r="O562" s="13">
        <v>2</v>
      </c>
      <c r="P562" s="13">
        <v>1.2</v>
      </c>
      <c r="Q562" s="13">
        <v>5</v>
      </c>
      <c r="R562">
        <f t="shared" si="47"/>
        <v>0.93208283513358414</v>
      </c>
    </row>
    <row r="563" spans="1:19" hidden="1" x14ac:dyDescent="0.2">
      <c r="B563" s="25"/>
      <c r="Q563" s="17"/>
    </row>
    <row r="564" spans="1:19" hidden="1" x14ac:dyDescent="0.2">
      <c r="A564" s="19" t="s">
        <v>50</v>
      </c>
      <c r="B564" s="20" t="s">
        <v>807</v>
      </c>
      <c r="C564" s="21"/>
      <c r="Q564" s="17"/>
    </row>
    <row r="565" spans="1:19" hidden="1" x14ac:dyDescent="0.2">
      <c r="A565" s="22" t="s">
        <v>53</v>
      </c>
      <c r="B565" s="23">
        <v>1</v>
      </c>
      <c r="Q565" s="17"/>
    </row>
    <row r="566" spans="1:19" hidden="1" x14ac:dyDescent="0.2">
      <c r="A566" s="22" t="s">
        <v>51</v>
      </c>
      <c r="B566" s="23" t="s">
        <v>719</v>
      </c>
      <c r="Q566" s="17"/>
    </row>
    <row r="567" spans="1:19" hidden="1" x14ac:dyDescent="0.2">
      <c r="A567" s="22" t="s">
        <v>54</v>
      </c>
      <c r="B567" s="24" t="s">
        <v>808</v>
      </c>
      <c r="Q567" s="17"/>
    </row>
    <row r="568" spans="1:19" hidden="1" x14ac:dyDescent="0.2">
      <c r="A568" s="22" t="s">
        <v>52</v>
      </c>
      <c r="B568" s="23" t="s">
        <v>64</v>
      </c>
      <c r="Q568" s="17"/>
    </row>
    <row r="569" spans="1:19" hidden="1" x14ac:dyDescent="0.2">
      <c r="A569" s="22" t="s">
        <v>55</v>
      </c>
      <c r="B569" s="25" t="s">
        <v>56</v>
      </c>
      <c r="H569" s="18"/>
      <c r="I569" s="18"/>
      <c r="J569" s="18"/>
      <c r="Q569" s="17"/>
    </row>
    <row r="570" spans="1:19" hidden="1" x14ac:dyDescent="0.2">
      <c r="A570" s="18" t="s">
        <v>57</v>
      </c>
      <c r="B570" s="20"/>
      <c r="C570" s="18"/>
      <c r="D570" s="18"/>
      <c r="E570" s="18"/>
      <c r="F570" s="18"/>
      <c r="G570" s="18"/>
      <c r="H570" s="21"/>
      <c r="I570" s="21"/>
      <c r="J570" s="21"/>
      <c r="Q570" s="17"/>
    </row>
    <row r="571" spans="1:19" hidden="1" x14ac:dyDescent="0.2">
      <c r="A571" s="18" t="s">
        <v>58</v>
      </c>
      <c r="B571" s="20" t="s">
        <v>59</v>
      </c>
      <c r="C571" s="18" t="s">
        <v>52</v>
      </c>
      <c r="D571" s="18" t="s">
        <v>55</v>
      </c>
      <c r="E571" s="18" t="s">
        <v>60</v>
      </c>
      <c r="F571" s="18" t="s">
        <v>61</v>
      </c>
      <c r="G571" s="18" t="s">
        <v>54</v>
      </c>
      <c r="H571" s="60" t="s">
        <v>51</v>
      </c>
      <c r="I571" s="18" t="s">
        <v>221</v>
      </c>
      <c r="J571" s="2" t="s">
        <v>379</v>
      </c>
      <c r="K571" s="62" t="s">
        <v>1059</v>
      </c>
      <c r="L571" s="62" t="s">
        <v>1060</v>
      </c>
      <c r="M571" s="62" t="s">
        <v>1061</v>
      </c>
      <c r="N571" s="62" t="s">
        <v>1062</v>
      </c>
      <c r="O571" s="62" t="s">
        <v>1063</v>
      </c>
      <c r="P571" s="62" t="s">
        <v>1064</v>
      </c>
      <c r="Q571" s="2" t="s">
        <v>1065</v>
      </c>
      <c r="R571" s="2" t="s">
        <v>380</v>
      </c>
      <c r="S571" s="18" t="s">
        <v>1128</v>
      </c>
    </row>
    <row r="572" spans="1:19" hidden="1" x14ac:dyDescent="0.2">
      <c r="A572" s="25" t="s">
        <v>807</v>
      </c>
      <c r="B572" s="25">
        <v>1</v>
      </c>
      <c r="C572" s="17" t="str">
        <f>B568</f>
        <v>CH</v>
      </c>
      <c r="D572" s="17" t="str">
        <f>B569</f>
        <v>kilogram</v>
      </c>
      <c r="E572" s="21"/>
      <c r="F572" s="17" t="s">
        <v>62</v>
      </c>
      <c r="G572" s="17" t="s">
        <v>808</v>
      </c>
      <c r="H572" s="21"/>
      <c r="I572" s="21"/>
      <c r="Q572" s="17"/>
    </row>
    <row r="573" spans="1:19" hidden="1" x14ac:dyDescent="0.2">
      <c r="A573" s="25" t="str">
        <f>B644</f>
        <v>electrolyzer production, 1MWe, AEC, Stack</v>
      </c>
      <c r="B573" s="17">
        <f>1/3085961.12</f>
        <v>3.2404815262222099E-7</v>
      </c>
      <c r="C573" s="17" t="s">
        <v>90</v>
      </c>
      <c r="D573" s="17" t="s">
        <v>55</v>
      </c>
      <c r="F573" s="17" t="s">
        <v>86</v>
      </c>
      <c r="G573" s="17" t="s">
        <v>1008</v>
      </c>
      <c r="H573" s="17" t="s">
        <v>698</v>
      </c>
      <c r="I573" s="17">
        <v>2</v>
      </c>
      <c r="J573">
        <f t="shared" ref="J573:J578" si="48">LN(B573)</f>
        <v>-14.942373712992437</v>
      </c>
      <c r="K573" s="13">
        <v>1.05</v>
      </c>
      <c r="L573" s="13">
        <v>1.1000000000000001</v>
      </c>
      <c r="M573" s="13">
        <v>1</v>
      </c>
      <c r="N573" s="13">
        <v>1.02</v>
      </c>
      <c r="O573" s="13">
        <v>1.2</v>
      </c>
      <c r="P573" s="13">
        <v>1.2</v>
      </c>
      <c r="Q573">
        <v>3</v>
      </c>
      <c r="R573">
        <f t="shared" ref="R573:R578" si="49">LN(SQRT(EXP(
SQRT(
+POWER(LN(K573),2)
+POWER(LN(L573),2)
+POWER(LN(M573),2)
+POWER(LN(N573),2)
+POWER(LN(O573),2)
+POWER(LN(P573),2)
+POWER(LN(Q573),2)
)
)))</f>
        <v>0.5668526959223994</v>
      </c>
    </row>
    <row r="574" spans="1:19" hidden="1" x14ac:dyDescent="0.2">
      <c r="A574" s="25" t="str">
        <f>B661</f>
        <v>electrolyzer production, 1MWe, AEC, Balance of Plant</v>
      </c>
      <c r="B574" s="17">
        <f>1/3085961.12</f>
        <v>3.2404815262222099E-7</v>
      </c>
      <c r="C574" s="17" t="s">
        <v>90</v>
      </c>
      <c r="D574" s="17" t="s">
        <v>55</v>
      </c>
      <c r="F574" s="17" t="s">
        <v>86</v>
      </c>
      <c r="G574" s="17" t="s">
        <v>1009</v>
      </c>
      <c r="H574" s="17" t="s">
        <v>697</v>
      </c>
      <c r="I574" s="17">
        <v>2</v>
      </c>
      <c r="J574">
        <f t="shared" si="48"/>
        <v>-14.942373712992437</v>
      </c>
      <c r="K574" s="13">
        <v>1.05</v>
      </c>
      <c r="L574" s="13">
        <v>1.1000000000000001</v>
      </c>
      <c r="M574" s="13">
        <v>1</v>
      </c>
      <c r="N574" s="13">
        <v>1.02</v>
      </c>
      <c r="O574" s="13">
        <v>1.2</v>
      </c>
      <c r="P574" s="13">
        <v>1.2</v>
      </c>
      <c r="Q574">
        <v>3</v>
      </c>
      <c r="R574">
        <f t="shared" si="49"/>
        <v>0.5668526959223994</v>
      </c>
    </row>
    <row r="575" spans="1:19" hidden="1" x14ac:dyDescent="0.2">
      <c r="A575" s="22" t="s">
        <v>130</v>
      </c>
      <c r="B575" s="25">
        <v>51.8</v>
      </c>
      <c r="C575" s="17" t="s">
        <v>64</v>
      </c>
      <c r="D575" s="17" t="s">
        <v>92</v>
      </c>
      <c r="E575" s="21"/>
      <c r="F575" s="17" t="s">
        <v>86</v>
      </c>
      <c r="G575" s="17" t="s">
        <v>93</v>
      </c>
      <c r="H575" s="21" t="s">
        <v>724</v>
      </c>
      <c r="I575" s="17">
        <v>2</v>
      </c>
      <c r="J575">
        <f t="shared" si="48"/>
        <v>3.9473901492654373</v>
      </c>
      <c r="K575" s="13">
        <v>1.05</v>
      </c>
      <c r="L575" s="13">
        <v>1.1000000000000001</v>
      </c>
      <c r="M575" s="13">
        <v>1</v>
      </c>
      <c r="N575" s="13">
        <v>1.02</v>
      </c>
      <c r="O575" s="13">
        <v>1.2</v>
      </c>
      <c r="P575" s="13">
        <v>1.2</v>
      </c>
      <c r="Q575">
        <v>1.05</v>
      </c>
      <c r="R575">
        <f t="shared" si="49"/>
        <v>0.14205582952229279</v>
      </c>
    </row>
    <row r="576" spans="1:19" hidden="1" x14ac:dyDescent="0.2">
      <c r="A576" s="22" t="s">
        <v>721</v>
      </c>
      <c r="B576" s="25">
        <v>3.7000000000000002E-3</v>
      </c>
      <c r="C576" s="17" t="s">
        <v>85</v>
      </c>
      <c r="D576" s="17" t="s">
        <v>56</v>
      </c>
      <c r="E576" s="21"/>
      <c r="F576" s="17" t="s">
        <v>86</v>
      </c>
      <c r="G576" s="22" t="s">
        <v>722</v>
      </c>
      <c r="H576" s="21" t="s">
        <v>723</v>
      </c>
      <c r="I576" s="17">
        <v>2</v>
      </c>
      <c r="J576">
        <f t="shared" si="48"/>
        <v>-5.5994224593319579</v>
      </c>
      <c r="K576" s="13">
        <v>1.05</v>
      </c>
      <c r="L576" s="13">
        <v>1.1000000000000001</v>
      </c>
      <c r="M576" s="13">
        <v>1</v>
      </c>
      <c r="N576" s="13">
        <v>1.02</v>
      </c>
      <c r="O576" s="13">
        <v>1.2</v>
      </c>
      <c r="P576" s="13">
        <v>1.2</v>
      </c>
      <c r="Q576">
        <v>1.05</v>
      </c>
      <c r="R576">
        <f t="shared" si="49"/>
        <v>0.14205582952229279</v>
      </c>
    </row>
    <row r="577" spans="1:19" hidden="1" x14ac:dyDescent="0.2">
      <c r="A577" s="22" t="s">
        <v>95</v>
      </c>
      <c r="B577" s="25">
        <v>14</v>
      </c>
      <c r="C577" s="17" t="s">
        <v>96</v>
      </c>
      <c r="D577" s="17" t="s">
        <v>56</v>
      </c>
      <c r="F577" s="17" t="s">
        <v>86</v>
      </c>
      <c r="G577" s="17" t="s">
        <v>97</v>
      </c>
      <c r="H577" s="71" t="s">
        <v>1192</v>
      </c>
      <c r="I577" s="17">
        <v>2</v>
      </c>
      <c r="J577">
        <f t="shared" si="48"/>
        <v>2.6390573296152584</v>
      </c>
      <c r="K577" s="13">
        <v>1.05</v>
      </c>
      <c r="L577" s="13">
        <v>1.1000000000000001</v>
      </c>
      <c r="M577" s="13">
        <v>1</v>
      </c>
      <c r="N577" s="13">
        <v>1.02</v>
      </c>
      <c r="O577" s="13">
        <v>1.2</v>
      </c>
      <c r="P577" s="13">
        <v>1.2</v>
      </c>
      <c r="Q577">
        <v>1.05</v>
      </c>
      <c r="R577">
        <f t="shared" si="49"/>
        <v>0.14205582952229279</v>
      </c>
    </row>
    <row r="578" spans="1:19" hidden="1" x14ac:dyDescent="0.2">
      <c r="A578" s="27" t="s">
        <v>98</v>
      </c>
      <c r="B578" s="24">
        <v>8</v>
      </c>
      <c r="C578" s="27"/>
      <c r="D578" s="27" t="s">
        <v>56</v>
      </c>
      <c r="E578" s="27" t="s">
        <v>100</v>
      </c>
      <c r="F578" s="27" t="s">
        <v>99</v>
      </c>
      <c r="G578" s="27"/>
      <c r="H578" s="28"/>
      <c r="I578" s="17">
        <v>2</v>
      </c>
      <c r="J578">
        <f t="shared" si="48"/>
        <v>2.0794415416798357</v>
      </c>
      <c r="K578" s="13">
        <v>1.05</v>
      </c>
      <c r="L578" s="13">
        <v>1.1000000000000001</v>
      </c>
      <c r="M578" s="13">
        <v>1</v>
      </c>
      <c r="N578" s="13">
        <v>1.02</v>
      </c>
      <c r="O578" s="13">
        <v>1.2</v>
      </c>
      <c r="P578" s="13">
        <v>1.2</v>
      </c>
      <c r="Q578" s="13">
        <v>1.5</v>
      </c>
      <c r="R578">
        <f t="shared" si="49"/>
        <v>0.24634371748562628</v>
      </c>
    </row>
    <row r="579" spans="1:19" hidden="1" x14ac:dyDescent="0.2">
      <c r="Q579" s="17"/>
    </row>
    <row r="580" spans="1:19" hidden="1" x14ac:dyDescent="0.2">
      <c r="A580" s="19" t="s">
        <v>50</v>
      </c>
      <c r="B580" s="20" t="s">
        <v>809</v>
      </c>
      <c r="C580" s="21"/>
      <c r="Q580" s="17"/>
    </row>
    <row r="581" spans="1:19" hidden="1" x14ac:dyDescent="0.2">
      <c r="A581" s="22" t="s">
        <v>53</v>
      </c>
      <c r="B581" s="23">
        <v>1</v>
      </c>
      <c r="Q581" s="17"/>
    </row>
    <row r="582" spans="1:19" hidden="1" x14ac:dyDescent="0.2">
      <c r="A582" s="22" t="s">
        <v>51</v>
      </c>
      <c r="B582" s="23" t="s">
        <v>720</v>
      </c>
      <c r="Q582" s="17"/>
    </row>
    <row r="583" spans="1:19" hidden="1" x14ac:dyDescent="0.2">
      <c r="A583" s="22" t="s">
        <v>54</v>
      </c>
      <c r="B583" s="24" t="s">
        <v>808</v>
      </c>
      <c r="Q583" s="17"/>
    </row>
    <row r="584" spans="1:19" hidden="1" x14ac:dyDescent="0.2">
      <c r="A584" s="22" t="s">
        <v>52</v>
      </c>
      <c r="B584" s="23" t="s">
        <v>64</v>
      </c>
      <c r="Q584" s="17"/>
    </row>
    <row r="585" spans="1:19" hidden="1" x14ac:dyDescent="0.2">
      <c r="A585" s="22" t="s">
        <v>55</v>
      </c>
      <c r="B585" s="25" t="s">
        <v>56</v>
      </c>
      <c r="H585" s="18"/>
      <c r="I585" s="18"/>
      <c r="J585" s="18"/>
      <c r="Q585" s="17"/>
    </row>
    <row r="586" spans="1:19" hidden="1" x14ac:dyDescent="0.2">
      <c r="A586" s="18" t="s">
        <v>57</v>
      </c>
      <c r="B586" s="20"/>
      <c r="C586" s="18"/>
      <c r="D586" s="18"/>
      <c r="E586" s="18"/>
      <c r="F586" s="18"/>
      <c r="G586" s="18"/>
      <c r="H586" s="21"/>
      <c r="I586" s="21"/>
      <c r="J586" s="21"/>
      <c r="Q586" s="17"/>
    </row>
    <row r="587" spans="1:19" hidden="1" x14ac:dyDescent="0.2">
      <c r="A587" s="18" t="s">
        <v>58</v>
      </c>
      <c r="B587" s="20" t="s">
        <v>59</v>
      </c>
      <c r="C587" s="18" t="s">
        <v>52</v>
      </c>
      <c r="D587" s="18" t="s">
        <v>55</v>
      </c>
      <c r="E587" s="18" t="s">
        <v>60</v>
      </c>
      <c r="F587" s="18" t="s">
        <v>61</v>
      </c>
      <c r="G587" s="18" t="s">
        <v>54</v>
      </c>
      <c r="H587" s="60" t="s">
        <v>51</v>
      </c>
      <c r="I587" s="18" t="s">
        <v>221</v>
      </c>
      <c r="J587" s="2" t="s">
        <v>379</v>
      </c>
      <c r="K587" s="62" t="s">
        <v>1059</v>
      </c>
      <c r="L587" s="62" t="s">
        <v>1060</v>
      </c>
      <c r="M587" s="62" t="s">
        <v>1061</v>
      </c>
      <c r="N587" s="62" t="s">
        <v>1062</v>
      </c>
      <c r="O587" s="62" t="s">
        <v>1063</v>
      </c>
      <c r="P587" s="62" t="s">
        <v>1064</v>
      </c>
      <c r="Q587" s="2" t="s">
        <v>1065</v>
      </c>
      <c r="R587" s="2" t="s">
        <v>380</v>
      </c>
      <c r="S587" s="18" t="s">
        <v>1128</v>
      </c>
    </row>
    <row r="588" spans="1:19" hidden="1" x14ac:dyDescent="0.2">
      <c r="A588" s="25" t="s">
        <v>809</v>
      </c>
      <c r="B588" s="25">
        <v>1</v>
      </c>
      <c r="C588" s="17" t="str">
        <f>B584</f>
        <v>CH</v>
      </c>
      <c r="D588" s="17" t="str">
        <f>B585</f>
        <v>kilogram</v>
      </c>
      <c r="E588" s="21"/>
      <c r="F588" s="17" t="s">
        <v>62</v>
      </c>
      <c r="G588" s="17" t="s">
        <v>808</v>
      </c>
      <c r="H588" s="21"/>
      <c r="I588" s="21"/>
      <c r="Q588" s="17"/>
    </row>
    <row r="589" spans="1:19" hidden="1" x14ac:dyDescent="0.2">
      <c r="A589" s="17" t="str">
        <f>A573</f>
        <v>electrolyzer production, 1MWe, AEC, Stack</v>
      </c>
      <c r="B589" s="17">
        <f>1/3085961.12</f>
        <v>3.2404815262222099E-7</v>
      </c>
      <c r="C589" s="17" t="s">
        <v>90</v>
      </c>
      <c r="D589" s="17" t="s">
        <v>55</v>
      </c>
      <c r="F589" s="17" t="s">
        <v>86</v>
      </c>
      <c r="G589" s="17" t="s">
        <v>1008</v>
      </c>
      <c r="H589" s="17" t="s">
        <v>698</v>
      </c>
      <c r="I589" s="17">
        <v>2</v>
      </c>
      <c r="J589">
        <f t="shared" ref="J589:J594" si="50">LN(B589)</f>
        <v>-14.942373712992437</v>
      </c>
      <c r="K589" s="13">
        <v>1.05</v>
      </c>
      <c r="L589" s="13">
        <v>1.1000000000000001</v>
      </c>
      <c r="M589" s="13">
        <v>1</v>
      </c>
      <c r="N589" s="13">
        <v>1.02</v>
      </c>
      <c r="O589" s="13">
        <v>1.2</v>
      </c>
      <c r="P589" s="13">
        <v>1.2</v>
      </c>
      <c r="Q589">
        <v>3</v>
      </c>
      <c r="R589">
        <f t="shared" ref="R589:R594" si="51">LN(SQRT(EXP(
SQRT(
+POWER(LN(K589),2)
+POWER(LN(L589),2)
+POWER(LN(M589),2)
+POWER(LN(N589),2)
+POWER(LN(O589),2)
+POWER(LN(P589),2)
+POWER(LN(Q589),2)
)
)))</f>
        <v>0.5668526959223994</v>
      </c>
    </row>
    <row r="590" spans="1:19" hidden="1" x14ac:dyDescent="0.2">
      <c r="A590" s="17" t="str">
        <f>A574</f>
        <v>electrolyzer production, 1MWe, AEC, Balance of Plant</v>
      </c>
      <c r="B590" s="17">
        <f>1/3085961.12</f>
        <v>3.2404815262222099E-7</v>
      </c>
      <c r="C590" s="17" t="s">
        <v>90</v>
      </c>
      <c r="D590" s="17" t="s">
        <v>55</v>
      </c>
      <c r="F590" s="17" t="s">
        <v>86</v>
      </c>
      <c r="G590" s="17" t="s">
        <v>1009</v>
      </c>
      <c r="H590" s="17" t="s">
        <v>697</v>
      </c>
      <c r="I590" s="17">
        <v>2</v>
      </c>
      <c r="J590">
        <f t="shared" si="50"/>
        <v>-14.942373712992437</v>
      </c>
      <c r="K590" s="13">
        <v>1.05</v>
      </c>
      <c r="L590" s="13">
        <v>1.1000000000000001</v>
      </c>
      <c r="M590" s="13">
        <v>1</v>
      </c>
      <c r="N590" s="13">
        <v>1.02</v>
      </c>
      <c r="O590" s="13">
        <v>1.2</v>
      </c>
      <c r="P590" s="13">
        <v>1.2</v>
      </c>
      <c r="Q590">
        <v>3</v>
      </c>
      <c r="R590">
        <f t="shared" si="51"/>
        <v>0.5668526959223994</v>
      </c>
    </row>
    <row r="591" spans="1:19" hidden="1" x14ac:dyDescent="0.2">
      <c r="A591" s="17" t="s">
        <v>290</v>
      </c>
      <c r="B591" s="17">
        <f>B575</f>
        <v>51.8</v>
      </c>
      <c r="C591" s="17" t="s">
        <v>64</v>
      </c>
      <c r="D591" s="17" t="s">
        <v>92</v>
      </c>
      <c r="E591" s="21"/>
      <c r="F591" s="17" t="s">
        <v>86</v>
      </c>
      <c r="G591" s="17" t="s">
        <v>93</v>
      </c>
      <c r="H591" s="21" t="s">
        <v>724</v>
      </c>
      <c r="I591" s="17">
        <v>2</v>
      </c>
      <c r="J591">
        <f t="shared" si="50"/>
        <v>3.9473901492654373</v>
      </c>
      <c r="K591" s="13">
        <v>1.05</v>
      </c>
      <c r="L591" s="13">
        <v>1.1000000000000001</v>
      </c>
      <c r="M591" s="13">
        <v>1</v>
      </c>
      <c r="N591" s="13">
        <v>1.02</v>
      </c>
      <c r="O591" s="13">
        <v>1.2</v>
      </c>
      <c r="P591" s="13">
        <v>1.2</v>
      </c>
      <c r="Q591">
        <v>1.05</v>
      </c>
      <c r="R591">
        <f t="shared" si="51"/>
        <v>0.14205582952229279</v>
      </c>
    </row>
    <row r="592" spans="1:19" hidden="1" x14ac:dyDescent="0.2">
      <c r="A592" s="22" t="s">
        <v>721</v>
      </c>
      <c r="B592" s="25">
        <v>3.7000000000000002E-3</v>
      </c>
      <c r="C592" s="17" t="s">
        <v>85</v>
      </c>
      <c r="D592" s="17" t="s">
        <v>56</v>
      </c>
      <c r="E592" s="21"/>
      <c r="F592" s="17" t="s">
        <v>86</v>
      </c>
      <c r="G592" s="22" t="s">
        <v>722</v>
      </c>
      <c r="H592" s="21" t="s">
        <v>723</v>
      </c>
      <c r="I592" s="17">
        <v>2</v>
      </c>
      <c r="J592">
        <f t="shared" si="50"/>
        <v>-5.5994224593319579</v>
      </c>
      <c r="K592" s="13">
        <v>1.05</v>
      </c>
      <c r="L592" s="13">
        <v>1.1000000000000001</v>
      </c>
      <c r="M592" s="13">
        <v>1</v>
      </c>
      <c r="N592" s="13">
        <v>1.02</v>
      </c>
      <c r="O592" s="13">
        <v>1.2</v>
      </c>
      <c r="P592" s="13">
        <v>1.2</v>
      </c>
      <c r="Q592">
        <v>1.05</v>
      </c>
      <c r="R592">
        <f t="shared" si="51"/>
        <v>0.14205582952229279</v>
      </c>
    </row>
    <row r="593" spans="1:19" hidden="1" x14ac:dyDescent="0.2">
      <c r="A593" s="17" t="str">
        <f>A577</f>
        <v>market for water, deionised</v>
      </c>
      <c r="B593" s="17">
        <f>B577</f>
        <v>14</v>
      </c>
      <c r="C593" s="17" t="s">
        <v>96</v>
      </c>
      <c r="D593" s="17" t="s">
        <v>56</v>
      </c>
      <c r="F593" s="17" t="s">
        <v>86</v>
      </c>
      <c r="G593" s="17" t="s">
        <v>97</v>
      </c>
      <c r="H593" s="71" t="s">
        <v>1192</v>
      </c>
      <c r="I593" s="17">
        <v>2</v>
      </c>
      <c r="J593">
        <f t="shared" si="50"/>
        <v>2.6390573296152584</v>
      </c>
      <c r="K593" s="13">
        <v>1.05</v>
      </c>
      <c r="L593" s="13">
        <v>1.1000000000000001</v>
      </c>
      <c r="M593" s="13">
        <v>1</v>
      </c>
      <c r="N593" s="13">
        <v>1.02</v>
      </c>
      <c r="O593" s="13">
        <v>1.2</v>
      </c>
      <c r="P593" s="13">
        <v>1.2</v>
      </c>
      <c r="Q593">
        <v>1.05</v>
      </c>
      <c r="R593">
        <f t="shared" si="51"/>
        <v>0.14205582952229279</v>
      </c>
    </row>
    <row r="594" spans="1:19" hidden="1" x14ac:dyDescent="0.2">
      <c r="A594" s="17" t="str">
        <f>A578</f>
        <v>Oxygen</v>
      </c>
      <c r="B594" s="17">
        <f>B578</f>
        <v>8</v>
      </c>
      <c r="C594" s="27"/>
      <c r="D594" s="27" t="s">
        <v>56</v>
      </c>
      <c r="E594" s="27" t="s">
        <v>100</v>
      </c>
      <c r="F594" s="27" t="s">
        <v>99</v>
      </c>
      <c r="G594" s="27"/>
      <c r="H594" s="28"/>
      <c r="I594" s="17">
        <v>2</v>
      </c>
      <c r="J594">
        <f t="shared" si="50"/>
        <v>2.0794415416798357</v>
      </c>
      <c r="K594" s="13">
        <v>1.05</v>
      </c>
      <c r="L594" s="13">
        <v>1.1000000000000001</v>
      </c>
      <c r="M594" s="13">
        <v>1</v>
      </c>
      <c r="N594" s="13">
        <v>1.02</v>
      </c>
      <c r="O594" s="13">
        <v>1.2</v>
      </c>
      <c r="P594" s="13">
        <v>1.2</v>
      </c>
      <c r="Q594" s="13">
        <v>1.5</v>
      </c>
      <c r="R594">
        <f t="shared" si="51"/>
        <v>0.24634371748562628</v>
      </c>
    </row>
    <row r="595" spans="1:19" hidden="1" x14ac:dyDescent="0.2">
      <c r="Q595" s="17"/>
    </row>
    <row r="596" spans="1:19" hidden="1" x14ac:dyDescent="0.2">
      <c r="A596" s="19" t="s">
        <v>50</v>
      </c>
      <c r="B596" s="20" t="s">
        <v>810</v>
      </c>
      <c r="C596" s="21"/>
      <c r="Q596" s="17"/>
    </row>
    <row r="597" spans="1:19" hidden="1" x14ac:dyDescent="0.2">
      <c r="A597" s="22" t="s">
        <v>53</v>
      </c>
      <c r="B597" s="23">
        <v>1</v>
      </c>
      <c r="Q597" s="17"/>
    </row>
    <row r="598" spans="1:19" hidden="1" x14ac:dyDescent="0.2">
      <c r="A598" s="22" t="s">
        <v>51</v>
      </c>
      <c r="B598" s="23" t="s">
        <v>720</v>
      </c>
      <c r="Q598" s="17"/>
    </row>
    <row r="599" spans="1:19" hidden="1" x14ac:dyDescent="0.2">
      <c r="A599" s="22" t="s">
        <v>54</v>
      </c>
      <c r="B599" s="24" t="s">
        <v>808</v>
      </c>
      <c r="Q599" s="17"/>
    </row>
    <row r="600" spans="1:19" hidden="1" x14ac:dyDescent="0.2">
      <c r="A600" s="22" t="s">
        <v>52</v>
      </c>
      <c r="B600" s="17" t="s">
        <v>639</v>
      </c>
      <c r="Q600" s="17"/>
    </row>
    <row r="601" spans="1:19" hidden="1" x14ac:dyDescent="0.2">
      <c r="A601" s="22" t="s">
        <v>55</v>
      </c>
      <c r="B601" s="25" t="s">
        <v>56</v>
      </c>
      <c r="H601" s="18"/>
      <c r="I601" s="18"/>
      <c r="J601" s="18"/>
      <c r="Q601" s="17"/>
    </row>
    <row r="602" spans="1:19" hidden="1" x14ac:dyDescent="0.2">
      <c r="A602" s="18" t="s">
        <v>57</v>
      </c>
      <c r="B602" s="20"/>
      <c r="C602" s="18"/>
      <c r="D602" s="18"/>
      <c r="E602" s="18"/>
      <c r="F602" s="18"/>
      <c r="G602" s="18"/>
      <c r="H602" s="21"/>
      <c r="I602" s="21"/>
      <c r="J602" s="21"/>
      <c r="Q602" s="17"/>
    </row>
    <row r="603" spans="1:19" hidden="1" x14ac:dyDescent="0.2">
      <c r="A603" s="18" t="s">
        <v>58</v>
      </c>
      <c r="B603" s="20" t="s">
        <v>59</v>
      </c>
      <c r="C603" s="18" t="s">
        <v>52</v>
      </c>
      <c r="D603" s="18" t="s">
        <v>55</v>
      </c>
      <c r="E603" s="18" t="s">
        <v>60</v>
      </c>
      <c r="F603" s="18" t="s">
        <v>61</v>
      </c>
      <c r="G603" s="18" t="s">
        <v>54</v>
      </c>
      <c r="H603" s="60" t="s">
        <v>51</v>
      </c>
      <c r="I603" s="18" t="s">
        <v>221</v>
      </c>
      <c r="J603" s="2" t="s">
        <v>379</v>
      </c>
      <c r="K603" s="62" t="s">
        <v>1059</v>
      </c>
      <c r="L603" s="62" t="s">
        <v>1060</v>
      </c>
      <c r="M603" s="62" t="s">
        <v>1061</v>
      </c>
      <c r="N603" s="62" t="s">
        <v>1062</v>
      </c>
      <c r="O603" s="62" t="s">
        <v>1063</v>
      </c>
      <c r="P603" s="62" t="s">
        <v>1064</v>
      </c>
      <c r="Q603" s="2" t="s">
        <v>1065</v>
      </c>
      <c r="R603" s="2" t="s">
        <v>380</v>
      </c>
      <c r="S603" s="18" t="s">
        <v>1128</v>
      </c>
    </row>
    <row r="604" spans="1:19" hidden="1" x14ac:dyDescent="0.2">
      <c r="A604" s="25" t="s">
        <v>810</v>
      </c>
      <c r="B604" s="25">
        <v>1</v>
      </c>
      <c r="C604" s="17" t="s">
        <v>639</v>
      </c>
      <c r="D604" s="17" t="str">
        <f>B601</f>
        <v>kilogram</v>
      </c>
      <c r="E604" s="21"/>
      <c r="F604" s="17" t="s">
        <v>62</v>
      </c>
      <c r="G604" s="17" t="s">
        <v>808</v>
      </c>
      <c r="H604" s="21"/>
      <c r="I604" s="21"/>
      <c r="Q604" s="17"/>
    </row>
    <row r="605" spans="1:19" hidden="1" x14ac:dyDescent="0.2">
      <c r="A605" s="17" t="str">
        <f>A589</f>
        <v>electrolyzer production, 1MWe, AEC, Stack</v>
      </c>
      <c r="B605" s="17">
        <f>B589</f>
        <v>3.2404815262222099E-7</v>
      </c>
      <c r="C605" s="17" t="s">
        <v>90</v>
      </c>
      <c r="D605" s="17" t="s">
        <v>55</v>
      </c>
      <c r="F605" s="17" t="s">
        <v>86</v>
      </c>
      <c r="G605" s="17" t="s">
        <v>1008</v>
      </c>
      <c r="H605" s="17" t="s">
        <v>698</v>
      </c>
      <c r="I605" s="17">
        <v>2</v>
      </c>
      <c r="J605">
        <f t="shared" ref="J605:J610" si="52">LN(B605)</f>
        <v>-14.942373712992437</v>
      </c>
      <c r="K605" s="13">
        <v>1.05</v>
      </c>
      <c r="L605" s="13">
        <v>1.1000000000000001</v>
      </c>
      <c r="M605" s="13">
        <v>1</v>
      </c>
      <c r="N605" s="13">
        <v>1.02</v>
      </c>
      <c r="O605" s="13">
        <v>1.2</v>
      </c>
      <c r="P605" s="13">
        <v>1.2</v>
      </c>
      <c r="Q605">
        <v>3</v>
      </c>
      <c r="R605">
        <f t="shared" ref="R605:R610" si="53">LN(SQRT(EXP(
SQRT(
+POWER(LN(K605),2)
+POWER(LN(L605),2)
+POWER(LN(M605),2)
+POWER(LN(N605),2)
+POWER(LN(O605),2)
+POWER(LN(P605),2)
+POWER(LN(Q605),2)
)
)))</f>
        <v>0.5668526959223994</v>
      </c>
    </row>
    <row r="606" spans="1:19" hidden="1" x14ac:dyDescent="0.2">
      <c r="A606" s="17" t="str">
        <f>A590</f>
        <v>electrolyzer production, 1MWe, AEC, Balance of Plant</v>
      </c>
      <c r="B606" s="17">
        <f>B590</f>
        <v>3.2404815262222099E-7</v>
      </c>
      <c r="C606" s="17" t="s">
        <v>90</v>
      </c>
      <c r="D606" s="17" t="s">
        <v>55</v>
      </c>
      <c r="F606" s="17" t="s">
        <v>86</v>
      </c>
      <c r="G606" s="17" t="s">
        <v>1009</v>
      </c>
      <c r="H606" s="17" t="s">
        <v>697</v>
      </c>
      <c r="I606" s="17">
        <v>2</v>
      </c>
      <c r="J606">
        <f t="shared" si="52"/>
        <v>-14.942373712992437</v>
      </c>
      <c r="K606" s="13">
        <v>1.05</v>
      </c>
      <c r="L606" s="13">
        <v>1.1000000000000001</v>
      </c>
      <c r="M606" s="13">
        <v>1</v>
      </c>
      <c r="N606" s="13">
        <v>1.02</v>
      </c>
      <c r="O606" s="13">
        <v>1.2</v>
      </c>
      <c r="P606" s="13">
        <v>1.2</v>
      </c>
      <c r="Q606">
        <v>3</v>
      </c>
      <c r="R606">
        <f t="shared" si="53"/>
        <v>0.5668526959223994</v>
      </c>
    </row>
    <row r="607" spans="1:19" hidden="1" x14ac:dyDescent="0.2">
      <c r="A607" s="17" t="s">
        <v>290</v>
      </c>
      <c r="B607" s="17">
        <f>B591</f>
        <v>51.8</v>
      </c>
      <c r="C607" s="17" t="s">
        <v>639</v>
      </c>
      <c r="D607" s="17" t="s">
        <v>92</v>
      </c>
      <c r="E607" s="21"/>
      <c r="F607" s="17" t="s">
        <v>86</v>
      </c>
      <c r="G607" s="17" t="s">
        <v>93</v>
      </c>
      <c r="H607" s="21" t="s">
        <v>724</v>
      </c>
      <c r="I607" s="17">
        <v>2</v>
      </c>
      <c r="J607">
        <f t="shared" si="52"/>
        <v>3.9473901492654373</v>
      </c>
      <c r="K607" s="13">
        <v>1.05</v>
      </c>
      <c r="L607" s="13">
        <v>1.1000000000000001</v>
      </c>
      <c r="M607" s="13">
        <v>1</v>
      </c>
      <c r="N607" s="13">
        <v>1.02</v>
      </c>
      <c r="O607" s="13">
        <v>1.2</v>
      </c>
      <c r="P607" s="13">
        <v>1.2</v>
      </c>
      <c r="Q607">
        <v>1.05</v>
      </c>
      <c r="R607">
        <f t="shared" si="53"/>
        <v>0.14205582952229279</v>
      </c>
    </row>
    <row r="608" spans="1:19" hidden="1" x14ac:dyDescent="0.2">
      <c r="A608" s="22" t="s">
        <v>721</v>
      </c>
      <c r="B608" s="25">
        <v>3.7000000000000002E-3</v>
      </c>
      <c r="C608" s="17" t="s">
        <v>85</v>
      </c>
      <c r="D608" s="17" t="s">
        <v>56</v>
      </c>
      <c r="E608" s="21"/>
      <c r="F608" s="17" t="s">
        <v>86</v>
      </c>
      <c r="G608" s="22" t="s">
        <v>722</v>
      </c>
      <c r="H608" s="21" t="s">
        <v>723</v>
      </c>
      <c r="I608" s="17">
        <v>2</v>
      </c>
      <c r="J608">
        <f t="shared" si="52"/>
        <v>-5.5994224593319579</v>
      </c>
      <c r="K608" s="13">
        <v>1.05</v>
      </c>
      <c r="L608" s="13">
        <v>1.1000000000000001</v>
      </c>
      <c r="M608" s="13">
        <v>1</v>
      </c>
      <c r="N608" s="13">
        <v>1.02</v>
      </c>
      <c r="O608" s="13">
        <v>1.2</v>
      </c>
      <c r="P608" s="13">
        <v>1.2</v>
      </c>
      <c r="Q608">
        <v>1.05</v>
      </c>
      <c r="R608">
        <f t="shared" si="53"/>
        <v>0.14205582952229279</v>
      </c>
    </row>
    <row r="609" spans="1:19" hidden="1" x14ac:dyDescent="0.2">
      <c r="A609" s="17" t="str">
        <f>A593</f>
        <v>market for water, deionised</v>
      </c>
      <c r="B609" s="17">
        <f>B593</f>
        <v>14</v>
      </c>
      <c r="C609" s="17" t="s">
        <v>96</v>
      </c>
      <c r="D609" s="17" t="s">
        <v>56</v>
      </c>
      <c r="F609" s="17" t="s">
        <v>86</v>
      </c>
      <c r="G609" s="17" t="s">
        <v>97</v>
      </c>
      <c r="H609" s="71" t="s">
        <v>1192</v>
      </c>
      <c r="I609" s="17">
        <v>2</v>
      </c>
      <c r="J609">
        <f t="shared" si="52"/>
        <v>2.6390573296152584</v>
      </c>
      <c r="K609" s="13">
        <v>1.05</v>
      </c>
      <c r="L609" s="13">
        <v>1.1000000000000001</v>
      </c>
      <c r="M609" s="13">
        <v>1</v>
      </c>
      <c r="N609" s="13">
        <v>1.02</v>
      </c>
      <c r="O609" s="13">
        <v>1.2</v>
      </c>
      <c r="P609" s="13">
        <v>1.2</v>
      </c>
      <c r="Q609">
        <v>1.05</v>
      </c>
      <c r="R609">
        <f t="shared" si="53"/>
        <v>0.14205582952229279</v>
      </c>
    </row>
    <row r="610" spans="1:19" hidden="1" x14ac:dyDescent="0.2">
      <c r="A610" s="17" t="str">
        <f>A594</f>
        <v>Oxygen</v>
      </c>
      <c r="B610" s="17">
        <f>B594</f>
        <v>8</v>
      </c>
      <c r="C610" s="27"/>
      <c r="D610" s="27" t="s">
        <v>56</v>
      </c>
      <c r="E610" s="27" t="s">
        <v>100</v>
      </c>
      <c r="F610" s="27" t="s">
        <v>99</v>
      </c>
      <c r="G610" s="27"/>
      <c r="H610" s="28"/>
      <c r="I610" s="17">
        <v>2</v>
      </c>
      <c r="J610">
        <f t="shared" si="52"/>
        <v>2.0794415416798357</v>
      </c>
      <c r="K610" s="13">
        <v>1.05</v>
      </c>
      <c r="L610" s="13">
        <v>1.1000000000000001</v>
      </c>
      <c r="M610" s="13">
        <v>1</v>
      </c>
      <c r="N610" s="13">
        <v>1.02</v>
      </c>
      <c r="O610" s="13">
        <v>1.2</v>
      </c>
      <c r="P610" s="13">
        <v>1.2</v>
      </c>
      <c r="Q610" s="13">
        <v>1.5</v>
      </c>
      <c r="R610">
        <f t="shared" si="53"/>
        <v>0.24634371748562628</v>
      </c>
    </row>
    <row r="611" spans="1:19" hidden="1" x14ac:dyDescent="0.2">
      <c r="B611" s="25"/>
      <c r="Q611" s="17"/>
    </row>
    <row r="612" spans="1:19" hidden="1" x14ac:dyDescent="0.2">
      <c r="A612" s="19" t="s">
        <v>50</v>
      </c>
      <c r="B612" s="20" t="s">
        <v>811</v>
      </c>
      <c r="C612" s="21"/>
      <c r="Q612" s="17"/>
    </row>
    <row r="613" spans="1:19" hidden="1" x14ac:dyDescent="0.2">
      <c r="A613" s="22" t="s">
        <v>53</v>
      </c>
      <c r="B613" s="23">
        <v>1</v>
      </c>
      <c r="Q613" s="17"/>
    </row>
    <row r="614" spans="1:19" hidden="1" x14ac:dyDescent="0.2">
      <c r="A614" s="22" t="s">
        <v>51</v>
      </c>
      <c r="B614" s="23" t="s">
        <v>720</v>
      </c>
      <c r="Q614" s="17"/>
    </row>
    <row r="615" spans="1:19" hidden="1" x14ac:dyDescent="0.2">
      <c r="A615" s="22" t="s">
        <v>54</v>
      </c>
      <c r="B615" s="24" t="s">
        <v>808</v>
      </c>
      <c r="Q615" s="17"/>
    </row>
    <row r="616" spans="1:19" hidden="1" x14ac:dyDescent="0.2">
      <c r="A616" s="22" t="s">
        <v>52</v>
      </c>
      <c r="B616" s="23" t="s">
        <v>296</v>
      </c>
      <c r="Q616" s="17"/>
    </row>
    <row r="617" spans="1:19" hidden="1" x14ac:dyDescent="0.2">
      <c r="A617" s="22" t="s">
        <v>55</v>
      </c>
      <c r="B617" s="25" t="s">
        <v>56</v>
      </c>
      <c r="H617" s="18"/>
      <c r="I617" s="18"/>
      <c r="J617" s="18"/>
      <c r="Q617" s="17"/>
    </row>
    <row r="618" spans="1:19" hidden="1" x14ac:dyDescent="0.2">
      <c r="A618" s="18" t="s">
        <v>57</v>
      </c>
      <c r="B618" s="20"/>
      <c r="C618" s="18"/>
      <c r="D618" s="18"/>
      <c r="E618" s="18"/>
      <c r="F618" s="18"/>
      <c r="G618" s="18"/>
      <c r="H618" s="21"/>
      <c r="I618" s="21"/>
      <c r="J618" s="21"/>
      <c r="Q618" s="17"/>
    </row>
    <row r="619" spans="1:19" hidden="1" x14ac:dyDescent="0.2">
      <c r="A619" s="18" t="s">
        <v>58</v>
      </c>
      <c r="B619" s="20" t="s">
        <v>59</v>
      </c>
      <c r="C619" s="18" t="s">
        <v>52</v>
      </c>
      <c r="D619" s="18" t="s">
        <v>55</v>
      </c>
      <c r="E619" s="18" t="s">
        <v>60</v>
      </c>
      <c r="F619" s="18" t="s">
        <v>61</v>
      </c>
      <c r="G619" s="18" t="s">
        <v>54</v>
      </c>
      <c r="H619" s="60" t="s">
        <v>51</v>
      </c>
      <c r="I619" s="18" t="s">
        <v>221</v>
      </c>
      <c r="J619" s="2" t="s">
        <v>379</v>
      </c>
      <c r="K619" s="62" t="s">
        <v>1059</v>
      </c>
      <c r="L619" s="62" t="s">
        <v>1060</v>
      </c>
      <c r="M619" s="62" t="s">
        <v>1061</v>
      </c>
      <c r="N619" s="62" t="s">
        <v>1062</v>
      </c>
      <c r="O619" s="62" t="s">
        <v>1063</v>
      </c>
      <c r="P619" s="62" t="s">
        <v>1064</v>
      </c>
      <c r="Q619" s="2" t="s">
        <v>1065</v>
      </c>
      <c r="R619" s="2" t="s">
        <v>380</v>
      </c>
      <c r="S619" s="18" t="s">
        <v>1128</v>
      </c>
    </row>
    <row r="620" spans="1:19" hidden="1" x14ac:dyDescent="0.2">
      <c r="A620" s="25" t="s">
        <v>811</v>
      </c>
      <c r="B620" s="25">
        <v>1</v>
      </c>
      <c r="C620" s="17" t="str">
        <f>B616</f>
        <v>DE</v>
      </c>
      <c r="D620" s="17" t="str">
        <f>B617</f>
        <v>kilogram</v>
      </c>
      <c r="E620" s="21"/>
      <c r="F620" s="17" t="s">
        <v>62</v>
      </c>
      <c r="G620" s="17" t="s">
        <v>808</v>
      </c>
      <c r="H620" s="21"/>
      <c r="I620" s="21"/>
      <c r="Q620" s="17"/>
    </row>
    <row r="621" spans="1:19" hidden="1" x14ac:dyDescent="0.2">
      <c r="A621" s="17" t="str">
        <f>A605</f>
        <v>electrolyzer production, 1MWe, AEC, Stack</v>
      </c>
      <c r="B621" s="17">
        <f>B605</f>
        <v>3.2404815262222099E-7</v>
      </c>
      <c r="C621" s="17" t="s">
        <v>90</v>
      </c>
      <c r="D621" s="17" t="s">
        <v>55</v>
      </c>
      <c r="F621" s="17" t="s">
        <v>86</v>
      </c>
      <c r="G621" s="17" t="s">
        <v>1008</v>
      </c>
      <c r="H621" s="17" t="s">
        <v>698</v>
      </c>
      <c r="I621" s="17">
        <v>2</v>
      </c>
      <c r="J621">
        <f t="shared" ref="J621:J626" si="54">LN(B621)</f>
        <v>-14.942373712992437</v>
      </c>
      <c r="K621" s="13">
        <v>1.05</v>
      </c>
      <c r="L621" s="13">
        <v>1.1000000000000001</v>
      </c>
      <c r="M621" s="13">
        <v>1</v>
      </c>
      <c r="N621" s="13">
        <v>1.02</v>
      </c>
      <c r="O621" s="13">
        <v>1.2</v>
      </c>
      <c r="P621" s="13">
        <v>1.2</v>
      </c>
      <c r="Q621">
        <v>3</v>
      </c>
      <c r="R621">
        <f t="shared" ref="R621:R626" si="55">LN(SQRT(EXP(
SQRT(
+POWER(LN(K621),2)
+POWER(LN(L621),2)
+POWER(LN(M621),2)
+POWER(LN(N621),2)
+POWER(LN(O621),2)
+POWER(LN(P621),2)
+POWER(LN(Q621),2)
)
)))</f>
        <v>0.5668526959223994</v>
      </c>
    </row>
    <row r="622" spans="1:19" hidden="1" x14ac:dyDescent="0.2">
      <c r="A622" s="17" t="str">
        <f>A606</f>
        <v>electrolyzer production, 1MWe, AEC, Balance of Plant</v>
      </c>
      <c r="B622" s="17">
        <f>B606</f>
        <v>3.2404815262222099E-7</v>
      </c>
      <c r="C622" s="17" t="s">
        <v>90</v>
      </c>
      <c r="D622" s="17" t="s">
        <v>55</v>
      </c>
      <c r="F622" s="17" t="s">
        <v>86</v>
      </c>
      <c r="G622" s="17" t="s">
        <v>1009</v>
      </c>
      <c r="H622" s="17" t="s">
        <v>697</v>
      </c>
      <c r="I622" s="17">
        <v>2</v>
      </c>
      <c r="J622">
        <f t="shared" si="54"/>
        <v>-14.942373712992437</v>
      </c>
      <c r="K622" s="13">
        <v>1.05</v>
      </c>
      <c r="L622" s="13">
        <v>1.1000000000000001</v>
      </c>
      <c r="M622" s="13">
        <v>1</v>
      </c>
      <c r="N622" s="13">
        <v>1.02</v>
      </c>
      <c r="O622" s="13">
        <v>1.2</v>
      </c>
      <c r="P622" s="13">
        <v>1.2</v>
      </c>
      <c r="Q622">
        <v>3</v>
      </c>
      <c r="R622">
        <f t="shared" si="55"/>
        <v>0.5668526959223994</v>
      </c>
    </row>
    <row r="623" spans="1:19" hidden="1" x14ac:dyDescent="0.2">
      <c r="A623" s="17" t="s">
        <v>290</v>
      </c>
      <c r="B623" s="17">
        <f>B607</f>
        <v>51.8</v>
      </c>
      <c r="C623" s="17" t="s">
        <v>296</v>
      </c>
      <c r="D623" s="17" t="s">
        <v>92</v>
      </c>
      <c r="E623" s="21"/>
      <c r="F623" s="17" t="s">
        <v>86</v>
      </c>
      <c r="G623" s="17" t="s">
        <v>93</v>
      </c>
      <c r="H623" s="21" t="s">
        <v>724</v>
      </c>
      <c r="I623" s="17">
        <v>2</v>
      </c>
      <c r="J623">
        <f t="shared" si="54"/>
        <v>3.9473901492654373</v>
      </c>
      <c r="K623" s="13">
        <v>1.05</v>
      </c>
      <c r="L623" s="13">
        <v>1.1000000000000001</v>
      </c>
      <c r="M623" s="13">
        <v>1</v>
      </c>
      <c r="N623" s="13">
        <v>1.02</v>
      </c>
      <c r="O623" s="13">
        <v>1.2</v>
      </c>
      <c r="P623" s="13">
        <v>1.2</v>
      </c>
      <c r="Q623">
        <v>1.05</v>
      </c>
      <c r="R623">
        <f t="shared" si="55"/>
        <v>0.14205582952229279</v>
      </c>
    </row>
    <row r="624" spans="1:19" hidden="1" x14ac:dyDescent="0.2">
      <c r="A624" s="22" t="s">
        <v>721</v>
      </c>
      <c r="B624" s="25">
        <v>3.7000000000000002E-3</v>
      </c>
      <c r="C624" s="17" t="s">
        <v>85</v>
      </c>
      <c r="D624" s="17" t="s">
        <v>56</v>
      </c>
      <c r="E624" s="21"/>
      <c r="F624" s="17" t="s">
        <v>86</v>
      </c>
      <c r="G624" s="22" t="s">
        <v>722</v>
      </c>
      <c r="H624" s="21" t="s">
        <v>723</v>
      </c>
      <c r="I624" s="17">
        <v>2</v>
      </c>
      <c r="J624">
        <f t="shared" si="54"/>
        <v>-5.5994224593319579</v>
      </c>
      <c r="K624" s="13">
        <v>1.05</v>
      </c>
      <c r="L624" s="13">
        <v>1.1000000000000001</v>
      </c>
      <c r="M624" s="13">
        <v>1</v>
      </c>
      <c r="N624" s="13">
        <v>1.02</v>
      </c>
      <c r="O624" s="13">
        <v>1.2</v>
      </c>
      <c r="P624" s="13">
        <v>1.2</v>
      </c>
      <c r="Q624">
        <v>1.05</v>
      </c>
      <c r="R624">
        <f t="shared" si="55"/>
        <v>0.14205582952229279</v>
      </c>
    </row>
    <row r="625" spans="1:19" hidden="1" x14ac:dyDescent="0.2">
      <c r="A625" s="17" t="str">
        <f>A609</f>
        <v>market for water, deionised</v>
      </c>
      <c r="B625" s="17">
        <f>B609</f>
        <v>14</v>
      </c>
      <c r="C625" s="17" t="s">
        <v>96</v>
      </c>
      <c r="D625" s="17" t="s">
        <v>56</v>
      </c>
      <c r="F625" s="17" t="s">
        <v>86</v>
      </c>
      <c r="G625" s="17" t="s">
        <v>97</v>
      </c>
      <c r="H625" s="71" t="s">
        <v>1192</v>
      </c>
      <c r="I625" s="17">
        <v>2</v>
      </c>
      <c r="J625">
        <f t="shared" si="54"/>
        <v>2.6390573296152584</v>
      </c>
      <c r="K625" s="13">
        <v>1.05</v>
      </c>
      <c r="L625" s="13">
        <v>1.1000000000000001</v>
      </c>
      <c r="M625" s="13">
        <v>1</v>
      </c>
      <c r="N625" s="13">
        <v>1.02</v>
      </c>
      <c r="O625" s="13">
        <v>1.2</v>
      </c>
      <c r="P625" s="13">
        <v>1.2</v>
      </c>
      <c r="Q625">
        <v>1.05</v>
      </c>
      <c r="R625">
        <f t="shared" si="55"/>
        <v>0.14205582952229279</v>
      </c>
    </row>
    <row r="626" spans="1:19" hidden="1" x14ac:dyDescent="0.2">
      <c r="A626" s="17" t="str">
        <f>A610</f>
        <v>Oxygen</v>
      </c>
      <c r="B626" s="17">
        <f>B610</f>
        <v>8</v>
      </c>
      <c r="C626" s="27"/>
      <c r="D626" s="27" t="s">
        <v>56</v>
      </c>
      <c r="E626" s="27" t="s">
        <v>100</v>
      </c>
      <c r="F626" s="27" t="s">
        <v>99</v>
      </c>
      <c r="G626" s="27"/>
      <c r="H626" s="28"/>
      <c r="I626" s="17">
        <v>2</v>
      </c>
      <c r="J626">
        <f t="shared" si="54"/>
        <v>2.0794415416798357</v>
      </c>
      <c r="K626" s="13">
        <v>1.05</v>
      </c>
      <c r="L626" s="13">
        <v>1.1000000000000001</v>
      </c>
      <c r="M626" s="13">
        <v>1</v>
      </c>
      <c r="N626" s="13">
        <v>1.02</v>
      </c>
      <c r="O626" s="13">
        <v>1.2</v>
      </c>
      <c r="P626" s="13">
        <v>1.2</v>
      </c>
      <c r="Q626" s="13">
        <v>1.5</v>
      </c>
      <c r="R626">
        <f t="shared" si="55"/>
        <v>0.24634371748562628</v>
      </c>
    </row>
    <row r="627" spans="1:19" hidden="1" x14ac:dyDescent="0.2">
      <c r="B627" s="25"/>
      <c r="Q627" s="17"/>
    </row>
    <row r="628" spans="1:19" hidden="1" x14ac:dyDescent="0.2">
      <c r="A628" s="19" t="s">
        <v>50</v>
      </c>
      <c r="B628" s="20" t="s">
        <v>812</v>
      </c>
      <c r="C628" s="21"/>
      <c r="Q628" s="17"/>
    </row>
    <row r="629" spans="1:19" hidden="1" x14ac:dyDescent="0.2">
      <c r="A629" s="22" t="s">
        <v>53</v>
      </c>
      <c r="B629" s="23">
        <v>1</v>
      </c>
      <c r="Q629" s="17"/>
    </row>
    <row r="630" spans="1:19" hidden="1" x14ac:dyDescent="0.2">
      <c r="A630" s="22" t="s">
        <v>51</v>
      </c>
      <c r="B630" s="23" t="s">
        <v>720</v>
      </c>
      <c r="Q630" s="17"/>
    </row>
    <row r="631" spans="1:19" hidden="1" x14ac:dyDescent="0.2">
      <c r="A631" s="22" t="s">
        <v>54</v>
      </c>
      <c r="B631" s="24" t="s">
        <v>808</v>
      </c>
      <c r="Q631" s="17"/>
    </row>
    <row r="632" spans="1:19" hidden="1" x14ac:dyDescent="0.2">
      <c r="A632" s="22" t="s">
        <v>52</v>
      </c>
      <c r="B632" s="23" t="s">
        <v>301</v>
      </c>
      <c r="Q632" s="17"/>
    </row>
    <row r="633" spans="1:19" hidden="1" x14ac:dyDescent="0.2">
      <c r="A633" s="22" t="s">
        <v>55</v>
      </c>
      <c r="B633" s="25" t="s">
        <v>56</v>
      </c>
      <c r="H633" s="18"/>
      <c r="I633" s="18"/>
      <c r="J633" s="18"/>
      <c r="Q633" s="17"/>
    </row>
    <row r="634" spans="1:19" hidden="1" x14ac:dyDescent="0.2">
      <c r="A634" s="18" t="s">
        <v>57</v>
      </c>
      <c r="B634" s="20"/>
      <c r="C634" s="18"/>
      <c r="D634" s="18"/>
      <c r="E634" s="18"/>
      <c r="F634" s="18"/>
      <c r="G634" s="18"/>
      <c r="H634" s="21"/>
      <c r="I634" s="21"/>
      <c r="J634" s="21"/>
      <c r="Q634" s="17"/>
    </row>
    <row r="635" spans="1:19" hidden="1" x14ac:dyDescent="0.2">
      <c r="A635" s="18" t="s">
        <v>58</v>
      </c>
      <c r="B635" s="20" t="s">
        <v>59</v>
      </c>
      <c r="C635" s="18" t="s">
        <v>52</v>
      </c>
      <c r="D635" s="18" t="s">
        <v>55</v>
      </c>
      <c r="E635" s="18" t="s">
        <v>60</v>
      </c>
      <c r="F635" s="18" t="s">
        <v>61</v>
      </c>
      <c r="G635" s="18" t="s">
        <v>54</v>
      </c>
      <c r="H635" s="60" t="s">
        <v>51</v>
      </c>
      <c r="I635" s="18" t="s">
        <v>221</v>
      </c>
      <c r="J635" s="2" t="s">
        <v>379</v>
      </c>
      <c r="K635" s="62" t="s">
        <v>1059</v>
      </c>
      <c r="L635" s="62" t="s">
        <v>1060</v>
      </c>
      <c r="M635" s="62" t="s">
        <v>1061</v>
      </c>
      <c r="N635" s="62" t="s">
        <v>1062</v>
      </c>
      <c r="O635" s="62" t="s">
        <v>1063</v>
      </c>
      <c r="P635" s="62" t="s">
        <v>1064</v>
      </c>
      <c r="Q635" s="2" t="s">
        <v>1065</v>
      </c>
      <c r="R635" s="2" t="s">
        <v>380</v>
      </c>
      <c r="S635" s="18" t="s">
        <v>1128</v>
      </c>
    </row>
    <row r="636" spans="1:19" hidden="1" x14ac:dyDescent="0.2">
      <c r="A636" s="25" t="s">
        <v>812</v>
      </c>
      <c r="B636" s="25">
        <v>1</v>
      </c>
      <c r="C636" s="17" t="str">
        <f>B632</f>
        <v>DK</v>
      </c>
      <c r="D636" s="17" t="str">
        <f>B633</f>
        <v>kilogram</v>
      </c>
      <c r="E636" s="21"/>
      <c r="F636" s="17" t="s">
        <v>62</v>
      </c>
      <c r="G636" s="17" t="s">
        <v>808</v>
      </c>
      <c r="H636" s="21"/>
      <c r="I636" s="21"/>
      <c r="Q636" s="17"/>
    </row>
    <row r="637" spans="1:19" hidden="1" x14ac:dyDescent="0.2">
      <c r="A637" s="17" t="str">
        <f>A621</f>
        <v>electrolyzer production, 1MWe, AEC, Stack</v>
      </c>
      <c r="B637" s="17">
        <f>B621</f>
        <v>3.2404815262222099E-7</v>
      </c>
      <c r="C637" s="17" t="s">
        <v>90</v>
      </c>
      <c r="D637" s="17" t="s">
        <v>55</v>
      </c>
      <c r="F637" s="17" t="s">
        <v>86</v>
      </c>
      <c r="G637" s="17" t="s">
        <v>1008</v>
      </c>
      <c r="H637" s="17" t="s">
        <v>698</v>
      </c>
      <c r="I637" s="17">
        <v>2</v>
      </c>
      <c r="J637">
        <f t="shared" ref="J637:J642" si="56">LN(B637)</f>
        <v>-14.942373712992437</v>
      </c>
      <c r="K637" s="13">
        <v>1.05</v>
      </c>
      <c r="L637" s="13">
        <v>1.1000000000000001</v>
      </c>
      <c r="M637" s="13">
        <v>1</v>
      </c>
      <c r="N637" s="13">
        <v>1.02</v>
      </c>
      <c r="O637" s="13">
        <v>1.2</v>
      </c>
      <c r="P637" s="13">
        <v>1.2</v>
      </c>
      <c r="Q637">
        <v>3</v>
      </c>
      <c r="R637">
        <f t="shared" ref="R637:R642" si="57">LN(SQRT(EXP(
SQRT(
+POWER(LN(K637),2)
+POWER(LN(L637),2)
+POWER(LN(M637),2)
+POWER(LN(N637),2)
+POWER(LN(O637),2)
+POWER(LN(P637),2)
+POWER(LN(Q637),2)
)
)))</f>
        <v>0.5668526959223994</v>
      </c>
    </row>
    <row r="638" spans="1:19" hidden="1" x14ac:dyDescent="0.2">
      <c r="A638" s="17" t="str">
        <f>A622</f>
        <v>electrolyzer production, 1MWe, AEC, Balance of Plant</v>
      </c>
      <c r="B638" s="17">
        <f>B622</f>
        <v>3.2404815262222099E-7</v>
      </c>
      <c r="C638" s="17" t="s">
        <v>90</v>
      </c>
      <c r="D638" s="17" t="s">
        <v>55</v>
      </c>
      <c r="F638" s="17" t="s">
        <v>86</v>
      </c>
      <c r="G638" s="17" t="s">
        <v>1009</v>
      </c>
      <c r="H638" s="17" t="s">
        <v>697</v>
      </c>
      <c r="I638" s="17">
        <v>2</v>
      </c>
      <c r="J638">
        <f t="shared" si="56"/>
        <v>-14.942373712992437</v>
      </c>
      <c r="K638" s="13">
        <v>1.05</v>
      </c>
      <c r="L638" s="13">
        <v>1.1000000000000001</v>
      </c>
      <c r="M638" s="13">
        <v>1</v>
      </c>
      <c r="N638" s="13">
        <v>1.02</v>
      </c>
      <c r="O638" s="13">
        <v>1.2</v>
      </c>
      <c r="P638" s="13">
        <v>1.2</v>
      </c>
      <c r="Q638">
        <v>3</v>
      </c>
      <c r="R638">
        <f t="shared" si="57"/>
        <v>0.5668526959223994</v>
      </c>
    </row>
    <row r="639" spans="1:19" hidden="1" x14ac:dyDescent="0.2">
      <c r="A639" s="17" t="s">
        <v>542</v>
      </c>
      <c r="B639" s="17">
        <f>B623*1.06</f>
        <v>54.908000000000001</v>
      </c>
      <c r="C639" s="17" t="s">
        <v>301</v>
      </c>
      <c r="D639" s="17" t="s">
        <v>92</v>
      </c>
      <c r="E639" s="21"/>
      <c r="F639" s="17" t="s">
        <v>86</v>
      </c>
      <c r="G639" s="17" t="s">
        <v>353</v>
      </c>
      <c r="H639" s="21" t="s">
        <v>724</v>
      </c>
      <c r="I639" s="17">
        <v>2</v>
      </c>
      <c r="J639">
        <f t="shared" si="56"/>
        <v>4.0056590573894129</v>
      </c>
      <c r="K639" s="13">
        <v>1.05</v>
      </c>
      <c r="L639" s="13">
        <v>1.1000000000000001</v>
      </c>
      <c r="M639" s="13">
        <v>1</v>
      </c>
      <c r="N639" s="13">
        <v>1.02</v>
      </c>
      <c r="O639" s="13">
        <v>1.2</v>
      </c>
      <c r="P639" s="13">
        <v>1.2</v>
      </c>
      <c r="Q639">
        <v>1.05</v>
      </c>
      <c r="R639">
        <f t="shared" si="57"/>
        <v>0.14205582952229279</v>
      </c>
    </row>
    <row r="640" spans="1:19" hidden="1" x14ac:dyDescent="0.2">
      <c r="A640" s="22" t="s">
        <v>721</v>
      </c>
      <c r="B640" s="25">
        <v>3.7000000000000002E-3</v>
      </c>
      <c r="C640" s="17" t="s">
        <v>85</v>
      </c>
      <c r="D640" s="17" t="s">
        <v>56</v>
      </c>
      <c r="E640" s="21"/>
      <c r="F640" s="17" t="s">
        <v>86</v>
      </c>
      <c r="G640" s="22" t="s">
        <v>722</v>
      </c>
      <c r="H640" s="21" t="s">
        <v>723</v>
      </c>
      <c r="I640" s="17">
        <v>2</v>
      </c>
      <c r="J640">
        <f t="shared" si="56"/>
        <v>-5.5994224593319579</v>
      </c>
      <c r="K640" s="13">
        <v>1.05</v>
      </c>
      <c r="L640" s="13">
        <v>1.1000000000000001</v>
      </c>
      <c r="M640" s="13">
        <v>1</v>
      </c>
      <c r="N640" s="13">
        <v>1.02</v>
      </c>
      <c r="O640" s="13">
        <v>1.2</v>
      </c>
      <c r="P640" s="13">
        <v>1.2</v>
      </c>
      <c r="Q640">
        <v>1.05</v>
      </c>
      <c r="R640">
        <f t="shared" si="57"/>
        <v>0.14205582952229279</v>
      </c>
    </row>
    <row r="641" spans="1:19" hidden="1" x14ac:dyDescent="0.2">
      <c r="A641" s="17" t="str">
        <f t="shared" ref="A641:B641" si="58">A625</f>
        <v>market for water, deionised</v>
      </c>
      <c r="B641" s="17">
        <f t="shared" si="58"/>
        <v>14</v>
      </c>
      <c r="C641" s="17" t="s">
        <v>96</v>
      </c>
      <c r="D641" s="17" t="s">
        <v>56</v>
      </c>
      <c r="F641" s="17" t="s">
        <v>86</v>
      </c>
      <c r="G641" s="17" t="s">
        <v>97</v>
      </c>
      <c r="H641" s="71" t="s">
        <v>1192</v>
      </c>
      <c r="I641" s="17">
        <v>2</v>
      </c>
      <c r="J641">
        <f t="shared" si="56"/>
        <v>2.6390573296152584</v>
      </c>
      <c r="K641" s="13">
        <v>1.05</v>
      </c>
      <c r="L641" s="13">
        <v>1.1000000000000001</v>
      </c>
      <c r="M641" s="13">
        <v>1</v>
      </c>
      <c r="N641" s="13">
        <v>1.02</v>
      </c>
      <c r="O641" s="13">
        <v>1.2</v>
      </c>
      <c r="P641" s="13">
        <v>1.2</v>
      </c>
      <c r="Q641">
        <v>1.05</v>
      </c>
      <c r="R641">
        <f t="shared" si="57"/>
        <v>0.14205582952229279</v>
      </c>
    </row>
    <row r="642" spans="1:19" hidden="1" x14ac:dyDescent="0.2">
      <c r="A642" s="17" t="str">
        <f t="shared" ref="A642:B642" si="59">A626</f>
        <v>Oxygen</v>
      </c>
      <c r="B642" s="17">
        <f t="shared" si="59"/>
        <v>8</v>
      </c>
      <c r="C642" s="27"/>
      <c r="D642" s="27" t="s">
        <v>56</v>
      </c>
      <c r="E642" s="27" t="s">
        <v>100</v>
      </c>
      <c r="F642" s="27" t="s">
        <v>99</v>
      </c>
      <c r="G642" s="27"/>
      <c r="H642" s="28"/>
      <c r="I642" s="17">
        <v>2</v>
      </c>
      <c r="J642">
        <f t="shared" si="56"/>
        <v>2.0794415416798357</v>
      </c>
      <c r="K642" s="13">
        <v>1.05</v>
      </c>
      <c r="L642" s="13">
        <v>1.1000000000000001</v>
      </c>
      <c r="M642" s="13">
        <v>1</v>
      </c>
      <c r="N642" s="13">
        <v>1.02</v>
      </c>
      <c r="O642" s="13">
        <v>1.2</v>
      </c>
      <c r="P642" s="13">
        <v>1.2</v>
      </c>
      <c r="Q642" s="13">
        <v>1.5</v>
      </c>
      <c r="R642">
        <f t="shared" si="57"/>
        <v>0.24634371748562628</v>
      </c>
    </row>
    <row r="643" spans="1:19" hidden="1" x14ac:dyDescent="0.2">
      <c r="B643" s="25"/>
      <c r="Q643" s="17"/>
    </row>
    <row r="644" spans="1:19" hidden="1" x14ac:dyDescent="0.2">
      <c r="A644" s="19" t="s">
        <v>50</v>
      </c>
      <c r="B644" s="20" t="s">
        <v>750</v>
      </c>
      <c r="Q644" s="17"/>
    </row>
    <row r="645" spans="1:19" hidden="1" x14ac:dyDescent="0.2">
      <c r="A645" s="22" t="s">
        <v>53</v>
      </c>
      <c r="B645" s="23">
        <v>1</v>
      </c>
      <c r="Q645" s="17"/>
    </row>
    <row r="646" spans="1:19" hidden="1" x14ac:dyDescent="0.2">
      <c r="A646" s="22" t="s">
        <v>51</v>
      </c>
      <c r="B646" s="23" t="s">
        <v>1189</v>
      </c>
      <c r="Q646" s="17"/>
    </row>
    <row r="647" spans="1:19" hidden="1" x14ac:dyDescent="0.2">
      <c r="A647" s="22" t="s">
        <v>54</v>
      </c>
      <c r="B647" s="25" t="s">
        <v>1008</v>
      </c>
      <c r="Q647" s="17"/>
    </row>
    <row r="648" spans="1:19" hidden="1" x14ac:dyDescent="0.2">
      <c r="A648" s="22" t="s">
        <v>52</v>
      </c>
      <c r="B648" s="23" t="s">
        <v>90</v>
      </c>
      <c r="Q648" s="17"/>
    </row>
    <row r="649" spans="1:19" hidden="1" x14ac:dyDescent="0.2">
      <c r="A649" s="22" t="s">
        <v>55</v>
      </c>
      <c r="B649" s="25" t="s">
        <v>55</v>
      </c>
      <c r="Q649" s="17"/>
    </row>
    <row r="650" spans="1:19" hidden="1" x14ac:dyDescent="0.2">
      <c r="A650" s="18" t="s">
        <v>57</v>
      </c>
      <c r="B650" s="20"/>
      <c r="C650" s="18"/>
      <c r="D650" s="18"/>
      <c r="E650" s="18"/>
      <c r="F650" s="18"/>
      <c r="G650" s="18"/>
      <c r="H650" s="18"/>
      <c r="I650" s="18"/>
      <c r="J650" s="18"/>
      <c r="Q650" s="17"/>
    </row>
    <row r="651" spans="1:19" hidden="1" x14ac:dyDescent="0.2">
      <c r="A651" s="18" t="s">
        <v>58</v>
      </c>
      <c r="B651" s="20" t="s">
        <v>59</v>
      </c>
      <c r="C651" s="18" t="s">
        <v>52</v>
      </c>
      <c r="D651" s="18" t="s">
        <v>55</v>
      </c>
      <c r="E651" s="60" t="s">
        <v>60</v>
      </c>
      <c r="F651" s="18" t="s">
        <v>61</v>
      </c>
      <c r="G651" s="18" t="s">
        <v>54</v>
      </c>
      <c r="H651" s="60" t="s">
        <v>51</v>
      </c>
      <c r="I651" s="18" t="s">
        <v>221</v>
      </c>
      <c r="J651" s="2" t="s">
        <v>379</v>
      </c>
      <c r="K651" s="62" t="s">
        <v>1059</v>
      </c>
      <c r="L651" s="62" t="s">
        <v>1060</v>
      </c>
      <c r="M651" s="62" t="s">
        <v>1061</v>
      </c>
      <c r="N651" s="62" t="s">
        <v>1062</v>
      </c>
      <c r="O651" s="62" t="s">
        <v>1063</v>
      </c>
      <c r="P651" s="62" t="s">
        <v>1064</v>
      </c>
      <c r="Q651" s="2" t="s">
        <v>1065</v>
      </c>
      <c r="R651" s="2" t="s">
        <v>380</v>
      </c>
      <c r="S651" s="18" t="s">
        <v>1128</v>
      </c>
    </row>
    <row r="652" spans="1:19" hidden="1" x14ac:dyDescent="0.2">
      <c r="A652" s="25" t="str">
        <f>B644</f>
        <v>electrolyzer production, 1MWe, AEC, Stack</v>
      </c>
      <c r="B652" s="25">
        <v>1</v>
      </c>
      <c r="C652" s="17" t="s">
        <v>90</v>
      </c>
      <c r="D652" s="17" t="str">
        <f>B649</f>
        <v>unit</v>
      </c>
      <c r="F652" s="17" t="s">
        <v>62</v>
      </c>
      <c r="G652" s="17" t="str">
        <f>B647</f>
        <v>electrolyzer, 1MWe, AEC, Stack</v>
      </c>
      <c r="Q652" s="17"/>
    </row>
    <row r="653" spans="1:19" hidden="1" x14ac:dyDescent="0.2">
      <c r="A653" s="17" t="s">
        <v>1285</v>
      </c>
      <c r="B653" s="31">
        <v>144.19999999999999</v>
      </c>
      <c r="C653" s="17" t="s">
        <v>85</v>
      </c>
      <c r="D653" s="17" t="s">
        <v>56</v>
      </c>
      <c r="F653" s="17" t="s">
        <v>86</v>
      </c>
      <c r="G653" s="17" t="s">
        <v>107</v>
      </c>
      <c r="H653" s="17" t="s">
        <v>693</v>
      </c>
      <c r="I653" s="17">
        <v>2</v>
      </c>
      <c r="J653">
        <f t="shared" ref="J653:J659" si="60">LN(B653)</f>
        <v>4.9712012248508488</v>
      </c>
      <c r="K653" s="13">
        <v>1.05</v>
      </c>
      <c r="L653" s="13">
        <v>1.1000000000000001</v>
      </c>
      <c r="M653" s="13">
        <v>1</v>
      </c>
      <c r="N653" s="13">
        <v>1.02</v>
      </c>
      <c r="O653" s="13">
        <v>1.2</v>
      </c>
      <c r="P653" s="13">
        <v>1.2</v>
      </c>
      <c r="Q653">
        <v>1.05</v>
      </c>
      <c r="R653">
        <f t="shared" ref="R653:R659" si="61">LN(SQRT(EXP(
SQRT(
+POWER(LN(K653),2)
+POWER(LN(L653),2)
+POWER(LN(M653),2)
+POWER(LN(N653),2)
+POWER(LN(O653),2)
+POWER(LN(P653),2)
+POWER(LN(Q653),2)
)
)))</f>
        <v>0.14205582952229279</v>
      </c>
    </row>
    <row r="654" spans="1:19" hidden="1" x14ac:dyDescent="0.2">
      <c r="A654" s="17" t="s">
        <v>223</v>
      </c>
      <c r="B654" s="31">
        <v>20194.400000000001</v>
      </c>
      <c r="C654" s="17" t="s">
        <v>85</v>
      </c>
      <c r="D654" s="17" t="s">
        <v>56</v>
      </c>
      <c r="F654" s="17" t="s">
        <v>86</v>
      </c>
      <c r="G654" s="17" t="s">
        <v>224</v>
      </c>
      <c r="H654" s="17" t="s">
        <v>702</v>
      </c>
      <c r="I654" s="17">
        <v>2</v>
      </c>
      <c r="J654">
        <f t="shared" si="60"/>
        <v>9.9131606172318154</v>
      </c>
      <c r="K654" s="13">
        <v>1.05</v>
      </c>
      <c r="L654" s="13">
        <v>1.1000000000000001</v>
      </c>
      <c r="M654" s="13">
        <v>1</v>
      </c>
      <c r="N654" s="13">
        <v>1.02</v>
      </c>
      <c r="O654" s="13">
        <v>1.2</v>
      </c>
      <c r="P654" s="13">
        <v>1.2</v>
      </c>
      <c r="Q654">
        <v>1.05</v>
      </c>
      <c r="R654">
        <f t="shared" si="61"/>
        <v>0.14205582952229279</v>
      </c>
    </row>
    <row r="655" spans="1:19" hidden="1" x14ac:dyDescent="0.2">
      <c r="A655" s="17" t="s">
        <v>103</v>
      </c>
      <c r="B655" s="31">
        <v>20194.400000000001</v>
      </c>
      <c r="C655" s="17" t="s">
        <v>85</v>
      </c>
      <c r="D655" s="17" t="s">
        <v>56</v>
      </c>
      <c r="F655" s="17" t="s">
        <v>86</v>
      </c>
      <c r="G655" s="17" t="s">
        <v>104</v>
      </c>
      <c r="H655" s="17" t="s">
        <v>702</v>
      </c>
      <c r="I655" s="17">
        <v>2</v>
      </c>
      <c r="J655">
        <f t="shared" si="60"/>
        <v>9.9131606172318154</v>
      </c>
      <c r="K655" s="13">
        <v>1.05</v>
      </c>
      <c r="L655" s="13">
        <v>1.1000000000000001</v>
      </c>
      <c r="M655" s="13">
        <v>1</v>
      </c>
      <c r="N655" s="13">
        <v>1.02</v>
      </c>
      <c r="O655" s="13">
        <v>1.2</v>
      </c>
      <c r="P655" s="13">
        <v>1.2</v>
      </c>
      <c r="Q655">
        <v>1.05</v>
      </c>
      <c r="R655">
        <f t="shared" si="61"/>
        <v>0.14205582952229279</v>
      </c>
    </row>
    <row r="656" spans="1:19" hidden="1" x14ac:dyDescent="0.2">
      <c r="A656" s="17" t="s">
        <v>342</v>
      </c>
      <c r="B656" s="31">
        <v>2884.9</v>
      </c>
      <c r="C656" s="17" t="s">
        <v>85</v>
      </c>
      <c r="D656" s="17" t="s">
        <v>56</v>
      </c>
      <c r="F656" s="17" t="s">
        <v>86</v>
      </c>
      <c r="G656" s="17" t="s">
        <v>343</v>
      </c>
      <c r="H656" s="17" t="s">
        <v>702</v>
      </c>
      <c r="I656" s="17">
        <v>2</v>
      </c>
      <c r="J656">
        <f t="shared" si="60"/>
        <v>7.9672455162963969</v>
      </c>
      <c r="K656" s="13">
        <v>1.05</v>
      </c>
      <c r="L656" s="13">
        <v>1.1000000000000001</v>
      </c>
      <c r="M656" s="13">
        <v>1</v>
      </c>
      <c r="N656" s="13">
        <v>1.02</v>
      </c>
      <c r="O656" s="13">
        <v>1.2</v>
      </c>
      <c r="P656" s="13">
        <v>1.2</v>
      </c>
      <c r="Q656">
        <v>1.05</v>
      </c>
      <c r="R656">
        <f t="shared" si="61"/>
        <v>0.14205582952229279</v>
      </c>
    </row>
    <row r="657" spans="1:19" hidden="1" x14ac:dyDescent="0.2">
      <c r="A657" s="17" t="s">
        <v>703</v>
      </c>
      <c r="B657" s="31">
        <v>48.8</v>
      </c>
      <c r="C657" s="17" t="s">
        <v>85</v>
      </c>
      <c r="D657" s="17" t="s">
        <v>56</v>
      </c>
      <c r="E657" s="21"/>
      <c r="F657" s="17" t="s">
        <v>86</v>
      </c>
      <c r="G657" s="21" t="s">
        <v>704</v>
      </c>
      <c r="H657" s="17" t="s">
        <v>707</v>
      </c>
      <c r="I657" s="17">
        <v>2</v>
      </c>
      <c r="J657">
        <f t="shared" si="60"/>
        <v>3.8877303128591016</v>
      </c>
      <c r="K657" s="13">
        <v>1.05</v>
      </c>
      <c r="L657" s="13">
        <v>1.1000000000000001</v>
      </c>
      <c r="M657" s="13">
        <v>1</v>
      </c>
      <c r="N657" s="13">
        <v>1.02</v>
      </c>
      <c r="O657" s="13">
        <v>1.2</v>
      </c>
      <c r="P657" s="13">
        <v>1.2</v>
      </c>
      <c r="Q657">
        <v>1.05</v>
      </c>
      <c r="R657">
        <f t="shared" si="61"/>
        <v>0.14205582952229279</v>
      </c>
    </row>
    <row r="658" spans="1:19" hidden="1" x14ac:dyDescent="0.2">
      <c r="A658" s="17" t="s">
        <v>705</v>
      </c>
      <c r="B658" s="31">
        <v>73</v>
      </c>
      <c r="C658" s="17" t="s">
        <v>85</v>
      </c>
      <c r="D658" s="17" t="s">
        <v>56</v>
      </c>
      <c r="E658" s="21"/>
      <c r="F658" s="17" t="s">
        <v>86</v>
      </c>
      <c r="G658" s="21" t="s">
        <v>706</v>
      </c>
      <c r="H658" s="17" t="s">
        <v>707</v>
      </c>
      <c r="I658" s="17">
        <v>2</v>
      </c>
      <c r="J658">
        <f t="shared" si="60"/>
        <v>4.290459441148391</v>
      </c>
      <c r="K658" s="13">
        <v>1.05</v>
      </c>
      <c r="L658" s="13">
        <v>1.1000000000000001</v>
      </c>
      <c r="M658" s="13">
        <v>1</v>
      </c>
      <c r="N658" s="13">
        <v>1.02</v>
      </c>
      <c r="O658" s="13">
        <v>1.2</v>
      </c>
      <c r="P658" s="13">
        <v>1.2</v>
      </c>
      <c r="Q658">
        <v>1.05</v>
      </c>
      <c r="R658">
        <f t="shared" si="61"/>
        <v>0.14205582952229279</v>
      </c>
    </row>
    <row r="659" spans="1:19" hidden="1" x14ac:dyDescent="0.2">
      <c r="A659" s="17" t="s">
        <v>91</v>
      </c>
      <c r="B659" s="31">
        <v>286659.90000000002</v>
      </c>
      <c r="C659" s="17" t="s">
        <v>85</v>
      </c>
      <c r="D659" s="17" t="s">
        <v>92</v>
      </c>
      <c r="E659" s="21"/>
      <c r="F659" s="17" t="s">
        <v>86</v>
      </c>
      <c r="G659" s="21" t="s">
        <v>93</v>
      </c>
      <c r="H659" s="17" t="s">
        <v>694</v>
      </c>
      <c r="I659" s="17">
        <v>2</v>
      </c>
      <c r="J659">
        <f t="shared" si="60"/>
        <v>12.566051774631823</v>
      </c>
      <c r="K659" s="13">
        <v>1.05</v>
      </c>
      <c r="L659" s="13">
        <v>1.1000000000000001</v>
      </c>
      <c r="M659" s="13">
        <v>1</v>
      </c>
      <c r="N659" s="13">
        <v>1.02</v>
      </c>
      <c r="O659" s="13">
        <v>1.2</v>
      </c>
      <c r="P659" s="13">
        <v>1.2</v>
      </c>
      <c r="Q659">
        <v>1.05</v>
      </c>
      <c r="R659">
        <f t="shared" si="61"/>
        <v>0.14205582952229279</v>
      </c>
    </row>
    <row r="660" spans="1:19" hidden="1" x14ac:dyDescent="0.2">
      <c r="B660" s="25"/>
      <c r="F660" s="21"/>
      <c r="G660" s="21"/>
      <c r="Q660" s="17"/>
    </row>
    <row r="661" spans="1:19" hidden="1" x14ac:dyDescent="0.2">
      <c r="A661" s="19" t="s">
        <v>50</v>
      </c>
      <c r="B661" s="20" t="s">
        <v>751</v>
      </c>
      <c r="K661" s="63"/>
      <c r="L661" s="64"/>
      <c r="Q661" s="17"/>
    </row>
    <row r="662" spans="1:19" hidden="1" x14ac:dyDescent="0.2">
      <c r="A662" s="22" t="s">
        <v>53</v>
      </c>
      <c r="B662" s="23">
        <v>1</v>
      </c>
      <c r="K662" s="65"/>
      <c r="L662" s="64"/>
      <c r="Q662" s="17"/>
    </row>
    <row r="663" spans="1:19" hidden="1" x14ac:dyDescent="0.2">
      <c r="A663" s="22" t="s">
        <v>51</v>
      </c>
      <c r="B663" s="23" t="s">
        <v>783</v>
      </c>
      <c r="L663" s="64"/>
      <c r="Q663" s="17"/>
    </row>
    <row r="664" spans="1:19" hidden="1" x14ac:dyDescent="0.2">
      <c r="A664" s="22" t="s">
        <v>54</v>
      </c>
      <c r="B664" s="25" t="s">
        <v>1009</v>
      </c>
      <c r="Q664" s="17"/>
    </row>
    <row r="665" spans="1:19" ht="16.25" hidden="1" customHeight="1" x14ac:dyDescent="0.2">
      <c r="A665" s="22" t="s">
        <v>52</v>
      </c>
      <c r="B665" s="23" t="s">
        <v>90</v>
      </c>
      <c r="Q665" s="17"/>
    </row>
    <row r="666" spans="1:19" hidden="1" x14ac:dyDescent="0.2">
      <c r="A666" s="22" t="s">
        <v>55</v>
      </c>
      <c r="B666" s="25" t="s">
        <v>55</v>
      </c>
      <c r="H666" s="18"/>
      <c r="I666" s="18"/>
      <c r="Q666" s="17"/>
    </row>
    <row r="667" spans="1:19" hidden="1" x14ac:dyDescent="0.2">
      <c r="A667" s="18" t="s">
        <v>57</v>
      </c>
      <c r="B667" s="20"/>
      <c r="C667" s="18"/>
      <c r="D667" s="18"/>
      <c r="E667" s="18"/>
      <c r="F667" s="18"/>
      <c r="G667" s="18"/>
      <c r="H667" s="21"/>
      <c r="I667" s="21"/>
      <c r="Q667" s="17"/>
    </row>
    <row r="668" spans="1:19" hidden="1" x14ac:dyDescent="0.2">
      <c r="A668" s="18" t="s">
        <v>58</v>
      </c>
      <c r="B668" s="20" t="s">
        <v>59</v>
      </c>
      <c r="C668" s="18" t="s">
        <v>52</v>
      </c>
      <c r="D668" s="18" t="s">
        <v>55</v>
      </c>
      <c r="E668" s="60" t="s">
        <v>60</v>
      </c>
      <c r="F668" s="18" t="s">
        <v>61</v>
      </c>
      <c r="G668" s="18" t="s">
        <v>54</v>
      </c>
      <c r="H668" s="60" t="s">
        <v>51</v>
      </c>
      <c r="I668" s="18" t="s">
        <v>221</v>
      </c>
      <c r="J668" s="2" t="s">
        <v>379</v>
      </c>
      <c r="K668" s="62" t="s">
        <v>1059</v>
      </c>
      <c r="L668" s="62" t="s">
        <v>1060</v>
      </c>
      <c r="M668" s="62" t="s">
        <v>1061</v>
      </c>
      <c r="N668" s="62" t="s">
        <v>1062</v>
      </c>
      <c r="O668" s="62" t="s">
        <v>1063</v>
      </c>
      <c r="P668" s="62" t="s">
        <v>1064</v>
      </c>
      <c r="Q668" s="2" t="s">
        <v>1065</v>
      </c>
      <c r="R668" s="2" t="s">
        <v>380</v>
      </c>
      <c r="S668" s="18" t="s">
        <v>1128</v>
      </c>
    </row>
    <row r="669" spans="1:19" hidden="1" x14ac:dyDescent="0.2">
      <c r="A669" s="25" t="str">
        <f>B661</f>
        <v>electrolyzer production, 1MWe, AEC, Balance of Plant</v>
      </c>
      <c r="B669" s="25">
        <v>1</v>
      </c>
      <c r="C669" s="17" t="s">
        <v>90</v>
      </c>
      <c r="D669" s="17" t="s">
        <v>55</v>
      </c>
      <c r="F669" s="17" t="s">
        <v>62</v>
      </c>
      <c r="G669" s="25" t="str">
        <f>B664</f>
        <v>electrolyzer, 1MWe, AEC, Balance of Plant</v>
      </c>
      <c r="H669" s="21"/>
      <c r="I669" s="21"/>
      <c r="J669" s="21"/>
      <c r="Q669" s="17"/>
    </row>
    <row r="670" spans="1:19" hidden="1" x14ac:dyDescent="0.2">
      <c r="A670" s="17" t="s">
        <v>101</v>
      </c>
      <c r="B670" s="25">
        <v>100</v>
      </c>
      <c r="C670" s="17" t="s">
        <v>85</v>
      </c>
      <c r="D670" s="17" t="s">
        <v>56</v>
      </c>
      <c r="F670" s="17" t="s">
        <v>86</v>
      </c>
      <c r="G670" s="17" t="s">
        <v>102</v>
      </c>
      <c r="H670" s="26" t="s">
        <v>665</v>
      </c>
      <c r="I670" s="17">
        <v>2</v>
      </c>
      <c r="J670">
        <f t="shared" ref="J670:J728" si="62">LN(B670)</f>
        <v>4.6051701859880918</v>
      </c>
      <c r="K670" s="13">
        <v>1.05</v>
      </c>
      <c r="L670" s="13">
        <v>1.1000000000000001</v>
      </c>
      <c r="M670" s="13">
        <v>1</v>
      </c>
      <c r="N670" s="13">
        <v>1.02</v>
      </c>
      <c r="O670" s="13">
        <v>1.2</v>
      </c>
      <c r="P670" s="13">
        <v>1.2</v>
      </c>
      <c r="Q670">
        <v>1.05</v>
      </c>
      <c r="R670">
        <f t="shared" ref="R670:R728" si="63">LN(SQRT(EXP(
SQRT(
+POWER(LN(K670),2)
+POWER(LN(L670),2)
+POWER(LN(M670),2)
+POWER(LN(N670),2)
+POWER(LN(O670),2)
+POWER(LN(P670),2)
+POWER(LN(Q670),2)
)
)))</f>
        <v>0.14205582952229279</v>
      </c>
    </row>
    <row r="671" spans="1:19" hidden="1" x14ac:dyDescent="0.2">
      <c r="A671" s="17" t="s">
        <v>454</v>
      </c>
      <c r="B671" s="25">
        <v>200</v>
      </c>
      <c r="C671" s="17" t="s">
        <v>85</v>
      </c>
      <c r="D671" s="17" t="s">
        <v>56</v>
      </c>
      <c r="F671" s="17" t="s">
        <v>86</v>
      </c>
      <c r="G671" s="17" t="s">
        <v>455</v>
      </c>
      <c r="H671" s="26" t="s">
        <v>665</v>
      </c>
      <c r="I671" s="17">
        <v>2</v>
      </c>
      <c r="J671">
        <f t="shared" si="62"/>
        <v>5.2983173665480363</v>
      </c>
      <c r="K671" s="13">
        <v>1.05</v>
      </c>
      <c r="L671" s="13">
        <v>1.1000000000000001</v>
      </c>
      <c r="M671" s="13">
        <v>1</v>
      </c>
      <c r="N671" s="13">
        <v>1.02</v>
      </c>
      <c r="O671" s="13">
        <v>1.2</v>
      </c>
      <c r="P671" s="13">
        <v>1.2</v>
      </c>
      <c r="Q671">
        <v>1.05</v>
      </c>
      <c r="R671">
        <f t="shared" si="63"/>
        <v>0.14205582952229279</v>
      </c>
    </row>
    <row r="672" spans="1:19" hidden="1" x14ac:dyDescent="0.2">
      <c r="A672" s="17" t="s">
        <v>447</v>
      </c>
      <c r="B672" s="25">
        <v>600</v>
      </c>
      <c r="C672" s="17" t="s">
        <v>85</v>
      </c>
      <c r="D672" s="17" t="s">
        <v>56</v>
      </c>
      <c r="F672" s="17" t="s">
        <v>86</v>
      </c>
      <c r="G672" s="17" t="s">
        <v>124</v>
      </c>
      <c r="H672" s="26" t="s">
        <v>665</v>
      </c>
      <c r="I672" s="17">
        <v>2</v>
      </c>
      <c r="J672">
        <f t="shared" si="62"/>
        <v>6.3969296552161463</v>
      </c>
      <c r="K672" s="13">
        <v>1.05</v>
      </c>
      <c r="L672" s="13">
        <v>1.1000000000000001</v>
      </c>
      <c r="M672" s="13">
        <v>1</v>
      </c>
      <c r="N672" s="13">
        <v>1.02</v>
      </c>
      <c r="O672" s="13">
        <v>1.2</v>
      </c>
      <c r="P672" s="13">
        <v>1.2</v>
      </c>
      <c r="Q672">
        <v>1.05</v>
      </c>
      <c r="R672">
        <f t="shared" si="63"/>
        <v>0.14205582952229279</v>
      </c>
    </row>
    <row r="673" spans="1:18" hidden="1" x14ac:dyDescent="0.2">
      <c r="A673" s="17" t="s">
        <v>222</v>
      </c>
      <c r="B673" s="25">
        <v>100</v>
      </c>
      <c r="C673" s="17" t="s">
        <v>85</v>
      </c>
      <c r="D673" s="17" t="s">
        <v>56</v>
      </c>
      <c r="F673" s="17" t="s">
        <v>86</v>
      </c>
      <c r="G673" s="17" t="s">
        <v>125</v>
      </c>
      <c r="H673" s="26" t="s">
        <v>665</v>
      </c>
      <c r="I673" s="17">
        <v>2</v>
      </c>
      <c r="J673">
        <f t="shared" si="62"/>
        <v>4.6051701859880918</v>
      </c>
      <c r="K673" s="13">
        <v>1.05</v>
      </c>
      <c r="L673" s="13">
        <v>1.1000000000000001</v>
      </c>
      <c r="M673" s="13">
        <v>1</v>
      </c>
      <c r="N673" s="13">
        <v>1.02</v>
      </c>
      <c r="O673" s="13">
        <v>1.2</v>
      </c>
      <c r="P673" s="13">
        <v>1.2</v>
      </c>
      <c r="Q673">
        <v>1.05</v>
      </c>
      <c r="R673">
        <f t="shared" si="63"/>
        <v>0.14205582952229279</v>
      </c>
    </row>
    <row r="674" spans="1:18" hidden="1" x14ac:dyDescent="0.2">
      <c r="A674" s="17" t="s">
        <v>228</v>
      </c>
      <c r="B674" s="25">
        <v>600</v>
      </c>
      <c r="C674" s="17" t="s">
        <v>85</v>
      </c>
      <c r="D674" s="17" t="s">
        <v>56</v>
      </c>
      <c r="F674" s="17" t="s">
        <v>86</v>
      </c>
      <c r="G674" s="17" t="s">
        <v>126</v>
      </c>
      <c r="H674" s="26" t="s">
        <v>665</v>
      </c>
      <c r="I674" s="17">
        <v>2</v>
      </c>
      <c r="J674">
        <f t="shared" si="62"/>
        <v>6.3969296552161463</v>
      </c>
      <c r="K674" s="13">
        <v>1.05</v>
      </c>
      <c r="L674" s="13">
        <v>1.1000000000000001</v>
      </c>
      <c r="M674" s="13">
        <v>1</v>
      </c>
      <c r="N674" s="13">
        <v>1.02</v>
      </c>
      <c r="O674" s="13">
        <v>1.2</v>
      </c>
      <c r="P674" s="13">
        <v>1.2</v>
      </c>
      <c r="Q674">
        <v>1.05</v>
      </c>
      <c r="R674">
        <f t="shared" si="63"/>
        <v>0.14205582952229279</v>
      </c>
    </row>
    <row r="675" spans="1:18" hidden="1" x14ac:dyDescent="0.2">
      <c r="A675" s="17" t="s">
        <v>523</v>
      </c>
      <c r="B675" s="25">
        <v>100</v>
      </c>
      <c r="C675" s="17" t="s">
        <v>85</v>
      </c>
      <c r="D675" s="17" t="s">
        <v>56</v>
      </c>
      <c r="F675" s="17" t="s">
        <v>86</v>
      </c>
      <c r="G675" s="17" t="s">
        <v>127</v>
      </c>
      <c r="H675" s="26" t="s">
        <v>665</v>
      </c>
      <c r="I675" s="17">
        <v>2</v>
      </c>
      <c r="J675">
        <f t="shared" si="62"/>
        <v>4.6051701859880918</v>
      </c>
      <c r="K675" s="13">
        <v>1.05</v>
      </c>
      <c r="L675" s="13">
        <v>1.1000000000000001</v>
      </c>
      <c r="M675" s="13">
        <v>1</v>
      </c>
      <c r="N675" s="13">
        <v>1.02</v>
      </c>
      <c r="O675" s="13">
        <v>1.2</v>
      </c>
      <c r="P675" s="13">
        <v>1.2</v>
      </c>
      <c r="Q675">
        <v>1.05</v>
      </c>
      <c r="R675">
        <f t="shared" si="63"/>
        <v>0.14205582952229279</v>
      </c>
    </row>
    <row r="676" spans="1:18" hidden="1" x14ac:dyDescent="0.2">
      <c r="A676" s="17" t="s">
        <v>718</v>
      </c>
      <c r="B676" s="25">
        <v>200</v>
      </c>
      <c r="C676" s="17" t="s">
        <v>85</v>
      </c>
      <c r="D676" s="17" t="s">
        <v>56</v>
      </c>
      <c r="F676" s="17" t="s">
        <v>86</v>
      </c>
      <c r="G676" s="17" t="s">
        <v>128</v>
      </c>
      <c r="H676" s="26" t="s">
        <v>665</v>
      </c>
      <c r="I676" s="17">
        <v>2</v>
      </c>
      <c r="J676">
        <f t="shared" si="62"/>
        <v>5.2983173665480363</v>
      </c>
      <c r="K676" s="13">
        <v>1.05</v>
      </c>
      <c r="L676" s="13">
        <v>1.1000000000000001</v>
      </c>
      <c r="M676" s="13">
        <v>1</v>
      </c>
      <c r="N676" s="13">
        <v>1.02</v>
      </c>
      <c r="O676" s="13">
        <v>1.2</v>
      </c>
      <c r="P676" s="13">
        <v>1.2</v>
      </c>
      <c r="Q676">
        <v>1.05</v>
      </c>
      <c r="R676">
        <f t="shared" si="63"/>
        <v>0.14205582952229279</v>
      </c>
    </row>
    <row r="677" spans="1:18" hidden="1" x14ac:dyDescent="0.2">
      <c r="A677" s="17" t="s">
        <v>118</v>
      </c>
      <c r="B677" s="25">
        <v>100</v>
      </c>
      <c r="C677" s="17" t="s">
        <v>85</v>
      </c>
      <c r="D677" s="17" t="s">
        <v>56</v>
      </c>
      <c r="F677" s="17" t="s">
        <v>86</v>
      </c>
      <c r="G677" s="17" t="s">
        <v>119</v>
      </c>
      <c r="H677" s="21" t="s">
        <v>666</v>
      </c>
      <c r="I677" s="17">
        <v>2</v>
      </c>
      <c r="J677">
        <f t="shared" si="62"/>
        <v>4.6051701859880918</v>
      </c>
      <c r="K677" s="13">
        <v>1.05</v>
      </c>
      <c r="L677" s="13">
        <v>1.1000000000000001</v>
      </c>
      <c r="M677" s="13">
        <v>1</v>
      </c>
      <c r="N677" s="13">
        <v>1.02</v>
      </c>
      <c r="O677" s="13">
        <v>1.2</v>
      </c>
      <c r="P677" s="13">
        <v>1.2</v>
      </c>
      <c r="Q677">
        <v>1.05</v>
      </c>
      <c r="R677">
        <f t="shared" si="63"/>
        <v>0.14205582952229279</v>
      </c>
    </row>
    <row r="678" spans="1:18" hidden="1" x14ac:dyDescent="0.2">
      <c r="A678" s="17" t="s">
        <v>708</v>
      </c>
      <c r="B678" s="25">
        <v>464.6</v>
      </c>
      <c r="C678" s="17" t="s">
        <v>85</v>
      </c>
      <c r="D678" s="17" t="s">
        <v>56</v>
      </c>
      <c r="F678" s="17" t="s">
        <v>86</v>
      </c>
      <c r="G678" s="17" t="s">
        <v>709</v>
      </c>
      <c r="H678" s="21" t="s">
        <v>710</v>
      </c>
      <c r="I678" s="17">
        <v>2</v>
      </c>
      <c r="J678">
        <f t="shared" si="62"/>
        <v>6.1411768203363089</v>
      </c>
      <c r="K678" s="13">
        <v>1.05</v>
      </c>
      <c r="L678" s="13">
        <v>1.1000000000000001</v>
      </c>
      <c r="M678" s="13">
        <v>1</v>
      </c>
      <c r="N678" s="13">
        <v>1.02</v>
      </c>
      <c r="O678" s="13">
        <v>1.2</v>
      </c>
      <c r="P678" s="13">
        <v>1.2</v>
      </c>
      <c r="Q678">
        <v>1.05</v>
      </c>
      <c r="R678">
        <f t="shared" si="63"/>
        <v>0.14205582952229279</v>
      </c>
    </row>
    <row r="679" spans="1:18" hidden="1" x14ac:dyDescent="0.2">
      <c r="A679" s="17" t="s">
        <v>447</v>
      </c>
      <c r="B679" s="25">
        <v>696.8</v>
      </c>
      <c r="C679" s="17" t="s">
        <v>85</v>
      </c>
      <c r="D679" s="17" t="s">
        <v>56</v>
      </c>
      <c r="F679" s="17" t="s">
        <v>86</v>
      </c>
      <c r="G679" s="17" t="s">
        <v>124</v>
      </c>
      <c r="H679" s="21" t="s">
        <v>710</v>
      </c>
      <c r="I679" s="17">
        <v>2</v>
      </c>
      <c r="J679">
        <f t="shared" si="62"/>
        <v>6.5464984255382932</v>
      </c>
      <c r="K679" s="13">
        <v>1.05</v>
      </c>
      <c r="L679" s="13">
        <v>1.1000000000000001</v>
      </c>
      <c r="M679" s="13">
        <v>1</v>
      </c>
      <c r="N679" s="13">
        <v>1.02</v>
      </c>
      <c r="O679" s="13">
        <v>1.2</v>
      </c>
      <c r="P679" s="13">
        <v>1.2</v>
      </c>
      <c r="Q679">
        <v>1.05</v>
      </c>
      <c r="R679">
        <f t="shared" si="63"/>
        <v>0.14205582952229279</v>
      </c>
    </row>
    <row r="680" spans="1:18" hidden="1" x14ac:dyDescent="0.2">
      <c r="A680" s="17" t="s">
        <v>228</v>
      </c>
      <c r="B680" s="25">
        <v>696.8</v>
      </c>
      <c r="C680" s="17" t="s">
        <v>85</v>
      </c>
      <c r="D680" s="17" t="s">
        <v>56</v>
      </c>
      <c r="F680" s="17" t="s">
        <v>86</v>
      </c>
      <c r="G680" s="17" t="s">
        <v>126</v>
      </c>
      <c r="H680" s="21" t="s">
        <v>710</v>
      </c>
      <c r="I680" s="17">
        <v>2</v>
      </c>
      <c r="J680">
        <f t="shared" si="62"/>
        <v>6.5464984255382932</v>
      </c>
      <c r="K680" s="13">
        <v>1.05</v>
      </c>
      <c r="L680" s="13">
        <v>1.1000000000000001</v>
      </c>
      <c r="M680" s="13">
        <v>1</v>
      </c>
      <c r="N680" s="13">
        <v>1.02</v>
      </c>
      <c r="O680" s="13">
        <v>1.2</v>
      </c>
      <c r="P680" s="13">
        <v>1.2</v>
      </c>
      <c r="Q680">
        <v>1.05</v>
      </c>
      <c r="R680">
        <f t="shared" si="63"/>
        <v>0.14205582952229279</v>
      </c>
    </row>
    <row r="681" spans="1:18" hidden="1" x14ac:dyDescent="0.2">
      <c r="A681" s="17" t="s">
        <v>223</v>
      </c>
      <c r="B681" s="25">
        <v>232.3</v>
      </c>
      <c r="C681" s="17" t="s">
        <v>85</v>
      </c>
      <c r="D681" s="17" t="s">
        <v>56</v>
      </c>
      <c r="F681" s="17" t="s">
        <v>86</v>
      </c>
      <c r="G681" s="17" t="s">
        <v>224</v>
      </c>
      <c r="H681" s="21" t="s">
        <v>710</v>
      </c>
      <c r="I681" s="17">
        <v>2</v>
      </c>
      <c r="J681">
        <f t="shared" si="62"/>
        <v>5.4480296397763635</v>
      </c>
      <c r="K681" s="13">
        <v>1.05</v>
      </c>
      <c r="L681" s="13">
        <v>1.1000000000000001</v>
      </c>
      <c r="M681" s="13">
        <v>1</v>
      </c>
      <c r="N681" s="13">
        <v>1.02</v>
      </c>
      <c r="O681" s="13">
        <v>1.2</v>
      </c>
      <c r="P681" s="13">
        <v>1.2</v>
      </c>
      <c r="Q681">
        <v>1.05</v>
      </c>
      <c r="R681">
        <f t="shared" si="63"/>
        <v>0.14205582952229279</v>
      </c>
    </row>
    <row r="682" spans="1:18" hidden="1" x14ac:dyDescent="0.2">
      <c r="A682" s="17" t="s">
        <v>103</v>
      </c>
      <c r="B682" s="25">
        <v>232.3</v>
      </c>
      <c r="C682" s="17" t="s">
        <v>85</v>
      </c>
      <c r="D682" s="17" t="s">
        <v>56</v>
      </c>
      <c r="F682" s="17" t="s">
        <v>86</v>
      </c>
      <c r="G682" s="17" t="s">
        <v>104</v>
      </c>
      <c r="H682" s="21" t="s">
        <v>710</v>
      </c>
      <c r="I682" s="17">
        <v>2</v>
      </c>
      <c r="J682">
        <f t="shared" si="62"/>
        <v>5.4480296397763635</v>
      </c>
      <c r="K682" s="13">
        <v>1.05</v>
      </c>
      <c r="L682" s="13">
        <v>1.1000000000000001</v>
      </c>
      <c r="M682" s="13">
        <v>1</v>
      </c>
      <c r="N682" s="13">
        <v>1.02</v>
      </c>
      <c r="O682" s="13">
        <v>1.2</v>
      </c>
      <c r="P682" s="13">
        <v>1.2</v>
      </c>
      <c r="Q682">
        <v>1.05</v>
      </c>
      <c r="R682">
        <f t="shared" si="63"/>
        <v>0.14205582952229279</v>
      </c>
    </row>
    <row r="683" spans="1:18" hidden="1" x14ac:dyDescent="0.2">
      <c r="A683" s="17" t="s">
        <v>579</v>
      </c>
      <c r="B683" s="25">
        <v>464.6</v>
      </c>
      <c r="C683" s="17" t="s">
        <v>90</v>
      </c>
      <c r="D683" s="17" t="s">
        <v>56</v>
      </c>
      <c r="F683" s="17" t="s">
        <v>86</v>
      </c>
      <c r="G683" s="17" t="s">
        <v>579</v>
      </c>
      <c r="H683" s="21" t="s">
        <v>675</v>
      </c>
      <c r="I683" s="17">
        <v>2</v>
      </c>
      <c r="J683">
        <f t="shared" si="62"/>
        <v>6.1411768203363089</v>
      </c>
      <c r="K683" s="13">
        <v>1.05</v>
      </c>
      <c r="L683" s="13">
        <v>1.1000000000000001</v>
      </c>
      <c r="M683" s="13">
        <v>1</v>
      </c>
      <c r="N683" s="13">
        <v>1.02</v>
      </c>
      <c r="O683" s="13">
        <v>1.2</v>
      </c>
      <c r="P683" s="13">
        <v>1.2</v>
      </c>
      <c r="Q683">
        <v>1.05</v>
      </c>
      <c r="R683">
        <f t="shared" si="63"/>
        <v>0.14205582952229279</v>
      </c>
    </row>
    <row r="684" spans="1:18" hidden="1" x14ac:dyDescent="0.2">
      <c r="A684" s="17" t="s">
        <v>771</v>
      </c>
      <c r="B684" s="25">
        <v>464.6</v>
      </c>
      <c r="C684" s="17" t="s">
        <v>85</v>
      </c>
      <c r="D684" s="17" t="s">
        <v>56</v>
      </c>
      <c r="F684" s="17" t="s">
        <v>86</v>
      </c>
      <c r="G684" s="17" t="s">
        <v>682</v>
      </c>
      <c r="H684" s="21" t="s">
        <v>675</v>
      </c>
      <c r="I684" s="17">
        <v>2</v>
      </c>
      <c r="J684">
        <f t="shared" si="62"/>
        <v>6.1411768203363089</v>
      </c>
      <c r="K684" s="13">
        <v>1.05</v>
      </c>
      <c r="L684" s="13">
        <v>1.1000000000000001</v>
      </c>
      <c r="M684" s="13">
        <v>1</v>
      </c>
      <c r="N684" s="13">
        <v>1.02</v>
      </c>
      <c r="O684" s="13">
        <v>1.2</v>
      </c>
      <c r="P684" s="13">
        <v>1.2</v>
      </c>
      <c r="Q684">
        <v>1.05</v>
      </c>
      <c r="R684">
        <f t="shared" si="63"/>
        <v>0.14205582952229279</v>
      </c>
    </row>
    <row r="685" spans="1:18" hidden="1" x14ac:dyDescent="0.2">
      <c r="A685" s="17" t="s">
        <v>447</v>
      </c>
      <c r="B685" s="25">
        <v>232.3</v>
      </c>
      <c r="C685" s="17" t="s">
        <v>85</v>
      </c>
      <c r="D685" s="17" t="s">
        <v>56</v>
      </c>
      <c r="F685" s="17" t="s">
        <v>86</v>
      </c>
      <c r="G685" s="17" t="s">
        <v>124</v>
      </c>
      <c r="H685" s="21" t="s">
        <v>675</v>
      </c>
      <c r="I685" s="17">
        <v>2</v>
      </c>
      <c r="J685">
        <f t="shared" si="62"/>
        <v>5.4480296397763635</v>
      </c>
      <c r="K685" s="13">
        <v>1.05</v>
      </c>
      <c r="L685" s="13">
        <v>1.1000000000000001</v>
      </c>
      <c r="M685" s="13">
        <v>1</v>
      </c>
      <c r="N685" s="13">
        <v>1.02</v>
      </c>
      <c r="O685" s="13">
        <v>1.2</v>
      </c>
      <c r="P685" s="13">
        <v>1.2</v>
      </c>
      <c r="Q685">
        <v>1.05</v>
      </c>
      <c r="R685">
        <f t="shared" si="63"/>
        <v>0.14205582952229279</v>
      </c>
    </row>
    <row r="686" spans="1:18" hidden="1" x14ac:dyDescent="0.2">
      <c r="A686" s="17" t="s">
        <v>228</v>
      </c>
      <c r="B686" s="25">
        <v>232.3</v>
      </c>
      <c r="C686" s="17" t="s">
        <v>85</v>
      </c>
      <c r="D686" s="17" t="s">
        <v>56</v>
      </c>
      <c r="F686" s="17" t="s">
        <v>86</v>
      </c>
      <c r="G686" s="17" t="s">
        <v>126</v>
      </c>
      <c r="H686" s="21" t="s">
        <v>675</v>
      </c>
      <c r="I686" s="17">
        <v>2</v>
      </c>
      <c r="J686">
        <f t="shared" si="62"/>
        <v>5.4480296397763635</v>
      </c>
      <c r="K686" s="13">
        <v>1.05</v>
      </c>
      <c r="L686" s="13">
        <v>1.1000000000000001</v>
      </c>
      <c r="M686" s="13">
        <v>1</v>
      </c>
      <c r="N686" s="13">
        <v>1.02</v>
      </c>
      <c r="O686" s="13">
        <v>1.2</v>
      </c>
      <c r="P686" s="13">
        <v>1.2</v>
      </c>
      <c r="Q686">
        <v>1.05</v>
      </c>
      <c r="R686">
        <f t="shared" si="63"/>
        <v>0.14205582952229279</v>
      </c>
    </row>
    <row r="687" spans="1:18" hidden="1" x14ac:dyDescent="0.2">
      <c r="A687" s="17" t="s">
        <v>101</v>
      </c>
      <c r="B687" s="25">
        <v>60</v>
      </c>
      <c r="C687" s="17" t="s">
        <v>85</v>
      </c>
      <c r="D687" s="17" t="s">
        <v>56</v>
      </c>
      <c r="F687" s="17" t="s">
        <v>86</v>
      </c>
      <c r="G687" s="17" t="s">
        <v>102</v>
      </c>
      <c r="H687" s="21" t="s">
        <v>676</v>
      </c>
      <c r="I687" s="17">
        <v>2</v>
      </c>
      <c r="J687">
        <f t="shared" si="62"/>
        <v>4.0943445622221004</v>
      </c>
      <c r="K687" s="13">
        <v>1.05</v>
      </c>
      <c r="L687" s="13">
        <v>1.1000000000000001</v>
      </c>
      <c r="M687" s="13">
        <v>1</v>
      </c>
      <c r="N687" s="13">
        <v>1.02</v>
      </c>
      <c r="O687" s="13">
        <v>1.2</v>
      </c>
      <c r="P687" s="13">
        <v>1.2</v>
      </c>
      <c r="Q687">
        <v>1.05</v>
      </c>
      <c r="R687">
        <f t="shared" si="63"/>
        <v>0.14205582952229279</v>
      </c>
    </row>
    <row r="688" spans="1:18" hidden="1" x14ac:dyDescent="0.2">
      <c r="A688" s="17" t="s">
        <v>454</v>
      </c>
      <c r="B688" s="25">
        <v>45</v>
      </c>
      <c r="C688" s="17" t="s">
        <v>85</v>
      </c>
      <c r="D688" s="17" t="s">
        <v>56</v>
      </c>
      <c r="F688" s="17" t="s">
        <v>86</v>
      </c>
      <c r="G688" s="17" t="s">
        <v>455</v>
      </c>
      <c r="H688" s="21" t="s">
        <v>676</v>
      </c>
      <c r="I688" s="17">
        <v>2</v>
      </c>
      <c r="J688">
        <f t="shared" si="62"/>
        <v>3.8066624897703196</v>
      </c>
      <c r="K688" s="13">
        <v>1.05</v>
      </c>
      <c r="L688" s="13">
        <v>1.1000000000000001</v>
      </c>
      <c r="M688" s="13">
        <v>1</v>
      </c>
      <c r="N688" s="13">
        <v>1.02</v>
      </c>
      <c r="O688" s="13">
        <v>1.2</v>
      </c>
      <c r="P688" s="13">
        <v>1.2</v>
      </c>
      <c r="Q688">
        <v>1.05</v>
      </c>
      <c r="R688">
        <f t="shared" si="63"/>
        <v>0.14205582952229279</v>
      </c>
    </row>
    <row r="689" spans="1:18" hidden="1" x14ac:dyDescent="0.2">
      <c r="A689" s="17" t="s">
        <v>447</v>
      </c>
      <c r="B689" s="25">
        <v>180</v>
      </c>
      <c r="C689" s="17" t="s">
        <v>85</v>
      </c>
      <c r="D689" s="17" t="s">
        <v>56</v>
      </c>
      <c r="F689" s="17" t="s">
        <v>86</v>
      </c>
      <c r="G689" s="17" t="s">
        <v>124</v>
      </c>
      <c r="H689" s="21" t="s">
        <v>676</v>
      </c>
      <c r="I689" s="17">
        <v>2</v>
      </c>
      <c r="J689">
        <f t="shared" si="62"/>
        <v>5.1929568508902104</v>
      </c>
      <c r="K689" s="13">
        <v>1.05</v>
      </c>
      <c r="L689" s="13">
        <v>1.1000000000000001</v>
      </c>
      <c r="M689" s="13">
        <v>1</v>
      </c>
      <c r="N689" s="13">
        <v>1.02</v>
      </c>
      <c r="O689" s="13">
        <v>1.2</v>
      </c>
      <c r="P689" s="13">
        <v>1.2</v>
      </c>
      <c r="Q689">
        <v>1.05</v>
      </c>
      <c r="R689">
        <f t="shared" si="63"/>
        <v>0.14205582952229279</v>
      </c>
    </row>
    <row r="690" spans="1:18" hidden="1" x14ac:dyDescent="0.2">
      <c r="A690" s="17" t="s">
        <v>523</v>
      </c>
      <c r="B690" s="25">
        <v>15</v>
      </c>
      <c r="C690" s="17" t="s">
        <v>85</v>
      </c>
      <c r="D690" s="17" t="s">
        <v>56</v>
      </c>
      <c r="F690" s="17" t="s">
        <v>86</v>
      </c>
      <c r="G690" s="17" t="s">
        <v>127</v>
      </c>
      <c r="H690" s="21" t="s">
        <v>676</v>
      </c>
      <c r="I690" s="17">
        <v>2</v>
      </c>
      <c r="J690">
        <f t="shared" si="62"/>
        <v>2.7080502011022101</v>
      </c>
      <c r="K690" s="13">
        <v>1.05</v>
      </c>
      <c r="L690" s="13">
        <v>1.1000000000000001</v>
      </c>
      <c r="M690" s="13">
        <v>1</v>
      </c>
      <c r="N690" s="13">
        <v>1.02</v>
      </c>
      <c r="O690" s="13">
        <v>1.2</v>
      </c>
      <c r="P690" s="13">
        <v>1.2</v>
      </c>
      <c r="Q690">
        <v>1.05</v>
      </c>
      <c r="R690">
        <f t="shared" si="63"/>
        <v>0.14205582952229279</v>
      </c>
    </row>
    <row r="691" spans="1:18" hidden="1" x14ac:dyDescent="0.2">
      <c r="A691" s="17" t="s">
        <v>718</v>
      </c>
      <c r="B691" s="25">
        <v>45</v>
      </c>
      <c r="C691" s="17" t="s">
        <v>85</v>
      </c>
      <c r="D691" s="17" t="s">
        <v>56</v>
      </c>
      <c r="F691" s="17" t="s">
        <v>86</v>
      </c>
      <c r="G691" s="17" t="s">
        <v>128</v>
      </c>
      <c r="H691" s="21" t="s">
        <v>676</v>
      </c>
      <c r="I691" s="17">
        <v>2</v>
      </c>
      <c r="J691">
        <f t="shared" si="62"/>
        <v>3.8066624897703196</v>
      </c>
      <c r="K691" s="13">
        <v>1.05</v>
      </c>
      <c r="L691" s="13">
        <v>1.1000000000000001</v>
      </c>
      <c r="M691" s="13">
        <v>1</v>
      </c>
      <c r="N691" s="13">
        <v>1.02</v>
      </c>
      <c r="O691" s="13">
        <v>1.2</v>
      </c>
      <c r="P691" s="13">
        <v>1.2</v>
      </c>
      <c r="Q691">
        <v>1.05</v>
      </c>
      <c r="R691">
        <f t="shared" si="63"/>
        <v>0.14205582952229279</v>
      </c>
    </row>
    <row r="692" spans="1:18" hidden="1" x14ac:dyDescent="0.2">
      <c r="A692" s="17" t="s">
        <v>425</v>
      </c>
      <c r="B692" s="25">
        <v>600</v>
      </c>
      <c r="C692" s="17" t="s">
        <v>85</v>
      </c>
      <c r="D692" s="17" t="s">
        <v>56</v>
      </c>
      <c r="F692" s="17" t="s">
        <v>86</v>
      </c>
      <c r="G692" s="17" t="s">
        <v>426</v>
      </c>
      <c r="H692" s="21" t="s">
        <v>677</v>
      </c>
      <c r="I692" s="17">
        <v>2</v>
      </c>
      <c r="J692">
        <f t="shared" si="62"/>
        <v>6.3969296552161463</v>
      </c>
      <c r="K692" s="13">
        <v>1.05</v>
      </c>
      <c r="L692" s="13">
        <v>1.1000000000000001</v>
      </c>
      <c r="M692" s="13">
        <v>1</v>
      </c>
      <c r="N692" s="13">
        <v>1.02</v>
      </c>
      <c r="O692" s="13">
        <v>1.2</v>
      </c>
      <c r="P692" s="13">
        <v>1.2</v>
      </c>
      <c r="Q692">
        <v>1.05</v>
      </c>
      <c r="R692">
        <f t="shared" si="63"/>
        <v>0.14205582952229279</v>
      </c>
    </row>
    <row r="693" spans="1:18" hidden="1" x14ac:dyDescent="0.2">
      <c r="A693" s="17" t="s">
        <v>583</v>
      </c>
      <c r="B693" s="25">
        <v>7</v>
      </c>
      <c r="C693" s="17" t="s">
        <v>85</v>
      </c>
      <c r="D693" s="17" t="s">
        <v>56</v>
      </c>
      <c r="F693" s="17" t="s">
        <v>86</v>
      </c>
      <c r="G693" s="17" t="s">
        <v>246</v>
      </c>
      <c r="H693" s="21" t="s">
        <v>677</v>
      </c>
      <c r="I693" s="17">
        <v>2</v>
      </c>
      <c r="J693">
        <f t="shared" si="62"/>
        <v>1.9459101490553132</v>
      </c>
      <c r="K693" s="13">
        <v>1.05</v>
      </c>
      <c r="L693" s="13">
        <v>1.1000000000000001</v>
      </c>
      <c r="M693" s="13">
        <v>1</v>
      </c>
      <c r="N693" s="13">
        <v>1.02</v>
      </c>
      <c r="O693" s="13">
        <v>1.2</v>
      </c>
      <c r="P693" s="13">
        <v>1.2</v>
      </c>
      <c r="Q693">
        <v>1.05</v>
      </c>
      <c r="R693">
        <f t="shared" si="63"/>
        <v>0.14205582952229279</v>
      </c>
    </row>
    <row r="694" spans="1:18" hidden="1" x14ac:dyDescent="0.2">
      <c r="A694" s="17" t="s">
        <v>447</v>
      </c>
      <c r="B694" s="25">
        <v>1300</v>
      </c>
      <c r="C694" s="17" t="s">
        <v>85</v>
      </c>
      <c r="D694" s="17" t="s">
        <v>56</v>
      </c>
      <c r="F694" s="17" t="s">
        <v>86</v>
      </c>
      <c r="G694" s="17" t="s">
        <v>124</v>
      </c>
      <c r="H694" s="21" t="s">
        <v>677</v>
      </c>
      <c r="I694" s="17">
        <v>2</v>
      </c>
      <c r="J694">
        <f t="shared" si="62"/>
        <v>7.1701195434496281</v>
      </c>
      <c r="K694" s="13">
        <v>1.05</v>
      </c>
      <c r="L694" s="13">
        <v>1.1000000000000001</v>
      </c>
      <c r="M694" s="13">
        <v>1</v>
      </c>
      <c r="N694" s="13">
        <v>1.02</v>
      </c>
      <c r="O694" s="13">
        <v>1.2</v>
      </c>
      <c r="P694" s="13">
        <v>1.2</v>
      </c>
      <c r="Q694">
        <v>1.05</v>
      </c>
      <c r="R694">
        <f t="shared" si="63"/>
        <v>0.14205582952229279</v>
      </c>
    </row>
    <row r="695" spans="1:18" hidden="1" x14ac:dyDescent="0.2">
      <c r="A695" s="17" t="s">
        <v>223</v>
      </c>
      <c r="B695" s="25">
        <v>405</v>
      </c>
      <c r="C695" s="17" t="s">
        <v>85</v>
      </c>
      <c r="D695" s="17" t="s">
        <v>56</v>
      </c>
      <c r="F695" s="17" t="s">
        <v>86</v>
      </c>
      <c r="G695" s="17" t="s">
        <v>224</v>
      </c>
      <c r="H695" s="21" t="s">
        <v>677</v>
      </c>
      <c r="I695" s="17">
        <v>2</v>
      </c>
      <c r="J695">
        <f t="shared" si="62"/>
        <v>6.0038870671065387</v>
      </c>
      <c r="K695" s="13">
        <v>1.05</v>
      </c>
      <c r="L695" s="13">
        <v>1.1000000000000001</v>
      </c>
      <c r="M695" s="13">
        <v>1</v>
      </c>
      <c r="N695" s="13">
        <v>1.02</v>
      </c>
      <c r="O695" s="13">
        <v>1.2</v>
      </c>
      <c r="P695" s="13">
        <v>1.2</v>
      </c>
      <c r="Q695">
        <v>1.05</v>
      </c>
      <c r="R695">
        <f t="shared" si="63"/>
        <v>0.14205582952229279</v>
      </c>
    </row>
    <row r="696" spans="1:18" hidden="1" x14ac:dyDescent="0.2">
      <c r="A696" s="17" t="s">
        <v>228</v>
      </c>
      <c r="B696" s="25">
        <v>400</v>
      </c>
      <c r="C696" s="17" t="s">
        <v>85</v>
      </c>
      <c r="D696" s="17" t="s">
        <v>56</v>
      </c>
      <c r="F696" s="17" t="s">
        <v>86</v>
      </c>
      <c r="G696" s="17" t="s">
        <v>126</v>
      </c>
      <c r="H696" s="21" t="s">
        <v>677</v>
      </c>
      <c r="I696" s="17">
        <v>2</v>
      </c>
      <c r="J696">
        <f t="shared" si="62"/>
        <v>5.9914645471079817</v>
      </c>
      <c r="K696" s="13">
        <v>1.05</v>
      </c>
      <c r="L696" s="13">
        <v>1.1000000000000001</v>
      </c>
      <c r="M696" s="13">
        <v>1</v>
      </c>
      <c r="N696" s="13">
        <v>1.02</v>
      </c>
      <c r="O696" s="13">
        <v>1.2</v>
      </c>
      <c r="P696" s="13">
        <v>1.2</v>
      </c>
      <c r="Q696">
        <v>1.05</v>
      </c>
      <c r="R696">
        <f t="shared" si="63"/>
        <v>0.14205582952229279</v>
      </c>
    </row>
    <row r="697" spans="1:18" hidden="1" x14ac:dyDescent="0.2">
      <c r="A697" s="17" t="s">
        <v>103</v>
      </c>
      <c r="B697" s="25">
        <v>405</v>
      </c>
      <c r="C697" s="17" t="s">
        <v>85</v>
      </c>
      <c r="D697" s="17" t="s">
        <v>56</v>
      </c>
      <c r="F697" s="17" t="s">
        <v>86</v>
      </c>
      <c r="G697" s="17" t="s">
        <v>104</v>
      </c>
      <c r="H697" s="21" t="s">
        <v>677</v>
      </c>
      <c r="I697" s="17">
        <v>2</v>
      </c>
      <c r="J697">
        <f t="shared" si="62"/>
        <v>6.0038870671065387</v>
      </c>
      <c r="K697" s="13">
        <v>1.05</v>
      </c>
      <c r="L697" s="13">
        <v>1.1000000000000001</v>
      </c>
      <c r="M697" s="13">
        <v>1</v>
      </c>
      <c r="N697" s="13">
        <v>1.02</v>
      </c>
      <c r="O697" s="13">
        <v>1.2</v>
      </c>
      <c r="P697" s="13">
        <v>1.2</v>
      </c>
      <c r="Q697">
        <v>1.05</v>
      </c>
      <c r="R697">
        <f t="shared" si="63"/>
        <v>0.14205582952229279</v>
      </c>
    </row>
    <row r="698" spans="1:18" hidden="1" x14ac:dyDescent="0.2">
      <c r="A698" s="17" t="s">
        <v>447</v>
      </c>
      <c r="B698" s="25">
        <v>1000</v>
      </c>
      <c r="C698" s="17" t="s">
        <v>85</v>
      </c>
      <c r="D698" s="17" t="s">
        <v>56</v>
      </c>
      <c r="F698" s="17" t="s">
        <v>86</v>
      </c>
      <c r="G698" s="17" t="s">
        <v>124</v>
      </c>
      <c r="H698" s="21" t="s">
        <v>678</v>
      </c>
      <c r="I698" s="17">
        <v>2</v>
      </c>
      <c r="J698">
        <f t="shared" si="62"/>
        <v>6.9077552789821368</v>
      </c>
      <c r="K698" s="13">
        <v>1.05</v>
      </c>
      <c r="L698" s="13">
        <v>1.1000000000000001</v>
      </c>
      <c r="M698" s="13">
        <v>1</v>
      </c>
      <c r="N698" s="13">
        <v>1.02</v>
      </c>
      <c r="O698" s="13">
        <v>1.2</v>
      </c>
      <c r="P698" s="13">
        <v>1.2</v>
      </c>
      <c r="Q698">
        <v>1.05</v>
      </c>
      <c r="R698">
        <f t="shared" si="63"/>
        <v>0.14205582952229279</v>
      </c>
    </row>
    <row r="699" spans="1:18" hidden="1" x14ac:dyDescent="0.2">
      <c r="A699" s="17" t="s">
        <v>223</v>
      </c>
      <c r="B699" s="25">
        <v>1500</v>
      </c>
      <c r="C699" s="17" t="s">
        <v>85</v>
      </c>
      <c r="D699" s="17" t="s">
        <v>56</v>
      </c>
      <c r="F699" s="17" t="s">
        <v>86</v>
      </c>
      <c r="G699" s="17" t="s">
        <v>224</v>
      </c>
      <c r="H699" s="21" t="s">
        <v>678</v>
      </c>
      <c r="I699" s="17">
        <v>2</v>
      </c>
      <c r="J699">
        <f t="shared" si="62"/>
        <v>7.3132203870903014</v>
      </c>
      <c r="K699" s="13">
        <v>1.05</v>
      </c>
      <c r="L699" s="13">
        <v>1.1000000000000001</v>
      </c>
      <c r="M699" s="13">
        <v>1</v>
      </c>
      <c r="N699" s="13">
        <v>1.02</v>
      </c>
      <c r="O699" s="13">
        <v>1.2</v>
      </c>
      <c r="P699" s="13">
        <v>1.2</v>
      </c>
      <c r="Q699">
        <v>1.05</v>
      </c>
      <c r="R699">
        <f t="shared" si="63"/>
        <v>0.14205582952229279</v>
      </c>
    </row>
    <row r="700" spans="1:18" hidden="1" x14ac:dyDescent="0.2">
      <c r="A700" s="17" t="s">
        <v>228</v>
      </c>
      <c r="B700" s="25">
        <v>1000</v>
      </c>
      <c r="C700" s="17" t="s">
        <v>85</v>
      </c>
      <c r="D700" s="17" t="s">
        <v>56</v>
      </c>
      <c r="F700" s="17" t="s">
        <v>86</v>
      </c>
      <c r="G700" s="17" t="s">
        <v>126</v>
      </c>
      <c r="H700" s="21" t="s">
        <v>678</v>
      </c>
      <c r="I700" s="17">
        <v>2</v>
      </c>
      <c r="J700">
        <f t="shared" si="62"/>
        <v>6.9077552789821368</v>
      </c>
      <c r="K700" s="13">
        <v>1.05</v>
      </c>
      <c r="L700" s="13">
        <v>1.1000000000000001</v>
      </c>
      <c r="M700" s="13">
        <v>1</v>
      </c>
      <c r="N700" s="13">
        <v>1.02</v>
      </c>
      <c r="O700" s="13">
        <v>1.2</v>
      </c>
      <c r="P700" s="13">
        <v>1.2</v>
      </c>
      <c r="Q700">
        <v>1.05</v>
      </c>
      <c r="R700">
        <f t="shared" si="63"/>
        <v>0.14205582952229279</v>
      </c>
    </row>
    <row r="701" spans="1:18" hidden="1" x14ac:dyDescent="0.2">
      <c r="A701" s="17" t="s">
        <v>103</v>
      </c>
      <c r="B701" s="25">
        <v>1500</v>
      </c>
      <c r="C701" s="17" t="s">
        <v>85</v>
      </c>
      <c r="D701" s="17" t="s">
        <v>56</v>
      </c>
      <c r="F701" s="17" t="s">
        <v>86</v>
      </c>
      <c r="G701" s="17" t="s">
        <v>104</v>
      </c>
      <c r="H701" s="21" t="s">
        <v>678</v>
      </c>
      <c r="I701" s="17">
        <v>2</v>
      </c>
      <c r="J701">
        <f t="shared" si="62"/>
        <v>7.3132203870903014</v>
      </c>
      <c r="K701" s="13">
        <v>1.05</v>
      </c>
      <c r="L701" s="13">
        <v>1.1000000000000001</v>
      </c>
      <c r="M701" s="13">
        <v>1</v>
      </c>
      <c r="N701" s="13">
        <v>1.02</v>
      </c>
      <c r="O701" s="13">
        <v>1.2</v>
      </c>
      <c r="P701" s="13">
        <v>1.2</v>
      </c>
      <c r="Q701">
        <v>1.05</v>
      </c>
      <c r="R701">
        <f t="shared" si="63"/>
        <v>0.14205582952229279</v>
      </c>
    </row>
    <row r="702" spans="1:18" hidden="1" x14ac:dyDescent="0.2">
      <c r="A702" s="17" t="s">
        <v>223</v>
      </c>
      <c r="B702" s="25">
        <v>511</v>
      </c>
      <c r="C702" s="17" t="s">
        <v>85</v>
      </c>
      <c r="D702" s="17" t="s">
        <v>56</v>
      </c>
      <c r="F702" s="17" t="s">
        <v>86</v>
      </c>
      <c r="G702" s="17" t="s">
        <v>224</v>
      </c>
      <c r="H702" s="21" t="s">
        <v>679</v>
      </c>
      <c r="I702" s="17">
        <v>2</v>
      </c>
      <c r="J702">
        <f t="shared" si="62"/>
        <v>6.2363695902037044</v>
      </c>
      <c r="K702" s="13">
        <v>1.05</v>
      </c>
      <c r="L702" s="13">
        <v>1.1000000000000001</v>
      </c>
      <c r="M702" s="13">
        <v>1</v>
      </c>
      <c r="N702" s="13">
        <v>1.02</v>
      </c>
      <c r="O702" s="13">
        <v>1.2</v>
      </c>
      <c r="P702" s="13">
        <v>1.2</v>
      </c>
      <c r="Q702">
        <v>1.05</v>
      </c>
      <c r="R702">
        <f t="shared" si="63"/>
        <v>0.14205582952229279</v>
      </c>
    </row>
    <row r="703" spans="1:18" hidden="1" x14ac:dyDescent="0.2">
      <c r="A703" s="17" t="s">
        <v>103</v>
      </c>
      <c r="B703" s="25">
        <v>511</v>
      </c>
      <c r="C703" s="17" t="s">
        <v>85</v>
      </c>
      <c r="D703" s="17" t="s">
        <v>56</v>
      </c>
      <c r="F703" s="17" t="s">
        <v>86</v>
      </c>
      <c r="G703" s="17" t="s">
        <v>104</v>
      </c>
      <c r="H703" s="21" t="s">
        <v>679</v>
      </c>
      <c r="I703" s="17">
        <v>2</v>
      </c>
      <c r="J703">
        <f t="shared" si="62"/>
        <v>6.2363695902037044</v>
      </c>
      <c r="K703" s="13">
        <v>1.05</v>
      </c>
      <c r="L703" s="13">
        <v>1.1000000000000001</v>
      </c>
      <c r="M703" s="13">
        <v>1</v>
      </c>
      <c r="N703" s="13">
        <v>1.02</v>
      </c>
      <c r="O703" s="13">
        <v>1.2</v>
      </c>
      <c r="P703" s="13">
        <v>1.2</v>
      </c>
      <c r="Q703">
        <v>1.05</v>
      </c>
      <c r="R703">
        <f t="shared" si="63"/>
        <v>0.14205582952229279</v>
      </c>
    </row>
    <row r="704" spans="1:18" hidden="1" x14ac:dyDescent="0.2">
      <c r="A704" s="17" t="s">
        <v>454</v>
      </c>
      <c r="B704" s="25">
        <v>371.7</v>
      </c>
      <c r="C704" s="17" t="s">
        <v>85</v>
      </c>
      <c r="D704" s="17" t="s">
        <v>56</v>
      </c>
      <c r="F704" s="17" t="s">
        <v>86</v>
      </c>
      <c r="G704" s="17" t="s">
        <v>455</v>
      </c>
      <c r="H704" s="21" t="s">
        <v>711</v>
      </c>
      <c r="I704" s="17">
        <v>2</v>
      </c>
      <c r="J704">
        <f t="shared" si="62"/>
        <v>5.9180870773032064</v>
      </c>
      <c r="K704" s="13">
        <v>1.05</v>
      </c>
      <c r="L704" s="13">
        <v>1.1000000000000001</v>
      </c>
      <c r="M704" s="13">
        <v>1</v>
      </c>
      <c r="N704" s="13">
        <v>1.02</v>
      </c>
      <c r="O704" s="13">
        <v>1.2</v>
      </c>
      <c r="P704" s="13">
        <v>1.2</v>
      </c>
      <c r="Q704">
        <v>1.05</v>
      </c>
      <c r="R704">
        <f t="shared" si="63"/>
        <v>0.14205582952229279</v>
      </c>
    </row>
    <row r="705" spans="1:18" hidden="1" x14ac:dyDescent="0.2">
      <c r="A705" s="17" t="s">
        <v>718</v>
      </c>
      <c r="B705" s="25">
        <v>371.7</v>
      </c>
      <c r="C705" s="17" t="s">
        <v>85</v>
      </c>
      <c r="D705" s="17" t="s">
        <v>56</v>
      </c>
      <c r="F705" s="17" t="s">
        <v>86</v>
      </c>
      <c r="G705" s="17" t="s">
        <v>128</v>
      </c>
      <c r="H705" s="21" t="s">
        <v>711</v>
      </c>
      <c r="I705" s="17">
        <v>2</v>
      </c>
      <c r="J705">
        <f t="shared" si="62"/>
        <v>5.9180870773032064</v>
      </c>
      <c r="K705" s="13">
        <v>1.05</v>
      </c>
      <c r="L705" s="13">
        <v>1.1000000000000001</v>
      </c>
      <c r="M705" s="13">
        <v>1</v>
      </c>
      <c r="N705" s="13">
        <v>1.02</v>
      </c>
      <c r="O705" s="13">
        <v>1.2</v>
      </c>
      <c r="P705" s="13">
        <v>1.2</v>
      </c>
      <c r="Q705">
        <v>1.05</v>
      </c>
      <c r="R705">
        <f t="shared" si="63"/>
        <v>0.14205582952229279</v>
      </c>
    </row>
    <row r="706" spans="1:18" hidden="1" x14ac:dyDescent="0.2">
      <c r="A706" s="17" t="s">
        <v>223</v>
      </c>
      <c r="B706" s="25">
        <v>929.1</v>
      </c>
      <c r="C706" s="17" t="s">
        <v>85</v>
      </c>
      <c r="D706" s="17" t="s">
        <v>56</v>
      </c>
      <c r="F706" s="17" t="s">
        <v>86</v>
      </c>
      <c r="G706" s="17" t="s">
        <v>224</v>
      </c>
      <c r="H706" s="21" t="s">
        <v>711</v>
      </c>
      <c r="I706" s="17">
        <v>2</v>
      </c>
      <c r="J706">
        <f t="shared" si="62"/>
        <v>6.8342163756472667</v>
      </c>
      <c r="K706" s="13">
        <v>1.05</v>
      </c>
      <c r="L706" s="13">
        <v>1.1000000000000001</v>
      </c>
      <c r="M706" s="13">
        <v>1</v>
      </c>
      <c r="N706" s="13">
        <v>1.02</v>
      </c>
      <c r="O706" s="13">
        <v>1.2</v>
      </c>
      <c r="P706" s="13">
        <v>1.2</v>
      </c>
      <c r="Q706">
        <v>1.05</v>
      </c>
      <c r="R706">
        <f t="shared" si="63"/>
        <v>0.14205582952229279</v>
      </c>
    </row>
    <row r="707" spans="1:18" hidden="1" x14ac:dyDescent="0.2">
      <c r="A707" s="17" t="s">
        <v>103</v>
      </c>
      <c r="B707" s="25">
        <v>929.1</v>
      </c>
      <c r="C707" s="17" t="s">
        <v>85</v>
      </c>
      <c r="D707" s="17" t="s">
        <v>56</v>
      </c>
      <c r="F707" s="17" t="s">
        <v>86</v>
      </c>
      <c r="G707" s="17" t="s">
        <v>104</v>
      </c>
      <c r="H707" s="21" t="s">
        <v>711</v>
      </c>
      <c r="I707" s="17">
        <v>2</v>
      </c>
      <c r="J707">
        <f t="shared" si="62"/>
        <v>6.8342163756472667</v>
      </c>
      <c r="K707" s="13">
        <v>1.05</v>
      </c>
      <c r="L707" s="13">
        <v>1.1000000000000001</v>
      </c>
      <c r="M707" s="13">
        <v>1</v>
      </c>
      <c r="N707" s="13">
        <v>1.02</v>
      </c>
      <c r="O707" s="13">
        <v>1.2</v>
      </c>
      <c r="P707" s="13">
        <v>1.2</v>
      </c>
      <c r="Q707">
        <v>1.05</v>
      </c>
      <c r="R707">
        <f t="shared" si="63"/>
        <v>0.14205582952229279</v>
      </c>
    </row>
    <row r="708" spans="1:18" hidden="1" x14ac:dyDescent="0.2">
      <c r="A708" s="17" t="s">
        <v>523</v>
      </c>
      <c r="B708" s="25">
        <v>92.9</v>
      </c>
      <c r="C708" s="17" t="s">
        <v>85</v>
      </c>
      <c r="D708" s="17" t="s">
        <v>56</v>
      </c>
      <c r="F708" s="17" t="s">
        <v>86</v>
      </c>
      <c r="G708" s="17" t="s">
        <v>127</v>
      </c>
      <c r="H708" s="21" t="s">
        <v>711</v>
      </c>
      <c r="I708" s="17">
        <v>2</v>
      </c>
      <c r="J708">
        <f t="shared" si="62"/>
        <v>4.5315236458197932</v>
      </c>
      <c r="K708" s="13">
        <v>1.05</v>
      </c>
      <c r="L708" s="13">
        <v>1.1000000000000001</v>
      </c>
      <c r="M708" s="13">
        <v>1</v>
      </c>
      <c r="N708" s="13">
        <v>1.02</v>
      </c>
      <c r="O708" s="13">
        <v>1.2</v>
      </c>
      <c r="P708" s="13">
        <v>1.2</v>
      </c>
      <c r="Q708">
        <v>1.05</v>
      </c>
      <c r="R708">
        <f t="shared" si="63"/>
        <v>0.14205582952229279</v>
      </c>
    </row>
    <row r="709" spans="1:18" hidden="1" x14ac:dyDescent="0.2">
      <c r="A709" s="17" t="s">
        <v>447</v>
      </c>
      <c r="B709" s="25">
        <v>836.2</v>
      </c>
      <c r="C709" s="17" t="s">
        <v>85</v>
      </c>
      <c r="D709" s="17" t="s">
        <v>56</v>
      </c>
      <c r="F709" s="17" t="s">
        <v>86</v>
      </c>
      <c r="G709" s="17" t="s">
        <v>124</v>
      </c>
      <c r="H709" s="21" t="s">
        <v>712</v>
      </c>
      <c r="I709" s="17">
        <v>2</v>
      </c>
      <c r="J709">
        <f t="shared" si="62"/>
        <v>6.7288678189224651</v>
      </c>
      <c r="K709" s="13">
        <v>1.05</v>
      </c>
      <c r="L709" s="13">
        <v>1.1000000000000001</v>
      </c>
      <c r="M709" s="13">
        <v>1</v>
      </c>
      <c r="N709" s="13">
        <v>1.02</v>
      </c>
      <c r="O709" s="13">
        <v>1.2</v>
      </c>
      <c r="P709" s="13">
        <v>1.2</v>
      </c>
      <c r="Q709">
        <v>1.05</v>
      </c>
      <c r="R709">
        <f t="shared" si="63"/>
        <v>0.14205582952229279</v>
      </c>
    </row>
    <row r="710" spans="1:18" hidden="1" x14ac:dyDescent="0.2">
      <c r="A710" s="17" t="s">
        <v>228</v>
      </c>
      <c r="B710" s="25">
        <v>836.2</v>
      </c>
      <c r="C710" s="17" t="s">
        <v>85</v>
      </c>
      <c r="D710" s="17" t="s">
        <v>56</v>
      </c>
      <c r="F710" s="17" t="s">
        <v>86</v>
      </c>
      <c r="G710" s="17" t="s">
        <v>126</v>
      </c>
      <c r="H710" s="21" t="s">
        <v>712</v>
      </c>
      <c r="I710" s="17">
        <v>2</v>
      </c>
      <c r="J710">
        <f t="shared" si="62"/>
        <v>6.7288678189224651</v>
      </c>
      <c r="K710" s="13">
        <v>1.05</v>
      </c>
      <c r="L710" s="13">
        <v>1.1000000000000001</v>
      </c>
      <c r="M710" s="13">
        <v>1</v>
      </c>
      <c r="N710" s="13">
        <v>1.02</v>
      </c>
      <c r="O710" s="13">
        <v>1.2</v>
      </c>
      <c r="P710" s="13">
        <v>1.2</v>
      </c>
      <c r="Q710">
        <v>1.05</v>
      </c>
      <c r="R710">
        <f t="shared" si="63"/>
        <v>0.14205582952229279</v>
      </c>
    </row>
    <row r="711" spans="1:18" hidden="1" x14ac:dyDescent="0.2">
      <c r="A711" s="17" t="s">
        <v>425</v>
      </c>
      <c r="B711" s="25">
        <v>116.1</v>
      </c>
      <c r="C711" s="17" t="s">
        <v>85</v>
      </c>
      <c r="D711" s="17" t="s">
        <v>56</v>
      </c>
      <c r="F711" s="17" t="s">
        <v>86</v>
      </c>
      <c r="G711" s="17" t="s">
        <v>426</v>
      </c>
      <c r="H711" s="21" t="s">
        <v>717</v>
      </c>
      <c r="I711" s="17">
        <v>2</v>
      </c>
      <c r="J711">
        <f t="shared" si="62"/>
        <v>4.7544518887038461</v>
      </c>
      <c r="K711" s="13">
        <v>1.05</v>
      </c>
      <c r="L711" s="13">
        <v>1.1000000000000001</v>
      </c>
      <c r="M711" s="13">
        <v>1</v>
      </c>
      <c r="N711" s="13">
        <v>1.02</v>
      </c>
      <c r="O711" s="13">
        <v>1.2</v>
      </c>
      <c r="P711" s="13">
        <v>1.2</v>
      </c>
      <c r="Q711">
        <v>1.05</v>
      </c>
      <c r="R711">
        <f t="shared" si="63"/>
        <v>0.14205582952229279</v>
      </c>
    </row>
    <row r="712" spans="1:18" hidden="1" x14ac:dyDescent="0.2">
      <c r="A712" s="17" t="s">
        <v>447</v>
      </c>
      <c r="B712" s="25">
        <v>209.1</v>
      </c>
      <c r="C712" s="17" t="s">
        <v>85</v>
      </c>
      <c r="D712" s="17" t="s">
        <v>56</v>
      </c>
      <c r="F712" s="17" t="s">
        <v>86</v>
      </c>
      <c r="G712" s="17" t="s">
        <v>124</v>
      </c>
      <c r="H712" s="21" t="s">
        <v>717</v>
      </c>
      <c r="I712" s="17">
        <v>2</v>
      </c>
      <c r="J712">
        <f t="shared" si="62"/>
        <v>5.3428126064345882</v>
      </c>
      <c r="K712" s="13">
        <v>1.05</v>
      </c>
      <c r="L712" s="13">
        <v>1.1000000000000001</v>
      </c>
      <c r="M712" s="13">
        <v>1</v>
      </c>
      <c r="N712" s="13">
        <v>1.02</v>
      </c>
      <c r="O712" s="13">
        <v>1.2</v>
      </c>
      <c r="P712" s="13">
        <v>1.2</v>
      </c>
      <c r="Q712">
        <v>1.05</v>
      </c>
      <c r="R712">
        <f t="shared" si="63"/>
        <v>0.14205582952229279</v>
      </c>
    </row>
    <row r="713" spans="1:18" hidden="1" x14ac:dyDescent="0.2">
      <c r="A713" s="17" t="s">
        <v>228</v>
      </c>
      <c r="B713" s="25">
        <v>209.1</v>
      </c>
      <c r="C713" s="17" t="s">
        <v>85</v>
      </c>
      <c r="D713" s="17" t="s">
        <v>56</v>
      </c>
      <c r="F713" s="17" t="s">
        <v>86</v>
      </c>
      <c r="G713" s="17" t="s">
        <v>126</v>
      </c>
      <c r="H713" s="21" t="s">
        <v>717</v>
      </c>
      <c r="I713" s="17">
        <v>2</v>
      </c>
      <c r="J713">
        <f t="shared" si="62"/>
        <v>5.3428126064345882</v>
      </c>
      <c r="K713" s="13">
        <v>1.05</v>
      </c>
      <c r="L713" s="13">
        <v>1.1000000000000001</v>
      </c>
      <c r="M713" s="13">
        <v>1</v>
      </c>
      <c r="N713" s="13">
        <v>1.02</v>
      </c>
      <c r="O713" s="13">
        <v>1.2</v>
      </c>
      <c r="P713" s="13">
        <v>1.2</v>
      </c>
      <c r="Q713">
        <v>1.05</v>
      </c>
      <c r="R713">
        <f t="shared" si="63"/>
        <v>0.14205582952229279</v>
      </c>
    </row>
    <row r="714" spans="1:18" hidden="1" x14ac:dyDescent="0.2">
      <c r="A714" s="17" t="s">
        <v>223</v>
      </c>
      <c r="B714" s="25">
        <v>1161.4000000000001</v>
      </c>
      <c r="C714" s="17" t="s">
        <v>85</v>
      </c>
      <c r="D714" s="17" t="s">
        <v>56</v>
      </c>
      <c r="F714" s="17" t="s">
        <v>86</v>
      </c>
      <c r="G714" s="17" t="s">
        <v>224</v>
      </c>
      <c r="H714" s="21" t="s">
        <v>674</v>
      </c>
      <c r="I714" s="17">
        <v>2</v>
      </c>
      <c r="J714">
        <f t="shared" si="62"/>
        <v>7.0573814529379497</v>
      </c>
      <c r="K714" s="13">
        <v>1.05</v>
      </c>
      <c r="L714" s="13">
        <v>1.1000000000000001</v>
      </c>
      <c r="M714" s="13">
        <v>1</v>
      </c>
      <c r="N714" s="13">
        <v>1.02</v>
      </c>
      <c r="O714" s="13">
        <v>1.2</v>
      </c>
      <c r="P714" s="13">
        <v>1.2</v>
      </c>
      <c r="Q714">
        <v>1.05</v>
      </c>
      <c r="R714">
        <f t="shared" si="63"/>
        <v>0.14205582952229279</v>
      </c>
    </row>
    <row r="715" spans="1:18" hidden="1" x14ac:dyDescent="0.2">
      <c r="A715" s="17" t="s">
        <v>103</v>
      </c>
      <c r="B715" s="25">
        <v>1161.4000000000001</v>
      </c>
      <c r="C715" s="17" t="s">
        <v>85</v>
      </c>
      <c r="D715" s="17" t="s">
        <v>56</v>
      </c>
      <c r="F715" s="17" t="s">
        <v>86</v>
      </c>
      <c r="G715" s="17" t="s">
        <v>104</v>
      </c>
      <c r="H715" s="21" t="s">
        <v>674</v>
      </c>
      <c r="I715" s="17">
        <v>2</v>
      </c>
      <c r="J715">
        <f t="shared" si="62"/>
        <v>7.0573814529379497</v>
      </c>
      <c r="K715" s="13">
        <v>1.05</v>
      </c>
      <c r="L715" s="13">
        <v>1.1000000000000001</v>
      </c>
      <c r="M715" s="13">
        <v>1</v>
      </c>
      <c r="N715" s="13">
        <v>1.02</v>
      </c>
      <c r="O715" s="13">
        <v>1.2</v>
      </c>
      <c r="P715" s="13">
        <v>1.2</v>
      </c>
      <c r="Q715">
        <v>1.05</v>
      </c>
      <c r="R715">
        <f t="shared" si="63"/>
        <v>0.14205582952229279</v>
      </c>
    </row>
    <row r="716" spans="1:18" hidden="1" x14ac:dyDescent="0.2">
      <c r="A716" s="17" t="s">
        <v>447</v>
      </c>
      <c r="B716" s="25">
        <v>80</v>
      </c>
      <c r="C716" s="17" t="s">
        <v>85</v>
      </c>
      <c r="D716" s="17" t="s">
        <v>56</v>
      </c>
      <c r="F716" s="17" t="s">
        <v>86</v>
      </c>
      <c r="G716" s="17" t="s">
        <v>124</v>
      </c>
      <c r="H716" s="21" t="s">
        <v>713</v>
      </c>
      <c r="I716" s="17">
        <v>2</v>
      </c>
      <c r="J716">
        <f t="shared" si="62"/>
        <v>4.3820266346738812</v>
      </c>
      <c r="K716" s="13">
        <v>1.05</v>
      </c>
      <c r="L716" s="13">
        <v>1.1000000000000001</v>
      </c>
      <c r="M716" s="13">
        <v>1</v>
      </c>
      <c r="N716" s="13">
        <v>1.02</v>
      </c>
      <c r="O716" s="13">
        <v>1.2</v>
      </c>
      <c r="P716" s="13">
        <v>1.2</v>
      </c>
      <c r="Q716">
        <v>1.05</v>
      </c>
      <c r="R716">
        <f t="shared" si="63"/>
        <v>0.14205582952229279</v>
      </c>
    </row>
    <row r="717" spans="1:18" hidden="1" x14ac:dyDescent="0.2">
      <c r="A717" s="17" t="s">
        <v>228</v>
      </c>
      <c r="B717" s="25">
        <v>80</v>
      </c>
      <c r="C717" s="17" t="s">
        <v>85</v>
      </c>
      <c r="D717" s="17" t="s">
        <v>56</v>
      </c>
      <c r="F717" s="17" t="s">
        <v>86</v>
      </c>
      <c r="G717" s="17" t="s">
        <v>126</v>
      </c>
      <c r="H717" s="21" t="s">
        <v>713</v>
      </c>
      <c r="I717" s="17">
        <v>2</v>
      </c>
      <c r="J717">
        <f t="shared" si="62"/>
        <v>4.3820266346738812</v>
      </c>
      <c r="K717" s="13">
        <v>1.05</v>
      </c>
      <c r="L717" s="13">
        <v>1.1000000000000001</v>
      </c>
      <c r="M717" s="13">
        <v>1</v>
      </c>
      <c r="N717" s="13">
        <v>1.02</v>
      </c>
      <c r="O717" s="13">
        <v>1.2</v>
      </c>
      <c r="P717" s="13">
        <v>1.2</v>
      </c>
      <c r="Q717">
        <v>1.05</v>
      </c>
      <c r="R717">
        <f t="shared" si="63"/>
        <v>0.14205582952229279</v>
      </c>
    </row>
    <row r="718" spans="1:18" hidden="1" x14ac:dyDescent="0.2">
      <c r="A718" s="17" t="s">
        <v>223</v>
      </c>
      <c r="B718" s="25">
        <v>851</v>
      </c>
      <c r="C718" s="17" t="s">
        <v>85</v>
      </c>
      <c r="D718" s="17" t="s">
        <v>56</v>
      </c>
      <c r="F718" s="17" t="s">
        <v>86</v>
      </c>
      <c r="G718" s="17" t="s">
        <v>224</v>
      </c>
      <c r="H718" s="21" t="s">
        <v>714</v>
      </c>
      <c r="I718" s="17">
        <v>2</v>
      </c>
      <c r="J718">
        <f t="shared" si="62"/>
        <v>6.7464121285733745</v>
      </c>
      <c r="K718" s="13">
        <v>1.05</v>
      </c>
      <c r="L718" s="13">
        <v>1.1000000000000001</v>
      </c>
      <c r="M718" s="13">
        <v>1</v>
      </c>
      <c r="N718" s="13">
        <v>1.02</v>
      </c>
      <c r="O718" s="13">
        <v>1.2</v>
      </c>
      <c r="P718" s="13">
        <v>1.2</v>
      </c>
      <c r="Q718">
        <v>1.05</v>
      </c>
      <c r="R718">
        <f t="shared" si="63"/>
        <v>0.14205582952229279</v>
      </c>
    </row>
    <row r="719" spans="1:18" hidden="1" x14ac:dyDescent="0.2">
      <c r="A719" s="17" t="s">
        <v>103</v>
      </c>
      <c r="B719" s="25">
        <v>851</v>
      </c>
      <c r="C719" s="17" t="s">
        <v>85</v>
      </c>
      <c r="D719" s="17" t="s">
        <v>56</v>
      </c>
      <c r="F719" s="17" t="s">
        <v>86</v>
      </c>
      <c r="G719" s="17" t="s">
        <v>104</v>
      </c>
      <c r="H719" s="21" t="s">
        <v>714</v>
      </c>
      <c r="I719" s="17">
        <v>2</v>
      </c>
      <c r="J719">
        <f t="shared" si="62"/>
        <v>6.7464121285733745</v>
      </c>
      <c r="K719" s="13">
        <v>1.05</v>
      </c>
      <c r="L719" s="13">
        <v>1.1000000000000001</v>
      </c>
      <c r="M719" s="13">
        <v>1</v>
      </c>
      <c r="N719" s="13">
        <v>1.02</v>
      </c>
      <c r="O719" s="13">
        <v>1.2</v>
      </c>
      <c r="P719" s="13">
        <v>1.2</v>
      </c>
      <c r="Q719">
        <v>1.05</v>
      </c>
      <c r="R719">
        <f t="shared" si="63"/>
        <v>0.14205582952229279</v>
      </c>
    </row>
    <row r="720" spans="1:18" hidden="1" x14ac:dyDescent="0.2">
      <c r="A720" s="17" t="s">
        <v>116</v>
      </c>
      <c r="B720" s="25">
        <v>3</v>
      </c>
      <c r="C720" s="17" t="s">
        <v>85</v>
      </c>
      <c r="D720" s="17" t="s">
        <v>56</v>
      </c>
      <c r="F720" s="17" t="s">
        <v>86</v>
      </c>
      <c r="G720" s="17" t="s">
        <v>117</v>
      </c>
      <c r="H720" s="21" t="s">
        <v>715</v>
      </c>
      <c r="I720" s="17">
        <v>2</v>
      </c>
      <c r="J720">
        <f t="shared" si="62"/>
        <v>1.0986122886681098</v>
      </c>
      <c r="K720" s="13">
        <v>1.05</v>
      </c>
      <c r="L720" s="13">
        <v>1.1000000000000001</v>
      </c>
      <c r="M720" s="13">
        <v>1</v>
      </c>
      <c r="N720" s="13">
        <v>1.02</v>
      </c>
      <c r="O720" s="13">
        <v>1.2</v>
      </c>
      <c r="P720" s="13">
        <v>1.2</v>
      </c>
      <c r="Q720">
        <v>1.05</v>
      </c>
      <c r="R720">
        <f t="shared" si="63"/>
        <v>0.14205582952229279</v>
      </c>
    </row>
    <row r="721" spans="1:18" hidden="1" x14ac:dyDescent="0.2">
      <c r="A721" s="17" t="s">
        <v>699</v>
      </c>
      <c r="B721" s="25">
        <v>3</v>
      </c>
      <c r="C721" s="17" t="s">
        <v>85</v>
      </c>
      <c r="D721" s="17" t="s">
        <v>56</v>
      </c>
      <c r="F721" s="17" t="s">
        <v>86</v>
      </c>
      <c r="G721" s="17" t="s">
        <v>664</v>
      </c>
      <c r="H721" s="21" t="s">
        <v>715</v>
      </c>
      <c r="I721" s="17">
        <v>2</v>
      </c>
      <c r="J721">
        <f t="shared" si="62"/>
        <v>1.0986122886681098</v>
      </c>
      <c r="K721" s="13">
        <v>1.05</v>
      </c>
      <c r="L721" s="13">
        <v>1.1000000000000001</v>
      </c>
      <c r="M721" s="13">
        <v>1</v>
      </c>
      <c r="N721" s="13">
        <v>1.02</v>
      </c>
      <c r="O721" s="13">
        <v>1.2</v>
      </c>
      <c r="P721" s="13">
        <v>1.2</v>
      </c>
      <c r="Q721">
        <v>1.05</v>
      </c>
      <c r="R721">
        <f t="shared" si="63"/>
        <v>0.14205582952229279</v>
      </c>
    </row>
    <row r="722" spans="1:18" hidden="1" x14ac:dyDescent="0.2">
      <c r="A722" s="17" t="s">
        <v>223</v>
      </c>
      <c r="B722" s="25">
        <v>1108</v>
      </c>
      <c r="C722" s="17" t="s">
        <v>85</v>
      </c>
      <c r="D722" s="17" t="s">
        <v>56</v>
      </c>
      <c r="F722" s="17" t="s">
        <v>86</v>
      </c>
      <c r="G722" s="17" t="s">
        <v>224</v>
      </c>
      <c r="H722" s="21" t="s">
        <v>716</v>
      </c>
      <c r="I722" s="17">
        <v>2</v>
      </c>
      <c r="J722">
        <f t="shared" si="62"/>
        <v>7.0103118673072293</v>
      </c>
      <c r="K722" s="13">
        <v>1.05</v>
      </c>
      <c r="L722" s="13">
        <v>1.1000000000000001</v>
      </c>
      <c r="M722" s="13">
        <v>1</v>
      </c>
      <c r="N722" s="13">
        <v>1.02</v>
      </c>
      <c r="O722" s="13">
        <v>1.2</v>
      </c>
      <c r="P722" s="13">
        <v>1.2</v>
      </c>
      <c r="Q722">
        <v>1.05</v>
      </c>
      <c r="R722">
        <f t="shared" si="63"/>
        <v>0.14205582952229279</v>
      </c>
    </row>
    <row r="723" spans="1:18" hidden="1" x14ac:dyDescent="0.2">
      <c r="A723" s="17" t="s">
        <v>103</v>
      </c>
      <c r="B723" s="25">
        <v>1108</v>
      </c>
      <c r="C723" s="17" t="s">
        <v>85</v>
      </c>
      <c r="D723" s="17" t="s">
        <v>56</v>
      </c>
      <c r="F723" s="17" t="s">
        <v>86</v>
      </c>
      <c r="G723" s="17" t="s">
        <v>104</v>
      </c>
      <c r="H723" s="21" t="s">
        <v>716</v>
      </c>
      <c r="I723" s="17">
        <v>2</v>
      </c>
      <c r="J723">
        <f t="shared" si="62"/>
        <v>7.0103118673072293</v>
      </c>
      <c r="K723" s="13">
        <v>1.05</v>
      </c>
      <c r="L723" s="13">
        <v>1.1000000000000001</v>
      </c>
      <c r="M723" s="13">
        <v>1</v>
      </c>
      <c r="N723" s="13">
        <v>1.02</v>
      </c>
      <c r="O723" s="13">
        <v>1.2</v>
      </c>
      <c r="P723" s="13">
        <v>1.2</v>
      </c>
      <c r="Q723">
        <v>1.05</v>
      </c>
      <c r="R723">
        <f t="shared" si="63"/>
        <v>0.14205582952229279</v>
      </c>
    </row>
    <row r="724" spans="1:18" hidden="1" x14ac:dyDescent="0.2">
      <c r="A724" s="17" t="s">
        <v>700</v>
      </c>
      <c r="B724" s="25">
        <v>29</v>
      </c>
      <c r="C724" s="17" t="s">
        <v>85</v>
      </c>
      <c r="D724" s="17" t="s">
        <v>267</v>
      </c>
      <c r="F724" s="17" t="s">
        <v>86</v>
      </c>
      <c r="G724" s="17" t="s">
        <v>701</v>
      </c>
      <c r="H724" s="21" t="s">
        <v>679</v>
      </c>
      <c r="I724" s="17">
        <v>2</v>
      </c>
      <c r="J724">
        <f t="shared" si="62"/>
        <v>3.3672958299864741</v>
      </c>
      <c r="K724" s="13">
        <v>1.05</v>
      </c>
      <c r="L724" s="13">
        <v>1.1000000000000001</v>
      </c>
      <c r="M724" s="13">
        <v>1</v>
      </c>
      <c r="N724" s="13">
        <v>1.02</v>
      </c>
      <c r="O724" s="13">
        <v>1.2</v>
      </c>
      <c r="P724" s="13">
        <v>1.2</v>
      </c>
      <c r="Q724">
        <v>1.05</v>
      </c>
      <c r="R724">
        <f t="shared" si="63"/>
        <v>0.14205582952229279</v>
      </c>
    </row>
    <row r="725" spans="1:18" hidden="1" x14ac:dyDescent="0.2">
      <c r="A725" s="17" t="s">
        <v>228</v>
      </c>
      <c r="B725" s="25">
        <v>6075.6</v>
      </c>
      <c r="C725" s="17" t="s">
        <v>85</v>
      </c>
      <c r="D725" s="17" t="s">
        <v>56</v>
      </c>
      <c r="F725" s="17" t="s">
        <v>86</v>
      </c>
      <c r="G725" s="17" t="s">
        <v>126</v>
      </c>
      <c r="H725" s="21" t="s">
        <v>680</v>
      </c>
      <c r="I725" s="17">
        <v>2</v>
      </c>
      <c r="J725">
        <f t="shared" si="62"/>
        <v>8.7120360287638636</v>
      </c>
      <c r="K725" s="13">
        <v>1.05</v>
      </c>
      <c r="L725" s="13">
        <v>1.1000000000000001</v>
      </c>
      <c r="M725" s="13">
        <v>1</v>
      </c>
      <c r="N725" s="13">
        <v>1.02</v>
      </c>
      <c r="O725" s="13">
        <v>1.2</v>
      </c>
      <c r="P725" s="13">
        <v>1.2</v>
      </c>
      <c r="Q725">
        <v>1.05</v>
      </c>
      <c r="R725">
        <f t="shared" si="63"/>
        <v>0.14205582952229279</v>
      </c>
    </row>
    <row r="726" spans="1:18" ht="15.5" hidden="1" customHeight="1" x14ac:dyDescent="0.2">
      <c r="A726" s="29" t="s">
        <v>114</v>
      </c>
      <c r="B726" s="25">
        <v>6075.6</v>
      </c>
      <c r="C726" s="17" t="s">
        <v>85</v>
      </c>
      <c r="D726" s="17" t="s">
        <v>56</v>
      </c>
      <c r="F726" s="17" t="s">
        <v>86</v>
      </c>
      <c r="G726" s="21" t="s">
        <v>115</v>
      </c>
      <c r="H726" s="21" t="s">
        <v>680</v>
      </c>
      <c r="I726" s="17">
        <v>2</v>
      </c>
      <c r="J726">
        <f t="shared" si="62"/>
        <v>8.7120360287638636</v>
      </c>
      <c r="K726" s="13">
        <v>1.05</v>
      </c>
      <c r="L726" s="13">
        <v>1.1000000000000001</v>
      </c>
      <c r="M726" s="13">
        <v>1</v>
      </c>
      <c r="N726" s="13">
        <v>1.02</v>
      </c>
      <c r="O726" s="13">
        <v>1.2</v>
      </c>
      <c r="P726" s="13">
        <v>1.2</v>
      </c>
      <c r="Q726">
        <v>1.05</v>
      </c>
      <c r="R726">
        <f t="shared" si="63"/>
        <v>0.14205582952229279</v>
      </c>
    </row>
    <row r="727" spans="1:18" hidden="1" x14ac:dyDescent="0.2">
      <c r="A727" s="17" t="s">
        <v>646</v>
      </c>
      <c r="B727" s="30">
        <v>7.7</v>
      </c>
      <c r="C727" s="17" t="s">
        <v>64</v>
      </c>
      <c r="D727" s="21" t="s">
        <v>120</v>
      </c>
      <c r="F727" s="17" t="s">
        <v>86</v>
      </c>
      <c r="G727" s="21" t="s">
        <v>645</v>
      </c>
      <c r="H727" s="21" t="s">
        <v>681</v>
      </c>
      <c r="I727" s="17">
        <v>2</v>
      </c>
      <c r="J727">
        <f t="shared" si="62"/>
        <v>2.0412203288596382</v>
      </c>
      <c r="K727" s="13">
        <v>1.05</v>
      </c>
      <c r="L727" s="13">
        <v>1.1000000000000001</v>
      </c>
      <c r="M727" s="13">
        <v>1</v>
      </c>
      <c r="N727" s="13">
        <v>1.02</v>
      </c>
      <c r="O727" s="13">
        <v>1.2</v>
      </c>
      <c r="P727" s="13">
        <v>1.2</v>
      </c>
      <c r="Q727">
        <v>1.05</v>
      </c>
      <c r="R727">
        <f t="shared" si="63"/>
        <v>0.14205582952229279</v>
      </c>
    </row>
    <row r="728" spans="1:18" hidden="1" x14ac:dyDescent="0.2">
      <c r="A728" s="17" t="s">
        <v>91</v>
      </c>
      <c r="B728" s="25">
        <v>37113.5</v>
      </c>
      <c r="C728" s="17" t="s">
        <v>85</v>
      </c>
      <c r="D728" s="17" t="s">
        <v>92</v>
      </c>
      <c r="F728" s="17" t="s">
        <v>86</v>
      </c>
      <c r="G728" s="21" t="s">
        <v>93</v>
      </c>
      <c r="H728" s="17" t="s">
        <v>694</v>
      </c>
      <c r="I728" s="17">
        <v>2</v>
      </c>
      <c r="J728">
        <f t="shared" si="62"/>
        <v>10.521736063808362</v>
      </c>
      <c r="K728" s="13">
        <v>1.05</v>
      </c>
      <c r="L728" s="13">
        <v>1.1000000000000001</v>
      </c>
      <c r="M728" s="13">
        <v>1</v>
      </c>
      <c r="N728" s="13">
        <v>1.02</v>
      </c>
      <c r="O728" s="13">
        <v>1.2</v>
      </c>
      <c r="P728" s="13">
        <v>1.2</v>
      </c>
      <c r="Q728">
        <v>1.05</v>
      </c>
      <c r="R728">
        <f t="shared" si="63"/>
        <v>0.14205582952229279</v>
      </c>
    </row>
    <row r="729" spans="1:18" hidden="1" x14ac:dyDescent="0.2">
      <c r="B729" s="25"/>
      <c r="C729" s="21"/>
      <c r="F729" s="21"/>
      <c r="G729" s="21"/>
      <c r="H729" s="21"/>
      <c r="I729" s="21"/>
      <c r="Q729" s="17"/>
    </row>
    <row r="730" spans="1:18" hidden="1" x14ac:dyDescent="0.2">
      <c r="A730" s="19" t="s">
        <v>50</v>
      </c>
      <c r="B730" s="20" t="s">
        <v>774</v>
      </c>
      <c r="C730" s="21"/>
      <c r="Q730" s="17"/>
    </row>
    <row r="731" spans="1:18" hidden="1" x14ac:dyDescent="0.2">
      <c r="A731" s="22" t="s">
        <v>53</v>
      </c>
      <c r="B731" s="23">
        <v>1</v>
      </c>
      <c r="Q731" s="17"/>
    </row>
    <row r="732" spans="1:18" hidden="1" x14ac:dyDescent="0.2">
      <c r="A732" s="22" t="s">
        <v>51</v>
      </c>
      <c r="B732" s="23" t="s">
        <v>775</v>
      </c>
      <c r="Q732" s="17"/>
    </row>
    <row r="733" spans="1:18" hidden="1" x14ac:dyDescent="0.2">
      <c r="A733" s="22" t="s">
        <v>54</v>
      </c>
      <c r="B733" s="24" t="s">
        <v>132</v>
      </c>
      <c r="Q733" s="17"/>
    </row>
    <row r="734" spans="1:18" hidden="1" x14ac:dyDescent="0.2">
      <c r="A734" s="22" t="s">
        <v>52</v>
      </c>
      <c r="B734" s="23" t="s">
        <v>64</v>
      </c>
      <c r="Q734" s="17"/>
    </row>
    <row r="735" spans="1:18" hidden="1" x14ac:dyDescent="0.2">
      <c r="A735" s="22" t="s">
        <v>55</v>
      </c>
      <c r="B735" s="25" t="s">
        <v>56</v>
      </c>
      <c r="H735" s="18"/>
      <c r="I735" s="18"/>
      <c r="J735" s="18"/>
      <c r="Q735" s="17"/>
    </row>
    <row r="736" spans="1:18" hidden="1" x14ac:dyDescent="0.2">
      <c r="A736" s="18" t="s">
        <v>57</v>
      </c>
      <c r="B736" s="20"/>
      <c r="C736" s="18"/>
      <c r="D736" s="18"/>
      <c r="E736" s="18"/>
      <c r="F736" s="18"/>
      <c r="G736" s="18"/>
      <c r="H736" s="21"/>
      <c r="I736" s="21"/>
      <c r="J736" s="21"/>
      <c r="Q736" s="17"/>
    </row>
    <row r="737" spans="1:19" hidden="1" x14ac:dyDescent="0.2">
      <c r="A737" s="18" t="s">
        <v>58</v>
      </c>
      <c r="B737" s="20" t="s">
        <v>59</v>
      </c>
      <c r="C737" s="18" t="s">
        <v>52</v>
      </c>
      <c r="D737" s="18" t="s">
        <v>55</v>
      </c>
      <c r="E737" s="18" t="s">
        <v>60</v>
      </c>
      <c r="F737" s="18" t="s">
        <v>61</v>
      </c>
      <c r="G737" s="18" t="s">
        <v>54</v>
      </c>
      <c r="H737" s="60" t="s">
        <v>51</v>
      </c>
      <c r="I737" s="18" t="s">
        <v>221</v>
      </c>
      <c r="J737" s="2" t="s">
        <v>379</v>
      </c>
      <c r="K737" s="62" t="s">
        <v>1059</v>
      </c>
      <c r="L737" s="62" t="s">
        <v>1060</v>
      </c>
      <c r="M737" s="62" t="s">
        <v>1061</v>
      </c>
      <c r="N737" s="62" t="s">
        <v>1062</v>
      </c>
      <c r="O737" s="62" t="s">
        <v>1063</v>
      </c>
      <c r="P737" s="62" t="s">
        <v>1064</v>
      </c>
      <c r="Q737" s="2" t="s">
        <v>1065</v>
      </c>
      <c r="R737" s="2" t="s">
        <v>380</v>
      </c>
      <c r="S737" s="18" t="s">
        <v>1128</v>
      </c>
    </row>
    <row r="738" spans="1:19" hidden="1" x14ac:dyDescent="0.2">
      <c r="A738" s="25" t="s">
        <v>774</v>
      </c>
      <c r="B738" s="25">
        <v>1</v>
      </c>
      <c r="C738" s="17" t="str">
        <f>B734</f>
        <v>CH</v>
      </c>
      <c r="D738" s="17" t="str">
        <f>B735</f>
        <v>kilogram</v>
      </c>
      <c r="E738" s="21"/>
      <c r="F738" s="17" t="s">
        <v>62</v>
      </c>
      <c r="G738" s="17" t="s">
        <v>132</v>
      </c>
      <c r="H738" s="21"/>
      <c r="I738" s="21"/>
      <c r="Q738" s="17"/>
    </row>
    <row r="739" spans="1:19" hidden="1" x14ac:dyDescent="0.2">
      <c r="A739" s="25" t="str">
        <f>B810</f>
        <v>electrolyzer production, 1MWe, SOEC, Stack</v>
      </c>
      <c r="B739" s="17">
        <f>1/3779894.18</f>
        <v>2.6455767076526992E-7</v>
      </c>
      <c r="C739" s="17" t="s">
        <v>90</v>
      </c>
      <c r="D739" s="17" t="s">
        <v>55</v>
      </c>
      <c r="F739" s="17" t="s">
        <v>86</v>
      </c>
      <c r="G739" s="17" t="s">
        <v>1010</v>
      </c>
      <c r="H739" s="17" t="s">
        <v>698</v>
      </c>
      <c r="I739" s="17">
        <v>2</v>
      </c>
      <c r="J739">
        <f t="shared" ref="J739:J744" si="64">LN(B739)</f>
        <v>-15.145206572494917</v>
      </c>
      <c r="K739" s="13">
        <v>1.05</v>
      </c>
      <c r="L739" s="13">
        <v>1.1000000000000001</v>
      </c>
      <c r="M739" s="13">
        <v>1</v>
      </c>
      <c r="N739" s="13">
        <v>1.02</v>
      </c>
      <c r="O739" s="13">
        <v>1.2</v>
      </c>
      <c r="P739" s="13">
        <v>1.2</v>
      </c>
      <c r="Q739">
        <v>3</v>
      </c>
      <c r="R739">
        <f t="shared" ref="R739:R744" si="65">LN(SQRT(EXP(
SQRT(
+POWER(LN(K739),2)
+POWER(LN(L739),2)
+POWER(LN(M739),2)
+POWER(LN(N739),2)
+POWER(LN(O739),2)
+POWER(LN(P739),2)
+POWER(LN(Q739),2)
)
)))</f>
        <v>0.5668526959223994</v>
      </c>
    </row>
    <row r="740" spans="1:19" hidden="1" x14ac:dyDescent="0.2">
      <c r="A740" s="25" t="str">
        <f>B836</f>
        <v>electrolyzer production, 1MWe, SOEC, Balance of Plant</v>
      </c>
      <c r="B740" s="17">
        <f>1/3779894.18</f>
        <v>2.6455767076526992E-7</v>
      </c>
      <c r="C740" s="17" t="s">
        <v>90</v>
      </c>
      <c r="D740" s="17" t="s">
        <v>55</v>
      </c>
      <c r="F740" s="17" t="s">
        <v>86</v>
      </c>
      <c r="G740" s="17" t="s">
        <v>1011</v>
      </c>
      <c r="H740" s="17" t="s">
        <v>697</v>
      </c>
      <c r="I740" s="17">
        <v>2</v>
      </c>
      <c r="J740">
        <f t="shared" si="64"/>
        <v>-15.145206572494917</v>
      </c>
      <c r="K740" s="13">
        <v>1.05</v>
      </c>
      <c r="L740" s="13">
        <v>1.1000000000000001</v>
      </c>
      <c r="M740" s="13">
        <v>1</v>
      </c>
      <c r="N740" s="13">
        <v>1.02</v>
      </c>
      <c r="O740" s="13">
        <v>1.2</v>
      </c>
      <c r="P740" s="13">
        <v>1.2</v>
      </c>
      <c r="Q740">
        <v>3</v>
      </c>
      <c r="R740">
        <f t="shared" si="65"/>
        <v>0.5668526959223994</v>
      </c>
    </row>
    <row r="741" spans="1:19" hidden="1" x14ac:dyDescent="0.2">
      <c r="A741" s="22" t="s">
        <v>130</v>
      </c>
      <c r="B741" s="25">
        <v>42.3</v>
      </c>
      <c r="C741" s="17" t="s">
        <v>64</v>
      </c>
      <c r="D741" s="17" t="s">
        <v>92</v>
      </c>
      <c r="E741" s="21"/>
      <c r="F741" s="17" t="s">
        <v>86</v>
      </c>
      <c r="G741" s="17" t="s">
        <v>93</v>
      </c>
      <c r="H741" s="21" t="s">
        <v>782</v>
      </c>
      <c r="I741" s="17">
        <v>2</v>
      </c>
      <c r="J741">
        <f t="shared" si="64"/>
        <v>3.7447870860522321</v>
      </c>
      <c r="K741" s="13">
        <v>1.05</v>
      </c>
      <c r="L741" s="13">
        <v>1.1000000000000001</v>
      </c>
      <c r="M741" s="13">
        <v>1</v>
      </c>
      <c r="N741" s="13">
        <v>1.02</v>
      </c>
      <c r="O741" s="13">
        <v>1.2</v>
      </c>
      <c r="P741" s="13">
        <v>1.2</v>
      </c>
      <c r="Q741">
        <v>1.05</v>
      </c>
      <c r="R741">
        <f t="shared" si="65"/>
        <v>0.14205582952229279</v>
      </c>
    </row>
    <row r="742" spans="1:19" hidden="1" x14ac:dyDescent="0.2">
      <c r="A742" s="22" t="s">
        <v>263</v>
      </c>
      <c r="B742" s="25">
        <f>5.24*3.6</f>
        <v>18.864000000000001</v>
      </c>
      <c r="C742" s="17" t="s">
        <v>90</v>
      </c>
      <c r="D742" s="17" t="s">
        <v>65</v>
      </c>
      <c r="E742" s="21"/>
      <c r="F742" s="17" t="s">
        <v>86</v>
      </c>
      <c r="G742" s="17" t="s">
        <v>199</v>
      </c>
      <c r="H742" s="21" t="s">
        <v>781</v>
      </c>
      <c r="I742" s="17">
        <v>2</v>
      </c>
      <c r="J742">
        <f t="shared" si="64"/>
        <v>2.9372553437950151</v>
      </c>
      <c r="K742" s="13">
        <v>1.05</v>
      </c>
      <c r="L742" s="13">
        <v>1.1000000000000001</v>
      </c>
      <c r="M742" s="13">
        <v>1</v>
      </c>
      <c r="N742" s="13">
        <v>1.02</v>
      </c>
      <c r="O742" s="13">
        <v>1.2</v>
      </c>
      <c r="P742" s="13">
        <v>1.2</v>
      </c>
      <c r="Q742">
        <v>1.05</v>
      </c>
      <c r="R742">
        <f t="shared" si="65"/>
        <v>0.14205582952229279</v>
      </c>
    </row>
    <row r="743" spans="1:19" hidden="1" x14ac:dyDescent="0.2">
      <c r="A743" s="22" t="s">
        <v>95</v>
      </c>
      <c r="B743" s="25">
        <v>14</v>
      </c>
      <c r="C743" s="17" t="s">
        <v>96</v>
      </c>
      <c r="D743" s="17" t="s">
        <v>56</v>
      </c>
      <c r="F743" s="17" t="s">
        <v>86</v>
      </c>
      <c r="G743" s="17" t="s">
        <v>97</v>
      </c>
      <c r="H743" s="71" t="s">
        <v>1192</v>
      </c>
      <c r="I743" s="17">
        <v>2</v>
      </c>
      <c r="J743">
        <f t="shared" si="64"/>
        <v>2.6390573296152584</v>
      </c>
      <c r="K743" s="13">
        <v>1.05</v>
      </c>
      <c r="L743" s="13">
        <v>1.1000000000000001</v>
      </c>
      <c r="M743" s="13">
        <v>1</v>
      </c>
      <c r="N743" s="13">
        <v>1.02</v>
      </c>
      <c r="O743" s="13">
        <v>1.2</v>
      </c>
      <c r="P743" s="13">
        <v>1.2</v>
      </c>
      <c r="Q743">
        <v>1.05</v>
      </c>
      <c r="R743">
        <f t="shared" si="65"/>
        <v>0.14205582952229279</v>
      </c>
    </row>
    <row r="744" spans="1:19" hidden="1" x14ac:dyDescent="0.2">
      <c r="A744" s="27" t="s">
        <v>98</v>
      </c>
      <c r="B744" s="24">
        <v>8</v>
      </c>
      <c r="C744" s="27"/>
      <c r="D744" s="27" t="s">
        <v>56</v>
      </c>
      <c r="E744" s="27" t="s">
        <v>100</v>
      </c>
      <c r="F744" s="27" t="s">
        <v>99</v>
      </c>
      <c r="G744" s="27"/>
      <c r="H744" s="28"/>
      <c r="I744" s="17">
        <v>2</v>
      </c>
      <c r="J744">
        <f t="shared" si="64"/>
        <v>2.0794415416798357</v>
      </c>
      <c r="K744" s="13">
        <v>1.05</v>
      </c>
      <c r="L744" s="13">
        <v>1.1000000000000001</v>
      </c>
      <c r="M744" s="13">
        <v>1</v>
      </c>
      <c r="N744" s="13">
        <v>1.02</v>
      </c>
      <c r="O744" s="13">
        <v>1.2</v>
      </c>
      <c r="P744" s="13">
        <v>1.2</v>
      </c>
      <c r="Q744" s="13">
        <v>1.5</v>
      </c>
      <c r="R744">
        <f t="shared" si="65"/>
        <v>0.24634371748562628</v>
      </c>
    </row>
    <row r="745" spans="1:19" hidden="1" x14ac:dyDescent="0.2">
      <c r="Q745" s="17"/>
    </row>
    <row r="746" spans="1:19" hidden="1" x14ac:dyDescent="0.2">
      <c r="A746" s="19" t="s">
        <v>50</v>
      </c>
      <c r="B746" s="20" t="s">
        <v>776</v>
      </c>
      <c r="C746" s="21"/>
      <c r="Q746" s="17"/>
    </row>
    <row r="747" spans="1:19" hidden="1" x14ac:dyDescent="0.2">
      <c r="A747" s="22" t="s">
        <v>53</v>
      </c>
      <c r="B747" s="23">
        <v>1</v>
      </c>
      <c r="Q747" s="17"/>
    </row>
    <row r="748" spans="1:19" hidden="1" x14ac:dyDescent="0.2">
      <c r="A748" s="22" t="s">
        <v>51</v>
      </c>
      <c r="B748" s="23" t="s">
        <v>777</v>
      </c>
      <c r="Q748" s="17"/>
    </row>
    <row r="749" spans="1:19" hidden="1" x14ac:dyDescent="0.2">
      <c r="A749" s="22" t="s">
        <v>54</v>
      </c>
      <c r="B749" s="24" t="s">
        <v>132</v>
      </c>
      <c r="Q749" s="17"/>
    </row>
    <row r="750" spans="1:19" hidden="1" x14ac:dyDescent="0.2">
      <c r="A750" s="22" t="s">
        <v>52</v>
      </c>
      <c r="B750" s="23" t="s">
        <v>64</v>
      </c>
      <c r="Q750" s="17"/>
    </row>
    <row r="751" spans="1:19" hidden="1" x14ac:dyDescent="0.2">
      <c r="A751" s="22" t="s">
        <v>55</v>
      </c>
      <c r="B751" s="25" t="s">
        <v>56</v>
      </c>
      <c r="H751" s="18"/>
      <c r="I751" s="18"/>
      <c r="J751" s="18"/>
      <c r="Q751" s="17"/>
    </row>
    <row r="752" spans="1:19" hidden="1" x14ac:dyDescent="0.2">
      <c r="A752" s="18" t="s">
        <v>57</v>
      </c>
      <c r="B752" s="20"/>
      <c r="C752" s="18"/>
      <c r="D752" s="18"/>
      <c r="E752" s="18"/>
      <c r="F752" s="18"/>
      <c r="G752" s="18"/>
      <c r="H752" s="21"/>
      <c r="I752" s="21"/>
      <c r="J752" s="21"/>
      <c r="Q752" s="17"/>
    </row>
    <row r="753" spans="1:19" hidden="1" x14ac:dyDescent="0.2">
      <c r="A753" s="18" t="s">
        <v>58</v>
      </c>
      <c r="B753" s="20" t="s">
        <v>59</v>
      </c>
      <c r="C753" s="18" t="s">
        <v>52</v>
      </c>
      <c r="D753" s="18" t="s">
        <v>55</v>
      </c>
      <c r="E753" s="18" t="s">
        <v>60</v>
      </c>
      <c r="F753" s="18" t="s">
        <v>61</v>
      </c>
      <c r="G753" s="18" t="s">
        <v>54</v>
      </c>
      <c r="H753" s="60" t="s">
        <v>51</v>
      </c>
      <c r="I753" s="18" t="s">
        <v>221</v>
      </c>
      <c r="J753" s="2" t="s">
        <v>379</v>
      </c>
      <c r="K753" s="62" t="s">
        <v>1059</v>
      </c>
      <c r="L753" s="62" t="s">
        <v>1060</v>
      </c>
      <c r="M753" s="62" t="s">
        <v>1061</v>
      </c>
      <c r="N753" s="62" t="s">
        <v>1062</v>
      </c>
      <c r="O753" s="62" t="s">
        <v>1063</v>
      </c>
      <c r="P753" s="62" t="s">
        <v>1064</v>
      </c>
      <c r="Q753" s="2" t="s">
        <v>1065</v>
      </c>
      <c r="R753" s="2" t="s">
        <v>380</v>
      </c>
      <c r="S753" s="18" t="s">
        <v>1128</v>
      </c>
    </row>
    <row r="754" spans="1:19" hidden="1" x14ac:dyDescent="0.2">
      <c r="A754" s="25" t="s">
        <v>776</v>
      </c>
      <c r="B754" s="25">
        <v>1</v>
      </c>
      <c r="C754" s="17" t="str">
        <f>B750</f>
        <v>CH</v>
      </c>
      <c r="D754" s="17" t="str">
        <f>B751</f>
        <v>kilogram</v>
      </c>
      <c r="E754" s="21"/>
      <c r="F754" s="17" t="s">
        <v>62</v>
      </c>
      <c r="G754" s="17" t="s">
        <v>132</v>
      </c>
      <c r="H754" s="21"/>
      <c r="I754" s="21"/>
      <c r="Q754" s="17"/>
    </row>
    <row r="755" spans="1:19" hidden="1" x14ac:dyDescent="0.2">
      <c r="A755" s="17" t="str">
        <f>A739</f>
        <v>electrolyzer production, 1MWe, SOEC, Stack</v>
      </c>
      <c r="B755" s="17">
        <f>1/3085961.12</f>
        <v>3.2404815262222099E-7</v>
      </c>
      <c r="C755" s="17" t="s">
        <v>90</v>
      </c>
      <c r="D755" s="17" t="s">
        <v>55</v>
      </c>
      <c r="F755" s="17" t="s">
        <v>86</v>
      </c>
      <c r="G755" s="17" t="s">
        <v>1010</v>
      </c>
      <c r="H755" s="17" t="s">
        <v>698</v>
      </c>
      <c r="I755" s="17">
        <v>2</v>
      </c>
      <c r="J755">
        <f t="shared" ref="J755:J760" si="66">LN(B755)</f>
        <v>-14.942373712992437</v>
      </c>
      <c r="K755" s="13">
        <v>1.05</v>
      </c>
      <c r="L755" s="13">
        <v>1.1000000000000001</v>
      </c>
      <c r="M755" s="13">
        <v>1</v>
      </c>
      <c r="N755" s="13">
        <v>1.02</v>
      </c>
      <c r="O755" s="13">
        <v>1.2</v>
      </c>
      <c r="P755" s="13">
        <v>1.2</v>
      </c>
      <c r="Q755">
        <v>3</v>
      </c>
      <c r="R755">
        <f t="shared" ref="R755:R760" si="67">LN(SQRT(EXP(
SQRT(
+POWER(LN(K755),2)
+POWER(LN(L755),2)
+POWER(LN(M755),2)
+POWER(LN(N755),2)
+POWER(LN(O755),2)
+POWER(LN(P755),2)
+POWER(LN(Q755),2)
)
)))</f>
        <v>0.5668526959223994</v>
      </c>
    </row>
    <row r="756" spans="1:19" hidden="1" x14ac:dyDescent="0.2">
      <c r="A756" s="17" t="str">
        <f>A740</f>
        <v>electrolyzer production, 1MWe, SOEC, Balance of Plant</v>
      </c>
      <c r="B756" s="17">
        <f>1/3085961.12</f>
        <v>3.2404815262222099E-7</v>
      </c>
      <c r="C756" s="17" t="s">
        <v>90</v>
      </c>
      <c r="D756" s="17" t="s">
        <v>55</v>
      </c>
      <c r="F756" s="17" t="s">
        <v>86</v>
      </c>
      <c r="G756" s="17" t="s">
        <v>1011</v>
      </c>
      <c r="H756" s="17" t="s">
        <v>697</v>
      </c>
      <c r="I756" s="17">
        <v>2</v>
      </c>
      <c r="J756">
        <f t="shared" si="66"/>
        <v>-14.942373712992437</v>
      </c>
      <c r="K756" s="13">
        <v>1.05</v>
      </c>
      <c r="L756" s="13">
        <v>1.1000000000000001</v>
      </c>
      <c r="M756" s="13">
        <v>1</v>
      </c>
      <c r="N756" s="13">
        <v>1.02</v>
      </c>
      <c r="O756" s="13">
        <v>1.2</v>
      </c>
      <c r="P756" s="13">
        <v>1.2</v>
      </c>
      <c r="Q756">
        <v>3</v>
      </c>
      <c r="R756">
        <f t="shared" si="67"/>
        <v>0.5668526959223994</v>
      </c>
    </row>
    <row r="757" spans="1:19" hidden="1" x14ac:dyDescent="0.2">
      <c r="A757" s="17" t="s">
        <v>290</v>
      </c>
      <c r="B757" s="17">
        <f>B741</f>
        <v>42.3</v>
      </c>
      <c r="C757" s="17" t="s">
        <v>64</v>
      </c>
      <c r="D757" s="17" t="s">
        <v>92</v>
      </c>
      <c r="E757" s="21"/>
      <c r="F757" s="17" t="s">
        <v>86</v>
      </c>
      <c r="G757" s="17" t="s">
        <v>93</v>
      </c>
      <c r="H757" s="21" t="s">
        <v>782</v>
      </c>
      <c r="I757" s="17">
        <v>2</v>
      </c>
      <c r="J757">
        <f t="shared" si="66"/>
        <v>3.7447870860522321</v>
      </c>
      <c r="K757" s="13">
        <v>1.05</v>
      </c>
      <c r="L757" s="13">
        <v>1.1000000000000001</v>
      </c>
      <c r="M757" s="13">
        <v>1</v>
      </c>
      <c r="N757" s="13">
        <v>1.02</v>
      </c>
      <c r="O757" s="13">
        <v>1.2</v>
      </c>
      <c r="P757" s="13">
        <v>1.2</v>
      </c>
      <c r="Q757">
        <v>1.05</v>
      </c>
      <c r="R757">
        <f t="shared" si="67"/>
        <v>0.14205582952229279</v>
      </c>
    </row>
    <row r="758" spans="1:19" hidden="1" x14ac:dyDescent="0.2">
      <c r="A758" s="22" t="s">
        <v>263</v>
      </c>
      <c r="B758" s="25">
        <f>5.24*3.6</f>
        <v>18.864000000000001</v>
      </c>
      <c r="C758" s="17" t="s">
        <v>90</v>
      </c>
      <c r="D758" s="17" t="s">
        <v>65</v>
      </c>
      <c r="E758" s="21"/>
      <c r="F758" s="17" t="s">
        <v>86</v>
      </c>
      <c r="G758" s="17" t="s">
        <v>199</v>
      </c>
      <c r="H758" s="21" t="s">
        <v>781</v>
      </c>
      <c r="I758" s="17">
        <v>2</v>
      </c>
      <c r="J758">
        <f t="shared" si="66"/>
        <v>2.9372553437950151</v>
      </c>
      <c r="K758" s="13">
        <v>1.05</v>
      </c>
      <c r="L758" s="13">
        <v>1.1000000000000001</v>
      </c>
      <c r="M758" s="13">
        <v>1</v>
      </c>
      <c r="N758" s="13">
        <v>1.02</v>
      </c>
      <c r="O758" s="13">
        <v>1.2</v>
      </c>
      <c r="P758" s="13">
        <v>1.2</v>
      </c>
      <c r="Q758">
        <v>1.05</v>
      </c>
      <c r="R758">
        <f t="shared" si="67"/>
        <v>0.14205582952229279</v>
      </c>
    </row>
    <row r="759" spans="1:19" hidden="1" x14ac:dyDescent="0.2">
      <c r="A759" s="17" t="str">
        <f>A743</f>
        <v>market for water, deionised</v>
      </c>
      <c r="B759" s="17">
        <f>B743</f>
        <v>14</v>
      </c>
      <c r="C759" s="17" t="s">
        <v>96</v>
      </c>
      <c r="D759" s="17" t="s">
        <v>56</v>
      </c>
      <c r="F759" s="17" t="s">
        <v>86</v>
      </c>
      <c r="G759" s="17" t="s">
        <v>97</v>
      </c>
      <c r="H759" s="71" t="s">
        <v>1192</v>
      </c>
      <c r="I759" s="17">
        <v>2</v>
      </c>
      <c r="J759">
        <f t="shared" si="66"/>
        <v>2.6390573296152584</v>
      </c>
      <c r="K759" s="13">
        <v>1.05</v>
      </c>
      <c r="L759" s="13">
        <v>1.1000000000000001</v>
      </c>
      <c r="M759" s="13">
        <v>1</v>
      </c>
      <c r="N759" s="13">
        <v>1.02</v>
      </c>
      <c r="O759" s="13">
        <v>1.2</v>
      </c>
      <c r="P759" s="13">
        <v>1.2</v>
      </c>
      <c r="Q759">
        <v>1.05</v>
      </c>
      <c r="R759">
        <f t="shared" si="67"/>
        <v>0.14205582952229279</v>
      </c>
    </row>
    <row r="760" spans="1:19" hidden="1" x14ac:dyDescent="0.2">
      <c r="A760" s="17" t="str">
        <f>A744</f>
        <v>Oxygen</v>
      </c>
      <c r="B760" s="17">
        <f>B744</f>
        <v>8</v>
      </c>
      <c r="C760" s="27"/>
      <c r="D760" s="27" t="s">
        <v>56</v>
      </c>
      <c r="E760" s="27" t="s">
        <v>100</v>
      </c>
      <c r="F760" s="27" t="s">
        <v>99</v>
      </c>
      <c r="G760" s="27"/>
      <c r="H760" s="28"/>
      <c r="I760" s="17">
        <v>2</v>
      </c>
      <c r="J760">
        <f t="shared" si="66"/>
        <v>2.0794415416798357</v>
      </c>
      <c r="K760" s="13">
        <v>1.05</v>
      </c>
      <c r="L760" s="13">
        <v>1.1000000000000001</v>
      </c>
      <c r="M760" s="13">
        <v>1</v>
      </c>
      <c r="N760" s="13">
        <v>1.02</v>
      </c>
      <c r="O760" s="13">
        <v>1.2</v>
      </c>
      <c r="P760" s="13">
        <v>1.2</v>
      </c>
      <c r="Q760" s="13">
        <v>1.5</v>
      </c>
      <c r="R760">
        <f t="shared" si="67"/>
        <v>0.24634371748562628</v>
      </c>
    </row>
    <row r="761" spans="1:19" hidden="1" x14ac:dyDescent="0.2">
      <c r="Q761" s="17"/>
    </row>
    <row r="762" spans="1:19" hidden="1" x14ac:dyDescent="0.2">
      <c r="A762" s="19" t="s">
        <v>50</v>
      </c>
      <c r="B762" s="20" t="s">
        <v>778</v>
      </c>
      <c r="C762" s="21"/>
      <c r="Q762" s="17"/>
    </row>
    <row r="763" spans="1:19" hidden="1" x14ac:dyDescent="0.2">
      <c r="A763" s="22" t="s">
        <v>53</v>
      </c>
      <c r="B763" s="23">
        <v>1</v>
      </c>
      <c r="Q763" s="17"/>
    </row>
    <row r="764" spans="1:19" hidden="1" x14ac:dyDescent="0.2">
      <c r="A764" s="22" t="s">
        <v>51</v>
      </c>
      <c r="B764" s="23" t="s">
        <v>777</v>
      </c>
      <c r="Q764" s="17"/>
    </row>
    <row r="765" spans="1:19" hidden="1" x14ac:dyDescent="0.2">
      <c r="A765" s="22" t="s">
        <v>54</v>
      </c>
      <c r="B765" s="24" t="s">
        <v>132</v>
      </c>
      <c r="Q765" s="17"/>
    </row>
    <row r="766" spans="1:19" hidden="1" x14ac:dyDescent="0.2">
      <c r="A766" s="22" t="s">
        <v>52</v>
      </c>
      <c r="B766" s="17" t="s">
        <v>639</v>
      </c>
      <c r="Q766" s="17"/>
    </row>
    <row r="767" spans="1:19" hidden="1" x14ac:dyDescent="0.2">
      <c r="A767" s="22" t="s">
        <v>55</v>
      </c>
      <c r="B767" s="25" t="s">
        <v>56</v>
      </c>
      <c r="H767" s="18"/>
      <c r="I767" s="18"/>
      <c r="J767" s="18"/>
      <c r="Q767" s="17"/>
    </row>
    <row r="768" spans="1:19" hidden="1" x14ac:dyDescent="0.2">
      <c r="A768" s="18" t="s">
        <v>57</v>
      </c>
      <c r="B768" s="20"/>
      <c r="C768" s="18"/>
      <c r="D768" s="18"/>
      <c r="E768" s="18"/>
      <c r="F768" s="18"/>
      <c r="G768" s="18"/>
      <c r="H768" s="21"/>
      <c r="I768" s="21"/>
      <c r="J768" s="21"/>
      <c r="Q768" s="17"/>
    </row>
    <row r="769" spans="1:19" hidden="1" x14ac:dyDescent="0.2">
      <c r="A769" s="18" t="s">
        <v>58</v>
      </c>
      <c r="B769" s="20" t="s">
        <v>59</v>
      </c>
      <c r="C769" s="18" t="s">
        <v>52</v>
      </c>
      <c r="D769" s="18" t="s">
        <v>55</v>
      </c>
      <c r="E769" s="18" t="s">
        <v>60</v>
      </c>
      <c r="F769" s="18" t="s">
        <v>61</v>
      </c>
      <c r="G769" s="18" t="s">
        <v>54</v>
      </c>
      <c r="H769" s="60" t="s">
        <v>51</v>
      </c>
      <c r="I769" s="18" t="s">
        <v>221</v>
      </c>
      <c r="J769" s="2" t="s">
        <v>379</v>
      </c>
      <c r="K769" s="62" t="s">
        <v>1059</v>
      </c>
      <c r="L769" s="62" t="s">
        <v>1060</v>
      </c>
      <c r="M769" s="62" t="s">
        <v>1061</v>
      </c>
      <c r="N769" s="62" t="s">
        <v>1062</v>
      </c>
      <c r="O769" s="62" t="s">
        <v>1063</v>
      </c>
      <c r="P769" s="62" t="s">
        <v>1064</v>
      </c>
      <c r="Q769" s="2" t="s">
        <v>1065</v>
      </c>
      <c r="R769" s="2" t="s">
        <v>380</v>
      </c>
      <c r="S769" s="18" t="s">
        <v>1128</v>
      </c>
    </row>
    <row r="770" spans="1:19" hidden="1" x14ac:dyDescent="0.2">
      <c r="A770" s="25" t="s">
        <v>778</v>
      </c>
      <c r="B770" s="25">
        <v>1</v>
      </c>
      <c r="C770" s="17" t="s">
        <v>639</v>
      </c>
      <c r="D770" s="17" t="str">
        <f>B767</f>
        <v>kilogram</v>
      </c>
      <c r="E770" s="21"/>
      <c r="F770" s="17" t="s">
        <v>62</v>
      </c>
      <c r="G770" s="17" t="s">
        <v>132</v>
      </c>
      <c r="H770" s="21"/>
      <c r="I770" s="21"/>
      <c r="Q770" s="17"/>
    </row>
    <row r="771" spans="1:19" hidden="1" x14ac:dyDescent="0.2">
      <c r="A771" s="17" t="str">
        <f>A755</f>
        <v>electrolyzer production, 1MWe, SOEC, Stack</v>
      </c>
      <c r="B771" s="17">
        <f>B755</f>
        <v>3.2404815262222099E-7</v>
      </c>
      <c r="C771" s="17" t="s">
        <v>90</v>
      </c>
      <c r="D771" s="17" t="s">
        <v>55</v>
      </c>
      <c r="F771" s="17" t="s">
        <v>86</v>
      </c>
      <c r="G771" s="17" t="s">
        <v>1010</v>
      </c>
      <c r="H771" s="17" t="s">
        <v>698</v>
      </c>
      <c r="I771" s="17">
        <v>2</v>
      </c>
      <c r="J771">
        <f t="shared" ref="J771:J776" si="68">LN(B771)</f>
        <v>-14.942373712992437</v>
      </c>
      <c r="K771" s="13">
        <v>1.05</v>
      </c>
      <c r="L771" s="13">
        <v>1.1000000000000001</v>
      </c>
      <c r="M771" s="13">
        <v>1</v>
      </c>
      <c r="N771" s="13">
        <v>1.02</v>
      </c>
      <c r="O771" s="13">
        <v>1.2</v>
      </c>
      <c r="P771" s="13">
        <v>1.2</v>
      </c>
      <c r="Q771">
        <v>3</v>
      </c>
      <c r="R771">
        <f t="shared" ref="R771:R776" si="69">LN(SQRT(EXP(
SQRT(
+POWER(LN(K771),2)
+POWER(LN(L771),2)
+POWER(LN(M771),2)
+POWER(LN(N771),2)
+POWER(LN(O771),2)
+POWER(LN(P771),2)
+POWER(LN(Q771),2)
)
)))</f>
        <v>0.5668526959223994</v>
      </c>
    </row>
    <row r="772" spans="1:19" hidden="1" x14ac:dyDescent="0.2">
      <c r="A772" s="17" t="str">
        <f>A756</f>
        <v>electrolyzer production, 1MWe, SOEC, Balance of Plant</v>
      </c>
      <c r="B772" s="17">
        <f>B756</f>
        <v>3.2404815262222099E-7</v>
      </c>
      <c r="C772" s="17" t="s">
        <v>90</v>
      </c>
      <c r="D772" s="17" t="s">
        <v>55</v>
      </c>
      <c r="F772" s="17" t="s">
        <v>86</v>
      </c>
      <c r="G772" s="17" t="s">
        <v>1011</v>
      </c>
      <c r="H772" s="17" t="s">
        <v>697</v>
      </c>
      <c r="I772" s="17">
        <v>2</v>
      </c>
      <c r="J772">
        <f t="shared" si="68"/>
        <v>-14.942373712992437</v>
      </c>
      <c r="K772" s="13">
        <v>1.05</v>
      </c>
      <c r="L772" s="13">
        <v>1.1000000000000001</v>
      </c>
      <c r="M772" s="13">
        <v>1</v>
      </c>
      <c r="N772" s="13">
        <v>1.02</v>
      </c>
      <c r="O772" s="13">
        <v>1.2</v>
      </c>
      <c r="P772" s="13">
        <v>1.2</v>
      </c>
      <c r="Q772">
        <v>3</v>
      </c>
      <c r="R772">
        <f t="shared" si="69"/>
        <v>0.5668526959223994</v>
      </c>
    </row>
    <row r="773" spans="1:19" hidden="1" x14ac:dyDescent="0.2">
      <c r="A773" s="17" t="s">
        <v>290</v>
      </c>
      <c r="B773" s="17">
        <f>B757</f>
        <v>42.3</v>
      </c>
      <c r="C773" s="17" t="s">
        <v>639</v>
      </c>
      <c r="D773" s="17" t="s">
        <v>92</v>
      </c>
      <c r="E773" s="21"/>
      <c r="F773" s="17" t="s">
        <v>86</v>
      </c>
      <c r="G773" s="17" t="s">
        <v>93</v>
      </c>
      <c r="H773" s="21" t="s">
        <v>782</v>
      </c>
      <c r="I773" s="17">
        <v>2</v>
      </c>
      <c r="J773">
        <f t="shared" si="68"/>
        <v>3.7447870860522321</v>
      </c>
      <c r="K773" s="13">
        <v>1.05</v>
      </c>
      <c r="L773" s="13">
        <v>1.1000000000000001</v>
      </c>
      <c r="M773" s="13">
        <v>1</v>
      </c>
      <c r="N773" s="13">
        <v>1.02</v>
      </c>
      <c r="O773" s="13">
        <v>1.2</v>
      </c>
      <c r="P773" s="13">
        <v>1.2</v>
      </c>
      <c r="Q773">
        <v>1.05</v>
      </c>
      <c r="R773">
        <f t="shared" si="69"/>
        <v>0.14205582952229279</v>
      </c>
    </row>
    <row r="774" spans="1:19" hidden="1" x14ac:dyDescent="0.2">
      <c r="A774" s="22" t="s">
        <v>263</v>
      </c>
      <c r="B774" s="25">
        <f>5.24*3.6</f>
        <v>18.864000000000001</v>
      </c>
      <c r="C774" s="17" t="s">
        <v>90</v>
      </c>
      <c r="D774" s="17" t="s">
        <v>65</v>
      </c>
      <c r="E774" s="21"/>
      <c r="F774" s="17" t="s">
        <v>86</v>
      </c>
      <c r="G774" s="17" t="s">
        <v>199</v>
      </c>
      <c r="H774" s="21" t="s">
        <v>781</v>
      </c>
      <c r="I774" s="17">
        <v>2</v>
      </c>
      <c r="J774">
        <f t="shared" si="68"/>
        <v>2.9372553437950151</v>
      </c>
      <c r="K774" s="13">
        <v>1.05</v>
      </c>
      <c r="L774" s="13">
        <v>1.1000000000000001</v>
      </c>
      <c r="M774" s="13">
        <v>1</v>
      </c>
      <c r="N774" s="13">
        <v>1.02</v>
      </c>
      <c r="O774" s="13">
        <v>1.2</v>
      </c>
      <c r="P774" s="13">
        <v>1.2</v>
      </c>
      <c r="Q774">
        <v>1.05</v>
      </c>
      <c r="R774">
        <f t="shared" si="69"/>
        <v>0.14205582952229279</v>
      </c>
    </row>
    <row r="775" spans="1:19" hidden="1" x14ac:dyDescent="0.2">
      <c r="A775" s="17" t="str">
        <f>A759</f>
        <v>market for water, deionised</v>
      </c>
      <c r="B775" s="17">
        <f>B759</f>
        <v>14</v>
      </c>
      <c r="C775" s="17" t="s">
        <v>96</v>
      </c>
      <c r="D775" s="17" t="s">
        <v>56</v>
      </c>
      <c r="F775" s="17" t="s">
        <v>86</v>
      </c>
      <c r="G775" s="17" t="s">
        <v>97</v>
      </c>
      <c r="H775" s="71" t="s">
        <v>1192</v>
      </c>
      <c r="I775" s="17">
        <v>2</v>
      </c>
      <c r="J775">
        <f t="shared" si="68"/>
        <v>2.6390573296152584</v>
      </c>
      <c r="K775" s="13">
        <v>1.05</v>
      </c>
      <c r="L775" s="13">
        <v>1.1000000000000001</v>
      </c>
      <c r="M775" s="13">
        <v>1</v>
      </c>
      <c r="N775" s="13">
        <v>1.02</v>
      </c>
      <c r="O775" s="13">
        <v>1.2</v>
      </c>
      <c r="P775" s="13">
        <v>1.2</v>
      </c>
      <c r="Q775">
        <v>1.05</v>
      </c>
      <c r="R775">
        <f t="shared" si="69"/>
        <v>0.14205582952229279</v>
      </c>
    </row>
    <row r="776" spans="1:19" hidden="1" x14ac:dyDescent="0.2">
      <c r="A776" s="17" t="str">
        <f>A760</f>
        <v>Oxygen</v>
      </c>
      <c r="B776" s="17">
        <f>B760</f>
        <v>8</v>
      </c>
      <c r="C776" s="27"/>
      <c r="D776" s="27" t="s">
        <v>56</v>
      </c>
      <c r="E776" s="27" t="s">
        <v>100</v>
      </c>
      <c r="F776" s="27" t="s">
        <v>99</v>
      </c>
      <c r="G776" s="27"/>
      <c r="H776" s="28"/>
      <c r="I776" s="17">
        <v>2</v>
      </c>
      <c r="J776">
        <f t="shared" si="68"/>
        <v>2.0794415416798357</v>
      </c>
      <c r="K776" s="13">
        <v>1.05</v>
      </c>
      <c r="L776" s="13">
        <v>1.1000000000000001</v>
      </c>
      <c r="M776" s="13">
        <v>1</v>
      </c>
      <c r="N776" s="13">
        <v>1.02</v>
      </c>
      <c r="O776" s="13">
        <v>1.2</v>
      </c>
      <c r="P776" s="13">
        <v>1.2</v>
      </c>
      <c r="Q776" s="13">
        <v>1.5</v>
      </c>
      <c r="R776">
        <f t="shared" si="69"/>
        <v>0.24634371748562628</v>
      </c>
    </row>
    <row r="777" spans="1:19" hidden="1" x14ac:dyDescent="0.2">
      <c r="B777" s="25"/>
      <c r="Q777" s="17"/>
    </row>
    <row r="778" spans="1:19" hidden="1" x14ac:dyDescent="0.2">
      <c r="A778" s="19" t="s">
        <v>50</v>
      </c>
      <c r="B778" s="20" t="s">
        <v>779</v>
      </c>
      <c r="C778" s="21"/>
      <c r="Q778" s="17"/>
    </row>
    <row r="779" spans="1:19" hidden="1" x14ac:dyDescent="0.2">
      <c r="A779" s="22" t="s">
        <v>53</v>
      </c>
      <c r="B779" s="23">
        <v>1</v>
      </c>
      <c r="Q779" s="17"/>
    </row>
    <row r="780" spans="1:19" hidden="1" x14ac:dyDescent="0.2">
      <c r="A780" s="22" t="s">
        <v>51</v>
      </c>
      <c r="B780" s="23" t="s">
        <v>777</v>
      </c>
      <c r="Q780" s="17"/>
    </row>
    <row r="781" spans="1:19" hidden="1" x14ac:dyDescent="0.2">
      <c r="A781" s="22" t="s">
        <v>54</v>
      </c>
      <c r="B781" s="24" t="s">
        <v>132</v>
      </c>
      <c r="Q781" s="17"/>
    </row>
    <row r="782" spans="1:19" hidden="1" x14ac:dyDescent="0.2">
      <c r="A782" s="22" t="s">
        <v>52</v>
      </c>
      <c r="B782" s="23" t="s">
        <v>296</v>
      </c>
      <c r="Q782" s="17"/>
    </row>
    <row r="783" spans="1:19" hidden="1" x14ac:dyDescent="0.2">
      <c r="A783" s="22" t="s">
        <v>55</v>
      </c>
      <c r="B783" s="25" t="s">
        <v>56</v>
      </c>
      <c r="H783" s="18"/>
      <c r="I783" s="18"/>
      <c r="J783" s="18"/>
      <c r="Q783" s="17"/>
    </row>
    <row r="784" spans="1:19" hidden="1" x14ac:dyDescent="0.2">
      <c r="A784" s="18" t="s">
        <v>57</v>
      </c>
      <c r="B784" s="20"/>
      <c r="C784" s="18"/>
      <c r="D784" s="18"/>
      <c r="E784" s="18"/>
      <c r="F784" s="18"/>
      <c r="G784" s="18"/>
      <c r="H784" s="21"/>
      <c r="I784" s="21"/>
      <c r="J784" s="21"/>
      <c r="Q784" s="17"/>
    </row>
    <row r="785" spans="1:19" hidden="1" x14ac:dyDescent="0.2">
      <c r="A785" s="18" t="s">
        <v>58</v>
      </c>
      <c r="B785" s="20" t="s">
        <v>59</v>
      </c>
      <c r="C785" s="18" t="s">
        <v>52</v>
      </c>
      <c r="D785" s="18" t="s">
        <v>55</v>
      </c>
      <c r="E785" s="18" t="s">
        <v>60</v>
      </c>
      <c r="F785" s="18" t="s">
        <v>61</v>
      </c>
      <c r="G785" s="18" t="s">
        <v>54</v>
      </c>
      <c r="H785" s="60" t="s">
        <v>51</v>
      </c>
      <c r="I785" s="18" t="s">
        <v>221</v>
      </c>
      <c r="J785" s="2" t="s">
        <v>379</v>
      </c>
      <c r="K785" s="62" t="s">
        <v>1059</v>
      </c>
      <c r="L785" s="62" t="s">
        <v>1060</v>
      </c>
      <c r="M785" s="62" t="s">
        <v>1061</v>
      </c>
      <c r="N785" s="62" t="s">
        <v>1062</v>
      </c>
      <c r="O785" s="62" t="s">
        <v>1063</v>
      </c>
      <c r="P785" s="62" t="s">
        <v>1064</v>
      </c>
      <c r="Q785" s="2" t="s">
        <v>1065</v>
      </c>
      <c r="R785" s="2" t="s">
        <v>380</v>
      </c>
      <c r="S785" s="18" t="s">
        <v>1128</v>
      </c>
    </row>
    <row r="786" spans="1:19" hidden="1" x14ac:dyDescent="0.2">
      <c r="A786" s="25" t="s">
        <v>779</v>
      </c>
      <c r="B786" s="25">
        <v>1</v>
      </c>
      <c r="C786" s="17" t="str">
        <f>B782</f>
        <v>DE</v>
      </c>
      <c r="D786" s="17" t="str">
        <f>B783</f>
        <v>kilogram</v>
      </c>
      <c r="E786" s="21"/>
      <c r="F786" s="17" t="s">
        <v>62</v>
      </c>
      <c r="G786" s="17" t="s">
        <v>132</v>
      </c>
      <c r="H786" s="21"/>
      <c r="I786" s="21"/>
      <c r="Q786" s="17"/>
    </row>
    <row r="787" spans="1:19" hidden="1" x14ac:dyDescent="0.2">
      <c r="A787" s="17" t="str">
        <f>A771</f>
        <v>electrolyzer production, 1MWe, SOEC, Stack</v>
      </c>
      <c r="B787" s="17">
        <f>B771</f>
        <v>3.2404815262222099E-7</v>
      </c>
      <c r="C787" s="17" t="s">
        <v>90</v>
      </c>
      <c r="D787" s="17" t="s">
        <v>55</v>
      </c>
      <c r="F787" s="17" t="s">
        <v>86</v>
      </c>
      <c r="G787" s="17" t="s">
        <v>1010</v>
      </c>
      <c r="H787" s="17" t="s">
        <v>698</v>
      </c>
      <c r="I787" s="17">
        <v>2</v>
      </c>
      <c r="J787">
        <f t="shared" ref="J787:J792" si="70">LN(B787)</f>
        <v>-14.942373712992437</v>
      </c>
      <c r="K787" s="13">
        <v>1.05</v>
      </c>
      <c r="L787" s="13">
        <v>1.1000000000000001</v>
      </c>
      <c r="M787" s="13">
        <v>1</v>
      </c>
      <c r="N787" s="13">
        <v>1.02</v>
      </c>
      <c r="O787" s="13">
        <v>1.2</v>
      </c>
      <c r="P787" s="13">
        <v>1.2</v>
      </c>
      <c r="Q787">
        <v>3</v>
      </c>
      <c r="R787">
        <f t="shared" ref="R787:R792" si="71">LN(SQRT(EXP(
SQRT(
+POWER(LN(K787),2)
+POWER(LN(L787),2)
+POWER(LN(M787),2)
+POWER(LN(N787),2)
+POWER(LN(O787),2)
+POWER(LN(P787),2)
+POWER(LN(Q787),2)
)
)))</f>
        <v>0.5668526959223994</v>
      </c>
    </row>
    <row r="788" spans="1:19" hidden="1" x14ac:dyDescent="0.2">
      <c r="A788" s="17" t="str">
        <f>A772</f>
        <v>electrolyzer production, 1MWe, SOEC, Balance of Plant</v>
      </c>
      <c r="B788" s="17">
        <f>B772</f>
        <v>3.2404815262222099E-7</v>
      </c>
      <c r="C788" s="17" t="s">
        <v>90</v>
      </c>
      <c r="D788" s="17" t="s">
        <v>55</v>
      </c>
      <c r="F788" s="17" t="s">
        <v>86</v>
      </c>
      <c r="G788" s="17" t="s">
        <v>1011</v>
      </c>
      <c r="H788" s="17" t="s">
        <v>697</v>
      </c>
      <c r="I788" s="17">
        <v>2</v>
      </c>
      <c r="J788">
        <f t="shared" si="70"/>
        <v>-14.942373712992437</v>
      </c>
      <c r="K788" s="13">
        <v>1.05</v>
      </c>
      <c r="L788" s="13">
        <v>1.1000000000000001</v>
      </c>
      <c r="M788" s="13">
        <v>1</v>
      </c>
      <c r="N788" s="13">
        <v>1.02</v>
      </c>
      <c r="O788" s="13">
        <v>1.2</v>
      </c>
      <c r="P788" s="13">
        <v>1.2</v>
      </c>
      <c r="Q788">
        <v>3</v>
      </c>
      <c r="R788">
        <f t="shared" si="71"/>
        <v>0.5668526959223994</v>
      </c>
    </row>
    <row r="789" spans="1:19" hidden="1" x14ac:dyDescent="0.2">
      <c r="A789" s="17" t="s">
        <v>290</v>
      </c>
      <c r="B789" s="17">
        <f>B773</f>
        <v>42.3</v>
      </c>
      <c r="C789" s="17" t="s">
        <v>296</v>
      </c>
      <c r="D789" s="17" t="s">
        <v>92</v>
      </c>
      <c r="E789" s="21"/>
      <c r="F789" s="17" t="s">
        <v>86</v>
      </c>
      <c r="G789" s="17" t="s">
        <v>93</v>
      </c>
      <c r="H789" s="21" t="s">
        <v>782</v>
      </c>
      <c r="I789" s="17">
        <v>2</v>
      </c>
      <c r="J789">
        <f t="shared" si="70"/>
        <v>3.7447870860522321</v>
      </c>
      <c r="K789" s="13">
        <v>1.05</v>
      </c>
      <c r="L789" s="13">
        <v>1.1000000000000001</v>
      </c>
      <c r="M789" s="13">
        <v>1</v>
      </c>
      <c r="N789" s="13">
        <v>1.02</v>
      </c>
      <c r="O789" s="13">
        <v>1.2</v>
      </c>
      <c r="P789" s="13">
        <v>1.2</v>
      </c>
      <c r="Q789">
        <v>1.05</v>
      </c>
      <c r="R789">
        <f t="shared" si="71"/>
        <v>0.14205582952229279</v>
      </c>
    </row>
    <row r="790" spans="1:19" hidden="1" x14ac:dyDescent="0.2">
      <c r="A790" s="22" t="s">
        <v>263</v>
      </c>
      <c r="B790" s="25">
        <f>5.24*3.6</f>
        <v>18.864000000000001</v>
      </c>
      <c r="C790" s="17" t="s">
        <v>90</v>
      </c>
      <c r="D790" s="17" t="s">
        <v>65</v>
      </c>
      <c r="E790" s="21"/>
      <c r="F790" s="17" t="s">
        <v>86</v>
      </c>
      <c r="G790" s="17" t="s">
        <v>199</v>
      </c>
      <c r="H790" s="21" t="s">
        <v>781</v>
      </c>
      <c r="I790" s="17">
        <v>2</v>
      </c>
      <c r="J790">
        <f t="shared" si="70"/>
        <v>2.9372553437950151</v>
      </c>
      <c r="K790" s="13">
        <v>1.05</v>
      </c>
      <c r="L790" s="13">
        <v>1.1000000000000001</v>
      </c>
      <c r="M790" s="13">
        <v>1</v>
      </c>
      <c r="N790" s="13">
        <v>1.02</v>
      </c>
      <c r="O790" s="13">
        <v>1.2</v>
      </c>
      <c r="P790" s="13">
        <v>1.2</v>
      </c>
      <c r="Q790">
        <v>1.05</v>
      </c>
      <c r="R790">
        <f t="shared" si="71"/>
        <v>0.14205582952229279</v>
      </c>
    </row>
    <row r="791" spans="1:19" hidden="1" x14ac:dyDescent="0.2">
      <c r="A791" s="17" t="str">
        <f>A775</f>
        <v>market for water, deionised</v>
      </c>
      <c r="B791" s="17">
        <f>B775</f>
        <v>14</v>
      </c>
      <c r="C791" s="17" t="s">
        <v>96</v>
      </c>
      <c r="D791" s="17" t="s">
        <v>56</v>
      </c>
      <c r="F791" s="17" t="s">
        <v>86</v>
      </c>
      <c r="G791" s="17" t="s">
        <v>97</v>
      </c>
      <c r="H791" s="71" t="s">
        <v>1192</v>
      </c>
      <c r="I791" s="17">
        <v>2</v>
      </c>
      <c r="J791">
        <f t="shared" si="70"/>
        <v>2.6390573296152584</v>
      </c>
      <c r="K791" s="13">
        <v>1.05</v>
      </c>
      <c r="L791" s="13">
        <v>1.1000000000000001</v>
      </c>
      <c r="M791" s="13">
        <v>1</v>
      </c>
      <c r="N791" s="13">
        <v>1.02</v>
      </c>
      <c r="O791" s="13">
        <v>1.2</v>
      </c>
      <c r="P791" s="13">
        <v>1.2</v>
      </c>
      <c r="Q791">
        <v>1.05</v>
      </c>
      <c r="R791">
        <f t="shared" si="71"/>
        <v>0.14205582952229279</v>
      </c>
    </row>
    <row r="792" spans="1:19" hidden="1" x14ac:dyDescent="0.2">
      <c r="A792" s="17" t="str">
        <f>A776</f>
        <v>Oxygen</v>
      </c>
      <c r="B792" s="17">
        <f>B776</f>
        <v>8</v>
      </c>
      <c r="C792" s="27"/>
      <c r="D792" s="27" t="s">
        <v>56</v>
      </c>
      <c r="E792" s="27" t="s">
        <v>100</v>
      </c>
      <c r="F792" s="27" t="s">
        <v>99</v>
      </c>
      <c r="G792" s="27"/>
      <c r="H792" s="28"/>
      <c r="I792" s="17">
        <v>2</v>
      </c>
      <c r="J792">
        <f t="shared" si="70"/>
        <v>2.0794415416798357</v>
      </c>
      <c r="K792" s="13">
        <v>1.05</v>
      </c>
      <c r="L792" s="13">
        <v>1.1000000000000001</v>
      </c>
      <c r="M792" s="13">
        <v>1</v>
      </c>
      <c r="N792" s="13">
        <v>1.02</v>
      </c>
      <c r="O792" s="13">
        <v>1.2</v>
      </c>
      <c r="P792" s="13">
        <v>1.2</v>
      </c>
      <c r="Q792" s="13">
        <v>1.5</v>
      </c>
      <c r="R792">
        <f t="shared" si="71"/>
        <v>0.24634371748562628</v>
      </c>
    </row>
    <row r="793" spans="1:19" hidden="1" x14ac:dyDescent="0.2">
      <c r="B793" s="25"/>
      <c r="Q793" s="17"/>
    </row>
    <row r="794" spans="1:19" hidden="1" x14ac:dyDescent="0.2">
      <c r="A794" s="19" t="s">
        <v>50</v>
      </c>
      <c r="B794" s="20" t="s">
        <v>780</v>
      </c>
      <c r="C794" s="21"/>
      <c r="Q794" s="17"/>
    </row>
    <row r="795" spans="1:19" hidden="1" x14ac:dyDescent="0.2">
      <c r="A795" s="22" t="s">
        <v>53</v>
      </c>
      <c r="B795" s="23">
        <v>1</v>
      </c>
      <c r="Q795" s="17"/>
    </row>
    <row r="796" spans="1:19" hidden="1" x14ac:dyDescent="0.2">
      <c r="A796" s="22" t="s">
        <v>51</v>
      </c>
      <c r="B796" s="23" t="s">
        <v>1190</v>
      </c>
      <c r="Q796" s="17"/>
    </row>
    <row r="797" spans="1:19" hidden="1" x14ac:dyDescent="0.2">
      <c r="A797" s="22" t="s">
        <v>54</v>
      </c>
      <c r="B797" s="24" t="s">
        <v>132</v>
      </c>
      <c r="Q797" s="17"/>
    </row>
    <row r="798" spans="1:19" hidden="1" x14ac:dyDescent="0.2">
      <c r="A798" s="22" t="s">
        <v>52</v>
      </c>
      <c r="B798" s="23" t="s">
        <v>301</v>
      </c>
      <c r="Q798" s="17"/>
    </row>
    <row r="799" spans="1:19" hidden="1" x14ac:dyDescent="0.2">
      <c r="A799" s="22" t="s">
        <v>55</v>
      </c>
      <c r="B799" s="25" t="s">
        <v>56</v>
      </c>
      <c r="H799" s="18"/>
      <c r="I799" s="18"/>
      <c r="J799" s="18"/>
      <c r="Q799" s="17"/>
    </row>
    <row r="800" spans="1:19" hidden="1" x14ac:dyDescent="0.2">
      <c r="A800" s="18" t="s">
        <v>57</v>
      </c>
      <c r="B800" s="20"/>
      <c r="C800" s="18"/>
      <c r="D800" s="18"/>
      <c r="E800" s="18"/>
      <c r="F800" s="18"/>
      <c r="G800" s="18"/>
      <c r="H800" s="21"/>
      <c r="I800" s="21"/>
      <c r="J800" s="21"/>
      <c r="Q800" s="17"/>
    </row>
    <row r="801" spans="1:19" hidden="1" x14ac:dyDescent="0.2">
      <c r="A801" s="18" t="s">
        <v>58</v>
      </c>
      <c r="B801" s="20" t="s">
        <v>59</v>
      </c>
      <c r="C801" s="18" t="s">
        <v>52</v>
      </c>
      <c r="D801" s="18" t="s">
        <v>55</v>
      </c>
      <c r="E801" s="18" t="s">
        <v>60</v>
      </c>
      <c r="F801" s="18" t="s">
        <v>61</v>
      </c>
      <c r="G801" s="18" t="s">
        <v>54</v>
      </c>
      <c r="H801" s="60" t="s">
        <v>51</v>
      </c>
      <c r="I801" s="18" t="s">
        <v>221</v>
      </c>
      <c r="J801" s="2" t="s">
        <v>379</v>
      </c>
      <c r="K801" s="62" t="s">
        <v>1059</v>
      </c>
      <c r="L801" s="62" t="s">
        <v>1060</v>
      </c>
      <c r="M801" s="62" t="s">
        <v>1061</v>
      </c>
      <c r="N801" s="62" t="s">
        <v>1062</v>
      </c>
      <c r="O801" s="62" t="s">
        <v>1063</v>
      </c>
      <c r="P801" s="62" t="s">
        <v>1064</v>
      </c>
      <c r="Q801" s="2" t="s">
        <v>1065</v>
      </c>
      <c r="R801" s="2" t="s">
        <v>380</v>
      </c>
      <c r="S801" s="18" t="s">
        <v>1128</v>
      </c>
    </row>
    <row r="802" spans="1:19" hidden="1" x14ac:dyDescent="0.2">
      <c r="A802" s="25" t="s">
        <v>780</v>
      </c>
      <c r="B802" s="25">
        <v>1</v>
      </c>
      <c r="C802" s="17" t="str">
        <f>B798</f>
        <v>DK</v>
      </c>
      <c r="D802" s="17" t="str">
        <f>B799</f>
        <v>kilogram</v>
      </c>
      <c r="E802" s="21"/>
      <c r="F802" s="17" t="s">
        <v>62</v>
      </c>
      <c r="G802" s="17" t="s">
        <v>132</v>
      </c>
      <c r="H802" s="21"/>
      <c r="I802" s="21"/>
      <c r="Q802" s="17"/>
    </row>
    <row r="803" spans="1:19" hidden="1" x14ac:dyDescent="0.2">
      <c r="A803" s="17" t="str">
        <f>A787</f>
        <v>electrolyzer production, 1MWe, SOEC, Stack</v>
      </c>
      <c r="B803" s="17">
        <f>B787</f>
        <v>3.2404815262222099E-7</v>
      </c>
      <c r="C803" s="17" t="s">
        <v>90</v>
      </c>
      <c r="D803" s="17" t="s">
        <v>55</v>
      </c>
      <c r="F803" s="17" t="s">
        <v>86</v>
      </c>
      <c r="G803" s="17" t="s">
        <v>1010</v>
      </c>
      <c r="H803" s="17" t="s">
        <v>698</v>
      </c>
      <c r="I803" s="17">
        <v>2</v>
      </c>
      <c r="J803">
        <f t="shared" ref="J803:J808" si="72">LN(B803)</f>
        <v>-14.942373712992437</v>
      </c>
      <c r="K803" s="13">
        <v>1.05</v>
      </c>
      <c r="L803" s="13">
        <v>1.1000000000000001</v>
      </c>
      <c r="M803" s="13">
        <v>1</v>
      </c>
      <c r="N803" s="13">
        <v>1.02</v>
      </c>
      <c r="O803" s="13">
        <v>1.2</v>
      </c>
      <c r="P803" s="13">
        <v>1.2</v>
      </c>
      <c r="Q803">
        <v>3</v>
      </c>
      <c r="R803">
        <f t="shared" ref="R803:R808" si="73">LN(SQRT(EXP(
SQRT(
+POWER(LN(K803),2)
+POWER(LN(L803),2)
+POWER(LN(M803),2)
+POWER(LN(N803),2)
+POWER(LN(O803),2)
+POWER(LN(P803),2)
+POWER(LN(Q803),2)
)
)))</f>
        <v>0.5668526959223994</v>
      </c>
    </row>
    <row r="804" spans="1:19" hidden="1" x14ac:dyDescent="0.2">
      <c r="A804" s="17" t="str">
        <f>A788</f>
        <v>electrolyzer production, 1MWe, SOEC, Balance of Plant</v>
      </c>
      <c r="B804" s="17">
        <f>B788</f>
        <v>3.2404815262222099E-7</v>
      </c>
      <c r="C804" s="17" t="s">
        <v>90</v>
      </c>
      <c r="D804" s="17" t="s">
        <v>55</v>
      </c>
      <c r="F804" s="17" t="s">
        <v>86</v>
      </c>
      <c r="G804" s="17" t="s">
        <v>1011</v>
      </c>
      <c r="H804" s="17" t="s">
        <v>697</v>
      </c>
      <c r="I804" s="17">
        <v>2</v>
      </c>
      <c r="J804">
        <f t="shared" si="72"/>
        <v>-14.942373712992437</v>
      </c>
      <c r="K804" s="13">
        <v>1.05</v>
      </c>
      <c r="L804" s="13">
        <v>1.1000000000000001</v>
      </c>
      <c r="M804" s="13">
        <v>1</v>
      </c>
      <c r="N804" s="13">
        <v>1.02</v>
      </c>
      <c r="O804" s="13">
        <v>1.2</v>
      </c>
      <c r="P804" s="13">
        <v>1.2</v>
      </c>
      <c r="Q804">
        <v>3</v>
      </c>
      <c r="R804">
        <f t="shared" si="73"/>
        <v>0.5668526959223994</v>
      </c>
    </row>
    <row r="805" spans="1:19" hidden="1" x14ac:dyDescent="0.2">
      <c r="A805" s="17" t="s">
        <v>542</v>
      </c>
      <c r="B805" s="17">
        <f>B789*1.06</f>
        <v>44.838000000000001</v>
      </c>
      <c r="C805" s="17" t="s">
        <v>301</v>
      </c>
      <c r="D805" s="17" t="s">
        <v>92</v>
      </c>
      <c r="E805" s="21"/>
      <c r="F805" s="17" t="s">
        <v>86</v>
      </c>
      <c r="G805" s="17" t="s">
        <v>353</v>
      </c>
      <c r="H805" s="21" t="s">
        <v>782</v>
      </c>
      <c r="I805" s="17">
        <v>2</v>
      </c>
      <c r="J805">
        <f t="shared" si="72"/>
        <v>3.8030559941762081</v>
      </c>
      <c r="K805" s="13">
        <v>1.05</v>
      </c>
      <c r="L805" s="13">
        <v>1.1000000000000001</v>
      </c>
      <c r="M805" s="13">
        <v>1</v>
      </c>
      <c r="N805" s="13">
        <v>1.02</v>
      </c>
      <c r="O805" s="13">
        <v>1.2</v>
      </c>
      <c r="P805" s="13">
        <v>1.2</v>
      </c>
      <c r="Q805">
        <v>1.05</v>
      </c>
      <c r="R805">
        <f t="shared" si="73"/>
        <v>0.14205582952229279</v>
      </c>
    </row>
    <row r="806" spans="1:19" hidden="1" x14ac:dyDescent="0.2">
      <c r="A806" s="22" t="s">
        <v>263</v>
      </c>
      <c r="B806" s="25">
        <f>5.24*3.6</f>
        <v>18.864000000000001</v>
      </c>
      <c r="C806" s="17" t="s">
        <v>90</v>
      </c>
      <c r="D806" s="17" t="s">
        <v>65</v>
      </c>
      <c r="E806" s="21"/>
      <c r="F806" s="17" t="s">
        <v>86</v>
      </c>
      <c r="G806" s="17" t="s">
        <v>199</v>
      </c>
      <c r="H806" s="21" t="s">
        <v>781</v>
      </c>
      <c r="I806" s="17">
        <v>2</v>
      </c>
      <c r="J806">
        <f t="shared" si="72"/>
        <v>2.9372553437950151</v>
      </c>
      <c r="K806" s="13">
        <v>1.05</v>
      </c>
      <c r="L806" s="13">
        <v>1.1000000000000001</v>
      </c>
      <c r="M806" s="13">
        <v>1</v>
      </c>
      <c r="N806" s="13">
        <v>1.02</v>
      </c>
      <c r="O806" s="13">
        <v>1.2</v>
      </c>
      <c r="P806" s="13">
        <v>1.2</v>
      </c>
      <c r="Q806">
        <v>1.05</v>
      </c>
      <c r="R806">
        <f t="shared" si="73"/>
        <v>0.14205582952229279</v>
      </c>
    </row>
    <row r="807" spans="1:19" hidden="1" x14ac:dyDescent="0.2">
      <c r="A807" s="17" t="str">
        <f t="shared" ref="A807:B807" si="74">A791</f>
        <v>market for water, deionised</v>
      </c>
      <c r="B807" s="17">
        <f t="shared" si="74"/>
        <v>14</v>
      </c>
      <c r="C807" s="17" t="s">
        <v>96</v>
      </c>
      <c r="D807" s="17" t="s">
        <v>56</v>
      </c>
      <c r="F807" s="17" t="s">
        <v>86</v>
      </c>
      <c r="G807" s="17" t="s">
        <v>97</v>
      </c>
      <c r="H807" s="71" t="s">
        <v>1192</v>
      </c>
      <c r="I807" s="17">
        <v>2</v>
      </c>
      <c r="J807">
        <f t="shared" si="72"/>
        <v>2.6390573296152584</v>
      </c>
      <c r="K807" s="13">
        <v>1.05</v>
      </c>
      <c r="L807" s="13">
        <v>1.1000000000000001</v>
      </c>
      <c r="M807" s="13">
        <v>1</v>
      </c>
      <c r="N807" s="13">
        <v>1.02</v>
      </c>
      <c r="O807" s="13">
        <v>1.2</v>
      </c>
      <c r="P807" s="13">
        <v>1.2</v>
      </c>
      <c r="Q807">
        <v>1.05</v>
      </c>
      <c r="R807">
        <f t="shared" si="73"/>
        <v>0.14205582952229279</v>
      </c>
    </row>
    <row r="808" spans="1:19" hidden="1" x14ac:dyDescent="0.2">
      <c r="A808" s="17" t="str">
        <f t="shared" ref="A808:B808" si="75">A792</f>
        <v>Oxygen</v>
      </c>
      <c r="B808" s="17">
        <f t="shared" si="75"/>
        <v>8</v>
      </c>
      <c r="C808" s="27"/>
      <c r="D808" s="27" t="s">
        <v>56</v>
      </c>
      <c r="E808" s="27" t="s">
        <v>100</v>
      </c>
      <c r="F808" s="27" t="s">
        <v>99</v>
      </c>
      <c r="G808" s="27"/>
      <c r="H808" s="28"/>
      <c r="I808" s="17">
        <v>2</v>
      </c>
      <c r="J808">
        <f t="shared" si="72"/>
        <v>2.0794415416798357</v>
      </c>
      <c r="K808" s="13">
        <v>1.05</v>
      </c>
      <c r="L808" s="13">
        <v>1.1000000000000001</v>
      </c>
      <c r="M808" s="13">
        <v>1</v>
      </c>
      <c r="N808" s="13">
        <v>1.02</v>
      </c>
      <c r="O808" s="13">
        <v>1.2</v>
      </c>
      <c r="P808" s="13">
        <v>1.2</v>
      </c>
      <c r="Q808" s="13">
        <v>1.5</v>
      </c>
      <c r="R808">
        <f t="shared" si="73"/>
        <v>0.24634371748562628</v>
      </c>
    </row>
    <row r="809" spans="1:19" hidden="1" x14ac:dyDescent="0.2">
      <c r="B809" s="25"/>
      <c r="Q809" s="17"/>
    </row>
    <row r="810" spans="1:19" hidden="1" x14ac:dyDescent="0.2">
      <c r="A810" s="19" t="s">
        <v>50</v>
      </c>
      <c r="B810" s="20" t="s">
        <v>752</v>
      </c>
      <c r="Q810" s="17"/>
    </row>
    <row r="811" spans="1:19" hidden="1" x14ac:dyDescent="0.2">
      <c r="A811" s="22" t="s">
        <v>53</v>
      </c>
      <c r="B811" s="23">
        <v>1</v>
      </c>
      <c r="Q811" s="17"/>
    </row>
    <row r="812" spans="1:19" hidden="1" x14ac:dyDescent="0.2">
      <c r="A812" s="22" t="s">
        <v>51</v>
      </c>
      <c r="B812" s="23" t="s">
        <v>1191</v>
      </c>
      <c r="Q812" s="17"/>
    </row>
    <row r="813" spans="1:19" hidden="1" x14ac:dyDescent="0.2">
      <c r="A813" s="22" t="s">
        <v>54</v>
      </c>
      <c r="B813" s="25" t="s">
        <v>1010</v>
      </c>
      <c r="Q813" s="17"/>
    </row>
    <row r="814" spans="1:19" hidden="1" x14ac:dyDescent="0.2">
      <c r="A814" s="22" t="s">
        <v>52</v>
      </c>
      <c r="B814" s="23" t="s">
        <v>90</v>
      </c>
      <c r="Q814" s="17"/>
    </row>
    <row r="815" spans="1:19" hidden="1" x14ac:dyDescent="0.2">
      <c r="A815" s="22" t="s">
        <v>55</v>
      </c>
      <c r="B815" s="25" t="s">
        <v>55</v>
      </c>
      <c r="Q815" s="17"/>
    </row>
    <row r="816" spans="1:19" hidden="1" x14ac:dyDescent="0.2">
      <c r="A816" s="18" t="s">
        <v>57</v>
      </c>
      <c r="B816" s="20"/>
      <c r="C816" s="18"/>
      <c r="D816" s="18"/>
      <c r="E816" s="18"/>
      <c r="F816" s="18"/>
      <c r="G816" s="18"/>
      <c r="H816" s="18"/>
      <c r="I816" s="18"/>
      <c r="J816" s="18"/>
      <c r="Q816" s="17"/>
    </row>
    <row r="817" spans="1:19" hidden="1" x14ac:dyDescent="0.2">
      <c r="A817" s="18" t="s">
        <v>58</v>
      </c>
      <c r="B817" s="20" t="s">
        <v>59</v>
      </c>
      <c r="C817" s="18" t="s">
        <v>52</v>
      </c>
      <c r="D817" s="18" t="s">
        <v>55</v>
      </c>
      <c r="E817" s="60" t="s">
        <v>60</v>
      </c>
      <c r="F817" s="18" t="s">
        <v>61</v>
      </c>
      <c r="G817" s="18" t="s">
        <v>54</v>
      </c>
      <c r="H817" s="60" t="s">
        <v>51</v>
      </c>
      <c r="I817" s="18" t="s">
        <v>221</v>
      </c>
      <c r="J817" s="2" t="s">
        <v>379</v>
      </c>
      <c r="K817" s="62" t="s">
        <v>1059</v>
      </c>
      <c r="L817" s="62" t="s">
        <v>1060</v>
      </c>
      <c r="M817" s="62" t="s">
        <v>1061</v>
      </c>
      <c r="N817" s="62" t="s">
        <v>1062</v>
      </c>
      <c r="O817" s="62" t="s">
        <v>1063</v>
      </c>
      <c r="P817" s="62" t="s">
        <v>1064</v>
      </c>
      <c r="Q817" s="2" t="s">
        <v>1065</v>
      </c>
      <c r="R817" s="2" t="s">
        <v>380</v>
      </c>
      <c r="S817" s="18" t="s">
        <v>1128</v>
      </c>
    </row>
    <row r="818" spans="1:19" hidden="1" x14ac:dyDescent="0.2">
      <c r="A818" s="25" t="str">
        <f>B810</f>
        <v>electrolyzer production, 1MWe, SOEC, Stack</v>
      </c>
      <c r="B818" s="25">
        <v>1</v>
      </c>
      <c r="C818" s="17" t="s">
        <v>90</v>
      </c>
      <c r="D818" s="17" t="str">
        <f>B815</f>
        <v>unit</v>
      </c>
      <c r="F818" s="17" t="s">
        <v>62</v>
      </c>
      <c r="G818" s="17" t="str">
        <f>B813</f>
        <v>electrolyzer, 1MWe, SOEC, Stack</v>
      </c>
      <c r="Q818" s="17"/>
    </row>
    <row r="819" spans="1:19" hidden="1" x14ac:dyDescent="0.2">
      <c r="A819" s="17" t="s">
        <v>223</v>
      </c>
      <c r="B819" s="31">
        <v>8976.1</v>
      </c>
      <c r="C819" s="17" t="s">
        <v>85</v>
      </c>
      <c r="D819" s="17" t="s">
        <v>56</v>
      </c>
      <c r="F819" s="17" t="s">
        <v>86</v>
      </c>
      <c r="G819" s="17" t="s">
        <v>224</v>
      </c>
      <c r="H819" s="17" t="s">
        <v>726</v>
      </c>
      <c r="I819" s="17">
        <v>2</v>
      </c>
      <c r="J819">
        <f t="shared" ref="J819:J834" si="76">LN(B819)</f>
        <v>9.102320768520384</v>
      </c>
      <c r="K819" s="13">
        <v>1.05</v>
      </c>
      <c r="L819" s="13">
        <v>1.1000000000000001</v>
      </c>
      <c r="M819" s="13">
        <v>1</v>
      </c>
      <c r="N819" s="13">
        <v>1.02</v>
      </c>
      <c r="O819" s="13">
        <v>1.2</v>
      </c>
      <c r="P819" s="13">
        <v>1.2</v>
      </c>
      <c r="Q819">
        <v>1.05</v>
      </c>
      <c r="R819">
        <f t="shared" ref="R819:R834" si="77">LN(SQRT(EXP(
SQRT(
+POWER(LN(K819),2)
+POWER(LN(L819),2)
+POWER(LN(M819),2)
+POWER(LN(N819),2)
+POWER(LN(O819),2)
+POWER(LN(P819),2)
+POWER(LN(Q819),2)
)
)))</f>
        <v>0.14205582952229279</v>
      </c>
    </row>
    <row r="820" spans="1:19" hidden="1" x14ac:dyDescent="0.2">
      <c r="A820" s="17" t="s">
        <v>103</v>
      </c>
      <c r="B820" s="31">
        <v>8976.1</v>
      </c>
      <c r="C820" s="17" t="s">
        <v>85</v>
      </c>
      <c r="D820" s="17" t="s">
        <v>56</v>
      </c>
      <c r="F820" s="17" t="s">
        <v>86</v>
      </c>
      <c r="G820" s="17" t="s">
        <v>104</v>
      </c>
      <c r="H820" s="17" t="s">
        <v>726</v>
      </c>
      <c r="I820" s="17">
        <v>2</v>
      </c>
      <c r="J820">
        <f t="shared" si="76"/>
        <v>9.102320768520384</v>
      </c>
      <c r="K820" s="13">
        <v>1.05</v>
      </c>
      <c r="L820" s="13">
        <v>1.1000000000000001</v>
      </c>
      <c r="M820" s="13">
        <v>1</v>
      </c>
      <c r="N820" s="13">
        <v>1.02</v>
      </c>
      <c r="O820" s="13">
        <v>1.2</v>
      </c>
      <c r="P820" s="13">
        <v>1.2</v>
      </c>
      <c r="Q820">
        <v>1.05</v>
      </c>
      <c r="R820">
        <f t="shared" si="77"/>
        <v>0.14205582952229279</v>
      </c>
    </row>
    <row r="821" spans="1:19" hidden="1" x14ac:dyDescent="0.2">
      <c r="A821" s="17" t="s">
        <v>731</v>
      </c>
      <c r="B821" s="31">
        <v>9</v>
      </c>
      <c r="C821" s="17" t="s">
        <v>85</v>
      </c>
      <c r="D821" s="17" t="s">
        <v>56</v>
      </c>
      <c r="F821" s="17" t="s">
        <v>86</v>
      </c>
      <c r="G821" s="17" t="s">
        <v>736</v>
      </c>
      <c r="H821" s="17" t="s">
        <v>727</v>
      </c>
      <c r="I821" s="17">
        <v>2</v>
      </c>
      <c r="J821">
        <f t="shared" si="76"/>
        <v>2.1972245773362196</v>
      </c>
      <c r="K821" s="13">
        <v>1.05</v>
      </c>
      <c r="L821" s="13">
        <v>1.1000000000000001</v>
      </c>
      <c r="M821" s="13">
        <v>1</v>
      </c>
      <c r="N821" s="13">
        <v>1.02</v>
      </c>
      <c r="O821" s="13">
        <v>1.2</v>
      </c>
      <c r="P821" s="13">
        <v>1.2</v>
      </c>
      <c r="Q821">
        <v>1.05</v>
      </c>
      <c r="R821">
        <f t="shared" si="77"/>
        <v>0.14205582952229279</v>
      </c>
    </row>
    <row r="822" spans="1:19" hidden="1" x14ac:dyDescent="0.2">
      <c r="A822" s="17" t="s">
        <v>342</v>
      </c>
      <c r="B822" s="31">
        <v>7.5</v>
      </c>
      <c r="C822" s="17" t="s">
        <v>85</v>
      </c>
      <c r="D822" s="17" t="s">
        <v>56</v>
      </c>
      <c r="F822" s="17" t="s">
        <v>86</v>
      </c>
      <c r="G822" s="17" t="s">
        <v>343</v>
      </c>
      <c r="H822" s="17" t="s">
        <v>727</v>
      </c>
      <c r="I822" s="17">
        <v>2</v>
      </c>
      <c r="J822">
        <f t="shared" si="76"/>
        <v>2.0149030205422647</v>
      </c>
      <c r="K822" s="13">
        <v>1.05</v>
      </c>
      <c r="L822" s="13">
        <v>1.1000000000000001</v>
      </c>
      <c r="M822" s="13">
        <v>1</v>
      </c>
      <c r="N822" s="13">
        <v>1.02</v>
      </c>
      <c r="O822" s="13">
        <v>1.2</v>
      </c>
      <c r="P822" s="13">
        <v>1.2</v>
      </c>
      <c r="Q822">
        <v>1.05</v>
      </c>
      <c r="R822">
        <f t="shared" si="77"/>
        <v>0.14205582952229279</v>
      </c>
    </row>
    <row r="823" spans="1:19" hidden="1" x14ac:dyDescent="0.2">
      <c r="A823" s="17" t="s">
        <v>705</v>
      </c>
      <c r="B823" s="31">
        <v>170.7</v>
      </c>
      <c r="C823" s="17" t="s">
        <v>85</v>
      </c>
      <c r="D823" s="17" t="s">
        <v>56</v>
      </c>
      <c r="F823" s="17" t="s">
        <v>86</v>
      </c>
      <c r="G823" s="17" t="s">
        <v>706</v>
      </c>
      <c r="H823" s="17" t="s">
        <v>728</v>
      </c>
      <c r="I823" s="17">
        <v>2</v>
      </c>
      <c r="J823">
        <f t="shared" si="76"/>
        <v>5.139907629800395</v>
      </c>
      <c r="K823" s="13">
        <v>1.05</v>
      </c>
      <c r="L823" s="13">
        <v>1.1000000000000001</v>
      </c>
      <c r="M823" s="13">
        <v>1</v>
      </c>
      <c r="N823" s="13">
        <v>1.02</v>
      </c>
      <c r="O823" s="13">
        <v>1.2</v>
      </c>
      <c r="P823" s="13">
        <v>1.2</v>
      </c>
      <c r="Q823">
        <v>1.05</v>
      </c>
      <c r="R823">
        <f t="shared" si="77"/>
        <v>0.14205582952229279</v>
      </c>
    </row>
    <row r="824" spans="1:19" hidden="1" x14ac:dyDescent="0.2">
      <c r="A824" s="17" t="s">
        <v>742</v>
      </c>
      <c r="B824" s="31">
        <v>14.8</v>
      </c>
      <c r="C824" s="17" t="s">
        <v>85</v>
      </c>
      <c r="D824" s="17" t="s">
        <v>56</v>
      </c>
      <c r="F824" s="17" t="s">
        <v>86</v>
      </c>
      <c r="G824" s="17" t="s">
        <v>743</v>
      </c>
      <c r="H824" s="17" t="s">
        <v>728</v>
      </c>
      <c r="I824" s="17">
        <v>2</v>
      </c>
      <c r="J824">
        <f t="shared" si="76"/>
        <v>2.6946271807700692</v>
      </c>
      <c r="K824" s="13">
        <v>1.05</v>
      </c>
      <c r="L824" s="13">
        <v>1.1000000000000001</v>
      </c>
      <c r="M824" s="13">
        <v>1</v>
      </c>
      <c r="N824" s="13">
        <v>1.02</v>
      </c>
      <c r="O824" s="13">
        <v>1.2</v>
      </c>
      <c r="P824" s="13">
        <v>1.2</v>
      </c>
      <c r="Q824">
        <v>1.05</v>
      </c>
      <c r="R824">
        <f t="shared" si="77"/>
        <v>0.14205582952229279</v>
      </c>
    </row>
    <row r="825" spans="1:19" hidden="1" x14ac:dyDescent="0.2">
      <c r="A825" s="17" t="s">
        <v>744</v>
      </c>
      <c r="B825" s="31">
        <v>91.5</v>
      </c>
      <c r="C825" s="17" t="s">
        <v>85</v>
      </c>
      <c r="D825" s="17" t="s">
        <v>56</v>
      </c>
      <c r="F825" s="17" t="s">
        <v>86</v>
      </c>
      <c r="G825" s="17" t="s">
        <v>745</v>
      </c>
      <c r="H825" s="17" t="s">
        <v>727</v>
      </c>
      <c r="I825" s="17">
        <v>2</v>
      </c>
      <c r="J825">
        <f t="shared" si="76"/>
        <v>4.516338972281476</v>
      </c>
      <c r="K825" s="13">
        <v>1.05</v>
      </c>
      <c r="L825" s="13">
        <v>1.1000000000000001</v>
      </c>
      <c r="M825" s="13">
        <v>1</v>
      </c>
      <c r="N825" s="13">
        <v>1.02</v>
      </c>
      <c r="O825" s="13">
        <v>1.2</v>
      </c>
      <c r="P825" s="13">
        <v>1.2</v>
      </c>
      <c r="Q825">
        <v>1.05</v>
      </c>
      <c r="R825">
        <f t="shared" si="77"/>
        <v>0.14205582952229279</v>
      </c>
    </row>
    <row r="826" spans="1:19" hidden="1" x14ac:dyDescent="0.2">
      <c r="A826" s="17" t="s">
        <v>742</v>
      </c>
      <c r="B826" s="31">
        <v>22.9</v>
      </c>
      <c r="C826" s="17" t="s">
        <v>85</v>
      </c>
      <c r="D826" s="17" t="s">
        <v>56</v>
      </c>
      <c r="F826" s="17" t="s">
        <v>86</v>
      </c>
      <c r="G826" s="17" t="s">
        <v>743</v>
      </c>
      <c r="H826" s="17" t="s">
        <v>727</v>
      </c>
      <c r="I826" s="17">
        <v>2</v>
      </c>
      <c r="J826">
        <f t="shared" si="76"/>
        <v>3.1311369105601941</v>
      </c>
      <c r="K826" s="13">
        <v>1.05</v>
      </c>
      <c r="L826" s="13">
        <v>1.1000000000000001</v>
      </c>
      <c r="M826" s="13">
        <v>1</v>
      </c>
      <c r="N826" s="13">
        <v>1.02</v>
      </c>
      <c r="O826" s="13">
        <v>1.2</v>
      </c>
      <c r="P826" s="13">
        <v>1.2</v>
      </c>
      <c r="Q826">
        <v>1.05</v>
      </c>
      <c r="R826">
        <f t="shared" si="77"/>
        <v>0.14205582952229279</v>
      </c>
    </row>
    <row r="827" spans="1:19" hidden="1" x14ac:dyDescent="0.2">
      <c r="A827" s="17" t="s">
        <v>732</v>
      </c>
      <c r="B827" s="31">
        <f>42/2</f>
        <v>21</v>
      </c>
      <c r="C827" s="17" t="s">
        <v>85</v>
      </c>
      <c r="D827" s="17" t="s">
        <v>56</v>
      </c>
      <c r="F827" s="17" t="s">
        <v>86</v>
      </c>
      <c r="G827" s="17" t="s">
        <v>737</v>
      </c>
      <c r="H827" s="17" t="s">
        <v>741</v>
      </c>
      <c r="I827" s="17">
        <v>2</v>
      </c>
      <c r="J827">
        <f t="shared" si="76"/>
        <v>3.044522437723423</v>
      </c>
      <c r="K827" s="13">
        <v>1.05</v>
      </c>
      <c r="L827" s="13">
        <v>1.1000000000000001</v>
      </c>
      <c r="M827" s="13">
        <v>1</v>
      </c>
      <c r="N827" s="13">
        <v>1.02</v>
      </c>
      <c r="O827" s="13">
        <v>1.2</v>
      </c>
      <c r="P827" s="13">
        <v>1.2</v>
      </c>
      <c r="Q827">
        <v>1.05</v>
      </c>
      <c r="R827">
        <f t="shared" si="77"/>
        <v>0.14205582952229279</v>
      </c>
    </row>
    <row r="828" spans="1:19" hidden="1" x14ac:dyDescent="0.2">
      <c r="A828" s="17" t="s">
        <v>733</v>
      </c>
      <c r="B828" s="31">
        <f>42/2</f>
        <v>21</v>
      </c>
      <c r="C828" s="17" t="s">
        <v>85</v>
      </c>
      <c r="D828" s="17" t="s">
        <v>56</v>
      </c>
      <c r="F828" s="17" t="s">
        <v>86</v>
      </c>
      <c r="G828" s="17" t="s">
        <v>738</v>
      </c>
      <c r="H828" s="17" t="s">
        <v>741</v>
      </c>
      <c r="I828" s="17">
        <v>2</v>
      </c>
      <c r="J828">
        <f t="shared" si="76"/>
        <v>3.044522437723423</v>
      </c>
      <c r="K828" s="13">
        <v>1.05</v>
      </c>
      <c r="L828" s="13">
        <v>1.1000000000000001</v>
      </c>
      <c r="M828" s="13">
        <v>1</v>
      </c>
      <c r="N828" s="13">
        <v>1.02</v>
      </c>
      <c r="O828" s="13">
        <v>1.2</v>
      </c>
      <c r="P828" s="13">
        <v>1.2</v>
      </c>
      <c r="Q828">
        <v>1.05</v>
      </c>
      <c r="R828">
        <f t="shared" si="77"/>
        <v>0.14205582952229279</v>
      </c>
    </row>
    <row r="829" spans="1:19" hidden="1" x14ac:dyDescent="0.2">
      <c r="A829" s="17" t="s">
        <v>329</v>
      </c>
      <c r="B829" s="31">
        <v>6.4</v>
      </c>
      <c r="C829" s="17" t="s">
        <v>330</v>
      </c>
      <c r="D829" s="17" t="s">
        <v>56</v>
      </c>
      <c r="F829" s="17" t="s">
        <v>86</v>
      </c>
      <c r="G829" s="17" t="s">
        <v>331</v>
      </c>
      <c r="H829" s="17" t="s">
        <v>729</v>
      </c>
      <c r="I829" s="17">
        <v>2</v>
      </c>
      <c r="J829">
        <f t="shared" si="76"/>
        <v>1.8562979903656263</v>
      </c>
      <c r="K829" s="13">
        <v>1.05</v>
      </c>
      <c r="L829" s="13">
        <v>1.1000000000000001</v>
      </c>
      <c r="M829" s="13">
        <v>1</v>
      </c>
      <c r="N829" s="13">
        <v>1.02</v>
      </c>
      <c r="O829" s="13">
        <v>1.2</v>
      </c>
      <c r="P829" s="13">
        <v>1.2</v>
      </c>
      <c r="Q829">
        <v>1.05</v>
      </c>
      <c r="R829">
        <f t="shared" si="77"/>
        <v>0.14205582952229279</v>
      </c>
    </row>
    <row r="830" spans="1:19" hidden="1" x14ac:dyDescent="0.2">
      <c r="A830" s="17" t="s">
        <v>734</v>
      </c>
      <c r="B830" s="31">
        <v>6.4</v>
      </c>
      <c r="C830" s="17" t="s">
        <v>85</v>
      </c>
      <c r="D830" s="17" t="s">
        <v>56</v>
      </c>
      <c r="F830" s="17" t="s">
        <v>86</v>
      </c>
      <c r="G830" s="17" t="s">
        <v>739</v>
      </c>
      <c r="H830" s="17" t="s">
        <v>729</v>
      </c>
      <c r="I830" s="17">
        <v>2</v>
      </c>
      <c r="J830">
        <f t="shared" si="76"/>
        <v>1.8562979903656263</v>
      </c>
      <c r="K830" s="13">
        <v>1.05</v>
      </c>
      <c r="L830" s="13">
        <v>1.1000000000000001</v>
      </c>
      <c r="M830" s="13">
        <v>1</v>
      </c>
      <c r="N830" s="13">
        <v>1.02</v>
      </c>
      <c r="O830" s="13">
        <v>1.2</v>
      </c>
      <c r="P830" s="13">
        <v>1.2</v>
      </c>
      <c r="Q830">
        <v>1.05</v>
      </c>
      <c r="R830">
        <f t="shared" si="77"/>
        <v>0.14205582952229279</v>
      </c>
    </row>
    <row r="831" spans="1:19" hidden="1" x14ac:dyDescent="0.2">
      <c r="A831" s="17" t="s">
        <v>735</v>
      </c>
      <c r="B831" s="31">
        <v>6.4</v>
      </c>
      <c r="C831" s="17" t="s">
        <v>85</v>
      </c>
      <c r="D831" s="17" t="s">
        <v>56</v>
      </c>
      <c r="F831" s="17" t="s">
        <v>86</v>
      </c>
      <c r="G831" s="17" t="s">
        <v>740</v>
      </c>
      <c r="H831" s="17" t="s">
        <v>729</v>
      </c>
      <c r="I831" s="17">
        <v>2</v>
      </c>
      <c r="J831">
        <f t="shared" si="76"/>
        <v>1.8562979903656263</v>
      </c>
      <c r="K831" s="13">
        <v>1.05</v>
      </c>
      <c r="L831" s="13">
        <v>1.1000000000000001</v>
      </c>
      <c r="M831" s="13">
        <v>1</v>
      </c>
      <c r="N831" s="13">
        <v>1.02</v>
      </c>
      <c r="O831" s="13">
        <v>1.2</v>
      </c>
      <c r="P831" s="13">
        <v>1.2</v>
      </c>
      <c r="Q831">
        <v>1.05</v>
      </c>
      <c r="R831">
        <f t="shared" si="77"/>
        <v>0.14205582952229279</v>
      </c>
    </row>
    <row r="832" spans="1:19" hidden="1" x14ac:dyDescent="0.2">
      <c r="A832" s="17" t="s">
        <v>172</v>
      </c>
      <c r="B832" s="31">
        <v>6.4</v>
      </c>
      <c r="C832" s="17" t="s">
        <v>90</v>
      </c>
      <c r="D832" s="17" t="s">
        <v>56</v>
      </c>
      <c r="F832" s="17" t="s">
        <v>86</v>
      </c>
      <c r="G832" s="17" t="s">
        <v>173</v>
      </c>
      <c r="H832" s="17" t="s">
        <v>729</v>
      </c>
      <c r="I832" s="17">
        <v>2</v>
      </c>
      <c r="J832">
        <f t="shared" si="76"/>
        <v>1.8562979903656263</v>
      </c>
      <c r="K832" s="13">
        <v>1.05</v>
      </c>
      <c r="L832" s="13">
        <v>1.1000000000000001</v>
      </c>
      <c r="M832" s="13">
        <v>1</v>
      </c>
      <c r="N832" s="13">
        <v>1.02</v>
      </c>
      <c r="O832" s="13">
        <v>1.2</v>
      </c>
      <c r="P832" s="13">
        <v>1.2</v>
      </c>
      <c r="Q832">
        <v>1.05</v>
      </c>
      <c r="R832">
        <f t="shared" si="77"/>
        <v>0.14205582952229279</v>
      </c>
    </row>
    <row r="833" spans="1:19" hidden="1" x14ac:dyDescent="0.2">
      <c r="A833" s="17" t="s">
        <v>342</v>
      </c>
      <c r="B833" s="31">
        <v>136.6</v>
      </c>
      <c r="C833" s="17" t="s">
        <v>85</v>
      </c>
      <c r="D833" s="17" t="s">
        <v>56</v>
      </c>
      <c r="F833" s="17" t="s">
        <v>86</v>
      </c>
      <c r="G833" s="17" t="s">
        <v>343</v>
      </c>
      <c r="H833" s="17" t="s">
        <v>730</v>
      </c>
      <c r="I833" s="17">
        <v>2</v>
      </c>
      <c r="J833">
        <f t="shared" si="76"/>
        <v>4.9170569471366896</v>
      </c>
      <c r="K833" s="13">
        <v>1.05</v>
      </c>
      <c r="L833" s="13">
        <v>1.1000000000000001</v>
      </c>
      <c r="M833" s="13">
        <v>1</v>
      </c>
      <c r="N833" s="13">
        <v>1.02</v>
      </c>
      <c r="O833" s="13">
        <v>1.2</v>
      </c>
      <c r="P833" s="13">
        <v>1.2</v>
      </c>
      <c r="Q833">
        <v>1.05</v>
      </c>
      <c r="R833">
        <f t="shared" si="77"/>
        <v>0.14205582952229279</v>
      </c>
    </row>
    <row r="834" spans="1:19" hidden="1" x14ac:dyDescent="0.2">
      <c r="A834" s="17" t="s">
        <v>91</v>
      </c>
      <c r="B834" s="31">
        <v>366673.3</v>
      </c>
      <c r="C834" s="17" t="s">
        <v>85</v>
      </c>
      <c r="D834" s="17" t="s">
        <v>92</v>
      </c>
      <c r="F834" s="17" t="s">
        <v>86</v>
      </c>
      <c r="G834" s="17" t="s">
        <v>93</v>
      </c>
      <c r="H834" s="17" t="s">
        <v>694</v>
      </c>
      <c r="I834" s="17">
        <v>2</v>
      </c>
      <c r="J834">
        <f t="shared" si="76"/>
        <v>12.812226539845941</v>
      </c>
      <c r="K834" s="13">
        <v>1.05</v>
      </c>
      <c r="L834" s="13">
        <v>1.1000000000000001</v>
      </c>
      <c r="M834" s="13">
        <v>1</v>
      </c>
      <c r="N834" s="13">
        <v>1.02</v>
      </c>
      <c r="O834" s="13">
        <v>1.2</v>
      </c>
      <c r="P834" s="13">
        <v>1.2</v>
      </c>
      <c r="Q834">
        <v>1.05</v>
      </c>
      <c r="R834">
        <f t="shared" si="77"/>
        <v>0.14205582952229279</v>
      </c>
    </row>
    <row r="835" spans="1:19" hidden="1" x14ac:dyDescent="0.2">
      <c r="B835" s="31"/>
      <c r="F835" s="21"/>
      <c r="G835" s="21"/>
      <c r="Q835" s="17"/>
    </row>
    <row r="836" spans="1:19" hidden="1" x14ac:dyDescent="0.2">
      <c r="A836" s="19" t="s">
        <v>50</v>
      </c>
      <c r="B836" s="20" t="s">
        <v>753</v>
      </c>
      <c r="K836" s="63"/>
      <c r="L836" s="64"/>
      <c r="Q836" s="17"/>
    </row>
    <row r="837" spans="1:19" hidden="1" x14ac:dyDescent="0.2">
      <c r="A837" s="22" t="s">
        <v>53</v>
      </c>
      <c r="B837" s="23">
        <v>1</v>
      </c>
      <c r="K837" s="65"/>
      <c r="L837" s="64"/>
      <c r="Q837" s="17"/>
    </row>
    <row r="838" spans="1:19" hidden="1" x14ac:dyDescent="0.2">
      <c r="A838" s="22" t="s">
        <v>51</v>
      </c>
      <c r="B838" s="23" t="s">
        <v>725</v>
      </c>
      <c r="L838" s="64"/>
      <c r="Q838" s="17"/>
    </row>
    <row r="839" spans="1:19" hidden="1" x14ac:dyDescent="0.2">
      <c r="A839" s="22" t="s">
        <v>54</v>
      </c>
      <c r="B839" s="25" t="s">
        <v>1011</v>
      </c>
      <c r="Q839" s="17"/>
    </row>
    <row r="840" spans="1:19" ht="16.25" hidden="1" customHeight="1" x14ac:dyDescent="0.2">
      <c r="A840" s="22" t="s">
        <v>52</v>
      </c>
      <c r="B840" s="23" t="s">
        <v>90</v>
      </c>
      <c r="Q840" s="17"/>
    </row>
    <row r="841" spans="1:19" hidden="1" x14ac:dyDescent="0.2">
      <c r="A841" s="22" t="s">
        <v>55</v>
      </c>
      <c r="B841" s="25" t="s">
        <v>55</v>
      </c>
      <c r="H841" s="18"/>
      <c r="I841" s="18"/>
      <c r="Q841" s="17"/>
    </row>
    <row r="842" spans="1:19" hidden="1" x14ac:dyDescent="0.2">
      <c r="A842" s="18" t="s">
        <v>57</v>
      </c>
      <c r="B842" s="20"/>
      <c r="C842" s="18"/>
      <c r="D842" s="18"/>
      <c r="E842" s="18"/>
      <c r="F842" s="18"/>
      <c r="G842" s="18"/>
      <c r="H842" s="21"/>
      <c r="I842" s="21"/>
      <c r="Q842" s="17"/>
    </row>
    <row r="843" spans="1:19" hidden="1" x14ac:dyDescent="0.2">
      <c r="A843" s="18" t="s">
        <v>58</v>
      </c>
      <c r="B843" s="20" t="s">
        <v>59</v>
      </c>
      <c r="C843" s="18" t="s">
        <v>52</v>
      </c>
      <c r="D843" s="18" t="s">
        <v>55</v>
      </c>
      <c r="E843" s="60" t="s">
        <v>60</v>
      </c>
      <c r="F843" s="18" t="s">
        <v>61</v>
      </c>
      <c r="G843" s="18" t="s">
        <v>54</v>
      </c>
      <c r="H843" s="60" t="s">
        <v>51</v>
      </c>
      <c r="I843" s="18" t="s">
        <v>221</v>
      </c>
      <c r="J843" s="2" t="s">
        <v>379</v>
      </c>
      <c r="K843" s="62" t="s">
        <v>1059</v>
      </c>
      <c r="L843" s="62" t="s">
        <v>1060</v>
      </c>
      <c r="M843" s="62" t="s">
        <v>1061</v>
      </c>
      <c r="N843" s="62" t="s">
        <v>1062</v>
      </c>
      <c r="O843" s="62" t="s">
        <v>1063</v>
      </c>
      <c r="P843" s="62" t="s">
        <v>1064</v>
      </c>
      <c r="Q843" s="2" t="s">
        <v>1065</v>
      </c>
      <c r="R843" s="2" t="s">
        <v>380</v>
      </c>
      <c r="S843" s="18" t="s">
        <v>1128</v>
      </c>
    </row>
    <row r="844" spans="1:19" hidden="1" x14ac:dyDescent="0.2">
      <c r="A844" s="25" t="str">
        <f>B836</f>
        <v>electrolyzer production, 1MWe, SOEC, Balance of Plant</v>
      </c>
      <c r="B844" s="25">
        <v>1</v>
      </c>
      <c r="C844" s="17" t="s">
        <v>90</v>
      </c>
      <c r="D844" s="17" t="s">
        <v>55</v>
      </c>
      <c r="F844" s="17" t="s">
        <v>62</v>
      </c>
      <c r="G844" s="25" t="str">
        <f>B839</f>
        <v>electrolyzer, 1MWe, SOEC, Balance of Plant</v>
      </c>
      <c r="H844" s="21"/>
      <c r="I844" s="21"/>
      <c r="J844" s="21"/>
      <c r="Q844" s="17"/>
    </row>
    <row r="845" spans="1:19" hidden="1" x14ac:dyDescent="0.2">
      <c r="A845" s="17" t="s">
        <v>223</v>
      </c>
      <c r="B845" s="31">
        <v>5858.2</v>
      </c>
      <c r="C845" s="17" t="s">
        <v>85</v>
      </c>
      <c r="D845" s="17" t="s">
        <v>56</v>
      </c>
      <c r="F845" s="17" t="s">
        <v>86</v>
      </c>
      <c r="G845" s="17" t="s">
        <v>224</v>
      </c>
      <c r="H845" s="21" t="s">
        <v>746</v>
      </c>
      <c r="I845" s="17">
        <v>2</v>
      </c>
      <c r="J845">
        <f t="shared" ref="J845:J908" si="78">LN(B845)</f>
        <v>8.6755976681500453</v>
      </c>
      <c r="K845" s="13">
        <v>1.05</v>
      </c>
      <c r="L845" s="13">
        <v>1.1000000000000001</v>
      </c>
      <c r="M845" s="13">
        <v>1</v>
      </c>
      <c r="N845" s="13">
        <v>1.02</v>
      </c>
      <c r="O845" s="13">
        <v>1.2</v>
      </c>
      <c r="P845" s="13">
        <v>1.2</v>
      </c>
      <c r="Q845">
        <v>1.05</v>
      </c>
      <c r="R845">
        <f t="shared" ref="R845:R908" si="79">LN(SQRT(EXP(
SQRT(
+POWER(LN(K845),2)
+POWER(LN(L845),2)
+POWER(LN(M845),2)
+POWER(LN(N845),2)
+POWER(LN(O845),2)
+POWER(LN(P845),2)
+POWER(LN(Q845),2)
)
)))</f>
        <v>0.14205582952229279</v>
      </c>
    </row>
    <row r="846" spans="1:19" hidden="1" x14ac:dyDescent="0.2">
      <c r="A846" s="17" t="s">
        <v>103</v>
      </c>
      <c r="B846" s="31">
        <v>5858.2</v>
      </c>
      <c r="C846" s="17" t="s">
        <v>85</v>
      </c>
      <c r="D846" s="17" t="s">
        <v>56</v>
      </c>
      <c r="F846" s="17" t="s">
        <v>86</v>
      </c>
      <c r="G846" s="17" t="s">
        <v>104</v>
      </c>
      <c r="H846" s="21" t="s">
        <v>746</v>
      </c>
      <c r="I846" s="17">
        <v>2</v>
      </c>
      <c r="J846">
        <f t="shared" si="78"/>
        <v>8.6755976681500453</v>
      </c>
      <c r="K846" s="13">
        <v>1.05</v>
      </c>
      <c r="L846" s="13">
        <v>1.1000000000000001</v>
      </c>
      <c r="M846" s="13">
        <v>1</v>
      </c>
      <c r="N846" s="13">
        <v>1.02</v>
      </c>
      <c r="O846" s="13">
        <v>1.2</v>
      </c>
      <c r="P846" s="13">
        <v>1.2</v>
      </c>
      <c r="Q846">
        <v>1.05</v>
      </c>
      <c r="R846">
        <f t="shared" si="79"/>
        <v>0.14205582952229279</v>
      </c>
    </row>
    <row r="847" spans="1:19" hidden="1" x14ac:dyDescent="0.2">
      <c r="A847" s="25" t="s">
        <v>101</v>
      </c>
      <c r="B847" s="25">
        <v>300</v>
      </c>
      <c r="C847" s="17" t="s">
        <v>85</v>
      </c>
      <c r="D847" s="17" t="s">
        <v>56</v>
      </c>
      <c r="F847" s="17" t="s">
        <v>86</v>
      </c>
      <c r="G847" s="25" t="s">
        <v>102</v>
      </c>
      <c r="H847" s="21" t="s">
        <v>747</v>
      </c>
      <c r="I847" s="17">
        <v>2</v>
      </c>
      <c r="J847">
        <f t="shared" si="78"/>
        <v>5.7037824746562009</v>
      </c>
      <c r="K847" s="13">
        <v>1.05</v>
      </c>
      <c r="L847" s="13">
        <v>1.1000000000000001</v>
      </c>
      <c r="M847" s="13">
        <v>1</v>
      </c>
      <c r="N847" s="13">
        <v>1.02</v>
      </c>
      <c r="O847" s="13">
        <v>1.2</v>
      </c>
      <c r="P847" s="13">
        <v>1.2</v>
      </c>
      <c r="Q847">
        <v>1.05</v>
      </c>
      <c r="R847">
        <f t="shared" si="79"/>
        <v>0.14205582952229279</v>
      </c>
    </row>
    <row r="848" spans="1:19" hidden="1" x14ac:dyDescent="0.2">
      <c r="A848" s="25" t="s">
        <v>454</v>
      </c>
      <c r="B848" s="25">
        <v>225</v>
      </c>
      <c r="C848" s="17" t="s">
        <v>85</v>
      </c>
      <c r="D848" s="17" t="s">
        <v>56</v>
      </c>
      <c r="F848" s="17" t="s">
        <v>86</v>
      </c>
      <c r="G848" s="25" t="s">
        <v>455</v>
      </c>
      <c r="H848" s="21" t="s">
        <v>747</v>
      </c>
      <c r="I848" s="17">
        <v>2</v>
      </c>
      <c r="J848">
        <f t="shared" si="78"/>
        <v>5.4161004022044201</v>
      </c>
      <c r="K848" s="13">
        <v>1.05</v>
      </c>
      <c r="L848" s="13">
        <v>1.1000000000000001</v>
      </c>
      <c r="M848" s="13">
        <v>1</v>
      </c>
      <c r="N848" s="13">
        <v>1.02</v>
      </c>
      <c r="O848" s="13">
        <v>1.2</v>
      </c>
      <c r="P848" s="13">
        <v>1.2</v>
      </c>
      <c r="Q848">
        <v>1.05</v>
      </c>
      <c r="R848">
        <f t="shared" si="79"/>
        <v>0.14205582952229279</v>
      </c>
    </row>
    <row r="849" spans="1:18" hidden="1" x14ac:dyDescent="0.2">
      <c r="A849" s="25" t="s">
        <v>447</v>
      </c>
      <c r="B849" s="25">
        <f>180*5</f>
        <v>900</v>
      </c>
      <c r="C849" s="17" t="s">
        <v>85</v>
      </c>
      <c r="D849" s="17" t="s">
        <v>56</v>
      </c>
      <c r="F849" s="17" t="s">
        <v>86</v>
      </c>
      <c r="G849" s="25" t="s">
        <v>124</v>
      </c>
      <c r="H849" s="21" t="s">
        <v>747</v>
      </c>
      <c r="I849" s="17">
        <v>2</v>
      </c>
      <c r="J849">
        <f t="shared" si="78"/>
        <v>6.8023947633243109</v>
      </c>
      <c r="K849" s="13">
        <v>1.05</v>
      </c>
      <c r="L849" s="13">
        <v>1.1000000000000001</v>
      </c>
      <c r="M849" s="13">
        <v>1</v>
      </c>
      <c r="N849" s="13">
        <v>1.02</v>
      </c>
      <c r="O849" s="13">
        <v>1.2</v>
      </c>
      <c r="P849" s="13">
        <v>1.2</v>
      </c>
      <c r="Q849">
        <v>1.05</v>
      </c>
      <c r="R849">
        <f t="shared" si="79"/>
        <v>0.14205582952229279</v>
      </c>
    </row>
    <row r="850" spans="1:18" hidden="1" x14ac:dyDescent="0.2">
      <c r="A850" s="25" t="s">
        <v>523</v>
      </c>
      <c r="B850" s="25">
        <f>15*5</f>
        <v>75</v>
      </c>
      <c r="C850" s="17" t="s">
        <v>85</v>
      </c>
      <c r="D850" s="17" t="s">
        <v>56</v>
      </c>
      <c r="F850" s="17" t="s">
        <v>86</v>
      </c>
      <c r="G850" s="25" t="s">
        <v>127</v>
      </c>
      <c r="H850" s="21" t="s">
        <v>747</v>
      </c>
      <c r="I850" s="17">
        <v>2</v>
      </c>
      <c r="J850">
        <f t="shared" si="78"/>
        <v>4.3174881135363101</v>
      </c>
      <c r="K850" s="13">
        <v>1.05</v>
      </c>
      <c r="L850" s="13">
        <v>1.1000000000000001</v>
      </c>
      <c r="M850" s="13">
        <v>1</v>
      </c>
      <c r="N850" s="13">
        <v>1.02</v>
      </c>
      <c r="O850" s="13">
        <v>1.2</v>
      </c>
      <c r="P850" s="13">
        <v>1.2</v>
      </c>
      <c r="Q850">
        <v>1.05</v>
      </c>
      <c r="R850">
        <f t="shared" si="79"/>
        <v>0.14205582952229279</v>
      </c>
    </row>
    <row r="851" spans="1:18" hidden="1" x14ac:dyDescent="0.2">
      <c r="A851" s="25" t="s">
        <v>718</v>
      </c>
      <c r="B851" s="25">
        <f>45*5</f>
        <v>225</v>
      </c>
      <c r="C851" s="17" t="s">
        <v>85</v>
      </c>
      <c r="D851" s="17" t="s">
        <v>56</v>
      </c>
      <c r="F851" s="17" t="s">
        <v>86</v>
      </c>
      <c r="G851" s="25" t="s">
        <v>128</v>
      </c>
      <c r="H851" s="21" t="s">
        <v>747</v>
      </c>
      <c r="I851" s="17">
        <v>2</v>
      </c>
      <c r="J851">
        <f t="shared" si="78"/>
        <v>5.4161004022044201</v>
      </c>
      <c r="K851" s="13">
        <v>1.05</v>
      </c>
      <c r="L851" s="13">
        <v>1.1000000000000001</v>
      </c>
      <c r="M851" s="13">
        <v>1</v>
      </c>
      <c r="N851" s="13">
        <v>1.02</v>
      </c>
      <c r="O851" s="13">
        <v>1.2</v>
      </c>
      <c r="P851" s="13">
        <v>1.2</v>
      </c>
      <c r="Q851">
        <v>1.05</v>
      </c>
      <c r="R851">
        <f t="shared" si="79"/>
        <v>0.14205582952229279</v>
      </c>
    </row>
    <row r="852" spans="1:18" hidden="1" x14ac:dyDescent="0.2">
      <c r="A852" s="25" t="s">
        <v>425</v>
      </c>
      <c r="B852" s="25">
        <f>600*5</f>
        <v>3000</v>
      </c>
      <c r="C852" s="17" t="s">
        <v>85</v>
      </c>
      <c r="D852" s="17" t="s">
        <v>56</v>
      </c>
      <c r="F852" s="17" t="s">
        <v>86</v>
      </c>
      <c r="G852" s="25" t="s">
        <v>426</v>
      </c>
      <c r="H852" s="21" t="s">
        <v>754</v>
      </c>
      <c r="I852" s="17">
        <v>2</v>
      </c>
      <c r="J852">
        <f t="shared" si="78"/>
        <v>8.0063675676502459</v>
      </c>
      <c r="K852" s="13">
        <v>1.05</v>
      </c>
      <c r="L852" s="13">
        <v>1.1000000000000001</v>
      </c>
      <c r="M852" s="13">
        <v>1</v>
      </c>
      <c r="N852" s="13">
        <v>1.02</v>
      </c>
      <c r="O852" s="13">
        <v>1.2</v>
      </c>
      <c r="P852" s="13">
        <v>1.2</v>
      </c>
      <c r="Q852">
        <v>1.05</v>
      </c>
      <c r="R852">
        <f t="shared" si="79"/>
        <v>0.14205582952229279</v>
      </c>
    </row>
    <row r="853" spans="1:18" hidden="1" x14ac:dyDescent="0.2">
      <c r="A853" s="25" t="s">
        <v>583</v>
      </c>
      <c r="B853" s="25">
        <f>7*5</f>
        <v>35</v>
      </c>
      <c r="C853" s="17" t="s">
        <v>85</v>
      </c>
      <c r="D853" s="17" t="s">
        <v>56</v>
      </c>
      <c r="F853" s="17" t="s">
        <v>86</v>
      </c>
      <c r="G853" s="25" t="s">
        <v>246</v>
      </c>
      <c r="H853" s="21" t="s">
        <v>754</v>
      </c>
      <c r="I853" s="17">
        <v>2</v>
      </c>
      <c r="J853">
        <f t="shared" si="78"/>
        <v>3.5553480614894135</v>
      </c>
      <c r="K853" s="13">
        <v>1.05</v>
      </c>
      <c r="L853" s="13">
        <v>1.1000000000000001</v>
      </c>
      <c r="M853" s="13">
        <v>1</v>
      </c>
      <c r="N853" s="13">
        <v>1.02</v>
      </c>
      <c r="O853" s="13">
        <v>1.2</v>
      </c>
      <c r="P853" s="13">
        <v>1.2</v>
      </c>
      <c r="Q853">
        <v>1.05</v>
      </c>
      <c r="R853">
        <f t="shared" si="79"/>
        <v>0.14205582952229279</v>
      </c>
    </row>
    <row r="854" spans="1:18" hidden="1" x14ac:dyDescent="0.2">
      <c r="A854" s="25" t="s">
        <v>447</v>
      </c>
      <c r="B854" s="25">
        <f>1300*5</f>
        <v>6500</v>
      </c>
      <c r="C854" s="17" t="s">
        <v>85</v>
      </c>
      <c r="D854" s="17" t="s">
        <v>56</v>
      </c>
      <c r="F854" s="17" t="s">
        <v>86</v>
      </c>
      <c r="G854" s="25" t="s">
        <v>124</v>
      </c>
      <c r="H854" s="21" t="s">
        <v>754</v>
      </c>
      <c r="I854" s="17">
        <v>2</v>
      </c>
      <c r="J854">
        <f t="shared" si="78"/>
        <v>8.7795574558837277</v>
      </c>
      <c r="K854" s="13">
        <v>1.05</v>
      </c>
      <c r="L854" s="13">
        <v>1.1000000000000001</v>
      </c>
      <c r="M854" s="13">
        <v>1</v>
      </c>
      <c r="N854" s="13">
        <v>1.02</v>
      </c>
      <c r="O854" s="13">
        <v>1.2</v>
      </c>
      <c r="P854" s="13">
        <v>1.2</v>
      </c>
      <c r="Q854">
        <v>1.05</v>
      </c>
      <c r="R854">
        <f t="shared" si="79"/>
        <v>0.14205582952229279</v>
      </c>
    </row>
    <row r="855" spans="1:18" hidden="1" x14ac:dyDescent="0.2">
      <c r="A855" s="25" t="s">
        <v>223</v>
      </c>
      <c r="B855" s="25">
        <f>405*5</f>
        <v>2025</v>
      </c>
      <c r="C855" s="17" t="s">
        <v>85</v>
      </c>
      <c r="D855" s="17" t="s">
        <v>56</v>
      </c>
      <c r="F855" s="17" t="s">
        <v>86</v>
      </c>
      <c r="G855" s="25" t="s">
        <v>224</v>
      </c>
      <c r="H855" s="21" t="s">
        <v>754</v>
      </c>
      <c r="I855" s="17">
        <v>2</v>
      </c>
      <c r="J855">
        <f t="shared" si="78"/>
        <v>7.6133249795406392</v>
      </c>
      <c r="K855" s="13">
        <v>1.05</v>
      </c>
      <c r="L855" s="13">
        <v>1.1000000000000001</v>
      </c>
      <c r="M855" s="13">
        <v>1</v>
      </c>
      <c r="N855" s="13">
        <v>1.02</v>
      </c>
      <c r="O855" s="13">
        <v>1.2</v>
      </c>
      <c r="P855" s="13">
        <v>1.2</v>
      </c>
      <c r="Q855">
        <v>1.05</v>
      </c>
      <c r="R855">
        <f t="shared" si="79"/>
        <v>0.14205582952229279</v>
      </c>
    </row>
    <row r="856" spans="1:18" hidden="1" x14ac:dyDescent="0.2">
      <c r="A856" s="25" t="s">
        <v>228</v>
      </c>
      <c r="B856" s="25">
        <f>400*5</f>
        <v>2000</v>
      </c>
      <c r="C856" s="17" t="s">
        <v>85</v>
      </c>
      <c r="D856" s="17" t="s">
        <v>56</v>
      </c>
      <c r="F856" s="17" t="s">
        <v>86</v>
      </c>
      <c r="G856" s="25" t="s">
        <v>126</v>
      </c>
      <c r="H856" s="21" t="s">
        <v>754</v>
      </c>
      <c r="I856" s="17">
        <v>2</v>
      </c>
      <c r="J856">
        <f t="shared" si="78"/>
        <v>7.6009024595420822</v>
      </c>
      <c r="K856" s="13">
        <v>1.05</v>
      </c>
      <c r="L856" s="13">
        <v>1.1000000000000001</v>
      </c>
      <c r="M856" s="13">
        <v>1</v>
      </c>
      <c r="N856" s="13">
        <v>1.02</v>
      </c>
      <c r="O856" s="13">
        <v>1.2</v>
      </c>
      <c r="P856" s="13">
        <v>1.2</v>
      </c>
      <c r="Q856">
        <v>1.05</v>
      </c>
      <c r="R856">
        <f t="shared" si="79"/>
        <v>0.14205582952229279</v>
      </c>
    </row>
    <row r="857" spans="1:18" hidden="1" x14ac:dyDescent="0.2">
      <c r="A857" s="25" t="s">
        <v>103</v>
      </c>
      <c r="B857" s="25">
        <f>405*5</f>
        <v>2025</v>
      </c>
      <c r="C857" s="17" t="s">
        <v>85</v>
      </c>
      <c r="D857" s="17" t="s">
        <v>56</v>
      </c>
      <c r="F857" s="17" t="s">
        <v>86</v>
      </c>
      <c r="G857" s="25" t="s">
        <v>104</v>
      </c>
      <c r="H857" s="21" t="s">
        <v>754</v>
      </c>
      <c r="I857" s="17">
        <v>2</v>
      </c>
      <c r="J857">
        <f t="shared" si="78"/>
        <v>7.6133249795406392</v>
      </c>
      <c r="K857" s="13">
        <v>1.05</v>
      </c>
      <c r="L857" s="13">
        <v>1.1000000000000001</v>
      </c>
      <c r="M857" s="13">
        <v>1</v>
      </c>
      <c r="N857" s="13">
        <v>1.02</v>
      </c>
      <c r="O857" s="13">
        <v>1.2</v>
      </c>
      <c r="P857" s="13">
        <v>1.2</v>
      </c>
      <c r="Q857">
        <v>1.05</v>
      </c>
      <c r="R857">
        <f t="shared" si="79"/>
        <v>0.14205582952229279</v>
      </c>
    </row>
    <row r="858" spans="1:18" hidden="1" x14ac:dyDescent="0.2">
      <c r="A858" s="25" t="s">
        <v>447</v>
      </c>
      <c r="B858" s="25">
        <f>1000*5</f>
        <v>5000</v>
      </c>
      <c r="C858" s="17" t="s">
        <v>85</v>
      </c>
      <c r="D858" s="17" t="s">
        <v>56</v>
      </c>
      <c r="F858" s="17" t="s">
        <v>86</v>
      </c>
      <c r="G858" s="25" t="s">
        <v>124</v>
      </c>
      <c r="H858" s="21" t="s">
        <v>755</v>
      </c>
      <c r="I858" s="17">
        <v>2</v>
      </c>
      <c r="J858">
        <f t="shared" si="78"/>
        <v>8.5171931914162382</v>
      </c>
      <c r="K858" s="13">
        <v>1.05</v>
      </c>
      <c r="L858" s="13">
        <v>1.1000000000000001</v>
      </c>
      <c r="M858" s="13">
        <v>1</v>
      </c>
      <c r="N858" s="13">
        <v>1.02</v>
      </c>
      <c r="O858" s="13">
        <v>1.2</v>
      </c>
      <c r="P858" s="13">
        <v>1.2</v>
      </c>
      <c r="Q858">
        <v>1.05</v>
      </c>
      <c r="R858">
        <f t="shared" si="79"/>
        <v>0.14205582952229279</v>
      </c>
    </row>
    <row r="859" spans="1:18" hidden="1" x14ac:dyDescent="0.2">
      <c r="A859" s="25" t="s">
        <v>223</v>
      </c>
      <c r="B859" s="25">
        <f>1500*5</f>
        <v>7500</v>
      </c>
      <c r="C859" s="17" t="s">
        <v>85</v>
      </c>
      <c r="D859" s="17" t="s">
        <v>56</v>
      </c>
      <c r="F859" s="17" t="s">
        <v>86</v>
      </c>
      <c r="G859" s="25" t="s">
        <v>224</v>
      </c>
      <c r="H859" s="21" t="s">
        <v>755</v>
      </c>
      <c r="I859" s="17">
        <v>2</v>
      </c>
      <c r="J859">
        <f t="shared" si="78"/>
        <v>8.9226582995244019</v>
      </c>
      <c r="K859" s="13">
        <v>1.05</v>
      </c>
      <c r="L859" s="13">
        <v>1.1000000000000001</v>
      </c>
      <c r="M859" s="13">
        <v>1</v>
      </c>
      <c r="N859" s="13">
        <v>1.02</v>
      </c>
      <c r="O859" s="13">
        <v>1.2</v>
      </c>
      <c r="P859" s="13">
        <v>1.2</v>
      </c>
      <c r="Q859">
        <v>1.05</v>
      </c>
      <c r="R859">
        <f t="shared" si="79"/>
        <v>0.14205582952229279</v>
      </c>
    </row>
    <row r="860" spans="1:18" hidden="1" x14ac:dyDescent="0.2">
      <c r="A860" s="25" t="s">
        <v>228</v>
      </c>
      <c r="B860" s="25">
        <f>1000*5</f>
        <v>5000</v>
      </c>
      <c r="C860" s="17" t="s">
        <v>85</v>
      </c>
      <c r="D860" s="17" t="s">
        <v>56</v>
      </c>
      <c r="F860" s="17" t="s">
        <v>86</v>
      </c>
      <c r="G860" s="25" t="s">
        <v>126</v>
      </c>
      <c r="H860" s="21" t="s">
        <v>755</v>
      </c>
      <c r="I860" s="17">
        <v>2</v>
      </c>
      <c r="J860">
        <f t="shared" si="78"/>
        <v>8.5171931914162382</v>
      </c>
      <c r="K860" s="13">
        <v>1.05</v>
      </c>
      <c r="L860" s="13">
        <v>1.1000000000000001</v>
      </c>
      <c r="M860" s="13">
        <v>1</v>
      </c>
      <c r="N860" s="13">
        <v>1.02</v>
      </c>
      <c r="O860" s="13">
        <v>1.2</v>
      </c>
      <c r="P860" s="13">
        <v>1.2</v>
      </c>
      <c r="Q860">
        <v>1.05</v>
      </c>
      <c r="R860">
        <f t="shared" si="79"/>
        <v>0.14205582952229279</v>
      </c>
    </row>
    <row r="861" spans="1:18" hidden="1" x14ac:dyDescent="0.2">
      <c r="A861" s="25" t="s">
        <v>103</v>
      </c>
      <c r="B861" s="25">
        <f>1500*5</f>
        <v>7500</v>
      </c>
      <c r="C861" s="17" t="s">
        <v>85</v>
      </c>
      <c r="D861" s="17" t="s">
        <v>56</v>
      </c>
      <c r="F861" s="17" t="s">
        <v>86</v>
      </c>
      <c r="G861" s="25" t="s">
        <v>104</v>
      </c>
      <c r="H861" s="21" t="s">
        <v>755</v>
      </c>
      <c r="I861" s="17">
        <v>2</v>
      </c>
      <c r="J861">
        <f t="shared" si="78"/>
        <v>8.9226582995244019</v>
      </c>
      <c r="K861" s="13">
        <v>1.05</v>
      </c>
      <c r="L861" s="13">
        <v>1.1000000000000001</v>
      </c>
      <c r="M861" s="13">
        <v>1</v>
      </c>
      <c r="N861" s="13">
        <v>1.02</v>
      </c>
      <c r="O861" s="13">
        <v>1.2</v>
      </c>
      <c r="P861" s="13">
        <v>1.2</v>
      </c>
      <c r="Q861">
        <v>1.05</v>
      </c>
      <c r="R861">
        <f t="shared" si="79"/>
        <v>0.14205582952229279</v>
      </c>
    </row>
    <row r="862" spans="1:18" hidden="1" x14ac:dyDescent="0.2">
      <c r="A862" s="25" t="s">
        <v>101</v>
      </c>
      <c r="B862" s="25">
        <v>100</v>
      </c>
      <c r="C862" s="17" t="s">
        <v>85</v>
      </c>
      <c r="D862" s="17" t="s">
        <v>56</v>
      </c>
      <c r="F862" s="17" t="s">
        <v>86</v>
      </c>
      <c r="G862" s="25" t="s">
        <v>102</v>
      </c>
      <c r="H862" s="21" t="s">
        <v>756</v>
      </c>
      <c r="I862" s="17">
        <v>2</v>
      </c>
      <c r="J862">
        <f t="shared" si="78"/>
        <v>4.6051701859880918</v>
      </c>
      <c r="K862" s="13">
        <v>1.05</v>
      </c>
      <c r="L862" s="13">
        <v>1.1000000000000001</v>
      </c>
      <c r="M862" s="13">
        <v>1</v>
      </c>
      <c r="N862" s="13">
        <v>1.02</v>
      </c>
      <c r="O862" s="13">
        <v>1.2</v>
      </c>
      <c r="P862" s="13">
        <v>1.2</v>
      </c>
      <c r="Q862">
        <v>1.05</v>
      </c>
      <c r="R862">
        <f t="shared" si="79"/>
        <v>0.14205582952229279</v>
      </c>
    </row>
    <row r="863" spans="1:18" hidden="1" x14ac:dyDescent="0.2">
      <c r="A863" s="25" t="s">
        <v>454</v>
      </c>
      <c r="B863" s="25">
        <v>200</v>
      </c>
      <c r="C863" s="17" t="s">
        <v>85</v>
      </c>
      <c r="D863" s="17" t="s">
        <v>56</v>
      </c>
      <c r="F863" s="17" t="s">
        <v>86</v>
      </c>
      <c r="G863" s="25" t="s">
        <v>455</v>
      </c>
      <c r="H863" s="21" t="s">
        <v>756</v>
      </c>
      <c r="I863" s="17">
        <v>2</v>
      </c>
      <c r="J863">
        <f t="shared" si="78"/>
        <v>5.2983173665480363</v>
      </c>
      <c r="K863" s="13">
        <v>1.05</v>
      </c>
      <c r="L863" s="13">
        <v>1.1000000000000001</v>
      </c>
      <c r="M863" s="13">
        <v>1</v>
      </c>
      <c r="N863" s="13">
        <v>1.02</v>
      </c>
      <c r="O863" s="13">
        <v>1.2</v>
      </c>
      <c r="P863" s="13">
        <v>1.2</v>
      </c>
      <c r="Q863">
        <v>1.05</v>
      </c>
      <c r="R863">
        <f t="shared" si="79"/>
        <v>0.14205582952229279</v>
      </c>
    </row>
    <row r="864" spans="1:18" hidden="1" x14ac:dyDescent="0.2">
      <c r="A864" s="25" t="s">
        <v>447</v>
      </c>
      <c r="B864" s="25">
        <v>600</v>
      </c>
      <c r="C864" s="17" t="s">
        <v>85</v>
      </c>
      <c r="D864" s="17" t="s">
        <v>56</v>
      </c>
      <c r="F864" s="17" t="s">
        <v>86</v>
      </c>
      <c r="G864" s="25" t="s">
        <v>124</v>
      </c>
      <c r="H864" s="21" t="s">
        <v>756</v>
      </c>
      <c r="I864" s="17">
        <v>2</v>
      </c>
      <c r="J864">
        <f t="shared" si="78"/>
        <v>6.3969296552161463</v>
      </c>
      <c r="K864" s="13">
        <v>1.05</v>
      </c>
      <c r="L864" s="13">
        <v>1.1000000000000001</v>
      </c>
      <c r="M864" s="13">
        <v>1</v>
      </c>
      <c r="N864" s="13">
        <v>1.02</v>
      </c>
      <c r="O864" s="13">
        <v>1.2</v>
      </c>
      <c r="P864" s="13">
        <v>1.2</v>
      </c>
      <c r="Q864">
        <v>1.05</v>
      </c>
      <c r="R864">
        <f t="shared" si="79"/>
        <v>0.14205582952229279</v>
      </c>
    </row>
    <row r="865" spans="1:18" hidden="1" x14ac:dyDescent="0.2">
      <c r="A865" s="25" t="s">
        <v>222</v>
      </c>
      <c r="B865" s="25">
        <v>100</v>
      </c>
      <c r="C865" s="17" t="s">
        <v>85</v>
      </c>
      <c r="D865" s="17" t="s">
        <v>56</v>
      </c>
      <c r="F865" s="17" t="s">
        <v>86</v>
      </c>
      <c r="G865" s="25" t="s">
        <v>125</v>
      </c>
      <c r="H865" s="21" t="s">
        <v>756</v>
      </c>
      <c r="I865" s="17">
        <v>2</v>
      </c>
      <c r="J865">
        <f t="shared" si="78"/>
        <v>4.6051701859880918</v>
      </c>
      <c r="K865" s="13">
        <v>1.05</v>
      </c>
      <c r="L865" s="13">
        <v>1.1000000000000001</v>
      </c>
      <c r="M865" s="13">
        <v>1</v>
      </c>
      <c r="N865" s="13">
        <v>1.02</v>
      </c>
      <c r="O865" s="13">
        <v>1.2</v>
      </c>
      <c r="P865" s="13">
        <v>1.2</v>
      </c>
      <c r="Q865">
        <v>1.05</v>
      </c>
      <c r="R865">
        <f t="shared" si="79"/>
        <v>0.14205582952229279</v>
      </c>
    </row>
    <row r="866" spans="1:18" hidden="1" x14ac:dyDescent="0.2">
      <c r="A866" s="25" t="s">
        <v>228</v>
      </c>
      <c r="B866" s="25">
        <v>600</v>
      </c>
      <c r="C866" s="17" t="s">
        <v>85</v>
      </c>
      <c r="D866" s="17" t="s">
        <v>56</v>
      </c>
      <c r="F866" s="17" t="s">
        <v>86</v>
      </c>
      <c r="G866" s="25" t="s">
        <v>126</v>
      </c>
      <c r="H866" s="21" t="s">
        <v>756</v>
      </c>
      <c r="I866" s="17">
        <v>2</v>
      </c>
      <c r="J866">
        <f t="shared" si="78"/>
        <v>6.3969296552161463</v>
      </c>
      <c r="K866" s="13">
        <v>1.05</v>
      </c>
      <c r="L866" s="13">
        <v>1.1000000000000001</v>
      </c>
      <c r="M866" s="13">
        <v>1</v>
      </c>
      <c r="N866" s="13">
        <v>1.02</v>
      </c>
      <c r="O866" s="13">
        <v>1.2</v>
      </c>
      <c r="P866" s="13">
        <v>1.2</v>
      </c>
      <c r="Q866">
        <v>1.05</v>
      </c>
      <c r="R866">
        <f t="shared" si="79"/>
        <v>0.14205582952229279</v>
      </c>
    </row>
    <row r="867" spans="1:18" hidden="1" x14ac:dyDescent="0.2">
      <c r="A867" s="25" t="s">
        <v>523</v>
      </c>
      <c r="B867" s="25">
        <v>100</v>
      </c>
      <c r="C867" s="17" t="s">
        <v>85</v>
      </c>
      <c r="D867" s="17" t="s">
        <v>56</v>
      </c>
      <c r="F867" s="17" t="s">
        <v>86</v>
      </c>
      <c r="G867" s="25" t="s">
        <v>127</v>
      </c>
      <c r="H867" s="21" t="s">
        <v>756</v>
      </c>
      <c r="I867" s="17">
        <v>2</v>
      </c>
      <c r="J867">
        <f t="shared" si="78"/>
        <v>4.6051701859880918</v>
      </c>
      <c r="K867" s="13">
        <v>1.05</v>
      </c>
      <c r="L867" s="13">
        <v>1.1000000000000001</v>
      </c>
      <c r="M867" s="13">
        <v>1</v>
      </c>
      <c r="N867" s="13">
        <v>1.02</v>
      </c>
      <c r="O867" s="13">
        <v>1.2</v>
      </c>
      <c r="P867" s="13">
        <v>1.2</v>
      </c>
      <c r="Q867">
        <v>1.05</v>
      </c>
      <c r="R867">
        <f t="shared" si="79"/>
        <v>0.14205582952229279</v>
      </c>
    </row>
    <row r="868" spans="1:18" hidden="1" x14ac:dyDescent="0.2">
      <c r="A868" s="25" t="s">
        <v>718</v>
      </c>
      <c r="B868" s="25">
        <v>200</v>
      </c>
      <c r="C868" s="17" t="s">
        <v>85</v>
      </c>
      <c r="D868" s="17" t="s">
        <v>56</v>
      </c>
      <c r="F868" s="17" t="s">
        <v>86</v>
      </c>
      <c r="G868" s="25" t="s">
        <v>128</v>
      </c>
      <c r="H868" s="21" t="s">
        <v>756</v>
      </c>
      <c r="I868" s="17">
        <v>2</v>
      </c>
      <c r="J868">
        <f t="shared" si="78"/>
        <v>5.2983173665480363</v>
      </c>
      <c r="K868" s="13">
        <v>1.05</v>
      </c>
      <c r="L868" s="13">
        <v>1.1000000000000001</v>
      </c>
      <c r="M868" s="13">
        <v>1</v>
      </c>
      <c r="N868" s="13">
        <v>1.02</v>
      </c>
      <c r="O868" s="13">
        <v>1.2</v>
      </c>
      <c r="P868" s="13">
        <v>1.2</v>
      </c>
      <c r="Q868">
        <v>1.05</v>
      </c>
      <c r="R868">
        <f t="shared" si="79"/>
        <v>0.14205582952229279</v>
      </c>
    </row>
    <row r="869" spans="1:18" hidden="1" x14ac:dyDescent="0.2">
      <c r="A869" s="25" t="s">
        <v>118</v>
      </c>
      <c r="B869" s="25">
        <v>100</v>
      </c>
      <c r="C869" s="17" t="s">
        <v>85</v>
      </c>
      <c r="D869" s="17" t="s">
        <v>56</v>
      </c>
      <c r="F869" s="17" t="s">
        <v>86</v>
      </c>
      <c r="G869" s="25" t="s">
        <v>119</v>
      </c>
      <c r="H869" s="21" t="s">
        <v>757</v>
      </c>
      <c r="I869" s="17">
        <v>2</v>
      </c>
      <c r="J869">
        <f t="shared" si="78"/>
        <v>4.6051701859880918</v>
      </c>
      <c r="K869" s="13">
        <v>1.05</v>
      </c>
      <c r="L869" s="13">
        <v>1.1000000000000001</v>
      </c>
      <c r="M869" s="13">
        <v>1</v>
      </c>
      <c r="N869" s="13">
        <v>1.02</v>
      </c>
      <c r="O869" s="13">
        <v>1.2</v>
      </c>
      <c r="P869" s="13">
        <v>1.2</v>
      </c>
      <c r="Q869">
        <v>1.05</v>
      </c>
      <c r="R869">
        <f t="shared" si="79"/>
        <v>0.14205582952229279</v>
      </c>
    </row>
    <row r="870" spans="1:18" hidden="1" x14ac:dyDescent="0.2">
      <c r="A870" s="25" t="s">
        <v>223</v>
      </c>
      <c r="B870" s="25">
        <f>25.3+2.1</f>
        <v>27.400000000000002</v>
      </c>
      <c r="C870" s="17" t="s">
        <v>85</v>
      </c>
      <c r="D870" s="17" t="s">
        <v>56</v>
      </c>
      <c r="F870" s="17" t="s">
        <v>86</v>
      </c>
      <c r="G870" s="25" t="s">
        <v>224</v>
      </c>
      <c r="H870" s="21" t="s">
        <v>758</v>
      </c>
      <c r="I870" s="17">
        <v>2</v>
      </c>
      <c r="J870">
        <f t="shared" si="78"/>
        <v>3.3105430133940246</v>
      </c>
      <c r="K870" s="13">
        <v>1.05</v>
      </c>
      <c r="L870" s="13">
        <v>1.1000000000000001</v>
      </c>
      <c r="M870" s="13">
        <v>1</v>
      </c>
      <c r="N870" s="13">
        <v>1.02</v>
      </c>
      <c r="O870" s="13">
        <v>1.2</v>
      </c>
      <c r="P870" s="13">
        <v>1.2</v>
      </c>
      <c r="Q870">
        <v>1.05</v>
      </c>
      <c r="R870">
        <f t="shared" si="79"/>
        <v>0.14205582952229279</v>
      </c>
    </row>
    <row r="871" spans="1:18" hidden="1" x14ac:dyDescent="0.2">
      <c r="A871" s="25" t="s">
        <v>103</v>
      </c>
      <c r="B871" s="25">
        <f>25.3+2.1</f>
        <v>27.400000000000002</v>
      </c>
      <c r="C871" s="17" t="s">
        <v>85</v>
      </c>
      <c r="D871" s="17" t="s">
        <v>56</v>
      </c>
      <c r="F871" s="17" t="s">
        <v>86</v>
      </c>
      <c r="G871" s="25" t="s">
        <v>104</v>
      </c>
      <c r="H871" s="21" t="s">
        <v>758</v>
      </c>
      <c r="I871" s="17">
        <v>2</v>
      </c>
      <c r="J871">
        <f t="shared" si="78"/>
        <v>3.3105430133940246</v>
      </c>
      <c r="K871" s="13">
        <v>1.05</v>
      </c>
      <c r="L871" s="13">
        <v>1.1000000000000001</v>
      </c>
      <c r="M871" s="13">
        <v>1</v>
      </c>
      <c r="N871" s="13">
        <v>1.02</v>
      </c>
      <c r="O871" s="13">
        <v>1.2</v>
      </c>
      <c r="P871" s="13">
        <v>1.2</v>
      </c>
      <c r="Q871">
        <v>1.05</v>
      </c>
      <c r="R871">
        <f t="shared" si="79"/>
        <v>0.14205582952229279</v>
      </c>
    </row>
    <row r="872" spans="1:18" hidden="1" x14ac:dyDescent="0.2">
      <c r="A872" s="25" t="s">
        <v>223</v>
      </c>
      <c r="B872" s="25">
        <v>2.4</v>
      </c>
      <c r="C872" s="17" t="s">
        <v>85</v>
      </c>
      <c r="D872" s="17" t="s">
        <v>56</v>
      </c>
      <c r="F872" s="17" t="s">
        <v>86</v>
      </c>
      <c r="G872" s="25" t="s">
        <v>224</v>
      </c>
      <c r="H872" s="21" t="s">
        <v>759</v>
      </c>
      <c r="I872" s="17">
        <v>2</v>
      </c>
      <c r="J872">
        <f t="shared" si="78"/>
        <v>0.87546873735389985</v>
      </c>
      <c r="K872" s="13">
        <v>1.05</v>
      </c>
      <c r="L872" s="13">
        <v>1.1000000000000001</v>
      </c>
      <c r="M872" s="13">
        <v>1</v>
      </c>
      <c r="N872" s="13">
        <v>1.02</v>
      </c>
      <c r="O872" s="13">
        <v>1.2</v>
      </c>
      <c r="P872" s="13">
        <v>1.2</v>
      </c>
      <c r="Q872">
        <v>1.05</v>
      </c>
      <c r="R872">
        <f t="shared" si="79"/>
        <v>0.14205582952229279</v>
      </c>
    </row>
    <row r="873" spans="1:18" hidden="1" x14ac:dyDescent="0.2">
      <c r="A873" s="25" t="s">
        <v>103</v>
      </c>
      <c r="B873" s="25">
        <v>2.4</v>
      </c>
      <c r="C873" s="17" t="s">
        <v>85</v>
      </c>
      <c r="D873" s="17" t="s">
        <v>56</v>
      </c>
      <c r="F873" s="17" t="s">
        <v>86</v>
      </c>
      <c r="G873" s="25" t="s">
        <v>104</v>
      </c>
      <c r="H873" s="21" t="s">
        <v>759</v>
      </c>
      <c r="I873" s="17">
        <v>2</v>
      </c>
      <c r="J873">
        <f t="shared" si="78"/>
        <v>0.87546873735389985</v>
      </c>
      <c r="K873" s="13">
        <v>1.05</v>
      </c>
      <c r="L873" s="13">
        <v>1.1000000000000001</v>
      </c>
      <c r="M873" s="13">
        <v>1</v>
      </c>
      <c r="N873" s="13">
        <v>1.02</v>
      </c>
      <c r="O873" s="13">
        <v>1.2</v>
      </c>
      <c r="P873" s="13">
        <v>1.2</v>
      </c>
      <c r="Q873">
        <v>1.05</v>
      </c>
      <c r="R873">
        <f t="shared" si="79"/>
        <v>0.14205582952229279</v>
      </c>
    </row>
    <row r="874" spans="1:18" hidden="1" x14ac:dyDescent="0.2">
      <c r="A874" s="25" t="s">
        <v>223</v>
      </c>
      <c r="B874" s="25">
        <f>11+53.1</f>
        <v>64.099999999999994</v>
      </c>
      <c r="C874" s="17" t="s">
        <v>85</v>
      </c>
      <c r="D874" s="17" t="s">
        <v>56</v>
      </c>
      <c r="F874" s="17" t="s">
        <v>86</v>
      </c>
      <c r="G874" s="25" t="s">
        <v>224</v>
      </c>
      <c r="H874" s="21" t="s">
        <v>760</v>
      </c>
      <c r="I874" s="17">
        <v>2</v>
      </c>
      <c r="J874">
        <f t="shared" si="78"/>
        <v>4.160444363926624</v>
      </c>
      <c r="K874" s="13">
        <v>1.05</v>
      </c>
      <c r="L874" s="13">
        <v>1.1000000000000001</v>
      </c>
      <c r="M874" s="13">
        <v>1</v>
      </c>
      <c r="N874" s="13">
        <v>1.02</v>
      </c>
      <c r="O874" s="13">
        <v>1.2</v>
      </c>
      <c r="P874" s="13">
        <v>1.2</v>
      </c>
      <c r="Q874">
        <v>1.05</v>
      </c>
      <c r="R874">
        <f t="shared" si="79"/>
        <v>0.14205582952229279</v>
      </c>
    </row>
    <row r="875" spans="1:18" hidden="1" x14ac:dyDescent="0.2">
      <c r="A875" s="25" t="s">
        <v>103</v>
      </c>
      <c r="B875" s="25">
        <f>11+53.1</f>
        <v>64.099999999999994</v>
      </c>
      <c r="C875" s="17" t="s">
        <v>85</v>
      </c>
      <c r="D875" s="17" t="s">
        <v>56</v>
      </c>
      <c r="F875" s="17" t="s">
        <v>86</v>
      </c>
      <c r="G875" s="25" t="s">
        <v>104</v>
      </c>
      <c r="H875" s="21" t="s">
        <v>760</v>
      </c>
      <c r="I875" s="17">
        <v>2</v>
      </c>
      <c r="J875">
        <f t="shared" si="78"/>
        <v>4.160444363926624</v>
      </c>
      <c r="K875" s="13">
        <v>1.05</v>
      </c>
      <c r="L875" s="13">
        <v>1.1000000000000001</v>
      </c>
      <c r="M875" s="13">
        <v>1</v>
      </c>
      <c r="N875" s="13">
        <v>1.02</v>
      </c>
      <c r="O875" s="13">
        <v>1.2</v>
      </c>
      <c r="P875" s="13">
        <v>1.2</v>
      </c>
      <c r="Q875">
        <v>1.05</v>
      </c>
      <c r="R875">
        <f t="shared" si="79"/>
        <v>0.14205582952229279</v>
      </c>
    </row>
    <row r="876" spans="1:18" hidden="1" x14ac:dyDescent="0.2">
      <c r="A876" s="25" t="s">
        <v>223</v>
      </c>
      <c r="B876" s="25">
        <f>29.3+121</f>
        <v>150.30000000000001</v>
      </c>
      <c r="C876" s="17" t="s">
        <v>85</v>
      </c>
      <c r="D876" s="17" t="s">
        <v>56</v>
      </c>
      <c r="F876" s="17" t="s">
        <v>86</v>
      </c>
      <c r="G876" s="25" t="s">
        <v>224</v>
      </c>
      <c r="H876" s="21" t="s">
        <v>761</v>
      </c>
      <c r="I876" s="17">
        <v>2</v>
      </c>
      <c r="J876">
        <f t="shared" si="78"/>
        <v>5.0126332967589287</v>
      </c>
      <c r="K876" s="13">
        <v>1.05</v>
      </c>
      <c r="L876" s="13">
        <v>1.1000000000000001</v>
      </c>
      <c r="M876" s="13">
        <v>1</v>
      </c>
      <c r="N876" s="13">
        <v>1.02</v>
      </c>
      <c r="O876" s="13">
        <v>1.2</v>
      </c>
      <c r="P876" s="13">
        <v>1.2</v>
      </c>
      <c r="Q876">
        <v>1.05</v>
      </c>
      <c r="R876">
        <f t="shared" si="79"/>
        <v>0.14205582952229279</v>
      </c>
    </row>
    <row r="877" spans="1:18" hidden="1" x14ac:dyDescent="0.2">
      <c r="A877" s="25" t="s">
        <v>103</v>
      </c>
      <c r="B877" s="25">
        <f>29.3+121</f>
        <v>150.30000000000001</v>
      </c>
      <c r="C877" s="17" t="s">
        <v>85</v>
      </c>
      <c r="D877" s="17" t="s">
        <v>56</v>
      </c>
      <c r="F877" s="17" t="s">
        <v>86</v>
      </c>
      <c r="G877" s="25" t="s">
        <v>104</v>
      </c>
      <c r="H877" s="21" t="s">
        <v>761</v>
      </c>
      <c r="I877" s="17">
        <v>2</v>
      </c>
      <c r="J877">
        <f t="shared" si="78"/>
        <v>5.0126332967589287</v>
      </c>
      <c r="K877" s="13">
        <v>1.05</v>
      </c>
      <c r="L877" s="13">
        <v>1.1000000000000001</v>
      </c>
      <c r="M877" s="13">
        <v>1</v>
      </c>
      <c r="N877" s="13">
        <v>1.02</v>
      </c>
      <c r="O877" s="13">
        <v>1.2</v>
      </c>
      <c r="P877" s="13">
        <v>1.2</v>
      </c>
      <c r="Q877">
        <v>1.05</v>
      </c>
      <c r="R877">
        <f t="shared" si="79"/>
        <v>0.14205582952229279</v>
      </c>
    </row>
    <row r="878" spans="1:18" hidden="1" x14ac:dyDescent="0.2">
      <c r="A878" s="25" t="s">
        <v>773</v>
      </c>
      <c r="B878" s="25">
        <f>0.4+1</f>
        <v>1.4</v>
      </c>
      <c r="C878" s="17" t="s">
        <v>85</v>
      </c>
      <c r="D878" s="17" t="s">
        <v>56</v>
      </c>
      <c r="F878" s="17" t="s">
        <v>86</v>
      </c>
      <c r="G878" s="25" t="s">
        <v>254</v>
      </c>
      <c r="H878" s="21" t="s">
        <v>762</v>
      </c>
      <c r="I878" s="17">
        <v>2</v>
      </c>
      <c r="J878">
        <f t="shared" si="78"/>
        <v>0.33647223662121289</v>
      </c>
      <c r="K878" s="13">
        <v>1.05</v>
      </c>
      <c r="L878" s="13">
        <v>1.1000000000000001</v>
      </c>
      <c r="M878" s="13">
        <v>1</v>
      </c>
      <c r="N878" s="13">
        <v>1.02</v>
      </c>
      <c r="O878" s="13">
        <v>1.2</v>
      </c>
      <c r="P878" s="13">
        <v>1.2</v>
      </c>
      <c r="Q878">
        <v>1.05</v>
      </c>
      <c r="R878">
        <f t="shared" si="79"/>
        <v>0.14205582952229279</v>
      </c>
    </row>
    <row r="879" spans="1:18" hidden="1" x14ac:dyDescent="0.2">
      <c r="A879" s="25" t="s">
        <v>699</v>
      </c>
      <c r="B879" s="25">
        <f>0.4+1</f>
        <v>1.4</v>
      </c>
      <c r="C879" s="17" t="s">
        <v>85</v>
      </c>
      <c r="D879" s="17" t="s">
        <v>56</v>
      </c>
      <c r="F879" s="17" t="s">
        <v>86</v>
      </c>
      <c r="G879" s="25" t="s">
        <v>664</v>
      </c>
      <c r="H879" s="21" t="s">
        <v>762</v>
      </c>
      <c r="I879" s="17">
        <v>2</v>
      </c>
      <c r="J879">
        <f t="shared" si="78"/>
        <v>0.33647223662121289</v>
      </c>
      <c r="K879" s="13">
        <v>1.05</v>
      </c>
      <c r="L879" s="13">
        <v>1.1000000000000001</v>
      </c>
      <c r="M879" s="13">
        <v>1</v>
      </c>
      <c r="N879" s="13">
        <v>1.02</v>
      </c>
      <c r="O879" s="13">
        <v>1.2</v>
      </c>
      <c r="P879" s="13">
        <v>1.2</v>
      </c>
      <c r="Q879">
        <v>1.05</v>
      </c>
      <c r="R879">
        <f t="shared" si="79"/>
        <v>0.14205582952229279</v>
      </c>
    </row>
    <row r="880" spans="1:18" hidden="1" x14ac:dyDescent="0.2">
      <c r="A880" s="25" t="s">
        <v>523</v>
      </c>
      <c r="B880" s="25">
        <f>0.4+1</f>
        <v>1.4</v>
      </c>
      <c r="C880" s="17" t="s">
        <v>85</v>
      </c>
      <c r="D880" s="17" t="s">
        <v>56</v>
      </c>
      <c r="F880" s="17" t="s">
        <v>86</v>
      </c>
      <c r="G880" s="25" t="s">
        <v>127</v>
      </c>
      <c r="H880" s="21" t="s">
        <v>762</v>
      </c>
      <c r="I880" s="17">
        <v>2</v>
      </c>
      <c r="J880">
        <f t="shared" si="78"/>
        <v>0.33647223662121289</v>
      </c>
      <c r="K880" s="13">
        <v>1.05</v>
      </c>
      <c r="L880" s="13">
        <v>1.1000000000000001</v>
      </c>
      <c r="M880" s="13">
        <v>1</v>
      </c>
      <c r="N880" s="13">
        <v>1.02</v>
      </c>
      <c r="O880" s="13">
        <v>1.2</v>
      </c>
      <c r="P880" s="13">
        <v>1.2</v>
      </c>
      <c r="Q880">
        <v>1.05</v>
      </c>
      <c r="R880">
        <f t="shared" si="79"/>
        <v>0.14205582952229279</v>
      </c>
    </row>
    <row r="881" spans="1:18" hidden="1" x14ac:dyDescent="0.2">
      <c r="A881" s="25" t="s">
        <v>454</v>
      </c>
      <c r="B881" s="25">
        <f>0.9+1.9</f>
        <v>2.8</v>
      </c>
      <c r="C881" s="17" t="s">
        <v>85</v>
      </c>
      <c r="D881" s="17" t="s">
        <v>56</v>
      </c>
      <c r="F881" s="17" t="s">
        <v>86</v>
      </c>
      <c r="G881" s="25" t="s">
        <v>455</v>
      </c>
      <c r="H881" s="21" t="s">
        <v>762</v>
      </c>
      <c r="I881" s="17">
        <v>2</v>
      </c>
      <c r="J881">
        <f t="shared" si="78"/>
        <v>1.0296194171811581</v>
      </c>
      <c r="K881" s="13">
        <v>1.05</v>
      </c>
      <c r="L881" s="13">
        <v>1.1000000000000001</v>
      </c>
      <c r="M881" s="13">
        <v>1</v>
      </c>
      <c r="N881" s="13">
        <v>1.02</v>
      </c>
      <c r="O881" s="13">
        <v>1.2</v>
      </c>
      <c r="P881" s="13">
        <v>1.2</v>
      </c>
      <c r="Q881">
        <v>1.05</v>
      </c>
      <c r="R881">
        <f t="shared" si="79"/>
        <v>0.14205582952229279</v>
      </c>
    </row>
    <row r="882" spans="1:18" hidden="1" x14ac:dyDescent="0.2">
      <c r="A882" s="25" t="s">
        <v>718</v>
      </c>
      <c r="B882" s="25">
        <f>0.9+1.9</f>
        <v>2.8</v>
      </c>
      <c r="C882" s="17" t="s">
        <v>85</v>
      </c>
      <c r="D882" s="17" t="s">
        <v>56</v>
      </c>
      <c r="F882" s="17" t="s">
        <v>86</v>
      </c>
      <c r="G882" s="25" t="s">
        <v>128</v>
      </c>
      <c r="H882" s="21" t="s">
        <v>762</v>
      </c>
      <c r="I882" s="17">
        <v>2</v>
      </c>
      <c r="J882">
        <f t="shared" si="78"/>
        <v>1.0296194171811581</v>
      </c>
      <c r="K882" s="13">
        <v>1.05</v>
      </c>
      <c r="L882" s="13">
        <v>1.1000000000000001</v>
      </c>
      <c r="M882" s="13">
        <v>1</v>
      </c>
      <c r="N882" s="13">
        <v>1.02</v>
      </c>
      <c r="O882" s="13">
        <v>1.2</v>
      </c>
      <c r="P882" s="13">
        <v>1.2</v>
      </c>
      <c r="Q882">
        <v>1.05</v>
      </c>
      <c r="R882">
        <f t="shared" si="79"/>
        <v>0.14205582952229279</v>
      </c>
    </row>
    <row r="883" spans="1:18" hidden="1" x14ac:dyDescent="0.2">
      <c r="A883" s="25" t="s">
        <v>447</v>
      </c>
      <c r="B883" s="25">
        <f>2.7+5.8</f>
        <v>8.5</v>
      </c>
      <c r="C883" s="17" t="s">
        <v>85</v>
      </c>
      <c r="D883" s="17" t="s">
        <v>56</v>
      </c>
      <c r="F883" s="17" t="s">
        <v>86</v>
      </c>
      <c r="G883" s="25" t="s">
        <v>124</v>
      </c>
      <c r="H883" s="21" t="s">
        <v>762</v>
      </c>
      <c r="I883" s="17">
        <v>2</v>
      </c>
      <c r="J883">
        <f t="shared" si="78"/>
        <v>2.1400661634962708</v>
      </c>
      <c r="K883" s="13">
        <v>1.05</v>
      </c>
      <c r="L883" s="13">
        <v>1.1000000000000001</v>
      </c>
      <c r="M883" s="13">
        <v>1</v>
      </c>
      <c r="N883" s="13">
        <v>1.02</v>
      </c>
      <c r="O883" s="13">
        <v>1.2</v>
      </c>
      <c r="P883" s="13">
        <v>1.2</v>
      </c>
      <c r="Q883">
        <v>1.05</v>
      </c>
      <c r="R883">
        <f t="shared" si="79"/>
        <v>0.14205582952229279</v>
      </c>
    </row>
    <row r="884" spans="1:18" hidden="1" x14ac:dyDescent="0.2">
      <c r="A884" s="25" t="s">
        <v>228</v>
      </c>
      <c r="B884" s="25">
        <f>2.7+5.8</f>
        <v>8.5</v>
      </c>
      <c r="C884" s="17" t="s">
        <v>85</v>
      </c>
      <c r="D884" s="17" t="s">
        <v>56</v>
      </c>
      <c r="F884" s="17" t="s">
        <v>86</v>
      </c>
      <c r="G884" s="25" t="s">
        <v>126</v>
      </c>
      <c r="H884" s="21" t="s">
        <v>762</v>
      </c>
      <c r="I884" s="17">
        <v>2</v>
      </c>
      <c r="J884">
        <f t="shared" si="78"/>
        <v>2.1400661634962708</v>
      </c>
      <c r="K884" s="13">
        <v>1.05</v>
      </c>
      <c r="L884" s="13">
        <v>1.1000000000000001</v>
      </c>
      <c r="M884" s="13">
        <v>1</v>
      </c>
      <c r="N884" s="13">
        <v>1.02</v>
      </c>
      <c r="O884" s="13">
        <v>1.2</v>
      </c>
      <c r="P884" s="13">
        <v>1.2</v>
      </c>
      <c r="Q884">
        <v>1.05</v>
      </c>
      <c r="R884">
        <f t="shared" si="79"/>
        <v>0.14205582952229279</v>
      </c>
    </row>
    <row r="885" spans="1:18" hidden="1" x14ac:dyDescent="0.2">
      <c r="A885" s="25" t="s">
        <v>447</v>
      </c>
      <c r="B885" s="25">
        <f>92.3+359.8</f>
        <v>452.1</v>
      </c>
      <c r="C885" s="17" t="s">
        <v>85</v>
      </c>
      <c r="D885" s="17" t="s">
        <v>56</v>
      </c>
      <c r="F885" s="17" t="s">
        <v>86</v>
      </c>
      <c r="G885" s="25" t="s">
        <v>124</v>
      </c>
      <c r="H885" s="21" t="s">
        <v>763</v>
      </c>
      <c r="I885" s="17">
        <v>2</v>
      </c>
      <c r="J885">
        <f t="shared" si="78"/>
        <v>6.1139033943005598</v>
      </c>
      <c r="K885" s="13">
        <v>1.05</v>
      </c>
      <c r="L885" s="13">
        <v>1.1000000000000001</v>
      </c>
      <c r="M885" s="13">
        <v>1</v>
      </c>
      <c r="N885" s="13">
        <v>1.02</v>
      </c>
      <c r="O885" s="13">
        <v>1.2</v>
      </c>
      <c r="P885" s="13">
        <v>1.2</v>
      </c>
      <c r="Q885">
        <v>1.05</v>
      </c>
      <c r="R885">
        <f t="shared" si="79"/>
        <v>0.14205582952229279</v>
      </c>
    </row>
    <row r="886" spans="1:18" hidden="1" x14ac:dyDescent="0.2">
      <c r="A886" s="25" t="s">
        <v>228</v>
      </c>
      <c r="B886" s="25">
        <f>92.3+359.8</f>
        <v>452.1</v>
      </c>
      <c r="C886" s="17" t="s">
        <v>85</v>
      </c>
      <c r="D886" s="17" t="s">
        <v>56</v>
      </c>
      <c r="F886" s="17" t="s">
        <v>86</v>
      </c>
      <c r="G886" s="25" t="s">
        <v>126</v>
      </c>
      <c r="H886" s="21" t="s">
        <v>763</v>
      </c>
      <c r="I886" s="17">
        <v>2</v>
      </c>
      <c r="J886">
        <f t="shared" si="78"/>
        <v>6.1139033943005598</v>
      </c>
      <c r="K886" s="13">
        <v>1.05</v>
      </c>
      <c r="L886" s="13">
        <v>1.1000000000000001</v>
      </c>
      <c r="M886" s="13">
        <v>1</v>
      </c>
      <c r="N886" s="13">
        <v>1.02</v>
      </c>
      <c r="O886" s="13">
        <v>1.2</v>
      </c>
      <c r="P886" s="13">
        <v>1.2</v>
      </c>
      <c r="Q886">
        <v>1.05</v>
      </c>
      <c r="R886">
        <f t="shared" si="79"/>
        <v>0.14205582952229279</v>
      </c>
    </row>
    <row r="887" spans="1:18" hidden="1" x14ac:dyDescent="0.2">
      <c r="A887" s="25" t="s">
        <v>447</v>
      </c>
      <c r="B887" s="25">
        <v>399</v>
      </c>
      <c r="C887" s="17" t="s">
        <v>85</v>
      </c>
      <c r="D887" s="17" t="s">
        <v>56</v>
      </c>
      <c r="F887" s="17" t="s">
        <v>86</v>
      </c>
      <c r="G887" s="25" t="s">
        <v>124</v>
      </c>
      <c r="H887" s="21" t="s">
        <v>764</v>
      </c>
      <c r="I887" s="17">
        <v>2</v>
      </c>
      <c r="J887">
        <f t="shared" si="78"/>
        <v>5.9889614168898637</v>
      </c>
      <c r="K887" s="13">
        <v>1.05</v>
      </c>
      <c r="L887" s="13">
        <v>1.1000000000000001</v>
      </c>
      <c r="M887" s="13">
        <v>1</v>
      </c>
      <c r="N887" s="13">
        <v>1.02</v>
      </c>
      <c r="O887" s="13">
        <v>1.2</v>
      </c>
      <c r="P887" s="13">
        <v>1.2</v>
      </c>
      <c r="Q887">
        <v>1.05</v>
      </c>
      <c r="R887">
        <f t="shared" si="79"/>
        <v>0.14205582952229279</v>
      </c>
    </row>
    <row r="888" spans="1:18" hidden="1" x14ac:dyDescent="0.2">
      <c r="A888" s="25" t="s">
        <v>228</v>
      </c>
      <c r="B888" s="25">
        <v>399</v>
      </c>
      <c r="C888" s="17" t="s">
        <v>85</v>
      </c>
      <c r="D888" s="17" t="s">
        <v>56</v>
      </c>
      <c r="F888" s="17" t="s">
        <v>86</v>
      </c>
      <c r="G888" s="25" t="s">
        <v>126</v>
      </c>
      <c r="H888" s="21" t="s">
        <v>764</v>
      </c>
      <c r="I888" s="17">
        <v>2</v>
      </c>
      <c r="J888">
        <f t="shared" si="78"/>
        <v>5.9889614168898637</v>
      </c>
      <c r="K888" s="13">
        <v>1.05</v>
      </c>
      <c r="L888" s="13">
        <v>1.1000000000000001</v>
      </c>
      <c r="M888" s="13">
        <v>1</v>
      </c>
      <c r="N888" s="13">
        <v>1.02</v>
      </c>
      <c r="O888" s="13">
        <v>1.2</v>
      </c>
      <c r="P888" s="13">
        <v>1.2</v>
      </c>
      <c r="Q888">
        <v>1.05</v>
      </c>
      <c r="R888">
        <f t="shared" si="79"/>
        <v>0.14205582952229279</v>
      </c>
    </row>
    <row r="889" spans="1:18" hidden="1" x14ac:dyDescent="0.2">
      <c r="A889" s="25" t="s">
        <v>447</v>
      </c>
      <c r="B889" s="25">
        <v>7</v>
      </c>
      <c r="C889" s="17" t="s">
        <v>85</v>
      </c>
      <c r="D889" s="17" t="s">
        <v>56</v>
      </c>
      <c r="F889" s="17" t="s">
        <v>86</v>
      </c>
      <c r="G889" s="25" t="s">
        <v>124</v>
      </c>
      <c r="H889" s="21" t="s">
        <v>765</v>
      </c>
      <c r="I889" s="17">
        <v>2</v>
      </c>
      <c r="J889">
        <f t="shared" si="78"/>
        <v>1.9459101490553132</v>
      </c>
      <c r="K889" s="13">
        <v>1.05</v>
      </c>
      <c r="L889" s="13">
        <v>1.1000000000000001</v>
      </c>
      <c r="M889" s="13">
        <v>1</v>
      </c>
      <c r="N889" s="13">
        <v>1.02</v>
      </c>
      <c r="O889" s="13">
        <v>1.2</v>
      </c>
      <c r="P889" s="13">
        <v>1.2</v>
      </c>
      <c r="Q889">
        <v>1.05</v>
      </c>
      <c r="R889">
        <f t="shared" si="79"/>
        <v>0.14205582952229279</v>
      </c>
    </row>
    <row r="890" spans="1:18" hidden="1" x14ac:dyDescent="0.2">
      <c r="A890" s="25" t="s">
        <v>228</v>
      </c>
      <c r="B890" s="25">
        <v>7</v>
      </c>
      <c r="C890" s="17" t="s">
        <v>85</v>
      </c>
      <c r="D890" s="17" t="s">
        <v>56</v>
      </c>
      <c r="F890" s="17" t="s">
        <v>86</v>
      </c>
      <c r="G890" s="25" t="s">
        <v>126</v>
      </c>
      <c r="H890" s="21" t="s">
        <v>765</v>
      </c>
      <c r="I890" s="17">
        <v>2</v>
      </c>
      <c r="J890">
        <f t="shared" si="78"/>
        <v>1.9459101490553132</v>
      </c>
      <c r="K890" s="13">
        <v>1.05</v>
      </c>
      <c r="L890" s="13">
        <v>1.1000000000000001</v>
      </c>
      <c r="M890" s="13">
        <v>1</v>
      </c>
      <c r="N890" s="13">
        <v>1.02</v>
      </c>
      <c r="O890" s="13">
        <v>1.2</v>
      </c>
      <c r="P890" s="13">
        <v>1.2</v>
      </c>
      <c r="Q890">
        <v>1.05</v>
      </c>
      <c r="R890">
        <f t="shared" si="79"/>
        <v>0.14205582952229279</v>
      </c>
    </row>
    <row r="891" spans="1:18" hidden="1" x14ac:dyDescent="0.2">
      <c r="A891" s="25" t="s">
        <v>101</v>
      </c>
      <c r="B891" s="25">
        <v>1</v>
      </c>
      <c r="C891" s="17" t="s">
        <v>85</v>
      </c>
      <c r="D891" s="17" t="s">
        <v>56</v>
      </c>
      <c r="F891" s="17" t="s">
        <v>86</v>
      </c>
      <c r="G891" s="25" t="s">
        <v>102</v>
      </c>
      <c r="H891" s="21" t="s">
        <v>766</v>
      </c>
      <c r="I891" s="17">
        <v>2</v>
      </c>
      <c r="J891">
        <f t="shared" si="78"/>
        <v>0</v>
      </c>
      <c r="K891" s="13">
        <v>1.05</v>
      </c>
      <c r="L891" s="13">
        <v>1.1000000000000001</v>
      </c>
      <c r="M891" s="13">
        <v>1</v>
      </c>
      <c r="N891" s="13">
        <v>1.02</v>
      </c>
      <c r="O891" s="13">
        <v>1.2</v>
      </c>
      <c r="P891" s="13">
        <v>1.2</v>
      </c>
      <c r="Q891">
        <v>1.05</v>
      </c>
      <c r="R891">
        <f t="shared" si="79"/>
        <v>0.14205582952229279</v>
      </c>
    </row>
    <row r="892" spans="1:18" hidden="1" x14ac:dyDescent="0.2">
      <c r="A892" s="25" t="s">
        <v>454</v>
      </c>
      <c r="B892" s="25">
        <v>0.7</v>
      </c>
      <c r="C892" s="17" t="s">
        <v>85</v>
      </c>
      <c r="D892" s="17" t="s">
        <v>56</v>
      </c>
      <c r="F892" s="17" t="s">
        <v>86</v>
      </c>
      <c r="G892" s="25" t="s">
        <v>455</v>
      </c>
      <c r="H892" s="21" t="s">
        <v>766</v>
      </c>
      <c r="I892" s="17">
        <v>2</v>
      </c>
      <c r="J892">
        <f t="shared" si="78"/>
        <v>-0.35667494393873245</v>
      </c>
      <c r="K892" s="13">
        <v>1.05</v>
      </c>
      <c r="L892" s="13">
        <v>1.1000000000000001</v>
      </c>
      <c r="M892" s="13">
        <v>1</v>
      </c>
      <c r="N892" s="13">
        <v>1.02</v>
      </c>
      <c r="O892" s="13">
        <v>1.2</v>
      </c>
      <c r="P892" s="13">
        <v>1.2</v>
      </c>
      <c r="Q892">
        <v>1.05</v>
      </c>
      <c r="R892">
        <f t="shared" si="79"/>
        <v>0.14205582952229279</v>
      </c>
    </row>
    <row r="893" spans="1:18" hidden="1" x14ac:dyDescent="0.2">
      <c r="A893" s="25" t="s">
        <v>447</v>
      </c>
      <c r="B893" s="25">
        <v>3</v>
      </c>
      <c r="C893" s="17" t="s">
        <v>85</v>
      </c>
      <c r="D893" s="17" t="s">
        <v>56</v>
      </c>
      <c r="F893" s="17" t="s">
        <v>86</v>
      </c>
      <c r="G893" s="25" t="s">
        <v>767</v>
      </c>
      <c r="H893" s="21" t="s">
        <v>766</v>
      </c>
      <c r="I893" s="17">
        <v>2</v>
      </c>
      <c r="J893">
        <f t="shared" si="78"/>
        <v>1.0986122886681098</v>
      </c>
      <c r="K893" s="13">
        <v>1.05</v>
      </c>
      <c r="L893" s="13">
        <v>1.1000000000000001</v>
      </c>
      <c r="M893" s="13">
        <v>1</v>
      </c>
      <c r="N893" s="13">
        <v>1.02</v>
      </c>
      <c r="O893" s="13">
        <v>1.2</v>
      </c>
      <c r="P893" s="13">
        <v>1.2</v>
      </c>
      <c r="Q893">
        <v>1.05</v>
      </c>
      <c r="R893">
        <f t="shared" si="79"/>
        <v>0.14205582952229279</v>
      </c>
    </row>
    <row r="894" spans="1:18" hidden="1" x14ac:dyDescent="0.2">
      <c r="A894" s="25" t="s">
        <v>523</v>
      </c>
      <c r="B894" s="25">
        <v>0.2</v>
      </c>
      <c r="C894" s="17" t="s">
        <v>85</v>
      </c>
      <c r="D894" s="17" t="s">
        <v>56</v>
      </c>
      <c r="F894" s="17" t="s">
        <v>86</v>
      </c>
      <c r="G894" s="25" t="s">
        <v>127</v>
      </c>
      <c r="H894" s="21" t="s">
        <v>766</v>
      </c>
      <c r="I894" s="17">
        <v>2</v>
      </c>
      <c r="J894">
        <f t="shared" si="78"/>
        <v>-1.6094379124341003</v>
      </c>
      <c r="K894" s="13">
        <v>1.05</v>
      </c>
      <c r="L894" s="13">
        <v>1.1000000000000001</v>
      </c>
      <c r="M894" s="13">
        <v>1</v>
      </c>
      <c r="N894" s="13">
        <v>1.02</v>
      </c>
      <c r="O894" s="13">
        <v>1.2</v>
      </c>
      <c r="P894" s="13">
        <v>1.2</v>
      </c>
      <c r="Q894">
        <v>1.05</v>
      </c>
      <c r="R894">
        <f t="shared" si="79"/>
        <v>0.14205582952229279</v>
      </c>
    </row>
    <row r="895" spans="1:18" hidden="1" x14ac:dyDescent="0.2">
      <c r="A895" s="25" t="s">
        <v>718</v>
      </c>
      <c r="B895" s="25">
        <v>0.7</v>
      </c>
      <c r="C895" s="17" t="s">
        <v>85</v>
      </c>
      <c r="D895" s="17" t="s">
        <v>56</v>
      </c>
      <c r="F895" s="17" t="s">
        <v>86</v>
      </c>
      <c r="G895" s="25" t="s">
        <v>128</v>
      </c>
      <c r="H895" s="21" t="s">
        <v>766</v>
      </c>
      <c r="I895" s="17">
        <v>2</v>
      </c>
      <c r="J895">
        <f t="shared" si="78"/>
        <v>-0.35667494393873245</v>
      </c>
      <c r="K895" s="13">
        <v>1.05</v>
      </c>
      <c r="L895" s="13">
        <v>1.1000000000000001</v>
      </c>
      <c r="M895" s="13">
        <v>1</v>
      </c>
      <c r="N895" s="13">
        <v>1.02</v>
      </c>
      <c r="O895" s="13">
        <v>1.2</v>
      </c>
      <c r="P895" s="13">
        <v>1.2</v>
      </c>
      <c r="Q895">
        <v>1.05</v>
      </c>
      <c r="R895">
        <f t="shared" si="79"/>
        <v>0.14205582952229279</v>
      </c>
    </row>
    <row r="896" spans="1:18" hidden="1" x14ac:dyDescent="0.2">
      <c r="A896" s="25" t="s">
        <v>114</v>
      </c>
      <c r="B896" s="25">
        <v>1503.6</v>
      </c>
      <c r="C896" s="17" t="s">
        <v>85</v>
      </c>
      <c r="D896" s="17" t="s">
        <v>56</v>
      </c>
      <c r="F896" s="17" t="s">
        <v>86</v>
      </c>
      <c r="G896" s="25" t="s">
        <v>115</v>
      </c>
      <c r="H896" s="21" t="s">
        <v>768</v>
      </c>
      <c r="I896" s="17">
        <v>2</v>
      </c>
      <c r="J896">
        <f t="shared" si="78"/>
        <v>7.3156175116900233</v>
      </c>
      <c r="K896" s="13">
        <v>1.05</v>
      </c>
      <c r="L896" s="13">
        <v>1.1000000000000001</v>
      </c>
      <c r="M896" s="13">
        <v>1</v>
      </c>
      <c r="N896" s="13">
        <v>1.02</v>
      </c>
      <c r="O896" s="13">
        <v>1.2</v>
      </c>
      <c r="P896" s="13">
        <v>1.2</v>
      </c>
      <c r="Q896">
        <v>1.05</v>
      </c>
      <c r="R896">
        <f t="shared" si="79"/>
        <v>0.14205582952229279</v>
      </c>
    </row>
    <row r="897" spans="1:18" hidden="1" x14ac:dyDescent="0.2">
      <c r="A897" s="25" t="s">
        <v>228</v>
      </c>
      <c r="B897" s="25">
        <v>1503.6</v>
      </c>
      <c r="C897" s="17" t="s">
        <v>85</v>
      </c>
      <c r="D897" s="17" t="s">
        <v>56</v>
      </c>
      <c r="F897" s="17" t="s">
        <v>86</v>
      </c>
      <c r="G897" s="25" t="s">
        <v>126</v>
      </c>
      <c r="H897" s="21" t="s">
        <v>768</v>
      </c>
      <c r="I897" s="17">
        <v>2</v>
      </c>
      <c r="J897">
        <f t="shared" si="78"/>
        <v>7.3156175116900233</v>
      </c>
      <c r="K897" s="13">
        <v>1.05</v>
      </c>
      <c r="L897" s="13">
        <v>1.1000000000000001</v>
      </c>
      <c r="M897" s="13">
        <v>1</v>
      </c>
      <c r="N897" s="13">
        <v>1.02</v>
      </c>
      <c r="O897" s="13">
        <v>1.2</v>
      </c>
      <c r="P897" s="13">
        <v>1.2</v>
      </c>
      <c r="Q897">
        <v>1.05</v>
      </c>
      <c r="R897">
        <f t="shared" si="79"/>
        <v>0.14205582952229279</v>
      </c>
    </row>
    <row r="898" spans="1:18" hidden="1" x14ac:dyDescent="0.2">
      <c r="A898" s="25" t="s">
        <v>770</v>
      </c>
      <c r="B898" s="25">
        <v>534</v>
      </c>
      <c r="C898" s="17" t="s">
        <v>85</v>
      </c>
      <c r="D898" s="17" t="s">
        <v>56</v>
      </c>
      <c r="F898" s="17" t="s">
        <v>86</v>
      </c>
      <c r="G898" s="25" t="s">
        <v>579</v>
      </c>
      <c r="H898" s="21" t="s">
        <v>769</v>
      </c>
      <c r="I898" s="17">
        <v>2</v>
      </c>
      <c r="J898">
        <f t="shared" si="78"/>
        <v>6.280395838960195</v>
      </c>
      <c r="K898" s="13">
        <v>1.05</v>
      </c>
      <c r="L898" s="13">
        <v>1.1000000000000001</v>
      </c>
      <c r="M898" s="13">
        <v>1</v>
      </c>
      <c r="N898" s="13">
        <v>1.02</v>
      </c>
      <c r="O898" s="13">
        <v>1.2</v>
      </c>
      <c r="P898" s="13">
        <v>1.2</v>
      </c>
      <c r="Q898">
        <v>1.05</v>
      </c>
      <c r="R898">
        <f t="shared" si="79"/>
        <v>0.14205582952229279</v>
      </c>
    </row>
    <row r="899" spans="1:18" hidden="1" x14ac:dyDescent="0.2">
      <c r="A899" s="25" t="s">
        <v>771</v>
      </c>
      <c r="B899" s="25">
        <v>534</v>
      </c>
      <c r="C899" s="17" t="s">
        <v>85</v>
      </c>
      <c r="D899" s="17" t="s">
        <v>56</v>
      </c>
      <c r="F899" s="17" t="s">
        <v>86</v>
      </c>
      <c r="G899" s="25" t="s">
        <v>682</v>
      </c>
      <c r="H899" s="21" t="s">
        <v>769</v>
      </c>
      <c r="I899" s="17">
        <v>2</v>
      </c>
      <c r="J899">
        <f t="shared" si="78"/>
        <v>6.280395838960195</v>
      </c>
      <c r="K899" s="13">
        <v>1.05</v>
      </c>
      <c r="L899" s="13">
        <v>1.1000000000000001</v>
      </c>
      <c r="M899" s="13">
        <v>1</v>
      </c>
      <c r="N899" s="13">
        <v>1.02</v>
      </c>
      <c r="O899" s="13">
        <v>1.2</v>
      </c>
      <c r="P899" s="13">
        <v>1.2</v>
      </c>
      <c r="Q899">
        <v>1.05</v>
      </c>
      <c r="R899">
        <f t="shared" si="79"/>
        <v>0.14205582952229279</v>
      </c>
    </row>
    <row r="900" spans="1:18" hidden="1" x14ac:dyDescent="0.2">
      <c r="A900" s="25" t="s">
        <v>447</v>
      </c>
      <c r="B900" s="25">
        <v>267</v>
      </c>
      <c r="C900" s="17" t="s">
        <v>85</v>
      </c>
      <c r="D900" s="17" t="s">
        <v>56</v>
      </c>
      <c r="F900" s="17" t="s">
        <v>86</v>
      </c>
      <c r="G900" s="25" t="s">
        <v>124</v>
      </c>
      <c r="H900" s="21" t="s">
        <v>769</v>
      </c>
      <c r="I900" s="17">
        <v>2</v>
      </c>
      <c r="J900">
        <f t="shared" si="78"/>
        <v>5.5872486584002496</v>
      </c>
      <c r="K900" s="13">
        <v>1.05</v>
      </c>
      <c r="L900" s="13">
        <v>1.1000000000000001</v>
      </c>
      <c r="M900" s="13">
        <v>1</v>
      </c>
      <c r="N900" s="13">
        <v>1.02</v>
      </c>
      <c r="O900" s="13">
        <v>1.2</v>
      </c>
      <c r="P900" s="13">
        <v>1.2</v>
      </c>
      <c r="Q900">
        <v>1.05</v>
      </c>
      <c r="R900">
        <f t="shared" si="79"/>
        <v>0.14205582952229279</v>
      </c>
    </row>
    <row r="901" spans="1:18" hidden="1" x14ac:dyDescent="0.2">
      <c r="A901" s="25" t="s">
        <v>228</v>
      </c>
      <c r="B901" s="25">
        <v>267</v>
      </c>
      <c r="C901" s="17" t="s">
        <v>85</v>
      </c>
      <c r="D901" s="17" t="s">
        <v>56</v>
      </c>
      <c r="F901" s="17" t="s">
        <v>86</v>
      </c>
      <c r="G901" s="25" t="s">
        <v>126</v>
      </c>
      <c r="H901" s="21" t="s">
        <v>769</v>
      </c>
      <c r="I901" s="17">
        <v>2</v>
      </c>
      <c r="J901">
        <f t="shared" si="78"/>
        <v>5.5872486584002496</v>
      </c>
      <c r="K901" s="13">
        <v>1.05</v>
      </c>
      <c r="L901" s="13">
        <v>1.1000000000000001</v>
      </c>
      <c r="M901" s="13">
        <v>1</v>
      </c>
      <c r="N901" s="13">
        <v>1.02</v>
      </c>
      <c r="O901" s="13">
        <v>1.2</v>
      </c>
      <c r="P901" s="13">
        <v>1.2</v>
      </c>
      <c r="Q901">
        <v>1.05</v>
      </c>
      <c r="R901">
        <f t="shared" si="79"/>
        <v>0.14205582952229279</v>
      </c>
    </row>
    <row r="902" spans="1:18" hidden="1" x14ac:dyDescent="0.2">
      <c r="A902" s="25" t="s">
        <v>223</v>
      </c>
      <c r="B902" s="25">
        <v>588</v>
      </c>
      <c r="C902" s="17" t="s">
        <v>85</v>
      </c>
      <c r="D902" s="17" t="s">
        <v>56</v>
      </c>
      <c r="F902" s="17" t="s">
        <v>86</v>
      </c>
      <c r="G902" s="25" t="s">
        <v>224</v>
      </c>
      <c r="H902" s="21" t="s">
        <v>679</v>
      </c>
      <c r="I902" s="17">
        <v>2</v>
      </c>
      <c r="J902">
        <f t="shared" si="78"/>
        <v>6.3767269478986268</v>
      </c>
      <c r="K902" s="13">
        <v>1.05</v>
      </c>
      <c r="L902" s="13">
        <v>1.1000000000000001</v>
      </c>
      <c r="M902" s="13">
        <v>1</v>
      </c>
      <c r="N902" s="13">
        <v>1.02</v>
      </c>
      <c r="O902" s="13">
        <v>1.2</v>
      </c>
      <c r="P902" s="13">
        <v>1.2</v>
      </c>
      <c r="Q902">
        <v>1.05</v>
      </c>
      <c r="R902">
        <f t="shared" si="79"/>
        <v>0.14205582952229279</v>
      </c>
    </row>
    <row r="903" spans="1:18" hidden="1" x14ac:dyDescent="0.2">
      <c r="A903" s="25" t="s">
        <v>103</v>
      </c>
      <c r="B903" s="25">
        <v>588</v>
      </c>
      <c r="C903" s="17" t="s">
        <v>85</v>
      </c>
      <c r="D903" s="17" t="s">
        <v>56</v>
      </c>
      <c r="F903" s="17" t="s">
        <v>86</v>
      </c>
      <c r="G903" s="25" t="s">
        <v>104</v>
      </c>
      <c r="H903" s="21" t="s">
        <v>679</v>
      </c>
      <c r="I903" s="17">
        <v>2</v>
      </c>
      <c r="J903">
        <f t="shared" si="78"/>
        <v>6.3767269478986268</v>
      </c>
      <c r="K903" s="13">
        <v>1.05</v>
      </c>
      <c r="L903" s="13">
        <v>1.1000000000000001</v>
      </c>
      <c r="M903" s="13">
        <v>1</v>
      </c>
      <c r="N903" s="13">
        <v>1.02</v>
      </c>
      <c r="O903" s="13">
        <v>1.2</v>
      </c>
      <c r="P903" s="13">
        <v>1.2</v>
      </c>
      <c r="Q903">
        <v>1.05</v>
      </c>
      <c r="R903">
        <f t="shared" si="79"/>
        <v>0.14205582952229279</v>
      </c>
    </row>
    <row r="904" spans="1:18" hidden="1" x14ac:dyDescent="0.2">
      <c r="A904" s="25" t="s">
        <v>700</v>
      </c>
      <c r="B904" s="25">
        <v>33.299999999999997</v>
      </c>
      <c r="C904" s="17" t="s">
        <v>85</v>
      </c>
      <c r="D904" s="17" t="s">
        <v>267</v>
      </c>
      <c r="F904" s="17" t="s">
        <v>86</v>
      </c>
      <c r="G904" s="25" t="s">
        <v>701</v>
      </c>
      <c r="H904" s="21" t="s">
        <v>679</v>
      </c>
      <c r="I904" s="17">
        <v>2</v>
      </c>
      <c r="J904">
        <f t="shared" si="78"/>
        <v>3.505557396986398</v>
      </c>
      <c r="K904" s="13">
        <v>1.05</v>
      </c>
      <c r="L904" s="13">
        <v>1.1000000000000001</v>
      </c>
      <c r="M904" s="13">
        <v>1</v>
      </c>
      <c r="N904" s="13">
        <v>1.02</v>
      </c>
      <c r="O904" s="13">
        <v>1.2</v>
      </c>
      <c r="P904" s="13">
        <v>1.2</v>
      </c>
      <c r="Q904">
        <v>1.05</v>
      </c>
      <c r="R904">
        <f t="shared" si="79"/>
        <v>0.14205582952229279</v>
      </c>
    </row>
    <row r="905" spans="1:18" hidden="1" x14ac:dyDescent="0.2">
      <c r="A905" s="25" t="s">
        <v>228</v>
      </c>
      <c r="B905" s="25">
        <v>2250</v>
      </c>
      <c r="C905" s="17" t="s">
        <v>85</v>
      </c>
      <c r="D905" s="17" t="s">
        <v>56</v>
      </c>
      <c r="F905" s="17" t="s">
        <v>86</v>
      </c>
      <c r="G905" s="25" t="s">
        <v>126</v>
      </c>
      <c r="H905" s="21" t="s">
        <v>680</v>
      </c>
      <c r="I905" s="17">
        <v>2</v>
      </c>
      <c r="J905">
        <f t="shared" si="78"/>
        <v>7.718685495198466</v>
      </c>
      <c r="K905" s="13">
        <v>1.05</v>
      </c>
      <c r="L905" s="13">
        <v>1.1000000000000001</v>
      </c>
      <c r="M905" s="13">
        <v>1</v>
      </c>
      <c r="N905" s="13">
        <v>1.02</v>
      </c>
      <c r="O905" s="13">
        <v>1.2</v>
      </c>
      <c r="P905" s="13">
        <v>1.2</v>
      </c>
      <c r="Q905">
        <v>1.05</v>
      </c>
      <c r="R905">
        <f t="shared" si="79"/>
        <v>0.14205582952229279</v>
      </c>
    </row>
    <row r="906" spans="1:18" hidden="1" x14ac:dyDescent="0.2">
      <c r="A906" s="25" t="s">
        <v>521</v>
      </c>
      <c r="B906" s="25">
        <v>2250</v>
      </c>
      <c r="C906" s="17" t="s">
        <v>85</v>
      </c>
      <c r="D906" s="17" t="s">
        <v>56</v>
      </c>
      <c r="F906" s="17" t="s">
        <v>86</v>
      </c>
      <c r="G906" s="25" t="s">
        <v>522</v>
      </c>
      <c r="H906" s="21" t="s">
        <v>680</v>
      </c>
      <c r="I906" s="17">
        <v>2</v>
      </c>
      <c r="J906">
        <f t="shared" si="78"/>
        <v>7.718685495198466</v>
      </c>
      <c r="K906" s="13">
        <v>1.05</v>
      </c>
      <c r="L906" s="13">
        <v>1.1000000000000001</v>
      </c>
      <c r="M906" s="13">
        <v>1</v>
      </c>
      <c r="N906" s="13">
        <v>1.02</v>
      </c>
      <c r="O906" s="13">
        <v>1.2</v>
      </c>
      <c r="P906" s="13">
        <v>1.2</v>
      </c>
      <c r="Q906">
        <v>1.05</v>
      </c>
      <c r="R906">
        <f t="shared" si="79"/>
        <v>0.14205582952229279</v>
      </c>
    </row>
    <row r="907" spans="1:18" hidden="1" x14ac:dyDescent="0.2">
      <c r="A907" s="25" t="s">
        <v>646</v>
      </c>
      <c r="B907" s="25">
        <v>2.2999999999999998</v>
      </c>
      <c r="C907" s="17" t="s">
        <v>64</v>
      </c>
      <c r="D907" s="17" t="s">
        <v>120</v>
      </c>
      <c r="F907" s="17" t="s">
        <v>86</v>
      </c>
      <c r="G907" s="25" t="s">
        <v>645</v>
      </c>
      <c r="H907" s="21" t="s">
        <v>772</v>
      </c>
      <c r="I907" s="17">
        <v>2</v>
      </c>
      <c r="J907">
        <f t="shared" si="78"/>
        <v>0.83290912293510388</v>
      </c>
      <c r="K907" s="13">
        <v>1.05</v>
      </c>
      <c r="L907" s="13">
        <v>1.1000000000000001</v>
      </c>
      <c r="M907" s="13">
        <v>1</v>
      </c>
      <c r="N907" s="13">
        <v>1.02</v>
      </c>
      <c r="O907" s="13">
        <v>1.2</v>
      </c>
      <c r="P907" s="13">
        <v>1.2</v>
      </c>
      <c r="Q907">
        <v>1.05</v>
      </c>
      <c r="R907">
        <f t="shared" si="79"/>
        <v>0.14205582952229279</v>
      </c>
    </row>
    <row r="908" spans="1:18" hidden="1" x14ac:dyDescent="0.2">
      <c r="A908" s="17" t="s">
        <v>91</v>
      </c>
      <c r="B908" s="31">
        <v>76420.2</v>
      </c>
      <c r="C908" s="17" t="s">
        <v>85</v>
      </c>
      <c r="D908" s="17" t="s">
        <v>92</v>
      </c>
      <c r="F908" s="17" t="s">
        <v>86</v>
      </c>
      <c r="G908" s="17" t="s">
        <v>93</v>
      </c>
      <c r="H908" s="17" t="s">
        <v>694</v>
      </c>
      <c r="I908" s="17">
        <v>2</v>
      </c>
      <c r="J908">
        <f t="shared" si="78"/>
        <v>11.244002338113404</v>
      </c>
      <c r="K908" s="13">
        <v>1.05</v>
      </c>
      <c r="L908" s="13">
        <v>1.1000000000000001</v>
      </c>
      <c r="M908" s="13">
        <v>1</v>
      </c>
      <c r="N908" s="13">
        <v>1.02</v>
      </c>
      <c r="O908" s="13">
        <v>1.2</v>
      </c>
      <c r="P908" s="13">
        <v>1.2</v>
      </c>
      <c r="Q908">
        <v>1.05</v>
      </c>
      <c r="R908">
        <f t="shared" si="79"/>
        <v>0.14205582952229279</v>
      </c>
    </row>
    <row r="909" spans="1:18" hidden="1" x14ac:dyDescent="0.2">
      <c r="B909" s="25"/>
      <c r="F909" s="21"/>
      <c r="G909" s="21"/>
      <c r="Q909" s="17"/>
    </row>
    <row r="910" spans="1:18" hidden="1" x14ac:dyDescent="0.2">
      <c r="A910" s="18" t="s">
        <v>50</v>
      </c>
      <c r="B910" s="18" t="s">
        <v>162</v>
      </c>
      <c r="Q910" s="17"/>
    </row>
    <row r="911" spans="1:18" hidden="1" x14ac:dyDescent="0.2">
      <c r="A911" s="17" t="s">
        <v>52</v>
      </c>
      <c r="B911" s="17" t="s">
        <v>64</v>
      </c>
      <c r="Q911" s="17"/>
    </row>
    <row r="912" spans="1:18" hidden="1" x14ac:dyDescent="0.2">
      <c r="A912" s="17" t="s">
        <v>53</v>
      </c>
      <c r="B912" s="17">
        <v>1</v>
      </c>
      <c r="Q912" s="17"/>
    </row>
    <row r="913" spans="1:19" hidden="1" x14ac:dyDescent="0.2">
      <c r="A913" s="17" t="s">
        <v>54</v>
      </c>
      <c r="B913" s="17" t="s">
        <v>163</v>
      </c>
      <c r="Q913" s="17"/>
    </row>
    <row r="914" spans="1:19" hidden="1" x14ac:dyDescent="0.2">
      <c r="A914" s="17" t="s">
        <v>61</v>
      </c>
      <c r="B914" s="17" t="s">
        <v>121</v>
      </c>
      <c r="Q914" s="17"/>
    </row>
    <row r="915" spans="1:19" hidden="1" x14ac:dyDescent="0.2">
      <c r="A915" s="17" t="s">
        <v>55</v>
      </c>
      <c r="B915" s="17" t="s">
        <v>164</v>
      </c>
      <c r="Q915" s="17"/>
    </row>
    <row r="916" spans="1:19" hidden="1" x14ac:dyDescent="0.2">
      <c r="A916" s="17" t="s">
        <v>51</v>
      </c>
      <c r="B916" s="17" t="s">
        <v>1209</v>
      </c>
      <c r="Q916" s="17"/>
    </row>
    <row r="917" spans="1:19" hidden="1" x14ac:dyDescent="0.2">
      <c r="A917" s="17" t="s">
        <v>63</v>
      </c>
      <c r="B917" s="17" t="s">
        <v>165</v>
      </c>
      <c r="Q917" s="17"/>
    </row>
    <row r="918" spans="1:19" hidden="1" x14ac:dyDescent="0.2">
      <c r="A918" s="18" t="s">
        <v>57</v>
      </c>
      <c r="Q918" s="17"/>
    </row>
    <row r="919" spans="1:19" hidden="1" x14ac:dyDescent="0.2">
      <c r="A919" s="18" t="s">
        <v>58</v>
      </c>
      <c r="B919" s="18" t="s">
        <v>59</v>
      </c>
      <c r="C919" s="18" t="s">
        <v>52</v>
      </c>
      <c r="D919" s="18" t="s">
        <v>55</v>
      </c>
      <c r="E919" s="18" t="s">
        <v>60</v>
      </c>
      <c r="F919" s="18" t="s">
        <v>61</v>
      </c>
      <c r="G919" s="18" t="s">
        <v>54</v>
      </c>
      <c r="H919" s="18" t="s">
        <v>51</v>
      </c>
      <c r="I919" s="18" t="s">
        <v>221</v>
      </c>
      <c r="J919" s="2" t="s">
        <v>379</v>
      </c>
      <c r="K919" s="62" t="s">
        <v>1059</v>
      </c>
      <c r="L919" s="62" t="s">
        <v>1060</v>
      </c>
      <c r="M919" s="62" t="s">
        <v>1061</v>
      </c>
      <c r="N919" s="62" t="s">
        <v>1062</v>
      </c>
      <c r="O919" s="62" t="s">
        <v>1063</v>
      </c>
      <c r="P919" s="62" t="s">
        <v>1064</v>
      </c>
      <c r="Q919" s="2" t="s">
        <v>1065</v>
      </c>
      <c r="R919" s="2" t="s">
        <v>380</v>
      </c>
      <c r="S919" s="18" t="s">
        <v>1128</v>
      </c>
    </row>
    <row r="920" spans="1:19" hidden="1" x14ac:dyDescent="0.2">
      <c r="A920" s="17" t="s">
        <v>162</v>
      </c>
      <c r="B920" s="17">
        <v>1</v>
      </c>
      <c r="C920" s="17" t="s">
        <v>64</v>
      </c>
      <c r="D920" s="17" t="s">
        <v>164</v>
      </c>
      <c r="F920" s="17" t="s">
        <v>62</v>
      </c>
      <c r="G920" s="17" t="s">
        <v>163</v>
      </c>
      <c r="Q920" s="17"/>
    </row>
    <row r="921" spans="1:19" hidden="1" x14ac:dyDescent="0.2">
      <c r="A921" s="29" t="s">
        <v>166</v>
      </c>
      <c r="B921" s="17">
        <v>19.399999999999999</v>
      </c>
      <c r="C921" s="17" t="s">
        <v>85</v>
      </c>
      <c r="D921" s="17" t="s">
        <v>56</v>
      </c>
      <c r="F921" s="17" t="s">
        <v>86</v>
      </c>
      <c r="G921" s="17" t="s">
        <v>167</v>
      </c>
      <c r="I921" s="17">
        <v>2</v>
      </c>
      <c r="J921">
        <f>LN(B921)</f>
        <v>2.9652730660692823</v>
      </c>
      <c r="K921" s="13">
        <v>1.5</v>
      </c>
      <c r="L921" s="13">
        <v>1.2</v>
      </c>
      <c r="M921" s="13">
        <v>1.5</v>
      </c>
      <c r="N921" s="13">
        <v>1.1000000000000001</v>
      </c>
      <c r="O921" s="13">
        <v>2</v>
      </c>
      <c r="P921" s="13">
        <v>1.2</v>
      </c>
      <c r="Q921">
        <v>1.05</v>
      </c>
      <c r="R921">
        <f t="shared" ref="R921:R932" si="80">LN(SQRT(EXP(
SQRT(
+POWER(LN(K921),2)
+POWER(LN(L921),2)
+POWER(LN(M921),2)
+POWER(LN(N921),2)
+POWER(LN(O921),2)
+POWER(LN(P921),2)
+POWER(LN(Q921),2)
)
)))</f>
        <v>0.47095746419981693</v>
      </c>
    </row>
    <row r="922" spans="1:19" hidden="1" x14ac:dyDescent="0.2">
      <c r="A922" s="17" t="s">
        <v>168</v>
      </c>
      <c r="B922" s="17">
        <v>-2700</v>
      </c>
      <c r="C922" s="17" t="s">
        <v>64</v>
      </c>
      <c r="D922" s="17" t="s">
        <v>56</v>
      </c>
      <c r="F922" s="17" t="s">
        <v>86</v>
      </c>
      <c r="G922" s="17" t="s">
        <v>169</v>
      </c>
      <c r="I922" s="17">
        <v>2</v>
      </c>
      <c r="J922">
        <f>LN(B922*-1)</f>
        <v>7.90100705199242</v>
      </c>
      <c r="K922" s="13">
        <v>1.5</v>
      </c>
      <c r="L922" s="13">
        <v>1.2</v>
      </c>
      <c r="M922" s="13">
        <v>1.5</v>
      </c>
      <c r="N922" s="13">
        <v>1.1000000000000001</v>
      </c>
      <c r="O922" s="13">
        <v>2</v>
      </c>
      <c r="P922" s="13">
        <v>1.2</v>
      </c>
      <c r="Q922">
        <v>1.05</v>
      </c>
      <c r="R922">
        <f>LN(SQRT(EXP(
SQRT(
+POWER(LN(K922),2)
+POWER(LN(L922),2)
+POWER(LN(M922),2)
+POWER(LN(N922),2)
+POWER(LN(O922),2)
+POWER(LN(P922),2)
+POWER(LN(Q922),2)
)
)))</f>
        <v>0.47095746419981693</v>
      </c>
      <c r="S922" s="17" t="b">
        <v>1</v>
      </c>
    </row>
    <row r="923" spans="1:19" hidden="1" x14ac:dyDescent="0.2">
      <c r="A923" s="17" t="s">
        <v>170</v>
      </c>
      <c r="B923" s="17">
        <v>120000</v>
      </c>
      <c r="C923" s="17" t="s">
        <v>85</v>
      </c>
      <c r="D923" s="17" t="s">
        <v>56</v>
      </c>
      <c r="F923" s="17" t="s">
        <v>86</v>
      </c>
      <c r="G923" s="17" t="s">
        <v>171</v>
      </c>
      <c r="I923" s="17">
        <v>2</v>
      </c>
      <c r="J923">
        <f t="shared" ref="J923:J932" si="81">LN(B923)</f>
        <v>11.695247021764184</v>
      </c>
      <c r="K923" s="13">
        <v>1.5</v>
      </c>
      <c r="L923" s="13">
        <v>1.2</v>
      </c>
      <c r="M923" s="13">
        <v>1.5</v>
      </c>
      <c r="N923" s="13">
        <v>1.1000000000000001</v>
      </c>
      <c r="O923" s="13">
        <v>2</v>
      </c>
      <c r="P923" s="13">
        <v>1.2</v>
      </c>
      <c r="Q923">
        <v>1.05</v>
      </c>
      <c r="R923">
        <f t="shared" si="80"/>
        <v>0.47095746419981693</v>
      </c>
    </row>
    <row r="924" spans="1:19" hidden="1" x14ac:dyDescent="0.2">
      <c r="A924" s="29" t="s">
        <v>114</v>
      </c>
      <c r="B924" s="17">
        <v>5340</v>
      </c>
      <c r="C924" s="17" t="s">
        <v>85</v>
      </c>
      <c r="D924" s="17" t="s">
        <v>56</v>
      </c>
      <c r="F924" s="17" t="s">
        <v>86</v>
      </c>
      <c r="G924" s="17" t="s">
        <v>115</v>
      </c>
      <c r="I924" s="17">
        <v>2</v>
      </c>
      <c r="J924">
        <f t="shared" si="81"/>
        <v>8.5829809319542409</v>
      </c>
      <c r="K924" s="13">
        <v>1.5</v>
      </c>
      <c r="L924" s="13">
        <v>1.2</v>
      </c>
      <c r="M924" s="13">
        <v>1.5</v>
      </c>
      <c r="N924" s="13">
        <v>1.1000000000000001</v>
      </c>
      <c r="O924" s="13">
        <v>2</v>
      </c>
      <c r="P924" s="13">
        <v>1.2</v>
      </c>
      <c r="Q924">
        <v>1.05</v>
      </c>
      <c r="R924">
        <f t="shared" si="80"/>
        <v>0.47095746419981693</v>
      </c>
    </row>
    <row r="925" spans="1:19" hidden="1" x14ac:dyDescent="0.2">
      <c r="A925" s="17" t="s">
        <v>172</v>
      </c>
      <c r="B925" s="17">
        <v>0.56999999999999995</v>
      </c>
      <c r="C925" s="17" t="s">
        <v>90</v>
      </c>
      <c r="D925" s="17" t="s">
        <v>56</v>
      </c>
      <c r="F925" s="17" t="s">
        <v>86</v>
      </c>
      <c r="G925" s="17" t="s">
        <v>173</v>
      </c>
      <c r="I925" s="17">
        <v>2</v>
      </c>
      <c r="J925">
        <f t="shared" si="81"/>
        <v>-0.56211891815354131</v>
      </c>
      <c r="K925" s="13">
        <v>1.5</v>
      </c>
      <c r="L925" s="13">
        <v>1.2</v>
      </c>
      <c r="M925" s="13">
        <v>1.5</v>
      </c>
      <c r="N925" s="13">
        <v>1.1000000000000001</v>
      </c>
      <c r="O925" s="13">
        <v>2</v>
      </c>
      <c r="P925" s="13">
        <v>1.2</v>
      </c>
      <c r="Q925">
        <v>1.05</v>
      </c>
      <c r="R925">
        <f t="shared" si="80"/>
        <v>0.47095746419981693</v>
      </c>
    </row>
    <row r="926" spans="1:19" hidden="1" x14ac:dyDescent="0.2">
      <c r="A926" s="17" t="s">
        <v>174</v>
      </c>
      <c r="B926" s="17">
        <v>15.3</v>
      </c>
      <c r="C926" s="17" t="s">
        <v>85</v>
      </c>
      <c r="D926" s="17" t="s">
        <v>56</v>
      </c>
      <c r="F926" s="17" t="s">
        <v>86</v>
      </c>
      <c r="G926" s="17" t="s">
        <v>175</v>
      </c>
      <c r="I926" s="17">
        <v>2</v>
      </c>
      <c r="J926">
        <f t="shared" si="81"/>
        <v>2.7278528283983898</v>
      </c>
      <c r="K926" s="13">
        <v>1.5</v>
      </c>
      <c r="L926" s="13">
        <v>1.2</v>
      </c>
      <c r="M926" s="13">
        <v>1.5</v>
      </c>
      <c r="N926" s="13">
        <v>1.1000000000000001</v>
      </c>
      <c r="O926" s="13">
        <v>2</v>
      </c>
      <c r="P926" s="13">
        <v>1.2</v>
      </c>
      <c r="Q926">
        <v>1.05</v>
      </c>
      <c r="R926">
        <f t="shared" si="80"/>
        <v>0.47095746419981693</v>
      </c>
    </row>
    <row r="927" spans="1:19" hidden="1" x14ac:dyDescent="0.2">
      <c r="A927" s="17" t="s">
        <v>1296</v>
      </c>
      <c r="B927" s="17">
        <v>5340</v>
      </c>
      <c r="C927" s="17" t="s">
        <v>85</v>
      </c>
      <c r="D927" s="17" t="s">
        <v>56</v>
      </c>
      <c r="F927" s="17" t="s">
        <v>86</v>
      </c>
      <c r="G927" s="17" t="s">
        <v>176</v>
      </c>
      <c r="I927" s="17">
        <v>2</v>
      </c>
      <c r="J927">
        <f t="shared" si="81"/>
        <v>8.5829809319542409</v>
      </c>
      <c r="K927" s="13">
        <v>1.5</v>
      </c>
      <c r="L927" s="13">
        <v>1.2</v>
      </c>
      <c r="M927" s="13">
        <v>1.5</v>
      </c>
      <c r="N927" s="13">
        <v>1.1000000000000001</v>
      </c>
      <c r="O927" s="13">
        <v>2</v>
      </c>
      <c r="P927" s="13">
        <v>1.2</v>
      </c>
      <c r="Q927">
        <v>1.05</v>
      </c>
      <c r="R927">
        <f t="shared" si="80"/>
        <v>0.47095746419981693</v>
      </c>
    </row>
    <row r="928" spans="1:19" hidden="1" x14ac:dyDescent="0.2">
      <c r="A928" s="17" t="s">
        <v>1297</v>
      </c>
      <c r="B928" s="17">
        <v>1200</v>
      </c>
      <c r="C928" s="17" t="s">
        <v>85</v>
      </c>
      <c r="D928" s="17" t="s">
        <v>120</v>
      </c>
      <c r="F928" s="17" t="s">
        <v>86</v>
      </c>
      <c r="G928" s="17" t="s">
        <v>177</v>
      </c>
      <c r="I928" s="17">
        <v>2</v>
      </c>
      <c r="J928">
        <f t="shared" si="81"/>
        <v>7.0900768357760917</v>
      </c>
      <c r="K928" s="13">
        <v>1.5</v>
      </c>
      <c r="L928" s="13">
        <v>1.2</v>
      </c>
      <c r="M928" s="13">
        <v>1.5</v>
      </c>
      <c r="N928" s="13">
        <v>1.1000000000000001</v>
      </c>
      <c r="O928" s="13">
        <v>2</v>
      </c>
      <c r="P928" s="13">
        <v>1.2</v>
      </c>
      <c r="Q928">
        <v>1.05</v>
      </c>
      <c r="R928">
        <f t="shared" si="80"/>
        <v>0.47095746419981693</v>
      </c>
    </row>
    <row r="929" spans="1:19" hidden="1" x14ac:dyDescent="0.2">
      <c r="A929" s="17" t="s">
        <v>1298</v>
      </c>
      <c r="B929" s="17">
        <v>9000</v>
      </c>
      <c r="C929" s="17" t="s">
        <v>85</v>
      </c>
      <c r="D929" s="17" t="s">
        <v>120</v>
      </c>
      <c r="F929" s="17" t="s">
        <v>86</v>
      </c>
      <c r="G929" s="17" t="s">
        <v>178</v>
      </c>
      <c r="I929" s="17">
        <v>2</v>
      </c>
      <c r="J929">
        <f t="shared" si="81"/>
        <v>9.1049798563183568</v>
      </c>
      <c r="K929" s="13">
        <v>1.5</v>
      </c>
      <c r="L929" s="13">
        <v>1.2</v>
      </c>
      <c r="M929" s="13">
        <v>1.5</v>
      </c>
      <c r="N929" s="13">
        <v>1.1000000000000001</v>
      </c>
      <c r="O929" s="13">
        <v>2</v>
      </c>
      <c r="P929" s="13">
        <v>1.2</v>
      </c>
      <c r="Q929">
        <v>1.05</v>
      </c>
      <c r="R929">
        <f t="shared" si="80"/>
        <v>0.47095746419981693</v>
      </c>
    </row>
    <row r="930" spans="1:19" hidden="1" x14ac:dyDescent="0.2">
      <c r="A930" s="17" t="s">
        <v>179</v>
      </c>
      <c r="B930" s="17">
        <v>118</v>
      </c>
      <c r="C930" s="17" t="s">
        <v>90</v>
      </c>
      <c r="D930" s="17" t="s">
        <v>56</v>
      </c>
      <c r="F930" s="17" t="s">
        <v>86</v>
      </c>
      <c r="G930" s="17" t="s">
        <v>179</v>
      </c>
      <c r="I930" s="17">
        <v>2</v>
      </c>
      <c r="J930">
        <f t="shared" si="81"/>
        <v>4.7706846244656651</v>
      </c>
      <c r="K930" s="13">
        <v>1.5</v>
      </c>
      <c r="L930" s="13">
        <v>1.2</v>
      </c>
      <c r="M930" s="13">
        <v>1.5</v>
      </c>
      <c r="N930" s="13">
        <v>1.1000000000000001</v>
      </c>
      <c r="O930" s="13">
        <v>2</v>
      </c>
      <c r="P930" s="13">
        <v>1.2</v>
      </c>
      <c r="Q930">
        <v>1.05</v>
      </c>
      <c r="R930">
        <f t="shared" si="80"/>
        <v>0.47095746419981693</v>
      </c>
    </row>
    <row r="931" spans="1:19" hidden="1" x14ac:dyDescent="0.2">
      <c r="A931" s="17" t="s">
        <v>180</v>
      </c>
      <c r="B931" s="17">
        <v>1070</v>
      </c>
      <c r="C931" s="17" t="s">
        <v>96</v>
      </c>
      <c r="D931" s="17" t="s">
        <v>123</v>
      </c>
      <c r="F931" s="17" t="s">
        <v>86</v>
      </c>
      <c r="G931" s="17" t="s">
        <v>181</v>
      </c>
      <c r="I931" s="17">
        <v>2</v>
      </c>
      <c r="J931">
        <f t="shared" si="81"/>
        <v>6.9754139274559517</v>
      </c>
      <c r="K931" s="13">
        <v>1.5</v>
      </c>
      <c r="L931" s="13">
        <v>1.2</v>
      </c>
      <c r="M931" s="13">
        <v>1.5</v>
      </c>
      <c r="N931" s="13">
        <v>1.1000000000000001</v>
      </c>
      <c r="O931" s="13">
        <v>2</v>
      </c>
      <c r="P931" s="13">
        <v>1.2</v>
      </c>
      <c r="Q931">
        <v>2</v>
      </c>
      <c r="R931">
        <f t="shared" si="80"/>
        <v>0.58422518478336083</v>
      </c>
    </row>
    <row r="932" spans="1:19" hidden="1" x14ac:dyDescent="0.2">
      <c r="A932" s="17" t="s">
        <v>182</v>
      </c>
      <c r="B932" s="17">
        <v>6580</v>
      </c>
      <c r="C932" s="17" t="s">
        <v>90</v>
      </c>
      <c r="D932" s="17" t="s">
        <v>123</v>
      </c>
      <c r="F932" s="17" t="s">
        <v>86</v>
      </c>
      <c r="G932" s="17" t="s">
        <v>183</v>
      </c>
      <c r="I932" s="17">
        <v>2</v>
      </c>
      <c r="J932">
        <f t="shared" si="81"/>
        <v>8.7917900243193632</v>
      </c>
      <c r="K932" s="13">
        <v>1.5</v>
      </c>
      <c r="L932" s="13">
        <v>1.2</v>
      </c>
      <c r="M932" s="13">
        <v>1.5</v>
      </c>
      <c r="N932" s="13">
        <v>1.1000000000000001</v>
      </c>
      <c r="O932" s="13">
        <v>2</v>
      </c>
      <c r="P932" s="13">
        <v>1.2</v>
      </c>
      <c r="Q932">
        <v>2</v>
      </c>
      <c r="R932">
        <f t="shared" si="80"/>
        <v>0.58422518478336083</v>
      </c>
    </row>
    <row r="933" spans="1:19" hidden="1" x14ac:dyDescent="0.2">
      <c r="Q933" s="17"/>
    </row>
    <row r="934" spans="1:19" hidden="1" x14ac:dyDescent="0.2">
      <c r="A934" s="18" t="s">
        <v>50</v>
      </c>
      <c r="B934" s="18" t="s">
        <v>184</v>
      </c>
      <c r="Q934" s="17"/>
    </row>
    <row r="935" spans="1:19" hidden="1" x14ac:dyDescent="0.2">
      <c r="A935" s="17" t="s">
        <v>52</v>
      </c>
      <c r="B935" s="17" t="s">
        <v>64</v>
      </c>
      <c r="Q935" s="17"/>
    </row>
    <row r="936" spans="1:19" hidden="1" x14ac:dyDescent="0.2">
      <c r="A936" s="17" t="s">
        <v>53</v>
      </c>
      <c r="B936" s="17">
        <v>1</v>
      </c>
      <c r="Q936" s="17"/>
    </row>
    <row r="937" spans="1:19" hidden="1" x14ac:dyDescent="0.2">
      <c r="A937" s="17" t="s">
        <v>54</v>
      </c>
      <c r="B937" s="17" t="s">
        <v>185</v>
      </c>
      <c r="Q937" s="17"/>
    </row>
    <row r="938" spans="1:19" hidden="1" x14ac:dyDescent="0.2">
      <c r="A938" s="17" t="s">
        <v>61</v>
      </c>
      <c r="B938" s="17" t="s">
        <v>121</v>
      </c>
      <c r="Q938" s="17"/>
    </row>
    <row r="939" spans="1:19" hidden="1" x14ac:dyDescent="0.2">
      <c r="A939" s="17" t="s">
        <v>55</v>
      </c>
      <c r="B939" s="17" t="s">
        <v>164</v>
      </c>
      <c r="Q939" s="17"/>
    </row>
    <row r="940" spans="1:19" hidden="1" x14ac:dyDescent="0.2">
      <c r="A940" s="17" t="s">
        <v>51</v>
      </c>
      <c r="B940" s="17" t="s">
        <v>1209</v>
      </c>
      <c r="Q940" s="17"/>
    </row>
    <row r="941" spans="1:19" hidden="1" x14ac:dyDescent="0.2">
      <c r="A941" s="17" t="s">
        <v>63</v>
      </c>
      <c r="B941" s="17" t="s">
        <v>165</v>
      </c>
      <c r="Q941" s="17"/>
    </row>
    <row r="942" spans="1:19" hidden="1" x14ac:dyDescent="0.2">
      <c r="A942" s="18" t="s">
        <v>57</v>
      </c>
      <c r="Q942" s="17"/>
    </row>
    <row r="943" spans="1:19" hidden="1" x14ac:dyDescent="0.2">
      <c r="A943" s="18" t="s">
        <v>58</v>
      </c>
      <c r="B943" s="18" t="s">
        <v>59</v>
      </c>
      <c r="C943" s="18" t="s">
        <v>52</v>
      </c>
      <c r="D943" s="18" t="s">
        <v>55</v>
      </c>
      <c r="E943" s="18" t="s">
        <v>60</v>
      </c>
      <c r="F943" s="18" t="s">
        <v>61</v>
      </c>
      <c r="G943" s="18" t="s">
        <v>54</v>
      </c>
      <c r="H943" s="18" t="s">
        <v>51</v>
      </c>
      <c r="I943" s="18" t="s">
        <v>221</v>
      </c>
      <c r="J943" s="2" t="s">
        <v>379</v>
      </c>
      <c r="K943" s="62" t="s">
        <v>1059</v>
      </c>
      <c r="L943" s="62" t="s">
        <v>1060</v>
      </c>
      <c r="M943" s="62" t="s">
        <v>1061</v>
      </c>
      <c r="N943" s="62" t="s">
        <v>1062</v>
      </c>
      <c r="O943" s="62" t="s">
        <v>1063</v>
      </c>
      <c r="P943" s="62" t="s">
        <v>1064</v>
      </c>
      <c r="Q943" s="2" t="s">
        <v>1065</v>
      </c>
      <c r="R943" s="2" t="s">
        <v>380</v>
      </c>
      <c r="S943" s="18" t="s">
        <v>1128</v>
      </c>
    </row>
    <row r="944" spans="1:19" hidden="1" x14ac:dyDescent="0.2">
      <c r="A944" s="17" t="s">
        <v>184</v>
      </c>
      <c r="B944" s="17">
        <v>1</v>
      </c>
      <c r="C944" s="17" t="s">
        <v>64</v>
      </c>
      <c r="D944" s="17" t="s">
        <v>164</v>
      </c>
      <c r="F944" s="17" t="s">
        <v>62</v>
      </c>
      <c r="G944" s="17" t="s">
        <v>185</v>
      </c>
      <c r="Q944" s="17"/>
    </row>
    <row r="945" spans="1:19" hidden="1" x14ac:dyDescent="0.2">
      <c r="A945" s="29" t="s">
        <v>166</v>
      </c>
      <c r="B945" s="17">
        <v>64.8</v>
      </c>
      <c r="C945" s="17" t="s">
        <v>85</v>
      </c>
      <c r="D945" s="17" t="s">
        <v>56</v>
      </c>
      <c r="F945" s="17" t="s">
        <v>86</v>
      </c>
      <c r="G945" s="17" t="s">
        <v>167</v>
      </c>
      <c r="I945" s="17">
        <v>2</v>
      </c>
      <c r="J945">
        <f>LN(B945)</f>
        <v>4.1713056033582285</v>
      </c>
      <c r="K945" s="13">
        <v>1.5</v>
      </c>
      <c r="L945" s="13">
        <v>1.2</v>
      </c>
      <c r="M945" s="13">
        <v>1.5</v>
      </c>
      <c r="N945" s="13">
        <v>1.1000000000000001</v>
      </c>
      <c r="O945" s="13">
        <v>2</v>
      </c>
      <c r="P945" s="13">
        <v>1.2</v>
      </c>
      <c r="Q945">
        <v>1.05</v>
      </c>
      <c r="R945">
        <f t="shared" ref="R945:R956" si="82">LN(SQRT(EXP(
SQRT(
+POWER(LN(K945),2)
+POWER(LN(L945),2)
+POWER(LN(M945),2)
+POWER(LN(N945),2)
+POWER(LN(O945),2)
+POWER(LN(P945),2)
+POWER(LN(Q945),2)
)
)))</f>
        <v>0.47095746419981693</v>
      </c>
    </row>
    <row r="946" spans="1:19" hidden="1" x14ac:dyDescent="0.2">
      <c r="A946" s="17" t="s">
        <v>168</v>
      </c>
      <c r="B946" s="17">
        <v>-10900</v>
      </c>
      <c r="C946" s="17" t="s">
        <v>64</v>
      </c>
      <c r="D946" s="17" t="s">
        <v>56</v>
      </c>
      <c r="F946" s="17" t="s">
        <v>86</v>
      </c>
      <c r="G946" s="17" t="s">
        <v>169</v>
      </c>
      <c r="I946" s="17">
        <v>2</v>
      </c>
      <c r="J946">
        <f>LN(B946*-1)</f>
        <v>9.2965180682172353</v>
      </c>
      <c r="K946" s="13">
        <v>1.5</v>
      </c>
      <c r="L946" s="13">
        <v>1.2</v>
      </c>
      <c r="M946" s="13">
        <v>1.5</v>
      </c>
      <c r="N946" s="13">
        <v>1.1000000000000001</v>
      </c>
      <c r="O946" s="13">
        <v>2</v>
      </c>
      <c r="P946" s="13">
        <v>1.2</v>
      </c>
      <c r="Q946">
        <v>1.05</v>
      </c>
      <c r="R946">
        <f>LN(SQRT(EXP(
SQRT(
+POWER(LN(K946),2)
+POWER(LN(L946),2)
+POWER(LN(M946),2)
+POWER(LN(N946),2)
+POWER(LN(O946),2)
+POWER(LN(P946),2)
+POWER(LN(Q946),2)
)
)))</f>
        <v>0.47095746419981693</v>
      </c>
      <c r="S946" s="17" t="b">
        <v>1</v>
      </c>
    </row>
    <row r="947" spans="1:19" hidden="1" x14ac:dyDescent="0.2">
      <c r="A947" s="17" t="s">
        <v>170</v>
      </c>
      <c r="B947" s="17">
        <v>225000</v>
      </c>
      <c r="C947" s="17" t="s">
        <v>85</v>
      </c>
      <c r="D947" s="17" t="s">
        <v>56</v>
      </c>
      <c r="F947" s="17" t="s">
        <v>86</v>
      </c>
      <c r="G947" s="17" t="s">
        <v>171</v>
      </c>
      <c r="I947" s="17">
        <v>2</v>
      </c>
      <c r="J947">
        <f t="shared" ref="J947:J956" si="83">LN(B947)</f>
        <v>12.323855681186558</v>
      </c>
      <c r="K947" s="13">
        <v>1.5</v>
      </c>
      <c r="L947" s="13">
        <v>1.2</v>
      </c>
      <c r="M947" s="13">
        <v>1.5</v>
      </c>
      <c r="N947" s="13">
        <v>1.1000000000000001</v>
      </c>
      <c r="O947" s="13">
        <v>2</v>
      </c>
      <c r="P947" s="13">
        <v>1.2</v>
      </c>
      <c r="Q947">
        <v>1.05</v>
      </c>
      <c r="R947">
        <f t="shared" si="82"/>
        <v>0.47095746419981693</v>
      </c>
    </row>
    <row r="948" spans="1:19" hidden="1" x14ac:dyDescent="0.2">
      <c r="A948" s="29" t="s">
        <v>114</v>
      </c>
      <c r="B948" s="17">
        <v>21800</v>
      </c>
      <c r="C948" s="17" t="s">
        <v>85</v>
      </c>
      <c r="D948" s="17" t="s">
        <v>56</v>
      </c>
      <c r="F948" s="17" t="s">
        <v>86</v>
      </c>
      <c r="G948" s="17" t="s">
        <v>115</v>
      </c>
      <c r="I948" s="17">
        <v>2</v>
      </c>
      <c r="J948">
        <f t="shared" si="83"/>
        <v>9.9896652487771807</v>
      </c>
      <c r="K948" s="13">
        <v>1.5</v>
      </c>
      <c r="L948" s="13">
        <v>1.2</v>
      </c>
      <c r="M948" s="13">
        <v>1.5</v>
      </c>
      <c r="N948" s="13">
        <v>1.1000000000000001</v>
      </c>
      <c r="O948" s="13">
        <v>2</v>
      </c>
      <c r="P948" s="13">
        <v>1.2</v>
      </c>
      <c r="Q948">
        <v>1.05</v>
      </c>
      <c r="R948">
        <f t="shared" si="82"/>
        <v>0.47095746419981693</v>
      </c>
    </row>
    <row r="949" spans="1:19" hidden="1" x14ac:dyDescent="0.2">
      <c r="A949" s="17" t="s">
        <v>172</v>
      </c>
      <c r="B949" s="17">
        <v>1.9</v>
      </c>
      <c r="C949" s="17" t="s">
        <v>90</v>
      </c>
      <c r="D949" s="17" t="s">
        <v>56</v>
      </c>
      <c r="F949" s="17" t="s">
        <v>86</v>
      </c>
      <c r="G949" s="17" t="s">
        <v>173</v>
      </c>
      <c r="I949" s="17">
        <v>2</v>
      </c>
      <c r="J949">
        <f t="shared" si="83"/>
        <v>0.64185388617239469</v>
      </c>
      <c r="K949" s="13">
        <v>1.5</v>
      </c>
      <c r="L949" s="13">
        <v>1.2</v>
      </c>
      <c r="M949" s="13">
        <v>1.5</v>
      </c>
      <c r="N949" s="13">
        <v>1.1000000000000001</v>
      </c>
      <c r="O949" s="13">
        <v>2</v>
      </c>
      <c r="P949" s="13">
        <v>1.2</v>
      </c>
      <c r="Q949">
        <v>1.05</v>
      </c>
      <c r="R949">
        <f t="shared" si="82"/>
        <v>0.47095746419981693</v>
      </c>
    </row>
    <row r="950" spans="1:19" hidden="1" x14ac:dyDescent="0.2">
      <c r="A950" s="17" t="s">
        <v>174</v>
      </c>
      <c r="B950" s="17">
        <v>51.1</v>
      </c>
      <c r="C950" s="17" t="s">
        <v>85</v>
      </c>
      <c r="D950" s="17" t="s">
        <v>56</v>
      </c>
      <c r="F950" s="17" t="s">
        <v>86</v>
      </c>
      <c r="G950" s="17" t="s">
        <v>175</v>
      </c>
      <c r="I950" s="17">
        <v>2</v>
      </c>
      <c r="J950">
        <f t="shared" si="83"/>
        <v>3.9337844972096589</v>
      </c>
      <c r="K950" s="13">
        <v>1.5</v>
      </c>
      <c r="L950" s="13">
        <v>1.2</v>
      </c>
      <c r="M950" s="13">
        <v>1.5</v>
      </c>
      <c r="N950" s="13">
        <v>1.1000000000000001</v>
      </c>
      <c r="O950" s="13">
        <v>2</v>
      </c>
      <c r="P950" s="13">
        <v>1.2</v>
      </c>
      <c r="Q950">
        <v>1.05</v>
      </c>
      <c r="R950">
        <f t="shared" si="82"/>
        <v>0.47095746419981693</v>
      </c>
    </row>
    <row r="951" spans="1:19" hidden="1" x14ac:dyDescent="0.2">
      <c r="A951" s="17" t="s">
        <v>1296</v>
      </c>
      <c r="B951" s="17">
        <v>21800</v>
      </c>
      <c r="C951" s="17" t="s">
        <v>85</v>
      </c>
      <c r="D951" s="17" t="s">
        <v>56</v>
      </c>
      <c r="F951" s="17" t="s">
        <v>86</v>
      </c>
      <c r="G951" s="17" t="s">
        <v>176</v>
      </c>
      <c r="I951" s="17">
        <v>2</v>
      </c>
      <c r="J951">
        <f t="shared" si="83"/>
        <v>9.9896652487771807</v>
      </c>
      <c r="K951" s="13">
        <v>1.5</v>
      </c>
      <c r="L951" s="13">
        <v>1.2</v>
      </c>
      <c r="M951" s="13">
        <v>1.5</v>
      </c>
      <c r="N951" s="13">
        <v>1.1000000000000001</v>
      </c>
      <c r="O951" s="13">
        <v>2</v>
      </c>
      <c r="P951" s="13">
        <v>1.2</v>
      </c>
      <c r="Q951">
        <v>1.05</v>
      </c>
      <c r="R951">
        <f t="shared" si="82"/>
        <v>0.47095746419981693</v>
      </c>
    </row>
    <row r="952" spans="1:19" hidden="1" x14ac:dyDescent="0.2">
      <c r="A952" s="17" t="s">
        <v>1297</v>
      </c>
      <c r="B952" s="17">
        <v>1200</v>
      </c>
      <c r="C952" s="17" t="s">
        <v>85</v>
      </c>
      <c r="D952" s="17" t="s">
        <v>120</v>
      </c>
      <c r="F952" s="17" t="s">
        <v>86</v>
      </c>
      <c r="G952" s="17" t="s">
        <v>177</v>
      </c>
      <c r="I952" s="17">
        <v>2</v>
      </c>
      <c r="J952">
        <f t="shared" si="83"/>
        <v>7.0900768357760917</v>
      </c>
      <c r="K952" s="13">
        <v>1.5</v>
      </c>
      <c r="L952" s="13">
        <v>1.2</v>
      </c>
      <c r="M952" s="13">
        <v>1.5</v>
      </c>
      <c r="N952" s="13">
        <v>1.1000000000000001</v>
      </c>
      <c r="O952" s="13">
        <v>2</v>
      </c>
      <c r="P952" s="13">
        <v>1.2</v>
      </c>
      <c r="Q952">
        <v>1.05</v>
      </c>
      <c r="R952">
        <f t="shared" si="82"/>
        <v>0.47095746419981693</v>
      </c>
    </row>
    <row r="953" spans="1:19" hidden="1" x14ac:dyDescent="0.2">
      <c r="A953" s="17" t="s">
        <v>1298</v>
      </c>
      <c r="B953" s="17">
        <v>9000</v>
      </c>
      <c r="C953" s="17" t="s">
        <v>85</v>
      </c>
      <c r="D953" s="17" t="s">
        <v>120</v>
      </c>
      <c r="F953" s="17" t="s">
        <v>86</v>
      </c>
      <c r="G953" s="17" t="s">
        <v>178</v>
      </c>
      <c r="I953" s="17">
        <v>2</v>
      </c>
      <c r="J953">
        <f t="shared" si="83"/>
        <v>9.1049798563183568</v>
      </c>
      <c r="K953" s="13">
        <v>1.5</v>
      </c>
      <c r="L953" s="13">
        <v>1.2</v>
      </c>
      <c r="M953" s="13">
        <v>1.5</v>
      </c>
      <c r="N953" s="13">
        <v>1.1000000000000001</v>
      </c>
      <c r="O953" s="13">
        <v>2</v>
      </c>
      <c r="P953" s="13">
        <v>1.2</v>
      </c>
      <c r="Q953">
        <v>1.05</v>
      </c>
      <c r="R953">
        <f t="shared" si="82"/>
        <v>0.47095746419981693</v>
      </c>
    </row>
    <row r="954" spans="1:19" hidden="1" x14ac:dyDescent="0.2">
      <c r="A954" s="17" t="s">
        <v>179</v>
      </c>
      <c r="B954" s="17">
        <v>35</v>
      </c>
      <c r="C954" s="17" t="s">
        <v>90</v>
      </c>
      <c r="D954" s="17" t="s">
        <v>56</v>
      </c>
      <c r="F954" s="17" t="s">
        <v>86</v>
      </c>
      <c r="G954" s="17" t="s">
        <v>179</v>
      </c>
      <c r="I954" s="17">
        <v>2</v>
      </c>
      <c r="J954">
        <f t="shared" si="83"/>
        <v>3.5553480614894135</v>
      </c>
      <c r="K954" s="13">
        <v>1.5</v>
      </c>
      <c r="L954" s="13">
        <v>1.2</v>
      </c>
      <c r="M954" s="13">
        <v>1.5</v>
      </c>
      <c r="N954" s="13">
        <v>1.1000000000000001</v>
      </c>
      <c r="O954" s="13">
        <v>2</v>
      </c>
      <c r="P954" s="13">
        <v>1.2</v>
      </c>
      <c r="Q954">
        <v>1.05</v>
      </c>
      <c r="R954">
        <f t="shared" si="82"/>
        <v>0.47095746419981693</v>
      </c>
    </row>
    <row r="955" spans="1:19" hidden="1" x14ac:dyDescent="0.2">
      <c r="A955" s="17" t="s">
        <v>180</v>
      </c>
      <c r="B955" s="17">
        <v>13600</v>
      </c>
      <c r="C955" s="17" t="s">
        <v>96</v>
      </c>
      <c r="D955" s="17" t="s">
        <v>123</v>
      </c>
      <c r="F955" s="17" t="s">
        <v>86</v>
      </c>
      <c r="G955" s="17" t="s">
        <v>181</v>
      </c>
      <c r="I955" s="17">
        <v>2</v>
      </c>
      <c r="J955">
        <f t="shared" si="83"/>
        <v>9.5178250717241433</v>
      </c>
      <c r="K955" s="13">
        <v>1.5</v>
      </c>
      <c r="L955" s="13">
        <v>1.2</v>
      </c>
      <c r="M955" s="13">
        <v>1.5</v>
      </c>
      <c r="N955" s="13">
        <v>1.1000000000000001</v>
      </c>
      <c r="O955" s="13">
        <v>2</v>
      </c>
      <c r="P955" s="13">
        <v>1.2</v>
      </c>
      <c r="Q955">
        <v>2</v>
      </c>
      <c r="R955">
        <f t="shared" si="82"/>
        <v>0.58422518478336083</v>
      </c>
    </row>
    <row r="956" spans="1:19" hidden="1" x14ac:dyDescent="0.2">
      <c r="A956" s="17" t="s">
        <v>182</v>
      </c>
      <c r="B956" s="17">
        <v>4390</v>
      </c>
      <c r="C956" s="17" t="s">
        <v>90</v>
      </c>
      <c r="D956" s="17" t="s">
        <v>123</v>
      </c>
      <c r="F956" s="17" t="s">
        <v>86</v>
      </c>
      <c r="G956" s="17" t="s">
        <v>183</v>
      </c>
      <c r="I956" s="17">
        <v>2</v>
      </c>
      <c r="J956">
        <f t="shared" si="83"/>
        <v>8.3870845060692165</v>
      </c>
      <c r="K956" s="13">
        <v>1.5</v>
      </c>
      <c r="L956" s="13">
        <v>1.2</v>
      </c>
      <c r="M956" s="13">
        <v>1.5</v>
      </c>
      <c r="N956" s="13">
        <v>1.1000000000000001</v>
      </c>
      <c r="O956" s="13">
        <v>2</v>
      </c>
      <c r="P956" s="13">
        <v>1.2</v>
      </c>
      <c r="Q956">
        <v>2</v>
      </c>
      <c r="R956">
        <f t="shared" si="82"/>
        <v>0.58422518478336083</v>
      </c>
    </row>
    <row r="957" spans="1:19" hidden="1" x14ac:dyDescent="0.2">
      <c r="Q957" s="17"/>
    </row>
    <row r="958" spans="1:19" hidden="1" x14ac:dyDescent="0.2">
      <c r="A958" s="18" t="s">
        <v>50</v>
      </c>
      <c r="B958" s="18" t="s">
        <v>179</v>
      </c>
      <c r="Q958" s="17"/>
    </row>
    <row r="959" spans="1:19" hidden="1" x14ac:dyDescent="0.2">
      <c r="A959" s="17" t="s">
        <v>52</v>
      </c>
      <c r="B959" s="17" t="s">
        <v>90</v>
      </c>
      <c r="Q959" s="17"/>
    </row>
    <row r="960" spans="1:19" hidden="1" x14ac:dyDescent="0.2">
      <c r="A960" s="17" t="s">
        <v>53</v>
      </c>
      <c r="B960" s="17">
        <v>1</v>
      </c>
      <c r="Q960" s="17"/>
    </row>
    <row r="961" spans="1:19" hidden="1" x14ac:dyDescent="0.2">
      <c r="A961" s="17" t="s">
        <v>54</v>
      </c>
      <c r="B961" s="17" t="s">
        <v>179</v>
      </c>
      <c r="Q961" s="17"/>
    </row>
    <row r="962" spans="1:19" hidden="1" x14ac:dyDescent="0.2">
      <c r="A962" s="17" t="s">
        <v>61</v>
      </c>
      <c r="B962" s="17" t="s">
        <v>121</v>
      </c>
      <c r="Q962" s="17"/>
    </row>
    <row r="963" spans="1:19" hidden="1" x14ac:dyDescent="0.2">
      <c r="A963" s="17" t="s">
        <v>55</v>
      </c>
      <c r="B963" s="17" t="s">
        <v>56</v>
      </c>
      <c r="Q963" s="17"/>
    </row>
    <row r="964" spans="1:19" hidden="1" x14ac:dyDescent="0.2">
      <c r="A964" s="17" t="s">
        <v>51</v>
      </c>
      <c r="B964" s="17" t="s">
        <v>186</v>
      </c>
      <c r="Q964" s="17"/>
    </row>
    <row r="965" spans="1:19" hidden="1" x14ac:dyDescent="0.2">
      <c r="A965" s="17" t="s">
        <v>63</v>
      </c>
      <c r="B965" s="17" t="s">
        <v>165</v>
      </c>
      <c r="Q965" s="17"/>
    </row>
    <row r="966" spans="1:19" hidden="1" x14ac:dyDescent="0.2">
      <c r="A966" s="18" t="s">
        <v>57</v>
      </c>
      <c r="Q966" s="17"/>
    </row>
    <row r="967" spans="1:19" hidden="1" x14ac:dyDescent="0.2">
      <c r="A967" s="18" t="s">
        <v>58</v>
      </c>
      <c r="B967" s="18" t="s">
        <v>59</v>
      </c>
      <c r="C967" s="18" t="s">
        <v>52</v>
      </c>
      <c r="D967" s="18" t="s">
        <v>55</v>
      </c>
      <c r="E967" s="18" t="s">
        <v>60</v>
      </c>
      <c r="F967" s="18" t="s">
        <v>61</v>
      </c>
      <c r="G967" s="18" t="s">
        <v>54</v>
      </c>
      <c r="H967" s="18" t="s">
        <v>51</v>
      </c>
      <c r="I967" s="18" t="s">
        <v>221</v>
      </c>
      <c r="J967" s="2" t="s">
        <v>379</v>
      </c>
      <c r="K967" s="62" t="s">
        <v>1059</v>
      </c>
      <c r="L967" s="62" t="s">
        <v>1060</v>
      </c>
      <c r="M967" s="62" t="s">
        <v>1061</v>
      </c>
      <c r="N967" s="62" t="s">
        <v>1062</v>
      </c>
      <c r="O967" s="62" t="s">
        <v>1063</v>
      </c>
      <c r="P967" s="62" t="s">
        <v>1064</v>
      </c>
      <c r="Q967" s="2" t="s">
        <v>1065</v>
      </c>
      <c r="R967" s="2" t="s">
        <v>380</v>
      </c>
      <c r="S967" s="18" t="s">
        <v>1128</v>
      </c>
    </row>
    <row r="968" spans="1:19" hidden="1" x14ac:dyDescent="0.2">
      <c r="A968" s="17" t="s">
        <v>179</v>
      </c>
      <c r="B968" s="17">
        <v>1</v>
      </c>
      <c r="C968" s="17" t="s">
        <v>90</v>
      </c>
      <c r="D968" s="17" t="s">
        <v>56</v>
      </c>
      <c r="F968" s="17" t="s">
        <v>62</v>
      </c>
      <c r="G968" s="17" t="s">
        <v>179</v>
      </c>
      <c r="Q968" s="17"/>
    </row>
    <row r="969" spans="1:19" hidden="1" x14ac:dyDescent="0.2">
      <c r="A969" s="17" t="s">
        <v>187</v>
      </c>
      <c r="B969" s="17">
        <v>-1.4E-5</v>
      </c>
      <c r="C969" s="17" t="s">
        <v>90</v>
      </c>
      <c r="D969" s="17" t="s">
        <v>56</v>
      </c>
      <c r="F969" s="17" t="s">
        <v>86</v>
      </c>
      <c r="G969" s="17" t="s">
        <v>188</v>
      </c>
      <c r="I969" s="17">
        <v>2</v>
      </c>
      <c r="J969">
        <f t="shared" ref="J969:J971" si="84">LN(B969*-1)</f>
        <v>-11.176453228349015</v>
      </c>
      <c r="K969" s="13">
        <v>1.5</v>
      </c>
      <c r="L969" s="13">
        <v>1.2</v>
      </c>
      <c r="M969" s="13">
        <v>1.5</v>
      </c>
      <c r="N969" s="13">
        <v>1.1000000000000001</v>
      </c>
      <c r="O969" s="13">
        <v>2</v>
      </c>
      <c r="P969" s="13">
        <v>1.2</v>
      </c>
      <c r="Q969">
        <v>1.05</v>
      </c>
      <c r="R969">
        <f t="shared" ref="R969:R971" si="85">LN(SQRT(EXP(
SQRT(
+POWER(LN(K969),2)
+POWER(LN(L969),2)
+POWER(LN(M969),2)
+POWER(LN(N969),2)
+POWER(LN(O969),2)
+POWER(LN(P969),2)
+POWER(LN(Q969),2)
)
)))</f>
        <v>0.47095746419981693</v>
      </c>
      <c r="S969" s="17" t="b">
        <v>1</v>
      </c>
    </row>
    <row r="970" spans="1:19" hidden="1" x14ac:dyDescent="0.2">
      <c r="A970" s="17" t="s">
        <v>189</v>
      </c>
      <c r="B970" s="17">
        <v>-1.6000000000000001E-4</v>
      </c>
      <c r="C970" s="17" t="s">
        <v>96</v>
      </c>
      <c r="D970" s="17" t="s">
        <v>56</v>
      </c>
      <c r="F970" s="17" t="s">
        <v>86</v>
      </c>
      <c r="G970" s="17" t="s">
        <v>158</v>
      </c>
      <c r="I970" s="17">
        <v>2</v>
      </c>
      <c r="J970">
        <f t="shared" si="84"/>
        <v>-8.740336742730447</v>
      </c>
      <c r="K970" s="13">
        <v>1.5</v>
      </c>
      <c r="L970" s="13">
        <v>1.2</v>
      </c>
      <c r="M970" s="13">
        <v>1.5</v>
      </c>
      <c r="N970" s="13">
        <v>1.1000000000000001</v>
      </c>
      <c r="O970" s="13">
        <v>2</v>
      </c>
      <c r="P970" s="13">
        <v>1.2</v>
      </c>
      <c r="Q970">
        <v>1.05</v>
      </c>
      <c r="R970">
        <f t="shared" si="85"/>
        <v>0.47095746419981693</v>
      </c>
      <c r="S970" s="17" t="b">
        <v>1</v>
      </c>
    </row>
    <row r="971" spans="1:19" ht="17" hidden="1" x14ac:dyDescent="0.2">
      <c r="A971" s="32" t="s">
        <v>190</v>
      </c>
      <c r="B971" s="17">
        <v>-9.0600000000000007E-5</v>
      </c>
      <c r="C971" s="17" t="s">
        <v>85</v>
      </c>
      <c r="D971" s="17" t="s">
        <v>56</v>
      </c>
      <c r="F971" s="17" t="s">
        <v>86</v>
      </c>
      <c r="G971" s="17" t="s">
        <v>191</v>
      </c>
      <c r="I971" s="17">
        <v>2</v>
      </c>
      <c r="J971">
        <f t="shared" si="84"/>
        <v>-9.3090563449153407</v>
      </c>
      <c r="K971" s="13">
        <v>1.5</v>
      </c>
      <c r="L971" s="13">
        <v>1.2</v>
      </c>
      <c r="M971" s="13">
        <v>1.5</v>
      </c>
      <c r="N971" s="13">
        <v>1.1000000000000001</v>
      </c>
      <c r="O971" s="13">
        <v>2</v>
      </c>
      <c r="P971" s="13">
        <v>1.2</v>
      </c>
      <c r="Q971">
        <v>1.05</v>
      </c>
      <c r="R971">
        <f t="shared" si="85"/>
        <v>0.47095746419981693</v>
      </c>
      <c r="S971" s="17" t="b">
        <v>1</v>
      </c>
    </row>
    <row r="972" spans="1:19" hidden="1" x14ac:dyDescent="0.2">
      <c r="A972" s="17" t="s">
        <v>95</v>
      </c>
      <c r="B972" s="17">
        <v>0.2</v>
      </c>
      <c r="C972" s="17" t="s">
        <v>96</v>
      </c>
      <c r="D972" s="17" t="s">
        <v>56</v>
      </c>
      <c r="F972" s="17" t="s">
        <v>86</v>
      </c>
      <c r="G972" s="17" t="s">
        <v>97</v>
      </c>
      <c r="I972" s="17">
        <v>2</v>
      </c>
      <c r="J972">
        <f t="shared" ref="J972:J1006" si="86">LN(B972)</f>
        <v>-1.6094379124341003</v>
      </c>
      <c r="K972" s="13">
        <v>1.5</v>
      </c>
      <c r="L972" s="13">
        <v>1.2</v>
      </c>
      <c r="M972" s="13">
        <v>1.5</v>
      </c>
      <c r="N972" s="13">
        <v>1.1000000000000001</v>
      </c>
      <c r="O972" s="13">
        <v>2</v>
      </c>
      <c r="P972" s="13">
        <v>1.2</v>
      </c>
      <c r="Q972">
        <v>1.05</v>
      </c>
      <c r="R972">
        <f t="shared" ref="R972:R1006" si="87">LN(SQRT(EXP(
SQRT(
+POWER(LN(K972),2)
+POWER(LN(L972),2)
+POWER(LN(M972),2)
+POWER(LN(N972),2)
+POWER(LN(O972),2)
+POWER(LN(P972),2)
+POWER(LN(Q972),2)
)
)))</f>
        <v>0.47095746419981693</v>
      </c>
    </row>
    <row r="973" spans="1:19" hidden="1" x14ac:dyDescent="0.2">
      <c r="A973" s="17" t="s">
        <v>647</v>
      </c>
      <c r="B973" s="17">
        <v>1.5E-3</v>
      </c>
      <c r="C973" s="17" t="s">
        <v>85</v>
      </c>
      <c r="D973" s="17" t="s">
        <v>56</v>
      </c>
      <c r="F973" s="17" t="s">
        <v>86</v>
      </c>
      <c r="G973" s="17" t="s">
        <v>192</v>
      </c>
      <c r="I973" s="17">
        <v>2</v>
      </c>
      <c r="J973">
        <f t="shared" si="86"/>
        <v>-6.5022901708739722</v>
      </c>
      <c r="K973" s="13">
        <v>1.5</v>
      </c>
      <c r="L973" s="13">
        <v>1.2</v>
      </c>
      <c r="M973" s="13">
        <v>1.5</v>
      </c>
      <c r="N973" s="13">
        <v>1.1000000000000001</v>
      </c>
      <c r="O973" s="13">
        <v>2</v>
      </c>
      <c r="P973" s="13">
        <v>1.2</v>
      </c>
      <c r="Q973">
        <v>1.05</v>
      </c>
      <c r="R973">
        <f t="shared" si="87"/>
        <v>0.47095746419981693</v>
      </c>
    </row>
    <row r="974" spans="1:19" hidden="1" x14ac:dyDescent="0.2">
      <c r="A974" s="17" t="s">
        <v>193</v>
      </c>
      <c r="B974" s="25">
        <v>9.0599999999999999E-7</v>
      </c>
      <c r="C974" s="17" t="s">
        <v>90</v>
      </c>
      <c r="D974" s="17" t="s">
        <v>56</v>
      </c>
      <c r="F974" s="17" t="s">
        <v>86</v>
      </c>
      <c r="G974" s="17" t="s">
        <v>194</v>
      </c>
      <c r="I974" s="17">
        <v>2</v>
      </c>
      <c r="J974">
        <f t="shared" si="86"/>
        <v>-13.914226530903433</v>
      </c>
      <c r="K974" s="13">
        <v>1.5</v>
      </c>
      <c r="L974" s="13">
        <v>1.2</v>
      </c>
      <c r="M974" s="13">
        <v>1.5</v>
      </c>
      <c r="N974" s="13">
        <v>1.1000000000000001</v>
      </c>
      <c r="O974" s="13">
        <v>2</v>
      </c>
      <c r="P974" s="13">
        <v>1.2</v>
      </c>
      <c r="Q974">
        <v>1.05</v>
      </c>
      <c r="R974">
        <f t="shared" si="87"/>
        <v>0.47095746419981693</v>
      </c>
    </row>
    <row r="975" spans="1:19" hidden="1" x14ac:dyDescent="0.2">
      <c r="A975" s="17" t="s">
        <v>195</v>
      </c>
      <c r="B975" s="17">
        <v>3.5999999999999994E-5</v>
      </c>
      <c r="C975" s="17" t="s">
        <v>90</v>
      </c>
      <c r="D975" s="17" t="s">
        <v>56</v>
      </c>
      <c r="F975" s="17" t="s">
        <v>86</v>
      </c>
      <c r="G975" s="17" t="s">
        <v>196</v>
      </c>
      <c r="I975" s="17">
        <v>2</v>
      </c>
      <c r="J975">
        <f t="shared" si="86"/>
        <v>-10.231991619508165</v>
      </c>
      <c r="K975" s="13">
        <v>1.5</v>
      </c>
      <c r="L975" s="13">
        <v>1.2</v>
      </c>
      <c r="M975" s="13">
        <v>1.5</v>
      </c>
      <c r="N975" s="13">
        <v>1.1000000000000001</v>
      </c>
      <c r="O975" s="13">
        <v>2</v>
      </c>
      <c r="P975" s="13">
        <v>1.2</v>
      </c>
      <c r="Q975">
        <v>1.05</v>
      </c>
      <c r="R975">
        <f t="shared" si="87"/>
        <v>0.47095746419981693</v>
      </c>
    </row>
    <row r="976" spans="1:19" hidden="1" x14ac:dyDescent="0.2">
      <c r="A976" s="17" t="s">
        <v>197</v>
      </c>
      <c r="B976" s="17">
        <v>0.76800000000000002</v>
      </c>
      <c r="C976" s="17" t="s">
        <v>96</v>
      </c>
      <c r="D976" s="17" t="s">
        <v>65</v>
      </c>
      <c r="F976" s="17" t="s">
        <v>86</v>
      </c>
      <c r="G976" s="17" t="s">
        <v>198</v>
      </c>
      <c r="I976" s="17">
        <v>2</v>
      </c>
      <c r="J976">
        <f t="shared" si="86"/>
        <v>-0.26396554583446485</v>
      </c>
      <c r="K976" s="13">
        <v>1.5</v>
      </c>
      <c r="L976" s="13">
        <v>1.2</v>
      </c>
      <c r="M976" s="13">
        <v>1.5</v>
      </c>
      <c r="N976" s="13">
        <v>1.1000000000000001</v>
      </c>
      <c r="O976" s="13">
        <v>2</v>
      </c>
      <c r="P976" s="13">
        <v>1.2</v>
      </c>
      <c r="Q976">
        <v>1.05</v>
      </c>
      <c r="R976">
        <f t="shared" si="87"/>
        <v>0.47095746419981693</v>
      </c>
    </row>
    <row r="977" spans="1:18" hidden="1" x14ac:dyDescent="0.2">
      <c r="A977" s="17" t="s">
        <v>263</v>
      </c>
      <c r="B977" s="17">
        <v>2.01E-2</v>
      </c>
      <c r="C977" s="17" t="s">
        <v>90</v>
      </c>
      <c r="D977" s="17" t="s">
        <v>65</v>
      </c>
      <c r="F977" s="17" t="s">
        <v>86</v>
      </c>
      <c r="G977" s="17" t="s">
        <v>199</v>
      </c>
      <c r="I977" s="17">
        <v>2</v>
      </c>
      <c r="J977">
        <f t="shared" si="86"/>
        <v>-3.907035463917107</v>
      </c>
      <c r="K977" s="13">
        <v>1.5</v>
      </c>
      <c r="L977" s="13">
        <v>1.2</v>
      </c>
      <c r="M977" s="13">
        <v>1.5</v>
      </c>
      <c r="N977" s="13">
        <v>1.1000000000000001</v>
      </c>
      <c r="O977" s="13">
        <v>2</v>
      </c>
      <c r="P977" s="13">
        <v>1.2</v>
      </c>
      <c r="Q977">
        <v>1.05</v>
      </c>
      <c r="R977">
        <f t="shared" si="87"/>
        <v>0.47095746419981693</v>
      </c>
    </row>
    <row r="978" spans="1:18" hidden="1" x14ac:dyDescent="0.2">
      <c r="A978" s="17" t="s">
        <v>200</v>
      </c>
      <c r="B978" s="17">
        <v>2.2200000000000001E-2</v>
      </c>
      <c r="C978" s="17" t="s">
        <v>90</v>
      </c>
      <c r="D978" s="17" t="s">
        <v>56</v>
      </c>
      <c r="F978" s="17" t="s">
        <v>86</v>
      </c>
      <c r="G978" s="17" t="s">
        <v>201</v>
      </c>
      <c r="I978" s="17">
        <v>2</v>
      </c>
      <c r="J978">
        <f t="shared" si="86"/>
        <v>-3.8076629901039034</v>
      </c>
      <c r="K978" s="13">
        <v>1.5</v>
      </c>
      <c r="L978" s="13">
        <v>1.2</v>
      </c>
      <c r="M978" s="13">
        <v>1.5</v>
      </c>
      <c r="N978" s="13">
        <v>1.1000000000000001</v>
      </c>
      <c r="O978" s="13">
        <v>2</v>
      </c>
      <c r="P978" s="13">
        <v>1.2</v>
      </c>
      <c r="Q978">
        <v>1.05</v>
      </c>
      <c r="R978">
        <f t="shared" si="87"/>
        <v>0.47095746419981693</v>
      </c>
    </row>
    <row r="979" spans="1:18" hidden="1" x14ac:dyDescent="0.2">
      <c r="A979" s="17" t="s">
        <v>202</v>
      </c>
      <c r="B979" s="17">
        <v>0.76800000000000002</v>
      </c>
      <c r="C979" s="17" t="s">
        <v>96</v>
      </c>
      <c r="D979" s="17" t="s">
        <v>65</v>
      </c>
      <c r="F979" s="17" t="s">
        <v>86</v>
      </c>
      <c r="G979" s="17" t="s">
        <v>203</v>
      </c>
      <c r="I979" s="17">
        <v>2</v>
      </c>
      <c r="J979">
        <f t="shared" si="86"/>
        <v>-0.26396554583446485</v>
      </c>
      <c r="K979" s="13">
        <v>1.5</v>
      </c>
      <c r="L979" s="13">
        <v>1.2</v>
      </c>
      <c r="M979" s="13">
        <v>1.5</v>
      </c>
      <c r="N979" s="13">
        <v>1.1000000000000001</v>
      </c>
      <c r="O979" s="13">
        <v>2</v>
      </c>
      <c r="P979" s="13">
        <v>1.2</v>
      </c>
      <c r="Q979">
        <v>1.05</v>
      </c>
      <c r="R979">
        <f t="shared" si="87"/>
        <v>0.47095746419981693</v>
      </c>
    </row>
    <row r="980" spans="1:18" hidden="1" x14ac:dyDescent="0.2">
      <c r="A980" s="17" t="s">
        <v>1286</v>
      </c>
      <c r="B980" s="25">
        <v>1.6300000000000001E-13</v>
      </c>
      <c r="C980" s="17" t="s">
        <v>85</v>
      </c>
      <c r="D980" s="17" t="s">
        <v>55</v>
      </c>
      <c r="F980" s="17" t="s">
        <v>86</v>
      </c>
      <c r="G980" s="17" t="s">
        <v>204</v>
      </c>
      <c r="I980" s="17">
        <v>2</v>
      </c>
      <c r="J980">
        <f t="shared" si="86"/>
        <v>-29.445026194103924</v>
      </c>
      <c r="K980" s="13">
        <v>1.5</v>
      </c>
      <c r="L980" s="13">
        <v>1.2</v>
      </c>
      <c r="M980" s="13">
        <v>1.5</v>
      </c>
      <c r="N980" s="13">
        <v>1.1000000000000001</v>
      </c>
      <c r="O980" s="13">
        <v>2</v>
      </c>
      <c r="P980" s="13">
        <v>1.2</v>
      </c>
      <c r="Q980">
        <v>3</v>
      </c>
      <c r="R980">
        <f t="shared" si="87"/>
        <v>0.72314801614797197</v>
      </c>
    </row>
    <row r="981" spans="1:18" hidden="1" x14ac:dyDescent="0.2">
      <c r="A981" s="17" t="s">
        <v>640</v>
      </c>
      <c r="B981" s="17">
        <v>1</v>
      </c>
      <c r="C981" s="17" t="s">
        <v>85</v>
      </c>
      <c r="D981" s="17" t="s">
        <v>56</v>
      </c>
      <c r="F981" s="17" t="s">
        <v>86</v>
      </c>
      <c r="G981" s="17" t="s">
        <v>641</v>
      </c>
      <c r="I981" s="17">
        <v>2</v>
      </c>
      <c r="J981">
        <f t="shared" si="86"/>
        <v>0</v>
      </c>
      <c r="K981" s="13">
        <v>1.5</v>
      </c>
      <c r="L981" s="13">
        <v>1.2</v>
      </c>
      <c r="M981" s="13">
        <v>1.5</v>
      </c>
      <c r="N981" s="13">
        <v>1.1000000000000001</v>
      </c>
      <c r="O981" s="13">
        <v>2</v>
      </c>
      <c r="P981" s="13">
        <v>1.2</v>
      </c>
      <c r="Q981">
        <v>1.05</v>
      </c>
      <c r="R981">
        <f t="shared" si="87"/>
        <v>0.47095746419981693</v>
      </c>
    </row>
    <row r="982" spans="1:18" hidden="1" x14ac:dyDescent="0.2">
      <c r="A982" s="17" t="s">
        <v>205</v>
      </c>
      <c r="B982" s="17">
        <v>3.8000000000000002E-4</v>
      </c>
      <c r="C982" s="17" t="s">
        <v>85</v>
      </c>
      <c r="D982" s="17" t="s">
        <v>56</v>
      </c>
      <c r="F982" s="17" t="s">
        <v>86</v>
      </c>
      <c r="G982" s="17" t="s">
        <v>206</v>
      </c>
      <c r="I982" s="17">
        <v>2</v>
      </c>
      <c r="J982">
        <f t="shared" si="86"/>
        <v>-7.875339305243843</v>
      </c>
      <c r="K982" s="13">
        <v>1.5</v>
      </c>
      <c r="L982" s="13">
        <v>1.2</v>
      </c>
      <c r="M982" s="13">
        <v>1.5</v>
      </c>
      <c r="N982" s="13">
        <v>1.1000000000000001</v>
      </c>
      <c r="O982" s="13">
        <v>2</v>
      </c>
      <c r="P982" s="13">
        <v>1.2</v>
      </c>
      <c r="Q982">
        <v>1.05</v>
      </c>
      <c r="R982">
        <f t="shared" si="87"/>
        <v>0.47095746419981693</v>
      </c>
    </row>
    <row r="983" spans="1:18" hidden="1" x14ac:dyDescent="0.2">
      <c r="A983" s="17" t="s">
        <v>182</v>
      </c>
      <c r="B983" s="17">
        <v>8.0399999999999985E-3</v>
      </c>
      <c r="C983" s="17" t="s">
        <v>90</v>
      </c>
      <c r="D983" s="17" t="s">
        <v>123</v>
      </c>
      <c r="F983" s="17" t="s">
        <v>86</v>
      </c>
      <c r="G983" s="17" t="s">
        <v>183</v>
      </c>
      <c r="I983" s="17">
        <v>2</v>
      </c>
      <c r="J983">
        <f t="shared" si="86"/>
        <v>-4.8233261957912621</v>
      </c>
      <c r="K983" s="13">
        <v>1.5</v>
      </c>
      <c r="L983" s="13">
        <v>1.2</v>
      </c>
      <c r="M983" s="13">
        <v>1.5</v>
      </c>
      <c r="N983" s="13">
        <v>1.1000000000000001</v>
      </c>
      <c r="O983" s="13">
        <v>2</v>
      </c>
      <c r="P983" s="13">
        <v>1.2</v>
      </c>
      <c r="Q983">
        <v>2</v>
      </c>
      <c r="R983">
        <f t="shared" si="87"/>
        <v>0.58422518478336083</v>
      </c>
    </row>
    <row r="984" spans="1:18" hidden="1" x14ac:dyDescent="0.2">
      <c r="A984" s="17" t="s">
        <v>91</v>
      </c>
      <c r="B984" s="33">
        <v>2.0333333333333332E-2</v>
      </c>
      <c r="C984" s="17" t="s">
        <v>90</v>
      </c>
      <c r="D984" s="17" t="s">
        <v>92</v>
      </c>
      <c r="F984" s="17" t="s">
        <v>86</v>
      </c>
      <c r="G984" s="17" t="s">
        <v>93</v>
      </c>
      <c r="I984" s="17">
        <v>2</v>
      </c>
      <c r="J984">
        <f t="shared" si="86"/>
        <v>-3.8954937034769355</v>
      </c>
      <c r="K984" s="13">
        <v>1.5</v>
      </c>
      <c r="L984" s="13">
        <v>1.2</v>
      </c>
      <c r="M984" s="13">
        <v>1.5</v>
      </c>
      <c r="N984" s="13">
        <v>1.1000000000000001</v>
      </c>
      <c r="O984" s="13">
        <v>2</v>
      </c>
      <c r="P984" s="13">
        <v>1.2</v>
      </c>
      <c r="Q984">
        <v>1.05</v>
      </c>
      <c r="R984">
        <f t="shared" si="87"/>
        <v>0.47095746419981693</v>
      </c>
    </row>
    <row r="985" spans="1:18" hidden="1" x14ac:dyDescent="0.2">
      <c r="A985" s="17" t="s">
        <v>207</v>
      </c>
      <c r="B985" s="17">
        <v>4.3600000000000003E-5</v>
      </c>
      <c r="D985" s="17" t="s">
        <v>56</v>
      </c>
      <c r="E985" s="17" t="s">
        <v>100</v>
      </c>
      <c r="F985" s="17" t="s">
        <v>99</v>
      </c>
      <c r="I985" s="17">
        <v>2</v>
      </c>
      <c r="J985">
        <f t="shared" si="86"/>
        <v>-10.040453407609286</v>
      </c>
      <c r="K985" s="13">
        <v>1.5</v>
      </c>
      <c r="L985" s="13">
        <v>1.2</v>
      </c>
      <c r="M985" s="13">
        <v>1.5</v>
      </c>
      <c r="N985" s="13">
        <v>1.1000000000000001</v>
      </c>
      <c r="O985" s="13">
        <v>2</v>
      </c>
      <c r="P985" s="13">
        <v>1.2</v>
      </c>
      <c r="Q985" s="13">
        <v>1.5</v>
      </c>
      <c r="R985">
        <f t="shared" si="87"/>
        <v>0.51215847306170115</v>
      </c>
    </row>
    <row r="986" spans="1:18" hidden="1" x14ac:dyDescent="0.2">
      <c r="A986" s="17" t="s">
        <v>652</v>
      </c>
      <c r="B986" s="17">
        <v>1.9000000000000002E-10</v>
      </c>
      <c r="D986" s="17" t="s">
        <v>56</v>
      </c>
      <c r="E986" s="17" t="s">
        <v>100</v>
      </c>
      <c r="F986" s="17" t="s">
        <v>99</v>
      </c>
      <c r="I986" s="17">
        <v>2</v>
      </c>
      <c r="J986">
        <f t="shared" si="86"/>
        <v>-22.383997043768062</v>
      </c>
      <c r="K986" s="13">
        <v>1.5</v>
      </c>
      <c r="L986" s="13">
        <v>1.2</v>
      </c>
      <c r="M986" s="13">
        <v>1.5</v>
      </c>
      <c r="N986" s="13">
        <v>1.1000000000000001</v>
      </c>
      <c r="O986" s="13">
        <v>2</v>
      </c>
      <c r="P986" s="13">
        <v>1.2</v>
      </c>
      <c r="Q986" s="13">
        <v>5</v>
      </c>
      <c r="R986">
        <f t="shared" si="87"/>
        <v>0.93208283513358414</v>
      </c>
    </row>
    <row r="987" spans="1:18" hidden="1" x14ac:dyDescent="0.2">
      <c r="A987" s="17" t="s">
        <v>208</v>
      </c>
      <c r="B987" s="17">
        <v>1.3200000000000001E-5</v>
      </c>
      <c r="D987" s="17" t="s">
        <v>56</v>
      </c>
      <c r="E987" s="17" t="s">
        <v>209</v>
      </c>
      <c r="F987" s="17" t="s">
        <v>99</v>
      </c>
      <c r="I987" s="17">
        <v>2</v>
      </c>
      <c r="J987">
        <f t="shared" si="86"/>
        <v>-11.235293728371948</v>
      </c>
      <c r="K987" s="13">
        <v>1.5</v>
      </c>
      <c r="L987" s="13">
        <v>1.2</v>
      </c>
      <c r="M987" s="13">
        <v>1.5</v>
      </c>
      <c r="N987" s="13">
        <v>1.1000000000000001</v>
      </c>
      <c r="O987" s="13">
        <v>2</v>
      </c>
      <c r="P987" s="13">
        <v>1.2</v>
      </c>
      <c r="Q987" s="13">
        <v>1.5</v>
      </c>
      <c r="R987">
        <f t="shared" si="87"/>
        <v>0.51215847306170115</v>
      </c>
    </row>
    <row r="988" spans="1:18" hidden="1" x14ac:dyDescent="0.2">
      <c r="A988" s="17" t="s">
        <v>653</v>
      </c>
      <c r="B988" s="25">
        <v>1.31E-9</v>
      </c>
      <c r="D988" s="17" t="s">
        <v>56</v>
      </c>
      <c r="E988" s="17" t="s">
        <v>100</v>
      </c>
      <c r="F988" s="17" t="s">
        <v>99</v>
      </c>
      <c r="I988" s="17">
        <v>2</v>
      </c>
      <c r="J988">
        <f t="shared" si="86"/>
        <v>-20.453238699733351</v>
      </c>
      <c r="K988" s="13">
        <v>1.5</v>
      </c>
      <c r="L988" s="13">
        <v>1.2</v>
      </c>
      <c r="M988" s="13">
        <v>1.5</v>
      </c>
      <c r="N988" s="13">
        <v>1.1000000000000001</v>
      </c>
      <c r="O988" s="13">
        <v>2</v>
      </c>
      <c r="P988" s="13">
        <v>1.2</v>
      </c>
      <c r="Q988" s="13">
        <v>5</v>
      </c>
      <c r="R988">
        <f t="shared" si="87"/>
        <v>0.93208283513358414</v>
      </c>
    </row>
    <row r="989" spans="1:18" hidden="1" x14ac:dyDescent="0.2">
      <c r="A989" s="17" t="s">
        <v>210</v>
      </c>
      <c r="B989" s="17">
        <v>1.3200000000000001E-4</v>
      </c>
      <c r="D989" s="17" t="s">
        <v>56</v>
      </c>
      <c r="E989" s="17" t="s">
        <v>209</v>
      </c>
      <c r="F989" s="17" t="s">
        <v>99</v>
      </c>
      <c r="I989" s="17">
        <v>2</v>
      </c>
      <c r="J989">
        <f t="shared" si="86"/>
        <v>-8.9327086353779031</v>
      </c>
      <c r="K989" s="13">
        <v>1.5</v>
      </c>
      <c r="L989" s="13">
        <v>1.2</v>
      </c>
      <c r="M989" s="13">
        <v>1.5</v>
      </c>
      <c r="N989" s="13">
        <v>1.1000000000000001</v>
      </c>
      <c r="O989" s="13">
        <v>2</v>
      </c>
      <c r="P989" s="13">
        <v>1.2</v>
      </c>
      <c r="Q989" s="13">
        <v>1.5</v>
      </c>
      <c r="R989">
        <f t="shared" si="87"/>
        <v>0.51215847306170115</v>
      </c>
    </row>
    <row r="990" spans="1:18" hidden="1" x14ac:dyDescent="0.2">
      <c r="A990" s="17" t="s">
        <v>211</v>
      </c>
      <c r="B990" s="17">
        <v>1.88E-6</v>
      </c>
      <c r="D990" s="17" t="s">
        <v>56</v>
      </c>
      <c r="E990" s="17" t="s">
        <v>209</v>
      </c>
      <c r="F990" s="17" t="s">
        <v>99</v>
      </c>
      <c r="I990" s="17">
        <v>2</v>
      </c>
      <c r="J990">
        <f t="shared" si="86"/>
        <v>-13.184238781122417</v>
      </c>
      <c r="K990" s="13">
        <v>1.5</v>
      </c>
      <c r="L990" s="13">
        <v>1.2</v>
      </c>
      <c r="M990" s="13">
        <v>1.5</v>
      </c>
      <c r="N990" s="13">
        <v>1.1000000000000001</v>
      </c>
      <c r="O990" s="13">
        <v>2</v>
      </c>
      <c r="P990" s="13">
        <v>1.2</v>
      </c>
      <c r="Q990" s="13">
        <v>1.5</v>
      </c>
      <c r="R990">
        <f t="shared" si="87"/>
        <v>0.51215847306170115</v>
      </c>
    </row>
    <row r="991" spans="1:18" hidden="1" x14ac:dyDescent="0.2">
      <c r="A991" s="17" t="s">
        <v>212</v>
      </c>
      <c r="B991" s="25">
        <v>7.6000000000000002E-9</v>
      </c>
      <c r="D991" s="17" t="s">
        <v>56</v>
      </c>
      <c r="E991" s="17" t="s">
        <v>209</v>
      </c>
      <c r="F991" s="17" t="s">
        <v>99</v>
      </c>
      <c r="I991" s="17">
        <v>2</v>
      </c>
      <c r="J991">
        <f t="shared" si="86"/>
        <v>-18.695117589654124</v>
      </c>
      <c r="K991" s="13">
        <v>1.5</v>
      </c>
      <c r="L991" s="13">
        <v>1.2</v>
      </c>
      <c r="M991" s="13">
        <v>1.5</v>
      </c>
      <c r="N991" s="13">
        <v>1.1000000000000001</v>
      </c>
      <c r="O991" s="13">
        <v>2</v>
      </c>
      <c r="P991" s="13">
        <v>1.2</v>
      </c>
      <c r="Q991" s="13">
        <v>5</v>
      </c>
      <c r="R991">
        <f t="shared" si="87"/>
        <v>0.93208283513358414</v>
      </c>
    </row>
    <row r="992" spans="1:18" hidden="1" x14ac:dyDescent="0.2">
      <c r="A992" s="17" t="s">
        <v>654</v>
      </c>
      <c r="B992" s="17">
        <v>1.5699999999999999E-4</v>
      </c>
      <c r="D992" s="17" t="s">
        <v>56</v>
      </c>
      <c r="E992" s="17" t="s">
        <v>100</v>
      </c>
      <c r="F992" s="17" t="s">
        <v>99</v>
      </c>
      <c r="I992" s="17">
        <v>2</v>
      </c>
      <c r="J992">
        <f t="shared" si="86"/>
        <v>-8.7592647526159659</v>
      </c>
      <c r="K992" s="13">
        <v>1.5</v>
      </c>
      <c r="L992" s="13">
        <v>1.2</v>
      </c>
      <c r="M992" s="13">
        <v>1.5</v>
      </c>
      <c r="N992" s="13">
        <v>1.1000000000000001</v>
      </c>
      <c r="O992" s="13">
        <v>2</v>
      </c>
      <c r="P992" s="13">
        <v>1.2</v>
      </c>
      <c r="Q992" s="13">
        <v>1.5</v>
      </c>
      <c r="R992">
        <f t="shared" si="87"/>
        <v>0.51215847306170115</v>
      </c>
    </row>
    <row r="993" spans="1:18" hidden="1" x14ac:dyDescent="0.2">
      <c r="A993" s="17" t="s">
        <v>655</v>
      </c>
      <c r="B993" s="17">
        <v>7.62E-3</v>
      </c>
      <c r="D993" s="17" t="s">
        <v>56</v>
      </c>
      <c r="E993" s="17" t="s">
        <v>100</v>
      </c>
      <c r="F993" s="17" t="s">
        <v>99</v>
      </c>
      <c r="I993" s="17">
        <v>2</v>
      </c>
      <c r="J993">
        <f t="shared" si="86"/>
        <v>-4.876978909283582</v>
      </c>
      <c r="K993" s="13">
        <v>1.5</v>
      </c>
      <c r="L993" s="13">
        <v>1.2</v>
      </c>
      <c r="M993" s="13">
        <v>1.5</v>
      </c>
      <c r="N993" s="13">
        <v>1.1000000000000001</v>
      </c>
      <c r="O993" s="13">
        <v>2</v>
      </c>
      <c r="P993" s="13">
        <v>1.2</v>
      </c>
      <c r="Q993" s="13">
        <v>2</v>
      </c>
      <c r="R993">
        <f t="shared" si="87"/>
        <v>0.58422518478336083</v>
      </c>
    </row>
    <row r="994" spans="1:18" hidden="1" x14ac:dyDescent="0.2">
      <c r="A994" s="17" t="s">
        <v>213</v>
      </c>
      <c r="B994" s="25">
        <v>1.1900000000000001E-7</v>
      </c>
      <c r="D994" s="17" t="s">
        <v>56</v>
      </c>
      <c r="E994" s="17" t="s">
        <v>209</v>
      </c>
      <c r="F994" s="17" t="s">
        <v>99</v>
      </c>
      <c r="I994" s="17">
        <v>2</v>
      </c>
      <c r="J994">
        <f t="shared" si="86"/>
        <v>-15.944142343834882</v>
      </c>
      <c r="K994" s="13">
        <v>1.5</v>
      </c>
      <c r="L994" s="13">
        <v>1.2</v>
      </c>
      <c r="M994" s="13">
        <v>1.5</v>
      </c>
      <c r="N994" s="13">
        <v>1.1000000000000001</v>
      </c>
      <c r="O994" s="13">
        <v>2</v>
      </c>
      <c r="P994" s="13">
        <v>1.2</v>
      </c>
      <c r="Q994" s="13">
        <v>1.5</v>
      </c>
      <c r="R994">
        <f t="shared" si="87"/>
        <v>0.51215847306170115</v>
      </c>
    </row>
    <row r="995" spans="1:18" hidden="1" x14ac:dyDescent="0.2">
      <c r="A995" s="17" t="s">
        <v>656</v>
      </c>
      <c r="B995" s="17">
        <v>1.8300000000000001E-5</v>
      </c>
      <c r="D995" s="17" t="s">
        <v>56</v>
      </c>
      <c r="E995" s="17" t="s">
        <v>100</v>
      </c>
      <c r="F995" s="17" t="s">
        <v>99</v>
      </c>
      <c r="I995" s="17">
        <v>2</v>
      </c>
      <c r="J995">
        <f t="shared" si="86"/>
        <v>-10.908609498116899</v>
      </c>
      <c r="K995" s="13">
        <v>1.5</v>
      </c>
      <c r="L995" s="13">
        <v>1.2</v>
      </c>
      <c r="M995" s="13">
        <v>1.5</v>
      </c>
      <c r="N995" s="13">
        <v>1.1000000000000001</v>
      </c>
      <c r="O995" s="13">
        <v>2</v>
      </c>
      <c r="P995" s="13">
        <v>1.2</v>
      </c>
      <c r="Q995" s="13">
        <v>1.5</v>
      </c>
      <c r="R995">
        <f t="shared" si="87"/>
        <v>0.51215847306170115</v>
      </c>
    </row>
    <row r="996" spans="1:18" hidden="1" x14ac:dyDescent="0.2">
      <c r="A996" s="17" t="s">
        <v>657</v>
      </c>
      <c r="B996" s="17">
        <v>1.3999999999999999E-6</v>
      </c>
      <c r="D996" s="17" t="s">
        <v>56</v>
      </c>
      <c r="E996" s="17" t="s">
        <v>100</v>
      </c>
      <c r="F996" s="17" t="s">
        <v>99</v>
      </c>
      <c r="I996" s="17">
        <v>2</v>
      </c>
      <c r="J996">
        <f t="shared" si="86"/>
        <v>-13.479038321343062</v>
      </c>
      <c r="K996" s="13">
        <v>1.5</v>
      </c>
      <c r="L996" s="13">
        <v>1.2</v>
      </c>
      <c r="M996" s="13">
        <v>1.5</v>
      </c>
      <c r="N996" s="13">
        <v>1.1000000000000001</v>
      </c>
      <c r="O996" s="13">
        <v>2</v>
      </c>
      <c r="P996" s="13">
        <v>1.2</v>
      </c>
      <c r="Q996" s="13">
        <v>5</v>
      </c>
      <c r="R996">
        <f t="shared" si="87"/>
        <v>0.93208283513358414</v>
      </c>
    </row>
    <row r="997" spans="1:18" hidden="1" x14ac:dyDescent="0.2">
      <c r="A997" s="17" t="s">
        <v>657</v>
      </c>
      <c r="B997" s="17">
        <v>5.6499999999999993E-6</v>
      </c>
      <c r="D997" s="17" t="s">
        <v>56</v>
      </c>
      <c r="E997" s="17" t="s">
        <v>209</v>
      </c>
      <c r="F997" s="17" t="s">
        <v>99</v>
      </c>
      <c r="I997" s="17">
        <v>2</v>
      </c>
      <c r="J997">
        <f t="shared" si="86"/>
        <v>-12.083855012805925</v>
      </c>
      <c r="K997" s="13">
        <v>1.5</v>
      </c>
      <c r="L997" s="13">
        <v>1.2</v>
      </c>
      <c r="M997" s="13">
        <v>1.5</v>
      </c>
      <c r="N997" s="13">
        <v>1.1000000000000001</v>
      </c>
      <c r="O997" s="13">
        <v>2</v>
      </c>
      <c r="P997" s="13">
        <v>1.2</v>
      </c>
      <c r="Q997" s="13">
        <v>5</v>
      </c>
      <c r="R997">
        <f t="shared" si="87"/>
        <v>0.93208283513358414</v>
      </c>
    </row>
    <row r="998" spans="1:18" hidden="1" x14ac:dyDescent="0.2">
      <c r="A998" s="17" t="s">
        <v>658</v>
      </c>
      <c r="B998" s="25">
        <v>3.4000000000000003E-9</v>
      </c>
      <c r="D998" s="17" t="s">
        <v>56</v>
      </c>
      <c r="E998" s="17" t="s">
        <v>100</v>
      </c>
      <c r="F998" s="17" t="s">
        <v>99</v>
      </c>
      <c r="I998" s="17">
        <v>2</v>
      </c>
      <c r="J998">
        <f t="shared" si="86"/>
        <v>-19.499490405324295</v>
      </c>
      <c r="K998" s="13">
        <v>1.5</v>
      </c>
      <c r="L998" s="13">
        <v>1.2</v>
      </c>
      <c r="M998" s="13">
        <v>1.5</v>
      </c>
      <c r="N998" s="13">
        <v>1.1000000000000001</v>
      </c>
      <c r="O998" s="13">
        <v>2</v>
      </c>
      <c r="P998" s="13">
        <v>1.2</v>
      </c>
      <c r="Q998" s="13">
        <v>5</v>
      </c>
      <c r="R998">
        <f t="shared" si="87"/>
        <v>0.93208283513358414</v>
      </c>
    </row>
    <row r="999" spans="1:18" hidden="1" x14ac:dyDescent="0.2">
      <c r="A999" s="17" t="s">
        <v>658</v>
      </c>
      <c r="B999" s="25">
        <v>1.51E-9</v>
      </c>
      <c r="D999" s="17" t="s">
        <v>56</v>
      </c>
      <c r="E999" s="17" t="s">
        <v>209</v>
      </c>
      <c r="F999" s="17" t="s">
        <v>99</v>
      </c>
      <c r="I999" s="17">
        <v>2</v>
      </c>
      <c r="J999">
        <f t="shared" si="86"/>
        <v>-20.311156186119579</v>
      </c>
      <c r="K999" s="13">
        <v>1.5</v>
      </c>
      <c r="L999" s="13">
        <v>1.2</v>
      </c>
      <c r="M999" s="13">
        <v>1.5</v>
      </c>
      <c r="N999" s="13">
        <v>1.1000000000000001</v>
      </c>
      <c r="O999" s="13">
        <v>2</v>
      </c>
      <c r="P999" s="13">
        <v>1.2</v>
      </c>
      <c r="Q999" s="13">
        <v>5</v>
      </c>
      <c r="R999">
        <f t="shared" si="87"/>
        <v>0.93208283513358414</v>
      </c>
    </row>
    <row r="1000" spans="1:18" hidden="1" x14ac:dyDescent="0.2">
      <c r="A1000" s="17" t="s">
        <v>659</v>
      </c>
      <c r="B1000" s="25">
        <v>9.9999999999999986E-10</v>
      </c>
      <c r="D1000" s="17" t="s">
        <v>56</v>
      </c>
      <c r="E1000" s="17" t="s">
        <v>209</v>
      </c>
      <c r="F1000" s="17" t="s">
        <v>99</v>
      </c>
      <c r="I1000" s="17">
        <v>2</v>
      </c>
      <c r="J1000">
        <f t="shared" si="86"/>
        <v>-20.72326583694641</v>
      </c>
      <c r="K1000" s="13">
        <v>1.5</v>
      </c>
      <c r="L1000" s="13">
        <v>1.2</v>
      </c>
      <c r="M1000" s="13">
        <v>1.5</v>
      </c>
      <c r="N1000" s="13">
        <v>1.1000000000000001</v>
      </c>
      <c r="O1000" s="13">
        <v>2</v>
      </c>
      <c r="P1000" s="13">
        <v>1.2</v>
      </c>
      <c r="Q1000" s="13">
        <v>5</v>
      </c>
      <c r="R1000">
        <f t="shared" si="87"/>
        <v>0.93208283513358414</v>
      </c>
    </row>
    <row r="1001" spans="1:18" hidden="1" x14ac:dyDescent="0.2">
      <c r="A1001" s="17" t="s">
        <v>214</v>
      </c>
      <c r="B1001" s="25">
        <v>1.0399999999999999E-7</v>
      </c>
      <c r="D1001" s="17" t="s">
        <v>56</v>
      </c>
      <c r="E1001" s="17" t="s">
        <v>209</v>
      </c>
      <c r="F1001" s="17" t="s">
        <v>99</v>
      </c>
      <c r="I1001" s="17">
        <v>2</v>
      </c>
      <c r="J1001">
        <f t="shared" si="86"/>
        <v>-16.07887493780504</v>
      </c>
      <c r="K1001" s="13">
        <v>1.5</v>
      </c>
      <c r="L1001" s="13">
        <v>1.2</v>
      </c>
      <c r="M1001" s="13">
        <v>1.5</v>
      </c>
      <c r="N1001" s="13">
        <v>1.1000000000000001</v>
      </c>
      <c r="O1001" s="13">
        <v>2</v>
      </c>
      <c r="P1001" s="13">
        <v>1.2</v>
      </c>
      <c r="Q1001" s="13">
        <v>1.5</v>
      </c>
      <c r="R1001">
        <f t="shared" si="87"/>
        <v>0.51215847306170115</v>
      </c>
    </row>
    <row r="1002" spans="1:18" hidden="1" x14ac:dyDescent="0.2">
      <c r="A1002" s="17" t="s">
        <v>215</v>
      </c>
      <c r="B1002" s="25">
        <v>9.0000000000000012E-8</v>
      </c>
      <c r="D1002" s="17" t="s">
        <v>56</v>
      </c>
      <c r="E1002" s="17" t="s">
        <v>209</v>
      </c>
      <c r="F1002" s="17" t="s">
        <v>99</v>
      </c>
      <c r="I1002" s="17">
        <v>2</v>
      </c>
      <c r="J1002">
        <f t="shared" si="86"/>
        <v>-16.223456166616145</v>
      </c>
      <c r="K1002" s="13">
        <v>1.5</v>
      </c>
      <c r="L1002" s="13">
        <v>1.2</v>
      </c>
      <c r="M1002" s="13">
        <v>1.5</v>
      </c>
      <c r="N1002" s="13">
        <v>1.1000000000000001</v>
      </c>
      <c r="O1002" s="13">
        <v>2</v>
      </c>
      <c r="P1002" s="13">
        <v>1.2</v>
      </c>
      <c r="Q1002" s="13">
        <v>1.5</v>
      </c>
      <c r="R1002">
        <f t="shared" si="87"/>
        <v>0.51215847306170115</v>
      </c>
    </row>
    <row r="1003" spans="1:18" hidden="1" x14ac:dyDescent="0.2">
      <c r="A1003" s="17" t="s">
        <v>216</v>
      </c>
      <c r="B1003" s="25">
        <v>2.2399999999999999E-7</v>
      </c>
      <c r="D1003" s="17" t="s">
        <v>56</v>
      </c>
      <c r="E1003" s="17" t="s">
        <v>209</v>
      </c>
      <c r="F1003" s="17" t="s">
        <v>99</v>
      </c>
      <c r="I1003" s="17">
        <v>2</v>
      </c>
      <c r="J1003">
        <f t="shared" si="86"/>
        <v>-15.311619785091372</v>
      </c>
      <c r="K1003" s="13">
        <v>1.5</v>
      </c>
      <c r="L1003" s="13">
        <v>1.2</v>
      </c>
      <c r="M1003" s="13">
        <v>1.5</v>
      </c>
      <c r="N1003" s="13">
        <v>1.1000000000000001</v>
      </c>
      <c r="O1003" s="13">
        <v>2</v>
      </c>
      <c r="P1003" s="13">
        <v>1.2</v>
      </c>
      <c r="Q1003" s="13">
        <v>1.5</v>
      </c>
      <c r="R1003">
        <f t="shared" si="87"/>
        <v>0.51215847306170115</v>
      </c>
    </row>
    <row r="1004" spans="1:18" hidden="1" x14ac:dyDescent="0.2">
      <c r="A1004" s="17" t="s">
        <v>217</v>
      </c>
      <c r="B1004" s="25">
        <v>2.9700000000000003E-7</v>
      </c>
      <c r="D1004" s="17" t="s">
        <v>56</v>
      </c>
      <c r="E1004" s="17" t="s">
        <v>209</v>
      </c>
      <c r="F1004" s="17" t="s">
        <v>99</v>
      </c>
      <c r="I1004" s="17">
        <v>2</v>
      </c>
      <c r="J1004">
        <f t="shared" si="86"/>
        <v>-15.029533698143711</v>
      </c>
      <c r="K1004" s="13">
        <v>1.5</v>
      </c>
      <c r="L1004" s="13">
        <v>1.2</v>
      </c>
      <c r="M1004" s="13">
        <v>1.5</v>
      </c>
      <c r="N1004" s="13">
        <v>1.1000000000000001</v>
      </c>
      <c r="O1004" s="13">
        <v>2</v>
      </c>
      <c r="P1004" s="13">
        <v>1.2</v>
      </c>
      <c r="Q1004" s="13">
        <v>1.5</v>
      </c>
      <c r="R1004">
        <f t="shared" si="87"/>
        <v>0.51215847306170115</v>
      </c>
    </row>
    <row r="1005" spans="1:18" hidden="1" x14ac:dyDescent="0.2">
      <c r="A1005" s="17" t="s">
        <v>508</v>
      </c>
      <c r="B1005" s="25">
        <v>2.7500000000000001E-5</v>
      </c>
      <c r="D1005" s="17" t="s">
        <v>56</v>
      </c>
      <c r="E1005" s="17" t="s">
        <v>100</v>
      </c>
      <c r="F1005" s="17" t="s">
        <v>99</v>
      </c>
      <c r="I1005" s="17">
        <v>2</v>
      </c>
      <c r="J1005">
        <f t="shared" si="86"/>
        <v>-10.501324553291749</v>
      </c>
      <c r="K1005" s="13">
        <v>1.5</v>
      </c>
      <c r="L1005" s="13">
        <v>1.2</v>
      </c>
      <c r="M1005" s="13">
        <v>1.5</v>
      </c>
      <c r="N1005" s="13">
        <v>1.1000000000000001</v>
      </c>
      <c r="O1005" s="13">
        <v>2</v>
      </c>
      <c r="P1005" s="13">
        <v>1.2</v>
      </c>
      <c r="Q1005" s="13">
        <v>5</v>
      </c>
      <c r="R1005">
        <f t="shared" si="87"/>
        <v>0.93208283513358414</v>
      </c>
    </row>
    <row r="1006" spans="1:18" hidden="1" x14ac:dyDescent="0.2">
      <c r="A1006" s="17" t="s">
        <v>508</v>
      </c>
      <c r="B1006" s="25">
        <v>1.9E-6</v>
      </c>
      <c r="D1006" s="17" t="s">
        <v>56</v>
      </c>
      <c r="E1006" s="17" t="s">
        <v>209</v>
      </c>
      <c r="F1006" s="17" t="s">
        <v>99</v>
      </c>
      <c r="I1006" s="17">
        <v>2</v>
      </c>
      <c r="J1006">
        <f t="shared" si="86"/>
        <v>-13.17365667179188</v>
      </c>
      <c r="K1006" s="13">
        <v>1.5</v>
      </c>
      <c r="L1006" s="13">
        <v>1.2</v>
      </c>
      <c r="M1006" s="13">
        <v>1.5</v>
      </c>
      <c r="N1006" s="13">
        <v>1.1000000000000001</v>
      </c>
      <c r="O1006" s="13">
        <v>2</v>
      </c>
      <c r="P1006" s="13">
        <v>1.2</v>
      </c>
      <c r="Q1006" s="13">
        <v>5</v>
      </c>
      <c r="R1006">
        <f t="shared" si="87"/>
        <v>0.93208283513358414</v>
      </c>
    </row>
    <row r="1007" spans="1:18" hidden="1" x14ac:dyDescent="0.2">
      <c r="Q1007" s="17"/>
    </row>
    <row r="1008" spans="1:18" hidden="1" x14ac:dyDescent="0.2">
      <c r="A1008" s="18" t="s">
        <v>50</v>
      </c>
      <c r="B1008" s="18" t="s">
        <v>220</v>
      </c>
      <c r="Q1008" s="17"/>
    </row>
    <row r="1009" spans="1:19" hidden="1" x14ac:dyDescent="0.2">
      <c r="A1009" s="17" t="s">
        <v>52</v>
      </c>
      <c r="B1009" s="17" t="s">
        <v>85</v>
      </c>
      <c r="Q1009" s="17"/>
    </row>
    <row r="1010" spans="1:19" hidden="1" x14ac:dyDescent="0.2">
      <c r="A1010" s="17" t="s">
        <v>53</v>
      </c>
      <c r="B1010" s="17">
        <v>1</v>
      </c>
      <c r="Q1010" s="17"/>
    </row>
    <row r="1011" spans="1:19" hidden="1" x14ac:dyDescent="0.2">
      <c r="A1011" s="17" t="s">
        <v>54</v>
      </c>
      <c r="B1011" s="17" t="s">
        <v>220</v>
      </c>
      <c r="Q1011" s="17"/>
    </row>
    <row r="1012" spans="1:19" hidden="1" x14ac:dyDescent="0.2">
      <c r="A1012" s="17" t="s">
        <v>61</v>
      </c>
      <c r="B1012" s="17" t="s">
        <v>121</v>
      </c>
      <c r="Q1012" s="17"/>
    </row>
    <row r="1013" spans="1:19" hidden="1" x14ac:dyDescent="0.2">
      <c r="A1013" s="17" t="s">
        <v>55</v>
      </c>
      <c r="B1013" s="17" t="s">
        <v>56</v>
      </c>
      <c r="Q1013" s="17"/>
    </row>
    <row r="1014" spans="1:19" hidden="1" x14ac:dyDescent="0.2">
      <c r="A1014" s="17" t="s">
        <v>63</v>
      </c>
      <c r="B1014" s="17" t="s">
        <v>165</v>
      </c>
      <c r="Q1014" s="17"/>
    </row>
    <row r="1015" spans="1:19" hidden="1" x14ac:dyDescent="0.2">
      <c r="A1015" s="17" t="s">
        <v>51</v>
      </c>
      <c r="B1015" s="17" t="s">
        <v>1031</v>
      </c>
      <c r="Q1015" s="17"/>
    </row>
    <row r="1016" spans="1:19" hidden="1" x14ac:dyDescent="0.2">
      <c r="A1016" s="18" t="s">
        <v>57</v>
      </c>
      <c r="Q1016" s="17"/>
    </row>
    <row r="1017" spans="1:19" hidden="1" x14ac:dyDescent="0.2">
      <c r="A1017" s="18" t="s">
        <v>58</v>
      </c>
      <c r="B1017" s="18" t="s">
        <v>59</v>
      </c>
      <c r="C1017" s="18" t="s">
        <v>52</v>
      </c>
      <c r="D1017" s="18" t="s">
        <v>55</v>
      </c>
      <c r="E1017" s="18" t="s">
        <v>60</v>
      </c>
      <c r="F1017" s="18" t="s">
        <v>61</v>
      </c>
      <c r="G1017" s="18" t="s">
        <v>54</v>
      </c>
      <c r="H1017" s="18" t="s">
        <v>51</v>
      </c>
      <c r="I1017" s="18" t="s">
        <v>221</v>
      </c>
      <c r="J1017" s="2" t="s">
        <v>379</v>
      </c>
      <c r="K1017" s="62" t="s">
        <v>1059</v>
      </c>
      <c r="L1017" s="62" t="s">
        <v>1060</v>
      </c>
      <c r="M1017" s="62" t="s">
        <v>1061</v>
      </c>
      <c r="N1017" s="62" t="s">
        <v>1062</v>
      </c>
      <c r="O1017" s="62" t="s">
        <v>1063</v>
      </c>
      <c r="P1017" s="62" t="s">
        <v>1064</v>
      </c>
      <c r="Q1017" s="2" t="s">
        <v>1065</v>
      </c>
      <c r="R1017" s="2" t="s">
        <v>380</v>
      </c>
      <c r="S1017" s="18" t="s">
        <v>1128</v>
      </c>
    </row>
    <row r="1018" spans="1:19" hidden="1" x14ac:dyDescent="0.2">
      <c r="A1018" s="17" t="s">
        <v>220</v>
      </c>
      <c r="B1018" s="17">
        <v>1</v>
      </c>
      <c r="C1018" s="17" t="s">
        <v>85</v>
      </c>
      <c r="D1018" s="17" t="s">
        <v>56</v>
      </c>
      <c r="F1018" s="17" t="s">
        <v>62</v>
      </c>
      <c r="G1018" s="17" t="s">
        <v>220</v>
      </c>
      <c r="Q1018" s="17"/>
    </row>
    <row r="1019" spans="1:19" hidden="1" x14ac:dyDescent="0.2">
      <c r="A1019" s="29" t="s">
        <v>222</v>
      </c>
      <c r="B1019" s="17">
        <v>6</v>
      </c>
      <c r="C1019" s="17" t="s">
        <v>85</v>
      </c>
      <c r="D1019" s="17" t="s">
        <v>56</v>
      </c>
      <c r="F1019" s="17" t="s">
        <v>86</v>
      </c>
      <c r="G1019" s="17" t="s">
        <v>125</v>
      </c>
      <c r="I1019" s="17">
        <v>2</v>
      </c>
      <c r="J1019">
        <f t="shared" ref="J1019:J1027" si="88">LN(B1019)</f>
        <v>1.791759469228055</v>
      </c>
      <c r="K1019" s="13">
        <v>1.5</v>
      </c>
      <c r="L1019" s="13">
        <v>1.2</v>
      </c>
      <c r="M1019" s="13">
        <v>1.5</v>
      </c>
      <c r="N1019" s="13">
        <v>1.1000000000000001</v>
      </c>
      <c r="O1019" s="13">
        <v>2</v>
      </c>
      <c r="P1019" s="13">
        <v>1.2</v>
      </c>
      <c r="Q1019">
        <v>1.05</v>
      </c>
      <c r="R1019">
        <f t="shared" ref="R1019:R1027" si="89">LN(SQRT(EXP(
SQRT(
+POWER(LN(K1019),2)
+POWER(LN(L1019),2)
+POWER(LN(M1019),2)
+POWER(LN(N1019),2)
+POWER(LN(O1019),2)
+POWER(LN(P1019),2)
+POWER(LN(Q1019),2)
)
)))</f>
        <v>0.47095746419981693</v>
      </c>
    </row>
    <row r="1020" spans="1:19" hidden="1" x14ac:dyDescent="0.2">
      <c r="A1020" s="29" t="s">
        <v>166</v>
      </c>
      <c r="B1020" s="17">
        <v>6</v>
      </c>
      <c r="C1020" s="17" t="s">
        <v>85</v>
      </c>
      <c r="D1020" s="17" t="s">
        <v>56</v>
      </c>
      <c r="F1020" s="17" t="s">
        <v>86</v>
      </c>
      <c r="G1020" s="17" t="s">
        <v>167</v>
      </c>
      <c r="I1020" s="17">
        <v>2</v>
      </c>
      <c r="J1020">
        <f t="shared" si="88"/>
        <v>1.791759469228055</v>
      </c>
      <c r="K1020" s="13">
        <v>1.5</v>
      </c>
      <c r="L1020" s="13">
        <v>1.2</v>
      </c>
      <c r="M1020" s="13">
        <v>1.5</v>
      </c>
      <c r="N1020" s="13">
        <v>1.1000000000000001</v>
      </c>
      <c r="O1020" s="13">
        <v>2</v>
      </c>
      <c r="P1020" s="13">
        <v>1.2</v>
      </c>
      <c r="Q1020">
        <v>1.05</v>
      </c>
      <c r="R1020">
        <f t="shared" si="89"/>
        <v>0.47095746419981693</v>
      </c>
    </row>
    <row r="1021" spans="1:19" hidden="1" x14ac:dyDescent="0.2">
      <c r="A1021" s="29" t="s">
        <v>223</v>
      </c>
      <c r="B1021" s="17">
        <v>9</v>
      </c>
      <c r="C1021" s="17" t="s">
        <v>85</v>
      </c>
      <c r="D1021" s="17" t="s">
        <v>56</v>
      </c>
      <c r="F1021" s="17" t="s">
        <v>86</v>
      </c>
      <c r="G1021" s="17" t="s">
        <v>224</v>
      </c>
      <c r="I1021" s="17">
        <v>2</v>
      </c>
      <c r="J1021">
        <f t="shared" si="88"/>
        <v>2.1972245773362196</v>
      </c>
      <c r="K1021" s="13">
        <v>1.5</v>
      </c>
      <c r="L1021" s="13">
        <v>1.2</v>
      </c>
      <c r="M1021" s="13">
        <v>1.5</v>
      </c>
      <c r="N1021" s="13">
        <v>1.1000000000000001</v>
      </c>
      <c r="O1021" s="13">
        <v>2</v>
      </c>
      <c r="P1021" s="13">
        <v>1.2</v>
      </c>
      <c r="Q1021">
        <v>1.05</v>
      </c>
      <c r="R1021">
        <f t="shared" si="89"/>
        <v>0.47095746419981693</v>
      </c>
    </row>
    <row r="1022" spans="1:19" hidden="1" x14ac:dyDescent="0.2">
      <c r="A1022" s="17" t="s">
        <v>103</v>
      </c>
      <c r="B1022" s="17">
        <v>9</v>
      </c>
      <c r="C1022" s="17" t="s">
        <v>85</v>
      </c>
      <c r="D1022" s="17" t="s">
        <v>56</v>
      </c>
      <c r="F1022" s="17" t="s">
        <v>86</v>
      </c>
      <c r="G1022" s="29" t="s">
        <v>104</v>
      </c>
      <c r="I1022" s="17">
        <v>2</v>
      </c>
      <c r="J1022">
        <f t="shared" si="88"/>
        <v>2.1972245773362196</v>
      </c>
      <c r="K1022" s="13">
        <v>1.5</v>
      </c>
      <c r="L1022" s="13">
        <v>1.2</v>
      </c>
      <c r="M1022" s="13">
        <v>1.5</v>
      </c>
      <c r="N1022" s="13">
        <v>1.1000000000000001</v>
      </c>
      <c r="O1022" s="13">
        <v>2</v>
      </c>
      <c r="P1022" s="13">
        <v>1.2</v>
      </c>
      <c r="Q1022">
        <v>1.05</v>
      </c>
      <c r="R1022">
        <f t="shared" si="89"/>
        <v>0.47095746419981693</v>
      </c>
    </row>
    <row r="1023" spans="1:19" hidden="1" x14ac:dyDescent="0.2">
      <c r="A1023" s="17" t="s">
        <v>1127</v>
      </c>
      <c r="B1023" s="17">
        <v>71.400000000000006</v>
      </c>
      <c r="C1023" s="17" t="s">
        <v>90</v>
      </c>
      <c r="D1023" s="17" t="s">
        <v>56</v>
      </c>
      <c r="F1023" s="17" t="s">
        <v>86</v>
      </c>
      <c r="G1023" s="17" t="s">
        <v>225</v>
      </c>
      <c r="I1023" s="17">
        <v>2</v>
      </c>
      <c r="J1023">
        <f t="shared" si="88"/>
        <v>4.2682978693455391</v>
      </c>
      <c r="K1023" s="13">
        <v>1.5</v>
      </c>
      <c r="L1023" s="13">
        <v>1.2</v>
      </c>
      <c r="M1023" s="13">
        <v>1.5</v>
      </c>
      <c r="N1023" s="13">
        <v>1.1000000000000001</v>
      </c>
      <c r="O1023" s="13">
        <v>2</v>
      </c>
      <c r="P1023" s="13">
        <v>1.2</v>
      </c>
      <c r="Q1023">
        <v>1.05</v>
      </c>
      <c r="R1023">
        <f t="shared" si="89"/>
        <v>0.47095746419981693</v>
      </c>
    </row>
    <row r="1024" spans="1:19" hidden="1" x14ac:dyDescent="0.2">
      <c r="A1024" s="29" t="s">
        <v>226</v>
      </c>
      <c r="B1024" s="17">
        <v>30.6</v>
      </c>
      <c r="C1024" s="17" t="s">
        <v>90</v>
      </c>
      <c r="D1024" s="17" t="s">
        <v>56</v>
      </c>
      <c r="F1024" s="17" t="s">
        <v>86</v>
      </c>
      <c r="G1024" s="17" t="s">
        <v>227</v>
      </c>
      <c r="I1024" s="17">
        <v>2</v>
      </c>
      <c r="J1024">
        <f t="shared" si="88"/>
        <v>3.4210000089583352</v>
      </c>
      <c r="K1024" s="13">
        <v>1.5</v>
      </c>
      <c r="L1024" s="13">
        <v>1.2</v>
      </c>
      <c r="M1024" s="13">
        <v>1.5</v>
      </c>
      <c r="N1024" s="13">
        <v>1.1000000000000001</v>
      </c>
      <c r="O1024" s="13">
        <v>2</v>
      </c>
      <c r="P1024" s="13">
        <v>1.2</v>
      </c>
      <c r="Q1024">
        <v>1.05</v>
      </c>
      <c r="R1024">
        <f t="shared" si="89"/>
        <v>0.47095746419981693</v>
      </c>
    </row>
    <row r="1025" spans="1:19" hidden="1" x14ac:dyDescent="0.2">
      <c r="A1025" s="29" t="s">
        <v>91</v>
      </c>
      <c r="B1025" s="17">
        <v>4.5</v>
      </c>
      <c r="C1025" s="17" t="s">
        <v>90</v>
      </c>
      <c r="D1025" s="17" t="s">
        <v>92</v>
      </c>
      <c r="F1025" s="17" t="s">
        <v>86</v>
      </c>
      <c r="G1025" s="17" t="s">
        <v>93</v>
      </c>
      <c r="I1025" s="17">
        <v>2</v>
      </c>
      <c r="J1025">
        <f t="shared" si="88"/>
        <v>1.5040773967762742</v>
      </c>
      <c r="K1025" s="13">
        <v>1.5</v>
      </c>
      <c r="L1025" s="13">
        <v>1.2</v>
      </c>
      <c r="M1025" s="13">
        <v>1.5</v>
      </c>
      <c r="N1025" s="13">
        <v>1.1000000000000001</v>
      </c>
      <c r="O1025" s="13">
        <v>2</v>
      </c>
      <c r="P1025" s="13">
        <v>1.2</v>
      </c>
      <c r="Q1025">
        <v>1.05</v>
      </c>
      <c r="R1025">
        <f t="shared" si="89"/>
        <v>0.47095746419981693</v>
      </c>
    </row>
    <row r="1026" spans="1:19" hidden="1" x14ac:dyDescent="0.2">
      <c r="A1026" s="29" t="s">
        <v>228</v>
      </c>
      <c r="B1026" s="17">
        <v>9</v>
      </c>
      <c r="C1026" s="17" t="s">
        <v>85</v>
      </c>
      <c r="D1026" s="17" t="s">
        <v>56</v>
      </c>
      <c r="F1026" s="17" t="s">
        <v>86</v>
      </c>
      <c r="G1026" s="17" t="s">
        <v>126</v>
      </c>
      <c r="I1026" s="17">
        <v>2</v>
      </c>
      <c r="J1026">
        <f t="shared" si="88"/>
        <v>2.1972245773362196</v>
      </c>
      <c r="K1026" s="13">
        <v>1.5</v>
      </c>
      <c r="L1026" s="13">
        <v>1.2</v>
      </c>
      <c r="M1026" s="13">
        <v>1.5</v>
      </c>
      <c r="N1026" s="13">
        <v>1.1000000000000001</v>
      </c>
      <c r="O1026" s="13">
        <v>2</v>
      </c>
      <c r="P1026" s="13">
        <v>1.2</v>
      </c>
      <c r="Q1026">
        <v>1.05</v>
      </c>
      <c r="R1026">
        <f t="shared" si="89"/>
        <v>0.47095746419981693</v>
      </c>
    </row>
    <row r="1027" spans="1:19" hidden="1" x14ac:dyDescent="0.2">
      <c r="A1027" s="29" t="s">
        <v>114</v>
      </c>
      <c r="B1027" s="17">
        <v>9</v>
      </c>
      <c r="C1027" s="17" t="s">
        <v>85</v>
      </c>
      <c r="D1027" s="17" t="s">
        <v>56</v>
      </c>
      <c r="F1027" s="17" t="s">
        <v>86</v>
      </c>
      <c r="G1027" s="17" t="s">
        <v>115</v>
      </c>
      <c r="I1027" s="17">
        <v>2</v>
      </c>
      <c r="J1027">
        <f t="shared" si="88"/>
        <v>2.1972245773362196</v>
      </c>
      <c r="K1027" s="13">
        <v>1.5</v>
      </c>
      <c r="L1027" s="13">
        <v>1.2</v>
      </c>
      <c r="M1027" s="13">
        <v>1.5</v>
      </c>
      <c r="N1027" s="13">
        <v>1.1000000000000001</v>
      </c>
      <c r="O1027" s="13">
        <v>2</v>
      </c>
      <c r="P1027" s="13">
        <v>1.2</v>
      </c>
      <c r="Q1027">
        <v>1.05</v>
      </c>
      <c r="R1027">
        <f t="shared" si="89"/>
        <v>0.47095746419981693</v>
      </c>
    </row>
    <row r="1028" spans="1:19" hidden="1" x14ac:dyDescent="0.2">
      <c r="Q1028" s="17"/>
    </row>
    <row r="1029" spans="1:19" hidden="1" x14ac:dyDescent="0.2">
      <c r="A1029" s="18" t="s">
        <v>50</v>
      </c>
      <c r="B1029" s="18" t="s">
        <v>1029</v>
      </c>
      <c r="Q1029" s="17"/>
    </row>
    <row r="1030" spans="1:19" hidden="1" x14ac:dyDescent="0.2">
      <c r="A1030" s="17" t="s">
        <v>52</v>
      </c>
      <c r="B1030" s="17" t="s">
        <v>85</v>
      </c>
      <c r="Q1030" s="17"/>
    </row>
    <row r="1031" spans="1:19" hidden="1" x14ac:dyDescent="0.2">
      <c r="A1031" s="17" t="s">
        <v>53</v>
      </c>
      <c r="B1031" s="17">
        <v>1</v>
      </c>
      <c r="Q1031" s="17"/>
    </row>
    <row r="1032" spans="1:19" hidden="1" x14ac:dyDescent="0.2">
      <c r="A1032" s="17" t="s">
        <v>54</v>
      </c>
      <c r="B1032" s="17" t="s">
        <v>1030</v>
      </c>
      <c r="Q1032" s="17"/>
    </row>
    <row r="1033" spans="1:19" hidden="1" x14ac:dyDescent="0.2">
      <c r="A1033" s="17" t="s">
        <v>61</v>
      </c>
      <c r="B1033" s="17" t="s">
        <v>121</v>
      </c>
      <c r="Q1033" s="17"/>
    </row>
    <row r="1034" spans="1:19" hidden="1" x14ac:dyDescent="0.2">
      <c r="A1034" s="17" t="s">
        <v>55</v>
      </c>
      <c r="B1034" s="17" t="s">
        <v>55</v>
      </c>
      <c r="Q1034" s="17"/>
    </row>
    <row r="1035" spans="1:19" hidden="1" x14ac:dyDescent="0.2">
      <c r="A1035" s="17" t="s">
        <v>63</v>
      </c>
      <c r="B1035" s="17" t="s">
        <v>1016</v>
      </c>
      <c r="Q1035" s="17"/>
    </row>
    <row r="1036" spans="1:19" hidden="1" x14ac:dyDescent="0.2">
      <c r="A1036" s="17" t="s">
        <v>51</v>
      </c>
      <c r="B1036" s="17" t="s">
        <v>1017</v>
      </c>
      <c r="Q1036" s="17"/>
    </row>
    <row r="1037" spans="1:19" hidden="1" x14ac:dyDescent="0.2">
      <c r="A1037" s="18" t="s">
        <v>57</v>
      </c>
      <c r="Q1037" s="17"/>
    </row>
    <row r="1038" spans="1:19" hidden="1" x14ac:dyDescent="0.2">
      <c r="A1038" s="18" t="s">
        <v>58</v>
      </c>
      <c r="B1038" s="18" t="s">
        <v>59</v>
      </c>
      <c r="C1038" s="18" t="s">
        <v>52</v>
      </c>
      <c r="D1038" s="18" t="s">
        <v>55</v>
      </c>
      <c r="E1038" s="18" t="s">
        <v>60</v>
      </c>
      <c r="F1038" s="18" t="s">
        <v>61</v>
      </c>
      <c r="G1038" s="18" t="s">
        <v>54</v>
      </c>
      <c r="H1038" s="18" t="s">
        <v>51</v>
      </c>
      <c r="I1038" s="18" t="s">
        <v>221</v>
      </c>
      <c r="J1038" s="2" t="s">
        <v>379</v>
      </c>
      <c r="K1038" s="62" t="s">
        <v>1059</v>
      </c>
      <c r="L1038" s="62" t="s">
        <v>1060</v>
      </c>
      <c r="M1038" s="62" t="s">
        <v>1061</v>
      </c>
      <c r="N1038" s="62" t="s">
        <v>1062</v>
      </c>
      <c r="O1038" s="62" t="s">
        <v>1063</v>
      </c>
      <c r="P1038" s="62" t="s">
        <v>1064</v>
      </c>
      <c r="Q1038" s="2" t="s">
        <v>1065</v>
      </c>
      <c r="R1038" s="2" t="s">
        <v>380</v>
      </c>
      <c r="S1038" s="18" t="s">
        <v>1128</v>
      </c>
    </row>
    <row r="1039" spans="1:19" hidden="1" x14ac:dyDescent="0.2">
      <c r="A1039" s="17" t="str">
        <f>B1029</f>
        <v>fuel cell system assembly, 1 kWe, proton exchange membrane (PEM)</v>
      </c>
      <c r="B1039" s="17">
        <v>1</v>
      </c>
      <c r="C1039" s="17" t="s">
        <v>85</v>
      </c>
      <c r="D1039" s="17" t="str">
        <f>B1034</f>
        <v>unit</v>
      </c>
      <c r="F1039" s="17" t="s">
        <v>62</v>
      </c>
      <c r="G1039" s="17" t="str">
        <f>B1032</f>
        <v>fuel cell system, 1 kWe, proton exchange membrane (PEM)</v>
      </c>
      <c r="Q1039" s="17"/>
    </row>
    <row r="1040" spans="1:19" hidden="1" x14ac:dyDescent="0.2">
      <c r="A1040" s="17" t="s">
        <v>1014</v>
      </c>
      <c r="B1040" s="25">
        <f>20000/3800</f>
        <v>5.2631578947368425</v>
      </c>
      <c r="C1040" s="17" t="s">
        <v>85</v>
      </c>
      <c r="D1040" s="17" t="s">
        <v>55</v>
      </c>
      <c r="F1040" s="17" t="s">
        <v>86</v>
      </c>
      <c r="G1040" s="17" t="s">
        <v>1015</v>
      </c>
      <c r="I1040" s="17">
        <v>2</v>
      </c>
      <c r="J1040">
        <f t="shared" ref="J1040:J1041" si="90">LN(B1040)</f>
        <v>1.6607312068216509</v>
      </c>
      <c r="K1040" s="13">
        <v>1.5</v>
      </c>
      <c r="L1040" s="13">
        <v>1.2</v>
      </c>
      <c r="M1040" s="13">
        <v>1.5</v>
      </c>
      <c r="N1040" s="13">
        <v>1.1000000000000001</v>
      </c>
      <c r="O1040" s="13">
        <v>2</v>
      </c>
      <c r="P1040" s="13">
        <v>1.2</v>
      </c>
      <c r="Q1040">
        <v>3</v>
      </c>
      <c r="R1040">
        <f t="shared" ref="R1040:R1041" si="91">LN(SQRT(EXP(
SQRT(
+POWER(LN(K1040),2)
+POWER(LN(L1040),2)
+POWER(LN(M1040),2)
+POWER(LN(N1040),2)
+POWER(LN(O1040),2)
+POWER(LN(P1040),2)
+POWER(LN(Q1040),2)
)
)))</f>
        <v>0.72314801614797197</v>
      </c>
    </row>
    <row r="1041" spans="1:19" hidden="1" x14ac:dyDescent="0.2">
      <c r="A1041" s="17" t="s">
        <v>1026</v>
      </c>
      <c r="B1041" s="25">
        <v>1</v>
      </c>
      <c r="C1041" s="17" t="s">
        <v>85</v>
      </c>
      <c r="D1041" s="17" t="s">
        <v>55</v>
      </c>
      <c r="F1041" s="17" t="s">
        <v>86</v>
      </c>
      <c r="G1041" s="17" t="s">
        <v>1027</v>
      </c>
      <c r="I1041" s="17">
        <v>2</v>
      </c>
      <c r="J1041">
        <f t="shared" si="90"/>
        <v>0</v>
      </c>
      <c r="K1041" s="13">
        <v>1.5</v>
      </c>
      <c r="L1041" s="13">
        <v>1.2</v>
      </c>
      <c r="M1041" s="13">
        <v>1.5</v>
      </c>
      <c r="N1041" s="13">
        <v>1.1000000000000001</v>
      </c>
      <c r="O1041" s="13">
        <v>2</v>
      </c>
      <c r="P1041" s="13">
        <v>1.2</v>
      </c>
      <c r="Q1041">
        <v>3</v>
      </c>
      <c r="R1041">
        <f t="shared" si="91"/>
        <v>0.72314801614797197</v>
      </c>
    </row>
    <row r="1042" spans="1:19" hidden="1" x14ac:dyDescent="0.2">
      <c r="Q1042" s="17"/>
    </row>
    <row r="1043" spans="1:19" hidden="1" x14ac:dyDescent="0.2">
      <c r="Q1043" s="17"/>
    </row>
    <row r="1044" spans="1:19" hidden="1" x14ac:dyDescent="0.2">
      <c r="A1044" s="18" t="s">
        <v>50</v>
      </c>
      <c r="B1044" s="18" t="s">
        <v>1014</v>
      </c>
      <c r="Q1044" s="17"/>
    </row>
    <row r="1045" spans="1:19" hidden="1" x14ac:dyDescent="0.2">
      <c r="A1045" s="17" t="s">
        <v>52</v>
      </c>
      <c r="B1045" s="17" t="s">
        <v>85</v>
      </c>
      <c r="Q1045" s="17"/>
    </row>
    <row r="1046" spans="1:19" hidden="1" x14ac:dyDescent="0.2">
      <c r="A1046" s="17" t="s">
        <v>53</v>
      </c>
      <c r="B1046" s="17">
        <v>1</v>
      </c>
      <c r="Q1046" s="17"/>
    </row>
    <row r="1047" spans="1:19" hidden="1" x14ac:dyDescent="0.2">
      <c r="A1047" s="17" t="s">
        <v>54</v>
      </c>
      <c r="B1047" s="17" t="s">
        <v>1015</v>
      </c>
      <c r="Q1047" s="17"/>
    </row>
    <row r="1048" spans="1:19" hidden="1" x14ac:dyDescent="0.2">
      <c r="A1048" s="17" t="s">
        <v>61</v>
      </c>
      <c r="B1048" s="17" t="s">
        <v>121</v>
      </c>
      <c r="Q1048" s="17"/>
    </row>
    <row r="1049" spans="1:19" hidden="1" x14ac:dyDescent="0.2">
      <c r="A1049" s="17" t="s">
        <v>55</v>
      </c>
      <c r="B1049" s="17" t="s">
        <v>55</v>
      </c>
      <c r="Q1049" s="17"/>
    </row>
    <row r="1050" spans="1:19" hidden="1" x14ac:dyDescent="0.2">
      <c r="A1050" s="17" t="s">
        <v>63</v>
      </c>
      <c r="B1050" s="17" t="s">
        <v>1016</v>
      </c>
      <c r="Q1050" s="17"/>
    </row>
    <row r="1051" spans="1:19" hidden="1" x14ac:dyDescent="0.2">
      <c r="A1051" s="17" t="s">
        <v>51</v>
      </c>
      <c r="B1051" s="17" t="s">
        <v>1017</v>
      </c>
      <c r="Q1051" s="17"/>
    </row>
    <row r="1052" spans="1:19" hidden="1" x14ac:dyDescent="0.2">
      <c r="A1052" s="18" t="s">
        <v>57</v>
      </c>
      <c r="Q1052" s="17"/>
    </row>
    <row r="1053" spans="1:19" hidden="1" x14ac:dyDescent="0.2">
      <c r="A1053" s="18" t="s">
        <v>58</v>
      </c>
      <c r="B1053" s="18" t="s">
        <v>59</v>
      </c>
      <c r="C1053" s="18" t="s">
        <v>52</v>
      </c>
      <c r="D1053" s="18" t="s">
        <v>55</v>
      </c>
      <c r="E1053" s="18" t="s">
        <v>60</v>
      </c>
      <c r="F1053" s="18" t="s">
        <v>61</v>
      </c>
      <c r="G1053" s="18" t="s">
        <v>54</v>
      </c>
      <c r="H1053" s="18" t="s">
        <v>51</v>
      </c>
      <c r="I1053" s="18" t="s">
        <v>221</v>
      </c>
      <c r="J1053" s="2" t="s">
        <v>379</v>
      </c>
      <c r="K1053" s="62" t="s">
        <v>1059</v>
      </c>
      <c r="L1053" s="62" t="s">
        <v>1060</v>
      </c>
      <c r="M1053" s="62" t="s">
        <v>1061</v>
      </c>
      <c r="N1053" s="62" t="s">
        <v>1062</v>
      </c>
      <c r="O1053" s="62" t="s">
        <v>1063</v>
      </c>
      <c r="P1053" s="62" t="s">
        <v>1064</v>
      </c>
      <c r="Q1053" s="2" t="s">
        <v>1065</v>
      </c>
      <c r="R1053" s="2" t="s">
        <v>380</v>
      </c>
      <c r="S1053" s="18" t="s">
        <v>1128</v>
      </c>
    </row>
    <row r="1054" spans="1:19" hidden="1" x14ac:dyDescent="0.2">
      <c r="A1054" s="17" t="str">
        <f>B1044</f>
        <v>fuel cell stack production, 1 kWe, proton exchange membrane (PEM)</v>
      </c>
      <c r="B1054" s="17">
        <v>1</v>
      </c>
      <c r="C1054" s="17" t="s">
        <v>85</v>
      </c>
      <c r="D1054" s="17" t="str">
        <f>B1049</f>
        <v>unit</v>
      </c>
      <c r="F1054" s="17" t="s">
        <v>62</v>
      </c>
      <c r="G1054" s="17" t="str">
        <f>B1047</f>
        <v>fuel cell stack, 1 kWe, proton exchange membrane (PEM)</v>
      </c>
      <c r="Q1054" s="17"/>
    </row>
    <row r="1055" spans="1:19" hidden="1" x14ac:dyDescent="0.2">
      <c r="A1055" s="17" t="s">
        <v>1018</v>
      </c>
      <c r="B1055" s="17">
        <v>4.5</v>
      </c>
      <c r="C1055" s="17" t="s">
        <v>85</v>
      </c>
      <c r="D1055" s="17" t="s">
        <v>56</v>
      </c>
      <c r="F1055" s="17" t="s">
        <v>86</v>
      </c>
      <c r="G1055" s="17" t="s">
        <v>1019</v>
      </c>
      <c r="I1055" s="17">
        <v>2</v>
      </c>
      <c r="J1055">
        <f t="shared" ref="J1055:J1066" si="92">LN(B1055)</f>
        <v>1.5040773967762742</v>
      </c>
      <c r="K1055" s="13">
        <v>1.5</v>
      </c>
      <c r="L1055" s="13">
        <v>1.2</v>
      </c>
      <c r="M1055" s="13">
        <v>1.5</v>
      </c>
      <c r="N1055" s="13">
        <v>1.1000000000000001</v>
      </c>
      <c r="O1055" s="13">
        <v>2</v>
      </c>
      <c r="P1055" s="13">
        <v>1.2</v>
      </c>
      <c r="Q1055">
        <v>1.05</v>
      </c>
      <c r="R1055">
        <f t="shared" ref="R1055:R1066" si="93">LN(SQRT(EXP(
SQRT(
+POWER(LN(K1055),2)
+POWER(LN(L1055),2)
+POWER(LN(M1055),2)
+POWER(LN(N1055),2)
+POWER(LN(O1055),2)
+POWER(LN(P1055),2)
+POWER(LN(Q1055),2)
)
)))</f>
        <v>0.47095746419981693</v>
      </c>
    </row>
    <row r="1056" spans="1:19" hidden="1" x14ac:dyDescent="0.2">
      <c r="A1056" s="17" t="s">
        <v>1020</v>
      </c>
      <c r="B1056" s="17">
        <v>1.1000000000000001</v>
      </c>
      <c r="C1056" s="17" t="s">
        <v>109</v>
      </c>
      <c r="D1056" s="17" t="s">
        <v>56</v>
      </c>
      <c r="F1056" s="17" t="s">
        <v>86</v>
      </c>
      <c r="G1056" s="17" t="s">
        <v>1021</v>
      </c>
      <c r="I1056" s="17">
        <v>2</v>
      </c>
      <c r="J1056">
        <f t="shared" si="92"/>
        <v>9.5310179804324935E-2</v>
      </c>
      <c r="K1056" s="13">
        <v>1.5</v>
      </c>
      <c r="L1056" s="13">
        <v>1.2</v>
      </c>
      <c r="M1056" s="13">
        <v>1.5</v>
      </c>
      <c r="N1056" s="13">
        <v>1.1000000000000001</v>
      </c>
      <c r="O1056" s="13">
        <v>2</v>
      </c>
      <c r="P1056" s="13">
        <v>1.2</v>
      </c>
      <c r="Q1056">
        <v>1.05</v>
      </c>
      <c r="R1056">
        <f t="shared" si="93"/>
        <v>0.47095746419981693</v>
      </c>
    </row>
    <row r="1057" spans="1:18" hidden="1" x14ac:dyDescent="0.2">
      <c r="A1057" s="17" t="s">
        <v>699</v>
      </c>
      <c r="B1057" s="33">
        <f>B1056/0.994</f>
        <v>1.1066398390342054</v>
      </c>
      <c r="C1057" s="17" t="s">
        <v>85</v>
      </c>
      <c r="D1057" s="17" t="s">
        <v>56</v>
      </c>
      <c r="F1057" s="17" t="s">
        <v>86</v>
      </c>
      <c r="G1057" s="17" t="s">
        <v>664</v>
      </c>
      <c r="I1057" s="17">
        <v>2</v>
      </c>
      <c r="J1057">
        <f t="shared" si="92"/>
        <v>0.10132825212988801</v>
      </c>
      <c r="K1057" s="13">
        <v>1.5</v>
      </c>
      <c r="L1057" s="13">
        <v>1.2</v>
      </c>
      <c r="M1057" s="13">
        <v>1.5</v>
      </c>
      <c r="N1057" s="13">
        <v>1.1000000000000001</v>
      </c>
      <c r="O1057" s="13">
        <v>2</v>
      </c>
      <c r="P1057" s="13">
        <v>1.2</v>
      </c>
      <c r="Q1057">
        <v>1.05</v>
      </c>
      <c r="R1057">
        <f t="shared" si="93"/>
        <v>0.47095746419981693</v>
      </c>
    </row>
    <row r="1058" spans="1:18" hidden="1" x14ac:dyDescent="0.2">
      <c r="A1058" s="17" t="s">
        <v>1022</v>
      </c>
      <c r="B1058" s="17">
        <v>0.3</v>
      </c>
      <c r="C1058" s="17" t="s">
        <v>330</v>
      </c>
      <c r="D1058" s="17" t="s">
        <v>56</v>
      </c>
      <c r="F1058" s="17" t="s">
        <v>86</v>
      </c>
      <c r="G1058" s="17" t="s">
        <v>1023</v>
      </c>
      <c r="I1058" s="17">
        <v>2</v>
      </c>
      <c r="J1058">
        <f t="shared" si="92"/>
        <v>-1.2039728043259361</v>
      </c>
      <c r="K1058" s="13">
        <v>1.5</v>
      </c>
      <c r="L1058" s="13">
        <v>1.2</v>
      </c>
      <c r="M1058" s="13">
        <v>1.5</v>
      </c>
      <c r="N1058" s="13">
        <v>1.1000000000000001</v>
      </c>
      <c r="O1058" s="13">
        <v>2</v>
      </c>
      <c r="P1058" s="13">
        <v>1.2</v>
      </c>
      <c r="Q1058">
        <v>1.05</v>
      </c>
      <c r="R1058">
        <f t="shared" si="93"/>
        <v>0.47095746419981693</v>
      </c>
    </row>
    <row r="1059" spans="1:18" hidden="1" x14ac:dyDescent="0.2">
      <c r="A1059" s="17" t="s">
        <v>577</v>
      </c>
      <c r="B1059" s="17">
        <f>B1058</f>
        <v>0.3</v>
      </c>
      <c r="C1059" s="17" t="s">
        <v>85</v>
      </c>
      <c r="D1059" s="17" t="s">
        <v>56</v>
      </c>
      <c r="F1059" s="17" t="s">
        <v>86</v>
      </c>
      <c r="G1059" s="17" t="s">
        <v>578</v>
      </c>
      <c r="H1059" s="17" t="s">
        <v>567</v>
      </c>
      <c r="I1059" s="17">
        <v>2</v>
      </c>
      <c r="J1059">
        <f t="shared" si="92"/>
        <v>-1.2039728043259361</v>
      </c>
      <c r="K1059" s="13">
        <v>1.5</v>
      </c>
      <c r="L1059" s="13">
        <v>1.2</v>
      </c>
      <c r="M1059" s="13">
        <v>1.5</v>
      </c>
      <c r="N1059" s="13">
        <v>1.1000000000000001</v>
      </c>
      <c r="O1059" s="13">
        <v>2</v>
      </c>
      <c r="P1059" s="13">
        <v>1.2</v>
      </c>
      <c r="Q1059">
        <v>1.05</v>
      </c>
      <c r="R1059">
        <f t="shared" si="93"/>
        <v>0.47095746419981693</v>
      </c>
    </row>
    <row r="1060" spans="1:18" hidden="1" x14ac:dyDescent="0.2">
      <c r="A1060" s="17" t="s">
        <v>1024</v>
      </c>
      <c r="B1060" s="17">
        <v>0.1</v>
      </c>
      <c r="C1060" s="17" t="s">
        <v>85</v>
      </c>
      <c r="D1060" s="17" t="s">
        <v>56</v>
      </c>
      <c r="F1060" s="17" t="s">
        <v>86</v>
      </c>
      <c r="G1060" s="17" t="s">
        <v>1025</v>
      </c>
      <c r="I1060" s="17">
        <v>2</v>
      </c>
      <c r="J1060">
        <f t="shared" si="92"/>
        <v>-2.3025850929940455</v>
      </c>
      <c r="K1060" s="13">
        <v>1.5</v>
      </c>
      <c r="L1060" s="13">
        <v>1.2</v>
      </c>
      <c r="M1060" s="13">
        <v>1.5</v>
      </c>
      <c r="N1060" s="13">
        <v>1.1000000000000001</v>
      </c>
      <c r="O1060" s="13">
        <v>2</v>
      </c>
      <c r="P1060" s="13">
        <v>1.2</v>
      </c>
      <c r="Q1060">
        <v>1.05</v>
      </c>
      <c r="R1060">
        <f t="shared" si="93"/>
        <v>0.47095746419981693</v>
      </c>
    </row>
    <row r="1061" spans="1:18" hidden="1" x14ac:dyDescent="0.2">
      <c r="A1061" s="17" t="s">
        <v>574</v>
      </c>
      <c r="B1061" s="17">
        <f>B1060</f>
        <v>0.1</v>
      </c>
      <c r="C1061" s="17" t="s">
        <v>85</v>
      </c>
      <c r="D1061" s="17" t="s">
        <v>56</v>
      </c>
      <c r="F1061" s="17" t="s">
        <v>86</v>
      </c>
      <c r="G1061" s="17" t="s">
        <v>266</v>
      </c>
      <c r="H1061" s="17" t="s">
        <v>556</v>
      </c>
      <c r="I1061" s="17">
        <v>2</v>
      </c>
      <c r="J1061">
        <f t="shared" si="92"/>
        <v>-2.3025850929940455</v>
      </c>
      <c r="K1061" s="13">
        <v>1.5</v>
      </c>
      <c r="L1061" s="13">
        <v>1.2</v>
      </c>
      <c r="M1061" s="13">
        <v>1.5</v>
      </c>
      <c r="N1061" s="13">
        <v>1.1000000000000001</v>
      </c>
      <c r="O1061" s="13">
        <v>2</v>
      </c>
      <c r="P1061" s="13">
        <v>1.2</v>
      </c>
      <c r="Q1061">
        <v>1.05</v>
      </c>
      <c r="R1061">
        <f t="shared" si="93"/>
        <v>0.47095746419981693</v>
      </c>
    </row>
    <row r="1062" spans="1:18" hidden="1" x14ac:dyDescent="0.2">
      <c r="A1062" s="17" t="s">
        <v>708</v>
      </c>
      <c r="B1062" s="17">
        <v>0.1</v>
      </c>
      <c r="C1062" s="17" t="s">
        <v>85</v>
      </c>
      <c r="D1062" s="17" t="s">
        <v>56</v>
      </c>
      <c r="F1062" s="17" t="s">
        <v>86</v>
      </c>
      <c r="G1062" s="17" t="s">
        <v>709</v>
      </c>
      <c r="I1062" s="17">
        <v>2</v>
      </c>
      <c r="J1062">
        <f t="shared" si="92"/>
        <v>-2.3025850929940455</v>
      </c>
      <c r="K1062" s="13">
        <v>1.5</v>
      </c>
      <c r="L1062" s="13">
        <v>1.2</v>
      </c>
      <c r="M1062" s="13">
        <v>1.5</v>
      </c>
      <c r="N1062" s="13">
        <v>1.1000000000000001</v>
      </c>
      <c r="O1062" s="13">
        <v>2</v>
      </c>
      <c r="P1062" s="13">
        <v>1.2</v>
      </c>
      <c r="Q1062">
        <v>1.05</v>
      </c>
      <c r="R1062">
        <f t="shared" si="93"/>
        <v>0.47095746419981693</v>
      </c>
    </row>
    <row r="1063" spans="1:18" hidden="1" x14ac:dyDescent="0.2">
      <c r="A1063" s="17" t="s">
        <v>250</v>
      </c>
      <c r="B1063" s="17">
        <v>7.0000000000000007E-2</v>
      </c>
      <c r="C1063" s="17" t="s">
        <v>90</v>
      </c>
      <c r="D1063" s="17" t="s">
        <v>56</v>
      </c>
      <c r="F1063" s="17" t="s">
        <v>86</v>
      </c>
      <c r="G1063" s="17" t="s">
        <v>251</v>
      </c>
      <c r="I1063" s="17">
        <v>2</v>
      </c>
      <c r="J1063">
        <f t="shared" si="92"/>
        <v>-2.6592600369327779</v>
      </c>
      <c r="K1063" s="13">
        <v>1.5</v>
      </c>
      <c r="L1063" s="13">
        <v>1.2</v>
      </c>
      <c r="M1063" s="13">
        <v>1.5</v>
      </c>
      <c r="N1063" s="13">
        <v>1.1000000000000001</v>
      </c>
      <c r="O1063" s="13">
        <v>2</v>
      </c>
      <c r="P1063" s="13">
        <v>1.2</v>
      </c>
      <c r="Q1063">
        <v>1.05</v>
      </c>
      <c r="R1063">
        <f t="shared" si="93"/>
        <v>0.47095746419981693</v>
      </c>
    </row>
    <row r="1064" spans="1:18" hidden="1" x14ac:dyDescent="0.2">
      <c r="A1064" s="17" t="s">
        <v>244</v>
      </c>
      <c r="B1064" s="17">
        <v>8.0000000000000004E-4</v>
      </c>
      <c r="C1064" s="17" t="s">
        <v>85</v>
      </c>
      <c r="D1064" s="17" t="s">
        <v>56</v>
      </c>
      <c r="F1064" s="17" t="s">
        <v>86</v>
      </c>
      <c r="G1064" s="17" t="s">
        <v>245</v>
      </c>
      <c r="I1064" s="17">
        <v>2</v>
      </c>
      <c r="J1064">
        <f t="shared" si="92"/>
        <v>-7.1308988302963465</v>
      </c>
      <c r="K1064" s="13">
        <v>1.5</v>
      </c>
      <c r="L1064" s="13">
        <v>1.2</v>
      </c>
      <c r="M1064" s="13">
        <v>1.5</v>
      </c>
      <c r="N1064" s="13">
        <v>1.1000000000000001</v>
      </c>
      <c r="O1064" s="13">
        <v>2</v>
      </c>
      <c r="P1064" s="13">
        <v>1.2</v>
      </c>
      <c r="Q1064">
        <v>1.05</v>
      </c>
      <c r="R1064">
        <f t="shared" si="93"/>
        <v>0.47095746419981693</v>
      </c>
    </row>
    <row r="1065" spans="1:18" hidden="1" x14ac:dyDescent="0.2">
      <c r="A1065" s="17" t="s">
        <v>111</v>
      </c>
      <c r="B1065" s="17">
        <v>7.5000000000000002E-4</v>
      </c>
      <c r="C1065" s="17" t="s">
        <v>85</v>
      </c>
      <c r="D1065" s="17" t="s">
        <v>56</v>
      </c>
      <c r="F1065" s="17" t="s">
        <v>86</v>
      </c>
      <c r="G1065" s="17" t="s">
        <v>112</v>
      </c>
      <c r="I1065" s="17">
        <v>2</v>
      </c>
      <c r="J1065">
        <f t="shared" si="92"/>
        <v>-7.1954373514339176</v>
      </c>
      <c r="K1065" s="13">
        <v>1.5</v>
      </c>
      <c r="L1065" s="13">
        <v>1.2</v>
      </c>
      <c r="M1065" s="13">
        <v>1.5</v>
      </c>
      <c r="N1065" s="13">
        <v>1.1000000000000001</v>
      </c>
      <c r="O1065" s="13">
        <v>2</v>
      </c>
      <c r="P1065" s="13">
        <v>1.2</v>
      </c>
      <c r="Q1065">
        <v>1.05</v>
      </c>
      <c r="R1065">
        <f t="shared" si="93"/>
        <v>0.47095746419981693</v>
      </c>
    </row>
    <row r="1066" spans="1:18" hidden="1" x14ac:dyDescent="0.2">
      <c r="A1066" s="17" t="s">
        <v>91</v>
      </c>
      <c r="B1066" s="17">
        <v>16.899999999999999</v>
      </c>
      <c r="C1066" s="17" t="s">
        <v>85</v>
      </c>
      <c r="D1066" s="17" t="s">
        <v>92</v>
      </c>
      <c r="F1066" s="17" t="s">
        <v>86</v>
      </c>
      <c r="G1066" s="17" t="s">
        <v>93</v>
      </c>
      <c r="I1066" s="17">
        <v>2</v>
      </c>
      <c r="J1066">
        <f t="shared" si="92"/>
        <v>2.8273136219290276</v>
      </c>
      <c r="K1066" s="13">
        <v>1.5</v>
      </c>
      <c r="L1066" s="13">
        <v>1.2</v>
      </c>
      <c r="M1066" s="13">
        <v>1.5</v>
      </c>
      <c r="N1066" s="13">
        <v>1.1000000000000001</v>
      </c>
      <c r="O1066" s="13">
        <v>2</v>
      </c>
      <c r="P1066" s="13">
        <v>1.2</v>
      </c>
      <c r="Q1066">
        <v>1.05</v>
      </c>
      <c r="R1066">
        <f t="shared" si="93"/>
        <v>0.47095746419981693</v>
      </c>
    </row>
    <row r="1067" spans="1:18" hidden="1" x14ac:dyDescent="0.2">
      <c r="Q1067" s="17"/>
    </row>
    <row r="1068" spans="1:18" hidden="1" x14ac:dyDescent="0.2">
      <c r="A1068" s="18" t="s">
        <v>50</v>
      </c>
      <c r="B1068" s="18" t="s">
        <v>1026</v>
      </c>
      <c r="Q1068" s="17"/>
    </row>
    <row r="1069" spans="1:18" hidden="1" x14ac:dyDescent="0.2">
      <c r="A1069" s="17" t="s">
        <v>52</v>
      </c>
      <c r="B1069" s="17" t="s">
        <v>85</v>
      </c>
      <c r="Q1069" s="17"/>
    </row>
    <row r="1070" spans="1:18" hidden="1" x14ac:dyDescent="0.2">
      <c r="A1070" s="17" t="s">
        <v>53</v>
      </c>
      <c r="B1070" s="17">
        <v>1</v>
      </c>
      <c r="Q1070" s="17"/>
    </row>
    <row r="1071" spans="1:18" hidden="1" x14ac:dyDescent="0.2">
      <c r="A1071" s="17" t="s">
        <v>54</v>
      </c>
      <c r="B1071" s="17" t="s">
        <v>1027</v>
      </c>
      <c r="Q1071" s="17"/>
    </row>
    <row r="1072" spans="1:18" hidden="1" x14ac:dyDescent="0.2">
      <c r="A1072" s="17" t="s">
        <v>61</v>
      </c>
      <c r="B1072" s="17" t="s">
        <v>121</v>
      </c>
      <c r="Q1072" s="17"/>
    </row>
    <row r="1073" spans="1:19" hidden="1" x14ac:dyDescent="0.2">
      <c r="A1073" s="17" t="s">
        <v>55</v>
      </c>
      <c r="B1073" s="17" t="s">
        <v>55</v>
      </c>
      <c r="Q1073" s="17"/>
    </row>
    <row r="1074" spans="1:19" hidden="1" x14ac:dyDescent="0.2">
      <c r="A1074" s="17" t="s">
        <v>63</v>
      </c>
      <c r="B1074" s="17" t="s">
        <v>1016</v>
      </c>
      <c r="Q1074" s="17"/>
    </row>
    <row r="1075" spans="1:19" hidden="1" x14ac:dyDescent="0.2">
      <c r="A1075" s="17" t="s">
        <v>51</v>
      </c>
      <c r="B1075" s="17" t="s">
        <v>1017</v>
      </c>
      <c r="Q1075" s="17"/>
    </row>
    <row r="1076" spans="1:19" hidden="1" x14ac:dyDescent="0.2">
      <c r="A1076" s="18" t="s">
        <v>57</v>
      </c>
      <c r="Q1076" s="17"/>
    </row>
    <row r="1077" spans="1:19" hidden="1" x14ac:dyDescent="0.2">
      <c r="A1077" s="18" t="s">
        <v>58</v>
      </c>
      <c r="B1077" s="18" t="s">
        <v>59</v>
      </c>
      <c r="C1077" s="18" t="s">
        <v>52</v>
      </c>
      <c r="D1077" s="18" t="s">
        <v>55</v>
      </c>
      <c r="E1077" s="18" t="s">
        <v>60</v>
      </c>
      <c r="F1077" s="18" t="s">
        <v>61</v>
      </c>
      <c r="G1077" s="18" t="s">
        <v>54</v>
      </c>
      <c r="H1077" s="18" t="s">
        <v>51</v>
      </c>
      <c r="I1077" s="18" t="s">
        <v>221</v>
      </c>
      <c r="J1077" s="2" t="s">
        <v>379</v>
      </c>
      <c r="K1077" s="62" t="s">
        <v>1059</v>
      </c>
      <c r="L1077" s="62" t="s">
        <v>1060</v>
      </c>
      <c r="M1077" s="62" t="s">
        <v>1061</v>
      </c>
      <c r="N1077" s="62" t="s">
        <v>1062</v>
      </c>
      <c r="O1077" s="62" t="s">
        <v>1063</v>
      </c>
      <c r="P1077" s="62" t="s">
        <v>1064</v>
      </c>
      <c r="Q1077" s="2" t="s">
        <v>1065</v>
      </c>
      <c r="R1077" s="2" t="s">
        <v>380</v>
      </c>
      <c r="S1077" s="18" t="s">
        <v>1128</v>
      </c>
    </row>
    <row r="1078" spans="1:19" hidden="1" x14ac:dyDescent="0.2">
      <c r="A1078" s="17" t="str">
        <f>B1068</f>
        <v>fuel cell Balance of Plant production, 1 kWe, proton exchange membrane (PEM)</v>
      </c>
      <c r="B1078" s="17">
        <v>1</v>
      </c>
      <c r="C1078" s="17" t="s">
        <v>85</v>
      </c>
      <c r="D1078" s="17" t="str">
        <f>B1073</f>
        <v>unit</v>
      </c>
      <c r="F1078" s="17" t="s">
        <v>62</v>
      </c>
      <c r="G1078" s="17" t="str">
        <f>B1071</f>
        <v>fuel cell Balance of Plant, 1 kWe, proton exchange membrane (PEM)</v>
      </c>
      <c r="Q1078" s="17"/>
    </row>
    <row r="1079" spans="1:19" hidden="1" x14ac:dyDescent="0.2">
      <c r="A1079" s="17" t="s">
        <v>1024</v>
      </c>
      <c r="B1079" s="17">
        <v>3.7</v>
      </c>
      <c r="C1079" s="17" t="s">
        <v>85</v>
      </c>
      <c r="D1079" s="17" t="s">
        <v>56</v>
      </c>
      <c r="F1079" s="17" t="s">
        <v>86</v>
      </c>
      <c r="G1079" s="17" t="s">
        <v>1025</v>
      </c>
      <c r="I1079" s="17">
        <v>2</v>
      </c>
      <c r="J1079">
        <f t="shared" ref="J1079:J1088" si="94">LN(B1079)</f>
        <v>1.3083328196501789</v>
      </c>
      <c r="K1079" s="13">
        <v>1.5</v>
      </c>
      <c r="L1079" s="13">
        <v>1.2</v>
      </c>
      <c r="M1079" s="13">
        <v>1.5</v>
      </c>
      <c r="N1079" s="13">
        <v>1.1000000000000001</v>
      </c>
      <c r="O1079" s="13">
        <v>2</v>
      </c>
      <c r="P1079" s="13">
        <v>1.2</v>
      </c>
      <c r="Q1079">
        <v>1.05</v>
      </c>
      <c r="R1079">
        <f t="shared" ref="R1079:R1088" si="95">LN(SQRT(EXP(
SQRT(
+POWER(LN(K1079),2)
+POWER(LN(L1079),2)
+POWER(LN(M1079),2)
+POWER(LN(N1079),2)
+POWER(LN(O1079),2)
+POWER(LN(P1079),2)
+POWER(LN(Q1079),2)
)
)))</f>
        <v>0.47095746419981693</v>
      </c>
    </row>
    <row r="1080" spans="1:19" hidden="1" x14ac:dyDescent="0.2">
      <c r="A1080" s="17" t="s">
        <v>574</v>
      </c>
      <c r="B1080" s="17">
        <f>B1079</f>
        <v>3.7</v>
      </c>
      <c r="C1080" s="17" t="s">
        <v>85</v>
      </c>
      <c r="D1080" s="17" t="s">
        <v>56</v>
      </c>
      <c r="F1080" s="17" t="s">
        <v>86</v>
      </c>
      <c r="G1080" s="17" t="s">
        <v>266</v>
      </c>
      <c r="I1080" s="17">
        <v>2</v>
      </c>
      <c r="J1080">
        <f t="shared" si="94"/>
        <v>1.3083328196501789</v>
      </c>
      <c r="K1080" s="13">
        <v>1.5</v>
      </c>
      <c r="L1080" s="13">
        <v>1.2</v>
      </c>
      <c r="M1080" s="13">
        <v>1.5</v>
      </c>
      <c r="N1080" s="13">
        <v>1.1000000000000001</v>
      </c>
      <c r="O1080" s="13">
        <v>2</v>
      </c>
      <c r="P1080" s="13">
        <v>1.2</v>
      </c>
      <c r="Q1080">
        <v>1.05</v>
      </c>
      <c r="R1080">
        <f t="shared" si="95"/>
        <v>0.47095746419981693</v>
      </c>
    </row>
    <row r="1081" spans="1:19" hidden="1" x14ac:dyDescent="0.2">
      <c r="A1081" s="17" t="s">
        <v>385</v>
      </c>
      <c r="B1081" s="17">
        <v>1.5</v>
      </c>
      <c r="C1081" s="17" t="s">
        <v>85</v>
      </c>
      <c r="D1081" s="17" t="s">
        <v>56</v>
      </c>
      <c r="F1081" s="17" t="s">
        <v>86</v>
      </c>
      <c r="G1081" s="17" t="s">
        <v>386</v>
      </c>
      <c r="I1081" s="17">
        <v>2</v>
      </c>
      <c r="J1081">
        <f t="shared" si="94"/>
        <v>0.40546510810816438</v>
      </c>
      <c r="K1081" s="13">
        <v>1.5</v>
      </c>
      <c r="L1081" s="13">
        <v>1.2</v>
      </c>
      <c r="M1081" s="13">
        <v>1.5</v>
      </c>
      <c r="N1081" s="13">
        <v>1.1000000000000001</v>
      </c>
      <c r="O1081" s="13">
        <v>2</v>
      </c>
      <c r="P1081" s="13">
        <v>1.2</v>
      </c>
      <c r="Q1081">
        <v>1.05</v>
      </c>
      <c r="R1081">
        <f t="shared" si="95"/>
        <v>0.47095746419981693</v>
      </c>
    </row>
    <row r="1082" spans="1:19" hidden="1" x14ac:dyDescent="0.2">
      <c r="A1082" s="17" t="s">
        <v>1024</v>
      </c>
      <c r="B1082" s="17">
        <v>1.1000000000000001</v>
      </c>
      <c r="C1082" s="17" t="s">
        <v>85</v>
      </c>
      <c r="D1082" s="17" t="s">
        <v>56</v>
      </c>
      <c r="F1082" s="17" t="s">
        <v>86</v>
      </c>
      <c r="G1082" s="17" t="s">
        <v>1025</v>
      </c>
      <c r="I1082" s="17">
        <v>2</v>
      </c>
      <c r="J1082">
        <f t="shared" si="94"/>
        <v>9.5310179804324935E-2</v>
      </c>
      <c r="K1082" s="13">
        <v>1.5</v>
      </c>
      <c r="L1082" s="13">
        <v>1.2</v>
      </c>
      <c r="M1082" s="13">
        <v>1.5</v>
      </c>
      <c r="N1082" s="13">
        <v>1.1000000000000001</v>
      </c>
      <c r="O1082" s="13">
        <v>2</v>
      </c>
      <c r="P1082" s="13">
        <v>1.2</v>
      </c>
      <c r="Q1082">
        <v>1.05</v>
      </c>
      <c r="R1082">
        <f t="shared" si="95"/>
        <v>0.47095746419981693</v>
      </c>
    </row>
    <row r="1083" spans="1:19" hidden="1" x14ac:dyDescent="0.2">
      <c r="A1083" s="17" t="s">
        <v>574</v>
      </c>
      <c r="B1083" s="17">
        <f>B1082</f>
        <v>1.1000000000000001</v>
      </c>
      <c r="C1083" s="17" t="s">
        <v>85</v>
      </c>
      <c r="D1083" s="17" t="s">
        <v>56</v>
      </c>
      <c r="F1083" s="17" t="s">
        <v>86</v>
      </c>
      <c r="G1083" s="17" t="s">
        <v>266</v>
      </c>
      <c r="I1083" s="17">
        <v>2</v>
      </c>
      <c r="J1083">
        <f t="shared" si="94"/>
        <v>9.5310179804324935E-2</v>
      </c>
      <c r="K1083" s="13">
        <v>1.5</v>
      </c>
      <c r="L1083" s="13">
        <v>1.2</v>
      </c>
      <c r="M1083" s="13">
        <v>1.5</v>
      </c>
      <c r="N1083" s="13">
        <v>1.1000000000000001</v>
      </c>
      <c r="O1083" s="13">
        <v>2</v>
      </c>
      <c r="P1083" s="13">
        <v>1.2</v>
      </c>
      <c r="Q1083">
        <v>1.05</v>
      </c>
      <c r="R1083">
        <f t="shared" si="95"/>
        <v>0.47095746419981693</v>
      </c>
    </row>
    <row r="1084" spans="1:19" hidden="1" x14ac:dyDescent="0.2">
      <c r="A1084" s="17" t="s">
        <v>425</v>
      </c>
      <c r="B1084" s="17">
        <v>0.8</v>
      </c>
      <c r="C1084" s="17" t="s">
        <v>85</v>
      </c>
      <c r="D1084" s="17" t="s">
        <v>56</v>
      </c>
      <c r="F1084" s="17" t="s">
        <v>86</v>
      </c>
      <c r="G1084" s="17" t="s">
        <v>426</v>
      </c>
      <c r="I1084" s="17">
        <v>2</v>
      </c>
      <c r="J1084">
        <f t="shared" si="94"/>
        <v>-0.22314355131420971</v>
      </c>
      <c r="K1084" s="13">
        <v>1.5</v>
      </c>
      <c r="L1084" s="13">
        <v>1.2</v>
      </c>
      <c r="M1084" s="13">
        <v>1.5</v>
      </c>
      <c r="N1084" s="13">
        <v>1.1000000000000001</v>
      </c>
      <c r="O1084" s="13">
        <v>2</v>
      </c>
      <c r="P1084" s="13">
        <v>1.2</v>
      </c>
      <c r="Q1084">
        <v>1.05</v>
      </c>
      <c r="R1084">
        <f t="shared" si="95"/>
        <v>0.47095746419981693</v>
      </c>
    </row>
    <row r="1085" spans="1:19" hidden="1" x14ac:dyDescent="0.2">
      <c r="A1085" s="17" t="s">
        <v>1022</v>
      </c>
      <c r="B1085" s="17">
        <v>0.75</v>
      </c>
      <c r="C1085" s="17" t="s">
        <v>330</v>
      </c>
      <c r="D1085" s="17" t="s">
        <v>56</v>
      </c>
      <c r="F1085" s="17" t="s">
        <v>86</v>
      </c>
      <c r="G1085" s="17" t="s">
        <v>1023</v>
      </c>
      <c r="I1085" s="17">
        <v>2</v>
      </c>
      <c r="J1085">
        <f t="shared" si="94"/>
        <v>-0.2876820724517809</v>
      </c>
      <c r="K1085" s="13">
        <v>1.5</v>
      </c>
      <c r="L1085" s="13">
        <v>1.2</v>
      </c>
      <c r="M1085" s="13">
        <v>1.5</v>
      </c>
      <c r="N1085" s="13">
        <v>1.1000000000000001</v>
      </c>
      <c r="O1085" s="13">
        <v>2</v>
      </c>
      <c r="P1085" s="13">
        <v>1.2</v>
      </c>
      <c r="Q1085">
        <v>1.05</v>
      </c>
      <c r="R1085">
        <f t="shared" si="95"/>
        <v>0.47095746419981693</v>
      </c>
    </row>
    <row r="1086" spans="1:19" hidden="1" x14ac:dyDescent="0.2">
      <c r="A1086" s="17" t="s">
        <v>577</v>
      </c>
      <c r="B1086" s="17">
        <f>B1085</f>
        <v>0.75</v>
      </c>
      <c r="C1086" s="17" t="s">
        <v>85</v>
      </c>
      <c r="D1086" s="17" t="s">
        <v>56</v>
      </c>
      <c r="F1086" s="17" t="s">
        <v>86</v>
      </c>
      <c r="G1086" s="17" t="s">
        <v>578</v>
      </c>
      <c r="I1086" s="17">
        <v>2</v>
      </c>
      <c r="J1086">
        <f t="shared" si="94"/>
        <v>-0.2876820724517809</v>
      </c>
      <c r="K1086" s="13">
        <v>1.5</v>
      </c>
      <c r="L1086" s="13">
        <v>1.2</v>
      </c>
      <c r="M1086" s="13">
        <v>1.5</v>
      </c>
      <c r="N1086" s="13">
        <v>1.1000000000000001</v>
      </c>
      <c r="O1086" s="13">
        <v>2</v>
      </c>
      <c r="P1086" s="13">
        <v>1.2</v>
      </c>
      <c r="Q1086">
        <v>1.05</v>
      </c>
      <c r="R1086">
        <f t="shared" si="95"/>
        <v>0.47095746419981693</v>
      </c>
    </row>
    <row r="1087" spans="1:19" hidden="1" x14ac:dyDescent="0.2">
      <c r="A1087" s="17" t="s">
        <v>116</v>
      </c>
      <c r="B1087" s="31">
        <v>0.25</v>
      </c>
      <c r="C1087" s="17" t="s">
        <v>85</v>
      </c>
      <c r="D1087" s="17" t="s">
        <v>56</v>
      </c>
      <c r="F1087" s="17" t="s">
        <v>86</v>
      </c>
      <c r="G1087" s="17" t="s">
        <v>117</v>
      </c>
      <c r="H1087" s="21"/>
      <c r="I1087" s="17">
        <v>2</v>
      </c>
      <c r="J1087">
        <f t="shared" si="94"/>
        <v>-1.3862943611198906</v>
      </c>
      <c r="K1087" s="13">
        <v>1.5</v>
      </c>
      <c r="L1087" s="13">
        <v>1.2</v>
      </c>
      <c r="M1087" s="13">
        <v>1.5</v>
      </c>
      <c r="N1087" s="13">
        <v>1.1000000000000001</v>
      </c>
      <c r="O1087" s="13">
        <v>2</v>
      </c>
      <c r="P1087" s="13">
        <v>1.2</v>
      </c>
      <c r="Q1087">
        <v>1.05</v>
      </c>
      <c r="R1087">
        <f t="shared" si="95"/>
        <v>0.47095746419981693</v>
      </c>
    </row>
    <row r="1088" spans="1:19" hidden="1" x14ac:dyDescent="0.2">
      <c r="A1088" s="17" t="s">
        <v>91</v>
      </c>
      <c r="B1088" s="17">
        <v>16.899999999999999</v>
      </c>
      <c r="C1088" s="17" t="s">
        <v>85</v>
      </c>
      <c r="D1088" s="17" t="s">
        <v>92</v>
      </c>
      <c r="F1088" s="17" t="s">
        <v>86</v>
      </c>
      <c r="G1088" s="17" t="s">
        <v>93</v>
      </c>
      <c r="I1088" s="17">
        <v>2</v>
      </c>
      <c r="J1088">
        <f t="shared" si="94"/>
        <v>2.8273136219290276</v>
      </c>
      <c r="K1088" s="13">
        <v>1.5</v>
      </c>
      <c r="L1088" s="13">
        <v>1.2</v>
      </c>
      <c r="M1088" s="13">
        <v>1.5</v>
      </c>
      <c r="N1088" s="13">
        <v>1.1000000000000001</v>
      </c>
      <c r="O1088" s="13">
        <v>2</v>
      </c>
      <c r="P1088" s="13">
        <v>1.2</v>
      </c>
      <c r="Q1088">
        <v>1.05</v>
      </c>
      <c r="R1088">
        <f t="shared" si="95"/>
        <v>0.47095746419981693</v>
      </c>
    </row>
    <row r="1089" spans="1:19" hidden="1" x14ac:dyDescent="0.2">
      <c r="Q1089" s="17"/>
    </row>
    <row r="1090" spans="1:19" customFormat="1" hidden="1" x14ac:dyDescent="0.2">
      <c r="A1090" s="2" t="s">
        <v>50</v>
      </c>
      <c r="B1090" s="2" t="s">
        <v>250</v>
      </c>
      <c r="K1090" s="13"/>
      <c r="L1090" s="13"/>
      <c r="M1090" s="13"/>
      <c r="N1090" s="13"/>
      <c r="O1090" s="13"/>
      <c r="P1090" s="13"/>
    </row>
    <row r="1091" spans="1:19" customFormat="1" hidden="1" x14ac:dyDescent="0.2">
      <c r="A1091" t="s">
        <v>52</v>
      </c>
      <c r="K1091" s="13"/>
      <c r="L1091" s="13"/>
      <c r="M1091" s="13"/>
      <c r="N1091" s="13"/>
      <c r="O1091" s="13"/>
      <c r="P1091" s="13"/>
    </row>
    <row r="1092" spans="1:19" customFormat="1" hidden="1" x14ac:dyDescent="0.2">
      <c r="A1092" t="s">
        <v>53</v>
      </c>
      <c r="B1092">
        <v>1</v>
      </c>
      <c r="K1092" s="13"/>
      <c r="L1092" s="13"/>
      <c r="M1092" s="13"/>
      <c r="N1092" s="13"/>
      <c r="O1092" s="13"/>
      <c r="P1092" s="13"/>
    </row>
    <row r="1093" spans="1:19" customFormat="1" hidden="1" x14ac:dyDescent="0.2">
      <c r="A1093" t="s">
        <v>63</v>
      </c>
      <c r="B1093" t="s">
        <v>235</v>
      </c>
      <c r="K1093" s="13"/>
      <c r="L1093" s="13"/>
      <c r="M1093" s="13"/>
      <c r="N1093" s="13"/>
      <c r="O1093" s="13"/>
      <c r="P1093" s="13"/>
    </row>
    <row r="1094" spans="1:19" customFormat="1" hidden="1" x14ac:dyDescent="0.2">
      <c r="A1094" t="s">
        <v>54</v>
      </c>
      <c r="B1094" s="11" t="s">
        <v>251</v>
      </c>
      <c r="K1094" s="13"/>
      <c r="L1094" s="13"/>
      <c r="M1094" s="13"/>
      <c r="N1094" s="13"/>
      <c r="O1094" s="13"/>
      <c r="P1094" s="13"/>
    </row>
    <row r="1095" spans="1:19" customFormat="1" hidden="1" x14ac:dyDescent="0.2">
      <c r="A1095" t="s">
        <v>61</v>
      </c>
      <c r="B1095" t="s">
        <v>121</v>
      </c>
      <c r="K1095" s="13"/>
      <c r="L1095" s="13"/>
      <c r="M1095" s="13"/>
      <c r="N1095" s="13"/>
      <c r="O1095" s="13"/>
      <c r="P1095" s="13"/>
    </row>
    <row r="1096" spans="1:19" customFormat="1" hidden="1" x14ac:dyDescent="0.2">
      <c r="A1096" t="s">
        <v>55</v>
      </c>
      <c r="B1096" t="s">
        <v>56</v>
      </c>
      <c r="K1096" s="13"/>
      <c r="L1096" s="13"/>
      <c r="M1096" s="13"/>
      <c r="N1096" s="13"/>
      <c r="O1096" s="13"/>
      <c r="P1096" s="13"/>
    </row>
    <row r="1097" spans="1:19" customFormat="1" hidden="1" x14ac:dyDescent="0.2">
      <c r="A1097" t="s">
        <v>51</v>
      </c>
      <c r="B1097" t="s">
        <v>252</v>
      </c>
      <c r="K1097" s="13"/>
      <c r="L1097" s="13"/>
      <c r="M1097" s="13"/>
      <c r="N1097" s="13"/>
      <c r="O1097" s="13"/>
      <c r="P1097" s="13"/>
    </row>
    <row r="1098" spans="1:19" customFormat="1" hidden="1" x14ac:dyDescent="0.2">
      <c r="A1098" t="s">
        <v>52</v>
      </c>
      <c r="B1098" t="s">
        <v>90</v>
      </c>
      <c r="K1098" s="13"/>
      <c r="L1098" s="13"/>
      <c r="M1098" s="13"/>
      <c r="N1098" s="13"/>
      <c r="O1098" s="13"/>
      <c r="P1098" s="13"/>
    </row>
    <row r="1099" spans="1:19" customFormat="1" hidden="1" x14ac:dyDescent="0.2">
      <c r="A1099" s="2" t="s">
        <v>57</v>
      </c>
      <c r="K1099" s="13"/>
      <c r="L1099" s="13"/>
      <c r="M1099" s="13"/>
      <c r="N1099" s="13"/>
      <c r="O1099" s="13"/>
      <c r="P1099" s="13"/>
    </row>
    <row r="1100" spans="1:19" customFormat="1" hidden="1" x14ac:dyDescent="0.2">
      <c r="A1100" s="2" t="s">
        <v>58</v>
      </c>
      <c r="B1100" s="2" t="s">
        <v>59</v>
      </c>
      <c r="C1100" s="2" t="s">
        <v>52</v>
      </c>
      <c r="D1100" s="2" t="s">
        <v>55</v>
      </c>
      <c r="E1100" s="2" t="s">
        <v>60</v>
      </c>
      <c r="F1100" s="2" t="s">
        <v>61</v>
      </c>
      <c r="G1100" s="2" t="s">
        <v>54</v>
      </c>
      <c r="H1100" s="2" t="s">
        <v>51</v>
      </c>
      <c r="I1100" s="18" t="s">
        <v>221</v>
      </c>
      <c r="J1100" s="2" t="s">
        <v>379</v>
      </c>
      <c r="K1100" s="62" t="s">
        <v>1059</v>
      </c>
      <c r="L1100" s="62" t="s">
        <v>1060</v>
      </c>
      <c r="M1100" s="62" t="s">
        <v>1061</v>
      </c>
      <c r="N1100" s="62" t="s">
        <v>1062</v>
      </c>
      <c r="O1100" s="62" t="s">
        <v>1063</v>
      </c>
      <c r="P1100" s="62" t="s">
        <v>1064</v>
      </c>
      <c r="Q1100" s="2" t="s">
        <v>1065</v>
      </c>
      <c r="R1100" s="2" t="s">
        <v>380</v>
      </c>
      <c r="S1100" s="18" t="s">
        <v>1128</v>
      </c>
    </row>
    <row r="1101" spans="1:19" customFormat="1" hidden="1" x14ac:dyDescent="0.2">
      <c r="A1101" s="11" t="s">
        <v>250</v>
      </c>
      <c r="B1101">
        <v>1</v>
      </c>
      <c r="C1101" t="s">
        <v>90</v>
      </c>
      <c r="D1101" t="s">
        <v>56</v>
      </c>
      <c r="F1101" t="s">
        <v>62</v>
      </c>
      <c r="G1101" s="11" t="s">
        <v>251</v>
      </c>
      <c r="J1101" s="17"/>
      <c r="K1101" s="13"/>
      <c r="L1101" s="13"/>
      <c r="M1101" s="13"/>
      <c r="N1101" s="13"/>
      <c r="O1101" s="13"/>
      <c r="P1101" s="13"/>
    </row>
    <row r="1102" spans="1:19" customFormat="1" hidden="1" x14ac:dyDescent="0.2">
      <c r="A1102" t="s">
        <v>1287</v>
      </c>
      <c r="B1102" s="5">
        <v>0.93</v>
      </c>
      <c r="C1102" t="s">
        <v>85</v>
      </c>
      <c r="D1102" t="s">
        <v>56</v>
      </c>
      <c r="F1102" t="s">
        <v>86</v>
      </c>
      <c r="G1102" t="s">
        <v>249</v>
      </c>
      <c r="H1102" t="s">
        <v>253</v>
      </c>
      <c r="I1102" s="17">
        <v>2</v>
      </c>
      <c r="J1102">
        <f t="shared" ref="J1102:J1117" si="96">LN(B1102)</f>
        <v>-7.2570692834835374E-2</v>
      </c>
      <c r="K1102" s="13">
        <v>1.5</v>
      </c>
      <c r="L1102" s="13">
        <v>1.2</v>
      </c>
      <c r="M1102" s="13">
        <v>1.5</v>
      </c>
      <c r="N1102" s="13">
        <v>1.1000000000000001</v>
      </c>
      <c r="O1102" s="13">
        <v>2</v>
      </c>
      <c r="P1102" s="13">
        <v>1.2</v>
      </c>
      <c r="Q1102">
        <v>1.05</v>
      </c>
      <c r="R1102">
        <f t="shared" ref="R1102:R1117" si="97">LN(SQRT(EXP(
SQRT(
+POWER(LN(K1102),2)
+POWER(LN(L1102),2)
+POWER(LN(M1102),2)
+POWER(LN(N1102),2)
+POWER(LN(O1102),2)
+POWER(LN(P1102),2)
+POWER(LN(Q1102),2)
)
)))</f>
        <v>0.47095746419981693</v>
      </c>
    </row>
    <row r="1103" spans="1:19" customFormat="1" hidden="1" x14ac:dyDescent="0.2">
      <c r="A1103" t="s">
        <v>1288</v>
      </c>
      <c r="B1103" s="5">
        <v>3.1E-2</v>
      </c>
      <c r="C1103" t="s">
        <v>85</v>
      </c>
      <c r="D1103" t="s">
        <v>56</v>
      </c>
      <c r="F1103" t="s">
        <v>86</v>
      </c>
      <c r="G1103" t="s">
        <v>254</v>
      </c>
      <c r="H1103" t="s">
        <v>255</v>
      </c>
      <c r="I1103" s="17">
        <v>2</v>
      </c>
      <c r="J1103">
        <f t="shared" si="96"/>
        <v>-3.473768074496991</v>
      </c>
      <c r="K1103" s="13">
        <v>1.5</v>
      </c>
      <c r="L1103" s="13">
        <v>1.2</v>
      </c>
      <c r="M1103" s="13">
        <v>1.5</v>
      </c>
      <c r="N1103" s="13">
        <v>1.1000000000000001</v>
      </c>
      <c r="O1103" s="13">
        <v>2</v>
      </c>
      <c r="P1103" s="13">
        <v>1.2</v>
      </c>
      <c r="Q1103">
        <v>1.05</v>
      </c>
      <c r="R1103">
        <f t="shared" si="97"/>
        <v>0.47095746419981693</v>
      </c>
    </row>
    <row r="1104" spans="1:19" customFormat="1" ht="17" hidden="1" x14ac:dyDescent="0.2">
      <c r="A1104" s="57" t="s">
        <v>1289</v>
      </c>
      <c r="B1104" s="5">
        <v>3.1E-2</v>
      </c>
      <c r="C1104" t="s">
        <v>85</v>
      </c>
      <c r="D1104" t="s">
        <v>56</v>
      </c>
      <c r="F1104" t="s">
        <v>86</v>
      </c>
      <c r="G1104" t="s">
        <v>256</v>
      </c>
      <c r="H1104" t="s">
        <v>255</v>
      </c>
      <c r="I1104" s="17">
        <v>2</v>
      </c>
      <c r="J1104">
        <f t="shared" si="96"/>
        <v>-3.473768074496991</v>
      </c>
      <c r="K1104" s="13">
        <v>1.5</v>
      </c>
      <c r="L1104" s="13">
        <v>1.2</v>
      </c>
      <c r="M1104" s="13">
        <v>1.5</v>
      </c>
      <c r="N1104" s="13">
        <v>1.1000000000000001</v>
      </c>
      <c r="O1104" s="13">
        <v>2</v>
      </c>
      <c r="P1104" s="13">
        <v>1.2</v>
      </c>
      <c r="Q1104">
        <v>1.05</v>
      </c>
      <c r="R1104">
        <f t="shared" si="97"/>
        <v>0.47095746419981693</v>
      </c>
    </row>
    <row r="1105" spans="1:18" customFormat="1" ht="17" hidden="1" x14ac:dyDescent="0.2">
      <c r="A1105" s="57" t="s">
        <v>1290</v>
      </c>
      <c r="B1105" s="5">
        <v>3.1E-2</v>
      </c>
      <c r="C1105" t="s">
        <v>85</v>
      </c>
      <c r="D1105" t="s">
        <v>56</v>
      </c>
      <c r="F1105" t="s">
        <v>86</v>
      </c>
      <c r="G1105" t="s">
        <v>257</v>
      </c>
      <c r="H1105" t="s">
        <v>255</v>
      </c>
      <c r="I1105" s="17">
        <v>2</v>
      </c>
      <c r="J1105">
        <f t="shared" si="96"/>
        <v>-3.473768074496991</v>
      </c>
      <c r="K1105" s="13">
        <v>1.5</v>
      </c>
      <c r="L1105" s="13">
        <v>1.2</v>
      </c>
      <c r="M1105" s="13">
        <v>1.5</v>
      </c>
      <c r="N1105" s="13">
        <v>1.1000000000000001</v>
      </c>
      <c r="O1105" s="13">
        <v>2</v>
      </c>
      <c r="P1105" s="13">
        <v>1.2</v>
      </c>
      <c r="Q1105">
        <v>1.05</v>
      </c>
      <c r="R1105">
        <f t="shared" si="97"/>
        <v>0.47095746419981693</v>
      </c>
    </row>
    <row r="1106" spans="1:18" customFormat="1" hidden="1" x14ac:dyDescent="0.2">
      <c r="A1106" t="s">
        <v>1291</v>
      </c>
      <c r="B1106" s="5">
        <v>3.1E-2</v>
      </c>
      <c r="C1106" t="s">
        <v>85</v>
      </c>
      <c r="D1106" t="s">
        <v>56</v>
      </c>
      <c r="F1106" t="s">
        <v>86</v>
      </c>
      <c r="G1106" t="s">
        <v>258</v>
      </c>
      <c r="H1106" t="s">
        <v>255</v>
      </c>
      <c r="I1106" s="17">
        <v>2</v>
      </c>
      <c r="J1106">
        <f t="shared" si="96"/>
        <v>-3.473768074496991</v>
      </c>
      <c r="K1106" s="13">
        <v>1.5</v>
      </c>
      <c r="L1106" s="13">
        <v>1.2</v>
      </c>
      <c r="M1106" s="13">
        <v>1.5</v>
      </c>
      <c r="N1106" s="13">
        <v>1.1000000000000001</v>
      </c>
      <c r="O1106" s="13">
        <v>2</v>
      </c>
      <c r="P1106" s="13">
        <v>1.2</v>
      </c>
      <c r="Q1106">
        <v>1.05</v>
      </c>
      <c r="R1106">
        <f t="shared" si="97"/>
        <v>0.47095746419981693</v>
      </c>
    </row>
    <row r="1107" spans="1:18" customFormat="1" hidden="1" x14ac:dyDescent="0.2">
      <c r="A1107" t="s">
        <v>259</v>
      </c>
      <c r="B1107" s="5">
        <v>1</v>
      </c>
      <c r="C1107" t="s">
        <v>90</v>
      </c>
      <c r="D1107" t="s">
        <v>56</v>
      </c>
      <c r="F1107" t="s">
        <v>86</v>
      </c>
      <c r="G1107" t="s">
        <v>259</v>
      </c>
      <c r="I1107" s="17">
        <v>2</v>
      </c>
      <c r="J1107">
        <f t="shared" si="96"/>
        <v>0</v>
      </c>
      <c r="K1107" s="13">
        <v>1.5</v>
      </c>
      <c r="L1107" s="13">
        <v>1.2</v>
      </c>
      <c r="M1107" s="13">
        <v>1.5</v>
      </c>
      <c r="N1107" s="13">
        <v>1.1000000000000001</v>
      </c>
      <c r="O1107" s="13">
        <v>2</v>
      </c>
      <c r="P1107" s="13">
        <v>1.2</v>
      </c>
      <c r="Q1107">
        <v>1.05</v>
      </c>
      <c r="R1107">
        <f t="shared" si="97"/>
        <v>0.47095746419981693</v>
      </c>
    </row>
    <row r="1108" spans="1:18" customFormat="1" ht="17" hidden="1" x14ac:dyDescent="0.2">
      <c r="A1108" s="57" t="s">
        <v>195</v>
      </c>
      <c r="B1108" s="5">
        <v>9.2999999999999992E-3</v>
      </c>
      <c r="C1108" t="s">
        <v>90</v>
      </c>
      <c r="D1108" t="s">
        <v>56</v>
      </c>
      <c r="F1108" t="s">
        <v>86</v>
      </c>
      <c r="G1108" t="s">
        <v>196</v>
      </c>
      <c r="H1108" t="s">
        <v>260</v>
      </c>
      <c r="I1108" s="17">
        <v>2</v>
      </c>
      <c r="J1108">
        <f t="shared" si="96"/>
        <v>-4.6777408788229264</v>
      </c>
      <c r="K1108" s="13">
        <v>1.5</v>
      </c>
      <c r="L1108" s="13">
        <v>1.2</v>
      </c>
      <c r="M1108" s="13">
        <v>1.5</v>
      </c>
      <c r="N1108" s="13">
        <v>1.1000000000000001</v>
      </c>
      <c r="O1108" s="13">
        <v>2</v>
      </c>
      <c r="P1108" s="13">
        <v>1.2</v>
      </c>
      <c r="Q1108">
        <v>1.05</v>
      </c>
      <c r="R1108">
        <f t="shared" si="97"/>
        <v>0.47095746419981693</v>
      </c>
    </row>
    <row r="1109" spans="1:18" customFormat="1" ht="17" hidden="1" x14ac:dyDescent="0.2">
      <c r="A1109" s="57" t="s">
        <v>643</v>
      </c>
      <c r="B1109" s="5">
        <v>4.1000000000000002E-2</v>
      </c>
      <c r="C1109" t="s">
        <v>90</v>
      </c>
      <c r="D1109" t="s">
        <v>56</v>
      </c>
      <c r="F1109" t="s">
        <v>86</v>
      </c>
      <c r="G1109" t="s">
        <v>644</v>
      </c>
      <c r="H1109" t="s">
        <v>260</v>
      </c>
      <c r="I1109" s="17">
        <v>2</v>
      </c>
      <c r="J1109">
        <f t="shared" si="96"/>
        <v>-3.1941832122778293</v>
      </c>
      <c r="K1109" s="13">
        <v>1.5</v>
      </c>
      <c r="L1109" s="13">
        <v>1.2</v>
      </c>
      <c r="M1109" s="13">
        <v>1.5</v>
      </c>
      <c r="N1109" s="13">
        <v>1.1000000000000001</v>
      </c>
      <c r="O1109" s="13">
        <v>2</v>
      </c>
      <c r="P1109" s="13">
        <v>1.2</v>
      </c>
      <c r="Q1109">
        <v>1.05</v>
      </c>
      <c r="R1109">
        <f t="shared" si="97"/>
        <v>0.47095746419981693</v>
      </c>
    </row>
    <row r="1110" spans="1:18" customFormat="1" ht="17" hidden="1" x14ac:dyDescent="0.2">
      <c r="A1110" s="57" t="s">
        <v>261</v>
      </c>
      <c r="B1110" s="5">
        <v>1.2999999999999999E-2</v>
      </c>
      <c r="C1110" t="s">
        <v>90</v>
      </c>
      <c r="D1110" t="s">
        <v>56</v>
      </c>
      <c r="F1110" t="s">
        <v>86</v>
      </c>
      <c r="G1110" t="s">
        <v>262</v>
      </c>
      <c r="H1110" t="s">
        <v>260</v>
      </c>
      <c r="I1110" s="17">
        <v>2</v>
      </c>
      <c r="J1110">
        <f t="shared" si="96"/>
        <v>-4.3428059215206005</v>
      </c>
      <c r="K1110" s="13">
        <v>1.5</v>
      </c>
      <c r="L1110" s="13">
        <v>1.2</v>
      </c>
      <c r="M1110" s="13">
        <v>1.5</v>
      </c>
      <c r="N1110" s="13">
        <v>1.1000000000000001</v>
      </c>
      <c r="O1110" s="13">
        <v>2</v>
      </c>
      <c r="P1110" s="13">
        <v>1.2</v>
      </c>
      <c r="Q1110">
        <v>1.05</v>
      </c>
      <c r="R1110">
        <f t="shared" si="97"/>
        <v>0.47095746419981693</v>
      </c>
    </row>
    <row r="1111" spans="1:18" customFormat="1" hidden="1" x14ac:dyDescent="0.2">
      <c r="A1111" t="s">
        <v>263</v>
      </c>
      <c r="B1111" s="5">
        <v>0.03</v>
      </c>
      <c r="C1111" t="s">
        <v>90</v>
      </c>
      <c r="D1111" t="s">
        <v>65</v>
      </c>
      <c r="F1111" t="s">
        <v>86</v>
      </c>
      <c r="G1111" t="s">
        <v>199</v>
      </c>
      <c r="H1111" t="s">
        <v>264</v>
      </c>
      <c r="I1111" s="17">
        <v>2</v>
      </c>
      <c r="J1111">
        <f t="shared" si="96"/>
        <v>-3.5065578973199818</v>
      </c>
      <c r="K1111" s="13">
        <v>1.5</v>
      </c>
      <c r="L1111" s="13">
        <v>1.2</v>
      </c>
      <c r="M1111" s="13">
        <v>1.5</v>
      </c>
      <c r="N1111" s="13">
        <v>1.1000000000000001</v>
      </c>
      <c r="O1111" s="13">
        <v>2</v>
      </c>
      <c r="P1111" s="13">
        <v>1.2</v>
      </c>
      <c r="Q1111">
        <v>1.05</v>
      </c>
      <c r="R1111">
        <f t="shared" si="97"/>
        <v>0.47095746419981693</v>
      </c>
    </row>
    <row r="1112" spans="1:18" customFormat="1" ht="17" hidden="1" x14ac:dyDescent="0.2">
      <c r="A1112" s="57" t="s">
        <v>91</v>
      </c>
      <c r="B1112" s="5">
        <v>1.1000000000000001</v>
      </c>
      <c r="C1112" t="s">
        <v>236</v>
      </c>
      <c r="D1112" t="s">
        <v>92</v>
      </c>
      <c r="F1112" t="s">
        <v>86</v>
      </c>
      <c r="G1112" t="s">
        <v>93</v>
      </c>
      <c r="H1112" t="s">
        <v>265</v>
      </c>
      <c r="I1112" s="17">
        <v>2</v>
      </c>
      <c r="J1112">
        <f t="shared" si="96"/>
        <v>9.5310179804324935E-2</v>
      </c>
      <c r="K1112" s="13">
        <v>1.5</v>
      </c>
      <c r="L1112" s="13">
        <v>1.2</v>
      </c>
      <c r="M1112" s="13">
        <v>1.5</v>
      </c>
      <c r="N1112" s="13">
        <v>1.1000000000000001</v>
      </c>
      <c r="O1112" s="13">
        <v>2</v>
      </c>
      <c r="P1112" s="13">
        <v>1.2</v>
      </c>
      <c r="Q1112">
        <v>1.05</v>
      </c>
      <c r="R1112">
        <f t="shared" si="97"/>
        <v>0.47095746419981693</v>
      </c>
    </row>
    <row r="1113" spans="1:18" customFormat="1" hidden="1" x14ac:dyDescent="0.2">
      <c r="A1113" t="s">
        <v>237</v>
      </c>
      <c r="B1113" s="5">
        <v>4.0000000000000001E-10</v>
      </c>
      <c r="C1113" t="s">
        <v>90</v>
      </c>
      <c r="D1113" t="s">
        <v>55</v>
      </c>
      <c r="F1113" t="s">
        <v>86</v>
      </c>
      <c r="G1113" t="s">
        <v>238</v>
      </c>
      <c r="I1113" s="17">
        <v>2</v>
      </c>
      <c r="J1113">
        <f t="shared" si="96"/>
        <v>-21.639556568820566</v>
      </c>
      <c r="K1113" s="13">
        <v>1.5</v>
      </c>
      <c r="L1113" s="13">
        <v>1.2</v>
      </c>
      <c r="M1113" s="13">
        <v>1.5</v>
      </c>
      <c r="N1113" s="13">
        <v>1.1000000000000001</v>
      </c>
      <c r="O1113" s="13">
        <v>2</v>
      </c>
      <c r="P1113" s="13">
        <v>1.2</v>
      </c>
      <c r="Q1113">
        <v>3</v>
      </c>
      <c r="R1113">
        <f t="shared" si="97"/>
        <v>0.72314801614797197</v>
      </c>
    </row>
    <row r="1114" spans="1:18" customFormat="1" ht="17" hidden="1" x14ac:dyDescent="0.2">
      <c r="A1114" s="57" t="s">
        <v>180</v>
      </c>
      <c r="B1114" s="5">
        <v>0.83</v>
      </c>
      <c r="C1114" t="s">
        <v>96</v>
      </c>
      <c r="D1114" t="s">
        <v>123</v>
      </c>
      <c r="F1114" t="s">
        <v>86</v>
      </c>
      <c r="G1114" t="s">
        <v>181</v>
      </c>
      <c r="H1114" t="s">
        <v>239</v>
      </c>
      <c r="I1114" s="17">
        <v>2</v>
      </c>
      <c r="J1114">
        <f t="shared" si="96"/>
        <v>-0.18632957819149348</v>
      </c>
      <c r="K1114" s="13">
        <v>1.5</v>
      </c>
      <c r="L1114" s="13">
        <v>1.2</v>
      </c>
      <c r="M1114" s="13">
        <v>1.5</v>
      </c>
      <c r="N1114" s="13">
        <v>1.1000000000000001</v>
      </c>
      <c r="O1114" s="13">
        <v>2</v>
      </c>
      <c r="P1114" s="13">
        <v>1.2</v>
      </c>
      <c r="Q1114">
        <v>2</v>
      </c>
      <c r="R1114">
        <f t="shared" si="97"/>
        <v>0.58422518478336083</v>
      </c>
    </row>
    <row r="1115" spans="1:18" customFormat="1" hidden="1" x14ac:dyDescent="0.2">
      <c r="A1115" t="s">
        <v>240</v>
      </c>
      <c r="B1115" s="5">
        <v>0.21</v>
      </c>
      <c r="C1115" t="s">
        <v>90</v>
      </c>
      <c r="D1115" t="s">
        <v>123</v>
      </c>
      <c r="F1115" t="s">
        <v>86</v>
      </c>
      <c r="G1115" t="s">
        <v>241</v>
      </c>
      <c r="H1115" t="s">
        <v>242</v>
      </c>
      <c r="I1115" s="17">
        <v>2</v>
      </c>
      <c r="J1115">
        <f t="shared" si="96"/>
        <v>-1.5606477482646683</v>
      </c>
      <c r="K1115" s="13">
        <v>1.5</v>
      </c>
      <c r="L1115" s="13">
        <v>1.2</v>
      </c>
      <c r="M1115" s="13">
        <v>1.5</v>
      </c>
      <c r="N1115" s="13">
        <v>1.1000000000000001</v>
      </c>
      <c r="O1115" s="13">
        <v>2</v>
      </c>
      <c r="P1115" s="13">
        <v>1.2</v>
      </c>
      <c r="Q1115">
        <v>2</v>
      </c>
      <c r="R1115">
        <f t="shared" si="97"/>
        <v>0.58422518478336083</v>
      </c>
    </row>
    <row r="1116" spans="1:18" customFormat="1" ht="17" hidden="1" x14ac:dyDescent="0.2">
      <c r="A1116" s="57" t="s">
        <v>7</v>
      </c>
      <c r="B1116" s="5">
        <v>5.5000000000000003E-4</v>
      </c>
      <c r="D1116" t="s">
        <v>56</v>
      </c>
      <c r="E1116" t="s">
        <v>100</v>
      </c>
      <c r="F1116" t="s">
        <v>99</v>
      </c>
      <c r="I1116" s="17">
        <v>2</v>
      </c>
      <c r="J1116">
        <f t="shared" si="96"/>
        <v>-7.5055922797377574</v>
      </c>
      <c r="K1116" s="13">
        <v>1.5</v>
      </c>
      <c r="L1116" s="13">
        <v>1.2</v>
      </c>
      <c r="M1116" s="13">
        <v>1.5</v>
      </c>
      <c r="N1116" s="13">
        <v>1.1000000000000001</v>
      </c>
      <c r="O1116" s="13">
        <v>2</v>
      </c>
      <c r="P1116" s="13">
        <v>1.2</v>
      </c>
      <c r="Q1116" s="13">
        <v>1.5</v>
      </c>
      <c r="R1116">
        <f t="shared" si="97"/>
        <v>0.51215847306170115</v>
      </c>
    </row>
    <row r="1117" spans="1:18" customFormat="1" hidden="1" x14ac:dyDescent="0.2">
      <c r="A1117" t="s">
        <v>247</v>
      </c>
      <c r="B1117" s="5">
        <v>3.2000000000000001E-2</v>
      </c>
      <c r="C1117" t="s">
        <v>64</v>
      </c>
      <c r="D1117" t="s">
        <v>56</v>
      </c>
      <c r="F1117" t="s">
        <v>86</v>
      </c>
      <c r="G1117" t="s">
        <v>248</v>
      </c>
      <c r="I1117" s="17">
        <v>2</v>
      </c>
      <c r="J1117">
        <f t="shared" si="96"/>
        <v>-3.4420193761824103</v>
      </c>
      <c r="K1117" s="13">
        <v>1.5</v>
      </c>
      <c r="L1117" s="13">
        <v>1.2</v>
      </c>
      <c r="M1117" s="13">
        <v>1.5</v>
      </c>
      <c r="N1117" s="13">
        <v>1.1000000000000001</v>
      </c>
      <c r="O1117" s="13">
        <v>2</v>
      </c>
      <c r="P1117" s="13">
        <v>1.2</v>
      </c>
      <c r="Q1117">
        <v>1.05</v>
      </c>
      <c r="R1117">
        <f t="shared" si="97"/>
        <v>0.47095746419981693</v>
      </c>
    </row>
    <row r="1118" spans="1:18" hidden="1" x14ac:dyDescent="0.2">
      <c r="Q1118" s="17"/>
    </row>
    <row r="1119" spans="1:18" hidden="1" x14ac:dyDescent="0.2">
      <c r="A1119" s="18" t="s">
        <v>50</v>
      </c>
      <c r="B1119" s="18" t="s">
        <v>367</v>
      </c>
      <c r="Q1119" s="17"/>
    </row>
    <row r="1120" spans="1:18" hidden="1" x14ac:dyDescent="0.2">
      <c r="A1120" s="17" t="s">
        <v>53</v>
      </c>
      <c r="B1120" s="17">
        <v>1</v>
      </c>
      <c r="Q1120" s="17"/>
    </row>
    <row r="1121" spans="1:19" hidden="1" x14ac:dyDescent="0.2">
      <c r="A1121" s="17" t="s">
        <v>54</v>
      </c>
      <c r="B1121" s="17" t="s">
        <v>368</v>
      </c>
      <c r="Q1121" s="17"/>
    </row>
    <row r="1122" spans="1:19" hidden="1" x14ac:dyDescent="0.2">
      <c r="A1122" s="17" t="s">
        <v>61</v>
      </c>
      <c r="B1122" s="17" t="s">
        <v>121</v>
      </c>
      <c r="Q1122" s="17"/>
    </row>
    <row r="1123" spans="1:19" hidden="1" x14ac:dyDescent="0.2">
      <c r="A1123" s="17" t="s">
        <v>55</v>
      </c>
      <c r="B1123" s="17" t="s">
        <v>56</v>
      </c>
      <c r="Q1123" s="17"/>
    </row>
    <row r="1124" spans="1:19" hidden="1" x14ac:dyDescent="0.2">
      <c r="A1124" s="17" t="s">
        <v>52</v>
      </c>
      <c r="B1124" s="17" t="s">
        <v>64</v>
      </c>
      <c r="Q1124" s="17"/>
    </row>
    <row r="1125" spans="1:19" hidden="1" x14ac:dyDescent="0.2">
      <c r="A1125" s="17" t="s">
        <v>51</v>
      </c>
      <c r="B1125" s="17" t="s">
        <v>375</v>
      </c>
      <c r="Q1125" s="17"/>
    </row>
    <row r="1126" spans="1:19" hidden="1" x14ac:dyDescent="0.2">
      <c r="A1126" s="17" t="s">
        <v>63</v>
      </c>
      <c r="B1126" s="17" t="s">
        <v>366</v>
      </c>
      <c r="Q1126" s="17"/>
    </row>
    <row r="1127" spans="1:19" hidden="1" x14ac:dyDescent="0.2">
      <c r="A1127" s="18" t="s">
        <v>57</v>
      </c>
      <c r="Q1127" s="17"/>
    </row>
    <row r="1128" spans="1:19" hidden="1" x14ac:dyDescent="0.2">
      <c r="A1128" s="18" t="s">
        <v>58</v>
      </c>
      <c r="B1128" s="18" t="s">
        <v>59</v>
      </c>
      <c r="C1128" s="18" t="s">
        <v>52</v>
      </c>
      <c r="D1128" s="18" t="s">
        <v>55</v>
      </c>
      <c r="E1128" s="18" t="s">
        <v>60</v>
      </c>
      <c r="F1128" s="18" t="s">
        <v>61</v>
      </c>
      <c r="G1128" s="18" t="s">
        <v>54</v>
      </c>
      <c r="H1128" s="18" t="s">
        <v>51</v>
      </c>
      <c r="I1128" s="18" t="s">
        <v>221</v>
      </c>
      <c r="J1128" s="2" t="s">
        <v>379</v>
      </c>
      <c r="K1128" s="62" t="s">
        <v>1059</v>
      </c>
      <c r="L1128" s="62" t="s">
        <v>1060</v>
      </c>
      <c r="M1128" s="62" t="s">
        <v>1061</v>
      </c>
      <c r="N1128" s="62" t="s">
        <v>1062</v>
      </c>
      <c r="O1128" s="62" t="s">
        <v>1063</v>
      </c>
      <c r="P1128" s="62" t="s">
        <v>1064</v>
      </c>
      <c r="Q1128" s="2" t="s">
        <v>1065</v>
      </c>
      <c r="R1128" s="2" t="s">
        <v>380</v>
      </c>
      <c r="S1128" s="18" t="s">
        <v>1128</v>
      </c>
    </row>
    <row r="1129" spans="1:19" hidden="1" x14ac:dyDescent="0.2">
      <c r="A1129" s="17" t="s">
        <v>367</v>
      </c>
      <c r="B1129" s="17">
        <v>1</v>
      </c>
      <c r="C1129" s="17" t="s">
        <v>64</v>
      </c>
      <c r="D1129" s="17" t="s">
        <v>56</v>
      </c>
      <c r="F1129" s="17" t="s">
        <v>62</v>
      </c>
      <c r="G1129" s="17" t="s">
        <v>368</v>
      </c>
      <c r="Q1129" s="17"/>
    </row>
    <row r="1130" spans="1:19" hidden="1" x14ac:dyDescent="0.2">
      <c r="A1130" s="17" t="s">
        <v>384</v>
      </c>
      <c r="B1130" s="17">
        <f>0.000000283/0.717</f>
        <v>3.9470013947001396E-7</v>
      </c>
      <c r="C1130" s="17" t="s">
        <v>90</v>
      </c>
      <c r="D1130" s="17" t="s">
        <v>55</v>
      </c>
      <c r="F1130" s="17" t="s">
        <v>86</v>
      </c>
      <c r="G1130" s="17" t="s">
        <v>376</v>
      </c>
      <c r="I1130" s="17">
        <v>2</v>
      </c>
      <c r="J1130">
        <f t="shared" ref="J1130:J1133" si="98">LN(B1130)</f>
        <v>-14.745139500920656</v>
      </c>
      <c r="K1130" s="13">
        <v>1.05</v>
      </c>
      <c r="L1130" s="13">
        <v>1.2</v>
      </c>
      <c r="M1130" s="13">
        <v>1.03</v>
      </c>
      <c r="N1130" s="13">
        <v>1.01</v>
      </c>
      <c r="O1130" s="13">
        <v>1.2</v>
      </c>
      <c r="P1130" s="13">
        <v>1.2</v>
      </c>
      <c r="Q1130">
        <v>3</v>
      </c>
      <c r="R1130">
        <f t="shared" ref="R1130:R1133" si="99">LN(SQRT(EXP(
SQRT(
+POWER(LN(K1130),2)
+POWER(LN(L1130),2)
+POWER(LN(M1130),2)
+POWER(LN(N1130),2)
+POWER(LN(O1130),2)
+POWER(LN(P1130),2)
+POWER(LN(Q1130),2)
)
)))</f>
        <v>0.57228175382009561</v>
      </c>
    </row>
    <row r="1131" spans="1:19" hidden="1" x14ac:dyDescent="0.2">
      <c r="A1131" s="17" t="s">
        <v>433</v>
      </c>
      <c r="B1131" s="17">
        <f>1.972/0.717</f>
        <v>2.7503486750348678</v>
      </c>
      <c r="C1131" s="17" t="s">
        <v>64</v>
      </c>
      <c r="D1131" s="17" t="s">
        <v>56</v>
      </c>
      <c r="F1131" s="17" t="s">
        <v>86</v>
      </c>
      <c r="G1131" s="17" t="s">
        <v>377</v>
      </c>
      <c r="I1131" s="17">
        <v>2</v>
      </c>
      <c r="J1131">
        <f t="shared" si="98"/>
        <v>1.0117276945629605</v>
      </c>
      <c r="K1131" s="13">
        <v>1.05</v>
      </c>
      <c r="L1131" s="13">
        <v>1.2</v>
      </c>
      <c r="M1131" s="13">
        <v>1.03</v>
      </c>
      <c r="N1131" s="13">
        <v>1.01</v>
      </c>
      <c r="O1131" s="13">
        <v>1.2</v>
      </c>
      <c r="P1131" s="13">
        <v>1.2</v>
      </c>
      <c r="Q1131">
        <v>1.05</v>
      </c>
      <c r="R1131">
        <f t="shared" si="99"/>
        <v>0.1623708273741902</v>
      </c>
      <c r="S1131" s="34"/>
    </row>
    <row r="1132" spans="1:19" hidden="1" x14ac:dyDescent="0.2">
      <c r="A1132" s="25" t="s">
        <v>813</v>
      </c>
      <c r="B1132" s="17">
        <f>(4*0.0893)/0.717</f>
        <v>0.49818688981868903</v>
      </c>
      <c r="C1132" s="17" t="s">
        <v>64</v>
      </c>
      <c r="D1132" s="17" t="s">
        <v>56</v>
      </c>
      <c r="F1132" s="17" t="s">
        <v>86</v>
      </c>
      <c r="G1132" s="17" t="s">
        <v>814</v>
      </c>
      <c r="I1132" s="17">
        <v>2</v>
      </c>
      <c r="J1132">
        <f t="shared" si="98"/>
        <v>-0.69677999159727633</v>
      </c>
      <c r="K1132" s="13">
        <v>1.05</v>
      </c>
      <c r="L1132" s="13">
        <v>1.2</v>
      </c>
      <c r="M1132" s="13">
        <v>1.03</v>
      </c>
      <c r="N1132" s="13">
        <v>1.01</v>
      </c>
      <c r="O1132" s="13">
        <v>1.2</v>
      </c>
      <c r="P1132" s="13">
        <v>1.2</v>
      </c>
      <c r="Q1132">
        <v>1.05</v>
      </c>
      <c r="R1132">
        <f t="shared" si="99"/>
        <v>0.1623708273741902</v>
      </c>
      <c r="S1132" s="34"/>
    </row>
    <row r="1133" spans="1:19" x14ac:dyDescent="0.2">
      <c r="A1133" s="17" t="s">
        <v>1299</v>
      </c>
      <c r="B1133" s="17">
        <f>0.00006/0.717</f>
        <v>8.3682008368200843E-5</v>
      </c>
      <c r="C1133" s="17" t="s">
        <v>90</v>
      </c>
      <c r="D1133" s="17" t="s">
        <v>56</v>
      </c>
      <c r="F1133" s="17" t="s">
        <v>86</v>
      </c>
      <c r="G1133" s="17" t="s">
        <v>1300</v>
      </c>
      <c r="I1133" s="17">
        <v>2</v>
      </c>
      <c r="J1133">
        <f t="shared" si="98"/>
        <v>-9.3884865573596574</v>
      </c>
      <c r="K1133" s="13">
        <v>1.05</v>
      </c>
      <c r="L1133" s="13">
        <v>1.2</v>
      </c>
      <c r="M1133" s="13">
        <v>1.03</v>
      </c>
      <c r="N1133" s="13">
        <v>1.01</v>
      </c>
      <c r="O1133" s="13">
        <v>1.2</v>
      </c>
      <c r="P1133" s="13">
        <v>1.2</v>
      </c>
      <c r="Q1133">
        <v>1.05</v>
      </c>
      <c r="R1133">
        <f t="shared" si="99"/>
        <v>0.1623708273741902</v>
      </c>
    </row>
    <row r="1134" spans="1:19" hidden="1" x14ac:dyDescent="0.2">
      <c r="B1134" s="25"/>
      <c r="Q1134" s="17"/>
    </row>
    <row r="1135" spans="1:19" hidden="1" x14ac:dyDescent="0.2">
      <c r="A1135" s="18" t="s">
        <v>50</v>
      </c>
      <c r="B1135" s="18" t="s">
        <v>387</v>
      </c>
      <c r="Q1135" s="17"/>
    </row>
    <row r="1136" spans="1:19" hidden="1" x14ac:dyDescent="0.2">
      <c r="A1136" s="17" t="s">
        <v>53</v>
      </c>
      <c r="B1136" s="17">
        <v>1</v>
      </c>
      <c r="Q1136" s="17"/>
    </row>
    <row r="1137" spans="1:19" hidden="1" x14ac:dyDescent="0.2">
      <c r="A1137" s="17" t="s">
        <v>54</v>
      </c>
      <c r="B1137" s="17" t="s">
        <v>368</v>
      </c>
      <c r="Q1137" s="17"/>
    </row>
    <row r="1138" spans="1:19" hidden="1" x14ac:dyDescent="0.2">
      <c r="A1138" s="17" t="s">
        <v>61</v>
      </c>
      <c r="B1138" s="17" t="s">
        <v>121</v>
      </c>
      <c r="Q1138" s="17"/>
    </row>
    <row r="1139" spans="1:19" hidden="1" x14ac:dyDescent="0.2">
      <c r="A1139" s="17" t="s">
        <v>55</v>
      </c>
      <c r="B1139" s="17" t="s">
        <v>56</v>
      </c>
      <c r="Q1139" s="17"/>
    </row>
    <row r="1140" spans="1:19" hidden="1" x14ac:dyDescent="0.2">
      <c r="A1140" s="17" t="s">
        <v>52</v>
      </c>
      <c r="B1140" s="17" t="s">
        <v>64</v>
      </c>
      <c r="Q1140" s="17"/>
    </row>
    <row r="1141" spans="1:19" hidden="1" x14ac:dyDescent="0.2">
      <c r="A1141" s="17" t="s">
        <v>51</v>
      </c>
      <c r="B1141" s="17" t="s">
        <v>375</v>
      </c>
      <c r="Q1141" s="17"/>
    </row>
    <row r="1142" spans="1:19" hidden="1" x14ac:dyDescent="0.2">
      <c r="A1142" s="17" t="s">
        <v>63</v>
      </c>
      <c r="B1142" s="17" t="s">
        <v>366</v>
      </c>
      <c r="Q1142" s="17"/>
    </row>
    <row r="1143" spans="1:19" hidden="1" x14ac:dyDescent="0.2">
      <c r="A1143" s="18" t="s">
        <v>57</v>
      </c>
      <c r="Q1143" s="17"/>
    </row>
    <row r="1144" spans="1:19" hidden="1" x14ac:dyDescent="0.2">
      <c r="A1144" s="18" t="s">
        <v>58</v>
      </c>
      <c r="B1144" s="18" t="s">
        <v>59</v>
      </c>
      <c r="C1144" s="18" t="s">
        <v>52</v>
      </c>
      <c r="D1144" s="18" t="s">
        <v>55</v>
      </c>
      <c r="E1144" s="18" t="s">
        <v>60</v>
      </c>
      <c r="F1144" s="18" t="s">
        <v>61</v>
      </c>
      <c r="G1144" s="18" t="s">
        <v>54</v>
      </c>
      <c r="H1144" s="18" t="s">
        <v>51</v>
      </c>
      <c r="I1144" s="18" t="s">
        <v>221</v>
      </c>
      <c r="J1144" s="2" t="s">
        <v>379</v>
      </c>
      <c r="K1144" s="62" t="s">
        <v>1059</v>
      </c>
      <c r="L1144" s="62" t="s">
        <v>1060</v>
      </c>
      <c r="M1144" s="62" t="s">
        <v>1061</v>
      </c>
      <c r="N1144" s="62" t="s">
        <v>1062</v>
      </c>
      <c r="O1144" s="62" t="s">
        <v>1063</v>
      </c>
      <c r="P1144" s="62" t="s">
        <v>1064</v>
      </c>
      <c r="Q1144" s="2" t="s">
        <v>1065</v>
      </c>
      <c r="R1144" s="2" t="s">
        <v>380</v>
      </c>
      <c r="S1144" s="18" t="s">
        <v>1128</v>
      </c>
    </row>
    <row r="1145" spans="1:19" hidden="1" x14ac:dyDescent="0.2">
      <c r="A1145" s="17" t="s">
        <v>387</v>
      </c>
      <c r="B1145" s="17">
        <v>1</v>
      </c>
      <c r="C1145" s="17" t="s">
        <v>64</v>
      </c>
      <c r="D1145" s="17" t="s">
        <v>56</v>
      </c>
      <c r="F1145" s="17" t="s">
        <v>62</v>
      </c>
      <c r="G1145" s="17" t="s">
        <v>368</v>
      </c>
      <c r="Q1145" s="17"/>
    </row>
    <row r="1146" spans="1:19" hidden="1" x14ac:dyDescent="0.2">
      <c r="A1146" s="17" t="s">
        <v>384</v>
      </c>
      <c r="B1146" s="17">
        <f>0.000000283/0.717</f>
        <v>3.9470013947001396E-7</v>
      </c>
      <c r="C1146" s="17" t="s">
        <v>90</v>
      </c>
      <c r="D1146" s="17" t="s">
        <v>55</v>
      </c>
      <c r="F1146" s="17" t="s">
        <v>86</v>
      </c>
      <c r="G1146" s="17" t="s">
        <v>376</v>
      </c>
      <c r="I1146" s="17">
        <v>2</v>
      </c>
      <c r="J1146">
        <f t="shared" ref="J1146:J1149" si="100">LN(B1146)</f>
        <v>-14.745139500920656</v>
      </c>
      <c r="K1146" s="13">
        <v>1.05</v>
      </c>
      <c r="L1146" s="13">
        <v>1.2</v>
      </c>
      <c r="M1146" s="13">
        <v>1.03</v>
      </c>
      <c r="N1146" s="13">
        <v>1.01</v>
      </c>
      <c r="O1146" s="13">
        <v>1.2</v>
      </c>
      <c r="P1146" s="13">
        <v>1.2</v>
      </c>
      <c r="Q1146">
        <v>3</v>
      </c>
      <c r="R1146">
        <f t="shared" ref="R1146:R1149" si="101">LN(SQRT(EXP(
SQRT(
+POWER(LN(K1146),2)
+POWER(LN(L1146),2)
+POWER(LN(M1146),2)
+POWER(LN(N1146),2)
+POWER(LN(O1146),2)
+POWER(LN(P1146),2)
+POWER(LN(Q1146),2)
)
)))</f>
        <v>0.57228175382009561</v>
      </c>
    </row>
    <row r="1147" spans="1:19" hidden="1" x14ac:dyDescent="0.2">
      <c r="A1147" s="17" t="s">
        <v>388</v>
      </c>
      <c r="B1147" s="17">
        <f>1.972/0.717</f>
        <v>2.7503486750348678</v>
      </c>
      <c r="C1147" s="17" t="s">
        <v>64</v>
      </c>
      <c r="D1147" s="17" t="s">
        <v>56</v>
      </c>
      <c r="F1147" s="17" t="s">
        <v>86</v>
      </c>
      <c r="G1147" s="17" t="s">
        <v>389</v>
      </c>
      <c r="I1147" s="17">
        <v>2</v>
      </c>
      <c r="J1147">
        <f t="shared" si="100"/>
        <v>1.0117276945629605</v>
      </c>
      <c r="K1147" s="13">
        <v>1.05</v>
      </c>
      <c r="L1147" s="13">
        <v>1.2</v>
      </c>
      <c r="M1147" s="13">
        <v>1.03</v>
      </c>
      <c r="N1147" s="13">
        <v>1.01</v>
      </c>
      <c r="O1147" s="13">
        <v>1.2</v>
      </c>
      <c r="P1147" s="13">
        <v>1.2</v>
      </c>
      <c r="Q1147">
        <v>1.05</v>
      </c>
      <c r="R1147">
        <f t="shared" si="101"/>
        <v>0.1623708273741902</v>
      </c>
      <c r="S1147" s="34"/>
    </row>
    <row r="1148" spans="1:19" hidden="1" x14ac:dyDescent="0.2">
      <c r="A1148" s="25" t="s">
        <v>813</v>
      </c>
      <c r="B1148" s="17">
        <f>(4*0.0893)/0.717</f>
        <v>0.49818688981868903</v>
      </c>
      <c r="C1148" s="17" t="s">
        <v>64</v>
      </c>
      <c r="D1148" s="17" t="s">
        <v>56</v>
      </c>
      <c r="F1148" s="17" t="s">
        <v>86</v>
      </c>
      <c r="G1148" s="17" t="s">
        <v>814</v>
      </c>
      <c r="I1148" s="17">
        <v>2</v>
      </c>
      <c r="J1148">
        <f t="shared" si="100"/>
        <v>-0.69677999159727633</v>
      </c>
      <c r="K1148" s="13">
        <v>1.05</v>
      </c>
      <c r="L1148" s="13">
        <v>1.2</v>
      </c>
      <c r="M1148" s="13">
        <v>1.03</v>
      </c>
      <c r="N1148" s="13">
        <v>1.01</v>
      </c>
      <c r="O1148" s="13">
        <v>1.2</v>
      </c>
      <c r="P1148" s="13">
        <v>1.2</v>
      </c>
      <c r="Q1148">
        <v>1.05</v>
      </c>
      <c r="R1148">
        <f t="shared" si="101"/>
        <v>0.1623708273741902</v>
      </c>
      <c r="S1148" s="34"/>
    </row>
    <row r="1149" spans="1:19" x14ac:dyDescent="0.2">
      <c r="A1149" s="17" t="s">
        <v>1299</v>
      </c>
      <c r="B1149" s="17">
        <f>0.00006/0.717</f>
        <v>8.3682008368200843E-5</v>
      </c>
      <c r="C1149" s="17" t="s">
        <v>90</v>
      </c>
      <c r="D1149" s="17" t="s">
        <v>56</v>
      </c>
      <c r="F1149" s="17" t="s">
        <v>86</v>
      </c>
      <c r="G1149" s="17" t="s">
        <v>1300</v>
      </c>
      <c r="I1149" s="17">
        <v>2</v>
      </c>
      <c r="J1149">
        <f t="shared" si="100"/>
        <v>-9.3884865573596574</v>
      </c>
      <c r="K1149" s="13">
        <v>1.05</v>
      </c>
      <c r="L1149" s="13">
        <v>1.2</v>
      </c>
      <c r="M1149" s="13">
        <v>1.03</v>
      </c>
      <c r="N1149" s="13">
        <v>1.01</v>
      </c>
      <c r="O1149" s="13">
        <v>1.2</v>
      </c>
      <c r="P1149" s="13">
        <v>1.2</v>
      </c>
      <c r="Q1149">
        <v>1.05</v>
      </c>
      <c r="R1149">
        <f t="shared" si="101"/>
        <v>0.1623708273741902</v>
      </c>
    </row>
    <row r="1150" spans="1:19" hidden="1" x14ac:dyDescent="0.2">
      <c r="Q1150" s="17"/>
    </row>
    <row r="1151" spans="1:19" hidden="1" x14ac:dyDescent="0.2">
      <c r="A1151" s="18" t="s">
        <v>50</v>
      </c>
      <c r="B1151" s="18" t="s">
        <v>805</v>
      </c>
      <c r="Q1151" s="17"/>
    </row>
    <row r="1152" spans="1:19" hidden="1" x14ac:dyDescent="0.2">
      <c r="A1152" s="17" t="s">
        <v>53</v>
      </c>
      <c r="B1152" s="17">
        <v>1</v>
      </c>
      <c r="Q1152" s="17"/>
    </row>
    <row r="1153" spans="1:19" hidden="1" x14ac:dyDescent="0.2">
      <c r="A1153" s="17" t="s">
        <v>54</v>
      </c>
      <c r="B1153" s="17" t="s">
        <v>368</v>
      </c>
      <c r="Q1153" s="17"/>
    </row>
    <row r="1154" spans="1:19" hidden="1" x14ac:dyDescent="0.2">
      <c r="A1154" s="17" t="s">
        <v>61</v>
      </c>
      <c r="B1154" s="17" t="s">
        <v>121</v>
      </c>
      <c r="Q1154" s="17"/>
    </row>
    <row r="1155" spans="1:19" hidden="1" x14ac:dyDescent="0.2">
      <c r="A1155" s="17" t="s">
        <v>55</v>
      </c>
      <c r="B1155" s="17" t="s">
        <v>56</v>
      </c>
      <c r="Q1155" s="17"/>
    </row>
    <row r="1156" spans="1:19" hidden="1" x14ac:dyDescent="0.2">
      <c r="A1156" s="17" t="s">
        <v>52</v>
      </c>
      <c r="B1156" s="17" t="s">
        <v>64</v>
      </c>
      <c r="Q1156" s="17"/>
    </row>
    <row r="1157" spans="1:19" hidden="1" x14ac:dyDescent="0.2">
      <c r="A1157" s="17" t="s">
        <v>51</v>
      </c>
      <c r="B1157" s="17" t="s">
        <v>375</v>
      </c>
      <c r="Q1157" s="17"/>
    </row>
    <row r="1158" spans="1:19" hidden="1" x14ac:dyDescent="0.2">
      <c r="A1158" s="17" t="s">
        <v>63</v>
      </c>
      <c r="B1158" s="17" t="s">
        <v>366</v>
      </c>
      <c r="Q1158" s="17"/>
    </row>
    <row r="1159" spans="1:19" hidden="1" x14ac:dyDescent="0.2">
      <c r="A1159" s="18" t="s">
        <v>57</v>
      </c>
      <c r="Q1159" s="17"/>
    </row>
    <row r="1160" spans="1:19" hidden="1" x14ac:dyDescent="0.2">
      <c r="A1160" s="18" t="s">
        <v>58</v>
      </c>
      <c r="B1160" s="18" t="s">
        <v>59</v>
      </c>
      <c r="C1160" s="18" t="s">
        <v>52</v>
      </c>
      <c r="D1160" s="18" t="s">
        <v>55</v>
      </c>
      <c r="E1160" s="18" t="s">
        <v>60</v>
      </c>
      <c r="F1160" s="18" t="s">
        <v>61</v>
      </c>
      <c r="G1160" s="18" t="s">
        <v>54</v>
      </c>
      <c r="H1160" s="18" t="s">
        <v>51</v>
      </c>
      <c r="I1160" s="18" t="s">
        <v>221</v>
      </c>
      <c r="J1160" s="2" t="s">
        <v>379</v>
      </c>
      <c r="K1160" s="62" t="s">
        <v>1059</v>
      </c>
      <c r="L1160" s="62" t="s">
        <v>1060</v>
      </c>
      <c r="M1160" s="62" t="s">
        <v>1061</v>
      </c>
      <c r="N1160" s="62" t="s">
        <v>1062</v>
      </c>
      <c r="O1160" s="62" t="s">
        <v>1063</v>
      </c>
      <c r="P1160" s="62" t="s">
        <v>1064</v>
      </c>
      <c r="Q1160" s="2" t="s">
        <v>1065</v>
      </c>
      <c r="R1160" s="2" t="s">
        <v>380</v>
      </c>
      <c r="S1160" s="18" t="s">
        <v>1128</v>
      </c>
    </row>
    <row r="1161" spans="1:19" hidden="1" x14ac:dyDescent="0.2">
      <c r="A1161" s="17" t="str">
        <f>B1151</f>
        <v>methane, from electrochemical methanation, with carbon from municipal waste incineration plant</v>
      </c>
      <c r="B1161" s="17">
        <v>1</v>
      </c>
      <c r="C1161" s="17" t="s">
        <v>64</v>
      </c>
      <c r="D1161" s="17" t="s">
        <v>56</v>
      </c>
      <c r="F1161" s="17" t="s">
        <v>62</v>
      </c>
      <c r="G1161" s="17" t="s">
        <v>368</v>
      </c>
      <c r="Q1161" s="17"/>
    </row>
    <row r="1162" spans="1:19" hidden="1" x14ac:dyDescent="0.2">
      <c r="A1162" s="17" t="s">
        <v>384</v>
      </c>
      <c r="B1162" s="17">
        <f>0.000000283/0.717</f>
        <v>3.9470013947001396E-7</v>
      </c>
      <c r="C1162" s="17" t="s">
        <v>90</v>
      </c>
      <c r="D1162" s="17" t="s">
        <v>55</v>
      </c>
      <c r="F1162" s="17" t="s">
        <v>86</v>
      </c>
      <c r="G1162" s="17" t="s">
        <v>376</v>
      </c>
      <c r="I1162" s="17">
        <v>2</v>
      </c>
      <c r="J1162">
        <f t="shared" ref="J1162:J1165" si="102">LN(B1162)</f>
        <v>-14.745139500920656</v>
      </c>
      <c r="K1162" s="13">
        <v>1.05</v>
      </c>
      <c r="L1162" s="13">
        <v>1.2</v>
      </c>
      <c r="M1162" s="13">
        <v>1.03</v>
      </c>
      <c r="N1162" s="13">
        <v>1.01</v>
      </c>
      <c r="O1162" s="13">
        <v>1.2</v>
      </c>
      <c r="P1162" s="13">
        <v>1.2</v>
      </c>
      <c r="Q1162">
        <v>3</v>
      </c>
      <c r="R1162">
        <f t="shared" ref="R1162:R1165" si="103">LN(SQRT(EXP(
SQRT(
+POWER(LN(K1162),2)
+POWER(LN(L1162),2)
+POWER(LN(M1162),2)
+POWER(LN(N1162),2)
+POWER(LN(O1162),2)
+POWER(LN(P1162),2)
+POWER(LN(Q1162),2)
)
)))</f>
        <v>0.57228175382009561</v>
      </c>
    </row>
    <row r="1163" spans="1:19" hidden="1" x14ac:dyDescent="0.2">
      <c r="A1163" s="17" t="s">
        <v>803</v>
      </c>
      <c r="B1163" s="17">
        <f>1.972/0.717</f>
        <v>2.7503486750348678</v>
      </c>
      <c r="C1163" s="17" t="s">
        <v>64</v>
      </c>
      <c r="D1163" s="17" t="s">
        <v>56</v>
      </c>
      <c r="F1163" s="17" t="s">
        <v>86</v>
      </c>
      <c r="G1163" s="17" t="s">
        <v>389</v>
      </c>
      <c r="I1163" s="17">
        <v>2</v>
      </c>
      <c r="J1163">
        <f t="shared" si="102"/>
        <v>1.0117276945629605</v>
      </c>
      <c r="K1163" s="13">
        <v>1.05</v>
      </c>
      <c r="L1163" s="13">
        <v>1.2</v>
      </c>
      <c r="M1163" s="13">
        <v>1.03</v>
      </c>
      <c r="N1163" s="13">
        <v>1.01</v>
      </c>
      <c r="O1163" s="13">
        <v>1.2</v>
      </c>
      <c r="P1163" s="13">
        <v>1.2</v>
      </c>
      <c r="Q1163">
        <v>1.05</v>
      </c>
      <c r="R1163">
        <f t="shared" si="103"/>
        <v>0.1623708273741902</v>
      </c>
      <c r="S1163" s="34"/>
    </row>
    <row r="1164" spans="1:19" hidden="1" x14ac:dyDescent="0.2">
      <c r="A1164" s="25" t="s">
        <v>813</v>
      </c>
      <c r="B1164" s="17">
        <f>(4*0.0893)/0.717</f>
        <v>0.49818688981868903</v>
      </c>
      <c r="C1164" s="17" t="s">
        <v>64</v>
      </c>
      <c r="D1164" s="17" t="s">
        <v>56</v>
      </c>
      <c r="F1164" s="17" t="s">
        <v>86</v>
      </c>
      <c r="G1164" s="17" t="s">
        <v>814</v>
      </c>
      <c r="I1164" s="17">
        <v>2</v>
      </c>
      <c r="J1164">
        <f t="shared" si="102"/>
        <v>-0.69677999159727633</v>
      </c>
      <c r="K1164" s="13">
        <v>1.05</v>
      </c>
      <c r="L1164" s="13">
        <v>1.2</v>
      </c>
      <c r="M1164" s="13">
        <v>1.03</v>
      </c>
      <c r="N1164" s="13">
        <v>1.01</v>
      </c>
      <c r="O1164" s="13">
        <v>1.2</v>
      </c>
      <c r="P1164" s="13">
        <v>1.2</v>
      </c>
      <c r="Q1164">
        <v>1.05</v>
      </c>
      <c r="R1164">
        <f t="shared" si="103"/>
        <v>0.1623708273741902</v>
      </c>
      <c r="S1164" s="34"/>
    </row>
    <row r="1165" spans="1:19" x14ac:dyDescent="0.2">
      <c r="A1165" s="17" t="s">
        <v>1299</v>
      </c>
      <c r="B1165" s="17">
        <f>0.00006/0.717</f>
        <v>8.3682008368200843E-5</v>
      </c>
      <c r="C1165" s="17" t="s">
        <v>90</v>
      </c>
      <c r="D1165" s="17" t="s">
        <v>56</v>
      </c>
      <c r="F1165" s="17" t="s">
        <v>86</v>
      </c>
      <c r="G1165" s="17" t="s">
        <v>1300</v>
      </c>
      <c r="I1165" s="17">
        <v>2</v>
      </c>
      <c r="J1165">
        <f t="shared" si="102"/>
        <v>-9.3884865573596574</v>
      </c>
      <c r="K1165" s="13">
        <v>1.05</v>
      </c>
      <c r="L1165" s="13">
        <v>1.2</v>
      </c>
      <c r="M1165" s="13">
        <v>1.03</v>
      </c>
      <c r="N1165" s="13">
        <v>1.01</v>
      </c>
      <c r="O1165" s="13">
        <v>1.2</v>
      </c>
      <c r="P1165" s="13">
        <v>1.2</v>
      </c>
      <c r="Q1165">
        <v>1.05</v>
      </c>
      <c r="R1165">
        <f t="shared" si="103"/>
        <v>0.1623708273741902</v>
      </c>
    </row>
    <row r="1166" spans="1:19" hidden="1" x14ac:dyDescent="0.2">
      <c r="Q1166" s="17"/>
    </row>
    <row r="1167" spans="1:19" hidden="1" x14ac:dyDescent="0.2">
      <c r="A1167" s="18" t="s">
        <v>50</v>
      </c>
      <c r="B1167" s="18" t="s">
        <v>854</v>
      </c>
      <c r="Q1167" s="17"/>
    </row>
    <row r="1168" spans="1:19" hidden="1" x14ac:dyDescent="0.2">
      <c r="A1168" s="17" t="s">
        <v>53</v>
      </c>
      <c r="B1168" s="17">
        <v>1</v>
      </c>
      <c r="Q1168" s="17"/>
    </row>
    <row r="1169" spans="1:19" hidden="1" x14ac:dyDescent="0.2">
      <c r="A1169" s="17" t="s">
        <v>54</v>
      </c>
      <c r="B1169" s="17" t="s">
        <v>851</v>
      </c>
      <c r="Q1169" s="17"/>
    </row>
    <row r="1170" spans="1:19" hidden="1" x14ac:dyDescent="0.2">
      <c r="A1170" s="17" t="s">
        <v>61</v>
      </c>
      <c r="B1170" s="17" t="s">
        <v>121</v>
      </c>
      <c r="Q1170" s="17"/>
    </row>
    <row r="1171" spans="1:19" hidden="1" x14ac:dyDescent="0.2">
      <c r="A1171" s="17" t="s">
        <v>55</v>
      </c>
      <c r="B1171" s="17" t="s">
        <v>56</v>
      </c>
      <c r="Q1171" s="17"/>
    </row>
    <row r="1172" spans="1:19" hidden="1" x14ac:dyDescent="0.2">
      <c r="A1172" s="17" t="s">
        <v>52</v>
      </c>
      <c r="B1172" s="17" t="s">
        <v>64</v>
      </c>
      <c r="Q1172" s="17"/>
    </row>
    <row r="1173" spans="1:19" hidden="1" x14ac:dyDescent="0.2">
      <c r="A1173" s="17" t="s">
        <v>51</v>
      </c>
      <c r="B1173" s="17" t="s">
        <v>849</v>
      </c>
      <c r="Q1173" s="17"/>
    </row>
    <row r="1174" spans="1:19" hidden="1" x14ac:dyDescent="0.2">
      <c r="A1174" s="17" t="s">
        <v>63</v>
      </c>
      <c r="B1174" s="7" t="s">
        <v>850</v>
      </c>
      <c r="Q1174" s="17"/>
    </row>
    <row r="1175" spans="1:19" hidden="1" x14ac:dyDescent="0.2">
      <c r="A1175" s="18" t="s">
        <v>57</v>
      </c>
      <c r="Q1175" s="17"/>
    </row>
    <row r="1176" spans="1:19" hidden="1" x14ac:dyDescent="0.2">
      <c r="A1176" s="18" t="s">
        <v>58</v>
      </c>
      <c r="B1176" s="18" t="s">
        <v>59</v>
      </c>
      <c r="C1176" s="18" t="s">
        <v>52</v>
      </c>
      <c r="D1176" s="18" t="s">
        <v>55</v>
      </c>
      <c r="E1176" s="18" t="s">
        <v>60</v>
      </c>
      <c r="F1176" s="18" t="s">
        <v>61</v>
      </c>
      <c r="G1176" s="18" t="s">
        <v>54</v>
      </c>
      <c r="H1176" s="18" t="s">
        <v>51</v>
      </c>
      <c r="I1176" s="18" t="s">
        <v>221</v>
      </c>
      <c r="J1176" s="2" t="s">
        <v>379</v>
      </c>
      <c r="K1176" s="62" t="s">
        <v>1059</v>
      </c>
      <c r="L1176" s="62" t="s">
        <v>1060</v>
      </c>
      <c r="M1176" s="62" t="s">
        <v>1061</v>
      </c>
      <c r="N1176" s="62" t="s">
        <v>1062</v>
      </c>
      <c r="O1176" s="62" t="s">
        <v>1063</v>
      </c>
      <c r="P1176" s="62" t="s">
        <v>1064</v>
      </c>
      <c r="Q1176" s="2" t="s">
        <v>1065</v>
      </c>
      <c r="R1176" s="2" t="s">
        <v>380</v>
      </c>
      <c r="S1176" s="18" t="s">
        <v>1128</v>
      </c>
    </row>
    <row r="1177" spans="1:19" hidden="1" x14ac:dyDescent="0.2">
      <c r="A1177" s="17" t="str">
        <f>B1167</f>
        <v>methane, from biological methanation, with carbon from atmospheric CO2 capture</v>
      </c>
      <c r="B1177" s="17">
        <v>1</v>
      </c>
      <c r="C1177" s="17" t="s">
        <v>64</v>
      </c>
      <c r="D1177" s="17" t="s">
        <v>56</v>
      </c>
      <c r="F1177" s="17" t="s">
        <v>62</v>
      </c>
      <c r="G1177" s="17" t="str">
        <f>B1169</f>
        <v>methane, from biological methanation</v>
      </c>
      <c r="Q1177" s="17"/>
    </row>
    <row r="1178" spans="1:19" hidden="1" x14ac:dyDescent="0.2">
      <c r="A1178" s="17" t="s">
        <v>433</v>
      </c>
      <c r="B1178" s="17">
        <v>2.75</v>
      </c>
      <c r="C1178" s="17" t="s">
        <v>64</v>
      </c>
      <c r="D1178" s="17" t="s">
        <v>56</v>
      </c>
      <c r="F1178" s="17" t="s">
        <v>86</v>
      </c>
      <c r="G1178" s="17" t="s">
        <v>377</v>
      </c>
      <c r="I1178" s="17">
        <v>2</v>
      </c>
      <c r="J1178">
        <f>LN(B1178)</f>
        <v>1.0116009116784799</v>
      </c>
      <c r="K1178" s="13">
        <v>1.2</v>
      </c>
      <c r="L1178" s="13">
        <v>1.2</v>
      </c>
      <c r="M1178" s="13">
        <v>1.03</v>
      </c>
      <c r="N1178" s="13">
        <v>1.01</v>
      </c>
      <c r="O1178" s="13">
        <v>1.2</v>
      </c>
      <c r="P1178" s="13">
        <v>1.2</v>
      </c>
      <c r="Q1178">
        <v>1.05</v>
      </c>
      <c r="R1178">
        <f t="shared" ref="R1178:R1181" si="104">LN(SQRT(EXP(
SQRT(
+POWER(LN(K1178),2)
+POWER(LN(L1178),2)
+POWER(LN(M1178),2)
+POWER(LN(N1178),2)
+POWER(LN(O1178),2)
+POWER(LN(P1178),2)
+POWER(LN(Q1178),2)
)
)))</f>
        <v>0.18460621081155912</v>
      </c>
      <c r="S1178" s="34"/>
    </row>
    <row r="1179" spans="1:19" hidden="1" x14ac:dyDescent="0.2">
      <c r="A1179" s="25" t="s">
        <v>813</v>
      </c>
      <c r="B1179" s="17">
        <v>0.5</v>
      </c>
      <c r="C1179" s="17" t="s">
        <v>64</v>
      </c>
      <c r="D1179" s="17" t="s">
        <v>56</v>
      </c>
      <c r="F1179" s="17" t="s">
        <v>86</v>
      </c>
      <c r="G1179" s="17" t="s">
        <v>814</v>
      </c>
      <c r="I1179" s="17">
        <v>2</v>
      </c>
      <c r="J1179">
        <f>LN(B1179)</f>
        <v>-0.69314718055994529</v>
      </c>
      <c r="K1179" s="13">
        <v>1.2</v>
      </c>
      <c r="L1179" s="13">
        <v>1.2</v>
      </c>
      <c r="M1179" s="13">
        <v>1.03</v>
      </c>
      <c r="N1179" s="13">
        <v>1.01</v>
      </c>
      <c r="O1179" s="13">
        <v>1.2</v>
      </c>
      <c r="P1179" s="13">
        <v>1.2</v>
      </c>
      <c r="Q1179">
        <v>1.05</v>
      </c>
      <c r="R1179">
        <f t="shared" si="104"/>
        <v>0.18460621081155912</v>
      </c>
      <c r="S1179" s="34"/>
    </row>
    <row r="1180" spans="1:19" hidden="1" x14ac:dyDescent="0.2">
      <c r="A1180" s="25" t="s">
        <v>130</v>
      </c>
      <c r="B1180" s="17">
        <v>1.55</v>
      </c>
      <c r="C1180" s="17" t="s">
        <v>64</v>
      </c>
      <c r="D1180" s="17" t="s">
        <v>92</v>
      </c>
      <c r="F1180" s="17" t="s">
        <v>86</v>
      </c>
      <c r="G1180" s="17" t="s">
        <v>93</v>
      </c>
      <c r="H1180" s="17" t="s">
        <v>852</v>
      </c>
      <c r="I1180" s="17">
        <v>2</v>
      </c>
      <c r="J1180">
        <f>LN(B1180)</f>
        <v>0.43825493093115531</v>
      </c>
      <c r="K1180" s="13">
        <v>1.2</v>
      </c>
      <c r="L1180" s="13">
        <v>1.2</v>
      </c>
      <c r="M1180" s="13">
        <v>1.03</v>
      </c>
      <c r="N1180" s="13">
        <v>1.01</v>
      </c>
      <c r="O1180" s="13">
        <v>1.2</v>
      </c>
      <c r="P1180" s="13">
        <v>1.2</v>
      </c>
      <c r="Q1180">
        <v>1.05</v>
      </c>
      <c r="R1180">
        <f t="shared" si="104"/>
        <v>0.18460621081155912</v>
      </c>
      <c r="S1180" s="34"/>
    </row>
    <row r="1181" spans="1:19" ht="17" hidden="1" x14ac:dyDescent="0.2">
      <c r="A1181" s="32" t="s">
        <v>195</v>
      </c>
      <c r="B1181" s="41">
        <f>0.0833/51.3</f>
        <v>1.6237816764132554E-3</v>
      </c>
      <c r="C1181" s="17" t="s">
        <v>90</v>
      </c>
      <c r="D1181" s="17" t="s">
        <v>56</v>
      </c>
      <c r="F1181" s="17" t="s">
        <v>86</v>
      </c>
      <c r="G1181" s="17" t="s">
        <v>196</v>
      </c>
      <c r="H1181" s="17" t="s">
        <v>848</v>
      </c>
      <c r="I1181" s="17">
        <v>2</v>
      </c>
      <c r="J1181">
        <f>LN(B1181)</f>
        <v>-6.422997481986064</v>
      </c>
      <c r="K1181" s="13">
        <v>1.2</v>
      </c>
      <c r="L1181" s="13">
        <v>1.2</v>
      </c>
      <c r="M1181" s="13">
        <v>1.03</v>
      </c>
      <c r="N1181" s="13">
        <v>1.01</v>
      </c>
      <c r="O1181" s="13">
        <v>1.2</v>
      </c>
      <c r="P1181" s="13">
        <v>1.2</v>
      </c>
      <c r="Q1181">
        <v>1.05</v>
      </c>
      <c r="R1181">
        <f t="shared" si="104"/>
        <v>0.18460621081155912</v>
      </c>
      <c r="S1181" s="34"/>
    </row>
    <row r="1182" spans="1:19" hidden="1" x14ac:dyDescent="0.2">
      <c r="A1182" s="17" t="s">
        <v>642</v>
      </c>
      <c r="B1182" s="25">
        <f>(34/51.3)*-1</f>
        <v>-0.66276803118908389</v>
      </c>
      <c r="C1182" s="17" t="s">
        <v>96</v>
      </c>
      <c r="D1182" s="17" t="s">
        <v>120</v>
      </c>
      <c r="F1182" s="17" t="s">
        <v>86</v>
      </c>
      <c r="G1182" s="17" t="s">
        <v>243</v>
      </c>
      <c r="H1182" s="17" t="s">
        <v>847</v>
      </c>
      <c r="I1182" s="17">
        <v>2</v>
      </c>
      <c r="J1182">
        <f>LN(B1182*-1)</f>
        <v>-0.41133022756056237</v>
      </c>
      <c r="K1182" s="13">
        <v>1.2</v>
      </c>
      <c r="L1182" s="13">
        <v>1.2</v>
      </c>
      <c r="M1182" s="13">
        <v>1.03</v>
      </c>
      <c r="N1182" s="13">
        <v>1.01</v>
      </c>
      <c r="O1182" s="13">
        <v>1.2</v>
      </c>
      <c r="P1182" s="13">
        <v>1.2</v>
      </c>
      <c r="Q1182">
        <v>1.05</v>
      </c>
      <c r="R1182">
        <f>LN(SQRT(EXP(
SQRT(
+POWER(LN(K1182),2)
+POWER(LN(L1182),2)
+POWER(LN(M1182),2)
+POWER(LN(N1182),2)
+POWER(LN(O1182),2)
+POWER(LN(P1182),2)
+POWER(LN(Q1182),2)
)
)))</f>
        <v>0.18460621081155912</v>
      </c>
      <c r="S1182" s="17" t="b">
        <v>1</v>
      </c>
    </row>
    <row r="1183" spans="1:19" hidden="1" x14ac:dyDescent="0.2">
      <c r="Q1183" s="17"/>
    </row>
    <row r="1184" spans="1:19" hidden="1" x14ac:dyDescent="0.2">
      <c r="A1184" s="18" t="s">
        <v>50</v>
      </c>
      <c r="B1184" s="18" t="s">
        <v>853</v>
      </c>
      <c r="Q1184" s="17"/>
    </row>
    <row r="1185" spans="1:19" hidden="1" x14ac:dyDescent="0.2">
      <c r="A1185" s="17" t="s">
        <v>53</v>
      </c>
      <c r="B1185" s="17">
        <v>1</v>
      </c>
      <c r="Q1185" s="17"/>
    </row>
    <row r="1186" spans="1:19" hidden="1" x14ac:dyDescent="0.2">
      <c r="A1186" s="17" t="s">
        <v>54</v>
      </c>
      <c r="B1186" s="17" t="s">
        <v>851</v>
      </c>
      <c r="Q1186" s="17"/>
    </row>
    <row r="1187" spans="1:19" hidden="1" x14ac:dyDescent="0.2">
      <c r="A1187" s="17" t="s">
        <v>61</v>
      </c>
      <c r="B1187" s="17" t="s">
        <v>121</v>
      </c>
      <c r="Q1187" s="17"/>
    </row>
    <row r="1188" spans="1:19" hidden="1" x14ac:dyDescent="0.2">
      <c r="A1188" s="17" t="s">
        <v>55</v>
      </c>
      <c r="B1188" s="17" t="s">
        <v>56</v>
      </c>
      <c r="Q1188" s="17"/>
    </row>
    <row r="1189" spans="1:19" hidden="1" x14ac:dyDescent="0.2">
      <c r="A1189" s="17" t="s">
        <v>52</v>
      </c>
      <c r="B1189" s="17" t="s">
        <v>64</v>
      </c>
      <c r="Q1189" s="17"/>
    </row>
    <row r="1190" spans="1:19" hidden="1" x14ac:dyDescent="0.2">
      <c r="A1190" s="17" t="s">
        <v>51</v>
      </c>
      <c r="B1190" s="17" t="s">
        <v>849</v>
      </c>
      <c r="Q1190" s="17"/>
    </row>
    <row r="1191" spans="1:19" hidden="1" x14ac:dyDescent="0.2">
      <c r="A1191" s="17" t="s">
        <v>63</v>
      </c>
      <c r="B1191" s="7" t="s">
        <v>850</v>
      </c>
      <c r="Q1191" s="17"/>
    </row>
    <row r="1192" spans="1:19" hidden="1" x14ac:dyDescent="0.2">
      <c r="A1192" s="18" t="s">
        <v>57</v>
      </c>
      <c r="Q1192" s="17"/>
    </row>
    <row r="1193" spans="1:19" hidden="1" x14ac:dyDescent="0.2">
      <c r="A1193" s="18" t="s">
        <v>58</v>
      </c>
      <c r="B1193" s="18" t="s">
        <v>59</v>
      </c>
      <c r="C1193" s="18" t="s">
        <v>52</v>
      </c>
      <c r="D1193" s="18" t="s">
        <v>55</v>
      </c>
      <c r="E1193" s="18" t="s">
        <v>60</v>
      </c>
      <c r="F1193" s="18" t="s">
        <v>61</v>
      </c>
      <c r="G1193" s="18" t="s">
        <v>54</v>
      </c>
      <c r="H1193" s="18" t="s">
        <v>51</v>
      </c>
      <c r="I1193" s="18" t="s">
        <v>221</v>
      </c>
      <c r="J1193" s="2" t="s">
        <v>379</v>
      </c>
      <c r="K1193" s="62" t="s">
        <v>1059</v>
      </c>
      <c r="L1193" s="62" t="s">
        <v>1060</v>
      </c>
      <c r="M1193" s="62" t="s">
        <v>1061</v>
      </c>
      <c r="N1193" s="62" t="s">
        <v>1062</v>
      </c>
      <c r="O1193" s="62" t="s">
        <v>1063</v>
      </c>
      <c r="P1193" s="62" t="s">
        <v>1064</v>
      </c>
      <c r="Q1193" s="2" t="s">
        <v>1065</v>
      </c>
      <c r="R1193" s="2" t="s">
        <v>380</v>
      </c>
      <c r="S1193" s="18" t="s">
        <v>1128</v>
      </c>
    </row>
    <row r="1194" spans="1:19" hidden="1" x14ac:dyDescent="0.2">
      <c r="A1194" s="17" t="str">
        <f>B1184</f>
        <v>methane, from biological methanation, with carbon from cement plant</v>
      </c>
      <c r="B1194" s="17">
        <v>1</v>
      </c>
      <c r="C1194" s="17" t="s">
        <v>64</v>
      </c>
      <c r="D1194" s="17" t="s">
        <v>56</v>
      </c>
      <c r="F1194" s="17" t="s">
        <v>62</v>
      </c>
      <c r="G1194" s="17" t="str">
        <f>B1186</f>
        <v>methane, from biological methanation</v>
      </c>
      <c r="Q1194" s="17"/>
    </row>
    <row r="1195" spans="1:19" hidden="1" x14ac:dyDescent="0.2">
      <c r="A1195" s="17" t="s">
        <v>388</v>
      </c>
      <c r="B1195" s="17">
        <v>2.75</v>
      </c>
      <c r="C1195" s="17" t="s">
        <v>64</v>
      </c>
      <c r="D1195" s="17" t="s">
        <v>56</v>
      </c>
      <c r="F1195" s="17" t="s">
        <v>86</v>
      </c>
      <c r="G1195" s="17" t="s">
        <v>389</v>
      </c>
      <c r="I1195" s="17">
        <v>2</v>
      </c>
      <c r="J1195">
        <f>LN(B1195)</f>
        <v>1.0116009116784799</v>
      </c>
      <c r="K1195" s="13">
        <v>1.2</v>
      </c>
      <c r="L1195" s="13">
        <v>1.2</v>
      </c>
      <c r="M1195" s="13">
        <v>1.03</v>
      </c>
      <c r="N1195" s="13">
        <v>1.01</v>
      </c>
      <c r="O1195" s="13">
        <v>1.2</v>
      </c>
      <c r="P1195" s="13">
        <v>1.2</v>
      </c>
      <c r="Q1195">
        <v>1.05</v>
      </c>
      <c r="R1195">
        <f t="shared" ref="R1195:R1198" si="105">LN(SQRT(EXP(
SQRT(
+POWER(LN(K1195),2)
+POWER(LN(L1195),2)
+POWER(LN(M1195),2)
+POWER(LN(N1195),2)
+POWER(LN(O1195),2)
+POWER(LN(P1195),2)
+POWER(LN(Q1195),2)
)
)))</f>
        <v>0.18460621081155912</v>
      </c>
      <c r="S1195" s="34"/>
    </row>
    <row r="1196" spans="1:19" hidden="1" x14ac:dyDescent="0.2">
      <c r="A1196" s="25" t="s">
        <v>813</v>
      </c>
      <c r="B1196" s="17">
        <v>0.5</v>
      </c>
      <c r="C1196" s="17" t="s">
        <v>64</v>
      </c>
      <c r="D1196" s="17" t="s">
        <v>56</v>
      </c>
      <c r="F1196" s="17" t="s">
        <v>86</v>
      </c>
      <c r="G1196" s="17" t="s">
        <v>814</v>
      </c>
      <c r="I1196" s="17">
        <v>2</v>
      </c>
      <c r="J1196">
        <f>LN(B1196)</f>
        <v>-0.69314718055994529</v>
      </c>
      <c r="K1196" s="13">
        <v>1.2</v>
      </c>
      <c r="L1196" s="13">
        <v>1.2</v>
      </c>
      <c r="M1196" s="13">
        <v>1.03</v>
      </c>
      <c r="N1196" s="13">
        <v>1.01</v>
      </c>
      <c r="O1196" s="13">
        <v>1.2</v>
      </c>
      <c r="P1196" s="13">
        <v>1.2</v>
      </c>
      <c r="Q1196">
        <v>1.05</v>
      </c>
      <c r="R1196">
        <f t="shared" si="105"/>
        <v>0.18460621081155912</v>
      </c>
      <c r="S1196" s="34"/>
    </row>
    <row r="1197" spans="1:19" hidden="1" x14ac:dyDescent="0.2">
      <c r="A1197" s="25" t="s">
        <v>130</v>
      </c>
      <c r="B1197" s="17">
        <v>1.55</v>
      </c>
      <c r="C1197" s="17" t="s">
        <v>64</v>
      </c>
      <c r="D1197" s="17" t="s">
        <v>92</v>
      </c>
      <c r="F1197" s="17" t="s">
        <v>86</v>
      </c>
      <c r="G1197" s="17" t="s">
        <v>93</v>
      </c>
      <c r="H1197" s="17" t="s">
        <v>852</v>
      </c>
      <c r="I1197" s="17">
        <v>2</v>
      </c>
      <c r="J1197">
        <f>LN(B1197)</f>
        <v>0.43825493093115531</v>
      </c>
      <c r="K1197" s="13">
        <v>1.2</v>
      </c>
      <c r="L1197" s="13">
        <v>1.2</v>
      </c>
      <c r="M1197" s="13">
        <v>1.03</v>
      </c>
      <c r="N1197" s="13">
        <v>1.01</v>
      </c>
      <c r="O1197" s="13">
        <v>1.2</v>
      </c>
      <c r="P1197" s="13">
        <v>1.2</v>
      </c>
      <c r="Q1197">
        <v>1.05</v>
      </c>
      <c r="R1197">
        <f t="shared" si="105"/>
        <v>0.18460621081155912</v>
      </c>
      <c r="S1197" s="34"/>
    </row>
    <row r="1198" spans="1:19" ht="17" hidden="1" x14ac:dyDescent="0.2">
      <c r="A1198" s="32" t="s">
        <v>195</v>
      </c>
      <c r="B1198" s="41">
        <f>0.0833/51.3</f>
        <v>1.6237816764132554E-3</v>
      </c>
      <c r="C1198" s="17" t="s">
        <v>90</v>
      </c>
      <c r="D1198" s="17" t="s">
        <v>56</v>
      </c>
      <c r="F1198" s="17" t="s">
        <v>86</v>
      </c>
      <c r="G1198" s="17" t="s">
        <v>196</v>
      </c>
      <c r="H1198" s="17" t="s">
        <v>848</v>
      </c>
      <c r="I1198" s="17">
        <v>2</v>
      </c>
      <c r="J1198">
        <f>LN(B1198)</f>
        <v>-6.422997481986064</v>
      </c>
      <c r="K1198" s="13">
        <v>1.2</v>
      </c>
      <c r="L1198" s="13">
        <v>1.2</v>
      </c>
      <c r="M1198" s="13">
        <v>1.03</v>
      </c>
      <c r="N1198" s="13">
        <v>1.01</v>
      </c>
      <c r="O1198" s="13">
        <v>1.2</v>
      </c>
      <c r="P1198" s="13">
        <v>1.2</v>
      </c>
      <c r="Q1198">
        <v>1.05</v>
      </c>
      <c r="R1198">
        <f t="shared" si="105"/>
        <v>0.18460621081155912</v>
      </c>
      <c r="S1198" s="34"/>
    </row>
    <row r="1199" spans="1:19" hidden="1" x14ac:dyDescent="0.2">
      <c r="A1199" s="17" t="s">
        <v>642</v>
      </c>
      <c r="B1199" s="25">
        <f>(34/51.3)*-1</f>
        <v>-0.66276803118908389</v>
      </c>
      <c r="C1199" s="17" t="s">
        <v>96</v>
      </c>
      <c r="D1199" s="17" t="s">
        <v>120</v>
      </c>
      <c r="F1199" s="17" t="s">
        <v>86</v>
      </c>
      <c r="G1199" s="17" t="s">
        <v>243</v>
      </c>
      <c r="H1199" s="17" t="s">
        <v>847</v>
      </c>
      <c r="I1199" s="17">
        <v>2</v>
      </c>
      <c r="J1199">
        <f>LN(B1199*-1)</f>
        <v>-0.41133022756056237</v>
      </c>
      <c r="K1199" s="13">
        <v>1.2</v>
      </c>
      <c r="L1199" s="13">
        <v>1.2</v>
      </c>
      <c r="M1199" s="13">
        <v>1.03</v>
      </c>
      <c r="N1199" s="13">
        <v>1.01</v>
      </c>
      <c r="O1199" s="13">
        <v>1.2</v>
      </c>
      <c r="P1199" s="13">
        <v>1.2</v>
      </c>
      <c r="Q1199">
        <v>1.05</v>
      </c>
      <c r="R1199">
        <f>LN(SQRT(EXP(
SQRT(
+POWER(LN(K1199),2)
+POWER(LN(L1199),2)
+POWER(LN(M1199),2)
+POWER(LN(N1199),2)
+POWER(LN(O1199),2)
+POWER(LN(P1199),2)
+POWER(LN(Q1199),2)
)
)))</f>
        <v>0.18460621081155912</v>
      </c>
      <c r="S1199" s="17" t="b">
        <v>1</v>
      </c>
    </row>
    <row r="1200" spans="1:19" hidden="1" x14ac:dyDescent="0.2">
      <c r="Q1200" s="17"/>
    </row>
    <row r="1201" spans="1:19" hidden="1" x14ac:dyDescent="0.2">
      <c r="A1201" s="18" t="s">
        <v>50</v>
      </c>
      <c r="B1201" s="18" t="s">
        <v>846</v>
      </c>
      <c r="Q1201" s="17"/>
    </row>
    <row r="1202" spans="1:19" hidden="1" x14ac:dyDescent="0.2">
      <c r="A1202" s="17" t="s">
        <v>53</v>
      </c>
      <c r="B1202" s="17">
        <v>1</v>
      </c>
      <c r="Q1202" s="17"/>
    </row>
    <row r="1203" spans="1:19" hidden="1" x14ac:dyDescent="0.2">
      <c r="A1203" s="17" t="s">
        <v>54</v>
      </c>
      <c r="B1203" s="17" t="s">
        <v>851</v>
      </c>
      <c r="Q1203" s="17"/>
    </row>
    <row r="1204" spans="1:19" hidden="1" x14ac:dyDescent="0.2">
      <c r="A1204" s="17" t="s">
        <v>61</v>
      </c>
      <c r="B1204" s="17" t="s">
        <v>121</v>
      </c>
      <c r="Q1204" s="17"/>
    </row>
    <row r="1205" spans="1:19" hidden="1" x14ac:dyDescent="0.2">
      <c r="A1205" s="17" t="s">
        <v>55</v>
      </c>
      <c r="B1205" s="17" t="s">
        <v>56</v>
      </c>
      <c r="Q1205" s="17"/>
    </row>
    <row r="1206" spans="1:19" hidden="1" x14ac:dyDescent="0.2">
      <c r="A1206" s="17" t="s">
        <v>52</v>
      </c>
      <c r="B1206" s="17" t="s">
        <v>64</v>
      </c>
      <c r="Q1206" s="17"/>
    </row>
    <row r="1207" spans="1:19" hidden="1" x14ac:dyDescent="0.2">
      <c r="A1207" s="17" t="s">
        <v>51</v>
      </c>
      <c r="B1207" s="17" t="s">
        <v>849</v>
      </c>
      <c r="Q1207" s="17"/>
    </row>
    <row r="1208" spans="1:19" hidden="1" x14ac:dyDescent="0.2">
      <c r="A1208" s="17" t="s">
        <v>63</v>
      </c>
      <c r="B1208" s="7" t="s">
        <v>850</v>
      </c>
      <c r="Q1208" s="17"/>
    </row>
    <row r="1209" spans="1:19" hidden="1" x14ac:dyDescent="0.2">
      <c r="A1209" s="18" t="s">
        <v>57</v>
      </c>
      <c r="Q1209" s="17"/>
    </row>
    <row r="1210" spans="1:19" hidden="1" x14ac:dyDescent="0.2">
      <c r="A1210" s="18" t="s">
        <v>58</v>
      </c>
      <c r="B1210" s="18" t="s">
        <v>59</v>
      </c>
      <c r="C1210" s="18" t="s">
        <v>52</v>
      </c>
      <c r="D1210" s="18" t="s">
        <v>55</v>
      </c>
      <c r="E1210" s="18" t="s">
        <v>60</v>
      </c>
      <c r="F1210" s="18" t="s">
        <v>61</v>
      </c>
      <c r="G1210" s="18" t="s">
        <v>54</v>
      </c>
      <c r="H1210" s="18" t="s">
        <v>51</v>
      </c>
      <c r="I1210" s="18" t="s">
        <v>221</v>
      </c>
      <c r="J1210" s="2" t="s">
        <v>379</v>
      </c>
      <c r="K1210" s="62" t="s">
        <v>1059</v>
      </c>
      <c r="L1210" s="62" t="s">
        <v>1060</v>
      </c>
      <c r="M1210" s="62" t="s">
        <v>1061</v>
      </c>
      <c r="N1210" s="62" t="s">
        <v>1062</v>
      </c>
      <c r="O1210" s="62" t="s">
        <v>1063</v>
      </c>
      <c r="P1210" s="62" t="s">
        <v>1064</v>
      </c>
      <c r="Q1210" s="2" t="s">
        <v>1065</v>
      </c>
      <c r="R1210" s="2" t="s">
        <v>380</v>
      </c>
      <c r="S1210" s="18" t="s">
        <v>1128</v>
      </c>
    </row>
    <row r="1211" spans="1:19" hidden="1" x14ac:dyDescent="0.2">
      <c r="A1211" s="17" t="str">
        <f>B1201</f>
        <v>methane, from biological methanation, with carbon from municipal waste incineration plant</v>
      </c>
      <c r="B1211" s="17">
        <v>1</v>
      </c>
      <c r="C1211" s="17" t="s">
        <v>64</v>
      </c>
      <c r="D1211" s="17" t="s">
        <v>56</v>
      </c>
      <c r="F1211" s="17" t="s">
        <v>62</v>
      </c>
      <c r="G1211" s="17" t="str">
        <f>B1203</f>
        <v>methane, from biological methanation</v>
      </c>
      <c r="Q1211" s="17"/>
    </row>
    <row r="1212" spans="1:19" hidden="1" x14ac:dyDescent="0.2">
      <c r="A1212" s="17" t="s">
        <v>803</v>
      </c>
      <c r="B1212" s="17">
        <v>2.75</v>
      </c>
      <c r="C1212" s="17" t="s">
        <v>64</v>
      </c>
      <c r="D1212" s="17" t="s">
        <v>56</v>
      </c>
      <c r="F1212" s="17" t="s">
        <v>86</v>
      </c>
      <c r="G1212" s="17" t="s">
        <v>389</v>
      </c>
      <c r="I1212" s="17">
        <v>2</v>
      </c>
      <c r="J1212">
        <f>LN(B1212)</f>
        <v>1.0116009116784799</v>
      </c>
      <c r="K1212" s="13">
        <v>1.2</v>
      </c>
      <c r="L1212" s="13">
        <v>1.2</v>
      </c>
      <c r="M1212" s="13">
        <v>1.03</v>
      </c>
      <c r="N1212" s="13">
        <v>1.01</v>
      </c>
      <c r="O1212" s="13">
        <v>1.2</v>
      </c>
      <c r="P1212" s="13">
        <v>1.2</v>
      </c>
      <c r="Q1212">
        <v>1.05</v>
      </c>
      <c r="R1212">
        <f t="shared" ref="R1212:R1215" si="106">LN(SQRT(EXP(
SQRT(
+POWER(LN(K1212),2)
+POWER(LN(L1212),2)
+POWER(LN(M1212),2)
+POWER(LN(N1212),2)
+POWER(LN(O1212),2)
+POWER(LN(P1212),2)
+POWER(LN(Q1212),2)
)
)))</f>
        <v>0.18460621081155912</v>
      </c>
      <c r="S1212" s="34"/>
    </row>
    <row r="1213" spans="1:19" hidden="1" x14ac:dyDescent="0.2">
      <c r="A1213" s="25" t="s">
        <v>813</v>
      </c>
      <c r="B1213" s="17">
        <v>0.5</v>
      </c>
      <c r="C1213" s="17" t="s">
        <v>64</v>
      </c>
      <c r="D1213" s="17" t="s">
        <v>56</v>
      </c>
      <c r="F1213" s="17" t="s">
        <v>86</v>
      </c>
      <c r="G1213" s="17" t="s">
        <v>814</v>
      </c>
      <c r="I1213" s="17">
        <v>2</v>
      </c>
      <c r="J1213">
        <f>LN(B1213)</f>
        <v>-0.69314718055994529</v>
      </c>
      <c r="K1213" s="13">
        <v>1.2</v>
      </c>
      <c r="L1213" s="13">
        <v>1.2</v>
      </c>
      <c r="M1213" s="13">
        <v>1.03</v>
      </c>
      <c r="N1213" s="13">
        <v>1.01</v>
      </c>
      <c r="O1213" s="13">
        <v>1.2</v>
      </c>
      <c r="P1213" s="13">
        <v>1.2</v>
      </c>
      <c r="Q1213">
        <v>1.05</v>
      </c>
      <c r="R1213">
        <f t="shared" si="106"/>
        <v>0.18460621081155912</v>
      </c>
      <c r="S1213" s="34"/>
    </row>
    <row r="1214" spans="1:19" hidden="1" x14ac:dyDescent="0.2">
      <c r="A1214" s="25" t="s">
        <v>130</v>
      </c>
      <c r="B1214" s="17">
        <v>1.55</v>
      </c>
      <c r="C1214" s="17" t="s">
        <v>64</v>
      </c>
      <c r="D1214" s="17" t="s">
        <v>92</v>
      </c>
      <c r="F1214" s="17" t="s">
        <v>86</v>
      </c>
      <c r="G1214" s="17" t="s">
        <v>93</v>
      </c>
      <c r="H1214" s="17" t="s">
        <v>852</v>
      </c>
      <c r="I1214" s="17">
        <v>2</v>
      </c>
      <c r="J1214">
        <f>LN(B1214)</f>
        <v>0.43825493093115531</v>
      </c>
      <c r="K1214" s="13">
        <v>1.2</v>
      </c>
      <c r="L1214" s="13">
        <v>1.2</v>
      </c>
      <c r="M1214" s="13">
        <v>1.03</v>
      </c>
      <c r="N1214" s="13">
        <v>1.01</v>
      </c>
      <c r="O1214" s="13">
        <v>1.2</v>
      </c>
      <c r="P1214" s="13">
        <v>1.2</v>
      </c>
      <c r="Q1214">
        <v>1.05</v>
      </c>
      <c r="R1214">
        <f t="shared" si="106"/>
        <v>0.18460621081155912</v>
      </c>
      <c r="S1214" s="34"/>
    </row>
    <row r="1215" spans="1:19" ht="17" hidden="1" x14ac:dyDescent="0.2">
      <c r="A1215" s="32" t="s">
        <v>195</v>
      </c>
      <c r="B1215" s="41">
        <f>0.0833/51.3</f>
        <v>1.6237816764132554E-3</v>
      </c>
      <c r="C1215" s="17" t="s">
        <v>90</v>
      </c>
      <c r="D1215" s="17" t="s">
        <v>56</v>
      </c>
      <c r="F1215" s="17" t="s">
        <v>86</v>
      </c>
      <c r="G1215" s="17" t="s">
        <v>196</v>
      </c>
      <c r="H1215" s="17" t="s">
        <v>848</v>
      </c>
      <c r="I1215" s="17">
        <v>2</v>
      </c>
      <c r="J1215">
        <f>LN(B1215)</f>
        <v>-6.422997481986064</v>
      </c>
      <c r="K1215" s="13">
        <v>1.2</v>
      </c>
      <c r="L1215" s="13">
        <v>1.2</v>
      </c>
      <c r="M1215" s="13">
        <v>1.03</v>
      </c>
      <c r="N1215" s="13">
        <v>1.01</v>
      </c>
      <c r="O1215" s="13">
        <v>1.2</v>
      </c>
      <c r="P1215" s="13">
        <v>1.2</v>
      </c>
      <c r="Q1215">
        <v>1.05</v>
      </c>
      <c r="R1215">
        <f t="shared" si="106"/>
        <v>0.18460621081155912</v>
      </c>
      <c r="S1215" s="34"/>
    </row>
    <row r="1216" spans="1:19" hidden="1" x14ac:dyDescent="0.2">
      <c r="A1216" s="17" t="s">
        <v>642</v>
      </c>
      <c r="B1216" s="25">
        <f>(34/51.3)*-1</f>
        <v>-0.66276803118908389</v>
      </c>
      <c r="C1216" s="17" t="s">
        <v>96</v>
      </c>
      <c r="D1216" s="17" t="s">
        <v>120</v>
      </c>
      <c r="F1216" s="17" t="s">
        <v>86</v>
      </c>
      <c r="G1216" s="17" t="s">
        <v>243</v>
      </c>
      <c r="H1216" s="17" t="s">
        <v>847</v>
      </c>
      <c r="I1216" s="17">
        <v>2</v>
      </c>
      <c r="J1216">
        <f>LN(B1216*-1)</f>
        <v>-0.41133022756056237</v>
      </c>
      <c r="K1216" s="13">
        <v>1.2</v>
      </c>
      <c r="L1216" s="13">
        <v>1.2</v>
      </c>
      <c r="M1216" s="13">
        <v>1.03</v>
      </c>
      <c r="N1216" s="13">
        <v>1.01</v>
      </c>
      <c r="O1216" s="13">
        <v>1.2</v>
      </c>
      <c r="P1216" s="13">
        <v>1.2</v>
      </c>
      <c r="Q1216">
        <v>1.05</v>
      </c>
      <c r="R1216">
        <f>LN(SQRT(EXP(
SQRT(
+POWER(LN(K1216),2)
+POWER(LN(L1216),2)
+POWER(LN(M1216),2)
+POWER(LN(N1216),2)
+POWER(LN(O1216),2)
+POWER(LN(P1216),2)
+POWER(LN(Q1216),2)
)
)))</f>
        <v>0.18460621081155912</v>
      </c>
      <c r="S1216" s="17" t="b">
        <v>1</v>
      </c>
    </row>
    <row r="1217" spans="1:19" hidden="1" x14ac:dyDescent="0.2">
      <c r="Q1217" s="17"/>
    </row>
    <row r="1218" spans="1:19" hidden="1" x14ac:dyDescent="0.2">
      <c r="A1218" s="18" t="s">
        <v>50</v>
      </c>
      <c r="B1218" s="18" t="s">
        <v>384</v>
      </c>
      <c r="Q1218" s="17"/>
    </row>
    <row r="1219" spans="1:19" hidden="1" x14ac:dyDescent="0.2">
      <c r="A1219" s="17" t="s">
        <v>53</v>
      </c>
      <c r="B1219" s="17">
        <v>1</v>
      </c>
      <c r="Q1219" s="17"/>
    </row>
    <row r="1220" spans="1:19" hidden="1" x14ac:dyDescent="0.2">
      <c r="A1220" s="17" t="s">
        <v>54</v>
      </c>
      <c r="B1220" s="17" t="s">
        <v>376</v>
      </c>
      <c r="Q1220" s="17"/>
    </row>
    <row r="1221" spans="1:19" hidden="1" x14ac:dyDescent="0.2">
      <c r="A1221" s="17" t="s">
        <v>61</v>
      </c>
      <c r="B1221" s="17" t="s">
        <v>121</v>
      </c>
      <c r="Q1221" s="17"/>
    </row>
    <row r="1222" spans="1:19" hidden="1" x14ac:dyDescent="0.2">
      <c r="A1222" s="17" t="s">
        <v>55</v>
      </c>
      <c r="B1222" s="17" t="s">
        <v>55</v>
      </c>
      <c r="Q1222" s="17"/>
    </row>
    <row r="1223" spans="1:19" hidden="1" x14ac:dyDescent="0.2">
      <c r="A1223" s="17" t="s">
        <v>52</v>
      </c>
      <c r="B1223" s="17" t="s">
        <v>90</v>
      </c>
      <c r="Q1223" s="17"/>
    </row>
    <row r="1224" spans="1:19" hidden="1" x14ac:dyDescent="0.2">
      <c r="A1224" s="17" t="s">
        <v>63</v>
      </c>
      <c r="B1224" s="17" t="s">
        <v>366</v>
      </c>
      <c r="Q1224" s="17"/>
    </row>
    <row r="1225" spans="1:19" hidden="1" x14ac:dyDescent="0.2">
      <c r="A1225" s="18" t="s">
        <v>57</v>
      </c>
      <c r="Q1225" s="17"/>
    </row>
    <row r="1226" spans="1:19" hidden="1" x14ac:dyDescent="0.2">
      <c r="A1226" s="18" t="s">
        <v>58</v>
      </c>
      <c r="B1226" s="18" t="s">
        <v>59</v>
      </c>
      <c r="C1226" s="18" t="s">
        <v>52</v>
      </c>
      <c r="D1226" s="18" t="s">
        <v>55</v>
      </c>
      <c r="E1226" s="18" t="s">
        <v>60</v>
      </c>
      <c r="F1226" s="18" t="s">
        <v>61</v>
      </c>
      <c r="G1226" s="18" t="s">
        <v>54</v>
      </c>
      <c r="H1226" s="18" t="s">
        <v>51</v>
      </c>
      <c r="I1226" s="18" t="s">
        <v>221</v>
      </c>
      <c r="J1226" s="2" t="s">
        <v>379</v>
      </c>
      <c r="K1226" s="62" t="s">
        <v>1059</v>
      </c>
      <c r="L1226" s="62" t="s">
        <v>1060</v>
      </c>
      <c r="M1226" s="62" t="s">
        <v>1061</v>
      </c>
      <c r="N1226" s="62" t="s">
        <v>1062</v>
      </c>
      <c r="O1226" s="62" t="s">
        <v>1063</v>
      </c>
      <c r="P1226" s="62" t="s">
        <v>1064</v>
      </c>
      <c r="Q1226" s="2" t="s">
        <v>1065</v>
      </c>
      <c r="R1226" s="2" t="s">
        <v>380</v>
      </c>
      <c r="S1226" s="18" t="s">
        <v>1128</v>
      </c>
    </row>
    <row r="1227" spans="1:19" hidden="1" x14ac:dyDescent="0.2">
      <c r="A1227" s="17" t="s">
        <v>384</v>
      </c>
      <c r="B1227" s="17">
        <v>1</v>
      </c>
      <c r="C1227" s="17" t="s">
        <v>90</v>
      </c>
      <c r="D1227" s="17" t="s">
        <v>55</v>
      </c>
      <c r="F1227" s="17" t="s">
        <v>62</v>
      </c>
      <c r="G1227" s="17" t="s">
        <v>376</v>
      </c>
      <c r="Q1227" s="17"/>
    </row>
    <row r="1228" spans="1:19" hidden="1" x14ac:dyDescent="0.2">
      <c r="A1228" s="17" t="s">
        <v>103</v>
      </c>
      <c r="B1228" s="17">
        <v>5940</v>
      </c>
      <c r="C1228" s="17" t="s">
        <v>85</v>
      </c>
      <c r="D1228" s="17" t="s">
        <v>56</v>
      </c>
      <c r="F1228" s="17" t="s">
        <v>86</v>
      </c>
      <c r="G1228" s="17" t="s">
        <v>104</v>
      </c>
      <c r="I1228" s="17">
        <v>2</v>
      </c>
      <c r="J1228">
        <f t="shared" ref="J1228:J1229" si="107">LN(B1228)</f>
        <v>8.6894644123566902</v>
      </c>
      <c r="K1228" s="13">
        <v>1.5</v>
      </c>
      <c r="L1228" s="13">
        <v>1.2</v>
      </c>
      <c r="M1228" s="13">
        <v>1.5</v>
      </c>
      <c r="N1228" s="13">
        <v>1.1000000000000001</v>
      </c>
      <c r="O1228" s="13">
        <v>2</v>
      </c>
      <c r="P1228" s="13">
        <v>1.2</v>
      </c>
      <c r="Q1228">
        <v>1.05</v>
      </c>
      <c r="R1228">
        <f t="shared" ref="R1228:R1229" si="108">LN(SQRT(EXP(
SQRT(
+POWER(LN(K1228),2)
+POWER(LN(L1228),2)
+POWER(LN(M1228),2)
+POWER(LN(N1228),2)
+POWER(LN(O1228),2)
+POWER(LN(P1228),2)
+POWER(LN(Q1228),2)
)
)))</f>
        <v>0.47095746419981693</v>
      </c>
    </row>
    <row r="1229" spans="1:19" hidden="1" x14ac:dyDescent="0.2">
      <c r="A1229" s="17" t="s">
        <v>385</v>
      </c>
      <c r="B1229" s="17">
        <v>660</v>
      </c>
      <c r="C1229" s="17" t="s">
        <v>85</v>
      </c>
      <c r="D1229" s="17" t="s">
        <v>56</v>
      </c>
      <c r="F1229" s="17" t="s">
        <v>86</v>
      </c>
      <c r="G1229" s="17" t="s">
        <v>386</v>
      </c>
      <c r="I1229" s="17">
        <v>2</v>
      </c>
      <c r="J1229">
        <f t="shared" si="107"/>
        <v>6.4922398350204711</v>
      </c>
      <c r="K1229" s="13">
        <v>1.5</v>
      </c>
      <c r="L1229" s="13">
        <v>1.2</v>
      </c>
      <c r="M1229" s="13">
        <v>1.5</v>
      </c>
      <c r="N1229" s="13">
        <v>1.1000000000000001</v>
      </c>
      <c r="O1229" s="13">
        <v>2</v>
      </c>
      <c r="P1229" s="13">
        <v>1.2</v>
      </c>
      <c r="Q1229">
        <v>1.05</v>
      </c>
      <c r="R1229">
        <f t="shared" si="108"/>
        <v>0.47095746419981693</v>
      </c>
    </row>
    <row r="1230" spans="1:19" hidden="1" x14ac:dyDescent="0.2">
      <c r="Q1230" s="17"/>
    </row>
    <row r="1231" spans="1:19" hidden="1" x14ac:dyDescent="0.2">
      <c r="A1231" s="18" t="s">
        <v>50</v>
      </c>
      <c r="B1231" s="18" t="s">
        <v>378</v>
      </c>
      <c r="Q1231" s="17"/>
    </row>
    <row r="1232" spans="1:19" hidden="1" x14ac:dyDescent="0.2">
      <c r="A1232" s="17" t="s">
        <v>53</v>
      </c>
      <c r="B1232" s="17">
        <v>1</v>
      </c>
      <c r="Q1232" s="17"/>
    </row>
    <row r="1233" spans="1:19" hidden="1" x14ac:dyDescent="0.2">
      <c r="A1233" s="17" t="s">
        <v>54</v>
      </c>
      <c r="B1233" s="17" t="s">
        <v>378</v>
      </c>
      <c r="Q1233" s="17"/>
    </row>
    <row r="1234" spans="1:19" hidden="1" x14ac:dyDescent="0.2">
      <c r="A1234" s="17" t="s">
        <v>61</v>
      </c>
      <c r="B1234" s="17" t="s">
        <v>121</v>
      </c>
      <c r="Q1234" s="17"/>
    </row>
    <row r="1235" spans="1:19" hidden="1" x14ac:dyDescent="0.2">
      <c r="A1235" s="17" t="s">
        <v>55</v>
      </c>
      <c r="B1235" s="17" t="s">
        <v>56</v>
      </c>
      <c r="Q1235" s="17"/>
    </row>
    <row r="1236" spans="1:19" hidden="1" x14ac:dyDescent="0.2">
      <c r="A1236" s="17" t="s">
        <v>52</v>
      </c>
      <c r="B1236" s="17" t="s">
        <v>90</v>
      </c>
      <c r="Q1236" s="17"/>
    </row>
    <row r="1237" spans="1:19" hidden="1" x14ac:dyDescent="0.2">
      <c r="A1237" s="17" t="s">
        <v>63</v>
      </c>
      <c r="B1237" s="17" t="s">
        <v>381</v>
      </c>
      <c r="Q1237" s="17"/>
    </row>
    <row r="1238" spans="1:19" hidden="1" x14ac:dyDescent="0.2">
      <c r="A1238" s="18" t="s">
        <v>57</v>
      </c>
      <c r="Q1238" s="17"/>
    </row>
    <row r="1239" spans="1:19" hidden="1" x14ac:dyDescent="0.2">
      <c r="A1239" s="18" t="s">
        <v>58</v>
      </c>
      <c r="B1239" s="18" t="s">
        <v>59</v>
      </c>
      <c r="C1239" s="18" t="s">
        <v>52</v>
      </c>
      <c r="D1239" s="18" t="s">
        <v>55</v>
      </c>
      <c r="E1239" s="18" t="s">
        <v>60</v>
      </c>
      <c r="F1239" s="18" t="s">
        <v>61</v>
      </c>
      <c r="G1239" s="18" t="s">
        <v>54</v>
      </c>
      <c r="H1239" s="18" t="s">
        <v>51</v>
      </c>
      <c r="I1239" s="18" t="s">
        <v>221</v>
      </c>
      <c r="J1239" s="2" t="s">
        <v>379</v>
      </c>
      <c r="K1239" s="62" t="s">
        <v>1059</v>
      </c>
      <c r="L1239" s="62" t="s">
        <v>1060</v>
      </c>
      <c r="M1239" s="62" t="s">
        <v>1061</v>
      </c>
      <c r="N1239" s="62" t="s">
        <v>1062</v>
      </c>
      <c r="O1239" s="62" t="s">
        <v>1063</v>
      </c>
      <c r="P1239" s="62" t="s">
        <v>1064</v>
      </c>
      <c r="Q1239" s="2" t="s">
        <v>1065</v>
      </c>
      <c r="R1239" s="2" t="s">
        <v>380</v>
      </c>
      <c r="S1239" s="18" t="s">
        <v>1128</v>
      </c>
    </row>
    <row r="1240" spans="1:19" x14ac:dyDescent="0.2">
      <c r="A1240" s="17" t="s">
        <v>1299</v>
      </c>
      <c r="B1240" s="17">
        <v>1</v>
      </c>
      <c r="C1240" s="17" t="s">
        <v>90</v>
      </c>
      <c r="D1240" s="17" t="s">
        <v>56</v>
      </c>
      <c r="F1240" s="17" t="s">
        <v>62</v>
      </c>
      <c r="G1240" s="17" t="s">
        <v>1300</v>
      </c>
      <c r="Q1240" s="17"/>
    </row>
    <row r="1241" spans="1:19" hidden="1" x14ac:dyDescent="0.2">
      <c r="A1241" s="17" t="s">
        <v>382</v>
      </c>
      <c r="B1241" s="17">
        <v>0.81</v>
      </c>
      <c r="C1241" s="17" t="s">
        <v>85</v>
      </c>
      <c r="D1241" s="17" t="s">
        <v>56</v>
      </c>
      <c r="F1241" s="17" t="s">
        <v>86</v>
      </c>
      <c r="G1241" s="17" t="s">
        <v>383</v>
      </c>
      <c r="I1241" s="17">
        <v>2</v>
      </c>
      <c r="J1241">
        <f t="shared" ref="J1241:J1242" si="109">LN(B1241)</f>
        <v>-0.21072103131565253</v>
      </c>
      <c r="K1241" s="13">
        <v>1.5</v>
      </c>
      <c r="L1241" s="13">
        <v>1.2</v>
      </c>
      <c r="M1241" s="13">
        <v>1.5</v>
      </c>
      <c r="N1241" s="13">
        <v>1.1000000000000001</v>
      </c>
      <c r="O1241" s="13">
        <v>2</v>
      </c>
      <c r="P1241" s="13">
        <v>1.2</v>
      </c>
      <c r="Q1241">
        <v>1.05</v>
      </c>
      <c r="R1241">
        <f t="shared" ref="R1241:R1242" si="110">LN(SQRT(EXP(
SQRT(
+POWER(LN(K1241),2)
+POWER(LN(L1241),2)
+POWER(LN(M1241),2)
+POWER(LN(N1241),2)
+POWER(LN(O1241),2)
+POWER(LN(P1241),2)
+POWER(LN(Q1241),2)
)
)))</f>
        <v>0.47095746419981693</v>
      </c>
    </row>
    <row r="1242" spans="1:19" hidden="1" x14ac:dyDescent="0.2">
      <c r="A1242" s="17" t="s">
        <v>342</v>
      </c>
      <c r="B1242" s="17">
        <v>0.19</v>
      </c>
      <c r="C1242" s="17" t="s">
        <v>85</v>
      </c>
      <c r="D1242" s="17" t="s">
        <v>56</v>
      </c>
      <c r="F1242" s="17" t="s">
        <v>86</v>
      </c>
      <c r="G1242" s="17" t="s">
        <v>343</v>
      </c>
      <c r="I1242" s="17">
        <v>2</v>
      </c>
      <c r="J1242">
        <f t="shared" si="109"/>
        <v>-1.6607312068216509</v>
      </c>
      <c r="K1242" s="13">
        <v>1.5</v>
      </c>
      <c r="L1242" s="13">
        <v>1.2</v>
      </c>
      <c r="M1242" s="13">
        <v>1.5</v>
      </c>
      <c r="N1242" s="13">
        <v>1.1000000000000001</v>
      </c>
      <c r="O1242" s="13">
        <v>2</v>
      </c>
      <c r="P1242" s="13">
        <v>1.2</v>
      </c>
      <c r="Q1242">
        <v>1.05</v>
      </c>
      <c r="R1242">
        <f t="shared" si="110"/>
        <v>0.47095746419981693</v>
      </c>
    </row>
    <row r="1243" spans="1:19" hidden="1" x14ac:dyDescent="0.2">
      <c r="Q1243" s="17"/>
    </row>
    <row r="1244" spans="1:19" hidden="1" x14ac:dyDescent="0.2">
      <c r="A1244" s="18" t="s">
        <v>50</v>
      </c>
      <c r="B1244" s="18" t="s">
        <v>388</v>
      </c>
      <c r="Q1244" s="17"/>
    </row>
    <row r="1245" spans="1:19" hidden="1" x14ac:dyDescent="0.2">
      <c r="A1245" s="17" t="s">
        <v>52</v>
      </c>
      <c r="B1245" s="17" t="s">
        <v>64</v>
      </c>
      <c r="Q1245" s="17"/>
    </row>
    <row r="1246" spans="1:19" hidden="1" x14ac:dyDescent="0.2">
      <c r="A1246" s="17" t="s">
        <v>53</v>
      </c>
      <c r="B1246" s="17">
        <v>1</v>
      </c>
      <c r="Q1246" s="17"/>
    </row>
    <row r="1247" spans="1:19" hidden="1" x14ac:dyDescent="0.2">
      <c r="A1247" s="17" t="s">
        <v>54</v>
      </c>
      <c r="B1247" s="17" t="s">
        <v>389</v>
      </c>
      <c r="Q1247" s="17"/>
    </row>
    <row r="1248" spans="1:19" hidden="1" x14ac:dyDescent="0.2">
      <c r="A1248" s="17" t="s">
        <v>61</v>
      </c>
      <c r="B1248" s="17" t="s">
        <v>121</v>
      </c>
      <c r="Q1248" s="17"/>
    </row>
    <row r="1249" spans="1:19" hidden="1" x14ac:dyDescent="0.2">
      <c r="A1249" s="17" t="s">
        <v>55</v>
      </c>
      <c r="B1249" s="17" t="s">
        <v>56</v>
      </c>
      <c r="Q1249" s="17"/>
    </row>
    <row r="1250" spans="1:19" hidden="1" x14ac:dyDescent="0.2">
      <c r="A1250" s="17" t="s">
        <v>63</v>
      </c>
      <c r="B1250" s="17" t="s">
        <v>390</v>
      </c>
      <c r="Q1250" s="17"/>
    </row>
    <row r="1251" spans="1:19" hidden="1" x14ac:dyDescent="0.2">
      <c r="A1251" s="17" t="s">
        <v>51</v>
      </c>
      <c r="B1251" s="17" t="s">
        <v>397</v>
      </c>
      <c r="Q1251" s="17"/>
    </row>
    <row r="1252" spans="1:19" hidden="1" x14ac:dyDescent="0.2">
      <c r="A1252" s="17" t="s">
        <v>391</v>
      </c>
      <c r="B1252" s="35">
        <f>parameters!B28</f>
        <v>5.8751529987760093E-2</v>
      </c>
      <c r="Q1252" s="17"/>
    </row>
    <row r="1253" spans="1:19" hidden="1" x14ac:dyDescent="0.2">
      <c r="A1253" s="17" t="s">
        <v>392</v>
      </c>
      <c r="B1253" s="17">
        <v>1</v>
      </c>
      <c r="Q1253" s="17"/>
    </row>
    <row r="1254" spans="1:19" hidden="1" x14ac:dyDescent="0.2">
      <c r="A1254" s="18" t="s">
        <v>57</v>
      </c>
      <c r="Q1254" s="17"/>
    </row>
    <row r="1255" spans="1:19" hidden="1" x14ac:dyDescent="0.2">
      <c r="A1255" s="18" t="s">
        <v>58</v>
      </c>
      <c r="B1255" s="18" t="s">
        <v>59</v>
      </c>
      <c r="C1255" s="18" t="s">
        <v>52</v>
      </c>
      <c r="D1255" s="18" t="s">
        <v>55</v>
      </c>
      <c r="E1255" s="18" t="s">
        <v>60</v>
      </c>
      <c r="F1255" s="18" t="s">
        <v>61</v>
      </c>
      <c r="G1255" s="18" t="s">
        <v>54</v>
      </c>
      <c r="H1255" s="18" t="s">
        <v>51</v>
      </c>
      <c r="I1255" s="18" t="s">
        <v>221</v>
      </c>
      <c r="J1255" s="2" t="s">
        <v>379</v>
      </c>
      <c r="K1255" s="62" t="s">
        <v>1059</v>
      </c>
      <c r="L1255" s="62" t="s">
        <v>1060</v>
      </c>
      <c r="M1255" s="62" t="s">
        <v>1061</v>
      </c>
      <c r="N1255" s="62" t="s">
        <v>1062</v>
      </c>
      <c r="O1255" s="62" t="s">
        <v>1063</v>
      </c>
      <c r="P1255" s="62" t="s">
        <v>1064</v>
      </c>
      <c r="Q1255" s="2" t="s">
        <v>1065</v>
      </c>
      <c r="R1255" s="2" t="s">
        <v>380</v>
      </c>
      <c r="S1255" s="18" t="s">
        <v>1128</v>
      </c>
    </row>
    <row r="1256" spans="1:19" hidden="1" x14ac:dyDescent="0.2">
      <c r="A1256" s="17" t="s">
        <v>388</v>
      </c>
      <c r="B1256" s="17">
        <v>1</v>
      </c>
      <c r="C1256" s="17" t="s">
        <v>64</v>
      </c>
      <c r="D1256" s="17" t="s">
        <v>56</v>
      </c>
      <c r="F1256" s="17" t="s">
        <v>62</v>
      </c>
      <c r="G1256" s="17" t="s">
        <v>389</v>
      </c>
      <c r="Q1256" s="17"/>
    </row>
    <row r="1257" spans="1:19" hidden="1" x14ac:dyDescent="0.2">
      <c r="A1257" s="17" t="s">
        <v>316</v>
      </c>
      <c r="B1257" s="17">
        <f>(1-B1252)*0.11</f>
        <v>0.10353733170134639</v>
      </c>
      <c r="D1257" s="17" t="s">
        <v>56</v>
      </c>
      <c r="E1257" s="17" t="s">
        <v>100</v>
      </c>
      <c r="F1257" s="17" t="s">
        <v>99</v>
      </c>
      <c r="H1257" s="17" t="s">
        <v>1067</v>
      </c>
      <c r="I1257" s="17">
        <v>2</v>
      </c>
      <c r="J1257">
        <f t="shared" ref="J1257:J1262" si="111">LN(B1257)</f>
        <v>-2.2678230385440798</v>
      </c>
      <c r="K1257" s="13">
        <v>1.1000000000000001</v>
      </c>
      <c r="L1257" s="13">
        <v>1.2</v>
      </c>
      <c r="M1257" s="13">
        <v>1</v>
      </c>
      <c r="N1257" s="13">
        <v>1.01</v>
      </c>
      <c r="O1257" s="13">
        <v>1.2</v>
      </c>
      <c r="P1257" s="13">
        <v>1.2</v>
      </c>
      <c r="Q1257" s="13">
        <v>1.05</v>
      </c>
      <c r="R1257">
        <f t="shared" ref="R1257:R1262" si="112">LN(SQRT(EXP(
SQRT(
+POWER(LN(K1257),2)
+POWER(LN(L1257),2)
+POWER(LN(M1257),2)
+POWER(LN(N1257),2)
+POWER(LN(O1257),2)
+POWER(LN(P1257),2)
+POWER(LN(Q1257),2)
)
)))</f>
        <v>0.16679850853156178</v>
      </c>
    </row>
    <row r="1258" spans="1:19" hidden="1" x14ac:dyDescent="0.2">
      <c r="A1258" s="17" t="s">
        <v>371</v>
      </c>
      <c r="B1258" s="17">
        <f>B1252*0.11</f>
        <v>6.4626682986536101E-3</v>
      </c>
      <c r="D1258" s="17" t="s">
        <v>56</v>
      </c>
      <c r="E1258" s="17" t="s">
        <v>100</v>
      </c>
      <c r="F1258" s="17" t="s">
        <v>99</v>
      </c>
      <c r="H1258" s="17" t="s">
        <v>1067</v>
      </c>
      <c r="I1258" s="17">
        <v>2</v>
      </c>
      <c r="J1258">
        <f t="shared" si="111"/>
        <v>-5.0417129971418326</v>
      </c>
      <c r="K1258" s="13">
        <v>1.1000000000000001</v>
      </c>
      <c r="L1258" s="13">
        <v>1.2</v>
      </c>
      <c r="M1258" s="13">
        <v>1</v>
      </c>
      <c r="N1258" s="13">
        <v>1.01</v>
      </c>
      <c r="O1258" s="13">
        <v>1.2</v>
      </c>
      <c r="P1258" s="13">
        <v>1.2</v>
      </c>
      <c r="Q1258" s="13">
        <v>1.05</v>
      </c>
      <c r="R1258">
        <f t="shared" si="112"/>
        <v>0.16679850853156178</v>
      </c>
    </row>
    <row r="1259" spans="1:19" hidden="1" x14ac:dyDescent="0.2">
      <c r="A1259" s="17" t="s">
        <v>288</v>
      </c>
      <c r="B1259" s="17">
        <f>9.66/1000</f>
        <v>9.6600000000000002E-3</v>
      </c>
      <c r="C1259" s="17" t="s">
        <v>96</v>
      </c>
      <c r="D1259" s="17" t="s">
        <v>56</v>
      </c>
      <c r="F1259" s="17" t="s">
        <v>86</v>
      </c>
      <c r="G1259" s="17" t="s">
        <v>287</v>
      </c>
      <c r="I1259" s="17">
        <v>2</v>
      </c>
      <c r="J1259">
        <f t="shared" si="111"/>
        <v>-4.6397616307577101</v>
      </c>
      <c r="K1259" s="13">
        <v>1.1000000000000001</v>
      </c>
      <c r="L1259" s="13">
        <v>1.2</v>
      </c>
      <c r="M1259" s="13">
        <v>1</v>
      </c>
      <c r="N1259" s="13">
        <v>1.01</v>
      </c>
      <c r="O1259" s="13">
        <v>1.2</v>
      </c>
      <c r="P1259" s="13">
        <v>1.2</v>
      </c>
      <c r="Q1259">
        <v>1.05</v>
      </c>
      <c r="R1259">
        <f t="shared" si="112"/>
        <v>0.16679850853156178</v>
      </c>
    </row>
    <row r="1260" spans="1:19" hidden="1" x14ac:dyDescent="0.2">
      <c r="A1260" s="17" t="s">
        <v>130</v>
      </c>
      <c r="B1260" s="17">
        <f>6.9/1000</f>
        <v>6.9000000000000008E-3</v>
      </c>
      <c r="C1260" s="17" t="s">
        <v>64</v>
      </c>
      <c r="D1260" s="17" t="s">
        <v>92</v>
      </c>
      <c r="F1260" s="17" t="s">
        <v>86</v>
      </c>
      <c r="G1260" s="17" t="s">
        <v>93</v>
      </c>
      <c r="I1260" s="17">
        <v>2</v>
      </c>
      <c r="J1260">
        <f t="shared" si="111"/>
        <v>-4.976233867378923</v>
      </c>
      <c r="K1260" s="13">
        <v>1.1000000000000001</v>
      </c>
      <c r="L1260" s="13">
        <v>1.2</v>
      </c>
      <c r="M1260" s="13">
        <v>1</v>
      </c>
      <c r="N1260" s="13">
        <v>1.01</v>
      </c>
      <c r="O1260" s="13">
        <v>1.2</v>
      </c>
      <c r="P1260" s="13">
        <v>1.2</v>
      </c>
      <c r="Q1260">
        <v>1.05</v>
      </c>
      <c r="R1260">
        <f t="shared" si="112"/>
        <v>0.16679850853156178</v>
      </c>
    </row>
    <row r="1261" spans="1:19" hidden="1" x14ac:dyDescent="0.2">
      <c r="A1261" s="17" t="s">
        <v>263</v>
      </c>
      <c r="B1261" s="17">
        <f>3.66*(1-0.26)</f>
        <v>2.7084000000000001</v>
      </c>
      <c r="C1261" s="17" t="s">
        <v>90</v>
      </c>
      <c r="D1261" s="17" t="s">
        <v>65</v>
      </c>
      <c r="F1261" s="17" t="s">
        <v>86</v>
      </c>
      <c r="G1261" s="17" t="s">
        <v>199</v>
      </c>
      <c r="I1261" s="17">
        <v>2</v>
      </c>
      <c r="J1261">
        <f t="shared" si="111"/>
        <v>0.99635805462935334</v>
      </c>
      <c r="K1261" s="13">
        <v>1.1000000000000001</v>
      </c>
      <c r="L1261" s="13">
        <v>1.2</v>
      </c>
      <c r="M1261" s="13">
        <v>1</v>
      </c>
      <c r="N1261" s="13">
        <v>1.01</v>
      </c>
      <c r="O1261" s="13">
        <v>1.2</v>
      </c>
      <c r="P1261" s="13">
        <v>1.2</v>
      </c>
      <c r="Q1261">
        <v>1.05</v>
      </c>
      <c r="R1261">
        <f t="shared" si="112"/>
        <v>0.16679850853156178</v>
      </c>
    </row>
    <row r="1262" spans="1:19" hidden="1" x14ac:dyDescent="0.2">
      <c r="A1262" s="17" t="s">
        <v>395</v>
      </c>
      <c r="B1262" s="17">
        <f>1/1000</f>
        <v>1E-3</v>
      </c>
      <c r="C1262" s="17" t="s">
        <v>85</v>
      </c>
      <c r="D1262" s="17" t="s">
        <v>56</v>
      </c>
      <c r="F1262" s="17" t="s">
        <v>86</v>
      </c>
      <c r="G1262" s="17" t="s">
        <v>396</v>
      </c>
      <c r="I1262" s="17">
        <v>2</v>
      </c>
      <c r="J1262">
        <f t="shared" si="111"/>
        <v>-6.9077552789821368</v>
      </c>
      <c r="K1262" s="13">
        <v>1.1000000000000001</v>
      </c>
      <c r="L1262" s="13">
        <v>1.2</v>
      </c>
      <c r="M1262" s="13">
        <v>1</v>
      </c>
      <c r="N1262" s="13">
        <v>1.01</v>
      </c>
      <c r="O1262" s="13">
        <v>1.2</v>
      </c>
      <c r="P1262" s="13">
        <v>1.2</v>
      </c>
      <c r="Q1262">
        <v>1.05</v>
      </c>
      <c r="R1262">
        <f t="shared" si="112"/>
        <v>0.16679850853156178</v>
      </c>
    </row>
    <row r="1263" spans="1:19" hidden="1" x14ac:dyDescent="0.2">
      <c r="Q1263" s="17"/>
    </row>
    <row r="1264" spans="1:19" hidden="1" x14ac:dyDescent="0.2">
      <c r="A1264" s="36" t="s">
        <v>50</v>
      </c>
      <c r="B1264" s="36" t="s">
        <v>411</v>
      </c>
      <c r="Q1264" s="17"/>
    </row>
    <row r="1265" spans="1:19" hidden="1" x14ac:dyDescent="0.2">
      <c r="A1265" s="17" t="s">
        <v>53</v>
      </c>
      <c r="B1265" s="17">
        <v>1</v>
      </c>
      <c r="Q1265" s="17"/>
    </row>
    <row r="1266" spans="1:19" hidden="1" x14ac:dyDescent="0.2">
      <c r="A1266" s="17" t="s">
        <v>51</v>
      </c>
      <c r="B1266" s="17" t="s">
        <v>412</v>
      </c>
      <c r="Q1266" s="17"/>
    </row>
    <row r="1267" spans="1:19" hidden="1" x14ac:dyDescent="0.2">
      <c r="A1267" s="17" t="s">
        <v>54</v>
      </c>
      <c r="B1267" s="17" t="s">
        <v>413</v>
      </c>
      <c r="Q1267" s="17"/>
    </row>
    <row r="1268" spans="1:19" hidden="1" x14ac:dyDescent="0.2">
      <c r="A1268" s="17" t="s">
        <v>61</v>
      </c>
      <c r="B1268" s="17" t="s">
        <v>121</v>
      </c>
      <c r="Q1268" s="17"/>
    </row>
    <row r="1269" spans="1:19" hidden="1" x14ac:dyDescent="0.2">
      <c r="A1269" s="17" t="s">
        <v>55</v>
      </c>
      <c r="B1269" s="17" t="s">
        <v>56</v>
      </c>
      <c r="Q1269" s="17"/>
    </row>
    <row r="1270" spans="1:19" hidden="1" x14ac:dyDescent="0.2">
      <c r="A1270" s="17" t="s">
        <v>63</v>
      </c>
      <c r="B1270" s="17" t="s">
        <v>414</v>
      </c>
      <c r="Q1270" s="17"/>
    </row>
    <row r="1271" spans="1:19" hidden="1" x14ac:dyDescent="0.2">
      <c r="A1271" s="17" t="s">
        <v>52</v>
      </c>
      <c r="B1271" s="17" t="s">
        <v>64</v>
      </c>
      <c r="Q1271" s="17"/>
    </row>
    <row r="1272" spans="1:19" hidden="1" x14ac:dyDescent="0.2">
      <c r="A1272" s="17" t="s">
        <v>51</v>
      </c>
      <c r="B1272" s="17" t="s">
        <v>415</v>
      </c>
      <c r="Q1272" s="17"/>
    </row>
    <row r="1273" spans="1:19" hidden="1" x14ac:dyDescent="0.2">
      <c r="A1273" s="17" t="s">
        <v>63</v>
      </c>
      <c r="B1273" s="17" t="s">
        <v>416</v>
      </c>
      <c r="Q1273" s="17"/>
    </row>
    <row r="1274" spans="1:19" hidden="1" x14ac:dyDescent="0.2">
      <c r="A1274" s="36" t="s">
        <v>57</v>
      </c>
      <c r="Q1274" s="17"/>
    </row>
    <row r="1275" spans="1:19" hidden="1" x14ac:dyDescent="0.2">
      <c r="A1275" s="36" t="s">
        <v>58</v>
      </c>
      <c r="B1275" s="36" t="s">
        <v>59</v>
      </c>
      <c r="C1275" s="36" t="s">
        <v>52</v>
      </c>
      <c r="D1275" s="36" t="s">
        <v>55</v>
      </c>
      <c r="E1275" s="36" t="s">
        <v>60</v>
      </c>
      <c r="F1275" s="36" t="s">
        <v>61</v>
      </c>
      <c r="G1275" s="36" t="s">
        <v>54</v>
      </c>
      <c r="H1275" s="36" t="s">
        <v>51</v>
      </c>
      <c r="I1275" s="18" t="s">
        <v>221</v>
      </c>
      <c r="J1275" s="2" t="s">
        <v>379</v>
      </c>
      <c r="K1275" s="62" t="s">
        <v>1059</v>
      </c>
      <c r="L1275" s="62" t="s">
        <v>1060</v>
      </c>
      <c r="M1275" s="62" t="s">
        <v>1061</v>
      </c>
      <c r="N1275" s="62" t="s">
        <v>1062</v>
      </c>
      <c r="O1275" s="62" t="s">
        <v>1063</v>
      </c>
      <c r="P1275" s="62" t="s">
        <v>1064</v>
      </c>
      <c r="Q1275" s="2" t="s">
        <v>1065</v>
      </c>
      <c r="R1275" s="2" t="s">
        <v>380</v>
      </c>
      <c r="S1275" s="18" t="s">
        <v>1128</v>
      </c>
    </row>
    <row r="1276" spans="1:19" hidden="1" x14ac:dyDescent="0.2">
      <c r="A1276" s="17" t="s">
        <v>417</v>
      </c>
      <c r="B1276" s="17">
        <v>1</v>
      </c>
      <c r="C1276" s="17" t="s">
        <v>64</v>
      </c>
      <c r="D1276" s="17" t="s">
        <v>56</v>
      </c>
      <c r="F1276" s="17" t="s">
        <v>86</v>
      </c>
      <c r="G1276" s="17" t="s">
        <v>418</v>
      </c>
      <c r="I1276" s="17">
        <v>2</v>
      </c>
      <c r="J1276">
        <f>LN(B1276)</f>
        <v>0</v>
      </c>
      <c r="K1276" s="13">
        <v>1.05</v>
      </c>
      <c r="L1276" s="13">
        <v>1.2</v>
      </c>
      <c r="M1276" s="13">
        <v>1.03</v>
      </c>
      <c r="N1276" s="13">
        <v>1.01</v>
      </c>
      <c r="O1276" s="13">
        <v>1.2</v>
      </c>
      <c r="P1276" s="13">
        <v>1.2</v>
      </c>
      <c r="Q1276">
        <v>1.05</v>
      </c>
      <c r="R1276">
        <f t="shared" ref="R1276" si="113">LN(SQRT(EXP(
SQRT(
+POWER(LN(K1276),2)
+POWER(LN(L1276),2)
+POWER(LN(M1276),2)
+POWER(LN(N1276),2)
+POWER(LN(O1276),2)
+POWER(LN(P1276),2)
+POWER(LN(Q1276),2)
)
)))</f>
        <v>0.1623708273741902</v>
      </c>
    </row>
    <row r="1277" spans="1:19" hidden="1" x14ac:dyDescent="0.2">
      <c r="A1277" s="17" t="s">
        <v>411</v>
      </c>
      <c r="B1277" s="17">
        <v>1</v>
      </c>
      <c r="C1277" s="17" t="s">
        <v>64</v>
      </c>
      <c r="D1277" s="17" t="s">
        <v>56</v>
      </c>
      <c r="F1277" s="17" t="s">
        <v>62</v>
      </c>
      <c r="G1277" s="17" t="s">
        <v>413</v>
      </c>
      <c r="Q1277" s="17"/>
    </row>
    <row r="1278" spans="1:19" hidden="1" x14ac:dyDescent="0.2">
      <c r="A1278" s="17" t="s">
        <v>263</v>
      </c>
      <c r="B1278" s="17">
        <v>3.5098030277376187</v>
      </c>
      <c r="C1278" s="17" t="s">
        <v>90</v>
      </c>
      <c r="D1278" s="17" t="s">
        <v>65</v>
      </c>
      <c r="F1278" s="17" t="s">
        <v>86</v>
      </c>
      <c r="G1278" s="17" t="s">
        <v>199</v>
      </c>
      <c r="I1278" s="17">
        <v>2</v>
      </c>
      <c r="J1278">
        <f t="shared" ref="J1278:J1286" si="114">LN(B1278)</f>
        <v>1.2555599184494612</v>
      </c>
      <c r="K1278" s="13">
        <v>1.05</v>
      </c>
      <c r="L1278" s="13">
        <v>1.2</v>
      </c>
      <c r="M1278" s="13">
        <v>1.03</v>
      </c>
      <c r="N1278" s="13">
        <v>1.01</v>
      </c>
      <c r="O1278" s="13">
        <v>1.2</v>
      </c>
      <c r="P1278" s="13">
        <v>1.2</v>
      </c>
      <c r="Q1278">
        <v>1.05</v>
      </c>
      <c r="R1278">
        <f t="shared" ref="R1278:R1286" si="115">LN(SQRT(EXP(
SQRT(
+POWER(LN(K1278),2)
+POWER(LN(L1278),2)
+POWER(LN(M1278),2)
+POWER(LN(N1278),2)
+POWER(LN(O1278),2)
+POWER(LN(P1278),2)
+POWER(LN(Q1278),2)
)
)))</f>
        <v>0.1623708273741902</v>
      </c>
    </row>
    <row r="1279" spans="1:19" hidden="1" x14ac:dyDescent="0.2">
      <c r="A1279" s="17" t="s">
        <v>316</v>
      </c>
      <c r="B1279" s="17">
        <f>0.13*(1-parameters!B26)</f>
        <v>0</v>
      </c>
      <c r="D1279" s="17" t="s">
        <v>56</v>
      </c>
      <c r="E1279" s="17" t="s">
        <v>100</v>
      </c>
      <c r="F1279" s="17" t="s">
        <v>99</v>
      </c>
      <c r="I1279" s="17">
        <v>0</v>
      </c>
      <c r="J1279"/>
      <c r="K1279" s="13"/>
      <c r="L1279" s="13"/>
      <c r="M1279" s="13"/>
      <c r="N1279" s="13"/>
      <c r="O1279" s="13"/>
      <c r="P1279" s="13"/>
      <c r="Q1279" s="13"/>
      <c r="R1279"/>
    </row>
    <row r="1280" spans="1:19" hidden="1" x14ac:dyDescent="0.2">
      <c r="A1280" s="17" t="s">
        <v>371</v>
      </c>
      <c r="B1280" s="17">
        <f>0.13*parameters!B26</f>
        <v>0.13</v>
      </c>
      <c r="D1280" s="17" t="s">
        <v>56</v>
      </c>
      <c r="E1280" s="17" t="s">
        <v>100</v>
      </c>
      <c r="F1280" s="17" t="s">
        <v>99</v>
      </c>
      <c r="I1280" s="17">
        <v>2</v>
      </c>
      <c r="J1280">
        <f t="shared" si="114"/>
        <v>-2.0402208285265546</v>
      </c>
      <c r="K1280" s="13">
        <v>1.05</v>
      </c>
      <c r="L1280" s="13">
        <v>1.2</v>
      </c>
      <c r="M1280" s="13">
        <v>1.03</v>
      </c>
      <c r="N1280" s="13">
        <v>1.01</v>
      </c>
      <c r="O1280" s="13">
        <v>1.2</v>
      </c>
      <c r="P1280" s="13">
        <v>1.2</v>
      </c>
      <c r="Q1280" s="13">
        <v>1.05</v>
      </c>
      <c r="R1280">
        <f t="shared" si="115"/>
        <v>0.1623708273741902</v>
      </c>
    </row>
    <row r="1281" spans="1:19" hidden="1" x14ac:dyDescent="0.2">
      <c r="A1281" s="17" t="s">
        <v>317</v>
      </c>
      <c r="B1281" s="17">
        <f>0.00000165*(1-parameters!B26)</f>
        <v>0</v>
      </c>
      <c r="D1281" s="17" t="s">
        <v>56</v>
      </c>
      <c r="E1281" s="17" t="s">
        <v>100</v>
      </c>
      <c r="F1281" s="17" t="s">
        <v>99</v>
      </c>
      <c r="I1281" s="17">
        <v>0</v>
      </c>
      <c r="J1281"/>
      <c r="K1281" s="13"/>
      <c r="L1281" s="13"/>
      <c r="M1281" s="13"/>
      <c r="N1281" s="13"/>
      <c r="O1281" s="13"/>
      <c r="P1281" s="13"/>
      <c r="Q1281" s="13"/>
      <c r="R1281"/>
    </row>
    <row r="1282" spans="1:19" hidden="1" x14ac:dyDescent="0.2">
      <c r="A1282" s="17" t="s">
        <v>400</v>
      </c>
      <c r="B1282" s="17">
        <f>0.00000165*parameters!B26</f>
        <v>1.6500000000000001E-6</v>
      </c>
      <c r="D1282" s="17" t="s">
        <v>56</v>
      </c>
      <c r="E1282" s="17" t="s">
        <v>100</v>
      </c>
      <c r="F1282" s="17" t="s">
        <v>99</v>
      </c>
      <c r="I1282" s="17">
        <v>2</v>
      </c>
      <c r="J1282">
        <f t="shared" si="114"/>
        <v>-13.314735270051784</v>
      </c>
      <c r="K1282" s="13">
        <v>1.05</v>
      </c>
      <c r="L1282" s="13">
        <v>1.2</v>
      </c>
      <c r="M1282" s="13">
        <v>1.03</v>
      </c>
      <c r="N1282" s="13">
        <v>1.01</v>
      </c>
      <c r="O1282" s="13">
        <v>1.2</v>
      </c>
      <c r="P1282" s="13">
        <v>1.2</v>
      </c>
      <c r="Q1282" s="13">
        <v>5</v>
      </c>
      <c r="R1282">
        <f t="shared" si="115"/>
        <v>0.82057404543850732</v>
      </c>
    </row>
    <row r="1283" spans="1:19" hidden="1" x14ac:dyDescent="0.2">
      <c r="A1283" s="17" t="s">
        <v>419</v>
      </c>
      <c r="B1283" s="17">
        <v>12.456827894327896</v>
      </c>
      <c r="C1283" s="17" t="s">
        <v>90</v>
      </c>
      <c r="D1283" s="17" t="s">
        <v>55</v>
      </c>
      <c r="F1283" s="17" t="s">
        <v>86</v>
      </c>
      <c r="G1283" s="17" t="s">
        <v>419</v>
      </c>
      <c r="I1283" s="17">
        <v>2</v>
      </c>
      <c r="J1283">
        <f t="shared" si="114"/>
        <v>2.5222688978277721</v>
      </c>
      <c r="K1283" s="13">
        <v>1.05</v>
      </c>
      <c r="L1283" s="13">
        <v>1.2</v>
      </c>
      <c r="M1283" s="13">
        <v>1.03</v>
      </c>
      <c r="N1283" s="13">
        <v>1.01</v>
      </c>
      <c r="O1283" s="13">
        <v>1.2</v>
      </c>
      <c r="P1283" s="13">
        <v>1.2</v>
      </c>
      <c r="Q1283">
        <v>3</v>
      </c>
      <c r="R1283">
        <f t="shared" si="115"/>
        <v>0.57228175382009561</v>
      </c>
    </row>
    <row r="1284" spans="1:19" hidden="1" x14ac:dyDescent="0.2">
      <c r="A1284" s="17" t="s">
        <v>288</v>
      </c>
      <c r="B1284" s="33">
        <v>77.28</v>
      </c>
      <c r="C1284" s="17" t="s">
        <v>64</v>
      </c>
      <c r="D1284" s="17" t="s">
        <v>56</v>
      </c>
      <c r="F1284" s="17" t="s">
        <v>86</v>
      </c>
      <c r="G1284" s="17" t="s">
        <v>287</v>
      </c>
      <c r="I1284" s="17">
        <v>2</v>
      </c>
      <c r="J1284">
        <f t="shared" si="114"/>
        <v>4.3474351899042629</v>
      </c>
      <c r="K1284" s="13">
        <v>1.05</v>
      </c>
      <c r="L1284" s="13">
        <v>1.2</v>
      </c>
      <c r="M1284" s="13">
        <v>1.03</v>
      </c>
      <c r="N1284" s="13">
        <v>1.01</v>
      </c>
      <c r="O1284" s="13">
        <v>1.2</v>
      </c>
      <c r="P1284" s="13">
        <v>1.2</v>
      </c>
      <c r="Q1284">
        <v>1.05</v>
      </c>
      <c r="R1284">
        <f t="shared" si="115"/>
        <v>0.1623708273741902</v>
      </c>
    </row>
    <row r="1285" spans="1:19" hidden="1" x14ac:dyDescent="0.2">
      <c r="A1285" s="17" t="s">
        <v>642</v>
      </c>
      <c r="B1285" s="31">
        <f>B1284*-1</f>
        <v>-77.28</v>
      </c>
      <c r="C1285" s="17" t="s">
        <v>96</v>
      </c>
      <c r="D1285" s="17" t="s">
        <v>120</v>
      </c>
      <c r="F1285" s="17" t="s">
        <v>86</v>
      </c>
      <c r="G1285" s="17" t="s">
        <v>243</v>
      </c>
      <c r="I1285" s="17">
        <v>2</v>
      </c>
      <c r="J1285">
        <f>LN(B1285*-1)</f>
        <v>4.3474351899042629</v>
      </c>
      <c r="K1285" s="13">
        <v>1.05</v>
      </c>
      <c r="L1285" s="13">
        <v>1.2</v>
      </c>
      <c r="M1285" s="13">
        <v>1.03</v>
      </c>
      <c r="N1285" s="13">
        <v>1.01</v>
      </c>
      <c r="O1285" s="13">
        <v>1.2</v>
      </c>
      <c r="P1285" s="13">
        <v>1.2</v>
      </c>
      <c r="Q1285">
        <v>1.05</v>
      </c>
      <c r="R1285">
        <f>LN(SQRT(EXP(
SQRT(
+POWER(LN(K1285),2)
+POWER(LN(L1285),2)
+POWER(LN(M1285),2)
+POWER(LN(N1285),2)
+POWER(LN(O1285),2)
+POWER(LN(P1285),2)
+POWER(LN(Q1285),2)
)
)))</f>
        <v>0.1623708273741902</v>
      </c>
      <c r="S1285" s="17" t="b">
        <v>1</v>
      </c>
    </row>
    <row r="1286" spans="1:19" hidden="1" x14ac:dyDescent="0.2">
      <c r="A1286" s="17" t="s">
        <v>7</v>
      </c>
      <c r="B1286" s="17">
        <v>2.5000000000000001E-2</v>
      </c>
      <c r="D1286" s="17" t="s">
        <v>56</v>
      </c>
      <c r="E1286" s="17" t="s">
        <v>100</v>
      </c>
      <c r="F1286" s="17" t="s">
        <v>99</v>
      </c>
      <c r="H1286" s="17" t="s">
        <v>1222</v>
      </c>
      <c r="I1286" s="17">
        <v>2</v>
      </c>
      <c r="J1286">
        <f t="shared" si="114"/>
        <v>-3.6888794541139363</v>
      </c>
      <c r="K1286" s="13">
        <v>1.05</v>
      </c>
      <c r="L1286" s="13">
        <v>1.2</v>
      </c>
      <c r="M1286" s="13">
        <v>1.03</v>
      </c>
      <c r="N1286" s="13">
        <v>1.01</v>
      </c>
      <c r="O1286" s="13">
        <v>1.2</v>
      </c>
      <c r="P1286" s="13">
        <v>1.2</v>
      </c>
      <c r="Q1286" s="13">
        <v>5</v>
      </c>
      <c r="R1286">
        <f t="shared" si="115"/>
        <v>0.82057404543850732</v>
      </c>
    </row>
    <row r="1287" spans="1:19" hidden="1" x14ac:dyDescent="0.2">
      <c r="Q1287" s="17"/>
    </row>
    <row r="1288" spans="1:19" hidden="1" x14ac:dyDescent="0.2">
      <c r="A1288" s="18" t="s">
        <v>50</v>
      </c>
      <c r="B1288" s="36" t="s">
        <v>417</v>
      </c>
      <c r="Q1288" s="17"/>
    </row>
    <row r="1289" spans="1:19" hidden="1" x14ac:dyDescent="0.2">
      <c r="A1289" s="17" t="s">
        <v>53</v>
      </c>
      <c r="B1289" s="17">
        <v>1</v>
      </c>
      <c r="Q1289" s="17"/>
    </row>
    <row r="1290" spans="1:19" hidden="1" x14ac:dyDescent="0.2">
      <c r="A1290" s="17" t="s">
        <v>54</v>
      </c>
      <c r="B1290" s="17" t="s">
        <v>418</v>
      </c>
      <c r="Q1290" s="17"/>
    </row>
    <row r="1291" spans="1:19" hidden="1" x14ac:dyDescent="0.2">
      <c r="A1291" s="17" t="s">
        <v>61</v>
      </c>
      <c r="B1291" s="17" t="s">
        <v>121</v>
      </c>
      <c r="Q1291" s="17"/>
    </row>
    <row r="1292" spans="1:19" hidden="1" x14ac:dyDescent="0.2">
      <c r="A1292" s="17" t="s">
        <v>55</v>
      </c>
      <c r="B1292" s="17" t="s">
        <v>56</v>
      </c>
      <c r="Q1292" s="17"/>
    </row>
    <row r="1293" spans="1:19" hidden="1" x14ac:dyDescent="0.2">
      <c r="A1293" s="17" t="s">
        <v>52</v>
      </c>
      <c r="B1293" s="17" t="s">
        <v>64</v>
      </c>
      <c r="Q1293" s="17"/>
    </row>
    <row r="1294" spans="1:19" hidden="1" x14ac:dyDescent="0.2">
      <c r="A1294" s="17" t="s">
        <v>51</v>
      </c>
      <c r="B1294" s="17" t="s">
        <v>1012</v>
      </c>
      <c r="Q1294" s="17"/>
    </row>
    <row r="1295" spans="1:19" hidden="1" x14ac:dyDescent="0.2">
      <c r="A1295" s="17" t="s">
        <v>63</v>
      </c>
      <c r="B1295" s="17" t="s">
        <v>416</v>
      </c>
      <c r="Q1295" s="17"/>
    </row>
    <row r="1296" spans="1:19" hidden="1" x14ac:dyDescent="0.2">
      <c r="A1296" s="18" t="s">
        <v>57</v>
      </c>
      <c r="Q1296" s="17"/>
    </row>
    <row r="1297" spans="1:19" hidden="1" x14ac:dyDescent="0.2">
      <c r="A1297" s="18" t="s">
        <v>58</v>
      </c>
      <c r="B1297" s="18" t="s">
        <v>59</v>
      </c>
      <c r="C1297" s="18" t="s">
        <v>52</v>
      </c>
      <c r="D1297" s="18" t="s">
        <v>55</v>
      </c>
      <c r="E1297" s="18" t="s">
        <v>60</v>
      </c>
      <c r="F1297" s="18" t="s">
        <v>61</v>
      </c>
      <c r="G1297" s="18" t="s">
        <v>54</v>
      </c>
      <c r="H1297" s="18" t="s">
        <v>51</v>
      </c>
      <c r="I1297" s="18" t="s">
        <v>221</v>
      </c>
      <c r="J1297" s="2" t="s">
        <v>379</v>
      </c>
      <c r="K1297" s="62" t="s">
        <v>1059</v>
      </c>
      <c r="L1297" s="62" t="s">
        <v>1060</v>
      </c>
      <c r="M1297" s="62" t="s">
        <v>1061</v>
      </c>
      <c r="N1297" s="62" t="s">
        <v>1062</v>
      </c>
      <c r="O1297" s="62" t="s">
        <v>1063</v>
      </c>
      <c r="P1297" s="62" t="s">
        <v>1064</v>
      </c>
      <c r="Q1297" s="2" t="s">
        <v>1065</v>
      </c>
      <c r="R1297" s="2" t="s">
        <v>380</v>
      </c>
      <c r="S1297" s="18" t="s">
        <v>1128</v>
      </c>
    </row>
    <row r="1298" spans="1:19" hidden="1" x14ac:dyDescent="0.2">
      <c r="A1298" s="17" t="s">
        <v>419</v>
      </c>
      <c r="B1298" s="17">
        <f>12.89</f>
        <v>12.89</v>
      </c>
      <c r="C1298" s="17" t="s">
        <v>90</v>
      </c>
      <c r="D1298" s="17" t="s">
        <v>55</v>
      </c>
      <c r="F1298" s="17" t="s">
        <v>86</v>
      </c>
      <c r="G1298" s="17" t="s">
        <v>419</v>
      </c>
      <c r="I1298" s="17">
        <v>2</v>
      </c>
      <c r="J1298">
        <f>LN(B1298)</f>
        <v>2.5564518169510961</v>
      </c>
      <c r="K1298" s="13">
        <v>1.05</v>
      </c>
      <c r="L1298" s="13">
        <v>1.2</v>
      </c>
      <c r="M1298" s="13">
        <v>1.03</v>
      </c>
      <c r="N1298" s="13">
        <v>1.01</v>
      </c>
      <c r="O1298" s="13">
        <v>1.2</v>
      </c>
      <c r="P1298" s="13">
        <v>1.2</v>
      </c>
      <c r="Q1298">
        <v>3</v>
      </c>
      <c r="R1298">
        <f t="shared" ref="R1298" si="116">LN(SQRT(EXP(
SQRT(
+POWER(LN(K1298),2)
+POWER(LN(L1298),2)
+POWER(LN(M1298),2)
+POWER(LN(N1298),2)
+POWER(LN(O1298),2)
+POWER(LN(P1298),2)
+POWER(LN(Q1298),2)
)
)))</f>
        <v>0.57228175382009561</v>
      </c>
    </row>
    <row r="1299" spans="1:19" hidden="1" x14ac:dyDescent="0.2">
      <c r="A1299" s="17" t="s">
        <v>417</v>
      </c>
      <c r="B1299" s="17">
        <v>1</v>
      </c>
      <c r="C1299" s="17" t="s">
        <v>64</v>
      </c>
      <c r="D1299" s="17" t="s">
        <v>56</v>
      </c>
      <c r="F1299" s="17" t="s">
        <v>62</v>
      </c>
      <c r="G1299" s="17" t="s">
        <v>418</v>
      </c>
      <c r="Q1299" s="17"/>
    </row>
    <row r="1300" spans="1:19" hidden="1" x14ac:dyDescent="0.2">
      <c r="A1300" s="17" t="s">
        <v>288</v>
      </c>
      <c r="B1300" s="33">
        <f>((3090000*1000)/44900000)</f>
        <v>68.819599109131403</v>
      </c>
      <c r="C1300" s="17" t="s">
        <v>64</v>
      </c>
      <c r="D1300" s="17" t="s">
        <v>56</v>
      </c>
      <c r="F1300" s="17" t="s">
        <v>86</v>
      </c>
      <c r="G1300" s="17" t="s">
        <v>287</v>
      </c>
      <c r="I1300" s="17">
        <v>2</v>
      </c>
      <c r="J1300">
        <f t="shared" ref="J1300:J1307" si="117">LN(B1300)</f>
        <v>4.2314885751435822</v>
      </c>
      <c r="K1300" s="13">
        <v>1.05</v>
      </c>
      <c r="L1300" s="13">
        <v>1.2</v>
      </c>
      <c r="M1300" s="13">
        <v>1.03</v>
      </c>
      <c r="N1300" s="13">
        <v>1.01</v>
      </c>
      <c r="O1300" s="13">
        <v>1.2</v>
      </c>
      <c r="P1300" s="13">
        <v>1.2</v>
      </c>
      <c r="Q1300">
        <v>1.05</v>
      </c>
      <c r="R1300">
        <f t="shared" ref="R1300:R1307" si="118">LN(SQRT(EXP(
SQRT(
+POWER(LN(K1300),2)
+POWER(LN(L1300),2)
+POWER(LN(M1300),2)
+POWER(LN(N1300),2)
+POWER(LN(O1300),2)
+POWER(LN(P1300),2)
+POWER(LN(Q1300),2)
)
)))</f>
        <v>0.1623708273741902</v>
      </c>
    </row>
    <row r="1301" spans="1:19" hidden="1" x14ac:dyDescent="0.2">
      <c r="A1301" s="17" t="s">
        <v>130</v>
      </c>
      <c r="B1301" s="33">
        <f>(13600*1000)/44900000</f>
        <v>0.30289532293986637</v>
      </c>
      <c r="C1301" s="17" t="s">
        <v>64</v>
      </c>
      <c r="D1301" s="17" t="s">
        <v>92</v>
      </c>
      <c r="F1301" s="17" t="s">
        <v>86</v>
      </c>
      <c r="G1301" s="17" t="s">
        <v>93</v>
      </c>
      <c r="I1301" s="17">
        <v>2</v>
      </c>
      <c r="J1301">
        <f t="shared" si="117"/>
        <v>-1.1943680020062022</v>
      </c>
      <c r="K1301" s="13">
        <v>1.05</v>
      </c>
      <c r="L1301" s="13">
        <v>1.2</v>
      </c>
      <c r="M1301" s="13">
        <v>1.03</v>
      </c>
      <c r="N1301" s="13">
        <v>1.01</v>
      </c>
      <c r="O1301" s="13">
        <v>1.2</v>
      </c>
      <c r="P1301" s="13">
        <v>1.2</v>
      </c>
      <c r="Q1301">
        <v>1.05</v>
      </c>
      <c r="R1301">
        <f t="shared" si="118"/>
        <v>0.1623708273741902</v>
      </c>
    </row>
    <row r="1302" spans="1:19" hidden="1" x14ac:dyDescent="0.2">
      <c r="A1302" s="17" t="s">
        <v>350</v>
      </c>
      <c r="B1302" s="33">
        <f>356/44900000</f>
        <v>7.9287305122494425E-6</v>
      </c>
      <c r="C1302" s="17" t="s">
        <v>85</v>
      </c>
      <c r="D1302" s="17" t="s">
        <v>56</v>
      </c>
      <c r="F1302" s="17" t="s">
        <v>86</v>
      </c>
      <c r="G1302" s="17" t="s">
        <v>351</v>
      </c>
      <c r="I1302" s="17">
        <v>2</v>
      </c>
      <c r="J1302">
        <f t="shared" si="117"/>
        <v>-11.745017621860452</v>
      </c>
      <c r="K1302" s="13">
        <v>1.05</v>
      </c>
      <c r="L1302" s="13">
        <v>1.2</v>
      </c>
      <c r="M1302" s="13">
        <v>1.03</v>
      </c>
      <c r="N1302" s="13">
        <v>1.01</v>
      </c>
      <c r="O1302" s="13">
        <v>1.2</v>
      </c>
      <c r="P1302" s="13">
        <v>1.2</v>
      </c>
      <c r="Q1302">
        <v>1.05</v>
      </c>
      <c r="R1302">
        <f t="shared" si="118"/>
        <v>0.1623708273741902</v>
      </c>
    </row>
    <row r="1303" spans="1:19" hidden="1" x14ac:dyDescent="0.2">
      <c r="A1303" s="17" t="s">
        <v>334</v>
      </c>
      <c r="B1303" s="33">
        <f>949/44900000</f>
        <v>2.11358574610245E-5</v>
      </c>
      <c r="C1303" s="17" t="s">
        <v>85</v>
      </c>
      <c r="D1303" s="17" t="s">
        <v>56</v>
      </c>
      <c r="F1303" s="17" t="s">
        <v>86</v>
      </c>
      <c r="G1303" s="17" t="s">
        <v>335</v>
      </c>
      <c r="I1303" s="17">
        <v>2</v>
      </c>
      <c r="J1303">
        <f t="shared" si="117"/>
        <v>-10.764539554102555</v>
      </c>
      <c r="K1303" s="13">
        <v>1.05</v>
      </c>
      <c r="L1303" s="13">
        <v>1.2</v>
      </c>
      <c r="M1303" s="13">
        <v>1.03</v>
      </c>
      <c r="N1303" s="13">
        <v>1.01</v>
      </c>
      <c r="O1303" s="13">
        <v>1.2</v>
      </c>
      <c r="P1303" s="13">
        <v>1.2</v>
      </c>
      <c r="Q1303">
        <v>1.05</v>
      </c>
      <c r="R1303">
        <f t="shared" si="118"/>
        <v>0.1623708273741902</v>
      </c>
    </row>
    <row r="1304" spans="1:19" hidden="1" x14ac:dyDescent="0.2">
      <c r="A1304" s="17" t="s">
        <v>329</v>
      </c>
      <c r="B1304" s="33">
        <f>178/44900000</f>
        <v>3.9643652561247212E-6</v>
      </c>
      <c r="C1304" s="17" t="s">
        <v>330</v>
      </c>
      <c r="D1304" s="17" t="s">
        <v>56</v>
      </c>
      <c r="F1304" s="17" t="s">
        <v>86</v>
      </c>
      <c r="G1304" s="17" t="s">
        <v>331</v>
      </c>
      <c r="I1304" s="17">
        <v>2</v>
      </c>
      <c r="J1304">
        <f t="shared" si="117"/>
        <v>-12.438164802420397</v>
      </c>
      <c r="K1304" s="13">
        <v>1.05</v>
      </c>
      <c r="L1304" s="13">
        <v>1.2</v>
      </c>
      <c r="M1304" s="13">
        <v>1.03</v>
      </c>
      <c r="N1304" s="13">
        <v>1.01</v>
      </c>
      <c r="O1304" s="13">
        <v>1.2</v>
      </c>
      <c r="P1304" s="13">
        <v>1.2</v>
      </c>
      <c r="Q1304">
        <v>1.05</v>
      </c>
      <c r="R1304">
        <f t="shared" si="118"/>
        <v>0.1623708273741902</v>
      </c>
    </row>
    <row r="1305" spans="1:19" hidden="1" x14ac:dyDescent="0.2">
      <c r="A1305" s="25" t="s">
        <v>813</v>
      </c>
      <c r="B1305" s="33">
        <v>0.20300000000000001</v>
      </c>
      <c r="C1305" s="17" t="s">
        <v>64</v>
      </c>
      <c r="D1305" s="17" t="s">
        <v>56</v>
      </c>
      <c r="F1305" s="17" t="s">
        <v>86</v>
      </c>
      <c r="G1305" s="17" t="s">
        <v>814</v>
      </c>
      <c r="I1305" s="17">
        <v>2</v>
      </c>
      <c r="J1305">
        <f t="shared" si="117"/>
        <v>-1.5945492999403497</v>
      </c>
      <c r="K1305" s="13">
        <v>1.05</v>
      </c>
      <c r="L1305" s="13">
        <v>1.2</v>
      </c>
      <c r="M1305" s="13">
        <v>1.03</v>
      </c>
      <c r="N1305" s="13">
        <v>1.01</v>
      </c>
      <c r="O1305" s="13">
        <v>1.2</v>
      </c>
      <c r="P1305" s="13">
        <v>1.2</v>
      </c>
      <c r="Q1305">
        <v>1.05</v>
      </c>
      <c r="R1305">
        <f t="shared" si="118"/>
        <v>0.1623708273741902</v>
      </c>
    </row>
    <row r="1306" spans="1:19" hidden="1" x14ac:dyDescent="0.2">
      <c r="A1306" s="17" t="s">
        <v>433</v>
      </c>
      <c r="B1306" s="33">
        <v>1.69</v>
      </c>
      <c r="C1306" s="17" t="s">
        <v>64</v>
      </c>
      <c r="D1306" s="17" t="s">
        <v>56</v>
      </c>
      <c r="F1306" s="17" t="s">
        <v>86</v>
      </c>
      <c r="G1306" s="17" t="s">
        <v>377</v>
      </c>
      <c r="I1306" s="17">
        <v>2</v>
      </c>
      <c r="J1306">
        <f t="shared" si="117"/>
        <v>0.52472852893498212</v>
      </c>
      <c r="K1306" s="13">
        <v>1.05</v>
      </c>
      <c r="L1306" s="13">
        <v>1.2</v>
      </c>
      <c r="M1306" s="13">
        <v>1.03</v>
      </c>
      <c r="N1306" s="13">
        <v>1.01</v>
      </c>
      <c r="O1306" s="13">
        <v>1.2</v>
      </c>
      <c r="P1306" s="13">
        <v>1.2</v>
      </c>
      <c r="Q1306">
        <v>1.05</v>
      </c>
      <c r="R1306">
        <f t="shared" si="118"/>
        <v>0.1623708273741902</v>
      </c>
    </row>
    <row r="1307" spans="1:19" hidden="1" x14ac:dyDescent="0.2">
      <c r="A1307" s="17" t="s">
        <v>427</v>
      </c>
      <c r="B1307" s="25">
        <v>1.6800000000000002E-8</v>
      </c>
      <c r="C1307" s="17" t="s">
        <v>85</v>
      </c>
      <c r="D1307" s="17" t="s">
        <v>55</v>
      </c>
      <c r="F1307" s="17" t="s">
        <v>86</v>
      </c>
      <c r="G1307" s="17" t="s">
        <v>428</v>
      </c>
      <c r="I1307" s="17">
        <v>2</v>
      </c>
      <c r="J1307">
        <f t="shared" si="117"/>
        <v>-17.901886950537197</v>
      </c>
      <c r="K1307" s="13">
        <v>1.05</v>
      </c>
      <c r="L1307" s="13">
        <v>1.2</v>
      </c>
      <c r="M1307" s="13">
        <v>1.03</v>
      </c>
      <c r="N1307" s="13">
        <v>1.01</v>
      </c>
      <c r="O1307" s="13">
        <v>1.2</v>
      </c>
      <c r="P1307" s="13">
        <v>1.2</v>
      </c>
      <c r="Q1307">
        <v>3</v>
      </c>
      <c r="R1307">
        <f t="shared" si="118"/>
        <v>0.57228175382009561</v>
      </c>
    </row>
    <row r="1308" spans="1:19" hidden="1" x14ac:dyDescent="0.2">
      <c r="A1308" s="17" t="s">
        <v>642</v>
      </c>
      <c r="B1308" s="25">
        <f>-B1300/1000</f>
        <v>-6.8819599109131407E-2</v>
      </c>
      <c r="C1308" s="17" t="s">
        <v>96</v>
      </c>
      <c r="D1308" s="17" t="s">
        <v>120</v>
      </c>
      <c r="F1308" s="17" t="s">
        <v>86</v>
      </c>
      <c r="G1308" s="17" t="s">
        <v>243</v>
      </c>
      <c r="I1308" s="17">
        <v>2</v>
      </c>
      <c r="J1308">
        <f>LN(B1308*-1)</f>
        <v>-2.6762667038385546</v>
      </c>
      <c r="K1308" s="13">
        <v>1.05</v>
      </c>
      <c r="L1308" s="13">
        <v>1.2</v>
      </c>
      <c r="M1308" s="13">
        <v>1.03</v>
      </c>
      <c r="N1308" s="13">
        <v>1.01</v>
      </c>
      <c r="O1308" s="13">
        <v>1.2</v>
      </c>
      <c r="P1308" s="13">
        <v>1.2</v>
      </c>
      <c r="Q1308">
        <v>1.05</v>
      </c>
      <c r="R1308">
        <f>LN(SQRT(EXP(
SQRT(
+POWER(LN(K1308),2)
+POWER(LN(L1308),2)
+POWER(LN(M1308),2)
+POWER(LN(N1308),2)
+POWER(LN(O1308),2)
+POWER(LN(P1308),2)
+POWER(LN(Q1308),2)
)
)))</f>
        <v>0.1623708273741902</v>
      </c>
      <c r="S1308" s="17" t="b">
        <v>1</v>
      </c>
    </row>
    <row r="1309" spans="1:19" hidden="1" x14ac:dyDescent="0.2">
      <c r="Q1309" s="17"/>
    </row>
    <row r="1310" spans="1:19" hidden="1" x14ac:dyDescent="0.2">
      <c r="A1310" s="36" t="s">
        <v>50</v>
      </c>
      <c r="B1310" s="36" t="s">
        <v>429</v>
      </c>
      <c r="Q1310" s="17"/>
    </row>
    <row r="1311" spans="1:19" hidden="1" x14ac:dyDescent="0.2">
      <c r="A1311" s="17" t="s">
        <v>53</v>
      </c>
      <c r="B1311" s="17">
        <v>1</v>
      </c>
      <c r="Q1311" s="17"/>
    </row>
    <row r="1312" spans="1:19" hidden="1" x14ac:dyDescent="0.2">
      <c r="A1312" s="17" t="s">
        <v>51</v>
      </c>
      <c r="B1312" s="17" t="s">
        <v>412</v>
      </c>
      <c r="Q1312" s="17"/>
    </row>
    <row r="1313" spans="1:19" hidden="1" x14ac:dyDescent="0.2">
      <c r="A1313" s="17" t="s">
        <v>54</v>
      </c>
      <c r="B1313" s="17" t="s">
        <v>413</v>
      </c>
      <c r="Q1313" s="17"/>
    </row>
    <row r="1314" spans="1:19" hidden="1" x14ac:dyDescent="0.2">
      <c r="A1314" s="17" t="s">
        <v>61</v>
      </c>
      <c r="B1314" s="17" t="s">
        <v>121</v>
      </c>
      <c r="Q1314" s="17"/>
    </row>
    <row r="1315" spans="1:19" hidden="1" x14ac:dyDescent="0.2">
      <c r="A1315" s="17" t="s">
        <v>55</v>
      </c>
      <c r="B1315" s="17" t="s">
        <v>56</v>
      </c>
      <c r="Q1315" s="17"/>
    </row>
    <row r="1316" spans="1:19" hidden="1" x14ac:dyDescent="0.2">
      <c r="A1316" s="17" t="s">
        <v>63</v>
      </c>
      <c r="B1316" s="17" t="s">
        <v>414</v>
      </c>
      <c r="Q1316" s="17"/>
    </row>
    <row r="1317" spans="1:19" hidden="1" x14ac:dyDescent="0.2">
      <c r="A1317" s="17" t="s">
        <v>52</v>
      </c>
      <c r="B1317" s="17" t="s">
        <v>64</v>
      </c>
      <c r="Q1317" s="17"/>
    </row>
    <row r="1318" spans="1:19" hidden="1" x14ac:dyDescent="0.2">
      <c r="A1318" s="17" t="s">
        <v>51</v>
      </c>
      <c r="B1318" s="17" t="s">
        <v>415</v>
      </c>
      <c r="Q1318" s="17"/>
    </row>
    <row r="1319" spans="1:19" hidden="1" x14ac:dyDescent="0.2">
      <c r="A1319" s="17" t="s">
        <v>63</v>
      </c>
      <c r="B1319" s="17" t="s">
        <v>416</v>
      </c>
      <c r="Q1319" s="17"/>
    </row>
    <row r="1320" spans="1:19" hidden="1" x14ac:dyDescent="0.2">
      <c r="A1320" s="36" t="s">
        <v>57</v>
      </c>
      <c r="Q1320" s="17"/>
    </row>
    <row r="1321" spans="1:19" hidden="1" x14ac:dyDescent="0.2">
      <c r="A1321" s="36" t="s">
        <v>58</v>
      </c>
      <c r="B1321" s="36" t="s">
        <v>59</v>
      </c>
      <c r="C1321" s="36" t="s">
        <v>52</v>
      </c>
      <c r="D1321" s="36" t="s">
        <v>55</v>
      </c>
      <c r="E1321" s="36" t="s">
        <v>60</v>
      </c>
      <c r="F1321" s="36" t="s">
        <v>61</v>
      </c>
      <c r="G1321" s="36" t="s">
        <v>54</v>
      </c>
      <c r="H1321" s="36" t="s">
        <v>51</v>
      </c>
      <c r="I1321" s="18" t="s">
        <v>221</v>
      </c>
      <c r="J1321" s="2" t="s">
        <v>379</v>
      </c>
      <c r="K1321" s="62" t="s">
        <v>1059</v>
      </c>
      <c r="L1321" s="62" t="s">
        <v>1060</v>
      </c>
      <c r="M1321" s="62" t="s">
        <v>1061</v>
      </c>
      <c r="N1321" s="62" t="s">
        <v>1062</v>
      </c>
      <c r="O1321" s="62" t="s">
        <v>1063</v>
      </c>
      <c r="P1321" s="62" t="s">
        <v>1064</v>
      </c>
      <c r="Q1321" s="2" t="s">
        <v>1065</v>
      </c>
      <c r="R1321" s="2" t="s">
        <v>380</v>
      </c>
      <c r="S1321" s="18" t="s">
        <v>1128</v>
      </c>
    </row>
    <row r="1322" spans="1:19" hidden="1" x14ac:dyDescent="0.2">
      <c r="A1322" s="17" t="s">
        <v>430</v>
      </c>
      <c r="B1322" s="17">
        <v>1</v>
      </c>
      <c r="C1322" s="17" t="s">
        <v>64</v>
      </c>
      <c r="D1322" s="17" t="s">
        <v>56</v>
      </c>
      <c r="F1322" s="17" t="s">
        <v>86</v>
      </c>
      <c r="G1322" s="17" t="s">
        <v>418</v>
      </c>
      <c r="I1322" s="17">
        <v>2</v>
      </c>
      <c r="J1322">
        <f>LN(B1322)</f>
        <v>0</v>
      </c>
      <c r="K1322" s="13">
        <v>1.05</v>
      </c>
      <c r="L1322" s="13">
        <v>1.2</v>
      </c>
      <c r="M1322" s="13">
        <v>1.03</v>
      </c>
      <c r="N1322" s="13">
        <v>1.01</v>
      </c>
      <c r="O1322" s="13">
        <v>1.2</v>
      </c>
      <c r="P1322" s="13">
        <v>1.2</v>
      </c>
      <c r="Q1322">
        <v>1.05</v>
      </c>
      <c r="R1322">
        <f t="shared" ref="R1322" si="119">LN(SQRT(EXP(
SQRT(
+POWER(LN(K1322),2)
+POWER(LN(L1322),2)
+POWER(LN(M1322),2)
+POWER(LN(N1322),2)
+POWER(LN(O1322),2)
+POWER(LN(P1322),2)
+POWER(LN(Q1322),2)
)
)))</f>
        <v>0.1623708273741902</v>
      </c>
    </row>
    <row r="1323" spans="1:19" hidden="1" x14ac:dyDescent="0.2">
      <c r="A1323" s="17" t="s">
        <v>429</v>
      </c>
      <c r="B1323" s="17">
        <v>1</v>
      </c>
      <c r="C1323" s="17" t="s">
        <v>64</v>
      </c>
      <c r="D1323" s="17" t="s">
        <v>56</v>
      </c>
      <c r="F1323" s="17" t="s">
        <v>62</v>
      </c>
      <c r="G1323" s="17" t="s">
        <v>413</v>
      </c>
      <c r="Q1323" s="17"/>
    </row>
    <row r="1324" spans="1:19" hidden="1" x14ac:dyDescent="0.2">
      <c r="A1324" s="17" t="s">
        <v>263</v>
      </c>
      <c r="B1324" s="17">
        <v>3.5098030277376187</v>
      </c>
      <c r="C1324" s="17" t="s">
        <v>90</v>
      </c>
      <c r="D1324" s="17" t="s">
        <v>65</v>
      </c>
      <c r="F1324" s="17" t="s">
        <v>86</v>
      </c>
      <c r="G1324" s="17" t="s">
        <v>199</v>
      </c>
      <c r="I1324" s="17">
        <v>2</v>
      </c>
      <c r="J1324">
        <f t="shared" ref="J1324:J1330" si="120">LN(B1324)</f>
        <v>1.2555599184494612</v>
      </c>
      <c r="K1324" s="13">
        <v>1.05</v>
      </c>
      <c r="L1324" s="13">
        <v>1.2</v>
      </c>
      <c r="M1324" s="13">
        <v>1.03</v>
      </c>
      <c r="N1324" s="13">
        <v>1.01</v>
      </c>
      <c r="O1324" s="13">
        <v>1.2</v>
      </c>
      <c r="P1324" s="13">
        <v>1.2</v>
      </c>
      <c r="Q1324">
        <v>1.05</v>
      </c>
      <c r="R1324">
        <f t="shared" ref="R1324:R1330" si="121">LN(SQRT(EXP(
SQRT(
+POWER(LN(K1324),2)
+POWER(LN(L1324),2)
+POWER(LN(M1324),2)
+POWER(LN(N1324),2)
+POWER(LN(O1324),2)
+POWER(LN(P1324),2)
+POWER(LN(Q1324),2)
)
)))</f>
        <v>0.1623708273741902</v>
      </c>
    </row>
    <row r="1325" spans="1:19" hidden="1" x14ac:dyDescent="0.2">
      <c r="A1325" s="17" t="s">
        <v>316</v>
      </c>
      <c r="B1325" s="17">
        <f>0.13*(1-parameters!B27)</f>
        <v>5.0227272727272725E-2</v>
      </c>
      <c r="D1325" s="17" t="s">
        <v>56</v>
      </c>
      <c r="E1325" s="17" t="s">
        <v>100</v>
      </c>
      <c r="F1325" s="17" t="s">
        <v>99</v>
      </c>
      <c r="I1325" s="17">
        <v>2</v>
      </c>
      <c r="J1325">
        <f t="shared" si="120"/>
        <v>-2.9911971183885999</v>
      </c>
      <c r="K1325" s="13">
        <v>1.05</v>
      </c>
      <c r="L1325" s="13">
        <v>1.2</v>
      </c>
      <c r="M1325" s="13">
        <v>1.03</v>
      </c>
      <c r="N1325" s="13">
        <v>1.01</v>
      </c>
      <c r="O1325" s="13">
        <v>1.2</v>
      </c>
      <c r="P1325" s="13">
        <v>1.2</v>
      </c>
      <c r="Q1325" s="13">
        <v>1.05</v>
      </c>
      <c r="R1325">
        <f t="shared" si="121"/>
        <v>0.1623708273741902</v>
      </c>
    </row>
    <row r="1326" spans="1:19" hidden="1" x14ac:dyDescent="0.2">
      <c r="A1326" s="17" t="s">
        <v>371</v>
      </c>
      <c r="B1326" s="17">
        <f>0.13*parameters!B27</f>
        <v>7.9772727272727273E-2</v>
      </c>
      <c r="D1326" s="17" t="s">
        <v>56</v>
      </c>
      <c r="E1326" s="17" t="s">
        <v>100</v>
      </c>
      <c r="F1326" s="17" t="s">
        <v>99</v>
      </c>
      <c r="I1326" s="17">
        <v>2</v>
      </c>
      <c r="J1326">
        <f t="shared" si="120"/>
        <v>-2.5285735964404865</v>
      </c>
      <c r="K1326" s="13">
        <v>1.05</v>
      </c>
      <c r="L1326" s="13">
        <v>1.2</v>
      </c>
      <c r="M1326" s="13">
        <v>1.03</v>
      </c>
      <c r="N1326" s="13">
        <v>1.01</v>
      </c>
      <c r="O1326" s="13">
        <v>1.2</v>
      </c>
      <c r="P1326" s="13">
        <v>1.2</v>
      </c>
      <c r="Q1326" s="13">
        <v>1.05</v>
      </c>
      <c r="R1326">
        <f t="shared" si="121"/>
        <v>0.1623708273741902</v>
      </c>
    </row>
    <row r="1327" spans="1:19" hidden="1" x14ac:dyDescent="0.2">
      <c r="A1327" s="17" t="s">
        <v>317</v>
      </c>
      <c r="B1327" s="17">
        <f>0.00000165*(1-parameters!B27)</f>
        <v>6.3750000000000004E-7</v>
      </c>
      <c r="D1327" s="17" t="s">
        <v>56</v>
      </c>
      <c r="E1327" s="17" t="s">
        <v>100</v>
      </c>
      <c r="F1327" s="17" t="s">
        <v>99</v>
      </c>
      <c r="I1327" s="17">
        <v>2</v>
      </c>
      <c r="J1327">
        <f t="shared" si="120"/>
        <v>-14.26571155991383</v>
      </c>
      <c r="K1327" s="13">
        <v>1.05</v>
      </c>
      <c r="L1327" s="13">
        <v>1.2</v>
      </c>
      <c r="M1327" s="13">
        <v>1.03</v>
      </c>
      <c r="N1327" s="13">
        <v>1.01</v>
      </c>
      <c r="O1327" s="13">
        <v>1.2</v>
      </c>
      <c r="P1327" s="13">
        <v>1.2</v>
      </c>
      <c r="Q1327" s="13">
        <v>5</v>
      </c>
      <c r="R1327">
        <f t="shared" si="121"/>
        <v>0.82057404543850732</v>
      </c>
    </row>
    <row r="1328" spans="1:19" hidden="1" x14ac:dyDescent="0.2">
      <c r="A1328" s="17" t="s">
        <v>400</v>
      </c>
      <c r="B1328" s="17">
        <f>0.00000165*parameters!B27</f>
        <v>1.0125E-6</v>
      </c>
      <c r="D1328" s="17" t="s">
        <v>56</v>
      </c>
      <c r="E1328" s="17" t="s">
        <v>100</v>
      </c>
      <c r="F1328" s="17" t="s">
        <v>99</v>
      </c>
      <c r="I1328" s="17">
        <v>2</v>
      </c>
      <c r="J1328">
        <f t="shared" si="120"/>
        <v>-13.803088037965717</v>
      </c>
      <c r="K1328" s="13">
        <v>1.05</v>
      </c>
      <c r="L1328" s="13">
        <v>1.2</v>
      </c>
      <c r="M1328" s="13">
        <v>1.03</v>
      </c>
      <c r="N1328" s="13">
        <v>1.01</v>
      </c>
      <c r="O1328" s="13">
        <v>1.2</v>
      </c>
      <c r="P1328" s="13">
        <v>1.2</v>
      </c>
      <c r="Q1328" s="13">
        <v>5</v>
      </c>
      <c r="R1328">
        <f t="shared" si="121"/>
        <v>0.82057404543850732</v>
      </c>
    </row>
    <row r="1329" spans="1:19" hidden="1" x14ac:dyDescent="0.2">
      <c r="A1329" s="17" t="s">
        <v>419</v>
      </c>
      <c r="B1329" s="17">
        <v>12.456827894327896</v>
      </c>
      <c r="C1329" s="17" t="s">
        <v>90</v>
      </c>
      <c r="D1329" s="17" t="s">
        <v>55</v>
      </c>
      <c r="F1329" s="17" t="s">
        <v>86</v>
      </c>
      <c r="G1329" s="17" t="s">
        <v>419</v>
      </c>
      <c r="I1329" s="17">
        <v>2</v>
      </c>
      <c r="J1329">
        <f t="shared" si="120"/>
        <v>2.5222688978277721</v>
      </c>
      <c r="K1329" s="13">
        <v>1.05</v>
      </c>
      <c r="L1329" s="13">
        <v>1.2</v>
      </c>
      <c r="M1329" s="13">
        <v>1.03</v>
      </c>
      <c r="N1329" s="13">
        <v>1.01</v>
      </c>
      <c r="O1329" s="13">
        <v>1.2</v>
      </c>
      <c r="P1329" s="13">
        <v>1.2</v>
      </c>
      <c r="Q1329">
        <v>3</v>
      </c>
      <c r="R1329">
        <f t="shared" si="121"/>
        <v>0.57228175382009561</v>
      </c>
    </row>
    <row r="1330" spans="1:19" hidden="1" x14ac:dyDescent="0.2">
      <c r="A1330" s="17" t="s">
        <v>288</v>
      </c>
      <c r="B1330" s="33">
        <v>77.28</v>
      </c>
      <c r="C1330" s="17" t="s">
        <v>64</v>
      </c>
      <c r="D1330" s="17" t="s">
        <v>56</v>
      </c>
      <c r="F1330" s="17" t="s">
        <v>86</v>
      </c>
      <c r="G1330" s="17" t="s">
        <v>287</v>
      </c>
      <c r="I1330" s="17">
        <v>2</v>
      </c>
      <c r="J1330">
        <f t="shared" si="120"/>
        <v>4.3474351899042629</v>
      </c>
      <c r="K1330" s="13">
        <v>1.05</v>
      </c>
      <c r="L1330" s="13">
        <v>1.2</v>
      </c>
      <c r="M1330" s="13">
        <v>1.03</v>
      </c>
      <c r="N1330" s="13">
        <v>1.01</v>
      </c>
      <c r="O1330" s="13">
        <v>1.2</v>
      </c>
      <c r="P1330" s="13">
        <v>1.2</v>
      </c>
      <c r="Q1330">
        <v>1.05</v>
      </c>
      <c r="R1330">
        <f t="shared" si="121"/>
        <v>0.1623708273741902</v>
      </c>
    </row>
    <row r="1331" spans="1:19" hidden="1" x14ac:dyDescent="0.2">
      <c r="A1331" s="17" t="s">
        <v>642</v>
      </c>
      <c r="B1331" s="31">
        <f>B1330*-1</f>
        <v>-77.28</v>
      </c>
      <c r="C1331" s="17" t="s">
        <v>96</v>
      </c>
      <c r="D1331" s="17" t="s">
        <v>120</v>
      </c>
      <c r="F1331" s="17" t="s">
        <v>86</v>
      </c>
      <c r="G1331" s="17" t="s">
        <v>243</v>
      </c>
      <c r="I1331" s="17">
        <v>2</v>
      </c>
      <c r="J1331">
        <f>LN(B1331*-1)</f>
        <v>4.3474351899042629</v>
      </c>
      <c r="K1331" s="13">
        <v>1.05</v>
      </c>
      <c r="L1331" s="13">
        <v>1.2</v>
      </c>
      <c r="M1331" s="13">
        <v>1.03</v>
      </c>
      <c r="N1331" s="13">
        <v>1.01</v>
      </c>
      <c r="O1331" s="13">
        <v>1.2</v>
      </c>
      <c r="P1331" s="13">
        <v>1.2</v>
      </c>
      <c r="Q1331">
        <v>1.05</v>
      </c>
      <c r="R1331">
        <f>LN(SQRT(EXP(
SQRT(
+POWER(LN(K1331),2)
+POWER(LN(L1331),2)
+POWER(LN(M1331),2)
+POWER(LN(N1331),2)
+POWER(LN(O1331),2)
+POWER(LN(P1331),2)
+POWER(LN(Q1331),2)
)
)))</f>
        <v>0.1623708273741902</v>
      </c>
      <c r="S1331" s="17" t="b">
        <v>1</v>
      </c>
    </row>
    <row r="1332" spans="1:19" hidden="1" x14ac:dyDescent="0.2">
      <c r="A1332" s="17" t="s">
        <v>7</v>
      </c>
      <c r="B1332" s="17">
        <v>2.5000000000000001E-2</v>
      </c>
      <c r="D1332" s="17" t="s">
        <v>56</v>
      </c>
      <c r="E1332" s="17" t="s">
        <v>100</v>
      </c>
      <c r="F1332" s="17" t="s">
        <v>99</v>
      </c>
      <c r="H1332" s="17" t="s">
        <v>1222</v>
      </c>
      <c r="I1332" s="17">
        <v>2</v>
      </c>
      <c r="J1332">
        <f t="shared" ref="J1332" si="122">LN(B1332)</f>
        <v>-3.6888794541139363</v>
      </c>
      <c r="K1332" s="13">
        <v>1.05</v>
      </c>
      <c r="L1332" s="13">
        <v>1.2</v>
      </c>
      <c r="M1332" s="13">
        <v>1.03</v>
      </c>
      <c r="N1332" s="13">
        <v>1.01</v>
      </c>
      <c r="O1332" s="13">
        <v>1.2</v>
      </c>
      <c r="P1332" s="13">
        <v>1.2</v>
      </c>
      <c r="Q1332" s="13">
        <v>5</v>
      </c>
      <c r="R1332">
        <f t="shared" ref="R1332" si="123">LN(SQRT(EXP(
SQRT(
+POWER(LN(K1332),2)
+POWER(LN(L1332),2)
+POWER(LN(M1332),2)
+POWER(LN(N1332),2)
+POWER(LN(O1332),2)
+POWER(LN(P1332),2)
+POWER(LN(Q1332),2)
)
)))</f>
        <v>0.82057404543850732</v>
      </c>
    </row>
    <row r="1333" spans="1:19" hidden="1" x14ac:dyDescent="0.2">
      <c r="Q1333" s="17"/>
    </row>
    <row r="1334" spans="1:19" hidden="1" x14ac:dyDescent="0.2">
      <c r="A1334" s="18" t="s">
        <v>50</v>
      </c>
      <c r="B1334" s="36" t="s">
        <v>430</v>
      </c>
      <c r="Q1334" s="17"/>
    </row>
    <row r="1335" spans="1:19" hidden="1" x14ac:dyDescent="0.2">
      <c r="A1335" s="17" t="s">
        <v>53</v>
      </c>
      <c r="B1335" s="17">
        <v>1</v>
      </c>
      <c r="Q1335" s="17"/>
    </row>
    <row r="1336" spans="1:19" hidden="1" x14ac:dyDescent="0.2">
      <c r="A1336" s="17" t="s">
        <v>54</v>
      </c>
      <c r="B1336" s="17" t="s">
        <v>418</v>
      </c>
      <c r="Q1336" s="17"/>
    </row>
    <row r="1337" spans="1:19" hidden="1" x14ac:dyDescent="0.2">
      <c r="A1337" s="17" t="s">
        <v>61</v>
      </c>
      <c r="B1337" s="17" t="s">
        <v>121</v>
      </c>
      <c r="Q1337" s="17"/>
    </row>
    <row r="1338" spans="1:19" hidden="1" x14ac:dyDescent="0.2">
      <c r="A1338" s="17" t="s">
        <v>55</v>
      </c>
      <c r="B1338" s="17" t="s">
        <v>56</v>
      </c>
      <c r="Q1338" s="17"/>
    </row>
    <row r="1339" spans="1:19" hidden="1" x14ac:dyDescent="0.2">
      <c r="A1339" s="17" t="s">
        <v>52</v>
      </c>
      <c r="B1339" s="17" t="s">
        <v>64</v>
      </c>
      <c r="Q1339" s="17"/>
    </row>
    <row r="1340" spans="1:19" hidden="1" x14ac:dyDescent="0.2">
      <c r="A1340" s="17" t="s">
        <v>51</v>
      </c>
      <c r="B1340" s="17" t="s">
        <v>1012</v>
      </c>
      <c r="Q1340" s="17"/>
    </row>
    <row r="1341" spans="1:19" hidden="1" x14ac:dyDescent="0.2">
      <c r="A1341" s="17" t="s">
        <v>63</v>
      </c>
      <c r="B1341" s="17" t="s">
        <v>416</v>
      </c>
      <c r="Q1341" s="17"/>
    </row>
    <row r="1342" spans="1:19" hidden="1" x14ac:dyDescent="0.2">
      <c r="A1342" s="18" t="s">
        <v>57</v>
      </c>
      <c r="Q1342" s="17"/>
    </row>
    <row r="1343" spans="1:19" hidden="1" x14ac:dyDescent="0.2">
      <c r="A1343" s="18" t="s">
        <v>58</v>
      </c>
      <c r="B1343" s="18" t="s">
        <v>59</v>
      </c>
      <c r="C1343" s="18" t="s">
        <v>52</v>
      </c>
      <c r="D1343" s="18" t="s">
        <v>55</v>
      </c>
      <c r="E1343" s="18" t="s">
        <v>60</v>
      </c>
      <c r="F1343" s="18" t="s">
        <v>61</v>
      </c>
      <c r="G1343" s="18" t="s">
        <v>54</v>
      </c>
      <c r="H1343" s="18" t="s">
        <v>51</v>
      </c>
      <c r="I1343" s="18" t="s">
        <v>221</v>
      </c>
      <c r="J1343" s="2" t="s">
        <v>379</v>
      </c>
      <c r="K1343" s="62" t="s">
        <v>1059</v>
      </c>
      <c r="L1343" s="62" t="s">
        <v>1060</v>
      </c>
      <c r="M1343" s="62" t="s">
        <v>1061</v>
      </c>
      <c r="N1343" s="62" t="s">
        <v>1062</v>
      </c>
      <c r="O1343" s="62" t="s">
        <v>1063</v>
      </c>
      <c r="P1343" s="62" t="s">
        <v>1064</v>
      </c>
      <c r="Q1343" s="2" t="s">
        <v>1065</v>
      </c>
      <c r="R1343" s="2" t="s">
        <v>380</v>
      </c>
      <c r="S1343" s="18" t="s">
        <v>1128</v>
      </c>
    </row>
    <row r="1344" spans="1:19" hidden="1" x14ac:dyDescent="0.2">
      <c r="A1344" s="17" t="s">
        <v>419</v>
      </c>
      <c r="B1344" s="17">
        <f>12.89</f>
        <v>12.89</v>
      </c>
      <c r="C1344" s="17" t="s">
        <v>90</v>
      </c>
      <c r="D1344" s="17" t="s">
        <v>55</v>
      </c>
      <c r="F1344" s="17" t="s">
        <v>86</v>
      </c>
      <c r="G1344" s="17" t="s">
        <v>419</v>
      </c>
      <c r="I1344" s="17">
        <v>2</v>
      </c>
      <c r="J1344">
        <f>LN(B1344)</f>
        <v>2.5564518169510961</v>
      </c>
      <c r="K1344" s="13">
        <v>1.05</v>
      </c>
      <c r="L1344" s="13">
        <v>1.2</v>
      </c>
      <c r="M1344" s="13">
        <v>1.03</v>
      </c>
      <c r="N1344" s="13">
        <v>1.01</v>
      </c>
      <c r="O1344" s="13">
        <v>1.2</v>
      </c>
      <c r="P1344" s="13">
        <v>1.2</v>
      </c>
      <c r="Q1344">
        <v>3</v>
      </c>
      <c r="R1344">
        <f t="shared" ref="R1344" si="124">LN(SQRT(EXP(
SQRT(
+POWER(LN(K1344),2)
+POWER(LN(L1344),2)
+POWER(LN(M1344),2)
+POWER(LN(N1344),2)
+POWER(LN(O1344),2)
+POWER(LN(P1344),2)
+POWER(LN(Q1344),2)
)
)))</f>
        <v>0.57228175382009561</v>
      </c>
    </row>
    <row r="1345" spans="1:19" hidden="1" x14ac:dyDescent="0.2">
      <c r="A1345" s="17" t="s">
        <v>430</v>
      </c>
      <c r="B1345" s="17">
        <v>1</v>
      </c>
      <c r="C1345" s="17" t="s">
        <v>64</v>
      </c>
      <c r="D1345" s="17" t="s">
        <v>56</v>
      </c>
      <c r="F1345" s="17" t="s">
        <v>62</v>
      </c>
      <c r="G1345" s="17" t="s">
        <v>418</v>
      </c>
      <c r="Q1345" s="17"/>
    </row>
    <row r="1346" spans="1:19" hidden="1" x14ac:dyDescent="0.2">
      <c r="A1346" s="17" t="s">
        <v>288</v>
      </c>
      <c r="B1346" s="33">
        <f>((3090000*1000)/44900000)</f>
        <v>68.819599109131403</v>
      </c>
      <c r="C1346" s="17" t="s">
        <v>64</v>
      </c>
      <c r="D1346" s="17" t="s">
        <v>56</v>
      </c>
      <c r="F1346" s="17" t="s">
        <v>86</v>
      </c>
      <c r="G1346" s="17" t="s">
        <v>287</v>
      </c>
      <c r="I1346" s="17">
        <v>2</v>
      </c>
      <c r="J1346">
        <f t="shared" ref="J1346:J1352" si="125">LN(B1346)</f>
        <v>4.2314885751435822</v>
      </c>
      <c r="K1346" s="13">
        <v>1.05</v>
      </c>
      <c r="L1346" s="13">
        <v>1.2</v>
      </c>
      <c r="M1346" s="13">
        <v>1.03</v>
      </c>
      <c r="N1346" s="13">
        <v>1.01</v>
      </c>
      <c r="O1346" s="13">
        <v>1.2</v>
      </c>
      <c r="P1346" s="13">
        <v>1.2</v>
      </c>
      <c r="Q1346">
        <v>1.05</v>
      </c>
      <c r="R1346">
        <f t="shared" ref="R1346:R1352" si="126">LN(SQRT(EXP(
SQRT(
+POWER(LN(K1346),2)
+POWER(LN(L1346),2)
+POWER(LN(M1346),2)
+POWER(LN(N1346),2)
+POWER(LN(O1346),2)
+POWER(LN(P1346),2)
+POWER(LN(Q1346),2)
)
)))</f>
        <v>0.1623708273741902</v>
      </c>
    </row>
    <row r="1347" spans="1:19" hidden="1" x14ac:dyDescent="0.2">
      <c r="A1347" s="17" t="s">
        <v>130</v>
      </c>
      <c r="B1347" s="33">
        <f>(13600*1000)/44900000</f>
        <v>0.30289532293986637</v>
      </c>
      <c r="C1347" s="17" t="s">
        <v>64</v>
      </c>
      <c r="D1347" s="17" t="s">
        <v>92</v>
      </c>
      <c r="F1347" s="17" t="s">
        <v>86</v>
      </c>
      <c r="G1347" s="17" t="s">
        <v>93</v>
      </c>
      <c r="I1347" s="17">
        <v>2</v>
      </c>
      <c r="J1347">
        <f t="shared" si="125"/>
        <v>-1.1943680020062022</v>
      </c>
      <c r="K1347" s="13">
        <v>1.05</v>
      </c>
      <c r="L1347" s="13">
        <v>1.2</v>
      </c>
      <c r="M1347" s="13">
        <v>1.03</v>
      </c>
      <c r="N1347" s="13">
        <v>1.01</v>
      </c>
      <c r="O1347" s="13">
        <v>1.2</v>
      </c>
      <c r="P1347" s="13">
        <v>1.2</v>
      </c>
      <c r="Q1347">
        <v>1.05</v>
      </c>
      <c r="R1347">
        <f t="shared" si="126"/>
        <v>0.1623708273741902</v>
      </c>
    </row>
    <row r="1348" spans="1:19" hidden="1" x14ac:dyDescent="0.2">
      <c r="A1348" s="17" t="s">
        <v>350</v>
      </c>
      <c r="B1348" s="25">
        <f>356/44900000</f>
        <v>7.9287305122494425E-6</v>
      </c>
      <c r="C1348" s="17" t="s">
        <v>85</v>
      </c>
      <c r="D1348" s="17" t="s">
        <v>56</v>
      </c>
      <c r="F1348" s="17" t="s">
        <v>86</v>
      </c>
      <c r="G1348" s="17" t="s">
        <v>351</v>
      </c>
      <c r="I1348" s="17">
        <v>2</v>
      </c>
      <c r="J1348">
        <f t="shared" si="125"/>
        <v>-11.745017621860452</v>
      </c>
      <c r="K1348" s="13">
        <v>1.05</v>
      </c>
      <c r="L1348" s="13">
        <v>1.2</v>
      </c>
      <c r="M1348" s="13">
        <v>1.03</v>
      </c>
      <c r="N1348" s="13">
        <v>1.01</v>
      </c>
      <c r="O1348" s="13">
        <v>1.2</v>
      </c>
      <c r="P1348" s="13">
        <v>1.2</v>
      </c>
      <c r="Q1348">
        <v>1.05</v>
      </c>
      <c r="R1348">
        <f t="shared" si="126"/>
        <v>0.1623708273741902</v>
      </c>
    </row>
    <row r="1349" spans="1:19" hidden="1" x14ac:dyDescent="0.2">
      <c r="A1349" s="17" t="s">
        <v>334</v>
      </c>
      <c r="B1349" s="25">
        <f>949/44900000</f>
        <v>2.11358574610245E-5</v>
      </c>
      <c r="C1349" s="17" t="s">
        <v>85</v>
      </c>
      <c r="D1349" s="17" t="s">
        <v>56</v>
      </c>
      <c r="F1349" s="17" t="s">
        <v>86</v>
      </c>
      <c r="G1349" s="17" t="s">
        <v>335</v>
      </c>
      <c r="I1349" s="17">
        <v>2</v>
      </c>
      <c r="J1349">
        <f t="shared" si="125"/>
        <v>-10.764539554102555</v>
      </c>
      <c r="K1349" s="13">
        <v>1.05</v>
      </c>
      <c r="L1349" s="13">
        <v>1.2</v>
      </c>
      <c r="M1349" s="13">
        <v>1.03</v>
      </c>
      <c r="N1349" s="13">
        <v>1.01</v>
      </c>
      <c r="O1349" s="13">
        <v>1.2</v>
      </c>
      <c r="P1349" s="13">
        <v>1.2</v>
      </c>
      <c r="Q1349">
        <v>1.05</v>
      </c>
      <c r="R1349">
        <f t="shared" si="126"/>
        <v>0.1623708273741902</v>
      </c>
    </row>
    <row r="1350" spans="1:19" hidden="1" x14ac:dyDescent="0.2">
      <c r="A1350" s="17" t="s">
        <v>329</v>
      </c>
      <c r="B1350" s="25">
        <f>178/44900000</f>
        <v>3.9643652561247212E-6</v>
      </c>
      <c r="C1350" s="17" t="s">
        <v>330</v>
      </c>
      <c r="D1350" s="17" t="s">
        <v>56</v>
      </c>
      <c r="F1350" s="17" t="s">
        <v>86</v>
      </c>
      <c r="G1350" s="17" t="s">
        <v>331</v>
      </c>
      <c r="I1350" s="17">
        <v>2</v>
      </c>
      <c r="J1350">
        <f t="shared" si="125"/>
        <v>-12.438164802420397</v>
      </c>
      <c r="K1350" s="13">
        <v>1.05</v>
      </c>
      <c r="L1350" s="13">
        <v>1.2</v>
      </c>
      <c r="M1350" s="13">
        <v>1.03</v>
      </c>
      <c r="N1350" s="13">
        <v>1.01</v>
      </c>
      <c r="O1350" s="13">
        <v>1.2</v>
      </c>
      <c r="P1350" s="13">
        <v>1.2</v>
      </c>
      <c r="Q1350">
        <v>1.05</v>
      </c>
      <c r="R1350">
        <f t="shared" si="126"/>
        <v>0.1623708273741902</v>
      </c>
    </row>
    <row r="1351" spans="1:19" hidden="1" x14ac:dyDescent="0.2">
      <c r="A1351" s="25" t="s">
        <v>813</v>
      </c>
      <c r="B1351" s="33">
        <v>0.20300000000000001</v>
      </c>
      <c r="C1351" s="17" t="s">
        <v>64</v>
      </c>
      <c r="D1351" s="17" t="s">
        <v>56</v>
      </c>
      <c r="F1351" s="17" t="s">
        <v>86</v>
      </c>
      <c r="G1351" s="17" t="s">
        <v>814</v>
      </c>
      <c r="I1351" s="17">
        <v>2</v>
      </c>
      <c r="J1351">
        <f t="shared" si="125"/>
        <v>-1.5945492999403497</v>
      </c>
      <c r="K1351" s="13">
        <v>1.05</v>
      </c>
      <c r="L1351" s="13">
        <v>1.2</v>
      </c>
      <c r="M1351" s="13">
        <v>1.03</v>
      </c>
      <c r="N1351" s="13">
        <v>1.01</v>
      </c>
      <c r="O1351" s="13">
        <v>1.2</v>
      </c>
      <c r="P1351" s="13">
        <v>1.2</v>
      </c>
      <c r="Q1351">
        <v>1.05</v>
      </c>
      <c r="R1351">
        <f t="shared" si="126"/>
        <v>0.1623708273741902</v>
      </c>
    </row>
    <row r="1352" spans="1:19" hidden="1" x14ac:dyDescent="0.2">
      <c r="A1352" s="17" t="s">
        <v>803</v>
      </c>
      <c r="B1352" s="33">
        <v>1.69</v>
      </c>
      <c r="C1352" s="17" t="s">
        <v>64</v>
      </c>
      <c r="D1352" s="17" t="s">
        <v>56</v>
      </c>
      <c r="F1352" s="17" t="s">
        <v>86</v>
      </c>
      <c r="G1352" s="17" t="s">
        <v>389</v>
      </c>
      <c r="I1352" s="17">
        <v>2</v>
      </c>
      <c r="J1352">
        <f t="shared" si="125"/>
        <v>0.52472852893498212</v>
      </c>
      <c r="K1352" s="13">
        <v>1.05</v>
      </c>
      <c r="L1352" s="13">
        <v>1.2</v>
      </c>
      <c r="M1352" s="13">
        <v>1.03</v>
      </c>
      <c r="N1352" s="13">
        <v>1.01</v>
      </c>
      <c r="O1352" s="13">
        <v>1.2</v>
      </c>
      <c r="P1352" s="13">
        <v>1.2</v>
      </c>
      <c r="Q1352">
        <v>1.05</v>
      </c>
      <c r="R1352">
        <f t="shared" si="126"/>
        <v>0.1623708273741902</v>
      </c>
    </row>
    <row r="1353" spans="1:19" hidden="1" x14ac:dyDescent="0.2">
      <c r="A1353" s="17" t="s">
        <v>427</v>
      </c>
      <c r="B1353" s="25">
        <v>1.6800000000000002E-8</v>
      </c>
      <c r="C1353" s="17" t="s">
        <v>85</v>
      </c>
      <c r="D1353" s="17" t="s">
        <v>55</v>
      </c>
      <c r="F1353" s="17" t="s">
        <v>86</v>
      </c>
      <c r="G1353" s="17" t="s">
        <v>428</v>
      </c>
      <c r="I1353" s="17">
        <v>2</v>
      </c>
      <c r="J1353">
        <f t="shared" ref="J1353" si="127">LN(B1353)</f>
        <v>-17.901886950537197</v>
      </c>
      <c r="K1353" s="13">
        <v>1.05</v>
      </c>
      <c r="L1353" s="13">
        <v>1.2</v>
      </c>
      <c r="M1353" s="13">
        <v>1.03</v>
      </c>
      <c r="N1353" s="13">
        <v>1.01</v>
      </c>
      <c r="O1353" s="13">
        <v>1.2</v>
      </c>
      <c r="P1353" s="13">
        <v>1.2</v>
      </c>
      <c r="Q1353">
        <v>3</v>
      </c>
      <c r="R1353">
        <f t="shared" ref="R1353" si="128">LN(SQRT(EXP(
SQRT(
+POWER(LN(K1353),2)
+POWER(LN(L1353),2)
+POWER(LN(M1353),2)
+POWER(LN(N1353),2)
+POWER(LN(O1353),2)
+POWER(LN(P1353),2)
+POWER(LN(Q1353),2)
)
)))</f>
        <v>0.57228175382009561</v>
      </c>
    </row>
    <row r="1354" spans="1:19" hidden="1" x14ac:dyDescent="0.2">
      <c r="A1354" s="17" t="s">
        <v>642</v>
      </c>
      <c r="B1354" s="25">
        <f>-B1346/1000</f>
        <v>-6.8819599109131407E-2</v>
      </c>
      <c r="C1354" s="17" t="s">
        <v>96</v>
      </c>
      <c r="D1354" s="17" t="s">
        <v>120</v>
      </c>
      <c r="F1354" s="17" t="s">
        <v>86</v>
      </c>
      <c r="G1354" s="17" t="s">
        <v>243</v>
      </c>
      <c r="I1354" s="17">
        <v>2</v>
      </c>
      <c r="J1354">
        <f>LN(B1354*-1)</f>
        <v>-2.6762667038385546</v>
      </c>
      <c r="K1354" s="13">
        <v>1.05</v>
      </c>
      <c r="L1354" s="13">
        <v>1.2</v>
      </c>
      <c r="M1354" s="13">
        <v>1.03</v>
      </c>
      <c r="N1354" s="13">
        <v>1.01</v>
      </c>
      <c r="O1354" s="13">
        <v>1.2</v>
      </c>
      <c r="P1354" s="13">
        <v>1.2</v>
      </c>
      <c r="Q1354">
        <v>1.05</v>
      </c>
      <c r="R1354">
        <f>LN(SQRT(EXP(
SQRT(
+POWER(LN(K1354),2)
+POWER(LN(L1354),2)
+POWER(LN(M1354),2)
+POWER(LN(N1354),2)
+POWER(LN(O1354),2)
+POWER(LN(P1354),2)
+POWER(LN(Q1354),2)
)
)))</f>
        <v>0.1623708273741902</v>
      </c>
      <c r="S1354" s="17" t="b">
        <v>1</v>
      </c>
    </row>
    <row r="1355" spans="1:19" hidden="1" x14ac:dyDescent="0.2">
      <c r="Q1355" s="17"/>
    </row>
    <row r="1356" spans="1:19" hidden="1" x14ac:dyDescent="0.2">
      <c r="A1356" s="36" t="s">
        <v>50</v>
      </c>
      <c r="B1356" s="36" t="s">
        <v>431</v>
      </c>
      <c r="Q1356" s="17"/>
    </row>
    <row r="1357" spans="1:19" hidden="1" x14ac:dyDescent="0.2">
      <c r="A1357" s="17" t="s">
        <v>53</v>
      </c>
      <c r="B1357" s="17">
        <v>1</v>
      </c>
      <c r="Q1357" s="17"/>
    </row>
    <row r="1358" spans="1:19" hidden="1" x14ac:dyDescent="0.2">
      <c r="A1358" s="17" t="s">
        <v>51</v>
      </c>
      <c r="B1358" s="17" t="s">
        <v>412</v>
      </c>
      <c r="Q1358" s="17"/>
    </row>
    <row r="1359" spans="1:19" hidden="1" x14ac:dyDescent="0.2">
      <c r="A1359" s="17" t="s">
        <v>54</v>
      </c>
      <c r="B1359" s="17" t="s">
        <v>413</v>
      </c>
      <c r="Q1359" s="17"/>
    </row>
    <row r="1360" spans="1:19" hidden="1" x14ac:dyDescent="0.2">
      <c r="A1360" s="17" t="s">
        <v>61</v>
      </c>
      <c r="B1360" s="17" t="s">
        <v>121</v>
      </c>
      <c r="Q1360" s="17"/>
    </row>
    <row r="1361" spans="1:19" hidden="1" x14ac:dyDescent="0.2">
      <c r="A1361" s="17" t="s">
        <v>55</v>
      </c>
      <c r="B1361" s="17" t="s">
        <v>56</v>
      </c>
      <c r="Q1361" s="17"/>
    </row>
    <row r="1362" spans="1:19" hidden="1" x14ac:dyDescent="0.2">
      <c r="A1362" s="17" t="s">
        <v>63</v>
      </c>
      <c r="B1362" s="17" t="s">
        <v>414</v>
      </c>
      <c r="Q1362" s="17"/>
    </row>
    <row r="1363" spans="1:19" hidden="1" x14ac:dyDescent="0.2">
      <c r="A1363" s="17" t="s">
        <v>52</v>
      </c>
      <c r="B1363" s="17" t="s">
        <v>64</v>
      </c>
      <c r="Q1363" s="17"/>
    </row>
    <row r="1364" spans="1:19" hidden="1" x14ac:dyDescent="0.2">
      <c r="A1364" s="17" t="s">
        <v>51</v>
      </c>
      <c r="B1364" s="17" t="s">
        <v>415</v>
      </c>
      <c r="Q1364" s="17"/>
    </row>
    <row r="1365" spans="1:19" hidden="1" x14ac:dyDescent="0.2">
      <c r="A1365" s="17" t="s">
        <v>63</v>
      </c>
      <c r="B1365" s="17" t="s">
        <v>416</v>
      </c>
      <c r="Q1365" s="17"/>
    </row>
    <row r="1366" spans="1:19" hidden="1" x14ac:dyDescent="0.2">
      <c r="A1366" s="36" t="s">
        <v>57</v>
      </c>
      <c r="Q1366" s="17"/>
    </row>
    <row r="1367" spans="1:19" hidden="1" x14ac:dyDescent="0.2">
      <c r="A1367" s="36" t="s">
        <v>58</v>
      </c>
      <c r="B1367" s="36" t="s">
        <v>59</v>
      </c>
      <c r="C1367" s="36" t="s">
        <v>52</v>
      </c>
      <c r="D1367" s="36" t="s">
        <v>55</v>
      </c>
      <c r="E1367" s="36" t="s">
        <v>60</v>
      </c>
      <c r="F1367" s="36" t="s">
        <v>61</v>
      </c>
      <c r="G1367" s="36" t="s">
        <v>54</v>
      </c>
      <c r="H1367" s="36" t="s">
        <v>51</v>
      </c>
      <c r="I1367" s="18" t="s">
        <v>221</v>
      </c>
      <c r="J1367" s="2" t="s">
        <v>379</v>
      </c>
      <c r="K1367" s="62" t="s">
        <v>1059</v>
      </c>
      <c r="L1367" s="62" t="s">
        <v>1060</v>
      </c>
      <c r="M1367" s="62" t="s">
        <v>1061</v>
      </c>
      <c r="N1367" s="62" t="s">
        <v>1062</v>
      </c>
      <c r="O1367" s="62" t="s">
        <v>1063</v>
      </c>
      <c r="P1367" s="62" t="s">
        <v>1064</v>
      </c>
      <c r="Q1367" s="2" t="s">
        <v>1065</v>
      </c>
      <c r="R1367" s="2" t="s">
        <v>380</v>
      </c>
      <c r="S1367" s="18" t="s">
        <v>1128</v>
      </c>
    </row>
    <row r="1368" spans="1:19" hidden="1" x14ac:dyDescent="0.2">
      <c r="A1368" s="17" t="s">
        <v>432</v>
      </c>
      <c r="B1368" s="17">
        <v>1</v>
      </c>
      <c r="C1368" s="17" t="s">
        <v>64</v>
      </c>
      <c r="D1368" s="17" t="s">
        <v>56</v>
      </c>
      <c r="F1368" s="17" t="s">
        <v>86</v>
      </c>
      <c r="G1368" s="17" t="s">
        <v>418</v>
      </c>
      <c r="I1368" s="17">
        <v>2</v>
      </c>
      <c r="J1368">
        <f>LN(B1368)</f>
        <v>0</v>
      </c>
      <c r="K1368" s="13">
        <v>1.05</v>
      </c>
      <c r="L1368" s="13">
        <v>1.2</v>
      </c>
      <c r="M1368" s="13">
        <v>1.03</v>
      </c>
      <c r="N1368" s="13">
        <v>1.01</v>
      </c>
      <c r="O1368" s="13">
        <v>1.2</v>
      </c>
      <c r="P1368" s="13">
        <v>1.2</v>
      </c>
      <c r="Q1368">
        <v>1.05</v>
      </c>
      <c r="R1368">
        <f t="shared" ref="R1368" si="129">LN(SQRT(EXP(
SQRT(
+POWER(LN(K1368),2)
+POWER(LN(L1368),2)
+POWER(LN(M1368),2)
+POWER(LN(N1368),2)
+POWER(LN(O1368),2)
+POWER(LN(P1368),2)
+POWER(LN(Q1368),2)
)
)))</f>
        <v>0.1623708273741902</v>
      </c>
    </row>
    <row r="1369" spans="1:19" hidden="1" x14ac:dyDescent="0.2">
      <c r="A1369" s="17" t="s">
        <v>431</v>
      </c>
      <c r="B1369" s="17">
        <v>1</v>
      </c>
      <c r="C1369" s="17" t="s">
        <v>64</v>
      </c>
      <c r="D1369" s="17" t="s">
        <v>56</v>
      </c>
      <c r="F1369" s="17" t="s">
        <v>62</v>
      </c>
      <c r="G1369" s="17" t="s">
        <v>413</v>
      </c>
      <c r="Q1369" s="17"/>
    </row>
    <row r="1370" spans="1:19" hidden="1" x14ac:dyDescent="0.2">
      <c r="A1370" s="17" t="s">
        <v>263</v>
      </c>
      <c r="B1370" s="17">
        <v>3.5098030277376187</v>
      </c>
      <c r="C1370" s="17" t="s">
        <v>90</v>
      </c>
      <c r="D1370" s="17" t="s">
        <v>65</v>
      </c>
      <c r="F1370" s="17" t="s">
        <v>86</v>
      </c>
      <c r="G1370" s="17" t="s">
        <v>199</v>
      </c>
      <c r="I1370" s="17">
        <v>2</v>
      </c>
      <c r="J1370">
        <f t="shared" ref="J1370:J1378" si="130">LN(B1370)</f>
        <v>1.2555599184494612</v>
      </c>
      <c r="K1370" s="13">
        <v>1.05</v>
      </c>
      <c r="L1370" s="13">
        <v>1.2</v>
      </c>
      <c r="M1370" s="13">
        <v>1.03</v>
      </c>
      <c r="N1370" s="13">
        <v>1.01</v>
      </c>
      <c r="O1370" s="13">
        <v>1.2</v>
      </c>
      <c r="P1370" s="13">
        <v>1.2</v>
      </c>
      <c r="Q1370">
        <v>1.05</v>
      </c>
      <c r="R1370">
        <f t="shared" ref="R1370:R1378" si="131">LN(SQRT(EXP(
SQRT(
+POWER(LN(K1370),2)
+POWER(LN(L1370),2)
+POWER(LN(M1370),2)
+POWER(LN(N1370),2)
+POWER(LN(O1370),2)
+POWER(LN(P1370),2)
+POWER(LN(Q1370),2)
)
)))</f>
        <v>0.1623708273741902</v>
      </c>
    </row>
    <row r="1371" spans="1:19" hidden="1" x14ac:dyDescent="0.2">
      <c r="A1371" s="17" t="s">
        <v>316</v>
      </c>
      <c r="B1371" s="17">
        <f>0.13*(1-parameters!B28)</f>
        <v>0.12236230110159119</v>
      </c>
      <c r="D1371" s="17" t="s">
        <v>56</v>
      </c>
      <c r="E1371" s="17" t="s">
        <v>100</v>
      </c>
      <c r="F1371" s="17" t="s">
        <v>99</v>
      </c>
      <c r="I1371" s="17">
        <v>2</v>
      </c>
      <c r="J1371">
        <f t="shared" si="130"/>
        <v>-2.1007689538809133</v>
      </c>
      <c r="K1371" s="13">
        <v>1.05</v>
      </c>
      <c r="L1371" s="13">
        <v>1.2</v>
      </c>
      <c r="M1371" s="13">
        <v>1.03</v>
      </c>
      <c r="N1371" s="13">
        <v>1.01</v>
      </c>
      <c r="O1371" s="13">
        <v>1.2</v>
      </c>
      <c r="P1371" s="13">
        <v>1.2</v>
      </c>
      <c r="Q1371" s="13">
        <v>1.05</v>
      </c>
      <c r="R1371">
        <f t="shared" si="131"/>
        <v>0.1623708273741902</v>
      </c>
    </row>
    <row r="1372" spans="1:19" hidden="1" x14ac:dyDescent="0.2">
      <c r="A1372" s="17" t="s">
        <v>371</v>
      </c>
      <c r="B1372" s="17">
        <f>0.13*parameters!B28</f>
        <v>7.6376988984088127E-3</v>
      </c>
      <c r="D1372" s="17" t="s">
        <v>56</v>
      </c>
      <c r="E1372" s="17" t="s">
        <v>100</v>
      </c>
      <c r="F1372" s="17" t="s">
        <v>99</v>
      </c>
      <c r="I1372" s="17">
        <v>2</v>
      </c>
      <c r="J1372">
        <f t="shared" ref="J1372:J1373" si="132">LN(B1372)</f>
        <v>-4.874658912478667</v>
      </c>
      <c r="K1372" s="13">
        <v>1.05</v>
      </c>
      <c r="L1372" s="13">
        <v>1.2</v>
      </c>
      <c r="M1372" s="13">
        <v>1.03</v>
      </c>
      <c r="N1372" s="13">
        <v>1.01</v>
      </c>
      <c r="O1372" s="13">
        <v>1.2</v>
      </c>
      <c r="P1372" s="13">
        <v>1.2</v>
      </c>
      <c r="Q1372" s="13">
        <v>1.05</v>
      </c>
      <c r="R1372">
        <f t="shared" ref="R1372:R1373" si="133">LN(SQRT(EXP(
SQRT(
+POWER(LN(K1372),2)
+POWER(LN(L1372),2)
+POWER(LN(M1372),2)
+POWER(LN(N1372),2)
+POWER(LN(O1372),2)
+POWER(LN(P1372),2)
+POWER(LN(Q1372),2)
)
)))</f>
        <v>0.1623708273741902</v>
      </c>
    </row>
    <row r="1373" spans="1:19" hidden="1" x14ac:dyDescent="0.2">
      <c r="A1373" s="17" t="s">
        <v>317</v>
      </c>
      <c r="B1373" s="17">
        <f>0.00000165*(1-parameters!B28)</f>
        <v>1.5530599755201959E-6</v>
      </c>
      <c r="D1373" s="17" t="s">
        <v>56</v>
      </c>
      <c r="E1373" s="17" t="s">
        <v>100</v>
      </c>
      <c r="F1373" s="17" t="s">
        <v>99</v>
      </c>
      <c r="I1373" s="17">
        <v>2</v>
      </c>
      <c r="J1373">
        <f t="shared" si="132"/>
        <v>-13.375283395406143</v>
      </c>
      <c r="K1373" s="13">
        <v>1.05</v>
      </c>
      <c r="L1373" s="13">
        <v>1.2</v>
      </c>
      <c r="M1373" s="13">
        <v>1.03</v>
      </c>
      <c r="N1373" s="13">
        <v>1.01</v>
      </c>
      <c r="O1373" s="13">
        <v>1.2</v>
      </c>
      <c r="P1373" s="13">
        <v>1.2</v>
      </c>
      <c r="Q1373" s="13">
        <v>5</v>
      </c>
      <c r="R1373">
        <f t="shared" si="133"/>
        <v>0.82057404543850732</v>
      </c>
    </row>
    <row r="1374" spans="1:19" hidden="1" x14ac:dyDescent="0.2">
      <c r="A1374" s="17" t="s">
        <v>400</v>
      </c>
      <c r="B1374" s="17">
        <f>0.00000165*parameters!B28</f>
        <v>9.6940024479804156E-8</v>
      </c>
      <c r="D1374" s="17" t="s">
        <v>56</v>
      </c>
      <c r="E1374" s="17" t="s">
        <v>100</v>
      </c>
      <c r="F1374" s="17" t="s">
        <v>99</v>
      </c>
      <c r="I1374" s="17">
        <v>2</v>
      </c>
      <c r="J1374">
        <f t="shared" si="130"/>
        <v>-16.149173354003896</v>
      </c>
      <c r="K1374" s="13">
        <v>1.05</v>
      </c>
      <c r="L1374" s="13">
        <v>1.2</v>
      </c>
      <c r="M1374" s="13">
        <v>1.03</v>
      </c>
      <c r="N1374" s="13">
        <v>1.01</v>
      </c>
      <c r="O1374" s="13">
        <v>1.2</v>
      </c>
      <c r="P1374" s="13">
        <v>1.2</v>
      </c>
      <c r="Q1374" s="13">
        <v>5</v>
      </c>
      <c r="R1374">
        <f t="shared" si="131"/>
        <v>0.82057404543850732</v>
      </c>
    </row>
    <row r="1375" spans="1:19" hidden="1" x14ac:dyDescent="0.2">
      <c r="A1375" s="17" t="s">
        <v>419</v>
      </c>
      <c r="B1375" s="17">
        <v>12.456827894327896</v>
      </c>
      <c r="C1375" s="17" t="s">
        <v>90</v>
      </c>
      <c r="D1375" s="17" t="s">
        <v>55</v>
      </c>
      <c r="F1375" s="17" t="s">
        <v>86</v>
      </c>
      <c r="G1375" s="17" t="s">
        <v>419</v>
      </c>
      <c r="I1375" s="17">
        <v>2</v>
      </c>
      <c r="J1375">
        <f t="shared" si="130"/>
        <v>2.5222688978277721</v>
      </c>
      <c r="K1375" s="13">
        <v>1.05</v>
      </c>
      <c r="L1375" s="13">
        <v>1.2</v>
      </c>
      <c r="M1375" s="13">
        <v>1.03</v>
      </c>
      <c r="N1375" s="13">
        <v>1.01</v>
      </c>
      <c r="O1375" s="13">
        <v>1.2</v>
      </c>
      <c r="P1375" s="13">
        <v>1.2</v>
      </c>
      <c r="Q1375">
        <v>3</v>
      </c>
      <c r="R1375">
        <f t="shared" si="131"/>
        <v>0.57228175382009561</v>
      </c>
    </row>
    <row r="1376" spans="1:19" hidden="1" x14ac:dyDescent="0.2">
      <c r="A1376" s="17" t="s">
        <v>288</v>
      </c>
      <c r="B1376" s="33">
        <v>77.28</v>
      </c>
      <c r="C1376" s="17" t="s">
        <v>64</v>
      </c>
      <c r="D1376" s="17" t="s">
        <v>56</v>
      </c>
      <c r="F1376" s="17" t="s">
        <v>86</v>
      </c>
      <c r="G1376" s="17" t="s">
        <v>287</v>
      </c>
      <c r="I1376" s="17">
        <v>2</v>
      </c>
      <c r="J1376">
        <f t="shared" si="130"/>
        <v>4.3474351899042629</v>
      </c>
      <c r="K1376" s="13">
        <v>1.05</v>
      </c>
      <c r="L1376" s="13">
        <v>1.2</v>
      </c>
      <c r="M1376" s="13">
        <v>1.03</v>
      </c>
      <c r="N1376" s="13">
        <v>1.01</v>
      </c>
      <c r="O1376" s="13">
        <v>1.2</v>
      </c>
      <c r="P1376" s="13">
        <v>1.2</v>
      </c>
      <c r="Q1376">
        <v>1.05</v>
      </c>
      <c r="R1376">
        <f t="shared" si="131"/>
        <v>0.1623708273741902</v>
      </c>
    </row>
    <row r="1377" spans="1:19" hidden="1" x14ac:dyDescent="0.2">
      <c r="A1377" s="17" t="s">
        <v>642</v>
      </c>
      <c r="B1377" s="31">
        <f>B1376*-1</f>
        <v>-77.28</v>
      </c>
      <c r="C1377" s="17" t="s">
        <v>96</v>
      </c>
      <c r="D1377" s="17" t="s">
        <v>120</v>
      </c>
      <c r="F1377" s="17" t="s">
        <v>86</v>
      </c>
      <c r="G1377" s="17" t="s">
        <v>243</v>
      </c>
      <c r="I1377" s="17">
        <v>2</v>
      </c>
      <c r="J1377">
        <f>LN(B1377*-1)</f>
        <v>4.3474351899042629</v>
      </c>
      <c r="K1377" s="13">
        <v>1.05</v>
      </c>
      <c r="L1377" s="13">
        <v>1.2</v>
      </c>
      <c r="M1377" s="13">
        <v>1.03</v>
      </c>
      <c r="N1377" s="13">
        <v>1.01</v>
      </c>
      <c r="O1377" s="13">
        <v>1.2</v>
      </c>
      <c r="P1377" s="13">
        <v>1.2</v>
      </c>
      <c r="Q1377">
        <v>1.05</v>
      </c>
      <c r="R1377">
        <f>LN(SQRT(EXP(
SQRT(
+POWER(LN(K1377),2)
+POWER(LN(L1377),2)
+POWER(LN(M1377),2)
+POWER(LN(N1377),2)
+POWER(LN(O1377),2)
+POWER(LN(P1377),2)
+POWER(LN(Q1377),2)
)
)))</f>
        <v>0.1623708273741902</v>
      </c>
      <c r="S1377" s="17" t="b">
        <v>1</v>
      </c>
    </row>
    <row r="1378" spans="1:19" hidden="1" x14ac:dyDescent="0.2">
      <c r="A1378" s="17" t="s">
        <v>7</v>
      </c>
      <c r="B1378" s="17">
        <v>2.5000000000000001E-2</v>
      </c>
      <c r="D1378" s="17" t="s">
        <v>56</v>
      </c>
      <c r="E1378" s="17" t="s">
        <v>100</v>
      </c>
      <c r="F1378" s="17" t="s">
        <v>99</v>
      </c>
      <c r="H1378" s="17" t="s">
        <v>1222</v>
      </c>
      <c r="I1378" s="17">
        <v>2</v>
      </c>
      <c r="J1378">
        <f t="shared" si="130"/>
        <v>-3.6888794541139363</v>
      </c>
      <c r="K1378" s="13">
        <v>1.05</v>
      </c>
      <c r="L1378" s="13">
        <v>1.2</v>
      </c>
      <c r="M1378" s="13">
        <v>1.03</v>
      </c>
      <c r="N1378" s="13">
        <v>1.01</v>
      </c>
      <c r="O1378" s="13">
        <v>1.2</v>
      </c>
      <c r="P1378" s="13">
        <v>1.2</v>
      </c>
      <c r="Q1378" s="13">
        <v>5</v>
      </c>
      <c r="R1378">
        <f t="shared" si="131"/>
        <v>0.82057404543850732</v>
      </c>
    </row>
    <row r="1379" spans="1:19" hidden="1" x14ac:dyDescent="0.2">
      <c r="Q1379" s="17"/>
    </row>
    <row r="1380" spans="1:19" hidden="1" x14ac:dyDescent="0.2">
      <c r="A1380" s="18" t="s">
        <v>50</v>
      </c>
      <c r="B1380" s="36" t="s">
        <v>432</v>
      </c>
      <c r="Q1380" s="17"/>
    </row>
    <row r="1381" spans="1:19" hidden="1" x14ac:dyDescent="0.2">
      <c r="A1381" s="17" t="s">
        <v>53</v>
      </c>
      <c r="B1381" s="17">
        <v>1</v>
      </c>
      <c r="Q1381" s="17"/>
    </row>
    <row r="1382" spans="1:19" hidden="1" x14ac:dyDescent="0.2">
      <c r="A1382" s="17" t="s">
        <v>54</v>
      </c>
      <c r="B1382" s="17" t="s">
        <v>418</v>
      </c>
      <c r="Q1382" s="17"/>
    </row>
    <row r="1383" spans="1:19" hidden="1" x14ac:dyDescent="0.2">
      <c r="A1383" s="17" t="s">
        <v>61</v>
      </c>
      <c r="B1383" s="17" t="s">
        <v>121</v>
      </c>
      <c r="Q1383" s="17"/>
    </row>
    <row r="1384" spans="1:19" hidden="1" x14ac:dyDescent="0.2">
      <c r="A1384" s="17" t="s">
        <v>55</v>
      </c>
      <c r="B1384" s="17" t="s">
        <v>56</v>
      </c>
      <c r="Q1384" s="17"/>
    </row>
    <row r="1385" spans="1:19" hidden="1" x14ac:dyDescent="0.2">
      <c r="A1385" s="17" t="s">
        <v>52</v>
      </c>
      <c r="B1385" s="17" t="s">
        <v>64</v>
      </c>
      <c r="Q1385" s="17"/>
    </row>
    <row r="1386" spans="1:19" hidden="1" x14ac:dyDescent="0.2">
      <c r="A1386" s="17" t="s">
        <v>51</v>
      </c>
      <c r="B1386" s="17" t="s">
        <v>1012</v>
      </c>
      <c r="Q1386" s="17"/>
    </row>
    <row r="1387" spans="1:19" hidden="1" x14ac:dyDescent="0.2">
      <c r="A1387" s="17" t="s">
        <v>63</v>
      </c>
      <c r="B1387" s="17" t="s">
        <v>416</v>
      </c>
      <c r="Q1387" s="17"/>
    </row>
    <row r="1388" spans="1:19" hidden="1" x14ac:dyDescent="0.2">
      <c r="A1388" s="18" t="s">
        <v>57</v>
      </c>
      <c r="Q1388" s="17"/>
    </row>
    <row r="1389" spans="1:19" hidden="1" x14ac:dyDescent="0.2">
      <c r="A1389" s="18" t="s">
        <v>58</v>
      </c>
      <c r="B1389" s="18" t="s">
        <v>59</v>
      </c>
      <c r="C1389" s="18" t="s">
        <v>52</v>
      </c>
      <c r="D1389" s="18" t="s">
        <v>55</v>
      </c>
      <c r="E1389" s="18" t="s">
        <v>60</v>
      </c>
      <c r="F1389" s="18" t="s">
        <v>61</v>
      </c>
      <c r="G1389" s="18" t="s">
        <v>54</v>
      </c>
      <c r="H1389" s="18" t="s">
        <v>51</v>
      </c>
      <c r="I1389" s="18" t="s">
        <v>221</v>
      </c>
      <c r="J1389" s="2" t="s">
        <v>379</v>
      </c>
      <c r="K1389" s="62" t="s">
        <v>1059</v>
      </c>
      <c r="L1389" s="62" t="s">
        <v>1060</v>
      </c>
      <c r="M1389" s="62" t="s">
        <v>1061</v>
      </c>
      <c r="N1389" s="62" t="s">
        <v>1062</v>
      </c>
      <c r="O1389" s="62" t="s">
        <v>1063</v>
      </c>
      <c r="P1389" s="62" t="s">
        <v>1064</v>
      </c>
      <c r="Q1389" s="2" t="s">
        <v>1065</v>
      </c>
      <c r="R1389" s="2" t="s">
        <v>380</v>
      </c>
      <c r="S1389" s="18" t="s">
        <v>1128</v>
      </c>
    </row>
    <row r="1390" spans="1:19" hidden="1" x14ac:dyDescent="0.2">
      <c r="A1390" s="17" t="s">
        <v>419</v>
      </c>
      <c r="B1390" s="17">
        <f>12.89</f>
        <v>12.89</v>
      </c>
      <c r="C1390" s="17" t="s">
        <v>90</v>
      </c>
      <c r="D1390" s="17" t="s">
        <v>55</v>
      </c>
      <c r="F1390" s="17" t="s">
        <v>86</v>
      </c>
      <c r="G1390" s="17" t="s">
        <v>419</v>
      </c>
      <c r="I1390" s="17">
        <v>2</v>
      </c>
      <c r="J1390">
        <f>LN(B1390)</f>
        <v>2.5564518169510961</v>
      </c>
      <c r="K1390" s="13">
        <v>1.05</v>
      </c>
      <c r="L1390" s="13">
        <v>1.2</v>
      </c>
      <c r="M1390" s="13">
        <v>1.03</v>
      </c>
      <c r="N1390" s="13">
        <v>1.01</v>
      </c>
      <c r="O1390" s="13">
        <v>1.2</v>
      </c>
      <c r="P1390" s="13">
        <v>1.2</v>
      </c>
      <c r="Q1390">
        <v>3</v>
      </c>
      <c r="R1390">
        <f t="shared" ref="R1390" si="134">LN(SQRT(EXP(
SQRT(
+POWER(LN(K1390),2)
+POWER(LN(L1390),2)
+POWER(LN(M1390),2)
+POWER(LN(N1390),2)
+POWER(LN(O1390),2)
+POWER(LN(P1390),2)
+POWER(LN(Q1390),2)
)
)))</f>
        <v>0.57228175382009561</v>
      </c>
    </row>
    <row r="1391" spans="1:19" hidden="1" x14ac:dyDescent="0.2">
      <c r="A1391" s="17" t="s">
        <v>432</v>
      </c>
      <c r="B1391" s="17">
        <v>1</v>
      </c>
      <c r="C1391" s="17" t="s">
        <v>64</v>
      </c>
      <c r="D1391" s="17" t="s">
        <v>56</v>
      </c>
      <c r="F1391" s="17" t="s">
        <v>62</v>
      </c>
      <c r="G1391" s="17" t="s">
        <v>418</v>
      </c>
      <c r="Q1391" s="17"/>
    </row>
    <row r="1392" spans="1:19" hidden="1" x14ac:dyDescent="0.2">
      <c r="A1392" s="17" t="s">
        <v>288</v>
      </c>
      <c r="B1392" s="33">
        <f>((3090000*1000)/44900000)</f>
        <v>68.819599109131403</v>
      </c>
      <c r="C1392" s="17" t="s">
        <v>64</v>
      </c>
      <c r="D1392" s="17" t="s">
        <v>56</v>
      </c>
      <c r="F1392" s="17" t="s">
        <v>86</v>
      </c>
      <c r="G1392" s="17" t="s">
        <v>287</v>
      </c>
      <c r="I1392" s="17">
        <v>2</v>
      </c>
      <c r="J1392">
        <f t="shared" ref="J1392:J1399" si="135">LN(B1392)</f>
        <v>4.2314885751435822</v>
      </c>
      <c r="K1392" s="13">
        <v>1.05</v>
      </c>
      <c r="L1392" s="13">
        <v>1.2</v>
      </c>
      <c r="M1392" s="13">
        <v>1.03</v>
      </c>
      <c r="N1392" s="13">
        <v>1.01</v>
      </c>
      <c r="O1392" s="13">
        <v>1.2</v>
      </c>
      <c r="P1392" s="13">
        <v>1.2</v>
      </c>
      <c r="Q1392">
        <v>1.05</v>
      </c>
      <c r="R1392">
        <f t="shared" ref="R1392:R1399" si="136">LN(SQRT(EXP(
SQRT(
+POWER(LN(K1392),2)
+POWER(LN(L1392),2)
+POWER(LN(M1392),2)
+POWER(LN(N1392),2)
+POWER(LN(O1392),2)
+POWER(LN(P1392),2)
+POWER(LN(Q1392),2)
)
)))</f>
        <v>0.1623708273741902</v>
      </c>
    </row>
    <row r="1393" spans="1:19" hidden="1" x14ac:dyDescent="0.2">
      <c r="A1393" s="17" t="s">
        <v>130</v>
      </c>
      <c r="B1393" s="33">
        <f>(13600*1000)/44900000</f>
        <v>0.30289532293986637</v>
      </c>
      <c r="C1393" s="17" t="s">
        <v>64</v>
      </c>
      <c r="D1393" s="17" t="s">
        <v>92</v>
      </c>
      <c r="F1393" s="17" t="s">
        <v>86</v>
      </c>
      <c r="G1393" s="17" t="s">
        <v>93</v>
      </c>
      <c r="I1393" s="17">
        <v>2</v>
      </c>
      <c r="J1393">
        <f t="shared" si="135"/>
        <v>-1.1943680020062022</v>
      </c>
      <c r="K1393" s="13">
        <v>1.05</v>
      </c>
      <c r="L1393" s="13">
        <v>1.2</v>
      </c>
      <c r="M1393" s="13">
        <v>1.03</v>
      </c>
      <c r="N1393" s="13">
        <v>1.01</v>
      </c>
      <c r="O1393" s="13">
        <v>1.2</v>
      </c>
      <c r="P1393" s="13">
        <v>1.2</v>
      </c>
      <c r="Q1393">
        <v>1.05</v>
      </c>
      <c r="R1393">
        <f t="shared" si="136"/>
        <v>0.1623708273741902</v>
      </c>
    </row>
    <row r="1394" spans="1:19" hidden="1" x14ac:dyDescent="0.2">
      <c r="A1394" s="17" t="s">
        <v>350</v>
      </c>
      <c r="B1394" s="33">
        <f>356/44900000</f>
        <v>7.9287305122494425E-6</v>
      </c>
      <c r="C1394" s="17" t="s">
        <v>85</v>
      </c>
      <c r="D1394" s="17" t="s">
        <v>56</v>
      </c>
      <c r="F1394" s="17" t="s">
        <v>86</v>
      </c>
      <c r="G1394" s="17" t="s">
        <v>351</v>
      </c>
      <c r="I1394" s="17">
        <v>2</v>
      </c>
      <c r="J1394">
        <f t="shared" si="135"/>
        <v>-11.745017621860452</v>
      </c>
      <c r="K1394" s="13">
        <v>1.05</v>
      </c>
      <c r="L1394" s="13">
        <v>1.2</v>
      </c>
      <c r="M1394" s="13">
        <v>1.03</v>
      </c>
      <c r="N1394" s="13">
        <v>1.01</v>
      </c>
      <c r="O1394" s="13">
        <v>1.2</v>
      </c>
      <c r="P1394" s="13">
        <v>1.2</v>
      </c>
      <c r="Q1394">
        <v>1.05</v>
      </c>
      <c r="R1394">
        <f t="shared" si="136"/>
        <v>0.1623708273741902</v>
      </c>
    </row>
    <row r="1395" spans="1:19" hidden="1" x14ac:dyDescent="0.2">
      <c r="A1395" s="17" t="s">
        <v>334</v>
      </c>
      <c r="B1395" s="33">
        <f>949/44900000</f>
        <v>2.11358574610245E-5</v>
      </c>
      <c r="C1395" s="17" t="s">
        <v>85</v>
      </c>
      <c r="D1395" s="17" t="s">
        <v>56</v>
      </c>
      <c r="F1395" s="17" t="s">
        <v>86</v>
      </c>
      <c r="G1395" s="17" t="s">
        <v>335</v>
      </c>
      <c r="I1395" s="17">
        <v>2</v>
      </c>
      <c r="J1395">
        <f t="shared" si="135"/>
        <v>-10.764539554102555</v>
      </c>
      <c r="K1395" s="13">
        <v>1.05</v>
      </c>
      <c r="L1395" s="13">
        <v>1.2</v>
      </c>
      <c r="M1395" s="13">
        <v>1.03</v>
      </c>
      <c r="N1395" s="13">
        <v>1.01</v>
      </c>
      <c r="O1395" s="13">
        <v>1.2</v>
      </c>
      <c r="P1395" s="13">
        <v>1.2</v>
      </c>
      <c r="Q1395">
        <v>1.05</v>
      </c>
      <c r="R1395">
        <f t="shared" si="136"/>
        <v>0.1623708273741902</v>
      </c>
    </row>
    <row r="1396" spans="1:19" hidden="1" x14ac:dyDescent="0.2">
      <c r="A1396" s="17" t="s">
        <v>329</v>
      </c>
      <c r="B1396" s="33">
        <f>178/44900000</f>
        <v>3.9643652561247212E-6</v>
      </c>
      <c r="C1396" s="17" t="s">
        <v>330</v>
      </c>
      <c r="D1396" s="17" t="s">
        <v>56</v>
      </c>
      <c r="F1396" s="17" t="s">
        <v>86</v>
      </c>
      <c r="G1396" s="17" t="s">
        <v>331</v>
      </c>
      <c r="I1396" s="17">
        <v>2</v>
      </c>
      <c r="J1396">
        <f t="shared" si="135"/>
        <v>-12.438164802420397</v>
      </c>
      <c r="K1396" s="13">
        <v>1.05</v>
      </c>
      <c r="L1396" s="13">
        <v>1.2</v>
      </c>
      <c r="M1396" s="13">
        <v>1.03</v>
      </c>
      <c r="N1396" s="13">
        <v>1.01</v>
      </c>
      <c r="O1396" s="13">
        <v>1.2</v>
      </c>
      <c r="P1396" s="13">
        <v>1.2</v>
      </c>
      <c r="Q1396">
        <v>1.05</v>
      </c>
      <c r="R1396">
        <f t="shared" si="136"/>
        <v>0.1623708273741902</v>
      </c>
    </row>
    <row r="1397" spans="1:19" hidden="1" x14ac:dyDescent="0.2">
      <c r="A1397" s="25" t="s">
        <v>813</v>
      </c>
      <c r="B1397" s="33">
        <v>0.20300000000000001</v>
      </c>
      <c r="C1397" s="17" t="s">
        <v>64</v>
      </c>
      <c r="D1397" s="17" t="s">
        <v>56</v>
      </c>
      <c r="F1397" s="17" t="s">
        <v>86</v>
      </c>
      <c r="G1397" s="17" t="s">
        <v>814</v>
      </c>
      <c r="I1397" s="17">
        <v>2</v>
      </c>
      <c r="J1397">
        <f t="shared" si="135"/>
        <v>-1.5945492999403497</v>
      </c>
      <c r="K1397" s="13">
        <v>1.05</v>
      </c>
      <c r="L1397" s="13">
        <v>1.2</v>
      </c>
      <c r="M1397" s="13">
        <v>1.03</v>
      </c>
      <c r="N1397" s="13">
        <v>1.01</v>
      </c>
      <c r="O1397" s="13">
        <v>1.2</v>
      </c>
      <c r="P1397" s="13">
        <v>1.2</v>
      </c>
      <c r="Q1397">
        <v>1.05</v>
      </c>
      <c r="R1397">
        <f t="shared" si="136"/>
        <v>0.1623708273741902</v>
      </c>
    </row>
    <row r="1398" spans="1:19" hidden="1" x14ac:dyDescent="0.2">
      <c r="A1398" s="17" t="s">
        <v>388</v>
      </c>
      <c r="B1398" s="33">
        <v>1.69</v>
      </c>
      <c r="C1398" s="17" t="s">
        <v>64</v>
      </c>
      <c r="D1398" s="17" t="s">
        <v>56</v>
      </c>
      <c r="F1398" s="17" t="s">
        <v>86</v>
      </c>
      <c r="G1398" s="17" t="s">
        <v>389</v>
      </c>
      <c r="I1398" s="17">
        <v>2</v>
      </c>
      <c r="J1398">
        <f t="shared" si="135"/>
        <v>0.52472852893498212</v>
      </c>
      <c r="K1398" s="13">
        <v>1.05</v>
      </c>
      <c r="L1398" s="13">
        <v>1.2</v>
      </c>
      <c r="M1398" s="13">
        <v>1.03</v>
      </c>
      <c r="N1398" s="13">
        <v>1.01</v>
      </c>
      <c r="O1398" s="13">
        <v>1.2</v>
      </c>
      <c r="P1398" s="13">
        <v>1.2</v>
      </c>
      <c r="Q1398">
        <v>1.05</v>
      </c>
      <c r="R1398">
        <f t="shared" si="136"/>
        <v>0.1623708273741902</v>
      </c>
    </row>
    <row r="1399" spans="1:19" hidden="1" x14ac:dyDescent="0.2">
      <c r="A1399" s="17" t="s">
        <v>427</v>
      </c>
      <c r="B1399" s="25">
        <v>1.6800000000000002E-8</v>
      </c>
      <c r="C1399" s="17" t="s">
        <v>85</v>
      </c>
      <c r="D1399" s="17" t="s">
        <v>55</v>
      </c>
      <c r="F1399" s="17" t="s">
        <v>86</v>
      </c>
      <c r="G1399" s="17" t="s">
        <v>428</v>
      </c>
      <c r="I1399" s="17">
        <v>2</v>
      </c>
      <c r="J1399">
        <f t="shared" si="135"/>
        <v>-17.901886950537197</v>
      </c>
      <c r="K1399" s="13">
        <v>1.05</v>
      </c>
      <c r="L1399" s="13">
        <v>1.2</v>
      </c>
      <c r="M1399" s="13">
        <v>1.03</v>
      </c>
      <c r="N1399" s="13">
        <v>1.01</v>
      </c>
      <c r="O1399" s="13">
        <v>1.2</v>
      </c>
      <c r="P1399" s="13">
        <v>1.2</v>
      </c>
      <c r="Q1399">
        <v>3</v>
      </c>
      <c r="R1399">
        <f t="shared" si="136"/>
        <v>0.57228175382009561</v>
      </c>
    </row>
    <row r="1400" spans="1:19" hidden="1" x14ac:dyDescent="0.2">
      <c r="A1400" s="17" t="s">
        <v>642</v>
      </c>
      <c r="B1400" s="25">
        <f>-B1392/1000</f>
        <v>-6.8819599109131407E-2</v>
      </c>
      <c r="C1400" s="17" t="s">
        <v>96</v>
      </c>
      <c r="D1400" s="17" t="s">
        <v>120</v>
      </c>
      <c r="F1400" s="17" t="s">
        <v>86</v>
      </c>
      <c r="G1400" s="17" t="s">
        <v>243</v>
      </c>
      <c r="I1400" s="17">
        <v>2</v>
      </c>
      <c r="J1400">
        <f>LN(B1400*-1)</f>
        <v>-2.6762667038385546</v>
      </c>
      <c r="K1400" s="13">
        <v>1.05</v>
      </c>
      <c r="L1400" s="13">
        <v>1.2</v>
      </c>
      <c r="M1400" s="13">
        <v>1.03</v>
      </c>
      <c r="N1400" s="13">
        <v>1.01</v>
      </c>
      <c r="O1400" s="13">
        <v>1.2</v>
      </c>
      <c r="P1400" s="13">
        <v>1.2</v>
      </c>
      <c r="Q1400">
        <v>1.05</v>
      </c>
      <c r="R1400">
        <f>LN(SQRT(EXP(
SQRT(
+POWER(LN(K1400),2)
+POWER(LN(L1400),2)
+POWER(LN(M1400),2)
+POWER(LN(N1400),2)
+POWER(LN(O1400),2)
+POWER(LN(P1400),2)
+POWER(LN(Q1400),2)
)
)))</f>
        <v>0.1623708273741902</v>
      </c>
      <c r="S1400" s="17" t="b">
        <v>1</v>
      </c>
    </row>
    <row r="1401" spans="1:19" hidden="1" x14ac:dyDescent="0.2">
      <c r="G1401" s="17" t="s">
        <v>356</v>
      </c>
      <c r="Q1401" s="17"/>
    </row>
    <row r="1402" spans="1:19" hidden="1" x14ac:dyDescent="0.2">
      <c r="A1402" s="18" t="s">
        <v>50</v>
      </c>
      <c r="B1402" s="36" t="s">
        <v>419</v>
      </c>
      <c r="Q1402" s="17"/>
    </row>
    <row r="1403" spans="1:19" hidden="1" x14ac:dyDescent="0.2">
      <c r="A1403" s="17" t="s">
        <v>53</v>
      </c>
      <c r="B1403" s="17">
        <v>1</v>
      </c>
      <c r="Q1403" s="17"/>
    </row>
    <row r="1404" spans="1:19" hidden="1" x14ac:dyDescent="0.2">
      <c r="A1404" s="17" t="s">
        <v>54</v>
      </c>
      <c r="B1404" s="17" t="s">
        <v>419</v>
      </c>
      <c r="Q1404" s="17"/>
    </row>
    <row r="1405" spans="1:19" hidden="1" x14ac:dyDescent="0.2">
      <c r="A1405" s="17" t="s">
        <v>61</v>
      </c>
      <c r="B1405" s="17" t="s">
        <v>121</v>
      </c>
      <c r="Q1405" s="17"/>
    </row>
    <row r="1406" spans="1:19" hidden="1" x14ac:dyDescent="0.2">
      <c r="A1406" s="17" t="s">
        <v>55</v>
      </c>
      <c r="B1406" s="17" t="s">
        <v>55</v>
      </c>
      <c r="Q1406" s="17"/>
    </row>
    <row r="1407" spans="1:19" hidden="1" x14ac:dyDescent="0.2">
      <c r="A1407" s="17" t="s">
        <v>63</v>
      </c>
      <c r="B1407" s="17" t="s">
        <v>414</v>
      </c>
      <c r="Q1407" s="17"/>
    </row>
    <row r="1408" spans="1:19" hidden="1" x14ac:dyDescent="0.2">
      <c r="A1408" s="17" t="s">
        <v>52</v>
      </c>
      <c r="B1408" s="17" t="s">
        <v>90</v>
      </c>
      <c r="Q1408" s="17"/>
    </row>
    <row r="1409" spans="1:19" hidden="1" x14ac:dyDescent="0.2">
      <c r="A1409" s="18" t="s">
        <v>57</v>
      </c>
      <c r="Q1409" s="17"/>
    </row>
    <row r="1410" spans="1:19" hidden="1" x14ac:dyDescent="0.2">
      <c r="A1410" s="18" t="s">
        <v>58</v>
      </c>
      <c r="B1410" s="18" t="s">
        <v>59</v>
      </c>
      <c r="C1410" s="18" t="s">
        <v>52</v>
      </c>
      <c r="D1410" s="18" t="s">
        <v>55</v>
      </c>
      <c r="E1410" s="18" t="s">
        <v>60</v>
      </c>
      <c r="F1410" s="18" t="s">
        <v>61</v>
      </c>
      <c r="G1410" s="18" t="s">
        <v>54</v>
      </c>
      <c r="H1410" s="18" t="s">
        <v>51</v>
      </c>
      <c r="I1410" s="18" t="s">
        <v>221</v>
      </c>
      <c r="J1410" s="2" t="s">
        <v>379</v>
      </c>
      <c r="K1410" s="62" t="s">
        <v>1059</v>
      </c>
      <c r="L1410" s="62" t="s">
        <v>1060</v>
      </c>
      <c r="M1410" s="62" t="s">
        <v>1061</v>
      </c>
      <c r="N1410" s="62" t="s">
        <v>1062</v>
      </c>
      <c r="O1410" s="62" t="s">
        <v>1063</v>
      </c>
      <c r="P1410" s="62" t="s">
        <v>1064</v>
      </c>
      <c r="Q1410" s="2" t="s">
        <v>1065</v>
      </c>
      <c r="R1410" s="2" t="s">
        <v>380</v>
      </c>
      <c r="S1410" s="18" t="s">
        <v>1128</v>
      </c>
    </row>
    <row r="1411" spans="1:19" hidden="1" x14ac:dyDescent="0.2">
      <c r="A1411" s="17" t="s">
        <v>420</v>
      </c>
      <c r="B1411" s="17">
        <v>7.2924747866563216E-6</v>
      </c>
      <c r="C1411" s="17" t="s">
        <v>85</v>
      </c>
      <c r="D1411" s="17" t="s">
        <v>56</v>
      </c>
      <c r="F1411" s="17" t="s">
        <v>421</v>
      </c>
      <c r="G1411" s="17" t="s">
        <v>422</v>
      </c>
      <c r="I1411" s="17">
        <v>2</v>
      </c>
      <c r="J1411">
        <f t="shared" ref="J1411:J1416" si="137">LN(B1411)</f>
        <v>-11.828667592645367</v>
      </c>
      <c r="K1411" s="13">
        <v>1.5</v>
      </c>
      <c r="L1411" s="13">
        <v>1.2</v>
      </c>
      <c r="M1411" s="13">
        <v>1.5</v>
      </c>
      <c r="N1411" s="13">
        <v>1.1000000000000001</v>
      </c>
      <c r="O1411" s="13">
        <v>2</v>
      </c>
      <c r="P1411" s="13">
        <v>1.2</v>
      </c>
      <c r="Q1411">
        <v>1.05</v>
      </c>
      <c r="R1411">
        <f t="shared" ref="R1411:R1416" si="138">LN(SQRT(EXP(
SQRT(
+POWER(LN(K1411),2)
+POWER(LN(L1411),2)
+POWER(LN(M1411),2)
+POWER(LN(N1411),2)
+POWER(LN(O1411),2)
+POWER(LN(P1411),2)
+POWER(LN(Q1411),2)
)
)))</f>
        <v>0.47095746419981693</v>
      </c>
    </row>
    <row r="1412" spans="1:19" hidden="1" x14ac:dyDescent="0.2">
      <c r="A1412" s="17" t="s">
        <v>423</v>
      </c>
      <c r="B1412" s="17">
        <v>7.4243599689681927E-4</v>
      </c>
      <c r="C1412" s="17" t="s">
        <v>90</v>
      </c>
      <c r="D1412" s="17" t="s">
        <v>56</v>
      </c>
      <c r="F1412" s="17" t="s">
        <v>421</v>
      </c>
      <c r="G1412" s="17" t="s">
        <v>424</v>
      </c>
      <c r="I1412" s="17">
        <v>2</v>
      </c>
      <c r="J1412">
        <f t="shared" si="137"/>
        <v>-7.2055738904683704</v>
      </c>
      <c r="K1412" s="13">
        <v>1.5</v>
      </c>
      <c r="L1412" s="13">
        <v>1.2</v>
      </c>
      <c r="M1412" s="13">
        <v>1.5</v>
      </c>
      <c r="N1412" s="13">
        <v>1.1000000000000001</v>
      </c>
      <c r="O1412" s="13">
        <v>2</v>
      </c>
      <c r="P1412" s="13">
        <v>1.2</v>
      </c>
      <c r="Q1412">
        <v>1.05</v>
      </c>
      <c r="R1412">
        <f t="shared" si="138"/>
        <v>0.47095746419981693</v>
      </c>
    </row>
    <row r="1413" spans="1:19" hidden="1" x14ac:dyDescent="0.2">
      <c r="A1413" s="17" t="s">
        <v>425</v>
      </c>
      <c r="B1413" s="17">
        <v>4.1349883630721488E-7</v>
      </c>
      <c r="C1413" s="17" t="s">
        <v>85</v>
      </c>
      <c r="D1413" s="17" t="s">
        <v>56</v>
      </c>
      <c r="F1413" s="17" t="s">
        <v>421</v>
      </c>
      <c r="G1413" s="17" t="s">
        <v>426</v>
      </c>
      <c r="I1413" s="17">
        <v>2</v>
      </c>
      <c r="J1413">
        <f t="shared" si="137"/>
        <v>-14.698611136737616</v>
      </c>
      <c r="K1413" s="13">
        <v>1.5</v>
      </c>
      <c r="L1413" s="13">
        <v>1.2</v>
      </c>
      <c r="M1413" s="13">
        <v>1.5</v>
      </c>
      <c r="N1413" s="13">
        <v>1.1000000000000001</v>
      </c>
      <c r="O1413" s="13">
        <v>2</v>
      </c>
      <c r="P1413" s="13">
        <v>1.2</v>
      </c>
      <c r="Q1413">
        <v>1.05</v>
      </c>
      <c r="R1413">
        <f t="shared" si="138"/>
        <v>0.47095746419981693</v>
      </c>
    </row>
    <row r="1414" spans="1:19" hidden="1" x14ac:dyDescent="0.2">
      <c r="A1414" s="17" t="s">
        <v>646</v>
      </c>
      <c r="B1414" s="17">
        <f>0.00273079906904577/2300</f>
        <v>1.1873039430633782E-6</v>
      </c>
      <c r="C1414" s="17" t="s">
        <v>64</v>
      </c>
      <c r="D1414" s="17" t="s">
        <v>120</v>
      </c>
      <c r="F1414" s="17" t="s">
        <v>421</v>
      </c>
      <c r="G1414" s="17" t="s">
        <v>645</v>
      </c>
      <c r="I1414" s="17">
        <v>2</v>
      </c>
      <c r="J1414">
        <f t="shared" si="137"/>
        <v>-13.643825415246424</v>
      </c>
      <c r="K1414" s="13">
        <v>1.5</v>
      </c>
      <c r="L1414" s="13">
        <v>1.2</v>
      </c>
      <c r="M1414" s="13">
        <v>1.5</v>
      </c>
      <c r="N1414" s="13">
        <v>1.1000000000000001</v>
      </c>
      <c r="O1414" s="13">
        <v>2</v>
      </c>
      <c r="P1414" s="13">
        <v>1.2</v>
      </c>
      <c r="Q1414">
        <v>1.05</v>
      </c>
      <c r="R1414">
        <f t="shared" si="138"/>
        <v>0.47095746419981693</v>
      </c>
    </row>
    <row r="1415" spans="1:19" hidden="1" x14ac:dyDescent="0.2">
      <c r="A1415" s="17" t="s">
        <v>427</v>
      </c>
      <c r="B1415" s="17">
        <v>1.3045108429904572E-9</v>
      </c>
      <c r="C1415" s="17" t="s">
        <v>85</v>
      </c>
      <c r="D1415" s="17" t="s">
        <v>55</v>
      </c>
      <c r="F1415" s="17" t="s">
        <v>421</v>
      </c>
      <c r="G1415" s="17" t="s">
        <v>428</v>
      </c>
      <c r="I1415" s="17">
        <v>2</v>
      </c>
      <c r="J1415">
        <f t="shared" si="137"/>
        <v>-20.457437699396692</v>
      </c>
      <c r="K1415" s="13">
        <v>1.5</v>
      </c>
      <c r="L1415" s="13">
        <v>1.2</v>
      </c>
      <c r="M1415" s="13">
        <v>1.5</v>
      </c>
      <c r="N1415" s="13">
        <v>1.1000000000000001</v>
      </c>
      <c r="O1415" s="13">
        <v>2</v>
      </c>
      <c r="P1415" s="13">
        <v>1.2</v>
      </c>
      <c r="Q1415">
        <v>3</v>
      </c>
      <c r="R1415">
        <f t="shared" si="138"/>
        <v>0.72314801614797197</v>
      </c>
    </row>
    <row r="1416" spans="1:19" hidden="1" x14ac:dyDescent="0.2">
      <c r="A1416" s="17" t="s">
        <v>237</v>
      </c>
      <c r="B1416" s="17">
        <v>1.5533182090707562E-11</v>
      </c>
      <c r="C1416" s="17" t="s">
        <v>109</v>
      </c>
      <c r="D1416" s="17" t="s">
        <v>55</v>
      </c>
      <c r="F1416" s="17" t="s">
        <v>421</v>
      </c>
      <c r="G1416" s="17" t="s">
        <v>238</v>
      </c>
      <c r="I1416" s="17">
        <v>2</v>
      </c>
      <c r="J1416">
        <f t="shared" si="137"/>
        <v>-24.888042600162187</v>
      </c>
      <c r="K1416" s="13">
        <v>1.5</v>
      </c>
      <c r="L1416" s="13">
        <v>1.2</v>
      </c>
      <c r="M1416" s="13">
        <v>1.5</v>
      </c>
      <c r="N1416" s="13">
        <v>1.1000000000000001</v>
      </c>
      <c r="O1416" s="13">
        <v>2</v>
      </c>
      <c r="P1416" s="13">
        <v>1.2</v>
      </c>
      <c r="Q1416">
        <v>3</v>
      </c>
      <c r="R1416">
        <f t="shared" si="138"/>
        <v>0.72314801614797197</v>
      </c>
    </row>
    <row r="1417" spans="1:19" hidden="1" x14ac:dyDescent="0.2">
      <c r="A1417" s="17" t="s">
        <v>419</v>
      </c>
      <c r="B1417" s="17">
        <v>1</v>
      </c>
      <c r="C1417" s="17" t="s">
        <v>90</v>
      </c>
      <c r="D1417" s="17" t="s">
        <v>55</v>
      </c>
      <c r="F1417" s="17" t="s">
        <v>62</v>
      </c>
      <c r="G1417" s="17" t="s">
        <v>419</v>
      </c>
      <c r="Q1417" s="17"/>
    </row>
    <row r="1418" spans="1:19" hidden="1" x14ac:dyDescent="0.2">
      <c r="Q1418" s="17"/>
    </row>
    <row r="1419" spans="1:19" hidden="1" x14ac:dyDescent="0.2">
      <c r="A1419" s="18" t="s">
        <v>50</v>
      </c>
      <c r="B1419" s="18" t="s">
        <v>433</v>
      </c>
      <c r="Q1419" s="17"/>
    </row>
    <row r="1420" spans="1:19" hidden="1" x14ac:dyDescent="0.2">
      <c r="A1420" s="17" t="s">
        <v>53</v>
      </c>
      <c r="B1420" s="17">
        <v>1</v>
      </c>
      <c r="Q1420" s="17"/>
    </row>
    <row r="1421" spans="1:19" hidden="1" x14ac:dyDescent="0.2">
      <c r="A1421" s="17" t="s">
        <v>54</v>
      </c>
      <c r="B1421" s="17" t="s">
        <v>377</v>
      </c>
      <c r="Q1421" s="17"/>
    </row>
    <row r="1422" spans="1:19" hidden="1" x14ac:dyDescent="0.2">
      <c r="A1422" s="17" t="s">
        <v>61</v>
      </c>
      <c r="B1422" s="17" t="s">
        <v>121</v>
      </c>
      <c r="Q1422" s="17"/>
    </row>
    <row r="1423" spans="1:19" hidden="1" x14ac:dyDescent="0.2">
      <c r="A1423" s="17" t="s">
        <v>55</v>
      </c>
      <c r="B1423" s="17" t="s">
        <v>56</v>
      </c>
      <c r="Q1423" s="17"/>
    </row>
    <row r="1424" spans="1:19" hidden="1" x14ac:dyDescent="0.2">
      <c r="A1424" s="17" t="s">
        <v>52</v>
      </c>
      <c r="B1424" s="17" t="s">
        <v>64</v>
      </c>
      <c r="Q1424" s="17"/>
    </row>
    <row r="1425" spans="1:19" hidden="1" x14ac:dyDescent="0.2">
      <c r="A1425" s="17" t="s">
        <v>51</v>
      </c>
      <c r="B1425" s="17" t="s">
        <v>434</v>
      </c>
      <c r="Q1425" s="17"/>
    </row>
    <row r="1426" spans="1:19" hidden="1" x14ac:dyDescent="0.2">
      <c r="A1426" s="17" t="s">
        <v>63</v>
      </c>
      <c r="B1426" s="17" t="s">
        <v>435</v>
      </c>
      <c r="Q1426" s="17"/>
    </row>
    <row r="1427" spans="1:19" hidden="1" x14ac:dyDescent="0.2">
      <c r="A1427" s="18" t="s">
        <v>57</v>
      </c>
      <c r="Q1427" s="17"/>
    </row>
    <row r="1428" spans="1:19" hidden="1" x14ac:dyDescent="0.2">
      <c r="A1428" s="18" t="s">
        <v>58</v>
      </c>
      <c r="B1428" s="18" t="s">
        <v>59</v>
      </c>
      <c r="C1428" s="18" t="s">
        <v>52</v>
      </c>
      <c r="D1428" s="18" t="s">
        <v>55</v>
      </c>
      <c r="E1428" s="18" t="s">
        <v>60</v>
      </c>
      <c r="F1428" s="18" t="s">
        <v>61</v>
      </c>
      <c r="G1428" s="18" t="s">
        <v>54</v>
      </c>
      <c r="H1428" s="18" t="s">
        <v>51</v>
      </c>
      <c r="I1428" s="18" t="s">
        <v>221</v>
      </c>
      <c r="J1428" s="2" t="s">
        <v>379</v>
      </c>
      <c r="K1428" s="62" t="s">
        <v>1059</v>
      </c>
      <c r="L1428" s="62" t="s">
        <v>1060</v>
      </c>
      <c r="M1428" s="62" t="s">
        <v>1061</v>
      </c>
      <c r="N1428" s="62" t="s">
        <v>1062</v>
      </c>
      <c r="O1428" s="62" t="s">
        <v>1063</v>
      </c>
      <c r="P1428" s="62" t="s">
        <v>1064</v>
      </c>
      <c r="Q1428" s="2" t="s">
        <v>1065</v>
      </c>
      <c r="R1428" s="2" t="s">
        <v>380</v>
      </c>
      <c r="S1428" s="18" t="s">
        <v>1128</v>
      </c>
    </row>
    <row r="1429" spans="1:19" hidden="1" x14ac:dyDescent="0.2">
      <c r="A1429" s="17" t="s">
        <v>433</v>
      </c>
      <c r="B1429" s="17">
        <v>1</v>
      </c>
      <c r="C1429" s="17" t="s">
        <v>64</v>
      </c>
      <c r="D1429" s="17" t="s">
        <v>56</v>
      </c>
      <c r="F1429" s="17" t="s">
        <v>62</v>
      </c>
      <c r="G1429" s="17" t="s">
        <v>377</v>
      </c>
      <c r="Q1429" s="17"/>
    </row>
    <row r="1430" spans="1:19" hidden="1" x14ac:dyDescent="0.2">
      <c r="A1430" s="17" t="s">
        <v>436</v>
      </c>
      <c r="B1430" s="17">
        <v>3.0000000000000001E-3</v>
      </c>
      <c r="C1430" s="17" t="s">
        <v>90</v>
      </c>
      <c r="D1430" s="17" t="s">
        <v>56</v>
      </c>
      <c r="F1430" s="17" t="s">
        <v>86</v>
      </c>
      <c r="G1430" s="17" t="s">
        <v>437</v>
      </c>
      <c r="H1430" s="17" t="s">
        <v>438</v>
      </c>
      <c r="I1430" s="17">
        <v>2</v>
      </c>
      <c r="J1430">
        <f>LN(B1430)</f>
        <v>-5.8091429903140277</v>
      </c>
      <c r="K1430" s="13">
        <v>1</v>
      </c>
      <c r="L1430" s="13">
        <v>1.2</v>
      </c>
      <c r="M1430" s="13">
        <v>1</v>
      </c>
      <c r="N1430" s="13">
        <v>1.01</v>
      </c>
      <c r="O1430" s="13">
        <v>1.2</v>
      </c>
      <c r="P1430" s="13">
        <v>1.2</v>
      </c>
      <c r="Q1430">
        <v>1.05</v>
      </c>
      <c r="R1430">
        <f t="shared" ref="R1430:R1436" si="139">LN(SQRT(EXP(
SQRT(
+POWER(LN(K1430),2)
+POWER(LN(L1430),2)
+POWER(LN(M1430),2)
+POWER(LN(N1430),2)
+POWER(LN(O1430),2)
+POWER(LN(P1430),2)
+POWER(LN(Q1430),2)
)
)))</f>
        <v>0.15984597228197622</v>
      </c>
    </row>
    <row r="1431" spans="1:19" hidden="1" x14ac:dyDescent="0.2">
      <c r="A1431" s="17" t="s">
        <v>439</v>
      </c>
      <c r="B1431" s="17">
        <f>1/(100000000*20)</f>
        <v>5.0000000000000003E-10</v>
      </c>
      <c r="C1431" s="17" t="s">
        <v>90</v>
      </c>
      <c r="D1431" s="17" t="s">
        <v>55</v>
      </c>
      <c r="F1431" s="17" t="s">
        <v>86</v>
      </c>
      <c r="G1431" s="17" t="s">
        <v>440</v>
      </c>
      <c r="H1431" s="17" t="s">
        <v>441</v>
      </c>
      <c r="I1431" s="17">
        <v>2</v>
      </c>
      <c r="J1431">
        <f>LN(B1431)</f>
        <v>-21.416413017506358</v>
      </c>
      <c r="K1431" s="13">
        <v>1</v>
      </c>
      <c r="L1431" s="13">
        <v>1.2</v>
      </c>
      <c r="M1431" s="13">
        <v>1</v>
      </c>
      <c r="N1431" s="13">
        <v>1.01</v>
      </c>
      <c r="O1431" s="13">
        <v>1.2</v>
      </c>
      <c r="P1431" s="13">
        <v>1.2</v>
      </c>
      <c r="Q1431">
        <v>3</v>
      </c>
      <c r="R1431">
        <f t="shared" si="139"/>
        <v>0.57157051623399524</v>
      </c>
    </row>
    <row r="1432" spans="1:19" hidden="1" x14ac:dyDescent="0.2">
      <c r="A1432" s="17" t="s">
        <v>442</v>
      </c>
      <c r="B1432" s="17">
        <f>-1/(100000000*20)</f>
        <v>-5.0000000000000003E-10</v>
      </c>
      <c r="C1432" s="17" t="s">
        <v>90</v>
      </c>
      <c r="D1432" s="17" t="s">
        <v>55</v>
      </c>
      <c r="F1432" s="17" t="s">
        <v>86</v>
      </c>
      <c r="G1432" s="17" t="s">
        <v>440</v>
      </c>
      <c r="H1432" s="17" t="s">
        <v>443</v>
      </c>
      <c r="I1432" s="17">
        <v>2</v>
      </c>
      <c r="J1432">
        <f>LN(B1432*-1)</f>
        <v>-21.416413017506358</v>
      </c>
      <c r="K1432" s="13">
        <v>1</v>
      </c>
      <c r="L1432" s="13">
        <v>1.2</v>
      </c>
      <c r="M1432" s="13">
        <v>1</v>
      </c>
      <c r="N1432" s="13">
        <v>1.01</v>
      </c>
      <c r="O1432" s="13">
        <v>1.2</v>
      </c>
      <c r="P1432" s="13">
        <v>1.2</v>
      </c>
      <c r="Q1432">
        <v>3</v>
      </c>
      <c r="R1432">
        <f>LN(SQRT(EXP(
SQRT(
+POWER(LN(K1432),2)
+POWER(LN(L1432),2)
+POWER(LN(M1432),2)
+POWER(LN(N1432),2)
+POWER(LN(O1432),2)
+POWER(LN(P1432),2)
+POWER(LN(Q1432),2)
)
)))</f>
        <v>0.57157051623399524</v>
      </c>
      <c r="S1432" s="17" t="b">
        <v>1</v>
      </c>
    </row>
    <row r="1433" spans="1:19" hidden="1" x14ac:dyDescent="0.2">
      <c r="A1433" s="17" t="s">
        <v>130</v>
      </c>
      <c r="B1433" s="17">
        <v>0.5</v>
      </c>
      <c r="C1433" s="17" t="s">
        <v>64</v>
      </c>
      <c r="D1433" s="17" t="s">
        <v>92</v>
      </c>
      <c r="F1433" s="17" t="s">
        <v>86</v>
      </c>
      <c r="G1433" s="17" t="s">
        <v>93</v>
      </c>
      <c r="H1433" s="17" t="s">
        <v>438</v>
      </c>
      <c r="I1433" s="17">
        <v>2</v>
      </c>
      <c r="J1433">
        <f>LN(B1433)</f>
        <v>-0.69314718055994529</v>
      </c>
      <c r="K1433" s="13">
        <v>1</v>
      </c>
      <c r="L1433" s="13">
        <v>1.2</v>
      </c>
      <c r="M1433" s="13">
        <v>1</v>
      </c>
      <c r="N1433" s="13">
        <v>1.01</v>
      </c>
      <c r="O1433" s="13">
        <v>1.2</v>
      </c>
      <c r="P1433" s="13">
        <v>1.2</v>
      </c>
      <c r="Q1433">
        <v>1.05</v>
      </c>
      <c r="R1433">
        <f t="shared" si="139"/>
        <v>0.15984597228197622</v>
      </c>
    </row>
    <row r="1434" spans="1:19" hidden="1" x14ac:dyDescent="0.2">
      <c r="A1434" s="17" t="s">
        <v>263</v>
      </c>
      <c r="B1434" s="17">
        <v>5.4</v>
      </c>
      <c r="C1434" s="17" t="s">
        <v>90</v>
      </c>
      <c r="D1434" s="17" t="s">
        <v>65</v>
      </c>
      <c r="F1434" s="17" t="s">
        <v>86</v>
      </c>
      <c r="G1434" s="17" t="s">
        <v>199</v>
      </c>
      <c r="I1434" s="17">
        <v>2</v>
      </c>
      <c r="J1434">
        <f t="shared" ref="J1434" si="140">LN(B1434)</f>
        <v>1.6863989535702288</v>
      </c>
      <c r="K1434" s="13">
        <v>1</v>
      </c>
      <c r="L1434" s="13">
        <v>1.2</v>
      </c>
      <c r="M1434" s="13">
        <v>1</v>
      </c>
      <c r="N1434" s="13">
        <v>1.01</v>
      </c>
      <c r="O1434" s="13">
        <v>1.2</v>
      </c>
      <c r="P1434" s="13">
        <v>1.2</v>
      </c>
      <c r="Q1434">
        <v>1.05</v>
      </c>
      <c r="R1434">
        <f t="shared" si="139"/>
        <v>0.15984597228197622</v>
      </c>
    </row>
    <row r="1435" spans="1:19" hidden="1" x14ac:dyDescent="0.2">
      <c r="A1435" s="17" t="s">
        <v>393</v>
      </c>
      <c r="B1435" s="17">
        <v>1</v>
      </c>
      <c r="D1435" s="17" t="s">
        <v>56</v>
      </c>
      <c r="E1435" s="17" t="s">
        <v>394</v>
      </c>
      <c r="F1435" s="17" t="s">
        <v>99</v>
      </c>
      <c r="H1435" s="17" t="s">
        <v>444</v>
      </c>
      <c r="I1435" s="17">
        <v>2</v>
      </c>
      <c r="J1435">
        <f>LN(B1435)</f>
        <v>0</v>
      </c>
      <c r="K1435" s="13">
        <v>1</v>
      </c>
      <c r="L1435" s="13">
        <v>1.2</v>
      </c>
      <c r="M1435" s="13">
        <v>1</v>
      </c>
      <c r="N1435" s="13">
        <v>1.01</v>
      </c>
      <c r="O1435" s="13">
        <v>1.2</v>
      </c>
      <c r="P1435" s="13">
        <v>1.2</v>
      </c>
      <c r="Q1435" s="13">
        <v>1.05</v>
      </c>
      <c r="R1435">
        <f t="shared" si="139"/>
        <v>0.15984597228197622</v>
      </c>
    </row>
    <row r="1436" spans="1:19" hidden="1" x14ac:dyDescent="0.2">
      <c r="A1436" s="17" t="s">
        <v>371</v>
      </c>
      <c r="B1436" s="25">
        <v>2.1000000000000001E-2</v>
      </c>
      <c r="D1436" s="17" t="s">
        <v>56</v>
      </c>
      <c r="E1436" s="17" t="s">
        <v>408</v>
      </c>
      <c r="F1436" s="17" t="s">
        <v>99</v>
      </c>
      <c r="H1436" s="17" t="s">
        <v>445</v>
      </c>
      <c r="I1436" s="17">
        <v>2</v>
      </c>
      <c r="J1436">
        <f>LN(B1436)</f>
        <v>-3.8632328412587138</v>
      </c>
      <c r="K1436" s="13">
        <v>1</v>
      </c>
      <c r="L1436" s="13">
        <v>1.2</v>
      </c>
      <c r="M1436" s="13">
        <v>1</v>
      </c>
      <c r="N1436" s="13">
        <v>1.01</v>
      </c>
      <c r="O1436" s="13">
        <v>1.2</v>
      </c>
      <c r="P1436" s="13">
        <v>1.2</v>
      </c>
      <c r="Q1436" s="13">
        <v>1.05</v>
      </c>
      <c r="R1436">
        <f t="shared" si="139"/>
        <v>0.15984597228197622</v>
      </c>
    </row>
    <row r="1437" spans="1:19" hidden="1" x14ac:dyDescent="0.2">
      <c r="Q1437" s="17"/>
    </row>
    <row r="1438" spans="1:19" hidden="1" x14ac:dyDescent="0.2">
      <c r="A1438" s="18" t="s">
        <v>50</v>
      </c>
      <c r="B1438" s="18" t="s">
        <v>439</v>
      </c>
      <c r="Q1438" s="17"/>
    </row>
    <row r="1439" spans="1:19" hidden="1" x14ac:dyDescent="0.2">
      <c r="A1439" s="17" t="s">
        <v>53</v>
      </c>
      <c r="B1439" s="17">
        <v>1</v>
      </c>
      <c r="Q1439" s="17"/>
    </row>
    <row r="1440" spans="1:19" hidden="1" x14ac:dyDescent="0.2">
      <c r="A1440" s="17" t="s">
        <v>54</v>
      </c>
      <c r="B1440" s="17" t="s">
        <v>440</v>
      </c>
      <c r="Q1440" s="17"/>
    </row>
    <row r="1441" spans="1:19" hidden="1" x14ac:dyDescent="0.2">
      <c r="A1441" s="17" t="s">
        <v>61</v>
      </c>
      <c r="B1441" s="17" t="s">
        <v>121</v>
      </c>
      <c r="Q1441" s="17"/>
    </row>
    <row r="1442" spans="1:19" hidden="1" x14ac:dyDescent="0.2">
      <c r="A1442" s="17" t="s">
        <v>55</v>
      </c>
      <c r="B1442" s="17" t="s">
        <v>55</v>
      </c>
      <c r="Q1442" s="17"/>
    </row>
    <row r="1443" spans="1:19" hidden="1" x14ac:dyDescent="0.2">
      <c r="A1443" s="17" t="s">
        <v>52</v>
      </c>
      <c r="B1443" s="17" t="s">
        <v>90</v>
      </c>
      <c r="Q1443" s="17"/>
    </row>
    <row r="1444" spans="1:19" hidden="1" x14ac:dyDescent="0.2">
      <c r="A1444" s="17" t="s">
        <v>51</v>
      </c>
      <c r="B1444" s="17" t="s">
        <v>434</v>
      </c>
      <c r="Q1444" s="17"/>
    </row>
    <row r="1445" spans="1:19" hidden="1" x14ac:dyDescent="0.2">
      <c r="A1445" s="17" t="s">
        <v>63</v>
      </c>
      <c r="B1445" s="17" t="s">
        <v>435</v>
      </c>
      <c r="Q1445" s="17"/>
    </row>
    <row r="1446" spans="1:19" hidden="1" x14ac:dyDescent="0.2">
      <c r="A1446" s="18" t="s">
        <v>57</v>
      </c>
      <c r="Q1446" s="17"/>
    </row>
    <row r="1447" spans="1:19" hidden="1" x14ac:dyDescent="0.2">
      <c r="A1447" s="18" t="s">
        <v>58</v>
      </c>
      <c r="B1447" s="18" t="s">
        <v>59</v>
      </c>
      <c r="C1447" s="18" t="s">
        <v>52</v>
      </c>
      <c r="D1447" s="18" t="s">
        <v>55</v>
      </c>
      <c r="E1447" s="18" t="s">
        <v>60</v>
      </c>
      <c r="F1447" s="18" t="s">
        <v>61</v>
      </c>
      <c r="G1447" s="18" t="s">
        <v>54</v>
      </c>
      <c r="H1447" s="18" t="s">
        <v>51</v>
      </c>
      <c r="I1447" s="18" t="s">
        <v>221</v>
      </c>
      <c r="J1447" s="2" t="s">
        <v>379</v>
      </c>
      <c r="K1447" s="62" t="s">
        <v>1059</v>
      </c>
      <c r="L1447" s="62" t="s">
        <v>1060</v>
      </c>
      <c r="M1447" s="62" t="s">
        <v>1061</v>
      </c>
      <c r="N1447" s="62" t="s">
        <v>1062</v>
      </c>
      <c r="O1447" s="62" t="s">
        <v>1063</v>
      </c>
      <c r="P1447" s="62" t="s">
        <v>1064</v>
      </c>
      <c r="Q1447" s="2" t="s">
        <v>1065</v>
      </c>
      <c r="R1447" s="2" t="s">
        <v>380</v>
      </c>
      <c r="S1447" s="18" t="s">
        <v>1128</v>
      </c>
    </row>
    <row r="1448" spans="1:19" hidden="1" x14ac:dyDescent="0.2">
      <c r="A1448" s="17" t="s">
        <v>439</v>
      </c>
      <c r="B1448" s="17">
        <v>1</v>
      </c>
      <c r="C1448" s="17" t="s">
        <v>90</v>
      </c>
      <c r="D1448" s="17" t="s">
        <v>55</v>
      </c>
      <c r="F1448" s="17" t="s">
        <v>62</v>
      </c>
      <c r="G1448" s="17" t="s">
        <v>440</v>
      </c>
      <c r="Q1448" s="17"/>
    </row>
    <row r="1449" spans="1:19" hidden="1" x14ac:dyDescent="0.2">
      <c r="A1449" s="17" t="s">
        <v>646</v>
      </c>
      <c r="B1449" s="17">
        <v>8000</v>
      </c>
      <c r="C1449" s="17" t="s">
        <v>64</v>
      </c>
      <c r="D1449" s="17" t="s">
        <v>120</v>
      </c>
      <c r="F1449" s="17" t="s">
        <v>86</v>
      </c>
      <c r="G1449" s="17" t="s">
        <v>645</v>
      </c>
      <c r="H1449" s="17" t="s">
        <v>446</v>
      </c>
      <c r="I1449" s="17">
        <v>2</v>
      </c>
      <c r="J1449">
        <f t="shared" ref="J1449:J1468" si="141">LN(B1449)</f>
        <v>8.987196820661973</v>
      </c>
      <c r="K1449" s="13">
        <v>1</v>
      </c>
      <c r="L1449" s="13">
        <v>1.2</v>
      </c>
      <c r="M1449" s="13">
        <v>1</v>
      </c>
      <c r="N1449" s="13">
        <v>1.01</v>
      </c>
      <c r="O1449" s="13">
        <v>1.2</v>
      </c>
      <c r="P1449" s="13">
        <v>1.2</v>
      </c>
      <c r="Q1449">
        <v>1.05</v>
      </c>
      <c r="R1449">
        <f t="shared" ref="R1449:R1468" si="142">LN(SQRT(EXP(
SQRT(
+POWER(LN(K1449),2)
+POWER(LN(L1449),2)
+POWER(LN(M1449),2)
+POWER(LN(N1449),2)
+POWER(LN(O1449),2)
+POWER(LN(P1449),2)
+POWER(LN(Q1449),2)
)
)))</f>
        <v>0.15984597228197622</v>
      </c>
    </row>
    <row r="1450" spans="1:19" hidden="1" x14ac:dyDescent="0.2">
      <c r="A1450" s="17" t="s">
        <v>447</v>
      </c>
      <c r="B1450" s="17">
        <v>942000</v>
      </c>
      <c r="C1450" s="17" t="s">
        <v>85</v>
      </c>
      <c r="D1450" s="17" t="s">
        <v>56</v>
      </c>
      <c r="F1450" s="17" t="s">
        <v>86</v>
      </c>
      <c r="G1450" s="17" t="s">
        <v>124</v>
      </c>
      <c r="H1450" s="17" t="s">
        <v>446</v>
      </c>
      <c r="I1450" s="17">
        <v>2</v>
      </c>
      <c r="J1450">
        <f t="shared" si="141"/>
        <v>13.755760553558501</v>
      </c>
      <c r="K1450" s="13">
        <v>1</v>
      </c>
      <c r="L1450" s="13">
        <v>1.2</v>
      </c>
      <c r="M1450" s="13">
        <v>1</v>
      </c>
      <c r="N1450" s="13">
        <v>1.01</v>
      </c>
      <c r="O1450" s="13">
        <v>1.2</v>
      </c>
      <c r="P1450" s="13">
        <v>1.2</v>
      </c>
      <c r="Q1450">
        <v>1.05</v>
      </c>
      <c r="R1450">
        <f t="shared" si="142"/>
        <v>0.15984597228197622</v>
      </c>
    </row>
    <row r="1451" spans="1:19" hidden="1" x14ac:dyDescent="0.2">
      <c r="A1451" s="17" t="s">
        <v>646</v>
      </c>
      <c r="B1451" s="17">
        <v>6000</v>
      </c>
      <c r="C1451" s="17" t="s">
        <v>64</v>
      </c>
      <c r="D1451" s="17" t="s">
        <v>120</v>
      </c>
      <c r="F1451" s="17" t="s">
        <v>86</v>
      </c>
      <c r="G1451" s="17" t="s">
        <v>645</v>
      </c>
      <c r="H1451" s="17" t="s">
        <v>448</v>
      </c>
      <c r="I1451" s="17">
        <v>2</v>
      </c>
      <c r="J1451">
        <f t="shared" si="141"/>
        <v>8.6995147482101913</v>
      </c>
      <c r="K1451" s="13">
        <v>1</v>
      </c>
      <c r="L1451" s="13">
        <v>1.2</v>
      </c>
      <c r="M1451" s="13">
        <v>1</v>
      </c>
      <c r="N1451" s="13">
        <v>1.01</v>
      </c>
      <c r="O1451" s="13">
        <v>1.2</v>
      </c>
      <c r="P1451" s="13">
        <v>1.2</v>
      </c>
      <c r="Q1451">
        <v>1.05</v>
      </c>
      <c r="R1451">
        <f t="shared" si="142"/>
        <v>0.15984597228197622</v>
      </c>
    </row>
    <row r="1452" spans="1:19" hidden="1" x14ac:dyDescent="0.2">
      <c r="A1452" s="17" t="s">
        <v>447</v>
      </c>
      <c r="B1452" s="17">
        <v>548000.00000000012</v>
      </c>
      <c r="C1452" s="17" t="s">
        <v>85</v>
      </c>
      <c r="D1452" s="37" t="s">
        <v>56</v>
      </c>
      <c r="F1452" s="17" t="s">
        <v>86</v>
      </c>
      <c r="G1452" s="17" t="s">
        <v>124</v>
      </c>
      <c r="H1452" s="17" t="s">
        <v>448</v>
      </c>
      <c r="I1452" s="17">
        <v>2</v>
      </c>
      <c r="J1452">
        <f t="shared" si="141"/>
        <v>13.214030565930154</v>
      </c>
      <c r="K1452" s="13">
        <v>1</v>
      </c>
      <c r="L1452" s="13">
        <v>1.2</v>
      </c>
      <c r="M1452" s="13">
        <v>1</v>
      </c>
      <c r="N1452" s="13">
        <v>1.01</v>
      </c>
      <c r="O1452" s="13">
        <v>1.2</v>
      </c>
      <c r="P1452" s="13">
        <v>1.2</v>
      </c>
      <c r="Q1452">
        <v>1.05</v>
      </c>
      <c r="R1452">
        <f t="shared" si="142"/>
        <v>0.15984597228197622</v>
      </c>
    </row>
    <row r="1453" spans="1:19" hidden="1" x14ac:dyDescent="0.2">
      <c r="A1453" s="17" t="s">
        <v>114</v>
      </c>
      <c r="B1453" s="17">
        <v>120000</v>
      </c>
      <c r="C1453" s="17" t="s">
        <v>85</v>
      </c>
      <c r="D1453" s="37" t="s">
        <v>56</v>
      </c>
      <c r="F1453" s="17" t="s">
        <v>86</v>
      </c>
      <c r="G1453" s="17" t="s">
        <v>115</v>
      </c>
      <c r="H1453" s="17" t="s">
        <v>448</v>
      </c>
      <c r="I1453" s="17">
        <v>2</v>
      </c>
      <c r="J1453">
        <f t="shared" si="141"/>
        <v>11.695247021764184</v>
      </c>
      <c r="K1453" s="13">
        <v>1</v>
      </c>
      <c r="L1453" s="13">
        <v>1.2</v>
      </c>
      <c r="M1453" s="13">
        <v>1</v>
      </c>
      <c r="N1453" s="13">
        <v>1.01</v>
      </c>
      <c r="O1453" s="13">
        <v>1.2</v>
      </c>
      <c r="P1453" s="13">
        <v>1.2</v>
      </c>
      <c r="Q1453">
        <v>1.05</v>
      </c>
      <c r="R1453">
        <f t="shared" si="142"/>
        <v>0.15984597228197622</v>
      </c>
    </row>
    <row r="1454" spans="1:19" hidden="1" x14ac:dyDescent="0.2">
      <c r="A1454" s="17" t="s">
        <v>449</v>
      </c>
      <c r="B1454" s="17">
        <v>16000</v>
      </c>
      <c r="C1454" s="17" t="s">
        <v>85</v>
      </c>
      <c r="D1454" s="37" t="s">
        <v>56</v>
      </c>
      <c r="F1454" s="17" t="s">
        <v>86</v>
      </c>
      <c r="G1454" s="17" t="s">
        <v>450</v>
      </c>
      <c r="H1454" s="17" t="s">
        <v>448</v>
      </c>
      <c r="I1454" s="17">
        <v>2</v>
      </c>
      <c r="J1454">
        <f t="shared" si="141"/>
        <v>9.6803440012219184</v>
      </c>
      <c r="K1454" s="13">
        <v>1</v>
      </c>
      <c r="L1454" s="13">
        <v>1.2</v>
      </c>
      <c r="M1454" s="13">
        <v>1</v>
      </c>
      <c r="N1454" s="13">
        <v>1.01</v>
      </c>
      <c r="O1454" s="13">
        <v>1.2</v>
      </c>
      <c r="P1454" s="13">
        <v>1.2</v>
      </c>
      <c r="Q1454">
        <v>1.05</v>
      </c>
      <c r="R1454">
        <f t="shared" si="142"/>
        <v>0.15984597228197622</v>
      </c>
    </row>
    <row r="1455" spans="1:19" hidden="1" x14ac:dyDescent="0.2">
      <c r="A1455" s="17" t="s">
        <v>268</v>
      </c>
      <c r="B1455" s="17">
        <v>276000.00000000006</v>
      </c>
      <c r="C1455" s="17" t="s">
        <v>85</v>
      </c>
      <c r="D1455" s="37" t="s">
        <v>56</v>
      </c>
      <c r="F1455" s="17" t="s">
        <v>86</v>
      </c>
      <c r="G1455" s="17" t="s">
        <v>269</v>
      </c>
      <c r="H1455" s="17" t="s">
        <v>451</v>
      </c>
      <c r="I1455" s="17">
        <v>2</v>
      </c>
      <c r="J1455">
        <f t="shared" si="141"/>
        <v>12.528156144699286</v>
      </c>
      <c r="K1455" s="13">
        <v>1</v>
      </c>
      <c r="L1455" s="13">
        <v>1.2</v>
      </c>
      <c r="M1455" s="13">
        <v>1</v>
      </c>
      <c r="N1455" s="13">
        <v>1.01</v>
      </c>
      <c r="O1455" s="13">
        <v>1.2</v>
      </c>
      <c r="P1455" s="13">
        <v>1.2</v>
      </c>
      <c r="Q1455">
        <v>1.05</v>
      </c>
      <c r="R1455">
        <f t="shared" si="142"/>
        <v>0.15984597228197622</v>
      </c>
    </row>
    <row r="1456" spans="1:19" hidden="1" x14ac:dyDescent="0.2">
      <c r="A1456" s="17" t="s">
        <v>103</v>
      </c>
      <c r="B1456" s="17">
        <v>224000</v>
      </c>
      <c r="C1456" s="17" t="s">
        <v>85</v>
      </c>
      <c r="D1456" s="37" t="s">
        <v>56</v>
      </c>
      <c r="F1456" s="17" t="s">
        <v>86</v>
      </c>
      <c r="G1456" s="17" t="s">
        <v>104</v>
      </c>
      <c r="H1456" s="17" t="s">
        <v>451</v>
      </c>
      <c r="I1456" s="17">
        <v>2</v>
      </c>
      <c r="J1456">
        <f t="shared" si="141"/>
        <v>12.319401330837177</v>
      </c>
      <c r="K1456" s="13">
        <v>1</v>
      </c>
      <c r="L1456" s="13">
        <v>1.2</v>
      </c>
      <c r="M1456" s="13">
        <v>1</v>
      </c>
      <c r="N1456" s="13">
        <v>1.01</v>
      </c>
      <c r="O1456" s="13">
        <v>1.2</v>
      </c>
      <c r="P1456" s="13">
        <v>1.2</v>
      </c>
      <c r="Q1456">
        <v>1.05</v>
      </c>
      <c r="R1456">
        <f t="shared" si="142"/>
        <v>0.15984597228197622</v>
      </c>
    </row>
    <row r="1457" spans="1:18" hidden="1" x14ac:dyDescent="0.2">
      <c r="A1457" s="17" t="s">
        <v>449</v>
      </c>
      <c r="B1457" s="17">
        <v>10000</v>
      </c>
      <c r="C1457" s="17" t="s">
        <v>85</v>
      </c>
      <c r="D1457" s="37" t="s">
        <v>56</v>
      </c>
      <c r="F1457" s="17" t="s">
        <v>86</v>
      </c>
      <c r="G1457" s="17" t="s">
        <v>450</v>
      </c>
      <c r="H1457" s="17" t="s">
        <v>451</v>
      </c>
      <c r="I1457" s="17">
        <v>2</v>
      </c>
      <c r="J1457">
        <f t="shared" si="141"/>
        <v>9.2103403719761836</v>
      </c>
      <c r="K1457" s="13">
        <v>1</v>
      </c>
      <c r="L1457" s="13">
        <v>1.2</v>
      </c>
      <c r="M1457" s="13">
        <v>1</v>
      </c>
      <c r="N1457" s="13">
        <v>1.01</v>
      </c>
      <c r="O1457" s="13">
        <v>1.2</v>
      </c>
      <c r="P1457" s="13">
        <v>1.2</v>
      </c>
      <c r="Q1457">
        <v>1.05</v>
      </c>
      <c r="R1457">
        <f t="shared" si="142"/>
        <v>0.15984597228197622</v>
      </c>
    </row>
    <row r="1458" spans="1:18" hidden="1" x14ac:dyDescent="0.2">
      <c r="A1458" s="17" t="s">
        <v>452</v>
      </c>
      <c r="B1458" s="17">
        <v>12000</v>
      </c>
      <c r="C1458" s="17" t="s">
        <v>90</v>
      </c>
      <c r="D1458" s="37" t="s">
        <v>56</v>
      </c>
      <c r="F1458" s="17" t="s">
        <v>86</v>
      </c>
      <c r="G1458" s="17" t="s">
        <v>453</v>
      </c>
      <c r="H1458" s="17" t="s">
        <v>451</v>
      </c>
      <c r="I1458" s="17">
        <v>2</v>
      </c>
      <c r="J1458">
        <f t="shared" si="141"/>
        <v>9.3926619287701367</v>
      </c>
      <c r="K1458" s="13">
        <v>1</v>
      </c>
      <c r="L1458" s="13">
        <v>1.2</v>
      </c>
      <c r="M1458" s="13">
        <v>1</v>
      </c>
      <c r="N1458" s="13">
        <v>1.01</v>
      </c>
      <c r="O1458" s="13">
        <v>1.2</v>
      </c>
      <c r="P1458" s="13">
        <v>1.2</v>
      </c>
      <c r="Q1458">
        <v>1.05</v>
      </c>
      <c r="R1458">
        <f t="shared" si="142"/>
        <v>0.15984597228197622</v>
      </c>
    </row>
    <row r="1459" spans="1:18" hidden="1" x14ac:dyDescent="0.2">
      <c r="A1459" s="17" t="s">
        <v>454</v>
      </c>
      <c r="B1459" s="17">
        <v>10000</v>
      </c>
      <c r="C1459" s="17" t="s">
        <v>85</v>
      </c>
      <c r="D1459" s="37" t="s">
        <v>56</v>
      </c>
      <c r="F1459" s="17" t="s">
        <v>86</v>
      </c>
      <c r="G1459" s="17" t="s">
        <v>455</v>
      </c>
      <c r="H1459" s="17" t="s">
        <v>451</v>
      </c>
      <c r="I1459" s="17">
        <v>2</v>
      </c>
      <c r="J1459">
        <f t="shared" si="141"/>
        <v>9.2103403719761836</v>
      </c>
      <c r="K1459" s="13">
        <v>1</v>
      </c>
      <c r="L1459" s="13">
        <v>1.2</v>
      </c>
      <c r="M1459" s="13">
        <v>1</v>
      </c>
      <c r="N1459" s="13">
        <v>1.01</v>
      </c>
      <c r="O1459" s="13">
        <v>1.2</v>
      </c>
      <c r="P1459" s="13">
        <v>1.2</v>
      </c>
      <c r="Q1459">
        <v>1.05</v>
      </c>
      <c r="R1459">
        <f t="shared" si="142"/>
        <v>0.15984597228197622</v>
      </c>
    </row>
    <row r="1460" spans="1:18" hidden="1" x14ac:dyDescent="0.2">
      <c r="A1460" s="17" t="s">
        <v>101</v>
      </c>
      <c r="B1460" s="17">
        <v>160000</v>
      </c>
      <c r="C1460" s="17" t="s">
        <v>85</v>
      </c>
      <c r="D1460" s="37" t="s">
        <v>56</v>
      </c>
      <c r="F1460" s="17" t="s">
        <v>86</v>
      </c>
      <c r="G1460" s="17" t="s">
        <v>102</v>
      </c>
      <c r="H1460" s="17" t="s">
        <v>451</v>
      </c>
      <c r="I1460" s="17">
        <v>2</v>
      </c>
      <c r="J1460">
        <f t="shared" si="141"/>
        <v>11.982929094215963</v>
      </c>
      <c r="K1460" s="13">
        <v>1</v>
      </c>
      <c r="L1460" s="13">
        <v>1.2</v>
      </c>
      <c r="M1460" s="13">
        <v>1</v>
      </c>
      <c r="N1460" s="13">
        <v>1.01</v>
      </c>
      <c r="O1460" s="13">
        <v>1.2</v>
      </c>
      <c r="P1460" s="13">
        <v>1.2</v>
      </c>
      <c r="Q1460">
        <v>1.05</v>
      </c>
      <c r="R1460">
        <f t="shared" si="142"/>
        <v>0.15984597228197622</v>
      </c>
    </row>
    <row r="1461" spans="1:18" hidden="1" x14ac:dyDescent="0.2">
      <c r="A1461" s="17" t="s">
        <v>456</v>
      </c>
      <c r="B1461" s="17">
        <v>10000</v>
      </c>
      <c r="C1461" s="17" t="s">
        <v>90</v>
      </c>
      <c r="D1461" s="37" t="s">
        <v>56</v>
      </c>
      <c r="F1461" s="17" t="s">
        <v>86</v>
      </c>
      <c r="G1461" s="17" t="s">
        <v>457</v>
      </c>
      <c r="H1461" s="17" t="s">
        <v>451</v>
      </c>
      <c r="I1461" s="17">
        <v>2</v>
      </c>
      <c r="J1461">
        <f t="shared" si="141"/>
        <v>9.2103403719761836</v>
      </c>
      <c r="K1461" s="13">
        <v>1</v>
      </c>
      <c r="L1461" s="13">
        <v>1.2</v>
      </c>
      <c r="M1461" s="13">
        <v>1</v>
      </c>
      <c r="N1461" s="13">
        <v>1.01</v>
      </c>
      <c r="O1461" s="13">
        <v>1.2</v>
      </c>
      <c r="P1461" s="13">
        <v>1.2</v>
      </c>
      <c r="Q1461">
        <v>1.05</v>
      </c>
      <c r="R1461">
        <f t="shared" si="142"/>
        <v>0.15984597228197622</v>
      </c>
    </row>
    <row r="1462" spans="1:18" hidden="1" x14ac:dyDescent="0.2">
      <c r="A1462" s="17" t="s">
        <v>103</v>
      </c>
      <c r="B1462" s="17">
        <v>338000</v>
      </c>
      <c r="C1462" s="17" t="s">
        <v>85</v>
      </c>
      <c r="D1462" s="37" t="s">
        <v>56</v>
      </c>
      <c r="F1462" s="17" t="s">
        <v>86</v>
      </c>
      <c r="G1462" s="17" t="s">
        <v>104</v>
      </c>
      <c r="H1462" s="17" t="s">
        <v>458</v>
      </c>
      <c r="I1462" s="17">
        <v>2</v>
      </c>
      <c r="J1462">
        <f t="shared" si="141"/>
        <v>12.730801174465157</v>
      </c>
      <c r="K1462" s="13">
        <v>1</v>
      </c>
      <c r="L1462" s="13">
        <v>1.2</v>
      </c>
      <c r="M1462" s="13">
        <v>1</v>
      </c>
      <c r="N1462" s="13">
        <v>1.01</v>
      </c>
      <c r="O1462" s="13">
        <v>1.2</v>
      </c>
      <c r="P1462" s="13">
        <v>1.2</v>
      </c>
      <c r="Q1462">
        <v>1.05</v>
      </c>
      <c r="R1462">
        <f t="shared" si="142"/>
        <v>0.15984597228197622</v>
      </c>
    </row>
    <row r="1463" spans="1:18" hidden="1" x14ac:dyDescent="0.2">
      <c r="A1463" s="17" t="s">
        <v>114</v>
      </c>
      <c r="B1463" s="17">
        <v>28000</v>
      </c>
      <c r="C1463" s="17" t="s">
        <v>85</v>
      </c>
      <c r="D1463" s="37" t="s">
        <v>56</v>
      </c>
      <c r="F1463" s="17" t="s">
        <v>86</v>
      </c>
      <c r="G1463" s="17" t="s">
        <v>115</v>
      </c>
      <c r="H1463" s="17" t="s">
        <v>458</v>
      </c>
      <c r="I1463" s="17">
        <v>2</v>
      </c>
      <c r="J1463">
        <f t="shared" si="141"/>
        <v>10.239959789157341</v>
      </c>
      <c r="K1463" s="13">
        <v>1</v>
      </c>
      <c r="L1463" s="13">
        <v>1.2</v>
      </c>
      <c r="M1463" s="13">
        <v>1</v>
      </c>
      <c r="N1463" s="13">
        <v>1.01</v>
      </c>
      <c r="O1463" s="13">
        <v>1.2</v>
      </c>
      <c r="P1463" s="13">
        <v>1.2</v>
      </c>
      <c r="Q1463">
        <v>1.05</v>
      </c>
      <c r="R1463">
        <f t="shared" si="142"/>
        <v>0.15984597228197622</v>
      </c>
    </row>
    <row r="1464" spans="1:18" hidden="1" x14ac:dyDescent="0.2">
      <c r="A1464" s="17" t="s">
        <v>459</v>
      </c>
      <c r="B1464" s="17">
        <v>94000</v>
      </c>
      <c r="C1464" s="17" t="s">
        <v>85</v>
      </c>
      <c r="D1464" s="37" t="s">
        <v>56</v>
      </c>
      <c r="F1464" s="17" t="s">
        <v>86</v>
      </c>
      <c r="G1464" s="17" t="s">
        <v>460</v>
      </c>
      <c r="H1464" s="17" t="s">
        <v>458</v>
      </c>
      <c r="I1464" s="17">
        <v>2</v>
      </c>
      <c r="J1464">
        <f t="shared" si="141"/>
        <v>11.451050061252142</v>
      </c>
      <c r="K1464" s="13">
        <v>1</v>
      </c>
      <c r="L1464" s="13">
        <v>1.2</v>
      </c>
      <c r="M1464" s="13">
        <v>1</v>
      </c>
      <c r="N1464" s="13">
        <v>1.01</v>
      </c>
      <c r="O1464" s="13">
        <v>1.2</v>
      </c>
      <c r="P1464" s="13">
        <v>1.2</v>
      </c>
      <c r="Q1464">
        <v>1.05</v>
      </c>
      <c r="R1464">
        <f t="shared" si="142"/>
        <v>0.15984597228197622</v>
      </c>
    </row>
    <row r="1465" spans="1:18" hidden="1" x14ac:dyDescent="0.2">
      <c r="A1465" s="17" t="s">
        <v>452</v>
      </c>
      <c r="B1465" s="17">
        <v>10000</v>
      </c>
      <c r="C1465" s="17" t="s">
        <v>90</v>
      </c>
      <c r="D1465" s="37" t="s">
        <v>56</v>
      </c>
      <c r="F1465" s="17" t="s">
        <v>86</v>
      </c>
      <c r="G1465" s="17" t="s">
        <v>453</v>
      </c>
      <c r="H1465" s="17" t="s">
        <v>458</v>
      </c>
      <c r="I1465" s="17">
        <v>2</v>
      </c>
      <c r="J1465">
        <f t="shared" si="141"/>
        <v>9.2103403719761836</v>
      </c>
      <c r="K1465" s="13">
        <v>1</v>
      </c>
      <c r="L1465" s="13">
        <v>1.2</v>
      </c>
      <c r="M1465" s="13">
        <v>1</v>
      </c>
      <c r="N1465" s="13">
        <v>1.01</v>
      </c>
      <c r="O1465" s="13">
        <v>1.2</v>
      </c>
      <c r="P1465" s="13">
        <v>1.2</v>
      </c>
      <c r="Q1465">
        <v>1.05</v>
      </c>
      <c r="R1465">
        <f t="shared" si="142"/>
        <v>0.15984597228197622</v>
      </c>
    </row>
    <row r="1466" spans="1:18" hidden="1" x14ac:dyDescent="0.2">
      <c r="A1466" s="17" t="s">
        <v>454</v>
      </c>
      <c r="B1466" s="17">
        <v>10000</v>
      </c>
      <c r="C1466" s="17" t="s">
        <v>85</v>
      </c>
      <c r="D1466" s="37" t="s">
        <v>56</v>
      </c>
      <c r="F1466" s="17" t="s">
        <v>86</v>
      </c>
      <c r="G1466" s="17" t="s">
        <v>455</v>
      </c>
      <c r="H1466" s="17" t="s">
        <v>458</v>
      </c>
      <c r="I1466" s="17">
        <v>2</v>
      </c>
      <c r="J1466">
        <f t="shared" si="141"/>
        <v>9.2103403719761836</v>
      </c>
      <c r="K1466" s="13">
        <v>1</v>
      </c>
      <c r="L1466" s="13">
        <v>1.2</v>
      </c>
      <c r="M1466" s="13">
        <v>1</v>
      </c>
      <c r="N1466" s="13">
        <v>1.01</v>
      </c>
      <c r="O1466" s="13">
        <v>1.2</v>
      </c>
      <c r="P1466" s="13">
        <v>1.2</v>
      </c>
      <c r="Q1466">
        <v>1.05</v>
      </c>
      <c r="R1466">
        <f t="shared" si="142"/>
        <v>0.15984597228197622</v>
      </c>
    </row>
    <row r="1467" spans="1:18" hidden="1" x14ac:dyDescent="0.2">
      <c r="A1467" s="17" t="s">
        <v>103</v>
      </c>
      <c r="B1467" s="17">
        <v>22000</v>
      </c>
      <c r="C1467" s="17" t="s">
        <v>85</v>
      </c>
      <c r="D1467" s="37" t="s">
        <v>56</v>
      </c>
      <c r="F1467" s="17" t="s">
        <v>86</v>
      </c>
      <c r="G1467" s="17" t="s">
        <v>104</v>
      </c>
      <c r="H1467" s="17" t="s">
        <v>461</v>
      </c>
      <c r="I1467" s="17">
        <v>2</v>
      </c>
      <c r="J1467">
        <f t="shared" si="141"/>
        <v>9.9987977323404529</v>
      </c>
      <c r="K1467" s="13">
        <v>1</v>
      </c>
      <c r="L1467" s="13">
        <v>1.2</v>
      </c>
      <c r="M1467" s="13">
        <v>1</v>
      </c>
      <c r="N1467" s="13">
        <v>1.01</v>
      </c>
      <c r="O1467" s="13">
        <v>1.2</v>
      </c>
      <c r="P1467" s="13">
        <v>1.2</v>
      </c>
      <c r="Q1467">
        <v>1.05</v>
      </c>
      <c r="R1467">
        <f t="shared" si="142"/>
        <v>0.15984597228197622</v>
      </c>
    </row>
    <row r="1468" spans="1:18" hidden="1" x14ac:dyDescent="0.2">
      <c r="A1468" s="17" t="s">
        <v>114</v>
      </c>
      <c r="B1468" s="17">
        <v>12000</v>
      </c>
      <c r="C1468" s="17" t="s">
        <v>85</v>
      </c>
      <c r="D1468" s="37" t="s">
        <v>56</v>
      </c>
      <c r="F1468" s="17" t="s">
        <v>86</v>
      </c>
      <c r="G1468" s="17" t="s">
        <v>115</v>
      </c>
      <c r="H1468" s="17" t="s">
        <v>461</v>
      </c>
      <c r="I1468" s="17">
        <v>2</v>
      </c>
      <c r="J1468">
        <f t="shared" si="141"/>
        <v>9.3926619287701367</v>
      </c>
      <c r="K1468" s="13">
        <v>1</v>
      </c>
      <c r="L1468" s="13">
        <v>1.2</v>
      </c>
      <c r="M1468" s="13">
        <v>1</v>
      </c>
      <c r="N1468" s="13">
        <v>1.01</v>
      </c>
      <c r="O1468" s="13">
        <v>1.2</v>
      </c>
      <c r="P1468" s="13">
        <v>1.2</v>
      </c>
      <c r="Q1468">
        <v>1.05</v>
      </c>
      <c r="R1468">
        <f t="shared" si="142"/>
        <v>0.15984597228197622</v>
      </c>
    </row>
    <row r="1469" spans="1:18" hidden="1" x14ac:dyDescent="0.2">
      <c r="D1469" s="37"/>
      <c r="Q1469" s="17"/>
    </row>
    <row r="1470" spans="1:18" hidden="1" x14ac:dyDescent="0.2">
      <c r="A1470" s="18" t="s">
        <v>50</v>
      </c>
      <c r="B1470" s="18" t="s">
        <v>462</v>
      </c>
      <c r="Q1470" s="17"/>
    </row>
    <row r="1471" spans="1:18" hidden="1" x14ac:dyDescent="0.2">
      <c r="A1471" s="17" t="s">
        <v>53</v>
      </c>
      <c r="B1471" s="17">
        <v>1</v>
      </c>
      <c r="Q1471" s="17"/>
    </row>
    <row r="1472" spans="1:18" hidden="1" x14ac:dyDescent="0.2">
      <c r="A1472" s="17" t="s">
        <v>54</v>
      </c>
      <c r="B1472" s="17" t="s">
        <v>440</v>
      </c>
      <c r="Q1472" s="17"/>
    </row>
    <row r="1473" spans="1:19" hidden="1" x14ac:dyDescent="0.2">
      <c r="A1473" s="17" t="s">
        <v>61</v>
      </c>
      <c r="B1473" s="17" t="s">
        <v>121</v>
      </c>
      <c r="Q1473" s="17"/>
    </row>
    <row r="1474" spans="1:19" hidden="1" x14ac:dyDescent="0.2">
      <c r="A1474" s="17" t="s">
        <v>55</v>
      </c>
      <c r="B1474" s="17" t="s">
        <v>55</v>
      </c>
      <c r="Q1474" s="17"/>
    </row>
    <row r="1475" spans="1:19" hidden="1" x14ac:dyDescent="0.2">
      <c r="A1475" s="17" t="s">
        <v>52</v>
      </c>
      <c r="B1475" s="17" t="s">
        <v>90</v>
      </c>
      <c r="Q1475" s="17"/>
    </row>
    <row r="1476" spans="1:19" hidden="1" x14ac:dyDescent="0.2">
      <c r="A1476" s="17" t="s">
        <v>51</v>
      </c>
      <c r="B1476" s="17" t="s">
        <v>434</v>
      </c>
      <c r="Q1476" s="17"/>
    </row>
    <row r="1477" spans="1:19" hidden="1" x14ac:dyDescent="0.2">
      <c r="A1477" s="17" t="s">
        <v>63</v>
      </c>
      <c r="B1477" s="17" t="s">
        <v>435</v>
      </c>
      <c r="Q1477" s="17"/>
    </row>
    <row r="1478" spans="1:19" hidden="1" x14ac:dyDescent="0.2">
      <c r="A1478" s="18" t="s">
        <v>57</v>
      </c>
      <c r="Q1478" s="17"/>
    </row>
    <row r="1479" spans="1:19" hidden="1" x14ac:dyDescent="0.2">
      <c r="A1479" s="18" t="s">
        <v>58</v>
      </c>
      <c r="B1479" s="18" t="s">
        <v>59</v>
      </c>
      <c r="C1479" s="18" t="s">
        <v>52</v>
      </c>
      <c r="D1479" s="18" t="s">
        <v>55</v>
      </c>
      <c r="E1479" s="18" t="s">
        <v>60</v>
      </c>
      <c r="F1479" s="18" t="s">
        <v>61</v>
      </c>
      <c r="G1479" s="18" t="s">
        <v>54</v>
      </c>
      <c r="H1479" s="18" t="s">
        <v>51</v>
      </c>
      <c r="I1479" s="18" t="s">
        <v>221</v>
      </c>
      <c r="J1479" s="2" t="s">
        <v>379</v>
      </c>
      <c r="K1479" s="62" t="s">
        <v>1059</v>
      </c>
      <c r="L1479" s="62" t="s">
        <v>1060</v>
      </c>
      <c r="M1479" s="62" t="s">
        <v>1061</v>
      </c>
      <c r="N1479" s="62" t="s">
        <v>1062</v>
      </c>
      <c r="O1479" s="62" t="s">
        <v>1063</v>
      </c>
      <c r="P1479" s="62" t="s">
        <v>1064</v>
      </c>
      <c r="Q1479" s="2" t="s">
        <v>1065</v>
      </c>
      <c r="R1479" s="2" t="s">
        <v>380</v>
      </c>
      <c r="S1479" s="18" t="s">
        <v>1128</v>
      </c>
    </row>
    <row r="1480" spans="1:19" hidden="1" x14ac:dyDescent="0.2">
      <c r="A1480" s="17" t="s">
        <v>462</v>
      </c>
      <c r="B1480" s="17">
        <v>-1</v>
      </c>
      <c r="C1480" s="17" t="s">
        <v>90</v>
      </c>
      <c r="D1480" s="17" t="s">
        <v>55</v>
      </c>
      <c r="F1480" s="17" t="s">
        <v>62</v>
      </c>
      <c r="G1480" s="17" t="s">
        <v>440</v>
      </c>
      <c r="Q1480" s="17"/>
    </row>
    <row r="1481" spans="1:19" hidden="1" x14ac:dyDescent="0.2">
      <c r="A1481" s="17" t="s">
        <v>463</v>
      </c>
      <c r="B1481" s="17">
        <v>-29400000</v>
      </c>
      <c r="C1481" s="17" t="s">
        <v>96</v>
      </c>
      <c r="D1481" s="17" t="s">
        <v>56</v>
      </c>
      <c r="F1481" s="17" t="s">
        <v>86</v>
      </c>
      <c r="G1481" s="17" t="s">
        <v>464</v>
      </c>
      <c r="I1481" s="17">
        <v>2</v>
      </c>
      <c r="J1481">
        <f t="shared" ref="J1481:J1487" si="143">LN(B1481*-1)</f>
        <v>17.196505232308908</v>
      </c>
      <c r="K1481" s="13">
        <v>1</v>
      </c>
      <c r="L1481" s="13">
        <v>1.2</v>
      </c>
      <c r="M1481" s="13">
        <v>1</v>
      </c>
      <c r="N1481" s="13">
        <v>1.01</v>
      </c>
      <c r="O1481" s="13">
        <v>1.2</v>
      </c>
      <c r="P1481" s="13">
        <v>1.2</v>
      </c>
      <c r="Q1481">
        <v>1.05</v>
      </c>
      <c r="R1481">
        <f t="shared" ref="R1481:R1487" si="144">LN(SQRT(EXP(
SQRT(
+POWER(LN(K1481),2)
+POWER(LN(L1481),2)
+POWER(LN(M1481),2)
+POWER(LN(N1481),2)
+POWER(LN(O1481),2)
+POWER(LN(P1481),2)
+POWER(LN(Q1481),2)
)
)))</f>
        <v>0.15984597228197622</v>
      </c>
      <c r="S1481" s="17" t="b">
        <v>1</v>
      </c>
    </row>
    <row r="1482" spans="1:19" hidden="1" x14ac:dyDescent="0.2">
      <c r="A1482" s="17" t="s">
        <v>465</v>
      </c>
      <c r="B1482" s="17">
        <v>-2140000</v>
      </c>
      <c r="C1482" s="17" t="s">
        <v>64</v>
      </c>
      <c r="D1482" s="17" t="s">
        <v>56</v>
      </c>
      <c r="F1482" s="17" t="s">
        <v>86</v>
      </c>
      <c r="G1482" s="17" t="s">
        <v>466</v>
      </c>
      <c r="I1482" s="17">
        <v>2</v>
      </c>
      <c r="J1482">
        <f t="shared" si="143"/>
        <v>14.576316386998034</v>
      </c>
      <c r="K1482" s="13">
        <v>1</v>
      </c>
      <c r="L1482" s="13">
        <v>1.2</v>
      </c>
      <c r="M1482" s="13">
        <v>1</v>
      </c>
      <c r="N1482" s="13">
        <v>1.01</v>
      </c>
      <c r="O1482" s="13">
        <v>1.2</v>
      </c>
      <c r="P1482" s="13">
        <v>1.2</v>
      </c>
      <c r="Q1482">
        <v>1.05</v>
      </c>
      <c r="R1482">
        <f t="shared" si="144"/>
        <v>0.15984597228197622</v>
      </c>
      <c r="S1482" s="17" t="b">
        <v>1</v>
      </c>
    </row>
    <row r="1483" spans="1:19" hidden="1" x14ac:dyDescent="0.2">
      <c r="A1483" s="17" t="s">
        <v>467</v>
      </c>
      <c r="B1483" s="17">
        <v>-116000</v>
      </c>
      <c r="C1483" s="17" t="s">
        <v>64</v>
      </c>
      <c r="D1483" s="17" t="s">
        <v>56</v>
      </c>
      <c r="F1483" s="17" t="s">
        <v>86</v>
      </c>
      <c r="G1483" s="17" t="s">
        <v>468</v>
      </c>
      <c r="I1483" s="17">
        <v>2</v>
      </c>
      <c r="J1483">
        <f t="shared" si="143"/>
        <v>11.661345470088502</v>
      </c>
      <c r="K1483" s="13">
        <v>1</v>
      </c>
      <c r="L1483" s="13">
        <v>1.2</v>
      </c>
      <c r="M1483" s="13">
        <v>1</v>
      </c>
      <c r="N1483" s="13">
        <v>1.01</v>
      </c>
      <c r="O1483" s="13">
        <v>1.2</v>
      </c>
      <c r="P1483" s="13">
        <v>1.2</v>
      </c>
      <c r="Q1483">
        <v>1.05</v>
      </c>
      <c r="R1483">
        <f t="shared" si="144"/>
        <v>0.15984597228197622</v>
      </c>
      <c r="S1483" s="17" t="b">
        <v>1</v>
      </c>
    </row>
    <row r="1484" spans="1:19" hidden="1" x14ac:dyDescent="0.2">
      <c r="A1484" s="17" t="s">
        <v>469</v>
      </c>
      <c r="B1484" s="17">
        <v>-143999.99999999997</v>
      </c>
      <c r="C1484" s="17" t="s">
        <v>90</v>
      </c>
      <c r="D1484" s="17" t="s">
        <v>56</v>
      </c>
      <c r="F1484" s="17" t="s">
        <v>86</v>
      </c>
      <c r="G1484" s="17" t="s">
        <v>102</v>
      </c>
      <c r="I1484" s="17">
        <v>2</v>
      </c>
      <c r="J1484">
        <f t="shared" si="143"/>
        <v>11.877568578558137</v>
      </c>
      <c r="K1484" s="13">
        <v>1</v>
      </c>
      <c r="L1484" s="13">
        <v>1.2</v>
      </c>
      <c r="M1484" s="13">
        <v>1</v>
      </c>
      <c r="N1484" s="13">
        <v>1.01</v>
      </c>
      <c r="O1484" s="13">
        <v>1.2</v>
      </c>
      <c r="P1484" s="13">
        <v>1.2</v>
      </c>
      <c r="Q1484">
        <v>1.05</v>
      </c>
      <c r="R1484">
        <f t="shared" si="144"/>
        <v>0.15984597228197622</v>
      </c>
      <c r="S1484" s="17" t="b">
        <v>1</v>
      </c>
    </row>
    <row r="1485" spans="1:19" hidden="1" x14ac:dyDescent="0.2">
      <c r="A1485" s="17" t="s">
        <v>470</v>
      </c>
      <c r="B1485" s="17">
        <v>-6000000</v>
      </c>
      <c r="C1485" s="17" t="s">
        <v>96</v>
      </c>
      <c r="D1485" s="17" t="s">
        <v>56</v>
      </c>
      <c r="F1485" s="17" t="s">
        <v>86</v>
      </c>
      <c r="G1485" s="17" t="s">
        <v>471</v>
      </c>
      <c r="I1485" s="17">
        <v>2</v>
      </c>
      <c r="J1485">
        <f t="shared" si="143"/>
        <v>15.60727002719233</v>
      </c>
      <c r="K1485" s="13">
        <v>1</v>
      </c>
      <c r="L1485" s="13">
        <v>1.2</v>
      </c>
      <c r="M1485" s="13">
        <v>1</v>
      </c>
      <c r="N1485" s="13">
        <v>1.01</v>
      </c>
      <c r="O1485" s="13">
        <v>1.2</v>
      </c>
      <c r="P1485" s="13">
        <v>1.2</v>
      </c>
      <c r="Q1485">
        <v>1.05</v>
      </c>
      <c r="R1485">
        <f t="shared" si="144"/>
        <v>0.15984597228197622</v>
      </c>
      <c r="S1485" s="17" t="b">
        <v>1</v>
      </c>
    </row>
    <row r="1486" spans="1:19" hidden="1" x14ac:dyDescent="0.2">
      <c r="A1486" s="17" t="s">
        <v>472</v>
      </c>
      <c r="B1486" s="17">
        <v>-20000</v>
      </c>
      <c r="C1486" s="17" t="s">
        <v>96</v>
      </c>
      <c r="D1486" s="17" t="s">
        <v>56</v>
      </c>
      <c r="F1486" s="17" t="s">
        <v>86</v>
      </c>
      <c r="G1486" s="17" t="s">
        <v>473</v>
      </c>
      <c r="I1486" s="17">
        <v>2</v>
      </c>
      <c r="J1486">
        <f t="shared" si="143"/>
        <v>9.9034875525361272</v>
      </c>
      <c r="K1486" s="13">
        <v>1</v>
      </c>
      <c r="L1486" s="13">
        <v>1.2</v>
      </c>
      <c r="M1486" s="13">
        <v>1</v>
      </c>
      <c r="N1486" s="13">
        <v>1.01</v>
      </c>
      <c r="O1486" s="13">
        <v>1.2</v>
      </c>
      <c r="P1486" s="13">
        <v>1.2</v>
      </c>
      <c r="Q1486">
        <v>1.05</v>
      </c>
      <c r="R1486">
        <f t="shared" si="144"/>
        <v>0.15984597228197622</v>
      </c>
      <c r="S1486" s="17" t="b">
        <v>1</v>
      </c>
    </row>
    <row r="1487" spans="1:19" hidden="1" x14ac:dyDescent="0.2">
      <c r="A1487" s="17" t="s">
        <v>474</v>
      </c>
      <c r="B1487" s="17">
        <v>-26000</v>
      </c>
      <c r="C1487" s="17" t="s">
        <v>96</v>
      </c>
      <c r="D1487" s="17" t="s">
        <v>56</v>
      </c>
      <c r="F1487" s="17" t="s">
        <v>86</v>
      </c>
      <c r="G1487" s="17" t="s">
        <v>475</v>
      </c>
      <c r="I1487" s="17">
        <v>2</v>
      </c>
      <c r="J1487">
        <f t="shared" si="143"/>
        <v>10.165851817003619</v>
      </c>
      <c r="K1487" s="13">
        <v>1</v>
      </c>
      <c r="L1487" s="13">
        <v>1.2</v>
      </c>
      <c r="M1487" s="13">
        <v>1</v>
      </c>
      <c r="N1487" s="13">
        <v>1.01</v>
      </c>
      <c r="O1487" s="13">
        <v>1.2</v>
      </c>
      <c r="P1487" s="13">
        <v>1.2</v>
      </c>
      <c r="Q1487">
        <v>1.05</v>
      </c>
      <c r="R1487">
        <f t="shared" si="144"/>
        <v>0.15984597228197622</v>
      </c>
      <c r="S1487" s="17" t="b">
        <v>1</v>
      </c>
    </row>
    <row r="1488" spans="1:19" hidden="1" x14ac:dyDescent="0.2">
      <c r="Q1488" s="17"/>
    </row>
    <row r="1489" spans="1:19" hidden="1" x14ac:dyDescent="0.2">
      <c r="A1489" s="18" t="s">
        <v>50</v>
      </c>
      <c r="B1489" s="18" t="s">
        <v>436</v>
      </c>
      <c r="Q1489" s="17"/>
    </row>
    <row r="1490" spans="1:19" hidden="1" x14ac:dyDescent="0.2">
      <c r="A1490" s="17" t="s">
        <v>53</v>
      </c>
      <c r="B1490" s="17">
        <v>1</v>
      </c>
      <c r="Q1490" s="17"/>
    </row>
    <row r="1491" spans="1:19" hidden="1" x14ac:dyDescent="0.2">
      <c r="A1491" s="17" t="s">
        <v>54</v>
      </c>
      <c r="B1491" s="17" t="s">
        <v>437</v>
      </c>
      <c r="Q1491" s="17"/>
    </row>
    <row r="1492" spans="1:19" hidden="1" x14ac:dyDescent="0.2">
      <c r="A1492" s="17" t="s">
        <v>61</v>
      </c>
      <c r="B1492" s="17" t="s">
        <v>121</v>
      </c>
      <c r="Q1492" s="17"/>
    </row>
    <row r="1493" spans="1:19" hidden="1" x14ac:dyDescent="0.2">
      <c r="A1493" s="17" t="s">
        <v>55</v>
      </c>
      <c r="B1493" s="17" t="s">
        <v>56</v>
      </c>
      <c r="Q1493" s="17"/>
    </row>
    <row r="1494" spans="1:19" hidden="1" x14ac:dyDescent="0.2">
      <c r="A1494" s="17" t="s">
        <v>52</v>
      </c>
      <c r="B1494" s="17" t="s">
        <v>90</v>
      </c>
      <c r="Q1494" s="17"/>
    </row>
    <row r="1495" spans="1:19" hidden="1" x14ac:dyDescent="0.2">
      <c r="A1495" s="17" t="s">
        <v>51</v>
      </c>
      <c r="B1495" s="17" t="s">
        <v>476</v>
      </c>
      <c r="Q1495" s="17"/>
    </row>
    <row r="1496" spans="1:19" hidden="1" x14ac:dyDescent="0.2">
      <c r="A1496" s="17" t="s">
        <v>63</v>
      </c>
      <c r="B1496" s="17" t="s">
        <v>435</v>
      </c>
      <c r="Q1496" s="17"/>
    </row>
    <row r="1497" spans="1:19" hidden="1" x14ac:dyDescent="0.2">
      <c r="A1497" s="18" t="s">
        <v>57</v>
      </c>
      <c r="Q1497" s="17"/>
    </row>
    <row r="1498" spans="1:19" hidden="1" x14ac:dyDescent="0.2">
      <c r="A1498" s="18" t="s">
        <v>58</v>
      </c>
      <c r="B1498" s="18" t="s">
        <v>59</v>
      </c>
      <c r="C1498" s="18" t="s">
        <v>52</v>
      </c>
      <c r="D1498" s="18" t="s">
        <v>55</v>
      </c>
      <c r="E1498" s="18" t="s">
        <v>60</v>
      </c>
      <c r="F1498" s="18" t="s">
        <v>61</v>
      </c>
      <c r="G1498" s="18" t="s">
        <v>54</v>
      </c>
      <c r="H1498" s="18" t="s">
        <v>51</v>
      </c>
      <c r="I1498" s="18" t="s">
        <v>221</v>
      </c>
      <c r="J1498" s="2" t="s">
        <v>379</v>
      </c>
      <c r="K1498" s="62" t="s">
        <v>1059</v>
      </c>
      <c r="L1498" s="62" t="s">
        <v>1060</v>
      </c>
      <c r="M1498" s="62" t="s">
        <v>1061</v>
      </c>
      <c r="N1498" s="62" t="s">
        <v>1062</v>
      </c>
      <c r="O1498" s="62" t="s">
        <v>1063</v>
      </c>
      <c r="P1498" s="62" t="s">
        <v>1064</v>
      </c>
      <c r="Q1498" s="2" t="s">
        <v>1065</v>
      </c>
      <c r="R1498" s="2" t="s">
        <v>380</v>
      </c>
      <c r="S1498" s="18" t="s">
        <v>1128</v>
      </c>
    </row>
    <row r="1499" spans="1:19" hidden="1" x14ac:dyDescent="0.2">
      <c r="A1499" s="17" t="s">
        <v>436</v>
      </c>
      <c r="B1499" s="17">
        <v>1</v>
      </c>
      <c r="C1499" s="17" t="s">
        <v>90</v>
      </c>
      <c r="D1499" s="17" t="s">
        <v>56</v>
      </c>
      <c r="F1499" s="17" t="s">
        <v>62</v>
      </c>
      <c r="G1499" s="17" t="s">
        <v>437</v>
      </c>
      <c r="H1499" s="17" t="s">
        <v>477</v>
      </c>
      <c r="Q1499" s="17"/>
    </row>
    <row r="1500" spans="1:19" hidden="1" x14ac:dyDescent="0.2">
      <c r="A1500" s="17" t="s">
        <v>478</v>
      </c>
      <c r="B1500" s="17">
        <v>0.13</v>
      </c>
      <c r="C1500" s="17" t="s">
        <v>109</v>
      </c>
      <c r="D1500" s="17" t="s">
        <v>56</v>
      </c>
      <c r="F1500" s="17" t="s">
        <v>86</v>
      </c>
      <c r="G1500" s="17" t="s">
        <v>479</v>
      </c>
      <c r="H1500" s="17" t="s">
        <v>477</v>
      </c>
      <c r="I1500" s="17">
        <v>2</v>
      </c>
      <c r="J1500">
        <f>LN(B1500)</f>
        <v>-2.0402208285265546</v>
      </c>
      <c r="K1500" s="13">
        <v>1</v>
      </c>
      <c r="L1500" s="13">
        <v>1.2</v>
      </c>
      <c r="M1500" s="13">
        <v>1</v>
      </c>
      <c r="N1500" s="13">
        <v>1.01</v>
      </c>
      <c r="O1500" s="13">
        <v>1.2</v>
      </c>
      <c r="P1500" s="13">
        <v>1.2</v>
      </c>
      <c r="Q1500">
        <v>1.05</v>
      </c>
      <c r="R1500">
        <f t="shared" ref="R1500:R1517" si="145">LN(SQRT(EXP(
SQRT(
+POWER(LN(K1500),2)
+POWER(LN(L1500),2)
+POWER(LN(M1500),2)
+POWER(LN(N1500),2)
+POWER(LN(O1500),2)
+POWER(LN(P1500),2)
+POWER(LN(Q1500),2)
)
)))</f>
        <v>0.15984597228197622</v>
      </c>
    </row>
    <row r="1501" spans="1:19" hidden="1" x14ac:dyDescent="0.2">
      <c r="A1501" s="17" t="s">
        <v>108</v>
      </c>
      <c r="B1501" s="17">
        <v>0.02</v>
      </c>
      <c r="C1501" s="17" t="s">
        <v>109</v>
      </c>
      <c r="D1501" s="17" t="s">
        <v>56</v>
      </c>
      <c r="F1501" s="17" t="s">
        <v>86</v>
      </c>
      <c r="G1501" s="17" t="s">
        <v>110</v>
      </c>
      <c r="H1501" s="17" t="s">
        <v>477</v>
      </c>
      <c r="I1501" s="17">
        <v>2</v>
      </c>
      <c r="J1501">
        <f>LN(B1501)</f>
        <v>-3.912023005428146</v>
      </c>
      <c r="K1501" s="13">
        <v>1</v>
      </c>
      <c r="L1501" s="13">
        <v>1.2</v>
      </c>
      <c r="M1501" s="13">
        <v>1</v>
      </c>
      <c r="N1501" s="13">
        <v>1.01</v>
      </c>
      <c r="O1501" s="13">
        <v>1.2</v>
      </c>
      <c r="P1501" s="13">
        <v>1.2</v>
      </c>
      <c r="Q1501">
        <v>1.05</v>
      </c>
      <c r="R1501">
        <f t="shared" si="145"/>
        <v>0.15984597228197622</v>
      </c>
    </row>
    <row r="1502" spans="1:19" hidden="1" x14ac:dyDescent="0.2">
      <c r="A1502" s="17" t="s">
        <v>202</v>
      </c>
      <c r="B1502" s="17">
        <v>0.63</v>
      </c>
      <c r="C1502" s="17" t="s">
        <v>109</v>
      </c>
      <c r="D1502" s="17" t="s">
        <v>65</v>
      </c>
      <c r="F1502" s="17" t="s">
        <v>86</v>
      </c>
      <c r="G1502" s="17" t="s">
        <v>203</v>
      </c>
      <c r="H1502" s="17" t="s">
        <v>477</v>
      </c>
      <c r="I1502" s="17">
        <v>2</v>
      </c>
      <c r="J1502">
        <f>LN(B1502)</f>
        <v>-0.46203545959655867</v>
      </c>
      <c r="K1502" s="13">
        <v>1</v>
      </c>
      <c r="L1502" s="13">
        <v>1.2</v>
      </c>
      <c r="M1502" s="13">
        <v>1</v>
      </c>
      <c r="N1502" s="13">
        <v>1.01</v>
      </c>
      <c r="O1502" s="13">
        <v>1.2</v>
      </c>
      <c r="P1502" s="13">
        <v>1.2</v>
      </c>
      <c r="Q1502">
        <v>1.05</v>
      </c>
      <c r="R1502">
        <f t="shared" si="145"/>
        <v>0.15984597228197622</v>
      </c>
    </row>
    <row r="1503" spans="1:19" hidden="1" x14ac:dyDescent="0.2">
      <c r="A1503" s="17" t="s">
        <v>95</v>
      </c>
      <c r="B1503" s="17">
        <v>1.29</v>
      </c>
      <c r="C1503" s="17" t="s">
        <v>109</v>
      </c>
      <c r="D1503" s="17" t="s">
        <v>56</v>
      </c>
      <c r="F1503" s="17" t="s">
        <v>86</v>
      </c>
      <c r="G1503" s="17" t="s">
        <v>97</v>
      </c>
      <c r="H1503" s="17" t="s">
        <v>477</v>
      </c>
      <c r="I1503" s="17">
        <v>2</v>
      </c>
      <c r="J1503">
        <f>LN(B1503)</f>
        <v>0.25464221837358075</v>
      </c>
      <c r="K1503" s="13">
        <v>1</v>
      </c>
      <c r="L1503" s="13">
        <v>1.2</v>
      </c>
      <c r="M1503" s="13">
        <v>1</v>
      </c>
      <c r="N1503" s="13">
        <v>1.01</v>
      </c>
      <c r="O1503" s="13">
        <v>1.2</v>
      </c>
      <c r="P1503" s="13">
        <v>1.2</v>
      </c>
      <c r="Q1503">
        <v>1.05</v>
      </c>
      <c r="R1503">
        <f t="shared" si="145"/>
        <v>0.15984597228197622</v>
      </c>
    </row>
    <row r="1504" spans="1:19" hidden="1" x14ac:dyDescent="0.2">
      <c r="A1504" s="17" t="s">
        <v>642</v>
      </c>
      <c r="B1504" s="17">
        <v>-1.1200000000000001</v>
      </c>
      <c r="C1504" s="17" t="s">
        <v>109</v>
      </c>
      <c r="D1504" s="17" t="s">
        <v>120</v>
      </c>
      <c r="F1504" s="17" t="s">
        <v>86</v>
      </c>
      <c r="G1504" s="17" t="s">
        <v>243</v>
      </c>
      <c r="H1504" s="17" t="s">
        <v>477</v>
      </c>
      <c r="I1504" s="17">
        <v>2</v>
      </c>
      <c r="J1504">
        <f>LN(B1504*-1)</f>
        <v>0.11332868530700327</v>
      </c>
      <c r="K1504" s="13">
        <v>1</v>
      </c>
      <c r="L1504" s="13">
        <v>1.2</v>
      </c>
      <c r="M1504" s="13">
        <v>1</v>
      </c>
      <c r="N1504" s="13">
        <v>1.01</v>
      </c>
      <c r="O1504" s="13">
        <v>1.2</v>
      </c>
      <c r="P1504" s="13">
        <v>1.2</v>
      </c>
      <c r="Q1504">
        <v>1.05</v>
      </c>
      <c r="R1504">
        <f>LN(SQRT(EXP(
SQRT(
+POWER(LN(K1504),2)
+POWER(LN(L1504),2)
+POWER(LN(M1504),2)
+POWER(LN(N1504),2)
+POWER(LN(O1504),2)
+POWER(LN(P1504),2)
+POWER(LN(Q1504),2)
)
)))</f>
        <v>0.15984597228197622</v>
      </c>
      <c r="S1504" s="17" t="b">
        <v>1</v>
      </c>
    </row>
    <row r="1505" spans="1:19" hidden="1" x14ac:dyDescent="0.2">
      <c r="A1505" s="17" t="s">
        <v>403</v>
      </c>
      <c r="B1505" s="17">
        <v>4.1999999999999998E-5</v>
      </c>
      <c r="D1505" s="17" t="s">
        <v>56</v>
      </c>
      <c r="E1505" s="17" t="s">
        <v>100</v>
      </c>
      <c r="F1505" s="17" t="s">
        <v>99</v>
      </c>
      <c r="H1505" s="17" t="s">
        <v>480</v>
      </c>
      <c r="I1505" s="17">
        <v>2</v>
      </c>
      <c r="J1505">
        <f t="shared" ref="J1505:J1515" si="146">LN(B1505)</f>
        <v>-10.077840939680906</v>
      </c>
      <c r="K1505" s="13">
        <v>1</v>
      </c>
      <c r="L1505" s="13">
        <v>1.2</v>
      </c>
      <c r="M1505" s="13">
        <v>1</v>
      </c>
      <c r="N1505" s="13">
        <v>1.01</v>
      </c>
      <c r="O1505" s="13">
        <v>1.2</v>
      </c>
      <c r="P1505" s="13">
        <v>1.2</v>
      </c>
      <c r="Q1505" s="13">
        <v>3</v>
      </c>
      <c r="R1505">
        <f t="shared" si="145"/>
        <v>0.57157051623399524</v>
      </c>
    </row>
    <row r="1506" spans="1:19" hidden="1" x14ac:dyDescent="0.2">
      <c r="A1506" s="17" t="s">
        <v>395</v>
      </c>
      <c r="B1506" s="17">
        <v>0.71</v>
      </c>
      <c r="C1506" s="17" t="s">
        <v>85</v>
      </c>
      <c r="D1506" s="17" t="s">
        <v>56</v>
      </c>
      <c r="F1506" s="17" t="s">
        <v>86</v>
      </c>
      <c r="G1506" s="17" t="s">
        <v>396</v>
      </c>
      <c r="H1506" s="17" t="s">
        <v>481</v>
      </c>
      <c r="I1506" s="17">
        <v>2</v>
      </c>
      <c r="J1506">
        <f t="shared" si="146"/>
        <v>-0.34249030894677601</v>
      </c>
      <c r="K1506" s="13">
        <v>1</v>
      </c>
      <c r="L1506" s="13">
        <v>1.2</v>
      </c>
      <c r="M1506" s="13">
        <v>1</v>
      </c>
      <c r="N1506" s="13">
        <v>1.01</v>
      </c>
      <c r="O1506" s="13">
        <v>1.2</v>
      </c>
      <c r="P1506" s="13">
        <v>1.2</v>
      </c>
      <c r="Q1506">
        <v>1.05</v>
      </c>
      <c r="R1506">
        <f t="shared" si="145"/>
        <v>0.15984597228197622</v>
      </c>
    </row>
    <row r="1507" spans="1:19" hidden="1" x14ac:dyDescent="0.2">
      <c r="A1507" s="17" t="s">
        <v>108</v>
      </c>
      <c r="B1507" s="17">
        <v>1.1399999999999999</v>
      </c>
      <c r="C1507" s="17" t="s">
        <v>109</v>
      </c>
      <c r="D1507" s="17" t="s">
        <v>56</v>
      </c>
      <c r="F1507" s="17" t="s">
        <v>86</v>
      </c>
      <c r="G1507" s="17" t="s">
        <v>110</v>
      </c>
      <c r="H1507" s="17" t="s">
        <v>481</v>
      </c>
      <c r="I1507" s="17">
        <v>2</v>
      </c>
      <c r="J1507">
        <f t="shared" si="146"/>
        <v>0.131028262406404</v>
      </c>
      <c r="K1507" s="13">
        <v>1</v>
      </c>
      <c r="L1507" s="13">
        <v>1.2</v>
      </c>
      <c r="M1507" s="13">
        <v>1</v>
      </c>
      <c r="N1507" s="13">
        <v>1.01</v>
      </c>
      <c r="O1507" s="13">
        <v>1.2</v>
      </c>
      <c r="P1507" s="13">
        <v>1.2</v>
      </c>
      <c r="Q1507">
        <v>1.05</v>
      </c>
      <c r="R1507">
        <f t="shared" si="145"/>
        <v>0.15984597228197622</v>
      </c>
    </row>
    <row r="1508" spans="1:19" hidden="1" x14ac:dyDescent="0.2">
      <c r="A1508" s="17" t="s">
        <v>205</v>
      </c>
      <c r="B1508" s="17">
        <v>1</v>
      </c>
      <c r="C1508" s="17" t="s">
        <v>85</v>
      </c>
      <c r="D1508" s="17" t="s">
        <v>56</v>
      </c>
      <c r="F1508" s="17" t="s">
        <v>86</v>
      </c>
      <c r="G1508" s="17" t="s">
        <v>206</v>
      </c>
      <c r="H1508" s="17" t="s">
        <v>481</v>
      </c>
      <c r="I1508" s="17">
        <v>2</v>
      </c>
      <c r="J1508">
        <f t="shared" si="146"/>
        <v>0</v>
      </c>
      <c r="K1508" s="13">
        <v>1</v>
      </c>
      <c r="L1508" s="13">
        <v>1.2</v>
      </c>
      <c r="M1508" s="13">
        <v>1</v>
      </c>
      <c r="N1508" s="13">
        <v>1.01</v>
      </c>
      <c r="O1508" s="13">
        <v>1.2</v>
      </c>
      <c r="P1508" s="13">
        <v>1.2</v>
      </c>
      <c r="Q1508">
        <v>1.05</v>
      </c>
      <c r="R1508">
        <f t="shared" si="145"/>
        <v>0.15984597228197622</v>
      </c>
    </row>
    <row r="1509" spans="1:19" hidden="1" x14ac:dyDescent="0.2">
      <c r="A1509" s="17" t="s">
        <v>200</v>
      </c>
      <c r="B1509" s="17">
        <v>7.0000000000000007E-2</v>
      </c>
      <c r="C1509" s="17" t="s">
        <v>109</v>
      </c>
      <c r="D1509" s="17" t="s">
        <v>56</v>
      </c>
      <c r="F1509" s="17" t="s">
        <v>86</v>
      </c>
      <c r="G1509" s="17" t="s">
        <v>201</v>
      </c>
      <c r="H1509" s="17" t="s">
        <v>481</v>
      </c>
      <c r="I1509" s="17">
        <v>2</v>
      </c>
      <c r="J1509">
        <f t="shared" si="146"/>
        <v>-2.6592600369327779</v>
      </c>
      <c r="K1509" s="13">
        <v>1</v>
      </c>
      <c r="L1509" s="13">
        <v>1.2</v>
      </c>
      <c r="M1509" s="13">
        <v>1</v>
      </c>
      <c r="N1509" s="13">
        <v>1.01</v>
      </c>
      <c r="O1509" s="13">
        <v>1.2</v>
      </c>
      <c r="P1509" s="13">
        <v>1.2</v>
      </c>
      <c r="Q1509">
        <v>1.05</v>
      </c>
      <c r="R1509">
        <f t="shared" si="145"/>
        <v>0.15984597228197622</v>
      </c>
    </row>
    <row r="1510" spans="1:19" hidden="1" x14ac:dyDescent="0.2">
      <c r="A1510" s="17" t="s">
        <v>482</v>
      </c>
      <c r="B1510" s="17">
        <v>1.24</v>
      </c>
      <c r="C1510" s="17" t="s">
        <v>85</v>
      </c>
      <c r="D1510" s="17" t="s">
        <v>56</v>
      </c>
      <c r="F1510" s="17" t="s">
        <v>86</v>
      </c>
      <c r="G1510" s="17" t="s">
        <v>483</v>
      </c>
      <c r="H1510" s="17" t="s">
        <v>481</v>
      </c>
      <c r="I1510" s="17">
        <v>2</v>
      </c>
      <c r="J1510">
        <f t="shared" si="146"/>
        <v>0.21511137961694549</v>
      </c>
      <c r="K1510" s="13">
        <v>1</v>
      </c>
      <c r="L1510" s="13">
        <v>1.2</v>
      </c>
      <c r="M1510" s="13">
        <v>1</v>
      </c>
      <c r="N1510" s="13">
        <v>1.01</v>
      </c>
      <c r="O1510" s="13">
        <v>1.2</v>
      </c>
      <c r="P1510" s="13">
        <v>1.2</v>
      </c>
      <c r="Q1510">
        <v>1.05</v>
      </c>
      <c r="R1510">
        <f t="shared" si="145"/>
        <v>0.15984597228197622</v>
      </c>
    </row>
    <row r="1511" spans="1:19" hidden="1" x14ac:dyDescent="0.2">
      <c r="A1511" s="17" t="s">
        <v>484</v>
      </c>
      <c r="B1511" s="17">
        <v>14.84</v>
      </c>
      <c r="C1511" s="17" t="s">
        <v>109</v>
      </c>
      <c r="D1511" s="17" t="s">
        <v>56</v>
      </c>
      <c r="F1511" s="17" t="s">
        <v>86</v>
      </c>
      <c r="G1511" s="17" t="s">
        <v>485</v>
      </c>
      <c r="H1511" s="17" t="s">
        <v>481</v>
      </c>
      <c r="I1511" s="17">
        <v>2</v>
      </c>
      <c r="J1511">
        <f t="shared" si="146"/>
        <v>2.6973262377392344</v>
      </c>
      <c r="K1511" s="13">
        <v>1</v>
      </c>
      <c r="L1511" s="13">
        <v>1.2</v>
      </c>
      <c r="M1511" s="13">
        <v>1</v>
      </c>
      <c r="N1511" s="13">
        <v>1.01</v>
      </c>
      <c r="O1511" s="13">
        <v>1.2</v>
      </c>
      <c r="P1511" s="13">
        <v>1.2</v>
      </c>
      <c r="Q1511">
        <v>1.05</v>
      </c>
      <c r="R1511">
        <f t="shared" si="145"/>
        <v>0.15984597228197622</v>
      </c>
    </row>
    <row r="1512" spans="1:19" hidden="1" x14ac:dyDescent="0.2">
      <c r="A1512" s="17" t="s">
        <v>95</v>
      </c>
      <c r="B1512" s="17">
        <v>5.24</v>
      </c>
      <c r="C1512" s="17" t="s">
        <v>109</v>
      </c>
      <c r="D1512" s="17" t="s">
        <v>56</v>
      </c>
      <c r="F1512" s="17" t="s">
        <v>86</v>
      </c>
      <c r="G1512" s="17" t="s">
        <v>97</v>
      </c>
      <c r="H1512" s="17" t="s">
        <v>481</v>
      </c>
      <c r="I1512" s="17">
        <v>2</v>
      </c>
      <c r="J1512">
        <f t="shared" si="146"/>
        <v>1.6563214983329508</v>
      </c>
      <c r="K1512" s="13">
        <v>1</v>
      </c>
      <c r="L1512" s="13">
        <v>1.2</v>
      </c>
      <c r="M1512" s="13">
        <v>1</v>
      </c>
      <c r="N1512" s="13">
        <v>1.01</v>
      </c>
      <c r="O1512" s="13">
        <v>1.2</v>
      </c>
      <c r="P1512" s="13">
        <v>1.2</v>
      </c>
      <c r="Q1512">
        <v>1.05</v>
      </c>
      <c r="R1512">
        <f t="shared" si="145"/>
        <v>0.15984597228197622</v>
      </c>
    </row>
    <row r="1513" spans="1:19" hidden="1" x14ac:dyDescent="0.2">
      <c r="A1513" s="17" t="s">
        <v>91</v>
      </c>
      <c r="B1513" s="17">
        <v>0.12</v>
      </c>
      <c r="C1513" s="17" t="s">
        <v>90</v>
      </c>
      <c r="D1513" s="17" t="s">
        <v>92</v>
      </c>
      <c r="F1513" s="17" t="s">
        <v>86</v>
      </c>
      <c r="G1513" s="17" t="s">
        <v>93</v>
      </c>
      <c r="H1513" s="17" t="s">
        <v>481</v>
      </c>
      <c r="I1513" s="17">
        <v>2</v>
      </c>
      <c r="J1513">
        <f t="shared" si="146"/>
        <v>-2.120263536200091</v>
      </c>
      <c r="K1513" s="13">
        <v>1</v>
      </c>
      <c r="L1513" s="13">
        <v>1.2</v>
      </c>
      <c r="M1513" s="13">
        <v>1</v>
      </c>
      <c r="N1513" s="13">
        <v>1.01</v>
      </c>
      <c r="O1513" s="13">
        <v>1.2</v>
      </c>
      <c r="P1513" s="13">
        <v>1.2</v>
      </c>
      <c r="Q1513">
        <v>1.05</v>
      </c>
      <c r="R1513">
        <f t="shared" si="145"/>
        <v>0.15984597228197622</v>
      </c>
    </row>
    <row r="1514" spans="1:19" hidden="1" x14ac:dyDescent="0.2">
      <c r="A1514" s="17" t="s">
        <v>202</v>
      </c>
      <c r="B1514" s="17">
        <v>2.69</v>
      </c>
      <c r="C1514" s="17" t="s">
        <v>96</v>
      </c>
      <c r="D1514" s="17" t="s">
        <v>65</v>
      </c>
      <c r="F1514" s="17" t="s">
        <v>86</v>
      </c>
      <c r="G1514" s="17" t="s">
        <v>203</v>
      </c>
      <c r="H1514" s="17" t="s">
        <v>481</v>
      </c>
      <c r="I1514" s="17">
        <v>2</v>
      </c>
      <c r="J1514">
        <f t="shared" si="146"/>
        <v>0.9895411936137477</v>
      </c>
      <c r="K1514" s="13">
        <v>1</v>
      </c>
      <c r="L1514" s="13">
        <v>1.2</v>
      </c>
      <c r="M1514" s="13">
        <v>1</v>
      </c>
      <c r="N1514" s="13">
        <v>1.01</v>
      </c>
      <c r="O1514" s="13">
        <v>1.2</v>
      </c>
      <c r="P1514" s="13">
        <v>1.2</v>
      </c>
      <c r="Q1514">
        <v>1.05</v>
      </c>
      <c r="R1514">
        <f t="shared" si="145"/>
        <v>0.15984597228197622</v>
      </c>
    </row>
    <row r="1515" spans="1:19" hidden="1" x14ac:dyDescent="0.2">
      <c r="A1515" s="17" t="s">
        <v>486</v>
      </c>
      <c r="B1515" s="17">
        <v>1.65</v>
      </c>
      <c r="C1515" s="17" t="s">
        <v>109</v>
      </c>
      <c r="D1515" s="17" t="s">
        <v>56</v>
      </c>
      <c r="F1515" s="17" t="s">
        <v>86</v>
      </c>
      <c r="G1515" s="17" t="s">
        <v>487</v>
      </c>
      <c r="H1515" s="17" t="s">
        <v>481</v>
      </c>
      <c r="I1515" s="17">
        <v>2</v>
      </c>
      <c r="J1515">
        <f t="shared" si="146"/>
        <v>0.50077528791248915</v>
      </c>
      <c r="K1515" s="13">
        <v>1</v>
      </c>
      <c r="L1515" s="13">
        <v>1.2</v>
      </c>
      <c r="M1515" s="13">
        <v>1</v>
      </c>
      <c r="N1515" s="13">
        <v>1.01</v>
      </c>
      <c r="O1515" s="13">
        <v>1.2</v>
      </c>
      <c r="P1515" s="13">
        <v>1.2</v>
      </c>
      <c r="Q1515">
        <v>1.05</v>
      </c>
      <c r="R1515">
        <f t="shared" si="145"/>
        <v>0.15984597228197622</v>
      </c>
    </row>
    <row r="1516" spans="1:19" hidden="1" x14ac:dyDescent="0.2">
      <c r="A1516" s="17" t="s">
        <v>470</v>
      </c>
      <c r="B1516" s="17">
        <v>-0.54</v>
      </c>
      <c r="C1516" s="17" t="s">
        <v>96</v>
      </c>
      <c r="D1516" s="17" t="s">
        <v>56</v>
      </c>
      <c r="F1516" s="17" t="s">
        <v>86</v>
      </c>
      <c r="G1516" s="17" t="s">
        <v>471</v>
      </c>
      <c r="H1516" s="17" t="s">
        <v>481</v>
      </c>
      <c r="I1516" s="17">
        <v>2</v>
      </c>
      <c r="J1516">
        <f t="shared" ref="J1516:J1517" si="147">LN(B1516*-1)</f>
        <v>-0.61618613942381695</v>
      </c>
      <c r="K1516" s="13">
        <v>1</v>
      </c>
      <c r="L1516" s="13">
        <v>1.2</v>
      </c>
      <c r="M1516" s="13">
        <v>1</v>
      </c>
      <c r="N1516" s="13">
        <v>1.01</v>
      </c>
      <c r="O1516" s="13">
        <v>1.2</v>
      </c>
      <c r="P1516" s="13">
        <v>1.2</v>
      </c>
      <c r="Q1516">
        <v>1.05</v>
      </c>
      <c r="R1516">
        <f t="shared" si="145"/>
        <v>0.15984597228197622</v>
      </c>
      <c r="S1516" s="17" t="b">
        <v>1</v>
      </c>
    </row>
    <row r="1517" spans="1:19" hidden="1" x14ac:dyDescent="0.2">
      <c r="A1517" s="17" t="s">
        <v>488</v>
      </c>
      <c r="B1517" s="17">
        <v>-0.36</v>
      </c>
      <c r="C1517" s="17" t="s">
        <v>109</v>
      </c>
      <c r="D1517" s="17" t="s">
        <v>56</v>
      </c>
      <c r="F1517" s="17" t="s">
        <v>86</v>
      </c>
      <c r="G1517" s="17" t="s">
        <v>489</v>
      </c>
      <c r="H1517" s="17" t="s">
        <v>443</v>
      </c>
      <c r="I1517" s="17">
        <v>2</v>
      </c>
      <c r="J1517">
        <f t="shared" si="147"/>
        <v>-1.0216512475319814</v>
      </c>
      <c r="K1517" s="13">
        <v>1</v>
      </c>
      <c r="L1517" s="13">
        <v>1.2</v>
      </c>
      <c r="M1517" s="13">
        <v>1</v>
      </c>
      <c r="N1517" s="13">
        <v>1.01</v>
      </c>
      <c r="O1517" s="13">
        <v>1.2</v>
      </c>
      <c r="P1517" s="13">
        <v>1.2</v>
      </c>
      <c r="Q1517">
        <v>1.05</v>
      </c>
      <c r="R1517">
        <f t="shared" si="145"/>
        <v>0.15984597228197622</v>
      </c>
      <c r="S1517" s="17" t="b">
        <v>1</v>
      </c>
    </row>
    <row r="1518" spans="1:19" hidden="1" x14ac:dyDescent="0.2">
      <c r="Q1518" s="17"/>
    </row>
    <row r="1519" spans="1:19" hidden="1" x14ac:dyDescent="0.2">
      <c r="A1519" s="18" t="s">
        <v>50</v>
      </c>
      <c r="B1519" s="18" t="s">
        <v>552</v>
      </c>
      <c r="Q1519" s="17"/>
    </row>
    <row r="1520" spans="1:19" hidden="1" x14ac:dyDescent="0.2">
      <c r="A1520" s="17" t="s">
        <v>53</v>
      </c>
      <c r="B1520" s="17">
        <v>1</v>
      </c>
      <c r="Q1520" s="17"/>
    </row>
    <row r="1521" spans="1:19" hidden="1" x14ac:dyDescent="0.2">
      <c r="A1521" s="17" t="s">
        <v>54</v>
      </c>
      <c r="B1521" s="17" t="s">
        <v>553</v>
      </c>
      <c r="Q1521" s="17"/>
    </row>
    <row r="1522" spans="1:19" hidden="1" x14ac:dyDescent="0.2">
      <c r="A1522" s="17" t="s">
        <v>61</v>
      </c>
      <c r="B1522" s="17" t="s">
        <v>121</v>
      </c>
      <c r="Q1522" s="17"/>
    </row>
    <row r="1523" spans="1:19" hidden="1" x14ac:dyDescent="0.2">
      <c r="A1523" s="17" t="s">
        <v>55</v>
      </c>
      <c r="B1523" s="17" t="s">
        <v>55</v>
      </c>
      <c r="Q1523" s="17"/>
    </row>
    <row r="1524" spans="1:19" hidden="1" x14ac:dyDescent="0.2">
      <c r="A1524" s="17" t="s">
        <v>52</v>
      </c>
      <c r="B1524" s="17" t="s">
        <v>64</v>
      </c>
      <c r="Q1524" s="17"/>
    </row>
    <row r="1525" spans="1:19" hidden="1" x14ac:dyDescent="0.2">
      <c r="A1525" s="17" t="s">
        <v>51</v>
      </c>
      <c r="B1525" s="17" t="s">
        <v>555</v>
      </c>
      <c r="Q1525" s="17"/>
    </row>
    <row r="1526" spans="1:19" hidden="1" x14ac:dyDescent="0.2">
      <c r="A1526" s="17" t="s">
        <v>63</v>
      </c>
      <c r="B1526" s="17" t="s">
        <v>554</v>
      </c>
      <c r="Q1526" s="17"/>
    </row>
    <row r="1527" spans="1:19" hidden="1" x14ac:dyDescent="0.2">
      <c r="A1527" s="18" t="s">
        <v>57</v>
      </c>
      <c r="Q1527" s="17"/>
    </row>
    <row r="1528" spans="1:19" hidden="1" x14ac:dyDescent="0.2">
      <c r="A1528" s="18" t="s">
        <v>58</v>
      </c>
      <c r="B1528" s="18" t="s">
        <v>59</v>
      </c>
      <c r="C1528" s="18" t="s">
        <v>52</v>
      </c>
      <c r="D1528" s="18" t="s">
        <v>55</v>
      </c>
      <c r="E1528" s="18" t="s">
        <v>60</v>
      </c>
      <c r="F1528" s="18" t="s">
        <v>61</v>
      </c>
      <c r="G1528" s="18" t="s">
        <v>54</v>
      </c>
      <c r="H1528" s="18" t="s">
        <v>51</v>
      </c>
      <c r="I1528" s="18" t="s">
        <v>221</v>
      </c>
      <c r="J1528" s="2" t="s">
        <v>379</v>
      </c>
      <c r="K1528" s="62" t="s">
        <v>1059</v>
      </c>
      <c r="L1528" s="62" t="s">
        <v>1060</v>
      </c>
      <c r="M1528" s="62" t="s">
        <v>1061</v>
      </c>
      <c r="N1528" s="62" t="s">
        <v>1062</v>
      </c>
      <c r="O1528" s="62" t="s">
        <v>1063</v>
      </c>
      <c r="P1528" s="62" t="s">
        <v>1064</v>
      </c>
      <c r="Q1528" s="2" t="s">
        <v>1065</v>
      </c>
      <c r="R1528" s="2" t="s">
        <v>380</v>
      </c>
      <c r="S1528" s="18" t="s">
        <v>1128</v>
      </c>
    </row>
    <row r="1529" spans="1:19" hidden="1" x14ac:dyDescent="0.2">
      <c r="A1529" s="17" t="s">
        <v>552</v>
      </c>
      <c r="B1529" s="17">
        <v>1</v>
      </c>
      <c r="C1529" s="17" t="s">
        <v>64</v>
      </c>
      <c r="D1529" s="17" t="s">
        <v>55</v>
      </c>
      <c r="F1529" s="17" t="s">
        <v>62</v>
      </c>
      <c r="G1529" s="17" t="s">
        <v>553</v>
      </c>
      <c r="Q1529" s="17"/>
    </row>
    <row r="1530" spans="1:19" hidden="1" x14ac:dyDescent="0.2">
      <c r="A1530" s="17" t="s">
        <v>521</v>
      </c>
      <c r="B1530" s="17">
        <v>32</v>
      </c>
      <c r="C1530" s="17" t="s">
        <v>85</v>
      </c>
      <c r="D1530" s="17" t="s">
        <v>56</v>
      </c>
      <c r="F1530" s="17" t="s">
        <v>86</v>
      </c>
      <c r="G1530" s="17" t="s">
        <v>522</v>
      </c>
      <c r="H1530" s="17" t="s">
        <v>556</v>
      </c>
      <c r="I1530" s="17">
        <v>2</v>
      </c>
      <c r="J1530">
        <f t="shared" ref="J1530:J1552" si="148">LN(B1530)</f>
        <v>3.4657359027997265</v>
      </c>
      <c r="K1530" s="13">
        <v>1.5</v>
      </c>
      <c r="L1530" s="13">
        <v>1.2</v>
      </c>
      <c r="M1530" s="13">
        <v>1.5</v>
      </c>
      <c r="N1530" s="13">
        <v>1.1000000000000001</v>
      </c>
      <c r="O1530" s="13">
        <v>2</v>
      </c>
      <c r="P1530" s="13">
        <v>1.2</v>
      </c>
      <c r="Q1530">
        <v>1.05</v>
      </c>
      <c r="R1530">
        <f t="shared" ref="R1530:R1552" si="149">LN(SQRT(EXP(
SQRT(
+POWER(LN(K1530),2)
+POWER(LN(L1530),2)
+POWER(LN(M1530),2)
+POWER(LN(N1530),2)
+POWER(LN(O1530),2)
+POWER(LN(P1530),2)
+POWER(LN(Q1530),2)
)
)))</f>
        <v>0.47095746419981693</v>
      </c>
    </row>
    <row r="1531" spans="1:19" hidden="1" x14ac:dyDescent="0.2">
      <c r="A1531" s="17" t="s">
        <v>574</v>
      </c>
      <c r="B1531" s="17">
        <v>32</v>
      </c>
      <c r="C1531" s="17" t="s">
        <v>85</v>
      </c>
      <c r="D1531" s="17" t="s">
        <v>56</v>
      </c>
      <c r="F1531" s="17" t="s">
        <v>86</v>
      </c>
      <c r="G1531" s="17" t="s">
        <v>266</v>
      </c>
      <c r="H1531" s="17" t="s">
        <v>556</v>
      </c>
      <c r="I1531" s="17">
        <v>2</v>
      </c>
      <c r="J1531">
        <f t="shared" si="148"/>
        <v>3.4657359027997265</v>
      </c>
      <c r="K1531" s="13">
        <v>1.5</v>
      </c>
      <c r="L1531" s="13">
        <v>1.2</v>
      </c>
      <c r="M1531" s="13">
        <v>1.5</v>
      </c>
      <c r="N1531" s="13">
        <v>1.1000000000000001</v>
      </c>
      <c r="O1531" s="13">
        <v>2</v>
      </c>
      <c r="P1531" s="13">
        <v>1.2</v>
      </c>
      <c r="Q1531">
        <v>1.05</v>
      </c>
      <c r="R1531">
        <f t="shared" si="149"/>
        <v>0.47095746419981693</v>
      </c>
    </row>
    <row r="1532" spans="1:19" hidden="1" x14ac:dyDescent="0.2">
      <c r="A1532" s="17" t="s">
        <v>447</v>
      </c>
      <c r="B1532" s="17">
        <v>120</v>
      </c>
      <c r="C1532" s="17" t="s">
        <v>85</v>
      </c>
      <c r="D1532" s="17" t="s">
        <v>56</v>
      </c>
      <c r="F1532" s="17" t="s">
        <v>86</v>
      </c>
      <c r="G1532" s="17" t="s">
        <v>124</v>
      </c>
      <c r="H1532" s="17" t="s">
        <v>557</v>
      </c>
      <c r="I1532" s="17">
        <v>2</v>
      </c>
      <c r="J1532">
        <f t="shared" si="148"/>
        <v>4.7874917427820458</v>
      </c>
      <c r="K1532" s="13">
        <v>1.5</v>
      </c>
      <c r="L1532" s="13">
        <v>1.2</v>
      </c>
      <c r="M1532" s="13">
        <v>1.5</v>
      </c>
      <c r="N1532" s="13">
        <v>1.1000000000000001</v>
      </c>
      <c r="O1532" s="13">
        <v>2</v>
      </c>
      <c r="P1532" s="13">
        <v>1.2</v>
      </c>
      <c r="Q1532">
        <v>1.05</v>
      </c>
      <c r="R1532">
        <f t="shared" si="149"/>
        <v>0.47095746419981693</v>
      </c>
    </row>
    <row r="1533" spans="1:19" hidden="1" x14ac:dyDescent="0.2">
      <c r="A1533" s="17" t="s">
        <v>523</v>
      </c>
      <c r="B1533" s="17">
        <v>16</v>
      </c>
      <c r="C1533" s="17" t="s">
        <v>85</v>
      </c>
      <c r="D1533" s="17" t="s">
        <v>56</v>
      </c>
      <c r="F1533" s="17" t="s">
        <v>86</v>
      </c>
      <c r="G1533" s="17" t="s">
        <v>127</v>
      </c>
      <c r="H1533" s="17" t="s">
        <v>559</v>
      </c>
      <c r="I1533" s="17">
        <v>2</v>
      </c>
      <c r="J1533">
        <f t="shared" si="148"/>
        <v>2.7725887222397811</v>
      </c>
      <c r="K1533" s="13">
        <v>1.5</v>
      </c>
      <c r="L1533" s="13">
        <v>1.2</v>
      </c>
      <c r="M1533" s="13">
        <v>1.5</v>
      </c>
      <c r="N1533" s="13">
        <v>1.1000000000000001</v>
      </c>
      <c r="O1533" s="13">
        <v>2</v>
      </c>
      <c r="P1533" s="13">
        <v>1.2</v>
      </c>
      <c r="Q1533">
        <v>1.05</v>
      </c>
      <c r="R1533">
        <f t="shared" si="149"/>
        <v>0.47095746419981693</v>
      </c>
    </row>
    <row r="1534" spans="1:19" hidden="1" x14ac:dyDescent="0.2">
      <c r="A1534" s="17" t="s">
        <v>454</v>
      </c>
      <c r="B1534" s="17">
        <v>35.200000000000003</v>
      </c>
      <c r="C1534" s="17" t="s">
        <v>85</v>
      </c>
      <c r="D1534" s="17" t="s">
        <v>56</v>
      </c>
      <c r="F1534" s="17" t="s">
        <v>86</v>
      </c>
      <c r="G1534" s="17" t="s">
        <v>455</v>
      </c>
      <c r="H1534" s="17" t="s">
        <v>558</v>
      </c>
      <c r="I1534" s="17">
        <v>2</v>
      </c>
      <c r="J1534">
        <f t="shared" si="148"/>
        <v>3.5610460826040513</v>
      </c>
      <c r="K1534" s="13">
        <v>1.5</v>
      </c>
      <c r="L1534" s="13">
        <v>1.2</v>
      </c>
      <c r="M1534" s="13">
        <v>1.5</v>
      </c>
      <c r="N1534" s="13">
        <v>1.1000000000000001</v>
      </c>
      <c r="O1534" s="13">
        <v>2</v>
      </c>
      <c r="P1534" s="13">
        <v>1.2</v>
      </c>
      <c r="Q1534">
        <v>1.05</v>
      </c>
      <c r="R1534">
        <f t="shared" si="149"/>
        <v>0.47095746419981693</v>
      </c>
    </row>
    <row r="1535" spans="1:19" hidden="1" x14ac:dyDescent="0.2">
      <c r="A1535" s="17" t="s">
        <v>575</v>
      </c>
      <c r="B1535" s="17">
        <v>35.200000000000003</v>
      </c>
      <c r="C1535" s="17" t="s">
        <v>85</v>
      </c>
      <c r="D1535" s="17" t="s">
        <v>56</v>
      </c>
      <c r="F1535" s="17" t="s">
        <v>86</v>
      </c>
      <c r="G1535" s="17" t="s">
        <v>576</v>
      </c>
      <c r="H1535" s="17" t="s">
        <v>558</v>
      </c>
      <c r="I1535" s="17">
        <v>2</v>
      </c>
      <c r="J1535">
        <f t="shared" si="148"/>
        <v>3.5610460826040513</v>
      </c>
      <c r="K1535" s="13">
        <v>1.5</v>
      </c>
      <c r="L1535" s="13">
        <v>1.2</v>
      </c>
      <c r="M1535" s="13">
        <v>1.5</v>
      </c>
      <c r="N1535" s="13">
        <v>1.1000000000000001</v>
      </c>
      <c r="O1535" s="13">
        <v>2</v>
      </c>
      <c r="P1535" s="13">
        <v>1.2</v>
      </c>
      <c r="Q1535">
        <v>1.05</v>
      </c>
      <c r="R1535">
        <f t="shared" si="149"/>
        <v>0.47095746419981693</v>
      </c>
    </row>
    <row r="1536" spans="1:19" hidden="1" x14ac:dyDescent="0.2">
      <c r="A1536" s="17" t="s">
        <v>156</v>
      </c>
      <c r="B1536" s="17">
        <v>2.7</v>
      </c>
      <c r="C1536" s="17" t="s">
        <v>90</v>
      </c>
      <c r="D1536" s="17" t="s">
        <v>56</v>
      </c>
      <c r="F1536" s="17" t="s">
        <v>86</v>
      </c>
      <c r="G1536" s="17" t="s">
        <v>154</v>
      </c>
      <c r="H1536" s="17" t="s">
        <v>561</v>
      </c>
      <c r="I1536" s="17">
        <v>2</v>
      </c>
      <c r="J1536">
        <f t="shared" si="148"/>
        <v>0.99325177301028345</v>
      </c>
      <c r="K1536" s="13">
        <v>1.5</v>
      </c>
      <c r="L1536" s="13">
        <v>1.2</v>
      </c>
      <c r="M1536" s="13">
        <v>1.5</v>
      </c>
      <c r="N1536" s="13">
        <v>1.1000000000000001</v>
      </c>
      <c r="O1536" s="13">
        <v>2</v>
      </c>
      <c r="P1536" s="13">
        <v>1.2</v>
      </c>
      <c r="Q1536">
        <v>1.05</v>
      </c>
      <c r="R1536">
        <f t="shared" si="149"/>
        <v>0.47095746419981693</v>
      </c>
    </row>
    <row r="1537" spans="1:18" hidden="1" x14ac:dyDescent="0.2">
      <c r="A1537" s="17" t="s">
        <v>519</v>
      </c>
      <c r="B1537" s="17">
        <v>1.6</v>
      </c>
      <c r="C1537" s="17" t="s">
        <v>85</v>
      </c>
      <c r="D1537" s="17" t="s">
        <v>56</v>
      </c>
      <c r="F1537" s="17" t="s">
        <v>86</v>
      </c>
      <c r="G1537" s="17" t="s">
        <v>520</v>
      </c>
      <c r="H1537" s="17" t="s">
        <v>560</v>
      </c>
      <c r="I1537" s="17">
        <v>2</v>
      </c>
      <c r="J1537">
        <f t="shared" si="148"/>
        <v>0.47000362924573563</v>
      </c>
      <c r="K1537" s="13">
        <v>1.5</v>
      </c>
      <c r="L1537" s="13">
        <v>1.2</v>
      </c>
      <c r="M1537" s="13">
        <v>1.5</v>
      </c>
      <c r="N1537" s="13">
        <v>1.1000000000000001</v>
      </c>
      <c r="O1537" s="13">
        <v>2</v>
      </c>
      <c r="P1537" s="13">
        <v>1.2</v>
      </c>
      <c r="Q1537">
        <v>1.05</v>
      </c>
      <c r="R1537">
        <f t="shared" si="149"/>
        <v>0.47095746419981693</v>
      </c>
    </row>
    <row r="1538" spans="1:18" hidden="1" x14ac:dyDescent="0.2">
      <c r="A1538" s="17" t="s">
        <v>454</v>
      </c>
      <c r="B1538" s="17">
        <v>1.4</v>
      </c>
      <c r="C1538" s="17" t="s">
        <v>85</v>
      </c>
      <c r="D1538" s="17" t="s">
        <v>56</v>
      </c>
      <c r="F1538" s="17" t="s">
        <v>86</v>
      </c>
      <c r="G1538" s="17" t="s">
        <v>455</v>
      </c>
      <c r="H1538" s="17" t="s">
        <v>562</v>
      </c>
      <c r="I1538" s="17">
        <v>2</v>
      </c>
      <c r="J1538">
        <f t="shared" si="148"/>
        <v>0.33647223662121289</v>
      </c>
      <c r="K1538" s="13">
        <v>1.5</v>
      </c>
      <c r="L1538" s="13">
        <v>1.2</v>
      </c>
      <c r="M1538" s="13">
        <v>1.5</v>
      </c>
      <c r="N1538" s="13">
        <v>1.1000000000000001</v>
      </c>
      <c r="O1538" s="13">
        <v>2</v>
      </c>
      <c r="P1538" s="13">
        <v>1.2</v>
      </c>
      <c r="Q1538">
        <v>1.05</v>
      </c>
      <c r="R1538">
        <f t="shared" si="149"/>
        <v>0.47095746419981693</v>
      </c>
    </row>
    <row r="1539" spans="1:18" hidden="1" x14ac:dyDescent="0.2">
      <c r="A1539" s="17" t="s">
        <v>575</v>
      </c>
      <c r="B1539" s="17">
        <v>1.4</v>
      </c>
      <c r="C1539" s="17" t="s">
        <v>85</v>
      </c>
      <c r="D1539" s="17" t="s">
        <v>56</v>
      </c>
      <c r="F1539" s="17" t="s">
        <v>86</v>
      </c>
      <c r="G1539" s="17" t="s">
        <v>576</v>
      </c>
      <c r="H1539" s="17" t="s">
        <v>562</v>
      </c>
      <c r="I1539" s="17">
        <v>2</v>
      </c>
      <c r="J1539">
        <f t="shared" si="148"/>
        <v>0.33647223662121289</v>
      </c>
      <c r="K1539" s="13">
        <v>1.5</v>
      </c>
      <c r="L1539" s="13">
        <v>1.2</v>
      </c>
      <c r="M1539" s="13">
        <v>1.5</v>
      </c>
      <c r="N1539" s="13">
        <v>1.1000000000000001</v>
      </c>
      <c r="O1539" s="13">
        <v>2</v>
      </c>
      <c r="P1539" s="13">
        <v>1.2</v>
      </c>
      <c r="Q1539">
        <v>1.05</v>
      </c>
      <c r="R1539">
        <f t="shared" si="149"/>
        <v>0.47095746419981693</v>
      </c>
    </row>
    <row r="1540" spans="1:18" hidden="1" x14ac:dyDescent="0.2">
      <c r="A1540" s="17" t="s">
        <v>385</v>
      </c>
      <c r="B1540" s="17">
        <v>0.5</v>
      </c>
      <c r="C1540" s="17" t="s">
        <v>85</v>
      </c>
      <c r="D1540" s="17" t="s">
        <v>56</v>
      </c>
      <c r="F1540" s="17" t="s">
        <v>86</v>
      </c>
      <c r="G1540" s="17" t="s">
        <v>386</v>
      </c>
      <c r="H1540" s="17" t="s">
        <v>562</v>
      </c>
      <c r="I1540" s="17">
        <v>2</v>
      </c>
      <c r="J1540">
        <f t="shared" si="148"/>
        <v>-0.69314718055994529</v>
      </c>
      <c r="K1540" s="13">
        <v>1.5</v>
      </c>
      <c r="L1540" s="13">
        <v>1.2</v>
      </c>
      <c r="M1540" s="13">
        <v>1.5</v>
      </c>
      <c r="N1540" s="13">
        <v>1.1000000000000001</v>
      </c>
      <c r="O1540" s="13">
        <v>2</v>
      </c>
      <c r="P1540" s="13">
        <v>1.2</v>
      </c>
      <c r="Q1540">
        <v>1.05</v>
      </c>
      <c r="R1540">
        <f t="shared" si="149"/>
        <v>0.47095746419981693</v>
      </c>
    </row>
    <row r="1541" spans="1:18" hidden="1" x14ac:dyDescent="0.2">
      <c r="A1541" s="17" t="s">
        <v>614</v>
      </c>
      <c r="B1541" s="17">
        <v>2.4500000000000002</v>
      </c>
      <c r="C1541" s="17" t="s">
        <v>85</v>
      </c>
      <c r="D1541" s="17" t="s">
        <v>56</v>
      </c>
      <c r="F1541" s="17" t="s">
        <v>86</v>
      </c>
      <c r="G1541" s="17" t="s">
        <v>615</v>
      </c>
      <c r="H1541" s="17" t="s">
        <v>618</v>
      </c>
      <c r="I1541" s="17">
        <v>2</v>
      </c>
      <c r="J1541">
        <f t="shared" si="148"/>
        <v>0.89608802455663572</v>
      </c>
      <c r="K1541" s="13">
        <v>1.5</v>
      </c>
      <c r="L1541" s="13">
        <v>1.2</v>
      </c>
      <c r="M1541" s="13">
        <v>1.5</v>
      </c>
      <c r="N1541" s="13">
        <v>1.1000000000000001</v>
      </c>
      <c r="O1541" s="13">
        <v>2</v>
      </c>
      <c r="P1541" s="13">
        <v>1.2</v>
      </c>
      <c r="Q1541">
        <v>1.05</v>
      </c>
      <c r="R1541">
        <f t="shared" si="149"/>
        <v>0.47095746419981693</v>
      </c>
    </row>
    <row r="1542" spans="1:18" hidden="1" x14ac:dyDescent="0.2">
      <c r="A1542" s="17" t="s">
        <v>616</v>
      </c>
      <c r="B1542" s="17">
        <v>2.4500000000000002</v>
      </c>
      <c r="C1542" s="17" t="s">
        <v>85</v>
      </c>
      <c r="D1542" s="17" t="s">
        <v>56</v>
      </c>
      <c r="F1542" s="17" t="s">
        <v>86</v>
      </c>
      <c r="G1542" s="17" t="s">
        <v>617</v>
      </c>
      <c r="H1542" s="17" t="s">
        <v>618</v>
      </c>
      <c r="I1542" s="17">
        <v>2</v>
      </c>
      <c r="J1542">
        <f t="shared" si="148"/>
        <v>0.89608802455663572</v>
      </c>
      <c r="K1542" s="13">
        <v>1.5</v>
      </c>
      <c r="L1542" s="13">
        <v>1.2</v>
      </c>
      <c r="M1542" s="13">
        <v>1.5</v>
      </c>
      <c r="N1542" s="13">
        <v>1.1000000000000001</v>
      </c>
      <c r="O1542" s="13">
        <v>2</v>
      </c>
      <c r="P1542" s="13">
        <v>1.2</v>
      </c>
      <c r="Q1542">
        <v>1.05</v>
      </c>
      <c r="R1542">
        <f t="shared" si="149"/>
        <v>0.47095746419981693</v>
      </c>
    </row>
    <row r="1543" spans="1:18" hidden="1" x14ac:dyDescent="0.2">
      <c r="A1543" s="17" t="s">
        <v>619</v>
      </c>
      <c r="B1543" s="17">
        <f>3%*B1541</f>
        <v>7.3499999999999996E-2</v>
      </c>
      <c r="D1543" s="17" t="s">
        <v>56</v>
      </c>
      <c r="E1543" s="17" t="s">
        <v>100</v>
      </c>
      <c r="F1543" s="17" t="s">
        <v>99</v>
      </c>
      <c r="H1543" s="17" t="s">
        <v>618</v>
      </c>
      <c r="I1543" s="17">
        <v>2</v>
      </c>
      <c r="J1543">
        <f t="shared" si="148"/>
        <v>-2.6104698727633462</v>
      </c>
      <c r="K1543" s="13">
        <v>1.5</v>
      </c>
      <c r="L1543" s="13">
        <v>1.2</v>
      </c>
      <c r="M1543" s="13">
        <v>1.5</v>
      </c>
      <c r="N1543" s="13">
        <v>1.1000000000000001</v>
      </c>
      <c r="O1543" s="13">
        <v>2</v>
      </c>
      <c r="P1543" s="13">
        <v>1.2</v>
      </c>
      <c r="Q1543" s="13">
        <v>1.5</v>
      </c>
      <c r="R1543">
        <f t="shared" si="149"/>
        <v>0.51215847306170115</v>
      </c>
    </row>
    <row r="1544" spans="1:18" hidden="1" x14ac:dyDescent="0.2">
      <c r="A1544" s="17" t="s">
        <v>620</v>
      </c>
      <c r="B1544" s="17">
        <f>3%*B1542</f>
        <v>7.3499999999999996E-2</v>
      </c>
      <c r="D1544" s="17" t="s">
        <v>56</v>
      </c>
      <c r="E1544" s="17" t="s">
        <v>100</v>
      </c>
      <c r="F1544" s="17" t="s">
        <v>99</v>
      </c>
      <c r="H1544" s="17" t="s">
        <v>618</v>
      </c>
      <c r="I1544" s="17">
        <v>2</v>
      </c>
      <c r="J1544">
        <f t="shared" si="148"/>
        <v>-2.6104698727633462</v>
      </c>
      <c r="K1544" s="13">
        <v>1.5</v>
      </c>
      <c r="L1544" s="13">
        <v>1.2</v>
      </c>
      <c r="M1544" s="13">
        <v>1.5</v>
      </c>
      <c r="N1544" s="13">
        <v>1.1000000000000001</v>
      </c>
      <c r="O1544" s="13">
        <v>2</v>
      </c>
      <c r="P1544" s="13">
        <v>1.2</v>
      </c>
      <c r="Q1544" s="13">
        <v>1.5</v>
      </c>
      <c r="R1544">
        <f t="shared" si="149"/>
        <v>0.51215847306170115</v>
      </c>
    </row>
    <row r="1545" spans="1:18" hidden="1" x14ac:dyDescent="0.2">
      <c r="A1545" s="17" t="s">
        <v>91</v>
      </c>
      <c r="B1545" s="17">
        <f>504/3.6</f>
        <v>140</v>
      </c>
      <c r="C1545" s="17" t="s">
        <v>90</v>
      </c>
      <c r="D1545" s="17" t="s">
        <v>92</v>
      </c>
      <c r="F1545" s="17" t="s">
        <v>86</v>
      </c>
      <c r="G1545" s="17" t="s">
        <v>93</v>
      </c>
      <c r="H1545" s="17" t="s">
        <v>563</v>
      </c>
      <c r="I1545" s="17">
        <v>2</v>
      </c>
      <c r="J1545">
        <f t="shared" si="148"/>
        <v>4.9416424226093039</v>
      </c>
      <c r="K1545" s="13">
        <v>1.5</v>
      </c>
      <c r="L1545" s="13">
        <v>1.2</v>
      </c>
      <c r="M1545" s="13">
        <v>1.5</v>
      </c>
      <c r="N1545" s="13">
        <v>1.1000000000000001</v>
      </c>
      <c r="O1545" s="13">
        <v>2</v>
      </c>
      <c r="P1545" s="13">
        <v>1.2</v>
      </c>
      <c r="Q1545">
        <v>1.05</v>
      </c>
      <c r="R1545">
        <f t="shared" si="149"/>
        <v>0.47095746419981693</v>
      </c>
    </row>
    <row r="1546" spans="1:18" hidden="1" x14ac:dyDescent="0.2">
      <c r="A1546" s="17" t="s">
        <v>202</v>
      </c>
      <c r="B1546" s="17">
        <v>1400</v>
      </c>
      <c r="C1546" s="17" t="s">
        <v>64</v>
      </c>
      <c r="D1546" s="17" t="s">
        <v>65</v>
      </c>
      <c r="F1546" s="17" t="s">
        <v>86</v>
      </c>
      <c r="G1546" s="17" t="s">
        <v>203</v>
      </c>
      <c r="H1546" s="17" t="s">
        <v>563</v>
      </c>
      <c r="I1546" s="17">
        <v>2</v>
      </c>
      <c r="J1546">
        <f t="shared" si="148"/>
        <v>7.2442275156033498</v>
      </c>
      <c r="K1546" s="13">
        <v>1.5</v>
      </c>
      <c r="L1546" s="13">
        <v>1.2</v>
      </c>
      <c r="M1546" s="13">
        <v>1.5</v>
      </c>
      <c r="N1546" s="13">
        <v>1.1000000000000001</v>
      </c>
      <c r="O1546" s="13">
        <v>2</v>
      </c>
      <c r="P1546" s="13">
        <v>1.2</v>
      </c>
      <c r="Q1546">
        <v>1.05</v>
      </c>
      <c r="R1546">
        <f t="shared" si="149"/>
        <v>0.47095746419981693</v>
      </c>
    </row>
    <row r="1547" spans="1:18" hidden="1" x14ac:dyDescent="0.2">
      <c r="A1547" s="17" t="s">
        <v>568</v>
      </c>
      <c r="B1547" s="17">
        <v>4650</v>
      </c>
      <c r="C1547" s="17" t="s">
        <v>64</v>
      </c>
      <c r="D1547" s="17" t="s">
        <v>56</v>
      </c>
      <c r="F1547" s="17" t="s">
        <v>86</v>
      </c>
      <c r="G1547" s="17" t="s">
        <v>569</v>
      </c>
      <c r="H1547" s="17" t="s">
        <v>567</v>
      </c>
      <c r="I1547" s="17">
        <v>2</v>
      </c>
      <c r="J1547">
        <f t="shared" si="148"/>
        <v>8.4446224985814027</v>
      </c>
      <c r="K1547" s="13">
        <v>1.5</v>
      </c>
      <c r="L1547" s="13">
        <v>1.2</v>
      </c>
      <c r="M1547" s="13">
        <v>1.5</v>
      </c>
      <c r="N1547" s="13">
        <v>1.1000000000000001</v>
      </c>
      <c r="O1547" s="13">
        <v>2</v>
      </c>
      <c r="P1547" s="13">
        <v>1.2</v>
      </c>
      <c r="Q1547">
        <v>1.05</v>
      </c>
      <c r="R1547">
        <f t="shared" si="149"/>
        <v>0.47095746419981693</v>
      </c>
    </row>
    <row r="1548" spans="1:18" hidden="1" x14ac:dyDescent="0.2">
      <c r="A1548" s="17" t="s">
        <v>515</v>
      </c>
      <c r="B1548" s="17">
        <v>900</v>
      </c>
      <c r="C1548" s="17" t="s">
        <v>64</v>
      </c>
      <c r="D1548" s="17" t="s">
        <v>56</v>
      </c>
      <c r="F1548" s="17" t="s">
        <v>86</v>
      </c>
      <c r="G1548" s="17" t="s">
        <v>516</v>
      </c>
      <c r="H1548" s="17" t="s">
        <v>567</v>
      </c>
      <c r="I1548" s="17">
        <v>2</v>
      </c>
      <c r="J1548">
        <f t="shared" si="148"/>
        <v>6.8023947633243109</v>
      </c>
      <c r="K1548" s="13">
        <v>1.5</v>
      </c>
      <c r="L1548" s="13">
        <v>1.2</v>
      </c>
      <c r="M1548" s="13">
        <v>1.5</v>
      </c>
      <c r="N1548" s="13">
        <v>1.1000000000000001</v>
      </c>
      <c r="O1548" s="13">
        <v>2</v>
      </c>
      <c r="P1548" s="13">
        <v>1.2</v>
      </c>
      <c r="Q1548">
        <v>1.05</v>
      </c>
      <c r="R1548">
        <f t="shared" si="149"/>
        <v>0.47095746419981693</v>
      </c>
    </row>
    <row r="1549" spans="1:18" hidden="1" x14ac:dyDescent="0.2">
      <c r="A1549" s="17" t="s">
        <v>166</v>
      </c>
      <c r="B1549" s="17">
        <v>126</v>
      </c>
      <c r="C1549" s="17" t="s">
        <v>85</v>
      </c>
      <c r="D1549" s="17" t="s">
        <v>56</v>
      </c>
      <c r="F1549" s="17" t="s">
        <v>86</v>
      </c>
      <c r="G1549" s="17" t="s">
        <v>167</v>
      </c>
      <c r="H1549" s="17" t="s">
        <v>567</v>
      </c>
      <c r="I1549" s="17">
        <v>2</v>
      </c>
      <c r="J1549">
        <f t="shared" si="148"/>
        <v>4.836281906951478</v>
      </c>
      <c r="K1549" s="13">
        <v>1.5</v>
      </c>
      <c r="L1549" s="13">
        <v>1.2</v>
      </c>
      <c r="M1549" s="13">
        <v>1.5</v>
      </c>
      <c r="N1549" s="13">
        <v>1.1000000000000001</v>
      </c>
      <c r="O1549" s="13">
        <v>2</v>
      </c>
      <c r="P1549" s="13">
        <v>1.2</v>
      </c>
      <c r="Q1549">
        <v>1.05</v>
      </c>
      <c r="R1549">
        <f t="shared" si="149"/>
        <v>0.47095746419981693</v>
      </c>
    </row>
    <row r="1550" spans="1:18" hidden="1" x14ac:dyDescent="0.2">
      <c r="A1550" s="17" t="s">
        <v>577</v>
      </c>
      <c r="B1550" s="17">
        <v>126</v>
      </c>
      <c r="C1550" s="17" t="s">
        <v>85</v>
      </c>
      <c r="D1550" s="17" t="s">
        <v>56</v>
      </c>
      <c r="F1550" s="17" t="s">
        <v>86</v>
      </c>
      <c r="G1550" s="17" t="s">
        <v>578</v>
      </c>
      <c r="H1550" s="17" t="s">
        <v>567</v>
      </c>
      <c r="I1550" s="17">
        <v>2</v>
      </c>
      <c r="J1550">
        <f t="shared" si="148"/>
        <v>4.836281906951478</v>
      </c>
      <c r="K1550" s="13">
        <v>1.5</v>
      </c>
      <c r="L1550" s="13">
        <v>1.2</v>
      </c>
      <c r="M1550" s="13">
        <v>1.5</v>
      </c>
      <c r="N1550" s="13">
        <v>1.1000000000000001</v>
      </c>
      <c r="O1550" s="13">
        <v>2</v>
      </c>
      <c r="P1550" s="13">
        <v>1.2</v>
      </c>
      <c r="Q1550">
        <v>1.05</v>
      </c>
      <c r="R1550">
        <f t="shared" si="149"/>
        <v>0.47095746419981693</v>
      </c>
    </row>
    <row r="1551" spans="1:18" hidden="1" x14ac:dyDescent="0.2">
      <c r="A1551" s="17" t="s">
        <v>570</v>
      </c>
      <c r="B1551" s="17">
        <v>101</v>
      </c>
      <c r="C1551" s="17" t="s">
        <v>85</v>
      </c>
      <c r="D1551" s="17" t="s">
        <v>56</v>
      </c>
      <c r="F1551" s="17" t="s">
        <v>86</v>
      </c>
      <c r="G1551" s="17" t="s">
        <v>571</v>
      </c>
      <c r="H1551" s="17" t="s">
        <v>567</v>
      </c>
      <c r="I1551" s="17">
        <v>2</v>
      </c>
      <c r="J1551">
        <f t="shared" si="148"/>
        <v>4.6151205168412597</v>
      </c>
      <c r="K1551" s="13">
        <v>1.5</v>
      </c>
      <c r="L1551" s="13">
        <v>1.2</v>
      </c>
      <c r="M1551" s="13">
        <v>1.5</v>
      </c>
      <c r="N1551" s="13">
        <v>1.1000000000000001</v>
      </c>
      <c r="O1551" s="13">
        <v>2</v>
      </c>
      <c r="P1551" s="13">
        <v>1.2</v>
      </c>
      <c r="Q1551">
        <v>1.05</v>
      </c>
      <c r="R1551">
        <f t="shared" si="149"/>
        <v>0.47095746419981693</v>
      </c>
    </row>
    <row r="1552" spans="1:18" hidden="1" x14ac:dyDescent="0.2">
      <c r="A1552" s="17" t="s">
        <v>572</v>
      </c>
      <c r="B1552" s="17">
        <v>66</v>
      </c>
      <c r="C1552" s="17" t="s">
        <v>85</v>
      </c>
      <c r="D1552" s="17" t="s">
        <v>56</v>
      </c>
      <c r="F1552" s="17" t="s">
        <v>86</v>
      </c>
      <c r="G1552" s="17" t="s">
        <v>573</v>
      </c>
      <c r="H1552" s="17" t="s">
        <v>567</v>
      </c>
      <c r="I1552" s="17">
        <v>2</v>
      </c>
      <c r="J1552">
        <f t="shared" si="148"/>
        <v>4.1896547420264252</v>
      </c>
      <c r="K1552" s="13">
        <v>1.5</v>
      </c>
      <c r="L1552" s="13">
        <v>1.2</v>
      </c>
      <c r="M1552" s="13">
        <v>1.5</v>
      </c>
      <c r="N1552" s="13">
        <v>1.1000000000000001</v>
      </c>
      <c r="O1552" s="13">
        <v>2</v>
      </c>
      <c r="P1552" s="13">
        <v>1.2</v>
      </c>
      <c r="Q1552">
        <v>1.05</v>
      </c>
      <c r="R1552">
        <f t="shared" si="149"/>
        <v>0.47095746419981693</v>
      </c>
    </row>
    <row r="1553" spans="1:19" hidden="1" x14ac:dyDescent="0.2">
      <c r="Q1553" s="17"/>
    </row>
    <row r="1554" spans="1:19" hidden="1" x14ac:dyDescent="0.2">
      <c r="A1554" s="18" t="s">
        <v>50</v>
      </c>
      <c r="B1554" s="18" t="s">
        <v>564</v>
      </c>
      <c r="Q1554" s="17"/>
    </row>
    <row r="1555" spans="1:19" hidden="1" x14ac:dyDescent="0.2">
      <c r="A1555" s="17" t="s">
        <v>53</v>
      </c>
      <c r="B1555" s="17">
        <v>1</v>
      </c>
      <c r="Q1555" s="17"/>
    </row>
    <row r="1556" spans="1:19" hidden="1" x14ac:dyDescent="0.2">
      <c r="A1556" s="17" t="s">
        <v>54</v>
      </c>
      <c r="B1556" s="17" t="s">
        <v>553</v>
      </c>
      <c r="Q1556" s="17"/>
    </row>
    <row r="1557" spans="1:19" hidden="1" x14ac:dyDescent="0.2">
      <c r="A1557" s="17" t="s">
        <v>61</v>
      </c>
      <c r="B1557" s="17" t="s">
        <v>121</v>
      </c>
      <c r="Q1557" s="17"/>
    </row>
    <row r="1558" spans="1:19" hidden="1" x14ac:dyDescent="0.2">
      <c r="A1558" s="17" t="s">
        <v>55</v>
      </c>
      <c r="B1558" s="17" t="s">
        <v>55</v>
      </c>
      <c r="Q1558" s="17"/>
    </row>
    <row r="1559" spans="1:19" hidden="1" x14ac:dyDescent="0.2">
      <c r="A1559" s="17" t="s">
        <v>52</v>
      </c>
      <c r="B1559" s="17" t="s">
        <v>64</v>
      </c>
      <c r="Q1559" s="17"/>
    </row>
    <row r="1560" spans="1:19" hidden="1" x14ac:dyDescent="0.2">
      <c r="A1560" s="17" t="s">
        <v>51</v>
      </c>
      <c r="B1560" s="17" t="s">
        <v>514</v>
      </c>
      <c r="Q1560" s="17"/>
    </row>
    <row r="1561" spans="1:19" hidden="1" x14ac:dyDescent="0.2">
      <c r="A1561" s="17" t="s">
        <v>63</v>
      </c>
      <c r="B1561" s="17" t="s">
        <v>513</v>
      </c>
      <c r="Q1561" s="17"/>
    </row>
    <row r="1562" spans="1:19" hidden="1" x14ac:dyDescent="0.2">
      <c r="A1562" s="18" t="s">
        <v>57</v>
      </c>
      <c r="Q1562" s="17"/>
    </row>
    <row r="1563" spans="1:19" hidden="1" x14ac:dyDescent="0.2">
      <c r="A1563" s="18" t="s">
        <v>58</v>
      </c>
      <c r="B1563" s="18" t="s">
        <v>59</v>
      </c>
      <c r="C1563" s="18" t="s">
        <v>52</v>
      </c>
      <c r="D1563" s="18" t="s">
        <v>55</v>
      </c>
      <c r="E1563" s="18" t="s">
        <v>60</v>
      </c>
      <c r="F1563" s="18" t="s">
        <v>61</v>
      </c>
      <c r="G1563" s="18" t="s">
        <v>54</v>
      </c>
      <c r="H1563" s="18" t="s">
        <v>51</v>
      </c>
      <c r="I1563" s="18" t="s">
        <v>221</v>
      </c>
      <c r="J1563" s="2" t="s">
        <v>379</v>
      </c>
      <c r="K1563" s="62" t="s">
        <v>1059</v>
      </c>
      <c r="L1563" s="62" t="s">
        <v>1060</v>
      </c>
      <c r="M1563" s="62" t="s">
        <v>1061</v>
      </c>
      <c r="N1563" s="62" t="s">
        <v>1062</v>
      </c>
      <c r="O1563" s="62" t="s">
        <v>1063</v>
      </c>
      <c r="P1563" s="62" t="s">
        <v>1064</v>
      </c>
      <c r="Q1563" s="2" t="s">
        <v>1065</v>
      </c>
      <c r="R1563" s="2" t="s">
        <v>380</v>
      </c>
      <c r="S1563" s="18" t="s">
        <v>1128</v>
      </c>
    </row>
    <row r="1564" spans="1:19" hidden="1" x14ac:dyDescent="0.2">
      <c r="A1564" s="17" t="s">
        <v>564</v>
      </c>
      <c r="B1564" s="17">
        <v>1</v>
      </c>
      <c r="C1564" s="17" t="s">
        <v>64</v>
      </c>
      <c r="D1564" s="17" t="s">
        <v>55</v>
      </c>
      <c r="F1564" s="17" t="s">
        <v>62</v>
      </c>
      <c r="G1564" s="17" t="s">
        <v>553</v>
      </c>
      <c r="Q1564" s="17"/>
    </row>
    <row r="1565" spans="1:19" ht="19" hidden="1" x14ac:dyDescent="0.25">
      <c r="A1565" s="17" t="s">
        <v>525</v>
      </c>
      <c r="B1565" s="17">
        <f>B1540*-1</f>
        <v>-0.5</v>
      </c>
      <c r="C1565" s="17" t="s">
        <v>64</v>
      </c>
      <c r="D1565" s="17" t="s">
        <v>56</v>
      </c>
      <c r="F1565" s="38" t="s">
        <v>86</v>
      </c>
      <c r="G1565" s="17" t="s">
        <v>526</v>
      </c>
      <c r="I1565" s="17">
        <v>2</v>
      </c>
      <c r="J1565">
        <f t="shared" ref="J1565:J1572" si="150">LN(B1565*-1)</f>
        <v>-0.69314718055994529</v>
      </c>
      <c r="K1565" s="13">
        <v>1.5</v>
      </c>
      <c r="L1565" s="13">
        <v>1.2</v>
      </c>
      <c r="M1565" s="13">
        <v>1.5</v>
      </c>
      <c r="N1565" s="13">
        <v>1.1000000000000001</v>
      </c>
      <c r="O1565" s="13">
        <v>2</v>
      </c>
      <c r="P1565" s="13">
        <v>1.2</v>
      </c>
      <c r="Q1565">
        <v>1.05</v>
      </c>
      <c r="R1565">
        <f t="shared" ref="R1565:R1572" si="151">LN(SQRT(EXP(
SQRT(
+POWER(LN(K1565),2)
+POWER(LN(L1565),2)
+POWER(LN(M1565),2)
+POWER(LN(N1565),2)
+POWER(LN(O1565),2)
+POWER(LN(P1565),2)
+POWER(LN(Q1565),2)
)
)))</f>
        <v>0.47095746419981693</v>
      </c>
      <c r="S1565" s="17" t="b">
        <v>1</v>
      </c>
    </row>
    <row r="1566" spans="1:19" ht="19" hidden="1" x14ac:dyDescent="0.25">
      <c r="A1566" s="17" t="s">
        <v>527</v>
      </c>
      <c r="B1566" s="17">
        <f>SUM(B1538,B1534)*-1</f>
        <v>-36.6</v>
      </c>
      <c r="C1566" s="17" t="s">
        <v>64</v>
      </c>
      <c r="D1566" s="17" t="s">
        <v>56</v>
      </c>
      <c r="F1566" s="38" t="s">
        <v>86</v>
      </c>
      <c r="G1566" s="17" t="s">
        <v>528</v>
      </c>
      <c r="I1566" s="17">
        <v>2</v>
      </c>
      <c r="J1566">
        <f t="shared" si="150"/>
        <v>3.6000482404073204</v>
      </c>
      <c r="K1566" s="13">
        <v>1.5</v>
      </c>
      <c r="L1566" s="13">
        <v>1.2</v>
      </c>
      <c r="M1566" s="13">
        <v>1.5</v>
      </c>
      <c r="N1566" s="13">
        <v>1.1000000000000001</v>
      </c>
      <c r="O1566" s="13">
        <v>2</v>
      </c>
      <c r="P1566" s="13">
        <v>1.2</v>
      </c>
      <c r="Q1566">
        <v>1.05</v>
      </c>
      <c r="R1566">
        <f t="shared" si="151"/>
        <v>0.47095746419981693</v>
      </c>
      <c r="S1566" s="17" t="b">
        <v>1</v>
      </c>
    </row>
    <row r="1567" spans="1:19" ht="19" hidden="1" x14ac:dyDescent="0.25">
      <c r="A1567" s="17" t="s">
        <v>529</v>
      </c>
      <c r="B1567" s="17">
        <f>B1537*-1</f>
        <v>-1.6</v>
      </c>
      <c r="C1567" s="17" t="s">
        <v>64</v>
      </c>
      <c r="D1567" s="17" t="s">
        <v>56</v>
      </c>
      <c r="F1567" s="38" t="s">
        <v>86</v>
      </c>
      <c r="G1567" s="17" t="s">
        <v>530</v>
      </c>
      <c r="I1567" s="17">
        <v>2</v>
      </c>
      <c r="J1567">
        <f t="shared" si="150"/>
        <v>0.47000362924573563</v>
      </c>
      <c r="K1567" s="13">
        <v>1.5</v>
      </c>
      <c r="L1567" s="13">
        <v>1.2</v>
      </c>
      <c r="M1567" s="13">
        <v>1.5</v>
      </c>
      <c r="N1567" s="13">
        <v>1.1000000000000001</v>
      </c>
      <c r="O1567" s="13">
        <v>2</v>
      </c>
      <c r="P1567" s="13">
        <v>1.2</v>
      </c>
      <c r="Q1567">
        <v>1.05</v>
      </c>
      <c r="R1567">
        <f t="shared" si="151"/>
        <v>0.47095746419981693</v>
      </c>
      <c r="S1567" s="17" t="b">
        <v>1</v>
      </c>
    </row>
    <row r="1568" spans="1:19" ht="19" hidden="1" x14ac:dyDescent="0.25">
      <c r="A1568" s="17" t="s">
        <v>531</v>
      </c>
      <c r="B1568" s="17">
        <f>SUM(B1541:B1542)*91%*-1</f>
        <v>-4.4590000000000005</v>
      </c>
      <c r="C1568" s="17" t="s">
        <v>85</v>
      </c>
      <c r="D1568" s="17" t="s">
        <v>56</v>
      </c>
      <c r="F1568" s="38" t="s">
        <v>86</v>
      </c>
      <c r="G1568" s="17" t="s">
        <v>532</v>
      </c>
      <c r="I1568" s="17">
        <v>2</v>
      </c>
      <c r="J1568">
        <f t="shared" si="150"/>
        <v>1.4949245256453396</v>
      </c>
      <c r="K1568" s="13">
        <v>1.5</v>
      </c>
      <c r="L1568" s="13">
        <v>1.2</v>
      </c>
      <c r="M1568" s="13">
        <v>1.5</v>
      </c>
      <c r="N1568" s="13">
        <v>1.1000000000000001</v>
      </c>
      <c r="O1568" s="13">
        <v>2</v>
      </c>
      <c r="P1568" s="13">
        <v>1.2</v>
      </c>
      <c r="Q1568">
        <v>1.05</v>
      </c>
      <c r="R1568">
        <f t="shared" si="151"/>
        <v>0.47095746419981693</v>
      </c>
      <c r="S1568" s="17" t="b">
        <v>1</v>
      </c>
    </row>
    <row r="1569" spans="1:19" ht="19" hidden="1" x14ac:dyDescent="0.25">
      <c r="A1569" s="17" t="s">
        <v>533</v>
      </c>
      <c r="B1569" s="17">
        <f>B1532*-1</f>
        <v>-120</v>
      </c>
      <c r="C1569" s="17" t="s">
        <v>64</v>
      </c>
      <c r="D1569" s="17" t="s">
        <v>56</v>
      </c>
      <c r="F1569" s="38" t="s">
        <v>86</v>
      </c>
      <c r="G1569" s="17" t="s">
        <v>466</v>
      </c>
      <c r="I1569" s="17">
        <v>2</v>
      </c>
      <c r="J1569">
        <f t="shared" si="150"/>
        <v>4.7874917427820458</v>
      </c>
      <c r="K1569" s="13">
        <v>1.5</v>
      </c>
      <c r="L1569" s="13">
        <v>1.2</v>
      </c>
      <c r="M1569" s="13">
        <v>1.5</v>
      </c>
      <c r="N1569" s="13">
        <v>1.1000000000000001</v>
      </c>
      <c r="O1569" s="13">
        <v>2</v>
      </c>
      <c r="P1569" s="13">
        <v>1.2</v>
      </c>
      <c r="Q1569">
        <v>1.05</v>
      </c>
      <c r="R1569">
        <f t="shared" si="151"/>
        <v>0.47095746419981693</v>
      </c>
      <c r="S1569" s="17" t="b">
        <v>1</v>
      </c>
    </row>
    <row r="1570" spans="1:19" ht="19" hidden="1" x14ac:dyDescent="0.25">
      <c r="A1570" s="17" t="s">
        <v>534</v>
      </c>
      <c r="B1570" s="17">
        <f>B1530*-1</f>
        <v>-32</v>
      </c>
      <c r="C1570" s="17" t="s">
        <v>64</v>
      </c>
      <c r="D1570" s="17" t="s">
        <v>56</v>
      </c>
      <c r="F1570" s="38" t="s">
        <v>86</v>
      </c>
      <c r="G1570" s="17" t="s">
        <v>535</v>
      </c>
      <c r="I1570" s="17">
        <v>2</v>
      </c>
      <c r="J1570">
        <f t="shared" si="150"/>
        <v>3.4657359027997265</v>
      </c>
      <c r="K1570" s="13">
        <v>1.5</v>
      </c>
      <c r="L1570" s="13">
        <v>1.2</v>
      </c>
      <c r="M1570" s="13">
        <v>1.5</v>
      </c>
      <c r="N1570" s="13">
        <v>1.1000000000000001</v>
      </c>
      <c r="O1570" s="13">
        <v>2</v>
      </c>
      <c r="P1570" s="13">
        <v>1.2</v>
      </c>
      <c r="Q1570">
        <v>1.05</v>
      </c>
      <c r="R1570">
        <f t="shared" si="151"/>
        <v>0.47095746419981693</v>
      </c>
      <c r="S1570" s="17" t="b">
        <v>1</v>
      </c>
    </row>
    <row r="1571" spans="1:19" ht="19" hidden="1" x14ac:dyDescent="0.25">
      <c r="A1571" s="17" t="s">
        <v>648</v>
      </c>
      <c r="B1571" s="17">
        <f>B1533*-1</f>
        <v>-16</v>
      </c>
      <c r="C1571" s="17" t="s">
        <v>64</v>
      </c>
      <c r="D1571" s="17" t="s">
        <v>56</v>
      </c>
      <c r="F1571" s="38" t="s">
        <v>86</v>
      </c>
      <c r="G1571" s="17" t="s">
        <v>649</v>
      </c>
      <c r="I1571" s="17">
        <v>2</v>
      </c>
      <c r="J1571">
        <f t="shared" si="150"/>
        <v>2.7725887222397811</v>
      </c>
      <c r="K1571" s="13">
        <v>1.5</v>
      </c>
      <c r="L1571" s="13">
        <v>1.2</v>
      </c>
      <c r="M1571" s="13">
        <v>1.5</v>
      </c>
      <c r="N1571" s="13">
        <v>1.1000000000000001</v>
      </c>
      <c r="O1571" s="13">
        <v>2</v>
      </c>
      <c r="P1571" s="13">
        <v>1.2</v>
      </c>
      <c r="Q1571">
        <v>1.05</v>
      </c>
      <c r="R1571">
        <f t="shared" si="151"/>
        <v>0.47095746419981693</v>
      </c>
      <c r="S1571" s="17" t="b">
        <v>1</v>
      </c>
    </row>
    <row r="1572" spans="1:19" ht="19" hidden="1" x14ac:dyDescent="0.25">
      <c r="A1572" s="17" t="s">
        <v>536</v>
      </c>
      <c r="B1572" s="17">
        <v>-20</v>
      </c>
      <c r="C1572" s="17" t="s">
        <v>64</v>
      </c>
      <c r="D1572" s="17" t="s">
        <v>55</v>
      </c>
      <c r="F1572" s="38" t="s">
        <v>86</v>
      </c>
      <c r="G1572" s="17" t="s">
        <v>537</v>
      </c>
      <c r="I1572" s="17">
        <v>2</v>
      </c>
      <c r="J1572">
        <f t="shared" si="150"/>
        <v>2.9957322735539909</v>
      </c>
      <c r="K1572" s="13">
        <v>1.5</v>
      </c>
      <c r="L1572" s="13">
        <v>1.2</v>
      </c>
      <c r="M1572" s="13">
        <v>1.5</v>
      </c>
      <c r="N1572" s="13">
        <v>1.1000000000000001</v>
      </c>
      <c r="O1572" s="13">
        <v>2</v>
      </c>
      <c r="P1572" s="13">
        <v>1.2</v>
      </c>
      <c r="Q1572">
        <v>1.05</v>
      </c>
      <c r="R1572">
        <f t="shared" si="151"/>
        <v>0.47095746419981693</v>
      </c>
      <c r="S1572" s="17" t="b">
        <v>1</v>
      </c>
    </row>
    <row r="1573" spans="1:19" hidden="1" x14ac:dyDescent="0.2">
      <c r="Q1573" s="17"/>
    </row>
    <row r="1574" spans="1:19" hidden="1" x14ac:dyDescent="0.2">
      <c r="A1574" s="18" t="s">
        <v>50</v>
      </c>
      <c r="B1574" s="18" t="s">
        <v>565</v>
      </c>
      <c r="Q1574" s="17"/>
    </row>
    <row r="1575" spans="1:19" hidden="1" x14ac:dyDescent="0.2">
      <c r="A1575" s="17" t="s">
        <v>53</v>
      </c>
      <c r="B1575" s="17">
        <v>1</v>
      </c>
      <c r="Q1575" s="17"/>
    </row>
    <row r="1576" spans="1:19" hidden="1" x14ac:dyDescent="0.2">
      <c r="A1576" s="17" t="s">
        <v>54</v>
      </c>
      <c r="B1576" s="17" t="s">
        <v>553</v>
      </c>
      <c r="Q1576" s="17"/>
    </row>
    <row r="1577" spans="1:19" hidden="1" x14ac:dyDescent="0.2">
      <c r="A1577" s="17" t="s">
        <v>61</v>
      </c>
      <c r="B1577" s="17" t="s">
        <v>121</v>
      </c>
      <c r="Q1577" s="17"/>
    </row>
    <row r="1578" spans="1:19" hidden="1" x14ac:dyDescent="0.2">
      <c r="A1578" s="17" t="s">
        <v>55</v>
      </c>
      <c r="B1578" s="17" t="s">
        <v>55</v>
      </c>
      <c r="Q1578" s="17"/>
    </row>
    <row r="1579" spans="1:19" hidden="1" x14ac:dyDescent="0.2">
      <c r="A1579" s="17" t="s">
        <v>52</v>
      </c>
      <c r="B1579" s="17" t="s">
        <v>64</v>
      </c>
      <c r="Q1579" s="17"/>
    </row>
    <row r="1580" spans="1:19" hidden="1" x14ac:dyDescent="0.2">
      <c r="A1580" s="17" t="s">
        <v>51</v>
      </c>
      <c r="B1580" s="17" t="s">
        <v>566</v>
      </c>
      <c r="Q1580" s="17"/>
    </row>
    <row r="1581" spans="1:19" hidden="1" x14ac:dyDescent="0.2">
      <c r="A1581" s="17" t="s">
        <v>63</v>
      </c>
      <c r="B1581" s="17" t="s">
        <v>554</v>
      </c>
      <c r="Q1581" s="17"/>
    </row>
    <row r="1582" spans="1:19" hidden="1" x14ac:dyDescent="0.2">
      <c r="A1582" s="18" t="s">
        <v>57</v>
      </c>
      <c r="Q1582" s="17"/>
    </row>
    <row r="1583" spans="1:19" hidden="1" x14ac:dyDescent="0.2">
      <c r="A1583" s="18" t="s">
        <v>58</v>
      </c>
      <c r="B1583" s="18" t="s">
        <v>59</v>
      </c>
      <c r="C1583" s="18" t="s">
        <v>52</v>
      </c>
      <c r="D1583" s="18" t="s">
        <v>55</v>
      </c>
      <c r="E1583" s="18" t="s">
        <v>60</v>
      </c>
      <c r="F1583" s="18" t="s">
        <v>61</v>
      </c>
      <c r="G1583" s="18" t="s">
        <v>54</v>
      </c>
      <c r="H1583" s="18" t="s">
        <v>51</v>
      </c>
      <c r="I1583" s="18" t="s">
        <v>221</v>
      </c>
      <c r="J1583" s="2" t="s">
        <v>379</v>
      </c>
      <c r="K1583" s="62" t="s">
        <v>1059</v>
      </c>
      <c r="L1583" s="62" t="s">
        <v>1060</v>
      </c>
      <c r="M1583" s="62" t="s">
        <v>1061</v>
      </c>
      <c r="N1583" s="62" t="s">
        <v>1062</v>
      </c>
      <c r="O1583" s="62" t="s">
        <v>1063</v>
      </c>
      <c r="P1583" s="62" t="s">
        <v>1064</v>
      </c>
      <c r="Q1583" s="2" t="s">
        <v>1065</v>
      </c>
      <c r="R1583" s="2" t="s">
        <v>380</v>
      </c>
      <c r="S1583" s="18" t="s">
        <v>1128</v>
      </c>
    </row>
    <row r="1584" spans="1:19" hidden="1" x14ac:dyDescent="0.2">
      <c r="A1584" s="17" t="s">
        <v>565</v>
      </c>
      <c r="B1584" s="17">
        <v>1</v>
      </c>
      <c r="C1584" s="17" t="s">
        <v>64</v>
      </c>
      <c r="D1584" s="17" t="s">
        <v>55</v>
      </c>
      <c r="F1584" s="17" t="s">
        <v>62</v>
      </c>
      <c r="G1584" s="17" t="s">
        <v>553</v>
      </c>
      <c r="Q1584" s="17"/>
    </row>
    <row r="1585" spans="1:18" hidden="1" x14ac:dyDescent="0.2">
      <c r="A1585" s="17" t="s">
        <v>521</v>
      </c>
      <c r="B1585" s="17">
        <v>20</v>
      </c>
      <c r="C1585" s="17" t="s">
        <v>85</v>
      </c>
      <c r="D1585" s="17" t="s">
        <v>56</v>
      </c>
      <c r="F1585" s="17" t="s">
        <v>86</v>
      </c>
      <c r="G1585" s="17" t="s">
        <v>522</v>
      </c>
      <c r="H1585" s="17" t="s">
        <v>556</v>
      </c>
      <c r="I1585" s="17">
        <v>2</v>
      </c>
      <c r="J1585">
        <f t="shared" ref="J1585:J1592" si="152">LN(B1585)</f>
        <v>2.9957322735539909</v>
      </c>
      <c r="K1585" s="13">
        <v>1.5</v>
      </c>
      <c r="L1585" s="13">
        <v>1.2</v>
      </c>
      <c r="M1585" s="13">
        <v>1.5</v>
      </c>
      <c r="N1585" s="13">
        <v>1.1000000000000001</v>
      </c>
      <c r="O1585" s="13">
        <v>2</v>
      </c>
      <c r="P1585" s="13">
        <v>1.2</v>
      </c>
      <c r="Q1585">
        <v>1.05</v>
      </c>
      <c r="R1585">
        <f t="shared" ref="R1585:R1621" si="153">LN(SQRT(EXP(
SQRT(
+POWER(LN(K1585),2)
+POWER(LN(L1585),2)
+POWER(LN(M1585),2)
+POWER(LN(N1585),2)
+POWER(LN(O1585),2)
+POWER(LN(P1585),2)
+POWER(LN(Q1585),2)
)
)))</f>
        <v>0.47095746419981693</v>
      </c>
    </row>
    <row r="1586" spans="1:18" hidden="1" x14ac:dyDescent="0.2">
      <c r="A1586" s="17" t="s">
        <v>574</v>
      </c>
      <c r="B1586" s="17">
        <v>20</v>
      </c>
      <c r="C1586" s="17" t="s">
        <v>85</v>
      </c>
      <c r="D1586" s="17" t="s">
        <v>56</v>
      </c>
      <c r="F1586" s="17" t="s">
        <v>86</v>
      </c>
      <c r="G1586" s="17" t="s">
        <v>266</v>
      </c>
      <c r="H1586" s="17" t="s">
        <v>556</v>
      </c>
      <c r="I1586" s="17">
        <v>2</v>
      </c>
      <c r="J1586">
        <f t="shared" si="152"/>
        <v>2.9957322735539909</v>
      </c>
      <c r="K1586" s="13">
        <v>1.5</v>
      </c>
      <c r="L1586" s="13">
        <v>1.2</v>
      </c>
      <c r="M1586" s="13">
        <v>1.5</v>
      </c>
      <c r="N1586" s="13">
        <v>1.1000000000000001</v>
      </c>
      <c r="O1586" s="13">
        <v>2</v>
      </c>
      <c r="P1586" s="13">
        <v>1.2</v>
      </c>
      <c r="Q1586">
        <v>1.05</v>
      </c>
      <c r="R1586">
        <f t="shared" si="153"/>
        <v>0.47095746419981693</v>
      </c>
    </row>
    <row r="1587" spans="1:18" hidden="1" x14ac:dyDescent="0.2">
      <c r="A1587" s="17" t="s">
        <v>447</v>
      </c>
      <c r="B1587" s="17">
        <v>75</v>
      </c>
      <c r="C1587" s="17" t="s">
        <v>85</v>
      </c>
      <c r="D1587" s="17" t="s">
        <v>56</v>
      </c>
      <c r="F1587" s="17" t="s">
        <v>86</v>
      </c>
      <c r="G1587" s="17" t="s">
        <v>124</v>
      </c>
      <c r="H1587" s="17" t="s">
        <v>557</v>
      </c>
      <c r="I1587" s="17">
        <v>2</v>
      </c>
      <c r="J1587">
        <f t="shared" si="152"/>
        <v>4.3174881135363101</v>
      </c>
      <c r="K1587" s="13">
        <v>1.5</v>
      </c>
      <c r="L1587" s="13">
        <v>1.2</v>
      </c>
      <c r="M1587" s="13">
        <v>1.5</v>
      </c>
      <c r="N1587" s="13">
        <v>1.1000000000000001</v>
      </c>
      <c r="O1587" s="13">
        <v>2</v>
      </c>
      <c r="P1587" s="13">
        <v>1.2</v>
      </c>
      <c r="Q1587">
        <v>1.05</v>
      </c>
      <c r="R1587">
        <f t="shared" si="153"/>
        <v>0.47095746419981693</v>
      </c>
    </row>
    <row r="1588" spans="1:18" hidden="1" x14ac:dyDescent="0.2">
      <c r="A1588" s="17" t="s">
        <v>523</v>
      </c>
      <c r="B1588" s="17">
        <v>10</v>
      </c>
      <c r="C1588" s="17" t="s">
        <v>85</v>
      </c>
      <c r="D1588" s="17" t="s">
        <v>56</v>
      </c>
      <c r="F1588" s="17" t="s">
        <v>86</v>
      </c>
      <c r="G1588" s="17" t="s">
        <v>127</v>
      </c>
      <c r="H1588" s="17" t="s">
        <v>559</v>
      </c>
      <c r="I1588" s="17">
        <v>2</v>
      </c>
      <c r="J1588">
        <f t="shared" si="152"/>
        <v>2.3025850929940459</v>
      </c>
      <c r="K1588" s="13">
        <v>1.5</v>
      </c>
      <c r="L1588" s="13">
        <v>1.2</v>
      </c>
      <c r="M1588" s="13">
        <v>1.5</v>
      </c>
      <c r="N1588" s="13">
        <v>1.1000000000000001</v>
      </c>
      <c r="O1588" s="13">
        <v>2</v>
      </c>
      <c r="P1588" s="13">
        <v>1.2</v>
      </c>
      <c r="Q1588">
        <v>1.05</v>
      </c>
      <c r="R1588">
        <f t="shared" si="153"/>
        <v>0.47095746419981693</v>
      </c>
    </row>
    <row r="1589" spans="1:18" hidden="1" x14ac:dyDescent="0.2">
      <c r="A1589" s="17" t="s">
        <v>454</v>
      </c>
      <c r="B1589" s="17">
        <v>22</v>
      </c>
      <c r="C1589" s="17" t="s">
        <v>85</v>
      </c>
      <c r="D1589" s="17" t="s">
        <v>56</v>
      </c>
      <c r="F1589" s="17" t="s">
        <v>86</v>
      </c>
      <c r="G1589" s="17" t="s">
        <v>455</v>
      </c>
      <c r="H1589" s="17" t="s">
        <v>558</v>
      </c>
      <c r="I1589" s="17">
        <v>2</v>
      </c>
      <c r="J1589">
        <f t="shared" si="152"/>
        <v>3.0910424533583161</v>
      </c>
      <c r="K1589" s="13">
        <v>1.5</v>
      </c>
      <c r="L1589" s="13">
        <v>1.2</v>
      </c>
      <c r="M1589" s="13">
        <v>1.5</v>
      </c>
      <c r="N1589" s="13">
        <v>1.1000000000000001</v>
      </c>
      <c r="O1589" s="13">
        <v>2</v>
      </c>
      <c r="P1589" s="13">
        <v>1.2</v>
      </c>
      <c r="Q1589">
        <v>1.05</v>
      </c>
      <c r="R1589">
        <f t="shared" si="153"/>
        <v>0.47095746419981693</v>
      </c>
    </row>
    <row r="1590" spans="1:18" hidden="1" x14ac:dyDescent="0.2">
      <c r="A1590" s="17" t="s">
        <v>575</v>
      </c>
      <c r="B1590" s="17">
        <v>22</v>
      </c>
      <c r="C1590" s="17" t="s">
        <v>85</v>
      </c>
      <c r="D1590" s="17" t="s">
        <v>56</v>
      </c>
      <c r="F1590" s="17" t="s">
        <v>86</v>
      </c>
      <c r="G1590" s="17" t="s">
        <v>576</v>
      </c>
      <c r="H1590" s="17" t="s">
        <v>558</v>
      </c>
      <c r="I1590" s="17">
        <v>2</v>
      </c>
      <c r="J1590">
        <f t="shared" si="152"/>
        <v>3.0910424533583161</v>
      </c>
      <c r="K1590" s="13">
        <v>1.5</v>
      </c>
      <c r="L1590" s="13">
        <v>1.2</v>
      </c>
      <c r="M1590" s="13">
        <v>1.5</v>
      </c>
      <c r="N1590" s="13">
        <v>1.1000000000000001</v>
      </c>
      <c r="O1590" s="13">
        <v>2</v>
      </c>
      <c r="P1590" s="13">
        <v>1.2</v>
      </c>
      <c r="Q1590">
        <v>1.05</v>
      </c>
      <c r="R1590">
        <f t="shared" si="153"/>
        <v>0.47095746419981693</v>
      </c>
    </row>
    <row r="1591" spans="1:18" hidden="1" x14ac:dyDescent="0.2">
      <c r="A1591" s="17" t="s">
        <v>156</v>
      </c>
      <c r="B1591" s="17">
        <v>1.7</v>
      </c>
      <c r="C1591" s="17" t="s">
        <v>90</v>
      </c>
      <c r="D1591" s="17" t="s">
        <v>56</v>
      </c>
      <c r="F1591" s="17" t="s">
        <v>86</v>
      </c>
      <c r="G1591" s="17" t="s">
        <v>154</v>
      </c>
      <c r="H1591" s="17" t="s">
        <v>561</v>
      </c>
      <c r="I1591" s="17">
        <v>2</v>
      </c>
      <c r="J1591">
        <f t="shared" si="152"/>
        <v>0.53062825106217038</v>
      </c>
      <c r="K1591" s="13">
        <v>1.5</v>
      </c>
      <c r="L1591" s="13">
        <v>1.2</v>
      </c>
      <c r="M1591" s="13">
        <v>1.5</v>
      </c>
      <c r="N1591" s="13">
        <v>1.1000000000000001</v>
      </c>
      <c r="O1591" s="13">
        <v>2</v>
      </c>
      <c r="P1591" s="13">
        <v>1.2</v>
      </c>
      <c r="Q1591">
        <v>1.05</v>
      </c>
      <c r="R1591">
        <f t="shared" si="153"/>
        <v>0.47095746419981693</v>
      </c>
    </row>
    <row r="1592" spans="1:18" hidden="1" x14ac:dyDescent="0.2">
      <c r="A1592" s="17" t="s">
        <v>519</v>
      </c>
      <c r="B1592" s="17">
        <v>1</v>
      </c>
      <c r="C1592" s="17" t="s">
        <v>85</v>
      </c>
      <c r="D1592" s="17" t="s">
        <v>56</v>
      </c>
      <c r="F1592" s="17" t="s">
        <v>86</v>
      </c>
      <c r="G1592" s="17" t="s">
        <v>520</v>
      </c>
      <c r="H1592" s="17" t="s">
        <v>560</v>
      </c>
      <c r="I1592" s="17">
        <v>2</v>
      </c>
      <c r="J1592">
        <f t="shared" si="152"/>
        <v>0</v>
      </c>
      <c r="K1592" s="13">
        <v>1.5</v>
      </c>
      <c r="L1592" s="13">
        <v>1.2</v>
      </c>
      <c r="M1592" s="13">
        <v>1.5</v>
      </c>
      <c r="N1592" s="13">
        <v>1.1000000000000001</v>
      </c>
      <c r="O1592" s="13">
        <v>2</v>
      </c>
      <c r="P1592" s="13">
        <v>1.2</v>
      </c>
      <c r="Q1592">
        <v>1.05</v>
      </c>
      <c r="R1592">
        <f t="shared" si="153"/>
        <v>0.47095746419981693</v>
      </c>
    </row>
    <row r="1593" spans="1:18" hidden="1" x14ac:dyDescent="0.2">
      <c r="A1593" s="17" t="s">
        <v>454</v>
      </c>
      <c r="B1593" s="17">
        <v>0</v>
      </c>
      <c r="C1593" s="17" t="s">
        <v>85</v>
      </c>
      <c r="D1593" s="17" t="s">
        <v>56</v>
      </c>
      <c r="F1593" s="17" t="s">
        <v>86</v>
      </c>
      <c r="G1593" s="17" t="s">
        <v>455</v>
      </c>
      <c r="H1593" s="17" t="s">
        <v>562</v>
      </c>
      <c r="I1593" s="17">
        <v>0</v>
      </c>
      <c r="J1593"/>
      <c r="K1593" s="13"/>
      <c r="L1593" s="13"/>
      <c r="M1593" s="13"/>
      <c r="N1593" s="13"/>
      <c r="O1593" s="13"/>
      <c r="P1593" s="13"/>
      <c r="Q1593"/>
      <c r="R1593"/>
    </row>
    <row r="1594" spans="1:18" hidden="1" x14ac:dyDescent="0.2">
      <c r="A1594" s="17" t="s">
        <v>575</v>
      </c>
      <c r="B1594" s="17">
        <v>0</v>
      </c>
      <c r="C1594" s="17" t="s">
        <v>85</v>
      </c>
      <c r="D1594" s="17" t="s">
        <v>56</v>
      </c>
      <c r="F1594" s="17" t="s">
        <v>86</v>
      </c>
      <c r="G1594" s="17" t="s">
        <v>576</v>
      </c>
      <c r="H1594" s="17" t="s">
        <v>562</v>
      </c>
      <c r="I1594" s="17">
        <v>0</v>
      </c>
      <c r="J1594"/>
      <c r="K1594" s="13"/>
      <c r="L1594" s="13"/>
      <c r="M1594" s="13"/>
      <c r="N1594" s="13"/>
      <c r="O1594" s="13"/>
      <c r="P1594" s="13"/>
      <c r="Q1594"/>
      <c r="R1594"/>
    </row>
    <row r="1595" spans="1:18" hidden="1" x14ac:dyDescent="0.2">
      <c r="A1595" s="17" t="s">
        <v>385</v>
      </c>
      <c r="B1595" s="17">
        <v>0</v>
      </c>
      <c r="C1595" s="17" t="s">
        <v>85</v>
      </c>
      <c r="D1595" s="17" t="s">
        <v>56</v>
      </c>
      <c r="F1595" s="17" t="s">
        <v>86</v>
      </c>
      <c r="G1595" s="17" t="s">
        <v>386</v>
      </c>
      <c r="H1595" s="17" t="s">
        <v>562</v>
      </c>
      <c r="I1595" s="17">
        <v>0</v>
      </c>
      <c r="J1595"/>
      <c r="K1595" s="13"/>
      <c r="L1595" s="13"/>
      <c r="M1595" s="13"/>
      <c r="N1595" s="13"/>
      <c r="O1595" s="13"/>
      <c r="P1595" s="13"/>
      <c r="Q1595"/>
      <c r="R1595"/>
    </row>
    <row r="1596" spans="1:18" hidden="1" x14ac:dyDescent="0.2">
      <c r="A1596" s="17" t="s">
        <v>614</v>
      </c>
      <c r="B1596" s="17">
        <f>3.09*50%</f>
        <v>1.5449999999999999</v>
      </c>
      <c r="C1596" s="17" t="s">
        <v>85</v>
      </c>
      <c r="D1596" s="17" t="s">
        <v>56</v>
      </c>
      <c r="F1596" s="17" t="s">
        <v>86</v>
      </c>
      <c r="G1596" s="17" t="s">
        <v>615</v>
      </c>
      <c r="H1596" s="17" t="s">
        <v>618</v>
      </c>
      <c r="I1596" s="17">
        <v>2</v>
      </c>
      <c r="J1596">
        <f t="shared" ref="J1596:J1621" si="154">LN(B1596)</f>
        <v>0.43502391034970872</v>
      </c>
      <c r="K1596" s="13">
        <v>1.5</v>
      </c>
      <c r="L1596" s="13">
        <v>1.2</v>
      </c>
      <c r="M1596" s="13">
        <v>1.5</v>
      </c>
      <c r="N1596" s="13">
        <v>1.1000000000000001</v>
      </c>
      <c r="O1596" s="13">
        <v>2</v>
      </c>
      <c r="P1596" s="13">
        <v>1.2</v>
      </c>
      <c r="Q1596">
        <v>1.05</v>
      </c>
      <c r="R1596">
        <f t="shared" si="153"/>
        <v>0.47095746419981693</v>
      </c>
    </row>
    <row r="1597" spans="1:18" hidden="1" x14ac:dyDescent="0.2">
      <c r="A1597" s="17" t="s">
        <v>616</v>
      </c>
      <c r="B1597" s="17">
        <f>3.09*50%</f>
        <v>1.5449999999999999</v>
      </c>
      <c r="C1597" s="17" t="s">
        <v>85</v>
      </c>
      <c r="D1597" s="17" t="s">
        <v>56</v>
      </c>
      <c r="F1597" s="17" t="s">
        <v>86</v>
      </c>
      <c r="G1597" s="17" t="s">
        <v>617</v>
      </c>
      <c r="H1597" s="17" t="s">
        <v>618</v>
      </c>
      <c r="I1597" s="17">
        <v>2</v>
      </c>
      <c r="J1597">
        <f t="shared" si="154"/>
        <v>0.43502391034970872</v>
      </c>
      <c r="K1597" s="13">
        <v>1.5</v>
      </c>
      <c r="L1597" s="13">
        <v>1.2</v>
      </c>
      <c r="M1597" s="13">
        <v>1.5</v>
      </c>
      <c r="N1597" s="13">
        <v>1.1000000000000001</v>
      </c>
      <c r="O1597" s="13">
        <v>2</v>
      </c>
      <c r="P1597" s="13">
        <v>1.2</v>
      </c>
      <c r="Q1597">
        <v>1.05</v>
      </c>
      <c r="R1597">
        <f t="shared" si="153"/>
        <v>0.47095746419981693</v>
      </c>
    </row>
    <row r="1598" spans="1:18" hidden="1" x14ac:dyDescent="0.2">
      <c r="A1598" s="17" t="s">
        <v>619</v>
      </c>
      <c r="B1598" s="17">
        <f>3%*B1596</f>
        <v>4.6349999999999995E-2</v>
      </c>
      <c r="D1598" s="17" t="s">
        <v>56</v>
      </c>
      <c r="E1598" s="17" t="s">
        <v>100</v>
      </c>
      <c r="F1598" s="17" t="s">
        <v>99</v>
      </c>
      <c r="H1598" s="17" t="s">
        <v>618</v>
      </c>
      <c r="I1598" s="17">
        <v>2</v>
      </c>
      <c r="J1598">
        <f t="shared" si="154"/>
        <v>-3.0715339869702731</v>
      </c>
      <c r="K1598" s="13">
        <v>1.5</v>
      </c>
      <c r="L1598" s="13">
        <v>1.2</v>
      </c>
      <c r="M1598" s="13">
        <v>1.5</v>
      </c>
      <c r="N1598" s="13">
        <v>1.1000000000000001</v>
      </c>
      <c r="O1598" s="13">
        <v>2</v>
      </c>
      <c r="P1598" s="13">
        <v>1.2</v>
      </c>
      <c r="Q1598" s="13">
        <v>1.5</v>
      </c>
      <c r="R1598">
        <f t="shared" si="153"/>
        <v>0.51215847306170115</v>
      </c>
    </row>
    <row r="1599" spans="1:18" hidden="1" x14ac:dyDescent="0.2">
      <c r="A1599" s="17" t="s">
        <v>620</v>
      </c>
      <c r="B1599" s="17">
        <f>3%*B1598</f>
        <v>1.3904999999999998E-3</v>
      </c>
      <c r="D1599" s="17" t="s">
        <v>56</v>
      </c>
      <c r="E1599" s="17" t="s">
        <v>100</v>
      </c>
      <c r="F1599" s="17" t="s">
        <v>99</v>
      </c>
      <c r="H1599" s="17" t="s">
        <v>618</v>
      </c>
      <c r="I1599" s="17">
        <v>2</v>
      </c>
      <c r="J1599">
        <f t="shared" si="154"/>
        <v>-6.5780918842902549</v>
      </c>
      <c r="K1599" s="13">
        <v>1.5</v>
      </c>
      <c r="L1599" s="13">
        <v>1.2</v>
      </c>
      <c r="M1599" s="13">
        <v>1.5</v>
      </c>
      <c r="N1599" s="13">
        <v>1.1000000000000001</v>
      </c>
      <c r="O1599" s="13">
        <v>2</v>
      </c>
      <c r="P1599" s="13">
        <v>1.2</v>
      </c>
      <c r="Q1599" s="13">
        <v>1.5</v>
      </c>
      <c r="R1599">
        <f t="shared" si="153"/>
        <v>0.51215847306170115</v>
      </c>
    </row>
    <row r="1600" spans="1:18" hidden="1" x14ac:dyDescent="0.2">
      <c r="A1600" s="17" t="s">
        <v>91</v>
      </c>
      <c r="B1600" s="39">
        <f>337/3.6</f>
        <v>93.611111111111114</v>
      </c>
      <c r="C1600" s="17" t="s">
        <v>90</v>
      </c>
      <c r="D1600" s="17" t="s">
        <v>92</v>
      </c>
      <c r="F1600" s="17" t="s">
        <v>86</v>
      </c>
      <c r="G1600" s="17" t="s">
        <v>93</v>
      </c>
      <c r="H1600" s="17" t="s">
        <v>563</v>
      </c>
      <c r="I1600" s="17">
        <v>2</v>
      </c>
      <c r="J1600">
        <f t="shared" si="154"/>
        <v>4.5391490848902976</v>
      </c>
      <c r="K1600" s="13">
        <v>1.5</v>
      </c>
      <c r="L1600" s="13">
        <v>1.2</v>
      </c>
      <c r="M1600" s="13">
        <v>1.5</v>
      </c>
      <c r="N1600" s="13">
        <v>1.1000000000000001</v>
      </c>
      <c r="O1600" s="13">
        <v>2</v>
      </c>
      <c r="P1600" s="13">
        <v>1.2</v>
      </c>
      <c r="Q1600">
        <v>1.05</v>
      </c>
      <c r="R1600">
        <f t="shared" si="153"/>
        <v>0.47095746419981693</v>
      </c>
    </row>
    <row r="1601" spans="1:18" hidden="1" x14ac:dyDescent="0.2">
      <c r="A1601" s="17" t="s">
        <v>202</v>
      </c>
      <c r="B1601" s="17">
        <v>875</v>
      </c>
      <c r="C1601" s="17" t="s">
        <v>64</v>
      </c>
      <c r="D1601" s="17" t="s">
        <v>65</v>
      </c>
      <c r="F1601" s="17" t="s">
        <v>86</v>
      </c>
      <c r="G1601" s="17" t="s">
        <v>203</v>
      </c>
      <c r="H1601" s="17" t="s">
        <v>563</v>
      </c>
      <c r="I1601" s="17">
        <v>2</v>
      </c>
      <c r="J1601">
        <f t="shared" si="154"/>
        <v>6.7742238863576141</v>
      </c>
      <c r="K1601" s="13">
        <v>1.5</v>
      </c>
      <c r="L1601" s="13">
        <v>1.2</v>
      </c>
      <c r="M1601" s="13">
        <v>1.5</v>
      </c>
      <c r="N1601" s="13">
        <v>1.1000000000000001</v>
      </c>
      <c r="O1601" s="13">
        <v>2</v>
      </c>
      <c r="P1601" s="13">
        <v>1.2</v>
      </c>
      <c r="Q1601">
        <v>1.05</v>
      </c>
      <c r="R1601">
        <f t="shared" si="153"/>
        <v>0.47095746419981693</v>
      </c>
    </row>
    <row r="1602" spans="1:18" hidden="1" x14ac:dyDescent="0.2">
      <c r="A1602" s="17" t="s">
        <v>568</v>
      </c>
      <c r="B1602" s="17">
        <v>4650</v>
      </c>
      <c r="C1602" s="17" t="s">
        <v>64</v>
      </c>
      <c r="D1602" s="17" t="s">
        <v>56</v>
      </c>
      <c r="F1602" s="17" t="s">
        <v>86</v>
      </c>
      <c r="G1602" s="17" t="s">
        <v>569</v>
      </c>
      <c r="H1602" s="17" t="s">
        <v>567</v>
      </c>
      <c r="I1602" s="17">
        <v>2</v>
      </c>
      <c r="J1602">
        <f t="shared" si="154"/>
        <v>8.4446224985814027</v>
      </c>
      <c r="K1602" s="13">
        <v>1.5</v>
      </c>
      <c r="L1602" s="13">
        <v>1.2</v>
      </c>
      <c r="M1602" s="13">
        <v>1.5</v>
      </c>
      <c r="N1602" s="13">
        <v>1.1000000000000001</v>
      </c>
      <c r="O1602" s="13">
        <v>2</v>
      </c>
      <c r="P1602" s="13">
        <v>1.2</v>
      </c>
      <c r="Q1602">
        <v>1.05</v>
      </c>
      <c r="R1602">
        <f t="shared" si="153"/>
        <v>0.47095746419981693</v>
      </c>
    </row>
    <row r="1603" spans="1:18" hidden="1" x14ac:dyDescent="0.2">
      <c r="A1603" s="17" t="s">
        <v>515</v>
      </c>
      <c r="B1603" s="17">
        <v>900</v>
      </c>
      <c r="C1603" s="17" t="s">
        <v>64</v>
      </c>
      <c r="D1603" s="17" t="s">
        <v>56</v>
      </c>
      <c r="F1603" s="17" t="s">
        <v>86</v>
      </c>
      <c r="G1603" s="17" t="s">
        <v>516</v>
      </c>
      <c r="H1603" s="17" t="s">
        <v>567</v>
      </c>
      <c r="I1603" s="17">
        <v>2</v>
      </c>
      <c r="J1603">
        <f t="shared" si="154"/>
        <v>6.8023947633243109</v>
      </c>
      <c r="K1603" s="13">
        <v>1.5</v>
      </c>
      <c r="L1603" s="13">
        <v>1.2</v>
      </c>
      <c r="M1603" s="13">
        <v>1.5</v>
      </c>
      <c r="N1603" s="13">
        <v>1.1000000000000001</v>
      </c>
      <c r="O1603" s="13">
        <v>2</v>
      </c>
      <c r="P1603" s="13">
        <v>1.2</v>
      </c>
      <c r="Q1603">
        <v>1.05</v>
      </c>
      <c r="R1603">
        <f t="shared" si="153"/>
        <v>0.47095746419981693</v>
      </c>
    </row>
    <row r="1604" spans="1:18" hidden="1" x14ac:dyDescent="0.2">
      <c r="A1604" s="17" t="s">
        <v>166</v>
      </c>
      <c r="B1604" s="17">
        <v>126</v>
      </c>
      <c r="C1604" s="17" t="s">
        <v>85</v>
      </c>
      <c r="D1604" s="17" t="s">
        <v>56</v>
      </c>
      <c r="F1604" s="17" t="s">
        <v>86</v>
      </c>
      <c r="G1604" s="17" t="s">
        <v>167</v>
      </c>
      <c r="H1604" s="17" t="s">
        <v>567</v>
      </c>
      <c r="I1604" s="17">
        <v>2</v>
      </c>
      <c r="J1604">
        <f t="shared" si="154"/>
        <v>4.836281906951478</v>
      </c>
      <c r="K1604" s="13">
        <v>1.5</v>
      </c>
      <c r="L1604" s="13">
        <v>1.2</v>
      </c>
      <c r="M1604" s="13">
        <v>1.5</v>
      </c>
      <c r="N1604" s="13">
        <v>1.1000000000000001</v>
      </c>
      <c r="O1604" s="13">
        <v>2</v>
      </c>
      <c r="P1604" s="13">
        <v>1.2</v>
      </c>
      <c r="Q1604">
        <v>1.05</v>
      </c>
      <c r="R1604">
        <f t="shared" si="153"/>
        <v>0.47095746419981693</v>
      </c>
    </row>
    <row r="1605" spans="1:18" hidden="1" x14ac:dyDescent="0.2">
      <c r="A1605" s="17" t="s">
        <v>577</v>
      </c>
      <c r="B1605" s="17">
        <v>126</v>
      </c>
      <c r="C1605" s="17" t="s">
        <v>85</v>
      </c>
      <c r="D1605" s="17" t="s">
        <v>56</v>
      </c>
      <c r="F1605" s="17" t="s">
        <v>86</v>
      </c>
      <c r="G1605" s="17" t="s">
        <v>578</v>
      </c>
      <c r="H1605" s="17" t="s">
        <v>567</v>
      </c>
      <c r="I1605" s="17">
        <v>2</v>
      </c>
      <c r="J1605">
        <f t="shared" si="154"/>
        <v>4.836281906951478</v>
      </c>
      <c r="K1605" s="13">
        <v>1.5</v>
      </c>
      <c r="L1605" s="13">
        <v>1.2</v>
      </c>
      <c r="M1605" s="13">
        <v>1.5</v>
      </c>
      <c r="N1605" s="13">
        <v>1.1000000000000001</v>
      </c>
      <c r="O1605" s="13">
        <v>2</v>
      </c>
      <c r="P1605" s="13">
        <v>1.2</v>
      </c>
      <c r="Q1605">
        <v>1.05</v>
      </c>
      <c r="R1605">
        <f t="shared" si="153"/>
        <v>0.47095746419981693</v>
      </c>
    </row>
    <row r="1606" spans="1:18" hidden="1" x14ac:dyDescent="0.2">
      <c r="A1606" s="17" t="s">
        <v>570</v>
      </c>
      <c r="B1606" s="17">
        <v>101</v>
      </c>
      <c r="C1606" s="17" t="s">
        <v>85</v>
      </c>
      <c r="D1606" s="17" t="s">
        <v>56</v>
      </c>
      <c r="F1606" s="17" t="s">
        <v>86</v>
      </c>
      <c r="G1606" s="17" t="s">
        <v>571</v>
      </c>
      <c r="H1606" s="17" t="s">
        <v>567</v>
      </c>
      <c r="I1606" s="17">
        <v>2</v>
      </c>
      <c r="J1606">
        <f t="shared" si="154"/>
        <v>4.6151205168412597</v>
      </c>
      <c r="K1606" s="13">
        <v>1.5</v>
      </c>
      <c r="L1606" s="13">
        <v>1.2</v>
      </c>
      <c r="M1606" s="13">
        <v>1.5</v>
      </c>
      <c r="N1606" s="13">
        <v>1.1000000000000001</v>
      </c>
      <c r="O1606" s="13">
        <v>2</v>
      </c>
      <c r="P1606" s="13">
        <v>1.2</v>
      </c>
      <c r="Q1606">
        <v>1.05</v>
      </c>
      <c r="R1606">
        <f t="shared" si="153"/>
        <v>0.47095746419981693</v>
      </c>
    </row>
    <row r="1607" spans="1:18" hidden="1" x14ac:dyDescent="0.2">
      <c r="A1607" s="17" t="s">
        <v>572</v>
      </c>
      <c r="B1607" s="17">
        <v>66</v>
      </c>
      <c r="C1607" s="17" t="s">
        <v>85</v>
      </c>
      <c r="D1607" s="17" t="s">
        <v>56</v>
      </c>
      <c r="F1607" s="17" t="s">
        <v>86</v>
      </c>
      <c r="G1607" s="17" t="s">
        <v>573</v>
      </c>
      <c r="H1607" s="17" t="s">
        <v>567</v>
      </c>
      <c r="I1607" s="17">
        <v>2</v>
      </c>
      <c r="J1607">
        <f t="shared" si="154"/>
        <v>4.1896547420264252</v>
      </c>
      <c r="K1607" s="13">
        <v>1.5</v>
      </c>
      <c r="L1607" s="13">
        <v>1.2</v>
      </c>
      <c r="M1607" s="13">
        <v>1.5</v>
      </c>
      <c r="N1607" s="13">
        <v>1.1000000000000001</v>
      </c>
      <c r="O1607" s="13">
        <v>2</v>
      </c>
      <c r="P1607" s="13">
        <v>1.2</v>
      </c>
      <c r="Q1607">
        <v>1.05</v>
      </c>
      <c r="R1607">
        <f t="shared" si="153"/>
        <v>0.47095746419981693</v>
      </c>
    </row>
    <row r="1608" spans="1:18" hidden="1" x14ac:dyDescent="0.2">
      <c r="A1608" s="17" t="s">
        <v>385</v>
      </c>
      <c r="B1608" s="17">
        <v>301.2</v>
      </c>
      <c r="C1608" s="17" t="s">
        <v>85</v>
      </c>
      <c r="D1608" s="17" t="s">
        <v>56</v>
      </c>
      <c r="F1608" s="17" t="s">
        <v>86</v>
      </c>
      <c r="G1608" s="17" t="s">
        <v>386</v>
      </c>
      <c r="H1608" s="17" t="s">
        <v>580</v>
      </c>
      <c r="I1608" s="17">
        <v>2</v>
      </c>
      <c r="J1608">
        <f t="shared" si="154"/>
        <v>5.7077744959257384</v>
      </c>
      <c r="K1608" s="13">
        <v>1.5</v>
      </c>
      <c r="L1608" s="13">
        <v>1.2</v>
      </c>
      <c r="M1608" s="13">
        <v>1.5</v>
      </c>
      <c r="N1608" s="13">
        <v>1.1000000000000001</v>
      </c>
      <c r="O1608" s="13">
        <v>2</v>
      </c>
      <c r="P1608" s="13">
        <v>1.2</v>
      </c>
      <c r="Q1608">
        <v>1.05</v>
      </c>
      <c r="R1608">
        <f t="shared" si="153"/>
        <v>0.47095746419981693</v>
      </c>
    </row>
    <row r="1609" spans="1:18" hidden="1" x14ac:dyDescent="0.2">
      <c r="A1609" s="17" t="s">
        <v>579</v>
      </c>
      <c r="B1609" s="17">
        <f>B1608</f>
        <v>301.2</v>
      </c>
      <c r="C1609" s="17" t="s">
        <v>90</v>
      </c>
      <c r="D1609" s="17" t="s">
        <v>56</v>
      </c>
      <c r="F1609" s="17" t="s">
        <v>86</v>
      </c>
      <c r="G1609" s="17" t="s">
        <v>579</v>
      </c>
      <c r="H1609" s="17" t="s">
        <v>580</v>
      </c>
      <c r="I1609" s="17">
        <v>2</v>
      </c>
      <c r="J1609">
        <f t="shared" si="154"/>
        <v>5.7077744959257384</v>
      </c>
      <c r="K1609" s="13">
        <v>1.5</v>
      </c>
      <c r="L1609" s="13">
        <v>1.2</v>
      </c>
      <c r="M1609" s="13">
        <v>1.5</v>
      </c>
      <c r="N1609" s="13">
        <v>1.1000000000000001</v>
      </c>
      <c r="O1609" s="13">
        <v>2</v>
      </c>
      <c r="P1609" s="13">
        <v>1.2</v>
      </c>
      <c r="Q1609">
        <v>1.05</v>
      </c>
      <c r="R1609">
        <f t="shared" si="153"/>
        <v>0.47095746419981693</v>
      </c>
    </row>
    <row r="1610" spans="1:18" hidden="1" x14ac:dyDescent="0.2">
      <c r="A1610" s="17" t="s">
        <v>385</v>
      </c>
      <c r="B1610" s="17">
        <v>194.9</v>
      </c>
      <c r="C1610" s="17" t="s">
        <v>85</v>
      </c>
      <c r="D1610" s="17" t="s">
        <v>56</v>
      </c>
      <c r="F1610" s="17" t="s">
        <v>86</v>
      </c>
      <c r="G1610" s="17" t="s">
        <v>386</v>
      </c>
      <c r="H1610" s="17" t="s">
        <v>581</v>
      </c>
      <c r="I1610" s="17">
        <v>2</v>
      </c>
      <c r="J1610">
        <f t="shared" si="154"/>
        <v>5.2724866065135148</v>
      </c>
      <c r="K1610" s="13">
        <v>1.5</v>
      </c>
      <c r="L1610" s="13">
        <v>1.2</v>
      </c>
      <c r="M1610" s="13">
        <v>1.5</v>
      </c>
      <c r="N1610" s="13">
        <v>1.1000000000000001</v>
      </c>
      <c r="O1610" s="13">
        <v>2</v>
      </c>
      <c r="P1610" s="13">
        <v>1.2</v>
      </c>
      <c r="Q1610">
        <v>1.05</v>
      </c>
      <c r="R1610">
        <f t="shared" si="153"/>
        <v>0.47095746419981693</v>
      </c>
    </row>
    <row r="1611" spans="1:18" hidden="1" x14ac:dyDescent="0.2">
      <c r="A1611" s="17" t="s">
        <v>579</v>
      </c>
      <c r="B1611" s="17">
        <f>B1610</f>
        <v>194.9</v>
      </c>
      <c r="C1611" s="17" t="s">
        <v>90</v>
      </c>
      <c r="D1611" s="17" t="s">
        <v>56</v>
      </c>
      <c r="F1611" s="17" t="s">
        <v>86</v>
      </c>
      <c r="G1611" s="17" t="s">
        <v>579</v>
      </c>
      <c r="H1611" s="17" t="s">
        <v>581</v>
      </c>
      <c r="I1611" s="17">
        <v>2</v>
      </c>
      <c r="J1611">
        <f t="shared" si="154"/>
        <v>5.2724866065135148</v>
      </c>
      <c r="K1611" s="13">
        <v>1.5</v>
      </c>
      <c r="L1611" s="13">
        <v>1.2</v>
      </c>
      <c r="M1611" s="13">
        <v>1.5</v>
      </c>
      <c r="N1611" s="13">
        <v>1.1000000000000001</v>
      </c>
      <c r="O1611" s="13">
        <v>2</v>
      </c>
      <c r="P1611" s="13">
        <v>1.2</v>
      </c>
      <c r="Q1611">
        <v>1.05</v>
      </c>
      <c r="R1611">
        <f t="shared" si="153"/>
        <v>0.47095746419981693</v>
      </c>
    </row>
    <row r="1612" spans="1:18" hidden="1" x14ac:dyDescent="0.2">
      <c r="A1612" s="17" t="s">
        <v>523</v>
      </c>
      <c r="B1612" s="17">
        <v>4.7</v>
      </c>
      <c r="C1612" s="17" t="s">
        <v>85</v>
      </c>
      <c r="D1612" s="17" t="s">
        <v>56</v>
      </c>
      <c r="F1612" s="17" t="s">
        <v>86</v>
      </c>
      <c r="G1612" s="17" t="s">
        <v>127</v>
      </c>
      <c r="H1612" s="17" t="s">
        <v>582</v>
      </c>
      <c r="I1612" s="17">
        <v>2</v>
      </c>
      <c r="J1612">
        <f t="shared" si="154"/>
        <v>1.547562508716013</v>
      </c>
      <c r="K1612" s="13">
        <v>1.5</v>
      </c>
      <c r="L1612" s="13">
        <v>1.2</v>
      </c>
      <c r="M1612" s="13">
        <v>1.5</v>
      </c>
      <c r="N1612" s="13">
        <v>1.1000000000000001</v>
      </c>
      <c r="O1612" s="13">
        <v>2</v>
      </c>
      <c r="P1612" s="13">
        <v>1.2</v>
      </c>
      <c r="Q1612">
        <v>1.05</v>
      </c>
      <c r="R1612">
        <f t="shared" si="153"/>
        <v>0.47095746419981693</v>
      </c>
    </row>
    <row r="1613" spans="1:18" hidden="1" x14ac:dyDescent="0.2">
      <c r="A1613" s="17" t="s">
        <v>583</v>
      </c>
      <c r="B1613" s="17">
        <v>167</v>
      </c>
      <c r="C1613" s="17" t="s">
        <v>85</v>
      </c>
      <c r="D1613" s="17" t="s">
        <v>56</v>
      </c>
      <c r="F1613" s="17" t="s">
        <v>86</v>
      </c>
      <c r="G1613" s="17" t="s">
        <v>246</v>
      </c>
      <c r="H1613" s="17" t="s">
        <v>584</v>
      </c>
      <c r="I1613" s="17">
        <v>2</v>
      </c>
      <c r="J1613">
        <f t="shared" si="154"/>
        <v>5.1179938124167554</v>
      </c>
      <c r="K1613" s="13">
        <v>1.5</v>
      </c>
      <c r="L1613" s="13">
        <v>1.2</v>
      </c>
      <c r="M1613" s="13">
        <v>1.5</v>
      </c>
      <c r="N1613" s="13">
        <v>1.1000000000000001</v>
      </c>
      <c r="O1613" s="13">
        <v>2</v>
      </c>
      <c r="P1613" s="13">
        <v>1.2</v>
      </c>
      <c r="Q1613">
        <v>1.05</v>
      </c>
      <c r="R1613">
        <f t="shared" si="153"/>
        <v>0.47095746419981693</v>
      </c>
    </row>
    <row r="1614" spans="1:18" hidden="1" x14ac:dyDescent="0.2">
      <c r="A1614" s="17" t="s">
        <v>583</v>
      </c>
      <c r="B1614" s="17">
        <v>106.9</v>
      </c>
      <c r="C1614" s="17" t="s">
        <v>85</v>
      </c>
      <c r="D1614" s="17" t="s">
        <v>56</v>
      </c>
      <c r="F1614" s="17" t="s">
        <v>86</v>
      </c>
      <c r="G1614" s="17" t="s">
        <v>246</v>
      </c>
      <c r="H1614" s="17" t="s">
        <v>585</v>
      </c>
      <c r="I1614" s="17">
        <v>2</v>
      </c>
      <c r="J1614">
        <f t="shared" si="154"/>
        <v>4.6718938180309992</v>
      </c>
      <c r="K1614" s="13">
        <v>1.5</v>
      </c>
      <c r="L1614" s="13">
        <v>1.2</v>
      </c>
      <c r="M1614" s="13">
        <v>1.5</v>
      </c>
      <c r="N1614" s="13">
        <v>1.1000000000000001</v>
      </c>
      <c r="O1614" s="13">
        <v>2</v>
      </c>
      <c r="P1614" s="13">
        <v>1.2</v>
      </c>
      <c r="Q1614">
        <v>1.05</v>
      </c>
      <c r="R1614">
        <f t="shared" si="153"/>
        <v>0.47095746419981693</v>
      </c>
    </row>
    <row r="1615" spans="1:18" hidden="1" x14ac:dyDescent="0.2">
      <c r="A1615" s="17" t="s">
        <v>587</v>
      </c>
      <c r="B1615" s="17">
        <v>34</v>
      </c>
      <c r="C1615" s="17" t="s">
        <v>85</v>
      </c>
      <c r="D1615" s="17" t="s">
        <v>56</v>
      </c>
      <c r="F1615" s="17" t="s">
        <v>86</v>
      </c>
      <c r="G1615" s="17" t="s">
        <v>588</v>
      </c>
      <c r="H1615" s="17" t="s">
        <v>586</v>
      </c>
      <c r="I1615" s="17">
        <v>2</v>
      </c>
      <c r="J1615">
        <f t="shared" si="154"/>
        <v>3.5263605246161616</v>
      </c>
      <c r="K1615" s="13">
        <v>1.5</v>
      </c>
      <c r="L1615" s="13">
        <v>1.2</v>
      </c>
      <c r="M1615" s="13">
        <v>1.5</v>
      </c>
      <c r="N1615" s="13">
        <v>1.1000000000000001</v>
      </c>
      <c r="O1615" s="13">
        <v>2</v>
      </c>
      <c r="P1615" s="13">
        <v>1.2</v>
      </c>
      <c r="Q1615">
        <v>1.05</v>
      </c>
      <c r="R1615">
        <f t="shared" si="153"/>
        <v>0.47095746419981693</v>
      </c>
    </row>
    <row r="1616" spans="1:18" hidden="1" x14ac:dyDescent="0.2">
      <c r="A1616" s="17" t="s">
        <v>587</v>
      </c>
      <c r="B1616" s="17">
        <v>8.5</v>
      </c>
      <c r="C1616" s="17" t="s">
        <v>85</v>
      </c>
      <c r="D1616" s="17" t="s">
        <v>56</v>
      </c>
      <c r="F1616" s="17" t="s">
        <v>86</v>
      </c>
      <c r="G1616" s="17" t="s">
        <v>588</v>
      </c>
      <c r="H1616" s="17" t="s">
        <v>589</v>
      </c>
      <c r="I1616" s="17">
        <v>2</v>
      </c>
      <c r="J1616">
        <f t="shared" si="154"/>
        <v>2.1400661634962708</v>
      </c>
      <c r="K1616" s="13">
        <v>1.5</v>
      </c>
      <c r="L1616" s="13">
        <v>1.2</v>
      </c>
      <c r="M1616" s="13">
        <v>1.5</v>
      </c>
      <c r="N1616" s="13">
        <v>1.1000000000000001</v>
      </c>
      <c r="O1616" s="13">
        <v>2</v>
      </c>
      <c r="P1616" s="13">
        <v>1.2</v>
      </c>
      <c r="Q1616">
        <v>1.05</v>
      </c>
      <c r="R1616">
        <f t="shared" si="153"/>
        <v>0.47095746419981693</v>
      </c>
    </row>
    <row r="1617" spans="1:19" hidden="1" x14ac:dyDescent="0.2">
      <c r="A1617" s="17" t="s">
        <v>590</v>
      </c>
      <c r="B1617" s="17">
        <v>6.6</v>
      </c>
      <c r="C1617" s="17" t="s">
        <v>85</v>
      </c>
      <c r="D1617" s="17" t="s">
        <v>56</v>
      </c>
      <c r="F1617" s="17" t="s">
        <v>86</v>
      </c>
      <c r="G1617" s="17" t="s">
        <v>591</v>
      </c>
      <c r="H1617" s="17" t="s">
        <v>592</v>
      </c>
      <c r="I1617" s="17">
        <v>2</v>
      </c>
      <c r="J1617">
        <f t="shared" si="154"/>
        <v>1.8870696490323797</v>
      </c>
      <c r="K1617" s="13">
        <v>1.5</v>
      </c>
      <c r="L1617" s="13">
        <v>1.2</v>
      </c>
      <c r="M1617" s="13">
        <v>1.5</v>
      </c>
      <c r="N1617" s="13">
        <v>1.1000000000000001</v>
      </c>
      <c r="O1617" s="13">
        <v>2</v>
      </c>
      <c r="P1617" s="13">
        <v>1.2</v>
      </c>
      <c r="Q1617">
        <v>1.05</v>
      </c>
      <c r="R1617">
        <f t="shared" si="153"/>
        <v>0.47095746419981693</v>
      </c>
    </row>
    <row r="1618" spans="1:19" hidden="1" x14ac:dyDescent="0.2">
      <c r="A1618" s="17" t="s">
        <v>515</v>
      </c>
      <c r="B1618" s="17">
        <v>1.3</v>
      </c>
      <c r="C1618" s="17" t="s">
        <v>64</v>
      </c>
      <c r="D1618" s="17" t="s">
        <v>56</v>
      </c>
      <c r="F1618" s="17" t="s">
        <v>86</v>
      </c>
      <c r="G1618" s="17" t="s">
        <v>516</v>
      </c>
      <c r="H1618" s="17" t="s">
        <v>593</v>
      </c>
      <c r="I1618" s="17">
        <v>2</v>
      </c>
      <c r="J1618">
        <f t="shared" si="154"/>
        <v>0.26236426446749106</v>
      </c>
      <c r="K1618" s="13">
        <v>1.5</v>
      </c>
      <c r="L1618" s="13">
        <v>1.2</v>
      </c>
      <c r="M1618" s="13">
        <v>1.5</v>
      </c>
      <c r="N1618" s="13">
        <v>1.1000000000000001</v>
      </c>
      <c r="O1618" s="13">
        <v>2</v>
      </c>
      <c r="P1618" s="13">
        <v>1.2</v>
      </c>
      <c r="Q1618">
        <v>1.05</v>
      </c>
      <c r="R1618">
        <f t="shared" si="153"/>
        <v>0.47095746419981693</v>
      </c>
    </row>
    <row r="1619" spans="1:19" hidden="1" x14ac:dyDescent="0.2">
      <c r="A1619" s="17" t="s">
        <v>594</v>
      </c>
      <c r="B1619" s="17">
        <v>0.3</v>
      </c>
      <c r="C1619" s="17" t="s">
        <v>85</v>
      </c>
      <c r="D1619" s="17" t="s">
        <v>56</v>
      </c>
      <c r="F1619" s="17" t="s">
        <v>86</v>
      </c>
      <c r="G1619" s="17" t="s">
        <v>595</v>
      </c>
      <c r="H1619" s="17" t="s">
        <v>593</v>
      </c>
      <c r="I1619" s="17">
        <v>2</v>
      </c>
      <c r="J1619">
        <f t="shared" si="154"/>
        <v>-1.2039728043259361</v>
      </c>
      <c r="K1619" s="13">
        <v>1.5</v>
      </c>
      <c r="L1619" s="13">
        <v>1.2</v>
      </c>
      <c r="M1619" s="13">
        <v>1.5</v>
      </c>
      <c r="N1619" s="13">
        <v>1.1000000000000001</v>
      </c>
      <c r="O1619" s="13">
        <v>2</v>
      </c>
      <c r="P1619" s="13">
        <v>1.2</v>
      </c>
      <c r="Q1619">
        <v>1.05</v>
      </c>
      <c r="R1619">
        <f t="shared" si="153"/>
        <v>0.47095746419981693</v>
      </c>
    </row>
    <row r="1620" spans="1:19" hidden="1" x14ac:dyDescent="0.2">
      <c r="A1620" s="17" t="s">
        <v>447</v>
      </c>
      <c r="B1620" s="17">
        <v>33</v>
      </c>
      <c r="C1620" s="17" t="s">
        <v>85</v>
      </c>
      <c r="D1620" s="17" t="s">
        <v>56</v>
      </c>
      <c r="F1620" s="17" t="s">
        <v>86</v>
      </c>
      <c r="G1620" s="17" t="s">
        <v>124</v>
      </c>
      <c r="H1620" s="17" t="s">
        <v>596</v>
      </c>
      <c r="I1620" s="17">
        <v>2</v>
      </c>
      <c r="J1620">
        <f t="shared" si="154"/>
        <v>3.4965075614664802</v>
      </c>
      <c r="K1620" s="13">
        <v>1.5</v>
      </c>
      <c r="L1620" s="13">
        <v>1.2</v>
      </c>
      <c r="M1620" s="13">
        <v>1.5</v>
      </c>
      <c r="N1620" s="13">
        <v>1.1000000000000001</v>
      </c>
      <c r="O1620" s="13">
        <v>2</v>
      </c>
      <c r="P1620" s="13">
        <v>1.2</v>
      </c>
      <c r="Q1620">
        <v>1.05</v>
      </c>
      <c r="R1620">
        <f t="shared" si="153"/>
        <v>0.47095746419981693</v>
      </c>
    </row>
    <row r="1621" spans="1:19" hidden="1" x14ac:dyDescent="0.2">
      <c r="A1621" s="17" t="s">
        <v>517</v>
      </c>
      <c r="B1621" s="17">
        <v>540</v>
      </c>
      <c r="C1621" s="17" t="s">
        <v>85</v>
      </c>
      <c r="D1621" s="17" t="s">
        <v>65</v>
      </c>
      <c r="F1621" s="17" t="s">
        <v>86</v>
      </c>
      <c r="G1621" s="17" t="s">
        <v>518</v>
      </c>
      <c r="H1621" s="17" t="s">
        <v>597</v>
      </c>
      <c r="I1621" s="17">
        <v>2</v>
      </c>
      <c r="J1621">
        <f t="shared" si="154"/>
        <v>6.2915691395583204</v>
      </c>
      <c r="K1621" s="13">
        <v>1.5</v>
      </c>
      <c r="L1621" s="13">
        <v>1.2</v>
      </c>
      <c r="M1621" s="13">
        <v>1.5</v>
      </c>
      <c r="N1621" s="13">
        <v>1.1000000000000001</v>
      </c>
      <c r="O1621" s="13">
        <v>2</v>
      </c>
      <c r="P1621" s="13">
        <v>1.2</v>
      </c>
      <c r="Q1621">
        <v>1.05</v>
      </c>
      <c r="R1621">
        <f t="shared" si="153"/>
        <v>0.47095746419981693</v>
      </c>
    </row>
    <row r="1622" spans="1:19" hidden="1" x14ac:dyDescent="0.2">
      <c r="Q1622" s="17"/>
    </row>
    <row r="1623" spans="1:19" hidden="1" x14ac:dyDescent="0.2">
      <c r="A1623" s="18" t="s">
        <v>50</v>
      </c>
      <c r="B1623" s="18" t="s">
        <v>598</v>
      </c>
      <c r="Q1623" s="17"/>
    </row>
    <row r="1624" spans="1:19" hidden="1" x14ac:dyDescent="0.2">
      <c r="A1624" s="17" t="s">
        <v>53</v>
      </c>
      <c r="B1624" s="17">
        <v>1</v>
      </c>
      <c r="Q1624" s="17"/>
    </row>
    <row r="1625" spans="1:19" hidden="1" x14ac:dyDescent="0.2">
      <c r="A1625" s="17" t="s">
        <v>54</v>
      </c>
      <c r="B1625" s="17" t="s">
        <v>553</v>
      </c>
      <c r="Q1625" s="17"/>
    </row>
    <row r="1626" spans="1:19" hidden="1" x14ac:dyDescent="0.2">
      <c r="A1626" s="17" t="s">
        <v>61</v>
      </c>
      <c r="B1626" s="17" t="s">
        <v>121</v>
      </c>
      <c r="Q1626" s="17"/>
    </row>
    <row r="1627" spans="1:19" hidden="1" x14ac:dyDescent="0.2">
      <c r="A1627" s="17" t="s">
        <v>55</v>
      </c>
      <c r="B1627" s="17" t="s">
        <v>55</v>
      </c>
      <c r="Q1627" s="17"/>
    </row>
    <row r="1628" spans="1:19" hidden="1" x14ac:dyDescent="0.2">
      <c r="A1628" s="17" t="s">
        <v>52</v>
      </c>
      <c r="B1628" s="17" t="s">
        <v>64</v>
      </c>
      <c r="Q1628" s="17"/>
    </row>
    <row r="1629" spans="1:19" hidden="1" x14ac:dyDescent="0.2">
      <c r="A1629" s="17" t="s">
        <v>51</v>
      </c>
      <c r="B1629" s="17" t="s">
        <v>514</v>
      </c>
      <c r="Q1629" s="17"/>
    </row>
    <row r="1630" spans="1:19" hidden="1" x14ac:dyDescent="0.2">
      <c r="A1630" s="17" t="s">
        <v>63</v>
      </c>
      <c r="B1630" s="17" t="s">
        <v>513</v>
      </c>
      <c r="Q1630" s="17"/>
    </row>
    <row r="1631" spans="1:19" hidden="1" x14ac:dyDescent="0.2">
      <c r="A1631" s="18" t="s">
        <v>57</v>
      </c>
      <c r="Q1631" s="17"/>
    </row>
    <row r="1632" spans="1:19" hidden="1" x14ac:dyDescent="0.2">
      <c r="A1632" s="18" t="s">
        <v>58</v>
      </c>
      <c r="B1632" s="18" t="s">
        <v>59</v>
      </c>
      <c r="C1632" s="18" t="s">
        <v>52</v>
      </c>
      <c r="D1632" s="18" t="s">
        <v>55</v>
      </c>
      <c r="E1632" s="18" t="s">
        <v>60</v>
      </c>
      <c r="F1632" s="18" t="s">
        <v>61</v>
      </c>
      <c r="G1632" s="18" t="s">
        <v>54</v>
      </c>
      <c r="H1632" s="18" t="s">
        <v>51</v>
      </c>
      <c r="I1632" s="18" t="s">
        <v>221</v>
      </c>
      <c r="J1632" s="2" t="s">
        <v>379</v>
      </c>
      <c r="K1632" s="62" t="s">
        <v>1059</v>
      </c>
      <c r="L1632" s="62" t="s">
        <v>1060</v>
      </c>
      <c r="M1632" s="62" t="s">
        <v>1061</v>
      </c>
      <c r="N1632" s="62" t="s">
        <v>1062</v>
      </c>
      <c r="O1632" s="62" t="s">
        <v>1063</v>
      </c>
      <c r="P1632" s="62" t="s">
        <v>1064</v>
      </c>
      <c r="Q1632" s="2" t="s">
        <v>1065</v>
      </c>
      <c r="R1632" s="2" t="s">
        <v>380</v>
      </c>
      <c r="S1632" s="18" t="s">
        <v>1128</v>
      </c>
    </row>
    <row r="1633" spans="1:19" hidden="1" x14ac:dyDescent="0.2">
      <c r="A1633" s="17" t="s">
        <v>598</v>
      </c>
      <c r="B1633" s="17">
        <v>1</v>
      </c>
      <c r="C1633" s="17" t="s">
        <v>64</v>
      </c>
      <c r="D1633" s="17" t="s">
        <v>55</v>
      </c>
      <c r="F1633" s="17" t="s">
        <v>62</v>
      </c>
      <c r="G1633" s="17" t="s">
        <v>553</v>
      </c>
      <c r="Q1633" s="17"/>
    </row>
    <row r="1634" spans="1:19" ht="19" hidden="1" x14ac:dyDescent="0.25">
      <c r="A1634" s="17" t="s">
        <v>525</v>
      </c>
      <c r="B1634" s="17">
        <f>(B1595+B1606+B1608+B1610)*-1</f>
        <v>-597.1</v>
      </c>
      <c r="C1634" s="17" t="s">
        <v>64</v>
      </c>
      <c r="D1634" s="17" t="s">
        <v>56</v>
      </c>
      <c r="F1634" s="38" t="s">
        <v>86</v>
      </c>
      <c r="G1634" s="17" t="s">
        <v>526</v>
      </c>
      <c r="I1634" s="17">
        <v>2</v>
      </c>
      <c r="J1634">
        <f t="shared" ref="J1634:J1643" si="155">LN(B1634*-1)</f>
        <v>6.3920846035529468</v>
      </c>
      <c r="K1634" s="13">
        <v>1.5</v>
      </c>
      <c r="L1634" s="13">
        <v>1.2</v>
      </c>
      <c r="M1634" s="13">
        <v>1.5</v>
      </c>
      <c r="N1634" s="13">
        <v>1.1000000000000001</v>
      </c>
      <c r="O1634" s="13">
        <v>2</v>
      </c>
      <c r="P1634" s="13">
        <v>1.2</v>
      </c>
      <c r="Q1634">
        <v>1.05</v>
      </c>
      <c r="R1634">
        <f t="shared" ref="R1634:R1643" si="156">LN(SQRT(EXP(
SQRT(
+POWER(LN(K1634),2)
+POWER(LN(L1634),2)
+POWER(LN(M1634),2)
+POWER(LN(N1634),2)
+POWER(LN(O1634),2)
+POWER(LN(P1634),2)
+POWER(LN(Q1634),2)
)
)))</f>
        <v>0.47095746419981693</v>
      </c>
      <c r="S1634" s="17" t="b">
        <v>1</v>
      </c>
    </row>
    <row r="1635" spans="1:19" ht="19" hidden="1" x14ac:dyDescent="0.25">
      <c r="A1635" s="17" t="s">
        <v>527</v>
      </c>
      <c r="B1635" s="17">
        <f>(B1589+B1593)*-1</f>
        <v>-22</v>
      </c>
      <c r="C1635" s="17" t="s">
        <v>64</v>
      </c>
      <c r="D1635" s="17" t="s">
        <v>56</v>
      </c>
      <c r="F1635" s="38" t="s">
        <v>86</v>
      </c>
      <c r="G1635" s="17" t="s">
        <v>528</v>
      </c>
      <c r="I1635" s="17">
        <v>2</v>
      </c>
      <c r="J1635">
        <f t="shared" si="155"/>
        <v>3.0910424533583161</v>
      </c>
      <c r="K1635" s="13">
        <v>1.5</v>
      </c>
      <c r="L1635" s="13">
        <v>1.2</v>
      </c>
      <c r="M1635" s="13">
        <v>1.5</v>
      </c>
      <c r="N1635" s="13">
        <v>1.1000000000000001</v>
      </c>
      <c r="O1635" s="13">
        <v>2</v>
      </c>
      <c r="P1635" s="13">
        <v>1.2</v>
      </c>
      <c r="Q1635">
        <v>1.05</v>
      </c>
      <c r="R1635">
        <f t="shared" si="156"/>
        <v>0.47095746419981693</v>
      </c>
      <c r="S1635" s="17" t="b">
        <v>1</v>
      </c>
    </row>
    <row r="1636" spans="1:19" ht="19" hidden="1" x14ac:dyDescent="0.25">
      <c r="A1636" s="17" t="s">
        <v>529</v>
      </c>
      <c r="B1636" s="17">
        <f>(B1592*-1)</f>
        <v>-1</v>
      </c>
      <c r="C1636" s="17" t="s">
        <v>64</v>
      </c>
      <c r="D1636" s="17" t="s">
        <v>56</v>
      </c>
      <c r="F1636" s="38" t="s">
        <v>86</v>
      </c>
      <c r="G1636" s="17" t="s">
        <v>530</v>
      </c>
      <c r="I1636" s="17">
        <v>2</v>
      </c>
      <c r="J1636">
        <f t="shared" si="155"/>
        <v>0</v>
      </c>
      <c r="K1636" s="13">
        <v>1.5</v>
      </c>
      <c r="L1636" s="13">
        <v>1.2</v>
      </c>
      <c r="M1636" s="13">
        <v>1.5</v>
      </c>
      <c r="N1636" s="13">
        <v>1.1000000000000001</v>
      </c>
      <c r="O1636" s="13">
        <v>2</v>
      </c>
      <c r="P1636" s="13">
        <v>1.2</v>
      </c>
      <c r="Q1636">
        <v>1.05</v>
      </c>
      <c r="R1636">
        <f t="shared" si="156"/>
        <v>0.47095746419981693</v>
      </c>
      <c r="S1636" s="17" t="b">
        <v>1</v>
      </c>
    </row>
    <row r="1637" spans="1:19" ht="19" hidden="1" x14ac:dyDescent="0.25">
      <c r="A1637" s="17" t="s">
        <v>531</v>
      </c>
      <c r="B1637" s="39">
        <f>SUM(B1596:B1597)*91%*-1</f>
        <v>-2.8119000000000001</v>
      </c>
      <c r="C1637" s="17" t="s">
        <v>85</v>
      </c>
      <c r="D1637" s="17" t="s">
        <v>56</v>
      </c>
      <c r="F1637" s="38" t="s">
        <v>86</v>
      </c>
      <c r="G1637" s="17" t="s">
        <v>532</v>
      </c>
      <c r="I1637" s="17">
        <v>2</v>
      </c>
      <c r="J1637">
        <f t="shared" si="155"/>
        <v>1.0338604114384129</v>
      </c>
      <c r="K1637" s="13">
        <v>1.5</v>
      </c>
      <c r="L1637" s="13">
        <v>1.2</v>
      </c>
      <c r="M1637" s="13">
        <v>1.5</v>
      </c>
      <c r="N1637" s="13">
        <v>1.1000000000000001</v>
      </c>
      <c r="O1637" s="13">
        <v>2</v>
      </c>
      <c r="P1637" s="13">
        <v>1.2</v>
      </c>
      <c r="Q1637">
        <v>1.05</v>
      </c>
      <c r="R1637">
        <f t="shared" si="156"/>
        <v>0.47095746419981693</v>
      </c>
      <c r="S1637" s="17" t="b">
        <v>1</v>
      </c>
    </row>
    <row r="1638" spans="1:19" ht="19" hidden="1" x14ac:dyDescent="0.25">
      <c r="A1638" s="17" t="s">
        <v>533</v>
      </c>
      <c r="B1638" s="17">
        <f>(B1587+B1620)*-1</f>
        <v>-108</v>
      </c>
      <c r="C1638" s="17" t="s">
        <v>64</v>
      </c>
      <c r="D1638" s="17" t="s">
        <v>56</v>
      </c>
      <c r="F1638" s="38" t="s">
        <v>86</v>
      </c>
      <c r="G1638" s="17" t="s">
        <v>466</v>
      </c>
      <c r="I1638" s="17">
        <v>2</v>
      </c>
      <c r="J1638">
        <f t="shared" si="155"/>
        <v>4.6821312271242199</v>
      </c>
      <c r="K1638" s="13">
        <v>1.5</v>
      </c>
      <c r="L1638" s="13">
        <v>1.2</v>
      </c>
      <c r="M1638" s="13">
        <v>1.5</v>
      </c>
      <c r="N1638" s="13">
        <v>1.1000000000000001</v>
      </c>
      <c r="O1638" s="13">
        <v>2</v>
      </c>
      <c r="P1638" s="13">
        <v>1.2</v>
      </c>
      <c r="Q1638">
        <v>1.05</v>
      </c>
      <c r="R1638">
        <f t="shared" si="156"/>
        <v>0.47095746419981693</v>
      </c>
      <c r="S1638" s="17" t="b">
        <v>1</v>
      </c>
    </row>
    <row r="1639" spans="1:19" ht="19" hidden="1" x14ac:dyDescent="0.25">
      <c r="A1639" s="17" t="s">
        <v>534</v>
      </c>
      <c r="B1639" s="17">
        <f>(B1585)*-1</f>
        <v>-20</v>
      </c>
      <c r="C1639" s="17" t="s">
        <v>64</v>
      </c>
      <c r="D1639" s="17" t="s">
        <v>56</v>
      </c>
      <c r="F1639" s="38" t="s">
        <v>86</v>
      </c>
      <c r="G1639" s="17" t="s">
        <v>535</v>
      </c>
      <c r="I1639" s="17">
        <v>2</v>
      </c>
      <c r="J1639">
        <f t="shared" si="155"/>
        <v>2.9957322735539909</v>
      </c>
      <c r="K1639" s="13">
        <v>1.5</v>
      </c>
      <c r="L1639" s="13">
        <v>1.2</v>
      </c>
      <c r="M1639" s="13">
        <v>1.5</v>
      </c>
      <c r="N1639" s="13">
        <v>1.1000000000000001</v>
      </c>
      <c r="O1639" s="13">
        <v>2</v>
      </c>
      <c r="P1639" s="13">
        <v>1.2</v>
      </c>
      <c r="Q1639">
        <v>1.05</v>
      </c>
      <c r="R1639">
        <f t="shared" si="156"/>
        <v>0.47095746419981693</v>
      </c>
      <c r="S1639" s="17" t="b">
        <v>1</v>
      </c>
    </row>
    <row r="1640" spans="1:19" ht="19" hidden="1" x14ac:dyDescent="0.25">
      <c r="A1640" s="17" t="s">
        <v>648</v>
      </c>
      <c r="B1640" s="17">
        <f>(B1612+B1588)*-1</f>
        <v>-14.7</v>
      </c>
      <c r="C1640" s="17" t="s">
        <v>64</v>
      </c>
      <c r="D1640" s="17" t="s">
        <v>56</v>
      </c>
      <c r="F1640" s="38" t="s">
        <v>86</v>
      </c>
      <c r="G1640" s="17" t="s">
        <v>649</v>
      </c>
      <c r="I1640" s="17">
        <v>2</v>
      </c>
      <c r="J1640">
        <f t="shared" si="155"/>
        <v>2.6878474937846906</v>
      </c>
      <c r="K1640" s="13">
        <v>1.5</v>
      </c>
      <c r="L1640" s="13">
        <v>1.2</v>
      </c>
      <c r="M1640" s="13">
        <v>1.5</v>
      </c>
      <c r="N1640" s="13">
        <v>1.1000000000000001</v>
      </c>
      <c r="O1640" s="13">
        <v>2</v>
      </c>
      <c r="P1640" s="13">
        <v>1.2</v>
      </c>
      <c r="Q1640">
        <v>1.05</v>
      </c>
      <c r="R1640">
        <f t="shared" si="156"/>
        <v>0.47095746419981693</v>
      </c>
      <c r="S1640" s="17" t="b">
        <v>1</v>
      </c>
    </row>
    <row r="1641" spans="1:19" ht="19" hidden="1" x14ac:dyDescent="0.25">
      <c r="A1641" s="17" t="s">
        <v>599</v>
      </c>
      <c r="B1641" s="17">
        <f>B1607*-1</f>
        <v>-66</v>
      </c>
      <c r="C1641" s="17" t="s">
        <v>64</v>
      </c>
      <c r="D1641" s="17" t="s">
        <v>56</v>
      </c>
      <c r="F1641" s="38" t="s">
        <v>86</v>
      </c>
      <c r="G1641" s="17" t="s">
        <v>600</v>
      </c>
      <c r="I1641" s="17">
        <v>2</v>
      </c>
      <c r="J1641">
        <f t="shared" si="155"/>
        <v>4.1896547420264252</v>
      </c>
      <c r="K1641" s="13">
        <v>1.5</v>
      </c>
      <c r="L1641" s="13">
        <v>1.2</v>
      </c>
      <c r="M1641" s="13">
        <v>1.5</v>
      </c>
      <c r="N1641" s="13">
        <v>1.1000000000000001</v>
      </c>
      <c r="O1641" s="13">
        <v>2</v>
      </c>
      <c r="P1641" s="13">
        <v>1.2</v>
      </c>
      <c r="Q1641">
        <v>1.05</v>
      </c>
      <c r="R1641">
        <f t="shared" si="156"/>
        <v>0.47095746419981693</v>
      </c>
      <c r="S1641" s="17" t="b">
        <v>1</v>
      </c>
    </row>
    <row r="1642" spans="1:19" ht="19" hidden="1" x14ac:dyDescent="0.25">
      <c r="A1642" s="17" t="s">
        <v>601</v>
      </c>
      <c r="B1642" s="17">
        <f>-1*(B1618+B1603)</f>
        <v>-901.3</v>
      </c>
      <c r="C1642" s="17" t="s">
        <v>64</v>
      </c>
      <c r="D1642" s="17" t="s">
        <v>56</v>
      </c>
      <c r="F1642" s="38" t="s">
        <v>86</v>
      </c>
      <c r="G1642" s="17" t="s">
        <v>524</v>
      </c>
      <c r="I1642" s="17">
        <v>2</v>
      </c>
      <c r="J1642">
        <f t="shared" si="155"/>
        <v>6.8038381655623636</v>
      </c>
      <c r="K1642" s="13">
        <v>1.5</v>
      </c>
      <c r="L1642" s="13">
        <v>1.2</v>
      </c>
      <c r="M1642" s="13">
        <v>1.5</v>
      </c>
      <c r="N1642" s="13">
        <v>1.1000000000000001</v>
      </c>
      <c r="O1642" s="13">
        <v>2</v>
      </c>
      <c r="P1642" s="13">
        <v>1.2</v>
      </c>
      <c r="Q1642">
        <v>1.05</v>
      </c>
      <c r="R1642">
        <f t="shared" si="156"/>
        <v>0.47095746419981693</v>
      </c>
      <c r="S1642" s="17" t="b">
        <v>1</v>
      </c>
    </row>
    <row r="1643" spans="1:19" ht="19" hidden="1" x14ac:dyDescent="0.25">
      <c r="A1643" s="17" t="s">
        <v>536</v>
      </c>
      <c r="B1643" s="17">
        <v>-20</v>
      </c>
      <c r="C1643" s="17" t="s">
        <v>64</v>
      </c>
      <c r="D1643" s="17" t="s">
        <v>55</v>
      </c>
      <c r="F1643" s="38" t="s">
        <v>86</v>
      </c>
      <c r="G1643" s="17" t="s">
        <v>537</v>
      </c>
      <c r="I1643" s="17">
        <v>2</v>
      </c>
      <c r="J1643">
        <f t="shared" si="155"/>
        <v>2.9957322735539909</v>
      </c>
      <c r="K1643" s="13">
        <v>1.5</v>
      </c>
      <c r="L1643" s="13">
        <v>1.2</v>
      </c>
      <c r="M1643" s="13">
        <v>1.5</v>
      </c>
      <c r="N1643" s="13">
        <v>1.1000000000000001</v>
      </c>
      <c r="O1643" s="13">
        <v>2</v>
      </c>
      <c r="P1643" s="13">
        <v>1.2</v>
      </c>
      <c r="Q1643">
        <v>1.05</v>
      </c>
      <c r="R1643">
        <f t="shared" si="156"/>
        <v>0.47095746419981693</v>
      </c>
      <c r="S1643" s="17" t="b">
        <v>1</v>
      </c>
    </row>
    <row r="1644" spans="1:19" hidden="1" x14ac:dyDescent="0.2">
      <c r="Q1644" s="17"/>
    </row>
    <row r="1645" spans="1:19" hidden="1" x14ac:dyDescent="0.2">
      <c r="Q1645" s="17"/>
    </row>
    <row r="1646" spans="1:19" hidden="1" x14ac:dyDescent="0.2">
      <c r="A1646" s="18" t="s">
        <v>50</v>
      </c>
      <c r="B1646" s="18" t="s">
        <v>551</v>
      </c>
      <c r="Q1646" s="17"/>
    </row>
    <row r="1647" spans="1:19" hidden="1" x14ac:dyDescent="0.2">
      <c r="A1647" s="17" t="s">
        <v>53</v>
      </c>
      <c r="B1647" s="17">
        <v>1</v>
      </c>
      <c r="Q1647" s="17"/>
    </row>
    <row r="1648" spans="1:19" hidden="1" x14ac:dyDescent="0.2">
      <c r="A1648" s="17" t="s">
        <v>54</v>
      </c>
      <c r="B1648" s="17" t="s">
        <v>553</v>
      </c>
      <c r="Q1648" s="17"/>
    </row>
    <row r="1649" spans="1:19" hidden="1" x14ac:dyDescent="0.2">
      <c r="A1649" s="17" t="s">
        <v>61</v>
      </c>
      <c r="B1649" s="17" t="s">
        <v>121</v>
      </c>
      <c r="Q1649" s="17"/>
    </row>
    <row r="1650" spans="1:19" hidden="1" x14ac:dyDescent="0.2">
      <c r="A1650" s="17" t="s">
        <v>55</v>
      </c>
      <c r="B1650" s="17" t="s">
        <v>55</v>
      </c>
      <c r="Q1650" s="17"/>
    </row>
    <row r="1651" spans="1:19" hidden="1" x14ac:dyDescent="0.2">
      <c r="A1651" s="17" t="s">
        <v>52</v>
      </c>
      <c r="B1651" s="17" t="s">
        <v>64</v>
      </c>
      <c r="Q1651" s="17"/>
    </row>
    <row r="1652" spans="1:19" hidden="1" x14ac:dyDescent="0.2">
      <c r="A1652" s="17" t="s">
        <v>51</v>
      </c>
      <c r="B1652" s="17" t="s">
        <v>603</v>
      </c>
      <c r="Q1652" s="17"/>
    </row>
    <row r="1653" spans="1:19" hidden="1" x14ac:dyDescent="0.2">
      <c r="A1653" s="17" t="s">
        <v>63</v>
      </c>
      <c r="B1653" s="17" t="s">
        <v>554</v>
      </c>
      <c r="Q1653" s="17"/>
    </row>
    <row r="1654" spans="1:19" hidden="1" x14ac:dyDescent="0.2">
      <c r="A1654" s="18" t="s">
        <v>57</v>
      </c>
      <c r="Q1654" s="17"/>
    </row>
    <row r="1655" spans="1:19" hidden="1" x14ac:dyDescent="0.2">
      <c r="A1655" s="18" t="s">
        <v>58</v>
      </c>
      <c r="B1655" s="18" t="s">
        <v>59</v>
      </c>
      <c r="C1655" s="18" t="s">
        <v>52</v>
      </c>
      <c r="D1655" s="18" t="s">
        <v>55</v>
      </c>
      <c r="E1655" s="18" t="s">
        <v>60</v>
      </c>
      <c r="F1655" s="18" t="s">
        <v>61</v>
      </c>
      <c r="G1655" s="18" t="s">
        <v>54</v>
      </c>
      <c r="H1655" s="18" t="s">
        <v>51</v>
      </c>
      <c r="I1655" s="18" t="s">
        <v>221</v>
      </c>
      <c r="J1655" s="2" t="s">
        <v>379</v>
      </c>
      <c r="K1655" s="62" t="s">
        <v>1059</v>
      </c>
      <c r="L1655" s="62" t="s">
        <v>1060</v>
      </c>
      <c r="M1655" s="62" t="s">
        <v>1061</v>
      </c>
      <c r="N1655" s="62" t="s">
        <v>1062</v>
      </c>
      <c r="O1655" s="62" t="s">
        <v>1063</v>
      </c>
      <c r="P1655" s="62" t="s">
        <v>1064</v>
      </c>
      <c r="Q1655" s="2" t="s">
        <v>1065</v>
      </c>
      <c r="R1655" s="2" t="s">
        <v>380</v>
      </c>
      <c r="S1655" s="18" t="s">
        <v>1128</v>
      </c>
    </row>
    <row r="1656" spans="1:19" hidden="1" x14ac:dyDescent="0.2">
      <c r="A1656" s="17" t="s">
        <v>551</v>
      </c>
      <c r="B1656" s="17">
        <v>1</v>
      </c>
      <c r="C1656" s="17" t="s">
        <v>64</v>
      </c>
      <c r="D1656" s="17" t="s">
        <v>55</v>
      </c>
      <c r="F1656" s="17" t="s">
        <v>62</v>
      </c>
      <c r="G1656" s="17" t="s">
        <v>553</v>
      </c>
      <c r="Q1656" s="17"/>
    </row>
    <row r="1657" spans="1:19" hidden="1" x14ac:dyDescent="0.2">
      <c r="A1657" s="17" t="s">
        <v>521</v>
      </c>
      <c r="B1657" s="17">
        <v>20</v>
      </c>
      <c r="C1657" s="17" t="s">
        <v>85</v>
      </c>
      <c r="D1657" s="17" t="s">
        <v>56</v>
      </c>
      <c r="F1657" s="17" t="s">
        <v>86</v>
      </c>
      <c r="G1657" s="17" t="s">
        <v>522</v>
      </c>
      <c r="H1657" s="17" t="s">
        <v>556</v>
      </c>
      <c r="I1657" s="17">
        <v>2</v>
      </c>
      <c r="J1657">
        <f t="shared" ref="J1657:J1664" si="157">LN(B1657)</f>
        <v>2.9957322735539909</v>
      </c>
      <c r="K1657" s="13">
        <v>1.5</v>
      </c>
      <c r="L1657" s="13">
        <v>1.2</v>
      </c>
      <c r="M1657" s="13">
        <v>1.5</v>
      </c>
      <c r="N1657" s="13">
        <v>1.1000000000000001</v>
      </c>
      <c r="O1657" s="13">
        <v>2</v>
      </c>
      <c r="P1657" s="13">
        <v>1.2</v>
      </c>
      <c r="Q1657">
        <v>1.05</v>
      </c>
      <c r="R1657">
        <f t="shared" ref="R1657:R1693" si="158">LN(SQRT(EXP(
SQRT(
+POWER(LN(K1657),2)
+POWER(LN(L1657),2)
+POWER(LN(M1657),2)
+POWER(LN(N1657),2)
+POWER(LN(O1657),2)
+POWER(LN(P1657),2)
+POWER(LN(Q1657),2)
)
)))</f>
        <v>0.47095746419981693</v>
      </c>
    </row>
    <row r="1658" spans="1:19" hidden="1" x14ac:dyDescent="0.2">
      <c r="A1658" s="17" t="s">
        <v>574</v>
      </c>
      <c r="B1658" s="17">
        <v>20</v>
      </c>
      <c r="C1658" s="17" t="s">
        <v>85</v>
      </c>
      <c r="D1658" s="17" t="s">
        <v>56</v>
      </c>
      <c r="F1658" s="17" t="s">
        <v>86</v>
      </c>
      <c r="G1658" s="17" t="s">
        <v>266</v>
      </c>
      <c r="H1658" s="17" t="s">
        <v>556</v>
      </c>
      <c r="I1658" s="17">
        <v>2</v>
      </c>
      <c r="J1658">
        <f t="shared" si="157"/>
        <v>2.9957322735539909</v>
      </c>
      <c r="K1658" s="13">
        <v>1.5</v>
      </c>
      <c r="L1658" s="13">
        <v>1.2</v>
      </c>
      <c r="M1658" s="13">
        <v>1.5</v>
      </c>
      <c r="N1658" s="13">
        <v>1.1000000000000001</v>
      </c>
      <c r="O1658" s="13">
        <v>2</v>
      </c>
      <c r="P1658" s="13">
        <v>1.2</v>
      </c>
      <c r="Q1658">
        <v>1.05</v>
      </c>
      <c r="R1658">
        <f t="shared" si="158"/>
        <v>0.47095746419981693</v>
      </c>
    </row>
    <row r="1659" spans="1:19" hidden="1" x14ac:dyDescent="0.2">
      <c r="A1659" s="17" t="s">
        <v>447</v>
      </c>
      <c r="B1659" s="17">
        <v>75</v>
      </c>
      <c r="C1659" s="17" t="s">
        <v>85</v>
      </c>
      <c r="D1659" s="17" t="s">
        <v>56</v>
      </c>
      <c r="F1659" s="17" t="s">
        <v>86</v>
      </c>
      <c r="G1659" s="17" t="s">
        <v>124</v>
      </c>
      <c r="H1659" s="17" t="s">
        <v>557</v>
      </c>
      <c r="I1659" s="17">
        <v>2</v>
      </c>
      <c r="J1659">
        <f t="shared" si="157"/>
        <v>4.3174881135363101</v>
      </c>
      <c r="K1659" s="13">
        <v>1.5</v>
      </c>
      <c r="L1659" s="13">
        <v>1.2</v>
      </c>
      <c r="M1659" s="13">
        <v>1.5</v>
      </c>
      <c r="N1659" s="13">
        <v>1.1000000000000001</v>
      </c>
      <c r="O1659" s="13">
        <v>2</v>
      </c>
      <c r="P1659" s="13">
        <v>1.2</v>
      </c>
      <c r="Q1659">
        <v>1.05</v>
      </c>
      <c r="R1659">
        <f t="shared" si="158"/>
        <v>0.47095746419981693</v>
      </c>
    </row>
    <row r="1660" spans="1:19" hidden="1" x14ac:dyDescent="0.2">
      <c r="A1660" s="17" t="s">
        <v>523</v>
      </c>
      <c r="B1660" s="17">
        <v>10</v>
      </c>
      <c r="C1660" s="17" t="s">
        <v>85</v>
      </c>
      <c r="D1660" s="17" t="s">
        <v>56</v>
      </c>
      <c r="F1660" s="17" t="s">
        <v>86</v>
      </c>
      <c r="G1660" s="17" t="s">
        <v>127</v>
      </c>
      <c r="H1660" s="17" t="s">
        <v>559</v>
      </c>
      <c r="I1660" s="17">
        <v>2</v>
      </c>
      <c r="J1660">
        <f t="shared" si="157"/>
        <v>2.3025850929940459</v>
      </c>
      <c r="K1660" s="13">
        <v>1.5</v>
      </c>
      <c r="L1660" s="13">
        <v>1.2</v>
      </c>
      <c r="M1660" s="13">
        <v>1.5</v>
      </c>
      <c r="N1660" s="13">
        <v>1.1000000000000001</v>
      </c>
      <c r="O1660" s="13">
        <v>2</v>
      </c>
      <c r="P1660" s="13">
        <v>1.2</v>
      </c>
      <c r="Q1660">
        <v>1.05</v>
      </c>
      <c r="R1660">
        <f t="shared" si="158"/>
        <v>0.47095746419981693</v>
      </c>
    </row>
    <row r="1661" spans="1:19" hidden="1" x14ac:dyDescent="0.2">
      <c r="A1661" s="17" t="s">
        <v>454</v>
      </c>
      <c r="B1661" s="17">
        <v>22</v>
      </c>
      <c r="C1661" s="17" t="s">
        <v>85</v>
      </c>
      <c r="D1661" s="17" t="s">
        <v>56</v>
      </c>
      <c r="F1661" s="17" t="s">
        <v>86</v>
      </c>
      <c r="G1661" s="17" t="s">
        <v>455</v>
      </c>
      <c r="H1661" s="17" t="s">
        <v>558</v>
      </c>
      <c r="I1661" s="17">
        <v>2</v>
      </c>
      <c r="J1661">
        <f t="shared" si="157"/>
        <v>3.0910424533583161</v>
      </c>
      <c r="K1661" s="13">
        <v>1.5</v>
      </c>
      <c r="L1661" s="13">
        <v>1.2</v>
      </c>
      <c r="M1661" s="13">
        <v>1.5</v>
      </c>
      <c r="N1661" s="13">
        <v>1.1000000000000001</v>
      </c>
      <c r="O1661" s="13">
        <v>2</v>
      </c>
      <c r="P1661" s="13">
        <v>1.2</v>
      </c>
      <c r="Q1661">
        <v>1.05</v>
      </c>
      <c r="R1661">
        <f t="shared" si="158"/>
        <v>0.47095746419981693</v>
      </c>
    </row>
    <row r="1662" spans="1:19" hidden="1" x14ac:dyDescent="0.2">
      <c r="A1662" s="17" t="s">
        <v>575</v>
      </c>
      <c r="B1662" s="17">
        <v>22</v>
      </c>
      <c r="C1662" s="17" t="s">
        <v>85</v>
      </c>
      <c r="D1662" s="17" t="s">
        <v>56</v>
      </c>
      <c r="F1662" s="17" t="s">
        <v>86</v>
      </c>
      <c r="G1662" s="17" t="s">
        <v>576</v>
      </c>
      <c r="H1662" s="17" t="s">
        <v>558</v>
      </c>
      <c r="I1662" s="17">
        <v>2</v>
      </c>
      <c r="J1662">
        <f t="shared" si="157"/>
        <v>3.0910424533583161</v>
      </c>
      <c r="K1662" s="13">
        <v>1.5</v>
      </c>
      <c r="L1662" s="13">
        <v>1.2</v>
      </c>
      <c r="M1662" s="13">
        <v>1.5</v>
      </c>
      <c r="N1662" s="13">
        <v>1.1000000000000001</v>
      </c>
      <c r="O1662" s="13">
        <v>2</v>
      </c>
      <c r="P1662" s="13">
        <v>1.2</v>
      </c>
      <c r="Q1662">
        <v>1.05</v>
      </c>
      <c r="R1662">
        <f t="shared" si="158"/>
        <v>0.47095746419981693</v>
      </c>
    </row>
    <row r="1663" spans="1:19" hidden="1" x14ac:dyDescent="0.2">
      <c r="A1663" s="17" t="s">
        <v>156</v>
      </c>
      <c r="B1663" s="17">
        <v>1.7</v>
      </c>
      <c r="C1663" s="17" t="s">
        <v>90</v>
      </c>
      <c r="D1663" s="17" t="s">
        <v>56</v>
      </c>
      <c r="F1663" s="17" t="s">
        <v>86</v>
      </c>
      <c r="G1663" s="17" t="s">
        <v>154</v>
      </c>
      <c r="H1663" s="17" t="s">
        <v>561</v>
      </c>
      <c r="I1663" s="17">
        <v>2</v>
      </c>
      <c r="J1663">
        <f t="shared" si="157"/>
        <v>0.53062825106217038</v>
      </c>
      <c r="K1663" s="13">
        <v>1.5</v>
      </c>
      <c r="L1663" s="13">
        <v>1.2</v>
      </c>
      <c r="M1663" s="13">
        <v>1.5</v>
      </c>
      <c r="N1663" s="13">
        <v>1.1000000000000001</v>
      </c>
      <c r="O1663" s="13">
        <v>2</v>
      </c>
      <c r="P1663" s="13">
        <v>1.2</v>
      </c>
      <c r="Q1663">
        <v>1.05</v>
      </c>
      <c r="R1663">
        <f t="shared" si="158"/>
        <v>0.47095746419981693</v>
      </c>
    </row>
    <row r="1664" spans="1:19" hidden="1" x14ac:dyDescent="0.2">
      <c r="A1664" s="17" t="s">
        <v>519</v>
      </c>
      <c r="B1664" s="17">
        <v>1</v>
      </c>
      <c r="C1664" s="17" t="s">
        <v>85</v>
      </c>
      <c r="D1664" s="17" t="s">
        <v>56</v>
      </c>
      <c r="F1664" s="17" t="s">
        <v>86</v>
      </c>
      <c r="G1664" s="17" t="s">
        <v>520</v>
      </c>
      <c r="H1664" s="17" t="s">
        <v>560</v>
      </c>
      <c r="I1664" s="17">
        <v>2</v>
      </c>
      <c r="J1664">
        <f t="shared" si="157"/>
        <v>0</v>
      </c>
      <c r="K1664" s="13">
        <v>1.5</v>
      </c>
      <c r="L1664" s="13">
        <v>1.2</v>
      </c>
      <c r="M1664" s="13">
        <v>1.5</v>
      </c>
      <c r="N1664" s="13">
        <v>1.1000000000000001</v>
      </c>
      <c r="O1664" s="13">
        <v>2</v>
      </c>
      <c r="P1664" s="13">
        <v>1.2</v>
      </c>
      <c r="Q1664">
        <v>1.05</v>
      </c>
      <c r="R1664">
        <f t="shared" si="158"/>
        <v>0.47095746419981693</v>
      </c>
    </row>
    <row r="1665" spans="1:18" hidden="1" x14ac:dyDescent="0.2">
      <c r="A1665" s="17" t="s">
        <v>454</v>
      </c>
      <c r="B1665" s="17">
        <v>0</v>
      </c>
      <c r="C1665" s="17" t="s">
        <v>85</v>
      </c>
      <c r="D1665" s="17" t="s">
        <v>56</v>
      </c>
      <c r="F1665" s="17" t="s">
        <v>86</v>
      </c>
      <c r="G1665" s="17" t="s">
        <v>455</v>
      </c>
      <c r="H1665" s="17" t="s">
        <v>562</v>
      </c>
      <c r="I1665" s="17">
        <v>0</v>
      </c>
      <c r="J1665"/>
      <c r="K1665" s="13"/>
      <c r="L1665" s="13"/>
      <c r="M1665" s="13"/>
      <c r="N1665" s="13"/>
      <c r="O1665" s="13"/>
      <c r="P1665" s="13"/>
      <c r="Q1665"/>
      <c r="R1665"/>
    </row>
    <row r="1666" spans="1:18" hidden="1" x14ac:dyDescent="0.2">
      <c r="A1666" s="17" t="s">
        <v>575</v>
      </c>
      <c r="B1666" s="17">
        <v>0</v>
      </c>
      <c r="C1666" s="17" t="s">
        <v>85</v>
      </c>
      <c r="D1666" s="17" t="s">
        <v>56</v>
      </c>
      <c r="F1666" s="17" t="s">
        <v>86</v>
      </c>
      <c r="G1666" s="17" t="s">
        <v>576</v>
      </c>
      <c r="H1666" s="17" t="s">
        <v>562</v>
      </c>
      <c r="I1666" s="17">
        <v>0</v>
      </c>
      <c r="J1666"/>
      <c r="K1666" s="13"/>
      <c r="L1666" s="13"/>
      <c r="M1666" s="13"/>
      <c r="N1666" s="13"/>
      <c r="O1666" s="13"/>
      <c r="P1666" s="13"/>
      <c r="Q1666"/>
      <c r="R1666"/>
    </row>
    <row r="1667" spans="1:18" hidden="1" x14ac:dyDescent="0.2">
      <c r="A1667" s="17" t="s">
        <v>385</v>
      </c>
      <c r="B1667" s="17">
        <v>0</v>
      </c>
      <c r="C1667" s="17" t="s">
        <v>85</v>
      </c>
      <c r="D1667" s="17" t="s">
        <v>56</v>
      </c>
      <c r="F1667" s="17" t="s">
        <v>86</v>
      </c>
      <c r="G1667" s="17" t="s">
        <v>386</v>
      </c>
      <c r="H1667" s="17" t="s">
        <v>562</v>
      </c>
      <c r="I1667" s="17">
        <v>0</v>
      </c>
      <c r="J1667"/>
      <c r="K1667" s="13"/>
      <c r="L1667" s="13"/>
      <c r="M1667" s="13"/>
      <c r="N1667" s="13"/>
      <c r="O1667" s="13"/>
      <c r="P1667" s="13"/>
      <c r="Q1667"/>
      <c r="R1667"/>
    </row>
    <row r="1668" spans="1:18" hidden="1" x14ac:dyDescent="0.2">
      <c r="A1668" s="17" t="s">
        <v>614</v>
      </c>
      <c r="B1668" s="17">
        <f>3.09*50%</f>
        <v>1.5449999999999999</v>
      </c>
      <c r="C1668" s="17" t="s">
        <v>85</v>
      </c>
      <c r="D1668" s="17" t="s">
        <v>56</v>
      </c>
      <c r="F1668" s="17" t="s">
        <v>86</v>
      </c>
      <c r="G1668" s="17" t="s">
        <v>615</v>
      </c>
      <c r="H1668" s="17" t="s">
        <v>618</v>
      </c>
      <c r="I1668" s="17">
        <v>2</v>
      </c>
      <c r="J1668">
        <f t="shared" ref="J1668:J1686" si="159">LN(B1668)</f>
        <v>0.43502391034970872</v>
      </c>
      <c r="K1668" s="13">
        <v>1.5</v>
      </c>
      <c r="L1668" s="13">
        <v>1.2</v>
      </c>
      <c r="M1668" s="13">
        <v>1.5</v>
      </c>
      <c r="N1668" s="13">
        <v>1.1000000000000001</v>
      </c>
      <c r="O1668" s="13">
        <v>2</v>
      </c>
      <c r="P1668" s="13">
        <v>1.2</v>
      </c>
      <c r="Q1668">
        <v>1.05</v>
      </c>
      <c r="R1668">
        <f t="shared" si="158"/>
        <v>0.47095746419981693</v>
      </c>
    </row>
    <row r="1669" spans="1:18" hidden="1" x14ac:dyDescent="0.2">
      <c r="A1669" s="17" t="s">
        <v>616</v>
      </c>
      <c r="B1669" s="17">
        <f>3.09*50%</f>
        <v>1.5449999999999999</v>
      </c>
      <c r="C1669" s="17" t="s">
        <v>85</v>
      </c>
      <c r="D1669" s="17" t="s">
        <v>56</v>
      </c>
      <c r="F1669" s="17" t="s">
        <v>86</v>
      </c>
      <c r="G1669" s="17" t="s">
        <v>617</v>
      </c>
      <c r="H1669" s="17" t="s">
        <v>618</v>
      </c>
      <c r="I1669" s="17">
        <v>2</v>
      </c>
      <c r="J1669">
        <f t="shared" si="159"/>
        <v>0.43502391034970872</v>
      </c>
      <c r="K1669" s="13">
        <v>1.5</v>
      </c>
      <c r="L1669" s="13">
        <v>1.2</v>
      </c>
      <c r="M1669" s="13">
        <v>1.5</v>
      </c>
      <c r="N1669" s="13">
        <v>1.1000000000000001</v>
      </c>
      <c r="O1669" s="13">
        <v>2</v>
      </c>
      <c r="P1669" s="13">
        <v>1.2</v>
      </c>
      <c r="Q1669">
        <v>1.05</v>
      </c>
      <c r="R1669">
        <f t="shared" si="158"/>
        <v>0.47095746419981693</v>
      </c>
    </row>
    <row r="1670" spans="1:18" hidden="1" x14ac:dyDescent="0.2">
      <c r="A1670" s="17" t="s">
        <v>619</v>
      </c>
      <c r="B1670" s="17">
        <f>3%*B1668</f>
        <v>4.6349999999999995E-2</v>
      </c>
      <c r="D1670" s="17" t="s">
        <v>56</v>
      </c>
      <c r="E1670" s="17" t="s">
        <v>100</v>
      </c>
      <c r="F1670" s="17" t="s">
        <v>99</v>
      </c>
      <c r="H1670" s="17" t="s">
        <v>618</v>
      </c>
      <c r="I1670" s="17">
        <v>2</v>
      </c>
      <c r="J1670">
        <f t="shared" si="159"/>
        <v>-3.0715339869702731</v>
      </c>
      <c r="K1670" s="13">
        <v>1.5</v>
      </c>
      <c r="L1670" s="13">
        <v>1.2</v>
      </c>
      <c r="M1670" s="13">
        <v>1.5</v>
      </c>
      <c r="N1670" s="13">
        <v>1.1000000000000001</v>
      </c>
      <c r="O1670" s="13">
        <v>2</v>
      </c>
      <c r="P1670" s="13">
        <v>1.2</v>
      </c>
      <c r="Q1670" s="13">
        <v>1.5</v>
      </c>
      <c r="R1670">
        <f t="shared" si="158"/>
        <v>0.51215847306170115</v>
      </c>
    </row>
    <row r="1671" spans="1:18" hidden="1" x14ac:dyDescent="0.2">
      <c r="A1671" s="17" t="s">
        <v>620</v>
      </c>
      <c r="B1671" s="17">
        <f>3%*B1670</f>
        <v>1.3904999999999998E-3</v>
      </c>
      <c r="D1671" s="17" t="s">
        <v>56</v>
      </c>
      <c r="E1671" s="17" t="s">
        <v>100</v>
      </c>
      <c r="F1671" s="17" t="s">
        <v>99</v>
      </c>
      <c r="H1671" s="17" t="s">
        <v>618</v>
      </c>
      <c r="I1671" s="17">
        <v>2</v>
      </c>
      <c r="J1671">
        <f t="shared" si="159"/>
        <v>-6.5780918842902549</v>
      </c>
      <c r="K1671" s="13">
        <v>1.5</v>
      </c>
      <c r="L1671" s="13">
        <v>1.2</v>
      </c>
      <c r="M1671" s="13">
        <v>1.5</v>
      </c>
      <c r="N1671" s="13">
        <v>1.1000000000000001</v>
      </c>
      <c r="O1671" s="13">
        <v>2</v>
      </c>
      <c r="P1671" s="13">
        <v>1.2</v>
      </c>
      <c r="Q1671" s="13">
        <v>1.5</v>
      </c>
      <c r="R1671">
        <f t="shared" si="158"/>
        <v>0.51215847306170115</v>
      </c>
    </row>
    <row r="1672" spans="1:18" hidden="1" x14ac:dyDescent="0.2">
      <c r="A1672" s="17" t="s">
        <v>91</v>
      </c>
      <c r="B1672" s="39">
        <f>337/3.6</f>
        <v>93.611111111111114</v>
      </c>
      <c r="C1672" s="17" t="s">
        <v>90</v>
      </c>
      <c r="D1672" s="17" t="s">
        <v>92</v>
      </c>
      <c r="F1672" s="17" t="s">
        <v>86</v>
      </c>
      <c r="G1672" s="17" t="s">
        <v>93</v>
      </c>
      <c r="H1672" s="17" t="s">
        <v>563</v>
      </c>
      <c r="I1672" s="17">
        <v>2</v>
      </c>
      <c r="J1672">
        <f t="shared" si="159"/>
        <v>4.5391490848902976</v>
      </c>
      <c r="K1672" s="13">
        <v>1.5</v>
      </c>
      <c r="L1672" s="13">
        <v>1.2</v>
      </c>
      <c r="M1672" s="13">
        <v>1.5</v>
      </c>
      <c r="N1672" s="13">
        <v>1.1000000000000001</v>
      </c>
      <c r="O1672" s="13">
        <v>2</v>
      </c>
      <c r="P1672" s="13">
        <v>1.2</v>
      </c>
      <c r="Q1672">
        <v>1.05</v>
      </c>
      <c r="R1672">
        <f t="shared" si="158"/>
        <v>0.47095746419981693</v>
      </c>
    </row>
    <row r="1673" spans="1:18" hidden="1" x14ac:dyDescent="0.2">
      <c r="A1673" s="17" t="s">
        <v>202</v>
      </c>
      <c r="B1673" s="17">
        <v>875</v>
      </c>
      <c r="C1673" s="17" t="s">
        <v>64</v>
      </c>
      <c r="D1673" s="17" t="s">
        <v>65</v>
      </c>
      <c r="F1673" s="17" t="s">
        <v>86</v>
      </c>
      <c r="G1673" s="17" t="s">
        <v>203</v>
      </c>
      <c r="H1673" s="17" t="s">
        <v>563</v>
      </c>
      <c r="I1673" s="17">
        <v>2</v>
      </c>
      <c r="J1673">
        <f t="shared" si="159"/>
        <v>6.7742238863576141</v>
      </c>
      <c r="K1673" s="13">
        <v>1.5</v>
      </c>
      <c r="L1673" s="13">
        <v>1.2</v>
      </c>
      <c r="M1673" s="13">
        <v>1.5</v>
      </c>
      <c r="N1673" s="13">
        <v>1.1000000000000001</v>
      </c>
      <c r="O1673" s="13">
        <v>2</v>
      </c>
      <c r="P1673" s="13">
        <v>1.2</v>
      </c>
      <c r="Q1673">
        <v>1.05</v>
      </c>
      <c r="R1673">
        <f t="shared" si="158"/>
        <v>0.47095746419981693</v>
      </c>
    </row>
    <row r="1674" spans="1:18" hidden="1" x14ac:dyDescent="0.2">
      <c r="A1674" s="17" t="s">
        <v>568</v>
      </c>
      <c r="B1674" s="17">
        <v>4650</v>
      </c>
      <c r="C1674" s="17" t="s">
        <v>64</v>
      </c>
      <c r="D1674" s="17" t="s">
        <v>56</v>
      </c>
      <c r="F1674" s="17" t="s">
        <v>86</v>
      </c>
      <c r="G1674" s="17" t="s">
        <v>569</v>
      </c>
      <c r="H1674" s="17" t="s">
        <v>567</v>
      </c>
      <c r="I1674" s="17">
        <v>2</v>
      </c>
      <c r="J1674">
        <f t="shared" si="159"/>
        <v>8.4446224985814027</v>
      </c>
      <c r="K1674" s="13">
        <v>1.5</v>
      </c>
      <c r="L1674" s="13">
        <v>1.2</v>
      </c>
      <c r="M1674" s="13">
        <v>1.5</v>
      </c>
      <c r="N1674" s="13">
        <v>1.1000000000000001</v>
      </c>
      <c r="O1674" s="13">
        <v>2</v>
      </c>
      <c r="P1674" s="13">
        <v>1.2</v>
      </c>
      <c r="Q1674">
        <v>1.05</v>
      </c>
      <c r="R1674">
        <f t="shared" si="158"/>
        <v>0.47095746419981693</v>
      </c>
    </row>
    <row r="1675" spans="1:18" hidden="1" x14ac:dyDescent="0.2">
      <c r="A1675" s="17" t="s">
        <v>515</v>
      </c>
      <c r="B1675" s="17">
        <v>900</v>
      </c>
      <c r="C1675" s="17" t="s">
        <v>64</v>
      </c>
      <c r="D1675" s="17" t="s">
        <v>56</v>
      </c>
      <c r="F1675" s="17" t="s">
        <v>86</v>
      </c>
      <c r="G1675" s="17" t="s">
        <v>516</v>
      </c>
      <c r="H1675" s="17" t="s">
        <v>567</v>
      </c>
      <c r="I1675" s="17">
        <v>2</v>
      </c>
      <c r="J1675">
        <f t="shared" si="159"/>
        <v>6.8023947633243109</v>
      </c>
      <c r="K1675" s="13">
        <v>1.5</v>
      </c>
      <c r="L1675" s="13">
        <v>1.2</v>
      </c>
      <c r="M1675" s="13">
        <v>1.5</v>
      </c>
      <c r="N1675" s="13">
        <v>1.1000000000000001</v>
      </c>
      <c r="O1675" s="13">
        <v>2</v>
      </c>
      <c r="P1675" s="13">
        <v>1.2</v>
      </c>
      <c r="Q1675">
        <v>1.05</v>
      </c>
      <c r="R1675">
        <f t="shared" si="158"/>
        <v>0.47095746419981693</v>
      </c>
    </row>
    <row r="1676" spans="1:18" hidden="1" x14ac:dyDescent="0.2">
      <c r="A1676" s="17" t="s">
        <v>166</v>
      </c>
      <c r="B1676" s="17">
        <v>126</v>
      </c>
      <c r="C1676" s="17" t="s">
        <v>85</v>
      </c>
      <c r="D1676" s="17" t="s">
        <v>56</v>
      </c>
      <c r="F1676" s="17" t="s">
        <v>86</v>
      </c>
      <c r="G1676" s="17" t="s">
        <v>167</v>
      </c>
      <c r="H1676" s="17" t="s">
        <v>567</v>
      </c>
      <c r="I1676" s="17">
        <v>2</v>
      </c>
      <c r="J1676">
        <f t="shared" si="159"/>
        <v>4.836281906951478</v>
      </c>
      <c r="K1676" s="13">
        <v>1.5</v>
      </c>
      <c r="L1676" s="13">
        <v>1.2</v>
      </c>
      <c r="M1676" s="13">
        <v>1.5</v>
      </c>
      <c r="N1676" s="13">
        <v>1.1000000000000001</v>
      </c>
      <c r="O1676" s="13">
        <v>2</v>
      </c>
      <c r="P1676" s="13">
        <v>1.2</v>
      </c>
      <c r="Q1676">
        <v>1.05</v>
      </c>
      <c r="R1676">
        <f t="shared" si="158"/>
        <v>0.47095746419981693</v>
      </c>
    </row>
    <row r="1677" spans="1:18" hidden="1" x14ac:dyDescent="0.2">
      <c r="A1677" s="17" t="s">
        <v>577</v>
      </c>
      <c r="B1677" s="17">
        <v>126</v>
      </c>
      <c r="C1677" s="17" t="s">
        <v>85</v>
      </c>
      <c r="D1677" s="17" t="s">
        <v>56</v>
      </c>
      <c r="F1677" s="17" t="s">
        <v>86</v>
      </c>
      <c r="G1677" s="17" t="s">
        <v>578</v>
      </c>
      <c r="H1677" s="17" t="s">
        <v>567</v>
      </c>
      <c r="I1677" s="17">
        <v>2</v>
      </c>
      <c r="J1677">
        <f t="shared" si="159"/>
        <v>4.836281906951478</v>
      </c>
      <c r="K1677" s="13">
        <v>1.5</v>
      </c>
      <c r="L1677" s="13">
        <v>1.2</v>
      </c>
      <c r="M1677" s="13">
        <v>1.5</v>
      </c>
      <c r="N1677" s="13">
        <v>1.1000000000000001</v>
      </c>
      <c r="O1677" s="13">
        <v>2</v>
      </c>
      <c r="P1677" s="13">
        <v>1.2</v>
      </c>
      <c r="Q1677">
        <v>1.05</v>
      </c>
      <c r="R1677">
        <f t="shared" si="158"/>
        <v>0.47095746419981693</v>
      </c>
    </row>
    <row r="1678" spans="1:18" hidden="1" x14ac:dyDescent="0.2">
      <c r="A1678" s="17" t="s">
        <v>570</v>
      </c>
      <c r="B1678" s="17">
        <v>101</v>
      </c>
      <c r="C1678" s="17" t="s">
        <v>85</v>
      </c>
      <c r="D1678" s="17" t="s">
        <v>56</v>
      </c>
      <c r="F1678" s="17" t="s">
        <v>86</v>
      </c>
      <c r="G1678" s="17" t="s">
        <v>571</v>
      </c>
      <c r="H1678" s="17" t="s">
        <v>567</v>
      </c>
      <c r="I1678" s="17">
        <v>2</v>
      </c>
      <c r="J1678">
        <f t="shared" si="159"/>
        <v>4.6151205168412597</v>
      </c>
      <c r="K1678" s="13">
        <v>1.5</v>
      </c>
      <c r="L1678" s="13">
        <v>1.2</v>
      </c>
      <c r="M1678" s="13">
        <v>1.5</v>
      </c>
      <c r="N1678" s="13">
        <v>1.1000000000000001</v>
      </c>
      <c r="O1678" s="13">
        <v>2</v>
      </c>
      <c r="P1678" s="13">
        <v>1.2</v>
      </c>
      <c r="Q1678">
        <v>1.05</v>
      </c>
      <c r="R1678">
        <f t="shared" si="158"/>
        <v>0.47095746419981693</v>
      </c>
    </row>
    <row r="1679" spans="1:18" hidden="1" x14ac:dyDescent="0.2">
      <c r="A1679" s="17" t="s">
        <v>572</v>
      </c>
      <c r="B1679" s="17">
        <v>66</v>
      </c>
      <c r="C1679" s="17" t="s">
        <v>85</v>
      </c>
      <c r="D1679" s="17" t="s">
        <v>56</v>
      </c>
      <c r="F1679" s="17" t="s">
        <v>86</v>
      </c>
      <c r="G1679" s="17" t="s">
        <v>573</v>
      </c>
      <c r="H1679" s="17" t="s">
        <v>567</v>
      </c>
      <c r="I1679" s="17">
        <v>2</v>
      </c>
      <c r="J1679">
        <f t="shared" si="159"/>
        <v>4.1896547420264252</v>
      </c>
      <c r="K1679" s="13">
        <v>1.5</v>
      </c>
      <c r="L1679" s="13">
        <v>1.2</v>
      </c>
      <c r="M1679" s="13">
        <v>1.5</v>
      </c>
      <c r="N1679" s="13">
        <v>1.1000000000000001</v>
      </c>
      <c r="O1679" s="13">
        <v>2</v>
      </c>
      <c r="P1679" s="13">
        <v>1.2</v>
      </c>
      <c r="Q1679">
        <v>1.05</v>
      </c>
      <c r="R1679">
        <f t="shared" si="158"/>
        <v>0.47095746419981693</v>
      </c>
    </row>
    <row r="1680" spans="1:18" hidden="1" x14ac:dyDescent="0.2">
      <c r="A1680" s="17" t="s">
        <v>385</v>
      </c>
      <c r="B1680" s="17">
        <v>301.2</v>
      </c>
      <c r="C1680" s="17" t="s">
        <v>85</v>
      </c>
      <c r="D1680" s="17" t="s">
        <v>56</v>
      </c>
      <c r="F1680" s="17" t="s">
        <v>86</v>
      </c>
      <c r="G1680" s="17" t="s">
        <v>386</v>
      </c>
      <c r="H1680" s="17" t="s">
        <v>580</v>
      </c>
      <c r="I1680" s="17">
        <v>2</v>
      </c>
      <c r="J1680">
        <f t="shared" si="159"/>
        <v>5.7077744959257384</v>
      </c>
      <c r="K1680" s="13">
        <v>1.5</v>
      </c>
      <c r="L1680" s="13">
        <v>1.2</v>
      </c>
      <c r="M1680" s="13">
        <v>1.5</v>
      </c>
      <c r="N1680" s="13">
        <v>1.1000000000000001</v>
      </c>
      <c r="O1680" s="13">
        <v>2</v>
      </c>
      <c r="P1680" s="13">
        <v>1.2</v>
      </c>
      <c r="Q1680">
        <v>1.05</v>
      </c>
      <c r="R1680">
        <f t="shared" si="158"/>
        <v>0.47095746419981693</v>
      </c>
    </row>
    <row r="1681" spans="1:18" hidden="1" x14ac:dyDescent="0.2">
      <c r="A1681" s="17" t="s">
        <v>579</v>
      </c>
      <c r="B1681" s="17">
        <f>B1680</f>
        <v>301.2</v>
      </c>
      <c r="C1681" s="17" t="s">
        <v>90</v>
      </c>
      <c r="D1681" s="17" t="s">
        <v>56</v>
      </c>
      <c r="F1681" s="17" t="s">
        <v>86</v>
      </c>
      <c r="G1681" s="17" t="s">
        <v>579</v>
      </c>
      <c r="H1681" s="17" t="s">
        <v>580</v>
      </c>
      <c r="I1681" s="17">
        <v>2</v>
      </c>
      <c r="J1681">
        <f t="shared" si="159"/>
        <v>5.7077744959257384</v>
      </c>
      <c r="K1681" s="13">
        <v>1.5</v>
      </c>
      <c r="L1681" s="13">
        <v>1.2</v>
      </c>
      <c r="M1681" s="13">
        <v>1.5</v>
      </c>
      <c r="N1681" s="13">
        <v>1.1000000000000001</v>
      </c>
      <c r="O1681" s="13">
        <v>2</v>
      </c>
      <c r="P1681" s="13">
        <v>1.2</v>
      </c>
      <c r="Q1681">
        <v>1.05</v>
      </c>
      <c r="R1681">
        <f t="shared" si="158"/>
        <v>0.47095746419981693</v>
      </c>
    </row>
    <row r="1682" spans="1:18" hidden="1" x14ac:dyDescent="0.2">
      <c r="A1682" s="17" t="s">
        <v>385</v>
      </c>
      <c r="B1682" s="17">
        <v>183.1</v>
      </c>
      <c r="C1682" s="17" t="s">
        <v>85</v>
      </c>
      <c r="D1682" s="17" t="s">
        <v>56</v>
      </c>
      <c r="F1682" s="17" t="s">
        <v>86</v>
      </c>
      <c r="G1682" s="17" t="s">
        <v>386</v>
      </c>
      <c r="H1682" s="17" t="s">
        <v>581</v>
      </c>
      <c r="I1682" s="17">
        <v>2</v>
      </c>
      <c r="J1682">
        <f t="shared" si="159"/>
        <v>5.2100324516804646</v>
      </c>
      <c r="K1682" s="13">
        <v>1.5</v>
      </c>
      <c r="L1682" s="13">
        <v>1.2</v>
      </c>
      <c r="M1682" s="13">
        <v>1.5</v>
      </c>
      <c r="N1682" s="13">
        <v>1.1000000000000001</v>
      </c>
      <c r="O1682" s="13">
        <v>2</v>
      </c>
      <c r="P1682" s="13">
        <v>1.2</v>
      </c>
      <c r="Q1682">
        <v>1.05</v>
      </c>
      <c r="R1682">
        <f t="shared" si="158"/>
        <v>0.47095746419981693</v>
      </c>
    </row>
    <row r="1683" spans="1:18" hidden="1" x14ac:dyDescent="0.2">
      <c r="A1683" s="17" t="s">
        <v>579</v>
      </c>
      <c r="B1683" s="17">
        <f>B1682</f>
        <v>183.1</v>
      </c>
      <c r="C1683" s="17" t="s">
        <v>90</v>
      </c>
      <c r="D1683" s="17" t="s">
        <v>56</v>
      </c>
      <c r="F1683" s="17" t="s">
        <v>86</v>
      </c>
      <c r="G1683" s="17" t="s">
        <v>579</v>
      </c>
      <c r="H1683" s="17" t="s">
        <v>581</v>
      </c>
      <c r="I1683" s="17">
        <v>2</v>
      </c>
      <c r="J1683">
        <f t="shared" si="159"/>
        <v>5.2100324516804646</v>
      </c>
      <c r="K1683" s="13">
        <v>1.5</v>
      </c>
      <c r="L1683" s="13">
        <v>1.2</v>
      </c>
      <c r="M1683" s="13">
        <v>1.5</v>
      </c>
      <c r="N1683" s="13">
        <v>1.1000000000000001</v>
      </c>
      <c r="O1683" s="13">
        <v>2</v>
      </c>
      <c r="P1683" s="13">
        <v>1.2</v>
      </c>
      <c r="Q1683">
        <v>1.05</v>
      </c>
      <c r="R1683">
        <f t="shared" si="158"/>
        <v>0.47095746419981693</v>
      </c>
    </row>
    <row r="1684" spans="1:18" hidden="1" x14ac:dyDescent="0.2">
      <c r="A1684" s="17" t="s">
        <v>523</v>
      </c>
      <c r="B1684" s="17">
        <v>4.7</v>
      </c>
      <c r="C1684" s="17" t="s">
        <v>85</v>
      </c>
      <c r="D1684" s="17" t="s">
        <v>56</v>
      </c>
      <c r="F1684" s="17" t="s">
        <v>86</v>
      </c>
      <c r="G1684" s="17" t="s">
        <v>127</v>
      </c>
      <c r="H1684" s="17" t="s">
        <v>582</v>
      </c>
      <c r="I1684" s="17">
        <v>2</v>
      </c>
      <c r="J1684">
        <f t="shared" si="159"/>
        <v>1.547562508716013</v>
      </c>
      <c r="K1684" s="13">
        <v>1.5</v>
      </c>
      <c r="L1684" s="13">
        <v>1.2</v>
      </c>
      <c r="M1684" s="13">
        <v>1.5</v>
      </c>
      <c r="N1684" s="13">
        <v>1.1000000000000001</v>
      </c>
      <c r="O1684" s="13">
        <v>2</v>
      </c>
      <c r="P1684" s="13">
        <v>1.2</v>
      </c>
      <c r="Q1684">
        <v>1.05</v>
      </c>
      <c r="R1684">
        <f t="shared" si="158"/>
        <v>0.47095746419981693</v>
      </c>
    </row>
    <row r="1685" spans="1:18" hidden="1" x14ac:dyDescent="0.2">
      <c r="A1685" s="17" t="s">
        <v>583</v>
      </c>
      <c r="B1685" s="17">
        <v>167</v>
      </c>
      <c r="C1685" s="17" t="s">
        <v>85</v>
      </c>
      <c r="D1685" s="17" t="s">
        <v>56</v>
      </c>
      <c r="F1685" s="17" t="s">
        <v>86</v>
      </c>
      <c r="G1685" s="17" t="s">
        <v>246</v>
      </c>
      <c r="H1685" s="17" t="s">
        <v>584</v>
      </c>
      <c r="I1685" s="17">
        <v>2</v>
      </c>
      <c r="J1685">
        <f t="shared" si="159"/>
        <v>5.1179938124167554</v>
      </c>
      <c r="K1685" s="13">
        <v>1.5</v>
      </c>
      <c r="L1685" s="13">
        <v>1.2</v>
      </c>
      <c r="M1685" s="13">
        <v>1.5</v>
      </c>
      <c r="N1685" s="13">
        <v>1.1000000000000001</v>
      </c>
      <c r="O1685" s="13">
        <v>2</v>
      </c>
      <c r="P1685" s="13">
        <v>1.2</v>
      </c>
      <c r="Q1685">
        <v>1.05</v>
      </c>
      <c r="R1685">
        <f t="shared" si="158"/>
        <v>0.47095746419981693</v>
      </c>
    </row>
    <row r="1686" spans="1:18" hidden="1" x14ac:dyDescent="0.2">
      <c r="A1686" s="17" t="s">
        <v>583</v>
      </c>
      <c r="B1686" s="17">
        <v>100.2</v>
      </c>
      <c r="C1686" s="17" t="s">
        <v>85</v>
      </c>
      <c r="D1686" s="17" t="s">
        <v>56</v>
      </c>
      <c r="F1686" s="17" t="s">
        <v>86</v>
      </c>
      <c r="G1686" s="17" t="s">
        <v>246</v>
      </c>
      <c r="H1686" s="17" t="s">
        <v>585</v>
      </c>
      <c r="I1686" s="17">
        <v>2</v>
      </c>
      <c r="J1686">
        <f t="shared" si="159"/>
        <v>4.6071681886507641</v>
      </c>
      <c r="K1686" s="13">
        <v>1.5</v>
      </c>
      <c r="L1686" s="13">
        <v>1.2</v>
      </c>
      <c r="M1686" s="13">
        <v>1.5</v>
      </c>
      <c r="N1686" s="13">
        <v>1.1000000000000001</v>
      </c>
      <c r="O1686" s="13">
        <v>2</v>
      </c>
      <c r="P1686" s="13">
        <v>1.2</v>
      </c>
      <c r="Q1686">
        <v>1.05</v>
      </c>
      <c r="R1686">
        <f t="shared" si="158"/>
        <v>0.47095746419981693</v>
      </c>
    </row>
    <row r="1687" spans="1:18" hidden="1" x14ac:dyDescent="0.2">
      <c r="A1687" s="17" t="s">
        <v>587</v>
      </c>
      <c r="B1687" s="17">
        <v>0</v>
      </c>
      <c r="C1687" s="17" t="s">
        <v>85</v>
      </c>
      <c r="D1687" s="17" t="s">
        <v>56</v>
      </c>
      <c r="F1687" s="17" t="s">
        <v>86</v>
      </c>
      <c r="G1687" s="17" t="s">
        <v>588</v>
      </c>
      <c r="H1687" s="17" t="s">
        <v>586</v>
      </c>
      <c r="I1687" s="17">
        <v>0</v>
      </c>
      <c r="J1687"/>
      <c r="K1687" s="13"/>
      <c r="L1687" s="13"/>
      <c r="M1687" s="13"/>
      <c r="N1687" s="13"/>
      <c r="O1687" s="13"/>
      <c r="P1687" s="13"/>
      <c r="Q1687"/>
      <c r="R1687"/>
    </row>
    <row r="1688" spans="1:18" hidden="1" x14ac:dyDescent="0.2">
      <c r="A1688" s="17" t="s">
        <v>587</v>
      </c>
      <c r="B1688" s="17">
        <v>0</v>
      </c>
      <c r="C1688" s="17" t="s">
        <v>85</v>
      </c>
      <c r="D1688" s="17" t="s">
        <v>56</v>
      </c>
      <c r="F1688" s="17" t="s">
        <v>86</v>
      </c>
      <c r="G1688" s="17" t="s">
        <v>588</v>
      </c>
      <c r="H1688" s="17" t="s">
        <v>589</v>
      </c>
      <c r="I1688" s="17">
        <v>0</v>
      </c>
      <c r="J1688"/>
      <c r="K1688" s="13"/>
      <c r="L1688" s="13"/>
      <c r="M1688" s="13"/>
      <c r="N1688" s="13"/>
      <c r="O1688" s="13"/>
      <c r="P1688" s="13"/>
      <c r="Q1688"/>
      <c r="R1688"/>
    </row>
    <row r="1689" spans="1:18" hidden="1" x14ac:dyDescent="0.2">
      <c r="A1689" s="17" t="s">
        <v>590</v>
      </c>
      <c r="B1689" s="17">
        <v>6.6</v>
      </c>
      <c r="C1689" s="17" t="s">
        <v>85</v>
      </c>
      <c r="D1689" s="17" t="s">
        <v>56</v>
      </c>
      <c r="F1689" s="17" t="s">
        <v>86</v>
      </c>
      <c r="G1689" s="17" t="s">
        <v>591</v>
      </c>
      <c r="H1689" s="17" t="s">
        <v>592</v>
      </c>
      <c r="I1689" s="17">
        <v>2</v>
      </c>
      <c r="J1689">
        <f>LN(B1689)</f>
        <v>1.8870696490323797</v>
      </c>
      <c r="K1689" s="13">
        <v>1.5</v>
      </c>
      <c r="L1689" s="13">
        <v>1.2</v>
      </c>
      <c r="M1689" s="13">
        <v>1.5</v>
      </c>
      <c r="N1689" s="13">
        <v>1.1000000000000001</v>
      </c>
      <c r="O1689" s="13">
        <v>2</v>
      </c>
      <c r="P1689" s="13">
        <v>1.2</v>
      </c>
      <c r="Q1689">
        <v>1.05</v>
      </c>
      <c r="R1689">
        <f t="shared" si="158"/>
        <v>0.47095746419981693</v>
      </c>
    </row>
    <row r="1690" spans="1:18" hidden="1" x14ac:dyDescent="0.2">
      <c r="A1690" s="17" t="s">
        <v>515</v>
      </c>
      <c r="B1690" s="17">
        <v>19.100000000000001</v>
      </c>
      <c r="C1690" s="17" t="s">
        <v>64</v>
      </c>
      <c r="D1690" s="17" t="s">
        <v>56</v>
      </c>
      <c r="F1690" s="17" t="s">
        <v>86</v>
      </c>
      <c r="G1690" s="17" t="s">
        <v>516</v>
      </c>
      <c r="H1690" s="17" t="s">
        <v>593</v>
      </c>
      <c r="I1690" s="17">
        <v>2</v>
      </c>
      <c r="J1690">
        <f>LN(B1690)</f>
        <v>2.9496883350525844</v>
      </c>
      <c r="K1690" s="13">
        <v>1.5</v>
      </c>
      <c r="L1690" s="13">
        <v>1.2</v>
      </c>
      <c r="M1690" s="13">
        <v>1.5</v>
      </c>
      <c r="N1690" s="13">
        <v>1.1000000000000001</v>
      </c>
      <c r="O1690" s="13">
        <v>2</v>
      </c>
      <c r="P1690" s="13">
        <v>1.2</v>
      </c>
      <c r="Q1690">
        <v>1.05</v>
      </c>
      <c r="R1690">
        <f t="shared" si="158"/>
        <v>0.47095746419981693</v>
      </c>
    </row>
    <row r="1691" spans="1:18" hidden="1" x14ac:dyDescent="0.2">
      <c r="A1691" s="17" t="s">
        <v>594</v>
      </c>
      <c r="B1691" s="17">
        <v>3.8</v>
      </c>
      <c r="C1691" s="17" t="s">
        <v>85</v>
      </c>
      <c r="D1691" s="17" t="s">
        <v>56</v>
      </c>
      <c r="F1691" s="17" t="s">
        <v>86</v>
      </c>
      <c r="G1691" s="17" t="s">
        <v>595</v>
      </c>
      <c r="H1691" s="17" t="s">
        <v>593</v>
      </c>
      <c r="I1691" s="17">
        <v>2</v>
      </c>
      <c r="J1691">
        <f>LN(B1691)</f>
        <v>1.33500106673234</v>
      </c>
      <c r="K1691" s="13">
        <v>1.5</v>
      </c>
      <c r="L1691" s="13">
        <v>1.2</v>
      </c>
      <c r="M1691" s="13">
        <v>1.5</v>
      </c>
      <c r="N1691" s="13">
        <v>1.1000000000000001</v>
      </c>
      <c r="O1691" s="13">
        <v>2</v>
      </c>
      <c r="P1691" s="13">
        <v>1.2</v>
      </c>
      <c r="Q1691">
        <v>1.05</v>
      </c>
      <c r="R1691">
        <f t="shared" si="158"/>
        <v>0.47095746419981693</v>
      </c>
    </row>
    <row r="1692" spans="1:18" hidden="1" x14ac:dyDescent="0.2">
      <c r="A1692" s="17" t="s">
        <v>447</v>
      </c>
      <c r="B1692" s="17">
        <v>33</v>
      </c>
      <c r="C1692" s="17" t="s">
        <v>85</v>
      </c>
      <c r="D1692" s="17" t="s">
        <v>56</v>
      </c>
      <c r="F1692" s="17" t="s">
        <v>86</v>
      </c>
      <c r="G1692" s="17" t="s">
        <v>124</v>
      </c>
      <c r="H1692" s="17" t="s">
        <v>596</v>
      </c>
      <c r="I1692" s="17">
        <v>2</v>
      </c>
      <c r="J1692">
        <f>LN(B1692)</f>
        <v>3.4965075614664802</v>
      </c>
      <c r="K1692" s="13">
        <v>1.5</v>
      </c>
      <c r="L1692" s="13">
        <v>1.2</v>
      </c>
      <c r="M1692" s="13">
        <v>1.5</v>
      </c>
      <c r="N1692" s="13">
        <v>1.1000000000000001</v>
      </c>
      <c r="O1692" s="13">
        <v>2</v>
      </c>
      <c r="P1692" s="13">
        <v>1.2</v>
      </c>
      <c r="Q1692">
        <v>1.05</v>
      </c>
      <c r="R1692">
        <f t="shared" si="158"/>
        <v>0.47095746419981693</v>
      </c>
    </row>
    <row r="1693" spans="1:18" hidden="1" x14ac:dyDescent="0.2">
      <c r="A1693" s="17" t="s">
        <v>517</v>
      </c>
      <c r="B1693" s="17">
        <f>810+9720</f>
        <v>10530</v>
      </c>
      <c r="C1693" s="17" t="s">
        <v>85</v>
      </c>
      <c r="D1693" s="17" t="s">
        <v>65</v>
      </c>
      <c r="F1693" s="17" t="s">
        <v>86</v>
      </c>
      <c r="G1693" s="17" t="s">
        <v>518</v>
      </c>
      <c r="H1693" s="17" t="s">
        <v>597</v>
      </c>
      <c r="I1693" s="17">
        <v>2</v>
      </c>
      <c r="J1693">
        <f>LN(B1693)</f>
        <v>9.2619836051280213</v>
      </c>
      <c r="K1693" s="13">
        <v>1.5</v>
      </c>
      <c r="L1693" s="13">
        <v>1.2</v>
      </c>
      <c r="M1693" s="13">
        <v>1.5</v>
      </c>
      <c r="N1693" s="13">
        <v>1.1000000000000001</v>
      </c>
      <c r="O1693" s="13">
        <v>2</v>
      </c>
      <c r="P1693" s="13">
        <v>1.2</v>
      </c>
      <c r="Q1693">
        <v>1.05</v>
      </c>
      <c r="R1693">
        <f t="shared" si="158"/>
        <v>0.47095746419981693</v>
      </c>
    </row>
    <row r="1694" spans="1:18" hidden="1" x14ac:dyDescent="0.2">
      <c r="Q1694" s="17"/>
    </row>
    <row r="1695" spans="1:18" hidden="1" x14ac:dyDescent="0.2">
      <c r="A1695" s="18" t="s">
        <v>50</v>
      </c>
      <c r="B1695" s="18" t="s">
        <v>602</v>
      </c>
      <c r="Q1695" s="17"/>
    </row>
    <row r="1696" spans="1:18" hidden="1" x14ac:dyDescent="0.2">
      <c r="A1696" s="17" t="s">
        <v>53</v>
      </c>
      <c r="B1696" s="17">
        <v>1</v>
      </c>
      <c r="Q1696" s="17"/>
    </row>
    <row r="1697" spans="1:19" hidden="1" x14ac:dyDescent="0.2">
      <c r="A1697" s="17" t="s">
        <v>54</v>
      </c>
      <c r="B1697" s="17" t="s">
        <v>553</v>
      </c>
      <c r="Q1697" s="17"/>
    </row>
    <row r="1698" spans="1:19" hidden="1" x14ac:dyDescent="0.2">
      <c r="A1698" s="17" t="s">
        <v>61</v>
      </c>
      <c r="B1698" s="17" t="s">
        <v>121</v>
      </c>
      <c r="Q1698" s="17"/>
    </row>
    <row r="1699" spans="1:19" hidden="1" x14ac:dyDescent="0.2">
      <c r="A1699" s="17" t="s">
        <v>55</v>
      </c>
      <c r="B1699" s="17" t="s">
        <v>55</v>
      </c>
      <c r="Q1699" s="17"/>
    </row>
    <row r="1700" spans="1:19" hidden="1" x14ac:dyDescent="0.2">
      <c r="A1700" s="17" t="s">
        <v>52</v>
      </c>
      <c r="B1700" s="17" t="s">
        <v>64</v>
      </c>
      <c r="Q1700" s="17"/>
    </row>
    <row r="1701" spans="1:19" hidden="1" x14ac:dyDescent="0.2">
      <c r="A1701" s="17" t="s">
        <v>51</v>
      </c>
      <c r="B1701" s="17" t="s">
        <v>514</v>
      </c>
      <c r="Q1701" s="17"/>
    </row>
    <row r="1702" spans="1:19" hidden="1" x14ac:dyDescent="0.2">
      <c r="A1702" s="17" t="s">
        <v>63</v>
      </c>
      <c r="B1702" s="17" t="s">
        <v>513</v>
      </c>
      <c r="Q1702" s="17"/>
    </row>
    <row r="1703" spans="1:19" hidden="1" x14ac:dyDescent="0.2">
      <c r="A1703" s="18" t="s">
        <v>57</v>
      </c>
      <c r="Q1703" s="17"/>
    </row>
    <row r="1704" spans="1:19" hidden="1" x14ac:dyDescent="0.2">
      <c r="A1704" s="18" t="s">
        <v>58</v>
      </c>
      <c r="B1704" s="18" t="s">
        <v>59</v>
      </c>
      <c r="C1704" s="18" t="s">
        <v>52</v>
      </c>
      <c r="D1704" s="18" t="s">
        <v>55</v>
      </c>
      <c r="E1704" s="18" t="s">
        <v>60</v>
      </c>
      <c r="F1704" s="18" t="s">
        <v>61</v>
      </c>
      <c r="G1704" s="18" t="s">
        <v>54</v>
      </c>
      <c r="H1704" s="18" t="s">
        <v>51</v>
      </c>
      <c r="I1704" s="18" t="s">
        <v>221</v>
      </c>
      <c r="J1704" s="2" t="s">
        <v>379</v>
      </c>
      <c r="K1704" s="62" t="s">
        <v>1059</v>
      </c>
      <c r="L1704" s="62" t="s">
        <v>1060</v>
      </c>
      <c r="M1704" s="62" t="s">
        <v>1061</v>
      </c>
      <c r="N1704" s="62" t="s">
        <v>1062</v>
      </c>
      <c r="O1704" s="62" t="s">
        <v>1063</v>
      </c>
      <c r="P1704" s="62" t="s">
        <v>1064</v>
      </c>
      <c r="Q1704" s="2" t="s">
        <v>1065</v>
      </c>
      <c r="R1704" s="2" t="s">
        <v>380</v>
      </c>
      <c r="S1704" s="18" t="s">
        <v>1128</v>
      </c>
    </row>
    <row r="1705" spans="1:19" hidden="1" x14ac:dyDescent="0.2">
      <c r="A1705" s="17" t="s">
        <v>602</v>
      </c>
      <c r="B1705" s="17">
        <v>1</v>
      </c>
      <c r="C1705" s="17" t="s">
        <v>64</v>
      </c>
      <c r="D1705" s="17" t="s">
        <v>55</v>
      </c>
      <c r="F1705" s="17" t="s">
        <v>62</v>
      </c>
      <c r="G1705" s="17" t="s">
        <v>553</v>
      </c>
      <c r="Q1705" s="17"/>
    </row>
    <row r="1706" spans="1:19" ht="19" hidden="1" x14ac:dyDescent="0.25">
      <c r="A1706" s="17" t="s">
        <v>525</v>
      </c>
      <c r="B1706" s="17">
        <f>(B1667+B1678+B1680+B1682)*-1</f>
        <v>-585.29999999999995</v>
      </c>
      <c r="C1706" s="17" t="s">
        <v>64</v>
      </c>
      <c r="D1706" s="17" t="s">
        <v>56</v>
      </c>
      <c r="F1706" s="38" t="s">
        <v>86</v>
      </c>
      <c r="G1706" s="17" t="s">
        <v>526</v>
      </c>
      <c r="I1706" s="17">
        <v>2</v>
      </c>
      <c r="J1706">
        <f t="shared" ref="J1706:J1715" si="160">LN(B1706*-1)</f>
        <v>6.372124536297175</v>
      </c>
      <c r="K1706" s="13">
        <v>1.5</v>
      </c>
      <c r="L1706" s="13">
        <v>1.2</v>
      </c>
      <c r="M1706" s="13">
        <v>1.5</v>
      </c>
      <c r="N1706" s="13">
        <v>1.1000000000000001</v>
      </c>
      <c r="O1706" s="13">
        <v>2</v>
      </c>
      <c r="P1706" s="13">
        <v>1.2</v>
      </c>
      <c r="Q1706">
        <v>1.05</v>
      </c>
      <c r="R1706">
        <f t="shared" ref="R1706:R1715" si="161">LN(SQRT(EXP(
SQRT(
+POWER(LN(K1706),2)
+POWER(LN(L1706),2)
+POWER(LN(M1706),2)
+POWER(LN(N1706),2)
+POWER(LN(O1706),2)
+POWER(LN(P1706),2)
+POWER(LN(Q1706),2)
)
)))</f>
        <v>0.47095746419981693</v>
      </c>
      <c r="S1706" s="17" t="b">
        <v>1</v>
      </c>
    </row>
    <row r="1707" spans="1:19" ht="19" hidden="1" x14ac:dyDescent="0.25">
      <c r="A1707" s="17" t="s">
        <v>527</v>
      </c>
      <c r="B1707" s="17">
        <f>(B1661+B1665)*-1</f>
        <v>-22</v>
      </c>
      <c r="C1707" s="17" t="s">
        <v>64</v>
      </c>
      <c r="D1707" s="17" t="s">
        <v>56</v>
      </c>
      <c r="F1707" s="38" t="s">
        <v>86</v>
      </c>
      <c r="G1707" s="17" t="s">
        <v>528</v>
      </c>
      <c r="I1707" s="17">
        <v>2</v>
      </c>
      <c r="J1707">
        <f t="shared" si="160"/>
        <v>3.0910424533583161</v>
      </c>
      <c r="K1707" s="13">
        <v>1.5</v>
      </c>
      <c r="L1707" s="13">
        <v>1.2</v>
      </c>
      <c r="M1707" s="13">
        <v>1.5</v>
      </c>
      <c r="N1707" s="13">
        <v>1.1000000000000001</v>
      </c>
      <c r="O1707" s="13">
        <v>2</v>
      </c>
      <c r="P1707" s="13">
        <v>1.2</v>
      </c>
      <c r="Q1707">
        <v>1.05</v>
      </c>
      <c r="R1707">
        <f t="shared" si="161"/>
        <v>0.47095746419981693</v>
      </c>
      <c r="S1707" s="17" t="b">
        <v>1</v>
      </c>
    </row>
    <row r="1708" spans="1:19" ht="19" hidden="1" x14ac:dyDescent="0.25">
      <c r="A1708" s="17" t="s">
        <v>529</v>
      </c>
      <c r="B1708" s="17">
        <f>(B1664*-1)</f>
        <v>-1</v>
      </c>
      <c r="C1708" s="17" t="s">
        <v>64</v>
      </c>
      <c r="D1708" s="17" t="s">
        <v>56</v>
      </c>
      <c r="F1708" s="38" t="s">
        <v>86</v>
      </c>
      <c r="G1708" s="17" t="s">
        <v>530</v>
      </c>
      <c r="I1708" s="17">
        <v>2</v>
      </c>
      <c r="J1708">
        <f t="shared" si="160"/>
        <v>0</v>
      </c>
      <c r="K1708" s="13">
        <v>1.5</v>
      </c>
      <c r="L1708" s="13">
        <v>1.2</v>
      </c>
      <c r="M1708" s="13">
        <v>1.5</v>
      </c>
      <c r="N1708" s="13">
        <v>1.1000000000000001</v>
      </c>
      <c r="O1708" s="13">
        <v>2</v>
      </c>
      <c r="P1708" s="13">
        <v>1.2</v>
      </c>
      <c r="Q1708">
        <v>1.05</v>
      </c>
      <c r="R1708">
        <f t="shared" si="161"/>
        <v>0.47095746419981693</v>
      </c>
      <c r="S1708" s="17" t="b">
        <v>1</v>
      </c>
    </row>
    <row r="1709" spans="1:19" ht="19" hidden="1" x14ac:dyDescent="0.25">
      <c r="A1709" s="17" t="s">
        <v>531</v>
      </c>
      <c r="B1709" s="39">
        <f>SUM(B1668:B1669)*91%*-1</f>
        <v>-2.8119000000000001</v>
      </c>
      <c r="C1709" s="17" t="s">
        <v>85</v>
      </c>
      <c r="D1709" s="17" t="s">
        <v>56</v>
      </c>
      <c r="F1709" s="38" t="s">
        <v>86</v>
      </c>
      <c r="G1709" s="17" t="s">
        <v>532</v>
      </c>
      <c r="I1709" s="17">
        <v>2</v>
      </c>
      <c r="J1709">
        <f t="shared" si="160"/>
        <v>1.0338604114384129</v>
      </c>
      <c r="K1709" s="13">
        <v>1.5</v>
      </c>
      <c r="L1709" s="13">
        <v>1.2</v>
      </c>
      <c r="M1709" s="13">
        <v>1.5</v>
      </c>
      <c r="N1709" s="13">
        <v>1.1000000000000001</v>
      </c>
      <c r="O1709" s="13">
        <v>2</v>
      </c>
      <c r="P1709" s="13">
        <v>1.2</v>
      </c>
      <c r="Q1709">
        <v>1.05</v>
      </c>
      <c r="R1709">
        <f t="shared" si="161"/>
        <v>0.47095746419981693</v>
      </c>
      <c r="S1709" s="17" t="b">
        <v>1</v>
      </c>
    </row>
    <row r="1710" spans="1:19" ht="19" hidden="1" x14ac:dyDescent="0.25">
      <c r="A1710" s="17" t="s">
        <v>533</v>
      </c>
      <c r="B1710" s="17">
        <f>(B1659+B1692)*-1</f>
        <v>-108</v>
      </c>
      <c r="C1710" s="17" t="s">
        <v>64</v>
      </c>
      <c r="D1710" s="17" t="s">
        <v>56</v>
      </c>
      <c r="F1710" s="38" t="s">
        <v>86</v>
      </c>
      <c r="G1710" s="17" t="s">
        <v>466</v>
      </c>
      <c r="I1710" s="17">
        <v>2</v>
      </c>
      <c r="J1710">
        <f t="shared" si="160"/>
        <v>4.6821312271242199</v>
      </c>
      <c r="K1710" s="13">
        <v>1.5</v>
      </c>
      <c r="L1710" s="13">
        <v>1.2</v>
      </c>
      <c r="M1710" s="13">
        <v>1.5</v>
      </c>
      <c r="N1710" s="13">
        <v>1.1000000000000001</v>
      </c>
      <c r="O1710" s="13">
        <v>2</v>
      </c>
      <c r="P1710" s="13">
        <v>1.2</v>
      </c>
      <c r="Q1710">
        <v>1.05</v>
      </c>
      <c r="R1710">
        <f t="shared" si="161"/>
        <v>0.47095746419981693</v>
      </c>
      <c r="S1710" s="17" t="b">
        <v>1</v>
      </c>
    </row>
    <row r="1711" spans="1:19" ht="19" hidden="1" x14ac:dyDescent="0.25">
      <c r="A1711" s="17" t="s">
        <v>534</v>
      </c>
      <c r="B1711" s="17">
        <f>(B1657)*-1</f>
        <v>-20</v>
      </c>
      <c r="C1711" s="17" t="s">
        <v>64</v>
      </c>
      <c r="D1711" s="17" t="s">
        <v>56</v>
      </c>
      <c r="F1711" s="38" t="s">
        <v>86</v>
      </c>
      <c r="G1711" s="17" t="s">
        <v>535</v>
      </c>
      <c r="I1711" s="17">
        <v>2</v>
      </c>
      <c r="J1711">
        <f t="shared" si="160"/>
        <v>2.9957322735539909</v>
      </c>
      <c r="K1711" s="13">
        <v>1.5</v>
      </c>
      <c r="L1711" s="13">
        <v>1.2</v>
      </c>
      <c r="M1711" s="13">
        <v>1.5</v>
      </c>
      <c r="N1711" s="13">
        <v>1.1000000000000001</v>
      </c>
      <c r="O1711" s="13">
        <v>2</v>
      </c>
      <c r="P1711" s="13">
        <v>1.2</v>
      </c>
      <c r="Q1711">
        <v>1.05</v>
      </c>
      <c r="R1711">
        <f t="shared" si="161"/>
        <v>0.47095746419981693</v>
      </c>
      <c r="S1711" s="17" t="b">
        <v>1</v>
      </c>
    </row>
    <row r="1712" spans="1:19" ht="19" hidden="1" x14ac:dyDescent="0.25">
      <c r="A1712" s="17" t="s">
        <v>648</v>
      </c>
      <c r="B1712" s="17">
        <f>(B1684+B1660)*-1</f>
        <v>-14.7</v>
      </c>
      <c r="C1712" s="17" t="s">
        <v>64</v>
      </c>
      <c r="D1712" s="17" t="s">
        <v>56</v>
      </c>
      <c r="F1712" s="38" t="s">
        <v>86</v>
      </c>
      <c r="G1712" s="17" t="s">
        <v>649</v>
      </c>
      <c r="I1712" s="17">
        <v>2</v>
      </c>
      <c r="J1712">
        <f t="shared" si="160"/>
        <v>2.6878474937846906</v>
      </c>
      <c r="K1712" s="13">
        <v>1.5</v>
      </c>
      <c r="L1712" s="13">
        <v>1.2</v>
      </c>
      <c r="M1712" s="13">
        <v>1.5</v>
      </c>
      <c r="N1712" s="13">
        <v>1.1000000000000001</v>
      </c>
      <c r="O1712" s="13">
        <v>2</v>
      </c>
      <c r="P1712" s="13">
        <v>1.2</v>
      </c>
      <c r="Q1712">
        <v>1.05</v>
      </c>
      <c r="R1712">
        <f t="shared" si="161"/>
        <v>0.47095746419981693</v>
      </c>
      <c r="S1712" s="17" t="b">
        <v>1</v>
      </c>
    </row>
    <row r="1713" spans="1:19" ht="19" hidden="1" x14ac:dyDescent="0.25">
      <c r="A1713" s="17" t="s">
        <v>599</v>
      </c>
      <c r="B1713" s="17">
        <f>B1679*-1</f>
        <v>-66</v>
      </c>
      <c r="C1713" s="17" t="s">
        <v>64</v>
      </c>
      <c r="D1713" s="17" t="s">
        <v>56</v>
      </c>
      <c r="F1713" s="38" t="s">
        <v>86</v>
      </c>
      <c r="G1713" s="17" t="s">
        <v>600</v>
      </c>
      <c r="I1713" s="17">
        <v>2</v>
      </c>
      <c r="J1713">
        <f t="shared" si="160"/>
        <v>4.1896547420264252</v>
      </c>
      <c r="K1713" s="13">
        <v>1.5</v>
      </c>
      <c r="L1713" s="13">
        <v>1.2</v>
      </c>
      <c r="M1713" s="13">
        <v>1.5</v>
      </c>
      <c r="N1713" s="13">
        <v>1.1000000000000001</v>
      </c>
      <c r="O1713" s="13">
        <v>2</v>
      </c>
      <c r="P1713" s="13">
        <v>1.2</v>
      </c>
      <c r="Q1713">
        <v>1.05</v>
      </c>
      <c r="R1713">
        <f t="shared" si="161"/>
        <v>0.47095746419981693</v>
      </c>
      <c r="S1713" s="17" t="b">
        <v>1</v>
      </c>
    </row>
    <row r="1714" spans="1:19" ht="19" hidden="1" x14ac:dyDescent="0.25">
      <c r="A1714" s="17" t="s">
        <v>601</v>
      </c>
      <c r="B1714" s="17">
        <f>-1*(B1690+B1675)</f>
        <v>-919.1</v>
      </c>
      <c r="C1714" s="17" t="s">
        <v>64</v>
      </c>
      <c r="D1714" s="17" t="s">
        <v>56</v>
      </c>
      <c r="F1714" s="38" t="s">
        <v>86</v>
      </c>
      <c r="G1714" s="17" t="s">
        <v>524</v>
      </c>
      <c r="I1714" s="17">
        <v>2</v>
      </c>
      <c r="J1714">
        <f t="shared" si="160"/>
        <v>6.8233949303640635</v>
      </c>
      <c r="K1714" s="13">
        <v>1.5</v>
      </c>
      <c r="L1714" s="13">
        <v>1.2</v>
      </c>
      <c r="M1714" s="13">
        <v>1.5</v>
      </c>
      <c r="N1714" s="13">
        <v>1.1000000000000001</v>
      </c>
      <c r="O1714" s="13">
        <v>2</v>
      </c>
      <c r="P1714" s="13">
        <v>1.2</v>
      </c>
      <c r="Q1714">
        <v>1.05</v>
      </c>
      <c r="R1714">
        <f t="shared" si="161"/>
        <v>0.47095746419981693</v>
      </c>
      <c r="S1714" s="17" t="b">
        <v>1</v>
      </c>
    </row>
    <row r="1715" spans="1:19" ht="19" hidden="1" x14ac:dyDescent="0.25">
      <c r="A1715" s="17" t="s">
        <v>536</v>
      </c>
      <c r="B1715" s="17">
        <v>-20</v>
      </c>
      <c r="C1715" s="17" t="s">
        <v>64</v>
      </c>
      <c r="D1715" s="17" t="s">
        <v>55</v>
      </c>
      <c r="F1715" s="38" t="s">
        <v>86</v>
      </c>
      <c r="G1715" s="17" t="s">
        <v>537</v>
      </c>
      <c r="I1715" s="17">
        <v>2</v>
      </c>
      <c r="J1715">
        <f t="shared" si="160"/>
        <v>2.9957322735539909</v>
      </c>
      <c r="K1715" s="13">
        <v>1.5</v>
      </c>
      <c r="L1715" s="13">
        <v>1.2</v>
      </c>
      <c r="M1715" s="13">
        <v>1.5</v>
      </c>
      <c r="N1715" s="13">
        <v>1.1000000000000001</v>
      </c>
      <c r="O1715" s="13">
        <v>2</v>
      </c>
      <c r="P1715" s="13">
        <v>1.2</v>
      </c>
      <c r="Q1715">
        <v>1.05</v>
      </c>
      <c r="R1715">
        <f t="shared" si="161"/>
        <v>0.47095746419981693</v>
      </c>
      <c r="S1715" s="17" t="b">
        <v>1</v>
      </c>
    </row>
    <row r="1716" spans="1:19" hidden="1" x14ac:dyDescent="0.2">
      <c r="Q1716" s="17"/>
    </row>
    <row r="1717" spans="1:19" hidden="1" x14ac:dyDescent="0.2">
      <c r="A1717" s="19" t="s">
        <v>50</v>
      </c>
      <c r="B1717" s="20" t="s">
        <v>800</v>
      </c>
      <c r="C1717" s="21"/>
      <c r="Q1717" s="17"/>
    </row>
    <row r="1718" spans="1:19" hidden="1" x14ac:dyDescent="0.2">
      <c r="A1718" s="22" t="s">
        <v>53</v>
      </c>
      <c r="B1718" s="23">
        <v>1</v>
      </c>
      <c r="Q1718" s="17"/>
    </row>
    <row r="1719" spans="1:19" hidden="1" x14ac:dyDescent="0.2">
      <c r="A1719" s="22" t="s">
        <v>51</v>
      </c>
      <c r="B1719" s="23" t="s">
        <v>1207</v>
      </c>
      <c r="Q1719" s="17"/>
    </row>
    <row r="1720" spans="1:19" hidden="1" x14ac:dyDescent="0.2">
      <c r="A1720" s="22" t="s">
        <v>798</v>
      </c>
      <c r="B1720" s="72">
        <v>12</v>
      </c>
      <c r="Q1720" s="17"/>
    </row>
    <row r="1721" spans="1:19" hidden="1" x14ac:dyDescent="0.2">
      <c r="A1721" s="22" t="s">
        <v>799</v>
      </c>
      <c r="B1721" s="72">
        <v>0.13</v>
      </c>
      <c r="Q1721" s="17"/>
    </row>
    <row r="1722" spans="1:19" hidden="1" x14ac:dyDescent="0.2">
      <c r="A1722" s="22" t="s">
        <v>797</v>
      </c>
      <c r="B1722" s="40">
        <f>(1*B1720)/((1*B1720)+(3.91*B1721))</f>
        <v>0.95936298297930178</v>
      </c>
      <c r="Q1722" s="17"/>
    </row>
    <row r="1723" spans="1:19" hidden="1" x14ac:dyDescent="0.2">
      <c r="A1723" s="22" t="s">
        <v>54</v>
      </c>
      <c r="B1723" s="24" t="s">
        <v>801</v>
      </c>
      <c r="Q1723" s="17"/>
    </row>
    <row r="1724" spans="1:19" hidden="1" x14ac:dyDescent="0.2">
      <c r="A1724" s="22" t="s">
        <v>52</v>
      </c>
      <c r="B1724" s="23" t="s">
        <v>64</v>
      </c>
      <c r="Q1724" s="17"/>
    </row>
    <row r="1725" spans="1:19" hidden="1" x14ac:dyDescent="0.2">
      <c r="A1725" s="22" t="s">
        <v>55</v>
      </c>
      <c r="B1725" s="25" t="s">
        <v>56</v>
      </c>
      <c r="H1725" s="18"/>
      <c r="I1725" s="18"/>
      <c r="J1725" s="18"/>
      <c r="Q1725" s="17"/>
    </row>
    <row r="1726" spans="1:19" hidden="1" x14ac:dyDescent="0.2">
      <c r="A1726" s="18" t="s">
        <v>57</v>
      </c>
      <c r="B1726" s="20"/>
      <c r="C1726" s="18"/>
      <c r="D1726" s="18"/>
      <c r="E1726" s="18"/>
      <c r="F1726" s="18"/>
      <c r="G1726" s="18"/>
      <c r="H1726" s="21"/>
      <c r="I1726" s="21"/>
      <c r="J1726" s="21"/>
      <c r="Q1726" s="17"/>
    </row>
    <row r="1727" spans="1:19" hidden="1" x14ac:dyDescent="0.2">
      <c r="A1727" s="18" t="s">
        <v>58</v>
      </c>
      <c r="B1727" s="20" t="s">
        <v>59</v>
      </c>
      <c r="C1727" s="18" t="s">
        <v>52</v>
      </c>
      <c r="D1727" s="18" t="s">
        <v>55</v>
      </c>
      <c r="E1727" s="18" t="s">
        <v>60</v>
      </c>
      <c r="F1727" s="18" t="s">
        <v>61</v>
      </c>
      <c r="G1727" s="18" t="s">
        <v>54</v>
      </c>
      <c r="H1727" s="60" t="s">
        <v>51</v>
      </c>
      <c r="I1727" s="18" t="s">
        <v>221</v>
      </c>
      <c r="J1727" s="2" t="s">
        <v>379</v>
      </c>
      <c r="K1727" s="62" t="s">
        <v>1059</v>
      </c>
      <c r="L1727" s="62" t="s">
        <v>1060</v>
      </c>
      <c r="M1727" s="62" t="s">
        <v>1061</v>
      </c>
      <c r="N1727" s="62" t="s">
        <v>1062</v>
      </c>
      <c r="O1727" s="62" t="s">
        <v>1063</v>
      </c>
      <c r="P1727" s="62" t="s">
        <v>1064</v>
      </c>
      <c r="Q1727" s="2" t="s">
        <v>1065</v>
      </c>
      <c r="R1727" s="2" t="s">
        <v>380</v>
      </c>
      <c r="S1727" s="18" t="s">
        <v>1128</v>
      </c>
    </row>
    <row r="1728" spans="1:19" hidden="1" x14ac:dyDescent="0.2">
      <c r="A1728" s="25" t="str">
        <f>B1717</f>
        <v>hydrogen production, gaseous, 100 bar, from methane pyrolysis</v>
      </c>
      <c r="B1728" s="75">
        <v>1</v>
      </c>
      <c r="C1728" s="17" t="str">
        <f>B1724</f>
        <v>CH</v>
      </c>
      <c r="D1728" s="17" t="str">
        <f>B1725</f>
        <v>kilogram</v>
      </c>
      <c r="E1728" s="21"/>
      <c r="F1728" s="17" t="s">
        <v>62</v>
      </c>
      <c r="G1728" s="25" t="str">
        <f>B1723</f>
        <v>hydrogen, gaseous, 100 bar</v>
      </c>
      <c r="H1728" s="21" t="s">
        <v>1201</v>
      </c>
      <c r="J1728"/>
      <c r="K1728" s="13"/>
      <c r="L1728" s="13"/>
      <c r="M1728" s="13"/>
      <c r="N1728" s="13"/>
      <c r="O1728" s="13"/>
      <c r="P1728" s="13"/>
      <c r="Q1728"/>
      <c r="R1728"/>
    </row>
    <row r="1729" spans="1:19" hidden="1" x14ac:dyDescent="0.2">
      <c r="A1729" s="17" t="s">
        <v>1193</v>
      </c>
      <c r="B1729" s="75">
        <v>1.1E-5</v>
      </c>
      <c r="C1729" s="17" t="s">
        <v>85</v>
      </c>
      <c r="D1729" s="17" t="s">
        <v>56</v>
      </c>
      <c r="E1729" s="18"/>
      <c r="F1729" s="17" t="s">
        <v>86</v>
      </c>
      <c r="G1729" s="17" t="s">
        <v>1194</v>
      </c>
      <c r="H1729" s="21" t="s">
        <v>1201</v>
      </c>
      <c r="I1729" s="17">
        <v>2</v>
      </c>
      <c r="J1729">
        <f t="shared" ref="J1729:J1735" si="162">LN(B1729)</f>
        <v>-11.417615285165903</v>
      </c>
      <c r="K1729" s="13">
        <v>1.2</v>
      </c>
      <c r="L1729" s="13">
        <v>1.2</v>
      </c>
      <c r="M1729" s="13">
        <v>1.03</v>
      </c>
      <c r="N1729" s="13">
        <v>1.01</v>
      </c>
      <c r="O1729" s="13">
        <v>1.2</v>
      </c>
      <c r="P1729" s="13">
        <v>1.2</v>
      </c>
      <c r="Q1729">
        <v>3</v>
      </c>
      <c r="R1729">
        <f t="shared" ref="R1729:R1735" si="163">LN(SQRT(EXP(
SQRT(
+POWER(LN(K1729),2)
+POWER(LN(L1729),2)
+POWER(LN(M1729),2)
+POWER(LN(N1729),2)
+POWER(LN(O1729),2)
+POWER(LN(P1729),2)
+POWER(LN(Q1729),2)
)
)))</f>
        <v>0.5789832236286534</v>
      </c>
      <c r="S1729" s="18"/>
    </row>
    <row r="1730" spans="1:19" hidden="1" x14ac:dyDescent="0.2">
      <c r="A1730" s="17" t="s">
        <v>454</v>
      </c>
      <c r="B1730" s="75">
        <v>7.3300000000000001E-6</v>
      </c>
      <c r="C1730" s="17" t="s">
        <v>85</v>
      </c>
      <c r="D1730" s="17" t="s">
        <v>56</v>
      </c>
      <c r="F1730" s="17" t="s">
        <v>86</v>
      </c>
      <c r="G1730" s="17" t="s">
        <v>455</v>
      </c>
      <c r="H1730" s="21" t="s">
        <v>1201</v>
      </c>
      <c r="I1730" s="17">
        <v>2</v>
      </c>
      <c r="J1730">
        <f t="shared" si="162"/>
        <v>-11.823535042065714</v>
      </c>
      <c r="K1730" s="13">
        <v>1.2</v>
      </c>
      <c r="L1730" s="13">
        <v>1.2</v>
      </c>
      <c r="M1730" s="13">
        <v>1.03</v>
      </c>
      <c r="N1730" s="13">
        <v>1.01</v>
      </c>
      <c r="O1730" s="13">
        <v>1.2</v>
      </c>
      <c r="P1730" s="13">
        <v>1.2</v>
      </c>
      <c r="Q1730">
        <v>3</v>
      </c>
      <c r="R1730">
        <f t="shared" si="163"/>
        <v>0.5789832236286534</v>
      </c>
    </row>
    <row r="1731" spans="1:19" hidden="1" x14ac:dyDescent="0.2">
      <c r="A1731" s="17" t="s">
        <v>1024</v>
      </c>
      <c r="B1731" s="75">
        <v>2.5899999999999999E-3</v>
      </c>
      <c r="C1731" s="17" t="s">
        <v>85</v>
      </c>
      <c r="D1731" s="17" t="s">
        <v>56</v>
      </c>
      <c r="F1731" s="17" t="s">
        <v>86</v>
      </c>
      <c r="G1731" s="17" t="s">
        <v>1025</v>
      </c>
      <c r="H1731" s="21" t="s">
        <v>1206</v>
      </c>
      <c r="I1731" s="17">
        <v>2</v>
      </c>
      <c r="J1731">
        <f t="shared" si="162"/>
        <v>-5.9560974032706904</v>
      </c>
      <c r="K1731" s="13">
        <v>1.2</v>
      </c>
      <c r="L1731" s="13">
        <v>1.2</v>
      </c>
      <c r="M1731" s="13">
        <v>1.03</v>
      </c>
      <c r="N1731" s="13">
        <v>1.01</v>
      </c>
      <c r="O1731" s="13">
        <v>1.2</v>
      </c>
      <c r="P1731" s="13">
        <v>1.2</v>
      </c>
      <c r="Q1731">
        <v>3</v>
      </c>
      <c r="R1731">
        <f t="shared" si="163"/>
        <v>0.5789832236286534</v>
      </c>
    </row>
    <row r="1732" spans="1:19" hidden="1" x14ac:dyDescent="0.2">
      <c r="A1732" s="17" t="s">
        <v>1195</v>
      </c>
      <c r="B1732" s="75">
        <v>3.3599999999999998E-2</v>
      </c>
      <c r="C1732" s="17" t="s">
        <v>85</v>
      </c>
      <c r="D1732" s="17" t="s">
        <v>56</v>
      </c>
      <c r="F1732" s="17" t="s">
        <v>86</v>
      </c>
      <c r="G1732" s="17" t="s">
        <v>1196</v>
      </c>
      <c r="H1732" s="21" t="s">
        <v>1205</v>
      </c>
      <c r="I1732" s="17">
        <v>2</v>
      </c>
      <c r="J1732">
        <f t="shared" si="162"/>
        <v>-3.3932292120129786</v>
      </c>
      <c r="K1732" s="13">
        <v>1.2</v>
      </c>
      <c r="L1732" s="13">
        <v>1.2</v>
      </c>
      <c r="M1732" s="13">
        <v>1.03</v>
      </c>
      <c r="N1732" s="13">
        <v>1.01</v>
      </c>
      <c r="O1732" s="13">
        <v>1.2</v>
      </c>
      <c r="P1732" s="13">
        <v>1.2</v>
      </c>
      <c r="Q1732">
        <v>3</v>
      </c>
      <c r="R1732">
        <f t="shared" si="163"/>
        <v>0.5789832236286534</v>
      </c>
    </row>
    <row r="1733" spans="1:19" hidden="1" x14ac:dyDescent="0.2">
      <c r="A1733" s="17" t="s">
        <v>1024</v>
      </c>
      <c r="B1733" s="75">
        <v>5.0699999999999996E-4</v>
      </c>
      <c r="C1733" s="17" t="s">
        <v>85</v>
      </c>
      <c r="D1733" s="17" t="s">
        <v>56</v>
      </c>
      <c r="F1733" s="17" t="s">
        <v>86</v>
      </c>
      <c r="G1733" s="17" t="s">
        <v>1025</v>
      </c>
      <c r="H1733" s="21" t="s">
        <v>1204</v>
      </c>
      <c r="I1733" s="17">
        <v>2</v>
      </c>
      <c r="J1733">
        <f t="shared" si="162"/>
        <v>-7.586999554373091</v>
      </c>
      <c r="K1733" s="13">
        <v>1.2</v>
      </c>
      <c r="L1733" s="13">
        <v>1.2</v>
      </c>
      <c r="M1733" s="13">
        <v>1.03</v>
      </c>
      <c r="N1733" s="13">
        <v>1.01</v>
      </c>
      <c r="O1733" s="13">
        <v>1.2</v>
      </c>
      <c r="P1733" s="13">
        <v>1.2</v>
      </c>
      <c r="Q1733">
        <v>3</v>
      </c>
      <c r="R1733">
        <f t="shared" si="163"/>
        <v>0.5789832236286534</v>
      </c>
    </row>
    <row r="1734" spans="1:19" hidden="1" x14ac:dyDescent="0.2">
      <c r="A1734" s="17" t="s">
        <v>1197</v>
      </c>
      <c r="B1734" s="75">
        <v>4.1999999999999996E-6</v>
      </c>
      <c r="C1734" s="17" t="s">
        <v>85</v>
      </c>
      <c r="D1734" s="17" t="s">
        <v>56</v>
      </c>
      <c r="F1734" s="17" t="s">
        <v>86</v>
      </c>
      <c r="G1734" s="17" t="s">
        <v>1198</v>
      </c>
      <c r="H1734" s="21" t="s">
        <v>1203</v>
      </c>
      <c r="I1734" s="17">
        <v>2</v>
      </c>
      <c r="J1734">
        <f t="shared" si="162"/>
        <v>-12.380426032674952</v>
      </c>
      <c r="K1734" s="13">
        <v>1.2</v>
      </c>
      <c r="L1734" s="13">
        <v>1.2</v>
      </c>
      <c r="M1734" s="13">
        <v>1.03</v>
      </c>
      <c r="N1734" s="13">
        <v>1.01</v>
      </c>
      <c r="O1734" s="13">
        <v>1.2</v>
      </c>
      <c r="P1734" s="13">
        <v>1.2</v>
      </c>
      <c r="Q1734">
        <v>3</v>
      </c>
      <c r="R1734">
        <f t="shared" si="163"/>
        <v>0.5789832236286534</v>
      </c>
    </row>
    <row r="1735" spans="1:19" hidden="1" x14ac:dyDescent="0.2">
      <c r="A1735" s="17" t="s">
        <v>1199</v>
      </c>
      <c r="B1735" s="75">
        <v>6.36E-8</v>
      </c>
      <c r="C1735" s="17" t="s">
        <v>85</v>
      </c>
      <c r="D1735" s="17" t="s">
        <v>55</v>
      </c>
      <c r="F1735" s="17" t="s">
        <v>86</v>
      </c>
      <c r="G1735" s="17" t="s">
        <v>1200</v>
      </c>
      <c r="H1735" s="21" t="s">
        <v>1202</v>
      </c>
      <c r="I1735" s="17">
        <v>2</v>
      </c>
      <c r="J1735">
        <f t="shared" si="162"/>
        <v>-16.570652366600335</v>
      </c>
      <c r="K1735" s="13">
        <v>1.2</v>
      </c>
      <c r="L1735" s="13">
        <v>1.2</v>
      </c>
      <c r="M1735" s="13">
        <v>1.03</v>
      </c>
      <c r="N1735" s="13">
        <v>1.01</v>
      </c>
      <c r="O1735" s="13">
        <v>1.2</v>
      </c>
      <c r="P1735" s="13">
        <v>1.2</v>
      </c>
      <c r="Q1735">
        <v>3</v>
      </c>
      <c r="R1735">
        <f t="shared" si="163"/>
        <v>0.5789832236286534</v>
      </c>
    </row>
    <row r="1736" spans="1:19" hidden="1" x14ac:dyDescent="0.2">
      <c r="A1736" s="25" t="s">
        <v>361</v>
      </c>
      <c r="B1736" s="75">
        <f>(AVERAGE(5.21, 4.86)/0.735)*B1722</f>
        <v>6.5719627473480067</v>
      </c>
      <c r="C1736" s="17" t="s">
        <v>64</v>
      </c>
      <c r="D1736" s="17" t="s">
        <v>120</v>
      </c>
      <c r="F1736" s="17" t="s">
        <v>86</v>
      </c>
      <c r="G1736" s="17" t="s">
        <v>354</v>
      </c>
      <c r="H1736" s="17" t="s">
        <v>1208</v>
      </c>
      <c r="I1736" s="17">
        <v>2</v>
      </c>
      <c r="J1736">
        <f t="shared" ref="J1736:J1739" si="164">LN(B1736)</f>
        <v>1.8828125317700346</v>
      </c>
      <c r="K1736" s="13">
        <v>1.2</v>
      </c>
      <c r="L1736" s="13">
        <v>1.2</v>
      </c>
      <c r="M1736" s="13">
        <v>1.03</v>
      </c>
      <c r="N1736" s="13">
        <v>1.01</v>
      </c>
      <c r="O1736" s="13">
        <v>1.2</v>
      </c>
      <c r="P1736" s="13">
        <v>1.2</v>
      </c>
      <c r="Q1736">
        <v>1.05</v>
      </c>
      <c r="R1736">
        <f t="shared" ref="R1736:R1739" si="165">LN(SQRT(EXP(
SQRT(
+POWER(LN(K1736),2)
+POWER(LN(L1736),2)
+POWER(LN(M1736),2)
+POWER(LN(N1736),2)
+POWER(LN(O1736),2)
+POWER(LN(P1736),2)
+POWER(LN(Q1736),2)
)
)))</f>
        <v>0.18460621081155912</v>
      </c>
    </row>
    <row r="1737" spans="1:19" hidden="1" x14ac:dyDescent="0.2">
      <c r="A1737" s="25" t="s">
        <v>288</v>
      </c>
      <c r="B1737" s="75">
        <f>8.08*B1722</f>
        <v>7.7516529024727587</v>
      </c>
      <c r="C1737" s="17" t="s">
        <v>64</v>
      </c>
      <c r="D1737" s="17" t="s">
        <v>56</v>
      </c>
      <c r="F1737" s="17" t="s">
        <v>86</v>
      </c>
      <c r="G1737" s="17" t="s">
        <v>287</v>
      </c>
      <c r="I1737" s="17">
        <v>2</v>
      </c>
      <c r="J1737">
        <f t="shared" si="164"/>
        <v>2.0479060983632125</v>
      </c>
      <c r="K1737" s="13">
        <v>1.2</v>
      </c>
      <c r="L1737" s="13">
        <v>1.2</v>
      </c>
      <c r="M1737" s="13">
        <v>1.03</v>
      </c>
      <c r="N1737" s="13">
        <v>1.01</v>
      </c>
      <c r="O1737" s="13">
        <v>1.2</v>
      </c>
      <c r="P1737" s="13">
        <v>1.2</v>
      </c>
      <c r="Q1737">
        <v>1.05</v>
      </c>
      <c r="R1737">
        <f t="shared" si="165"/>
        <v>0.18460621081155912</v>
      </c>
    </row>
    <row r="1738" spans="1:19" hidden="1" x14ac:dyDescent="0.2">
      <c r="A1738" s="25" t="s">
        <v>130</v>
      </c>
      <c r="B1738" s="75">
        <f>7.23*B1722</f>
        <v>6.9361943669403523</v>
      </c>
      <c r="C1738" s="17" t="s">
        <v>64</v>
      </c>
      <c r="D1738" s="17" t="s">
        <v>92</v>
      </c>
      <c r="F1738" s="17" t="s">
        <v>86</v>
      </c>
      <c r="G1738" s="17" t="s">
        <v>93</v>
      </c>
      <c r="I1738" s="17">
        <v>2</v>
      </c>
      <c r="J1738">
        <f t="shared" si="164"/>
        <v>1.9367532620008818</v>
      </c>
      <c r="K1738" s="13">
        <v>1.2</v>
      </c>
      <c r="L1738" s="13">
        <v>1.2</v>
      </c>
      <c r="M1738" s="13">
        <v>1.03</v>
      </c>
      <c r="N1738" s="13">
        <v>1.01</v>
      </c>
      <c r="O1738" s="13">
        <v>1.2</v>
      </c>
      <c r="P1738" s="13">
        <v>1.2</v>
      </c>
      <c r="Q1738">
        <v>1.05</v>
      </c>
      <c r="R1738">
        <f t="shared" si="165"/>
        <v>0.18460621081155912</v>
      </c>
    </row>
    <row r="1739" spans="1:19" hidden="1" x14ac:dyDescent="0.2">
      <c r="A1739" s="22" t="s">
        <v>316</v>
      </c>
      <c r="B1739" s="75">
        <f>2.5*B1722</f>
        <v>2.3984074574482546</v>
      </c>
      <c r="D1739" s="17" t="s">
        <v>56</v>
      </c>
      <c r="E1739" s="21" t="s">
        <v>100</v>
      </c>
      <c r="F1739" s="17" t="s">
        <v>99</v>
      </c>
      <c r="H1739" s="21"/>
      <c r="I1739" s="17">
        <v>2</v>
      </c>
      <c r="J1739">
        <f t="shared" si="164"/>
        <v>0.87480495770436362</v>
      </c>
      <c r="K1739" s="13">
        <v>1.2</v>
      </c>
      <c r="L1739" s="13">
        <v>1.2</v>
      </c>
      <c r="M1739" s="13">
        <v>1.03</v>
      </c>
      <c r="N1739" s="13">
        <v>1.01</v>
      </c>
      <c r="O1739" s="13">
        <v>1.2</v>
      </c>
      <c r="P1739" s="13">
        <v>1.2</v>
      </c>
      <c r="Q1739" s="13">
        <v>1.05</v>
      </c>
      <c r="R1739">
        <f t="shared" si="165"/>
        <v>0.18460621081155912</v>
      </c>
    </row>
    <row r="1740" spans="1:19" hidden="1" x14ac:dyDescent="0.2">
      <c r="A1740" s="22"/>
      <c r="B1740" s="25"/>
      <c r="G1740" s="21"/>
      <c r="H1740" s="21"/>
      <c r="I1740" s="21"/>
      <c r="Q1740" s="17"/>
    </row>
    <row r="1741" spans="1:19" hidden="1" x14ac:dyDescent="0.2">
      <c r="A1741" s="18" t="s">
        <v>50</v>
      </c>
      <c r="B1741" s="18" t="s">
        <v>803</v>
      </c>
      <c r="Q1741" s="17"/>
    </row>
    <row r="1742" spans="1:19" hidden="1" x14ac:dyDescent="0.2">
      <c r="A1742" s="17" t="s">
        <v>52</v>
      </c>
      <c r="B1742" s="17" t="s">
        <v>64</v>
      </c>
      <c r="Q1742" s="17"/>
    </row>
    <row r="1743" spans="1:19" hidden="1" x14ac:dyDescent="0.2">
      <c r="A1743" s="17" t="s">
        <v>53</v>
      </c>
      <c r="B1743" s="17">
        <v>1</v>
      </c>
      <c r="Q1743" s="17"/>
    </row>
    <row r="1744" spans="1:19" hidden="1" x14ac:dyDescent="0.2">
      <c r="A1744" s="17" t="s">
        <v>54</v>
      </c>
      <c r="B1744" s="17" t="s">
        <v>389</v>
      </c>
      <c r="Q1744" s="17"/>
    </row>
    <row r="1745" spans="1:19" hidden="1" x14ac:dyDescent="0.2">
      <c r="A1745" s="17" t="s">
        <v>61</v>
      </c>
      <c r="B1745" s="17" t="s">
        <v>121</v>
      </c>
      <c r="Q1745" s="17"/>
    </row>
    <row r="1746" spans="1:19" hidden="1" x14ac:dyDescent="0.2">
      <c r="A1746" s="17" t="s">
        <v>55</v>
      </c>
      <c r="B1746" s="17" t="s">
        <v>56</v>
      </c>
      <c r="Q1746" s="17"/>
    </row>
    <row r="1747" spans="1:19" hidden="1" x14ac:dyDescent="0.2">
      <c r="A1747" s="17" t="s">
        <v>51</v>
      </c>
      <c r="B1747" s="17" t="s">
        <v>804</v>
      </c>
      <c r="Q1747" s="17"/>
    </row>
    <row r="1748" spans="1:19" hidden="1" x14ac:dyDescent="0.2">
      <c r="A1748" s="17" t="s">
        <v>391</v>
      </c>
      <c r="B1748" s="35">
        <f>parameters!B27</f>
        <v>0.61363636363636365</v>
      </c>
      <c r="Q1748" s="17"/>
    </row>
    <row r="1749" spans="1:19" hidden="1" x14ac:dyDescent="0.2">
      <c r="A1749" s="18" t="s">
        <v>57</v>
      </c>
      <c r="Q1749" s="17"/>
    </row>
    <row r="1750" spans="1:19" hidden="1" x14ac:dyDescent="0.2">
      <c r="A1750" s="18" t="s">
        <v>58</v>
      </c>
      <c r="B1750" s="18" t="s">
        <v>59</v>
      </c>
      <c r="C1750" s="18" t="s">
        <v>52</v>
      </c>
      <c r="D1750" s="18" t="s">
        <v>55</v>
      </c>
      <c r="E1750" s="18" t="s">
        <v>60</v>
      </c>
      <c r="F1750" s="18" t="s">
        <v>61</v>
      </c>
      <c r="G1750" s="18" t="s">
        <v>54</v>
      </c>
      <c r="H1750" s="18" t="s">
        <v>51</v>
      </c>
      <c r="I1750" s="18" t="s">
        <v>221</v>
      </c>
      <c r="J1750" s="2" t="s">
        <v>379</v>
      </c>
      <c r="K1750" s="62" t="s">
        <v>1059</v>
      </c>
      <c r="L1750" s="62" t="s">
        <v>1060</v>
      </c>
      <c r="M1750" s="62" t="s">
        <v>1061</v>
      </c>
      <c r="N1750" s="62" t="s">
        <v>1062</v>
      </c>
      <c r="O1750" s="62" t="s">
        <v>1063</v>
      </c>
      <c r="P1750" s="62" t="s">
        <v>1064</v>
      </c>
      <c r="Q1750" s="2" t="s">
        <v>1065</v>
      </c>
      <c r="R1750" s="2" t="s">
        <v>380</v>
      </c>
      <c r="S1750" s="18" t="s">
        <v>1128</v>
      </c>
    </row>
    <row r="1751" spans="1:19" hidden="1" x14ac:dyDescent="0.2">
      <c r="A1751" s="17" t="str">
        <f>B1741</f>
        <v>carbon dioxide, captured at municipal solid waste incineration plant, for subsequent reuse</v>
      </c>
      <c r="B1751" s="17">
        <v>1</v>
      </c>
      <c r="C1751" s="17" t="s">
        <v>64</v>
      </c>
      <c r="D1751" s="17" t="s">
        <v>56</v>
      </c>
      <c r="F1751" s="17" t="s">
        <v>62</v>
      </c>
      <c r="G1751" s="17" t="s">
        <v>389</v>
      </c>
      <c r="H1751" s="17" t="s">
        <v>356</v>
      </c>
      <c r="Q1751" s="17"/>
    </row>
    <row r="1752" spans="1:19" hidden="1" x14ac:dyDescent="0.2">
      <c r="A1752" s="17" t="s">
        <v>316</v>
      </c>
      <c r="B1752" s="33">
        <f>(1-B1748)*0.175</f>
        <v>6.7613636363636362E-2</v>
      </c>
      <c r="D1752" s="17" t="s">
        <v>56</v>
      </c>
      <c r="E1752" s="17" t="s">
        <v>100</v>
      </c>
      <c r="F1752" s="17" t="s">
        <v>99</v>
      </c>
      <c r="H1752" s="17" t="s">
        <v>1068</v>
      </c>
      <c r="I1752" s="17">
        <v>2</v>
      </c>
      <c r="J1752">
        <f t="shared" ref="J1752:J1760" si="166">LN(B1752)</f>
        <v>-2.6939455949206681</v>
      </c>
      <c r="K1752" s="13">
        <v>1.1000000000000001</v>
      </c>
      <c r="L1752" s="13">
        <v>1.2</v>
      </c>
      <c r="M1752" s="13">
        <v>1</v>
      </c>
      <c r="N1752" s="13">
        <v>1.01</v>
      </c>
      <c r="O1752" s="13">
        <v>1.2</v>
      </c>
      <c r="P1752" s="13">
        <v>1.2</v>
      </c>
      <c r="Q1752" s="13">
        <v>1.05</v>
      </c>
      <c r="R1752">
        <f t="shared" ref="R1752:R1760" si="167">LN(SQRT(EXP(
SQRT(
+POWER(LN(K1752),2)
+POWER(LN(L1752),2)
+POWER(LN(M1752),2)
+POWER(LN(N1752),2)
+POWER(LN(O1752),2)
+POWER(LN(P1752),2)
+POWER(LN(Q1752),2)
)
)))</f>
        <v>0.16679850853156178</v>
      </c>
    </row>
    <row r="1753" spans="1:19" hidden="1" x14ac:dyDescent="0.2">
      <c r="A1753" s="17" t="s">
        <v>371</v>
      </c>
      <c r="B1753" s="33">
        <f>B1748*0.175</f>
        <v>0.10738636363636363</v>
      </c>
      <c r="D1753" s="17" t="s">
        <v>56</v>
      </c>
      <c r="E1753" s="17" t="s">
        <v>100</v>
      </c>
      <c r="F1753" s="17" t="s">
        <v>99</v>
      </c>
      <c r="H1753" s="17" t="s">
        <v>1068</v>
      </c>
      <c r="I1753" s="17">
        <v>2</v>
      </c>
      <c r="J1753">
        <f t="shared" si="166"/>
        <v>-2.2313220729725551</v>
      </c>
      <c r="K1753" s="13">
        <v>1.1000000000000001</v>
      </c>
      <c r="L1753" s="13">
        <v>1.2</v>
      </c>
      <c r="M1753" s="13">
        <v>1</v>
      </c>
      <c r="N1753" s="13">
        <v>1.01</v>
      </c>
      <c r="O1753" s="13">
        <v>1.2</v>
      </c>
      <c r="P1753" s="13">
        <v>1.2</v>
      </c>
      <c r="Q1753" s="13">
        <v>1.05</v>
      </c>
      <c r="R1753">
        <f t="shared" si="167"/>
        <v>0.16679850853156178</v>
      </c>
    </row>
    <row r="1754" spans="1:19" hidden="1" x14ac:dyDescent="0.2">
      <c r="A1754" s="17" t="s">
        <v>207</v>
      </c>
      <c r="B1754" s="41">
        <f>0.1/1000</f>
        <v>1E-4</v>
      </c>
      <c r="D1754" s="17" t="s">
        <v>56</v>
      </c>
      <c r="E1754" s="17" t="s">
        <v>100</v>
      </c>
      <c r="F1754" s="17" t="s">
        <v>99</v>
      </c>
      <c r="I1754" s="17">
        <v>2</v>
      </c>
      <c r="J1754">
        <f t="shared" si="166"/>
        <v>-9.2103403719761818</v>
      </c>
      <c r="K1754" s="13">
        <v>1.1000000000000001</v>
      </c>
      <c r="L1754" s="13">
        <v>1.2</v>
      </c>
      <c r="M1754" s="13">
        <v>1</v>
      </c>
      <c r="N1754" s="13">
        <v>1.01</v>
      </c>
      <c r="O1754" s="13">
        <v>1.2</v>
      </c>
      <c r="P1754" s="13">
        <v>1.2</v>
      </c>
      <c r="Q1754" s="13">
        <v>1.5</v>
      </c>
      <c r="R1754">
        <f t="shared" si="167"/>
        <v>0.26139455023340635</v>
      </c>
    </row>
    <row r="1755" spans="1:19" hidden="1" x14ac:dyDescent="0.2">
      <c r="A1755" s="17" t="s">
        <v>288</v>
      </c>
      <c r="B1755" s="17">
        <f>9.66/1000</f>
        <v>9.6600000000000002E-3</v>
      </c>
      <c r="C1755" s="17" t="s">
        <v>96</v>
      </c>
      <c r="D1755" s="17" t="s">
        <v>56</v>
      </c>
      <c r="F1755" s="17" t="s">
        <v>86</v>
      </c>
      <c r="G1755" s="17" t="s">
        <v>287</v>
      </c>
      <c r="I1755" s="17">
        <v>2</v>
      </c>
      <c r="J1755">
        <f t="shared" si="166"/>
        <v>-4.6397616307577101</v>
      </c>
      <c r="K1755" s="13">
        <v>1.1000000000000001</v>
      </c>
      <c r="L1755" s="13">
        <v>1.2</v>
      </c>
      <c r="M1755" s="13">
        <v>1</v>
      </c>
      <c r="N1755" s="13">
        <v>1.01</v>
      </c>
      <c r="O1755" s="13">
        <v>1.2</v>
      </c>
      <c r="P1755" s="13">
        <v>1.2</v>
      </c>
      <c r="Q1755">
        <v>1.05</v>
      </c>
      <c r="R1755">
        <f t="shared" si="167"/>
        <v>0.16679850853156178</v>
      </c>
    </row>
    <row r="1756" spans="1:19" hidden="1" x14ac:dyDescent="0.2">
      <c r="A1756" s="17" t="s">
        <v>130</v>
      </c>
      <c r="B1756" s="17">
        <v>0.1</v>
      </c>
      <c r="C1756" s="17" t="s">
        <v>64</v>
      </c>
      <c r="D1756" s="17" t="s">
        <v>92</v>
      </c>
      <c r="F1756" s="17" t="s">
        <v>86</v>
      </c>
      <c r="G1756" s="17" t="s">
        <v>93</v>
      </c>
      <c r="I1756" s="17">
        <v>2</v>
      </c>
      <c r="J1756">
        <f t="shared" si="166"/>
        <v>-2.3025850929940455</v>
      </c>
      <c r="K1756" s="13">
        <v>1.1000000000000001</v>
      </c>
      <c r="L1756" s="13">
        <v>1.2</v>
      </c>
      <c r="M1756" s="13">
        <v>1</v>
      </c>
      <c r="N1756" s="13">
        <v>1.01</v>
      </c>
      <c r="O1756" s="13">
        <v>1.2</v>
      </c>
      <c r="P1756" s="13">
        <v>1.2</v>
      </c>
      <c r="Q1756">
        <v>1.05</v>
      </c>
      <c r="R1756">
        <f t="shared" si="167"/>
        <v>0.16679850853156178</v>
      </c>
    </row>
    <row r="1757" spans="1:19" hidden="1" x14ac:dyDescent="0.2">
      <c r="A1757" s="17" t="s">
        <v>263</v>
      </c>
      <c r="B1757" s="17">
        <v>1.5</v>
      </c>
      <c r="C1757" s="17" t="s">
        <v>90</v>
      </c>
      <c r="D1757" s="17" t="s">
        <v>65</v>
      </c>
      <c r="F1757" s="17" t="s">
        <v>86</v>
      </c>
      <c r="G1757" s="17" t="s">
        <v>199</v>
      </c>
      <c r="H1757" s="17" t="s">
        <v>1220</v>
      </c>
      <c r="I1757" s="17">
        <v>2</v>
      </c>
      <c r="J1757">
        <f t="shared" si="166"/>
        <v>0.40546510810816438</v>
      </c>
      <c r="K1757" s="13">
        <v>1.1000000000000001</v>
      </c>
      <c r="L1757" s="13">
        <v>1.2</v>
      </c>
      <c r="M1757" s="13">
        <v>1</v>
      </c>
      <c r="N1757" s="13">
        <v>1.01</v>
      </c>
      <c r="O1757" s="13">
        <v>1.2</v>
      </c>
      <c r="P1757" s="13">
        <v>1.2</v>
      </c>
      <c r="Q1757">
        <v>1.05</v>
      </c>
      <c r="R1757">
        <f t="shared" si="167"/>
        <v>0.16679850853156178</v>
      </c>
    </row>
    <row r="1758" spans="1:19" hidden="1" x14ac:dyDescent="0.2">
      <c r="A1758" s="17" t="s">
        <v>395</v>
      </c>
      <c r="B1758" s="17">
        <f>4/1000</f>
        <v>4.0000000000000001E-3</v>
      </c>
      <c r="C1758" s="17" t="s">
        <v>85</v>
      </c>
      <c r="D1758" s="17" t="s">
        <v>56</v>
      </c>
      <c r="F1758" s="17" t="s">
        <v>86</v>
      </c>
      <c r="G1758" s="17" t="s">
        <v>396</v>
      </c>
      <c r="I1758" s="17">
        <v>2</v>
      </c>
      <c r="J1758">
        <f t="shared" si="166"/>
        <v>-5.521460917862246</v>
      </c>
      <c r="K1758" s="13">
        <v>1.1000000000000001</v>
      </c>
      <c r="L1758" s="13">
        <v>1.2</v>
      </c>
      <c r="M1758" s="13">
        <v>1</v>
      </c>
      <c r="N1758" s="13">
        <v>1.01</v>
      </c>
      <c r="O1758" s="13">
        <v>1.2</v>
      </c>
      <c r="P1758" s="13">
        <v>1.2</v>
      </c>
      <c r="Q1758">
        <v>1.05</v>
      </c>
      <c r="R1758">
        <f t="shared" si="167"/>
        <v>0.16679850853156178</v>
      </c>
    </row>
    <row r="1759" spans="1:19" hidden="1" x14ac:dyDescent="0.2">
      <c r="A1759" s="17" t="s">
        <v>205</v>
      </c>
      <c r="B1759" s="17">
        <f>0.1/1000</f>
        <v>1E-4</v>
      </c>
      <c r="C1759" s="17" t="s">
        <v>85</v>
      </c>
      <c r="D1759" s="17" t="s">
        <v>56</v>
      </c>
      <c r="F1759" s="17" t="s">
        <v>86</v>
      </c>
      <c r="G1759" s="17" t="s">
        <v>206</v>
      </c>
      <c r="I1759" s="17">
        <v>2</v>
      </c>
      <c r="J1759">
        <f t="shared" si="166"/>
        <v>-9.2103403719761818</v>
      </c>
      <c r="K1759" s="13">
        <v>1.1000000000000001</v>
      </c>
      <c r="L1759" s="13">
        <v>1.2</v>
      </c>
      <c r="M1759" s="13">
        <v>1</v>
      </c>
      <c r="N1759" s="13">
        <v>1.01</v>
      </c>
      <c r="O1759" s="13">
        <v>1.2</v>
      </c>
      <c r="P1759" s="13">
        <v>1.2</v>
      </c>
      <c r="Q1759">
        <v>1.05</v>
      </c>
      <c r="R1759">
        <f t="shared" si="167"/>
        <v>0.16679850853156178</v>
      </c>
    </row>
    <row r="1760" spans="1:19" hidden="1" x14ac:dyDescent="0.2">
      <c r="A1760" s="17" t="s">
        <v>105</v>
      </c>
      <c r="B1760" s="17">
        <f>0.1/1000</f>
        <v>1E-4</v>
      </c>
      <c r="C1760" s="17" t="s">
        <v>85</v>
      </c>
      <c r="D1760" s="17" t="s">
        <v>56</v>
      </c>
      <c r="F1760" s="17" t="s">
        <v>86</v>
      </c>
      <c r="G1760" s="17" t="s">
        <v>106</v>
      </c>
      <c r="I1760" s="17">
        <v>2</v>
      </c>
      <c r="J1760">
        <f t="shared" si="166"/>
        <v>-9.2103403719761818</v>
      </c>
      <c r="K1760" s="13">
        <v>1.1000000000000001</v>
      </c>
      <c r="L1760" s="13">
        <v>1.2</v>
      </c>
      <c r="M1760" s="13">
        <v>1</v>
      </c>
      <c r="N1760" s="13">
        <v>1.01</v>
      </c>
      <c r="O1760" s="13">
        <v>1.2</v>
      </c>
      <c r="P1760" s="13">
        <v>1.2</v>
      </c>
      <c r="Q1760">
        <v>1.05</v>
      </c>
      <c r="R1760">
        <f t="shared" si="167"/>
        <v>0.16679850853156178</v>
      </c>
    </row>
    <row r="1761" spans="1:19" hidden="1" x14ac:dyDescent="0.2">
      <c r="Q1761" s="17"/>
    </row>
    <row r="1762" spans="1:19" customFormat="1" hidden="1" x14ac:dyDescent="0.2">
      <c r="A1762" s="2" t="s">
        <v>50</v>
      </c>
      <c r="B1762" s="2" t="s">
        <v>1035</v>
      </c>
      <c r="K1762" s="13"/>
      <c r="L1762" s="13"/>
      <c r="M1762" s="13"/>
      <c r="N1762" s="13"/>
      <c r="O1762" s="13"/>
      <c r="P1762" s="13"/>
    </row>
    <row r="1763" spans="1:19" customFormat="1" hidden="1" x14ac:dyDescent="0.2">
      <c r="A1763" t="s">
        <v>52</v>
      </c>
      <c r="B1763" t="s">
        <v>64</v>
      </c>
      <c r="K1763" s="13"/>
      <c r="L1763" s="13"/>
      <c r="M1763" s="13"/>
      <c r="N1763" s="13"/>
      <c r="O1763" s="13"/>
      <c r="P1763" s="13"/>
    </row>
    <row r="1764" spans="1:19" customFormat="1" hidden="1" x14ac:dyDescent="0.2">
      <c r="A1764" t="s">
        <v>53</v>
      </c>
      <c r="B1764">
        <v>1</v>
      </c>
      <c r="K1764" s="13"/>
      <c r="L1764" s="13"/>
      <c r="M1764" s="13"/>
      <c r="N1764" s="13"/>
      <c r="O1764" s="13"/>
      <c r="P1764" s="13"/>
    </row>
    <row r="1765" spans="1:19" customFormat="1" hidden="1" x14ac:dyDescent="0.2">
      <c r="A1765" t="s">
        <v>54</v>
      </c>
      <c r="B1765" t="s">
        <v>1036</v>
      </c>
      <c r="K1765" s="13"/>
      <c r="L1765" s="13"/>
      <c r="M1765" s="13"/>
      <c r="N1765" s="13"/>
      <c r="O1765" s="13"/>
      <c r="P1765" s="13"/>
    </row>
    <row r="1766" spans="1:19" customFormat="1" hidden="1" x14ac:dyDescent="0.2">
      <c r="A1766" t="s">
        <v>61</v>
      </c>
      <c r="B1766" t="s">
        <v>121</v>
      </c>
      <c r="K1766" s="13"/>
      <c r="L1766" s="13"/>
      <c r="M1766" s="13"/>
      <c r="N1766" s="13"/>
      <c r="O1766" s="13"/>
      <c r="P1766" s="13"/>
    </row>
    <row r="1767" spans="1:19" customFormat="1" hidden="1" x14ac:dyDescent="0.2">
      <c r="A1767" t="s">
        <v>55</v>
      </c>
      <c r="B1767" t="s">
        <v>56</v>
      </c>
      <c r="K1767" s="13"/>
      <c r="L1767" s="13"/>
      <c r="M1767" s="13"/>
      <c r="N1767" s="13"/>
      <c r="O1767" s="13"/>
      <c r="P1767" s="13"/>
    </row>
    <row r="1768" spans="1:19" customFormat="1" hidden="1" x14ac:dyDescent="0.2">
      <c r="A1768" t="s">
        <v>51</v>
      </c>
      <c r="B1768" t="s">
        <v>1037</v>
      </c>
      <c r="K1768" s="13"/>
      <c r="L1768" s="13"/>
      <c r="M1768" s="13"/>
      <c r="N1768" s="13"/>
      <c r="O1768" s="13"/>
      <c r="P1768" s="13"/>
    </row>
    <row r="1769" spans="1:19" customFormat="1" hidden="1" x14ac:dyDescent="0.2">
      <c r="A1769" t="s">
        <v>63</v>
      </c>
      <c r="B1769" t="s">
        <v>165</v>
      </c>
      <c r="K1769" s="13"/>
      <c r="L1769" s="13"/>
      <c r="M1769" s="13"/>
      <c r="N1769" s="13"/>
      <c r="O1769" s="13"/>
      <c r="P1769" s="13"/>
    </row>
    <row r="1770" spans="1:19" customFormat="1" hidden="1" x14ac:dyDescent="0.2">
      <c r="A1770" s="2" t="s">
        <v>57</v>
      </c>
      <c r="K1770" s="13"/>
      <c r="L1770" s="13"/>
      <c r="M1770" s="13"/>
      <c r="N1770" s="13"/>
      <c r="O1770" s="13"/>
      <c r="P1770" s="13"/>
    </row>
    <row r="1771" spans="1:19" customFormat="1" hidden="1" x14ac:dyDescent="0.2">
      <c r="A1771" s="2" t="s">
        <v>58</v>
      </c>
      <c r="B1771" s="2" t="s">
        <v>59</v>
      </c>
      <c r="C1771" s="2" t="s">
        <v>52</v>
      </c>
      <c r="D1771" s="2" t="s">
        <v>55</v>
      </c>
      <c r="E1771" s="2" t="s">
        <v>60</v>
      </c>
      <c r="F1771" s="2" t="s">
        <v>61</v>
      </c>
      <c r="G1771" s="2" t="s">
        <v>54</v>
      </c>
      <c r="H1771" s="18" t="s">
        <v>51</v>
      </c>
      <c r="I1771" s="18" t="s">
        <v>221</v>
      </c>
      <c r="J1771" s="2" t="s">
        <v>379</v>
      </c>
      <c r="K1771" s="62" t="s">
        <v>1059</v>
      </c>
      <c r="L1771" s="62" t="s">
        <v>1060</v>
      </c>
      <c r="M1771" s="62" t="s">
        <v>1061</v>
      </c>
      <c r="N1771" s="62" t="s">
        <v>1062</v>
      </c>
      <c r="O1771" s="62" t="s">
        <v>1063</v>
      </c>
      <c r="P1771" s="62" t="s">
        <v>1064</v>
      </c>
      <c r="Q1771" s="2" t="s">
        <v>1065</v>
      </c>
      <c r="R1771" s="2" t="s">
        <v>380</v>
      </c>
      <c r="S1771" s="18" t="s">
        <v>1128</v>
      </c>
    </row>
    <row r="1772" spans="1:19" customFormat="1" hidden="1" x14ac:dyDescent="0.2">
      <c r="A1772" t="s">
        <v>1035</v>
      </c>
      <c r="B1772" s="13">
        <v>1</v>
      </c>
      <c r="C1772" t="s">
        <v>64</v>
      </c>
      <c r="D1772" t="s">
        <v>56</v>
      </c>
      <c r="F1772" t="s">
        <v>62</v>
      </c>
      <c r="G1772" t="s">
        <v>1036</v>
      </c>
      <c r="H1772" s="17"/>
      <c r="I1772" s="17"/>
      <c r="K1772" s="13"/>
      <c r="L1772" s="13"/>
      <c r="M1772" s="13"/>
      <c r="N1772" s="13"/>
      <c r="O1772" s="13"/>
      <c r="P1772" s="13"/>
    </row>
    <row r="1773" spans="1:19" customFormat="1" hidden="1" x14ac:dyDescent="0.2">
      <c r="A1773" t="s">
        <v>130</v>
      </c>
      <c r="B1773">
        <v>9.375E-2</v>
      </c>
      <c r="C1773" t="s">
        <v>64</v>
      </c>
      <c r="D1773" t="s">
        <v>92</v>
      </c>
      <c r="F1773" t="s">
        <v>86</v>
      </c>
      <c r="G1773" t="s">
        <v>93</v>
      </c>
      <c r="H1773" s="17"/>
      <c r="I1773" s="17">
        <v>2</v>
      </c>
      <c r="J1773">
        <f t="shared" ref="J1773:J1774" si="168">LN(B1773)</f>
        <v>-2.367123614131617</v>
      </c>
      <c r="K1773" s="13">
        <v>1.5</v>
      </c>
      <c r="L1773" s="13">
        <v>1.2</v>
      </c>
      <c r="M1773" s="13">
        <v>1.5</v>
      </c>
      <c r="N1773" s="13">
        <v>1.1000000000000001</v>
      </c>
      <c r="O1773" s="13">
        <v>2</v>
      </c>
      <c r="P1773" s="13">
        <v>1.2</v>
      </c>
      <c r="Q1773">
        <v>1.05</v>
      </c>
      <c r="R1773">
        <f t="shared" ref="R1773:R1774" si="169">LN(SQRT(EXP(
SQRT(
+POWER(LN(K1773),2)
+POWER(LN(L1773),2)
+POWER(LN(M1773),2)
+POWER(LN(N1773),2)
+POWER(LN(O1773),2)
+POWER(LN(P1773),2)
+POWER(LN(Q1773),2)
)
)))</f>
        <v>0.47095746419981693</v>
      </c>
    </row>
    <row r="1774" spans="1:19" customFormat="1" hidden="1" x14ac:dyDescent="0.2">
      <c r="A1774" t="s">
        <v>288</v>
      </c>
      <c r="B1774">
        <v>31.25</v>
      </c>
      <c r="C1774" t="s">
        <v>64</v>
      </c>
      <c r="D1774" t="s">
        <v>56</v>
      </c>
      <c r="F1774" t="s">
        <v>86</v>
      </c>
      <c r="G1774" t="s">
        <v>287</v>
      </c>
      <c r="H1774" s="17"/>
      <c r="I1774" s="17">
        <v>2</v>
      </c>
      <c r="J1774">
        <f t="shared" si="168"/>
        <v>3.4420193761824107</v>
      </c>
      <c r="K1774" s="13">
        <v>1.5</v>
      </c>
      <c r="L1774" s="13">
        <v>1.2</v>
      </c>
      <c r="M1774" s="13">
        <v>1.5</v>
      </c>
      <c r="N1774" s="13">
        <v>1.1000000000000001</v>
      </c>
      <c r="O1774" s="13">
        <v>2</v>
      </c>
      <c r="P1774" s="13">
        <v>1.2</v>
      </c>
      <c r="Q1774">
        <v>1.05</v>
      </c>
      <c r="R1774">
        <f t="shared" si="169"/>
        <v>0.47095746419981693</v>
      </c>
    </row>
    <row r="1775" spans="1:19" customFormat="1" hidden="1" x14ac:dyDescent="0.2">
      <c r="K1775" s="13"/>
      <c r="L1775" s="13"/>
      <c r="M1775" s="13"/>
      <c r="N1775" s="13"/>
      <c r="O1775" s="13"/>
      <c r="P1775" s="13"/>
    </row>
    <row r="1776" spans="1:19" customFormat="1" hidden="1" x14ac:dyDescent="0.2">
      <c r="A1776" s="2" t="s">
        <v>50</v>
      </c>
      <c r="B1776" s="2" t="s">
        <v>1038</v>
      </c>
      <c r="K1776" s="13"/>
      <c r="L1776" s="13"/>
      <c r="M1776" s="13"/>
      <c r="N1776" s="13"/>
      <c r="O1776" s="13"/>
      <c r="P1776" s="13"/>
    </row>
    <row r="1777" spans="1:19" customFormat="1" hidden="1" x14ac:dyDescent="0.2">
      <c r="A1777" t="s">
        <v>52</v>
      </c>
      <c r="B1777" t="s">
        <v>64</v>
      </c>
      <c r="K1777" s="13"/>
      <c r="L1777" s="13"/>
      <c r="M1777" s="13"/>
      <c r="N1777" s="13"/>
      <c r="O1777" s="13"/>
      <c r="P1777" s="13"/>
    </row>
    <row r="1778" spans="1:19" customFormat="1" hidden="1" x14ac:dyDescent="0.2">
      <c r="A1778" t="s">
        <v>53</v>
      </c>
      <c r="B1778">
        <v>1</v>
      </c>
      <c r="K1778" s="13"/>
      <c r="L1778" s="13"/>
      <c r="M1778" s="13"/>
      <c r="N1778" s="13"/>
      <c r="O1778" s="13"/>
      <c r="P1778" s="13"/>
    </row>
    <row r="1779" spans="1:19" customFormat="1" hidden="1" x14ac:dyDescent="0.2">
      <c r="A1779" t="s">
        <v>54</v>
      </c>
      <c r="B1779" t="s">
        <v>1039</v>
      </c>
      <c r="K1779" s="13"/>
      <c r="L1779" s="13"/>
      <c r="M1779" s="13"/>
      <c r="N1779" s="13"/>
      <c r="O1779" s="13"/>
      <c r="P1779" s="13"/>
    </row>
    <row r="1780" spans="1:19" customFormat="1" hidden="1" x14ac:dyDescent="0.2">
      <c r="A1780" t="s">
        <v>61</v>
      </c>
      <c r="B1780" t="s">
        <v>121</v>
      </c>
      <c r="K1780" s="13"/>
      <c r="L1780" s="13"/>
      <c r="M1780" s="13"/>
      <c r="N1780" s="13"/>
      <c r="O1780" s="13"/>
      <c r="P1780" s="13"/>
    </row>
    <row r="1781" spans="1:19" customFormat="1" hidden="1" x14ac:dyDescent="0.2">
      <c r="A1781" t="s">
        <v>55</v>
      </c>
      <c r="B1781" t="s">
        <v>56</v>
      </c>
      <c r="K1781" s="13"/>
      <c r="L1781" s="13"/>
      <c r="M1781" s="13"/>
      <c r="N1781" s="13"/>
      <c r="O1781" s="13"/>
      <c r="P1781" s="13"/>
    </row>
    <row r="1782" spans="1:19" customFormat="1" hidden="1" x14ac:dyDescent="0.2">
      <c r="A1782" t="s">
        <v>51</v>
      </c>
      <c r="B1782" t="s">
        <v>1211</v>
      </c>
      <c r="K1782" s="13"/>
      <c r="L1782" s="13"/>
      <c r="M1782" s="13"/>
      <c r="N1782" s="13"/>
      <c r="O1782" s="13"/>
      <c r="P1782" s="13"/>
    </row>
    <row r="1783" spans="1:19" customFormat="1" hidden="1" x14ac:dyDescent="0.2">
      <c r="A1783" t="s">
        <v>63</v>
      </c>
      <c r="B1783" t="s">
        <v>165</v>
      </c>
      <c r="K1783" s="13"/>
      <c r="L1783" s="13"/>
      <c r="M1783" s="13"/>
      <c r="N1783" s="13"/>
      <c r="O1783" s="13"/>
      <c r="P1783" s="13"/>
    </row>
    <row r="1784" spans="1:19" customFormat="1" hidden="1" x14ac:dyDescent="0.2">
      <c r="A1784" s="2" t="s">
        <v>57</v>
      </c>
      <c r="K1784" s="13"/>
      <c r="L1784" s="13"/>
      <c r="M1784" s="13"/>
      <c r="N1784" s="13"/>
      <c r="O1784" s="13"/>
      <c r="P1784" s="13"/>
    </row>
    <row r="1785" spans="1:19" customFormat="1" hidden="1" x14ac:dyDescent="0.2">
      <c r="A1785" s="2" t="s">
        <v>58</v>
      </c>
      <c r="B1785" s="2" t="s">
        <v>59</v>
      </c>
      <c r="C1785" s="2" t="s">
        <v>52</v>
      </c>
      <c r="D1785" s="2" t="s">
        <v>55</v>
      </c>
      <c r="E1785" s="2" t="s">
        <v>60</v>
      </c>
      <c r="F1785" s="2" t="s">
        <v>61</v>
      </c>
      <c r="G1785" s="2" t="s">
        <v>54</v>
      </c>
      <c r="H1785" s="18" t="s">
        <v>51</v>
      </c>
      <c r="I1785" s="18" t="s">
        <v>221</v>
      </c>
      <c r="J1785" s="2" t="s">
        <v>379</v>
      </c>
      <c r="K1785" s="62" t="s">
        <v>1059</v>
      </c>
      <c r="L1785" s="62" t="s">
        <v>1060</v>
      </c>
      <c r="M1785" s="62" t="s">
        <v>1061</v>
      </c>
      <c r="N1785" s="62" t="s">
        <v>1062</v>
      </c>
      <c r="O1785" s="62" t="s">
        <v>1063</v>
      </c>
      <c r="P1785" s="62" t="s">
        <v>1064</v>
      </c>
      <c r="Q1785" s="2" t="s">
        <v>1065</v>
      </c>
      <c r="R1785" s="2" t="s">
        <v>380</v>
      </c>
      <c r="S1785" s="18" t="s">
        <v>1128</v>
      </c>
    </row>
    <row r="1786" spans="1:19" customFormat="1" hidden="1" x14ac:dyDescent="0.2">
      <c r="A1786" t="s">
        <v>1038</v>
      </c>
      <c r="B1786" s="13">
        <v>1</v>
      </c>
      <c r="C1786" t="s">
        <v>64</v>
      </c>
      <c r="D1786" t="s">
        <v>56</v>
      </c>
      <c r="F1786" t="s">
        <v>62</v>
      </c>
      <c r="G1786" t="s">
        <v>1039</v>
      </c>
      <c r="H1786" s="17"/>
      <c r="I1786" s="17"/>
      <c r="K1786" s="13"/>
      <c r="L1786" s="13"/>
      <c r="M1786" s="13"/>
      <c r="N1786" s="13"/>
      <c r="O1786" s="13"/>
      <c r="P1786" s="13"/>
    </row>
    <row r="1787" spans="1:19" customFormat="1" hidden="1" x14ac:dyDescent="0.2">
      <c r="A1787" t="s">
        <v>130</v>
      </c>
      <c r="B1787">
        <v>0.14399999999999999</v>
      </c>
      <c r="C1787" t="s">
        <v>64</v>
      </c>
      <c r="D1787" t="s">
        <v>92</v>
      </c>
      <c r="F1787" t="s">
        <v>86</v>
      </c>
      <c r="G1787" t="s">
        <v>93</v>
      </c>
      <c r="H1787" s="17" t="s">
        <v>1210</v>
      </c>
      <c r="I1787" s="17">
        <v>2</v>
      </c>
      <c r="J1787">
        <f t="shared" ref="J1787" si="170">LN(B1787)</f>
        <v>-1.9379419794061366</v>
      </c>
      <c r="K1787" s="13">
        <v>1.5</v>
      </c>
      <c r="L1787" s="13">
        <v>1.2</v>
      </c>
      <c r="M1787" s="13">
        <v>1.5</v>
      </c>
      <c r="N1787" s="13">
        <v>1.1000000000000001</v>
      </c>
      <c r="O1787" s="13">
        <v>2</v>
      </c>
      <c r="P1787" s="13">
        <v>1.2</v>
      </c>
      <c r="Q1787">
        <v>1.05</v>
      </c>
      <c r="R1787">
        <f t="shared" ref="R1787" si="171">LN(SQRT(EXP(
SQRT(
+POWER(LN(K1787),2)
+POWER(LN(L1787),2)
+POWER(LN(M1787),2)
+POWER(LN(N1787),2)
+POWER(LN(O1787),2)
+POWER(LN(P1787),2)
+POWER(LN(Q1787),2)
)
)))</f>
        <v>0.47095746419981693</v>
      </c>
    </row>
    <row r="1788" spans="1:19" customFormat="1" hidden="1" x14ac:dyDescent="0.2">
      <c r="A1788" t="s">
        <v>1035</v>
      </c>
      <c r="B1788" s="13">
        <v>1</v>
      </c>
      <c r="C1788" t="s">
        <v>64</v>
      </c>
      <c r="D1788" t="s">
        <v>56</v>
      </c>
      <c r="F1788" t="s">
        <v>86</v>
      </c>
      <c r="G1788" t="s">
        <v>1036</v>
      </c>
      <c r="H1788" s="17"/>
      <c r="I1788" s="17">
        <v>2</v>
      </c>
      <c r="J1788">
        <f t="shared" ref="J1788" si="172">LN(B1788)</f>
        <v>0</v>
      </c>
      <c r="K1788" s="13">
        <v>1.5</v>
      </c>
      <c r="L1788" s="13">
        <v>1.2</v>
      </c>
      <c r="M1788" s="13">
        <v>1.5</v>
      </c>
      <c r="N1788" s="13">
        <v>1.1000000000000001</v>
      </c>
      <c r="O1788" s="13">
        <v>2</v>
      </c>
      <c r="P1788" s="13">
        <v>1.2</v>
      </c>
      <c r="Q1788">
        <v>1.05</v>
      </c>
      <c r="R1788">
        <f t="shared" ref="R1788" si="173">LN(SQRT(EXP(
SQRT(
+POWER(LN(K1788),2)
+POWER(LN(L1788),2)
+POWER(LN(M1788),2)
+POWER(LN(N1788),2)
+POWER(LN(O1788),2)
+POWER(LN(P1788),2)
+POWER(LN(Q1788),2)
)
)))</f>
        <v>0.47095746419981693</v>
      </c>
    </row>
    <row r="1789" spans="1:19" hidden="1" x14ac:dyDescent="0.2">
      <c r="Q1789" s="17"/>
    </row>
    <row r="1790" spans="1:19" hidden="1" x14ac:dyDescent="0.2">
      <c r="Q1790" s="17"/>
    </row>
    <row r="1791" spans="1:19" customFormat="1" hidden="1" x14ac:dyDescent="0.2">
      <c r="A1791" s="2" t="s">
        <v>50</v>
      </c>
      <c r="B1791" s="2" t="s">
        <v>1107</v>
      </c>
      <c r="K1791" s="13"/>
      <c r="L1791" s="13"/>
      <c r="M1791" s="13"/>
      <c r="N1791" s="13"/>
      <c r="O1791" s="13"/>
      <c r="P1791" s="13"/>
    </row>
    <row r="1792" spans="1:19" customFormat="1" hidden="1" x14ac:dyDescent="0.2">
      <c r="A1792" t="s">
        <v>51</v>
      </c>
      <c r="B1792" t="s">
        <v>1069</v>
      </c>
      <c r="K1792" s="13"/>
      <c r="L1792" s="13"/>
      <c r="M1792" s="13"/>
      <c r="N1792" s="13"/>
      <c r="O1792" s="13"/>
      <c r="P1792" s="13"/>
    </row>
    <row r="1793" spans="1:19" customFormat="1" hidden="1" x14ac:dyDescent="0.2">
      <c r="A1793" t="s">
        <v>63</v>
      </c>
      <c r="B1793" t="s">
        <v>1070</v>
      </c>
      <c r="K1793" s="13"/>
      <c r="L1793" s="13"/>
      <c r="M1793" s="13"/>
      <c r="N1793" s="13"/>
      <c r="O1793" s="13"/>
      <c r="P1793" s="13"/>
    </row>
    <row r="1794" spans="1:19" customFormat="1" hidden="1" x14ac:dyDescent="0.2">
      <c r="A1794" t="s">
        <v>52</v>
      </c>
      <c r="B1794" t="s">
        <v>90</v>
      </c>
      <c r="K1794" s="13"/>
      <c r="L1794" s="13"/>
      <c r="M1794" s="13"/>
      <c r="N1794" s="13"/>
      <c r="O1794" s="13"/>
      <c r="P1794" s="13"/>
    </row>
    <row r="1795" spans="1:19" customFormat="1" hidden="1" x14ac:dyDescent="0.2">
      <c r="A1795" t="s">
        <v>53</v>
      </c>
      <c r="B1795">
        <v>1</v>
      </c>
      <c r="K1795" s="13"/>
      <c r="L1795" s="13"/>
      <c r="M1795" s="13"/>
      <c r="N1795" s="13"/>
      <c r="O1795" s="13"/>
      <c r="P1795" s="13"/>
    </row>
    <row r="1796" spans="1:19" customFormat="1" hidden="1" x14ac:dyDescent="0.2">
      <c r="A1796" t="s">
        <v>54</v>
      </c>
      <c r="B1796" s="11" t="s">
        <v>1071</v>
      </c>
      <c r="K1796" s="13"/>
      <c r="L1796" s="13"/>
      <c r="M1796" s="13"/>
      <c r="N1796" s="13"/>
      <c r="O1796" s="13"/>
      <c r="P1796" s="13"/>
    </row>
    <row r="1797" spans="1:19" customFormat="1" hidden="1" x14ac:dyDescent="0.2">
      <c r="A1797" t="s">
        <v>55</v>
      </c>
      <c r="B1797" t="s">
        <v>56</v>
      </c>
      <c r="K1797" s="13"/>
      <c r="L1797" s="13"/>
      <c r="M1797" s="13"/>
      <c r="N1797" s="13"/>
      <c r="O1797" s="13"/>
      <c r="P1797" s="13"/>
    </row>
    <row r="1798" spans="1:19" customFormat="1" hidden="1" x14ac:dyDescent="0.2">
      <c r="A1798" s="2" t="s">
        <v>57</v>
      </c>
      <c r="K1798" s="13"/>
      <c r="L1798" s="13"/>
      <c r="M1798" s="13"/>
      <c r="N1798" s="13"/>
      <c r="O1798" s="13"/>
      <c r="P1798" s="13"/>
    </row>
    <row r="1799" spans="1:19" customFormat="1" hidden="1" x14ac:dyDescent="0.2">
      <c r="A1799" s="2" t="s">
        <v>58</v>
      </c>
      <c r="B1799" s="2" t="s">
        <v>59</v>
      </c>
      <c r="C1799" s="2" t="s">
        <v>52</v>
      </c>
      <c r="D1799" s="2" t="s">
        <v>55</v>
      </c>
      <c r="E1799" s="2" t="s">
        <v>60</v>
      </c>
      <c r="F1799" s="2" t="s">
        <v>61</v>
      </c>
      <c r="G1799" s="2" t="s">
        <v>54</v>
      </c>
      <c r="H1799" s="18" t="s">
        <v>51</v>
      </c>
      <c r="I1799" s="18" t="s">
        <v>221</v>
      </c>
      <c r="J1799" s="2" t="s">
        <v>379</v>
      </c>
      <c r="K1799" s="62" t="s">
        <v>1059</v>
      </c>
      <c r="L1799" s="62" t="s">
        <v>1060</v>
      </c>
      <c r="M1799" s="62" t="s">
        <v>1061</v>
      </c>
      <c r="N1799" s="62" t="s">
        <v>1062</v>
      </c>
      <c r="O1799" s="62" t="s">
        <v>1063</v>
      </c>
      <c r="P1799" s="62" t="s">
        <v>1064</v>
      </c>
      <c r="Q1799" s="2" t="s">
        <v>1065</v>
      </c>
      <c r="R1799" s="2" t="s">
        <v>380</v>
      </c>
      <c r="S1799" s="18" t="s">
        <v>1128</v>
      </c>
    </row>
    <row r="1800" spans="1:19" customFormat="1" hidden="1" x14ac:dyDescent="0.2">
      <c r="A1800" s="11" t="s">
        <v>1107</v>
      </c>
      <c r="B1800">
        <v>1</v>
      </c>
      <c r="C1800" t="s">
        <v>90</v>
      </c>
      <c r="D1800" t="s">
        <v>56</v>
      </c>
      <c r="E1800" s="17"/>
      <c r="F1800" t="s">
        <v>62</v>
      </c>
      <c r="G1800" s="11" t="s">
        <v>1071</v>
      </c>
      <c r="K1800" s="13"/>
      <c r="L1800" s="13"/>
      <c r="M1800" s="13"/>
      <c r="N1800" s="13"/>
      <c r="O1800" s="13"/>
      <c r="P1800" s="13"/>
    </row>
    <row r="1801" spans="1:19" customFormat="1" hidden="1" x14ac:dyDescent="0.2">
      <c r="A1801" t="s">
        <v>263</v>
      </c>
      <c r="B1801" s="15">
        <v>49.716101694915253</v>
      </c>
      <c r="C1801" t="s">
        <v>90</v>
      </c>
      <c r="D1801" t="s">
        <v>65</v>
      </c>
      <c r="E1801" s="17"/>
      <c r="F1801" t="s">
        <v>86</v>
      </c>
      <c r="G1801" t="s">
        <v>199</v>
      </c>
      <c r="I1801" s="17">
        <v>2</v>
      </c>
      <c r="J1801">
        <f t="shared" ref="J1801:J1806" si="174">LN(B1801)</f>
        <v>3.9063288583980138</v>
      </c>
      <c r="K1801" s="13">
        <v>1.5</v>
      </c>
      <c r="L1801" s="13">
        <v>1.2</v>
      </c>
      <c r="M1801" s="13">
        <v>1.5</v>
      </c>
      <c r="N1801" s="13">
        <v>1.1000000000000001</v>
      </c>
      <c r="O1801" s="13">
        <v>2</v>
      </c>
      <c r="P1801" s="13">
        <v>1.2</v>
      </c>
      <c r="Q1801">
        <v>1.05</v>
      </c>
      <c r="R1801">
        <f t="shared" ref="R1801:R1806" si="175">LN(SQRT(EXP(
SQRT(
+POWER(LN(K1801),2)
+POWER(LN(L1801),2)
+POWER(LN(M1801),2)
+POWER(LN(N1801),2)
+POWER(LN(O1801),2)
+POWER(LN(P1801),2)
+POWER(LN(Q1801),2)
)
)))</f>
        <v>0.47095746419981693</v>
      </c>
    </row>
    <row r="1802" spans="1:19" customFormat="1" hidden="1" x14ac:dyDescent="0.2">
      <c r="A1802" t="s">
        <v>1072</v>
      </c>
      <c r="B1802" s="15">
        <v>1.1200564971751414</v>
      </c>
      <c r="C1802" t="s">
        <v>85</v>
      </c>
      <c r="D1802" t="s">
        <v>56</v>
      </c>
      <c r="E1802" s="17"/>
      <c r="F1802" t="s">
        <v>86</v>
      </c>
      <c r="G1802" t="s">
        <v>1073</v>
      </c>
      <c r="I1802" s="17">
        <v>2</v>
      </c>
      <c r="J1802">
        <f t="shared" si="174"/>
        <v>0.11337912794112841</v>
      </c>
      <c r="K1802" s="13">
        <v>1.5</v>
      </c>
      <c r="L1802" s="13">
        <v>1.2</v>
      </c>
      <c r="M1802" s="13">
        <v>1.5</v>
      </c>
      <c r="N1802" s="13">
        <v>1.1000000000000001</v>
      </c>
      <c r="O1802" s="13">
        <v>2</v>
      </c>
      <c r="P1802" s="13">
        <v>1.2</v>
      </c>
      <c r="Q1802">
        <v>1.05</v>
      </c>
      <c r="R1802">
        <f t="shared" si="175"/>
        <v>0.47095746419981693</v>
      </c>
    </row>
    <row r="1803" spans="1:19" customFormat="1" hidden="1" x14ac:dyDescent="0.2">
      <c r="A1803" t="s">
        <v>91</v>
      </c>
      <c r="B1803" s="15">
        <v>2.5</v>
      </c>
      <c r="C1803" t="s">
        <v>90</v>
      </c>
      <c r="D1803" t="s">
        <v>92</v>
      </c>
      <c r="E1803" s="17"/>
      <c r="F1803" t="s">
        <v>86</v>
      </c>
      <c r="G1803" t="s">
        <v>93</v>
      </c>
      <c r="I1803" s="17">
        <v>2</v>
      </c>
      <c r="J1803">
        <f t="shared" si="174"/>
        <v>0.91629073187415511</v>
      </c>
      <c r="K1803" s="13">
        <v>1.5</v>
      </c>
      <c r="L1803" s="13">
        <v>1.2</v>
      </c>
      <c r="M1803" s="13">
        <v>1.5</v>
      </c>
      <c r="N1803" s="13">
        <v>1.1000000000000001</v>
      </c>
      <c r="O1803" s="13">
        <v>2</v>
      </c>
      <c r="P1803" s="13">
        <v>1.2</v>
      </c>
      <c r="Q1803">
        <v>1.05</v>
      </c>
      <c r="R1803">
        <f t="shared" si="175"/>
        <v>0.47095746419981693</v>
      </c>
    </row>
    <row r="1804" spans="1:19" customFormat="1" hidden="1" x14ac:dyDescent="0.2">
      <c r="A1804" t="s">
        <v>1074</v>
      </c>
      <c r="B1804" s="5">
        <f>50/1000</f>
        <v>0.05</v>
      </c>
      <c r="C1804" t="s">
        <v>85</v>
      </c>
      <c r="D1804" t="s">
        <v>56</v>
      </c>
      <c r="E1804" s="17"/>
      <c r="F1804" t="s">
        <v>86</v>
      </c>
      <c r="G1804" t="s">
        <v>1075</v>
      </c>
      <c r="I1804" s="17">
        <v>2</v>
      </c>
      <c r="J1804">
        <f t="shared" si="174"/>
        <v>-2.9957322735539909</v>
      </c>
      <c r="K1804" s="13">
        <v>1.5</v>
      </c>
      <c r="L1804" s="13">
        <v>1.2</v>
      </c>
      <c r="M1804" s="13">
        <v>1.5</v>
      </c>
      <c r="N1804" s="13">
        <v>1.1000000000000001</v>
      </c>
      <c r="O1804" s="13">
        <v>2</v>
      </c>
      <c r="P1804" s="13">
        <v>1.2</v>
      </c>
      <c r="Q1804">
        <v>1.05</v>
      </c>
      <c r="R1804">
        <f t="shared" si="175"/>
        <v>0.47095746419981693</v>
      </c>
    </row>
    <row r="1805" spans="1:19" customFormat="1" hidden="1" x14ac:dyDescent="0.2">
      <c r="A1805" t="s">
        <v>1076</v>
      </c>
      <c r="B1805" s="5">
        <f>10/1000</f>
        <v>0.01</v>
      </c>
      <c r="C1805" t="s">
        <v>90</v>
      </c>
      <c r="D1805" t="s">
        <v>56</v>
      </c>
      <c r="E1805" s="17"/>
      <c r="F1805" t="s">
        <v>86</v>
      </c>
      <c r="G1805" t="s">
        <v>1077</v>
      </c>
      <c r="I1805" s="17">
        <v>2</v>
      </c>
      <c r="J1805">
        <f t="shared" si="174"/>
        <v>-4.6051701859880909</v>
      </c>
      <c r="K1805" s="13">
        <v>1.5</v>
      </c>
      <c r="L1805" s="13">
        <v>1.2</v>
      </c>
      <c r="M1805" s="13">
        <v>1.5</v>
      </c>
      <c r="N1805" s="13">
        <v>1.1000000000000001</v>
      </c>
      <c r="O1805" s="13">
        <v>2</v>
      </c>
      <c r="P1805" s="13">
        <v>1.2</v>
      </c>
      <c r="Q1805">
        <v>1.05</v>
      </c>
      <c r="R1805">
        <f t="shared" si="175"/>
        <v>0.47095746419981693</v>
      </c>
    </row>
    <row r="1806" spans="1:19" customFormat="1" hidden="1" x14ac:dyDescent="0.2">
      <c r="A1806" t="s">
        <v>95</v>
      </c>
      <c r="B1806" s="5">
        <f>764.830508474576/1000</f>
        <v>0.76483050847457601</v>
      </c>
      <c r="C1806" t="s">
        <v>96</v>
      </c>
      <c r="D1806" t="s">
        <v>56</v>
      </c>
      <c r="E1806" s="17"/>
      <c r="F1806" t="s">
        <v>86</v>
      </c>
      <c r="G1806" t="s">
        <v>97</v>
      </c>
      <c r="I1806" s="17">
        <v>2</v>
      </c>
      <c r="J1806">
        <f t="shared" si="174"/>
        <v>-0.26810102725267482</v>
      </c>
      <c r="K1806" s="13">
        <v>1.5</v>
      </c>
      <c r="L1806" s="13">
        <v>1.2</v>
      </c>
      <c r="M1806" s="13">
        <v>1.5</v>
      </c>
      <c r="N1806" s="13">
        <v>1.1000000000000001</v>
      </c>
      <c r="O1806" s="13">
        <v>2</v>
      </c>
      <c r="P1806" s="13">
        <v>1.2</v>
      </c>
      <c r="Q1806">
        <v>1.05</v>
      </c>
      <c r="R1806">
        <f t="shared" si="175"/>
        <v>0.47095746419981693</v>
      </c>
    </row>
    <row r="1807" spans="1:19" customFormat="1" hidden="1" x14ac:dyDescent="0.2">
      <c r="K1807" s="13"/>
      <c r="L1807" s="13"/>
      <c r="M1807" s="13"/>
      <c r="N1807" s="13"/>
      <c r="O1807" s="13"/>
      <c r="P1807" s="13"/>
    </row>
    <row r="1808" spans="1:19" customFormat="1" hidden="1" x14ac:dyDescent="0.2">
      <c r="A1808" s="2" t="s">
        <v>50</v>
      </c>
      <c r="B1808" s="2" t="s">
        <v>1108</v>
      </c>
      <c r="K1808" s="13"/>
      <c r="L1808" s="13"/>
      <c r="M1808" s="13"/>
      <c r="N1808" s="13"/>
      <c r="O1808" s="13"/>
      <c r="P1808" s="13"/>
    </row>
    <row r="1809" spans="1:19" customFormat="1" hidden="1" x14ac:dyDescent="0.2">
      <c r="A1809" t="s">
        <v>51</v>
      </c>
      <c r="B1809" t="s">
        <v>1069</v>
      </c>
      <c r="K1809" s="13"/>
      <c r="L1809" s="13"/>
      <c r="M1809" s="13"/>
      <c r="N1809" s="13"/>
      <c r="O1809" s="13"/>
      <c r="P1809" s="13"/>
    </row>
    <row r="1810" spans="1:19" customFormat="1" hidden="1" x14ac:dyDescent="0.2">
      <c r="A1810" t="s">
        <v>63</v>
      </c>
      <c r="B1810" t="s">
        <v>1070</v>
      </c>
      <c r="K1810" s="13"/>
      <c r="L1810" s="13"/>
      <c r="M1810" s="13"/>
      <c r="N1810" s="13"/>
      <c r="O1810" s="13"/>
      <c r="P1810" s="13"/>
    </row>
    <row r="1811" spans="1:19" customFormat="1" hidden="1" x14ac:dyDescent="0.2">
      <c r="A1811" t="s">
        <v>52</v>
      </c>
      <c r="B1811" t="s">
        <v>90</v>
      </c>
      <c r="K1811" s="13"/>
      <c r="L1811" s="13"/>
      <c r="M1811" s="13"/>
      <c r="N1811" s="13"/>
      <c r="O1811" s="13"/>
      <c r="P1811" s="13"/>
    </row>
    <row r="1812" spans="1:19" customFormat="1" hidden="1" x14ac:dyDescent="0.2">
      <c r="A1812" t="s">
        <v>53</v>
      </c>
      <c r="B1812">
        <v>1</v>
      </c>
      <c r="K1812" s="13"/>
      <c r="L1812" s="13"/>
      <c r="M1812" s="13"/>
      <c r="N1812" s="13"/>
      <c r="O1812" s="13"/>
      <c r="P1812" s="13"/>
    </row>
    <row r="1813" spans="1:19" customFormat="1" hidden="1" x14ac:dyDescent="0.2">
      <c r="A1813" t="s">
        <v>54</v>
      </c>
      <c r="B1813" s="11" t="s">
        <v>1108</v>
      </c>
      <c r="K1813" s="13"/>
      <c r="L1813" s="13"/>
      <c r="M1813" s="13"/>
      <c r="N1813" s="13"/>
      <c r="O1813" s="13"/>
      <c r="P1813" s="13"/>
    </row>
    <row r="1814" spans="1:19" customFormat="1" hidden="1" x14ac:dyDescent="0.2">
      <c r="A1814" t="s">
        <v>55</v>
      </c>
      <c r="B1814" t="s">
        <v>56</v>
      </c>
      <c r="K1814" s="13"/>
      <c r="L1814" s="13"/>
      <c r="M1814" s="13"/>
      <c r="N1814" s="13"/>
      <c r="O1814" s="13"/>
      <c r="P1814" s="13"/>
    </row>
    <row r="1815" spans="1:19" customFormat="1" hidden="1" x14ac:dyDescent="0.2">
      <c r="A1815" s="2" t="s">
        <v>57</v>
      </c>
      <c r="K1815" s="13"/>
      <c r="L1815" s="13"/>
      <c r="M1815" s="13"/>
      <c r="N1815" s="13"/>
      <c r="O1815" s="13"/>
      <c r="P1815" s="13"/>
    </row>
    <row r="1816" spans="1:19" customFormat="1" hidden="1" x14ac:dyDescent="0.2">
      <c r="A1816" s="2" t="s">
        <v>58</v>
      </c>
      <c r="B1816" s="2" t="s">
        <v>59</v>
      </c>
      <c r="C1816" s="2" t="s">
        <v>52</v>
      </c>
      <c r="D1816" s="2" t="s">
        <v>55</v>
      </c>
      <c r="E1816" s="2" t="s">
        <v>60</v>
      </c>
      <c r="F1816" s="2" t="s">
        <v>61</v>
      </c>
      <c r="G1816" s="2" t="s">
        <v>54</v>
      </c>
      <c r="H1816" s="18" t="s">
        <v>51</v>
      </c>
      <c r="I1816" s="18" t="s">
        <v>221</v>
      </c>
      <c r="J1816" s="2" t="s">
        <v>379</v>
      </c>
      <c r="K1816" s="62" t="s">
        <v>1059</v>
      </c>
      <c r="L1816" s="62" t="s">
        <v>1060</v>
      </c>
      <c r="M1816" s="62" t="s">
        <v>1061</v>
      </c>
      <c r="N1816" s="62" t="s">
        <v>1062</v>
      </c>
      <c r="O1816" s="62" t="s">
        <v>1063</v>
      </c>
      <c r="P1816" s="62" t="s">
        <v>1064</v>
      </c>
      <c r="Q1816" s="2" t="s">
        <v>1065</v>
      </c>
      <c r="R1816" s="2" t="s">
        <v>380</v>
      </c>
      <c r="S1816" s="18" t="s">
        <v>1128</v>
      </c>
    </row>
    <row r="1817" spans="1:19" customFormat="1" hidden="1" x14ac:dyDescent="0.2">
      <c r="A1817" t="s">
        <v>1108</v>
      </c>
      <c r="B1817">
        <v>1</v>
      </c>
      <c r="C1817" t="s">
        <v>90</v>
      </c>
      <c r="D1817" t="s">
        <v>56</v>
      </c>
      <c r="E1817" s="17"/>
      <c r="F1817" t="s">
        <v>62</v>
      </c>
      <c r="G1817" s="11" t="s">
        <v>1108</v>
      </c>
      <c r="K1817" s="13"/>
      <c r="L1817" s="13"/>
      <c r="M1817" s="13"/>
      <c r="N1817" s="13"/>
      <c r="O1817" s="13"/>
      <c r="P1817" s="13"/>
    </row>
    <row r="1818" spans="1:19" customFormat="1" hidden="1" x14ac:dyDescent="0.2">
      <c r="A1818" t="s">
        <v>1078</v>
      </c>
      <c r="B1818" s="5">
        <v>1.6078066914498141E-3</v>
      </c>
      <c r="C1818" t="s">
        <v>90</v>
      </c>
      <c r="D1818" t="s">
        <v>120</v>
      </c>
      <c r="E1818" s="17"/>
      <c r="F1818" t="s">
        <v>86</v>
      </c>
      <c r="G1818" t="s">
        <v>1079</v>
      </c>
      <c r="I1818" s="17">
        <v>2</v>
      </c>
      <c r="J1818">
        <f t="shared" ref="J1818:J1825" si="176">LN(B1818)</f>
        <v>-6.4328843322120424</v>
      </c>
      <c r="K1818" s="13">
        <v>1.5</v>
      </c>
      <c r="L1818" s="13">
        <v>1.2</v>
      </c>
      <c r="M1818" s="13">
        <v>1.5</v>
      </c>
      <c r="N1818" s="13">
        <v>1.1000000000000001</v>
      </c>
      <c r="O1818" s="13">
        <v>2</v>
      </c>
      <c r="P1818" s="13">
        <v>1.2</v>
      </c>
      <c r="Q1818">
        <v>1.05</v>
      </c>
      <c r="R1818">
        <f t="shared" ref="R1818:R1825" si="177">LN(SQRT(EXP(
SQRT(
+POWER(LN(K1818),2)
+POWER(LN(L1818),2)
+POWER(LN(M1818),2)
+POWER(LN(N1818),2)
+POWER(LN(O1818),2)
+POWER(LN(P1818),2)
+POWER(LN(Q1818),2)
)
)))</f>
        <v>0.47095746419981693</v>
      </c>
    </row>
    <row r="1819" spans="1:19" customFormat="1" hidden="1" x14ac:dyDescent="0.2">
      <c r="A1819" t="s">
        <v>1080</v>
      </c>
      <c r="B1819">
        <v>2.7881040892193307E-3</v>
      </c>
      <c r="C1819" t="s">
        <v>85</v>
      </c>
      <c r="D1819" t="s">
        <v>56</v>
      </c>
      <c r="E1819" s="17"/>
      <c r="F1819" t="s">
        <v>86</v>
      </c>
      <c r="G1819" s="11" t="s">
        <v>1081</v>
      </c>
      <c r="I1819" s="17">
        <v>2</v>
      </c>
      <c r="J1819">
        <f t="shared" si="176"/>
        <v>-5.8823934520536199</v>
      </c>
      <c r="K1819" s="13">
        <v>1.5</v>
      </c>
      <c r="L1819" s="13">
        <v>1.2</v>
      </c>
      <c r="M1819" s="13">
        <v>1.5</v>
      </c>
      <c r="N1819" s="13">
        <v>1.1000000000000001</v>
      </c>
      <c r="O1819" s="13">
        <v>2</v>
      </c>
      <c r="P1819" s="13">
        <v>1.2</v>
      </c>
      <c r="Q1819">
        <v>1.05</v>
      </c>
      <c r="R1819">
        <f t="shared" si="177"/>
        <v>0.47095746419981693</v>
      </c>
    </row>
    <row r="1820" spans="1:19" customFormat="1" hidden="1" x14ac:dyDescent="0.2">
      <c r="A1820" t="s">
        <v>91</v>
      </c>
      <c r="B1820" s="61">
        <v>4.9433085501858744E-2</v>
      </c>
      <c r="C1820" t="s">
        <v>90</v>
      </c>
      <c r="D1820" t="s">
        <v>92</v>
      </c>
      <c r="E1820" s="17"/>
      <c r="F1820" t="s">
        <v>86</v>
      </c>
      <c r="G1820" t="s">
        <v>93</v>
      </c>
      <c r="I1820" s="17">
        <v>2</v>
      </c>
      <c r="J1820">
        <f t="shared" si="176"/>
        <v>-3.0071353319675032</v>
      </c>
      <c r="K1820" s="13">
        <v>1.5</v>
      </c>
      <c r="L1820" s="13">
        <v>1.2</v>
      </c>
      <c r="M1820" s="13">
        <v>1.5</v>
      </c>
      <c r="N1820" s="13">
        <v>1.1000000000000001</v>
      </c>
      <c r="O1820" s="13">
        <v>2</v>
      </c>
      <c r="P1820" s="13">
        <v>1.2</v>
      </c>
      <c r="Q1820">
        <v>1.05</v>
      </c>
      <c r="R1820">
        <f t="shared" si="177"/>
        <v>0.47095746419981693</v>
      </c>
    </row>
    <row r="1821" spans="1:19" customFormat="1" hidden="1" x14ac:dyDescent="0.2">
      <c r="A1821" t="s">
        <v>583</v>
      </c>
      <c r="B1821" s="5">
        <f>0.000167843866171004/1000</f>
        <v>1.6784386617100398E-7</v>
      </c>
      <c r="C1821" t="s">
        <v>85</v>
      </c>
      <c r="D1821" t="s">
        <v>56</v>
      </c>
      <c r="E1821" s="17"/>
      <c r="F1821" t="s">
        <v>86</v>
      </c>
      <c r="G1821" t="s">
        <v>246</v>
      </c>
      <c r="I1821" s="17">
        <v>2</v>
      </c>
      <c r="J1821">
        <f t="shared" si="176"/>
        <v>-15.600231657703118</v>
      </c>
      <c r="K1821" s="13">
        <v>1.5</v>
      </c>
      <c r="L1821" s="13">
        <v>1.2</v>
      </c>
      <c r="M1821" s="13">
        <v>1.5</v>
      </c>
      <c r="N1821" s="13">
        <v>1.1000000000000001</v>
      </c>
      <c r="O1821" s="13">
        <v>2</v>
      </c>
      <c r="P1821" s="13">
        <v>1.2</v>
      </c>
      <c r="Q1821">
        <v>1.05</v>
      </c>
      <c r="R1821">
        <f t="shared" si="177"/>
        <v>0.47095746419981693</v>
      </c>
    </row>
    <row r="1822" spans="1:19" customFormat="1" hidden="1" x14ac:dyDescent="0.2">
      <c r="A1822" t="s">
        <v>1074</v>
      </c>
      <c r="B1822" s="12">
        <v>1.0529739776951673E-2</v>
      </c>
      <c r="C1822" t="s">
        <v>85</v>
      </c>
      <c r="D1822" t="s">
        <v>56</v>
      </c>
      <c r="E1822" s="17"/>
      <c r="F1822" t="s">
        <v>86</v>
      </c>
      <c r="G1822" t="s">
        <v>1075</v>
      </c>
      <c r="I1822" s="17">
        <v>2</v>
      </c>
      <c r="J1822">
        <f t="shared" si="176"/>
        <v>-4.5535516656818151</v>
      </c>
      <c r="K1822" s="13">
        <v>1.5</v>
      </c>
      <c r="L1822" s="13">
        <v>1.2</v>
      </c>
      <c r="M1822" s="13">
        <v>1.5</v>
      </c>
      <c r="N1822" s="13">
        <v>1.1000000000000001</v>
      </c>
      <c r="O1822" s="13">
        <v>2</v>
      </c>
      <c r="P1822" s="13">
        <v>1.2</v>
      </c>
      <c r="Q1822">
        <v>1.05</v>
      </c>
      <c r="R1822">
        <f t="shared" si="177"/>
        <v>0.47095746419981693</v>
      </c>
    </row>
    <row r="1823" spans="1:19" customFormat="1" hidden="1" x14ac:dyDescent="0.2">
      <c r="A1823" t="s">
        <v>1082</v>
      </c>
      <c r="B1823" s="61">
        <v>4.1394052044609669E-3</v>
      </c>
      <c r="C1823" t="s">
        <v>90</v>
      </c>
      <c r="D1823" t="s">
        <v>56</v>
      </c>
      <c r="E1823" s="17"/>
      <c r="F1823" t="s">
        <v>86</v>
      </c>
      <c r="G1823" t="s">
        <v>1083</v>
      </c>
      <c r="I1823" s="17">
        <v>2</v>
      </c>
      <c r="J1823">
        <f t="shared" si="176"/>
        <v>-5.4872031718865539</v>
      </c>
      <c r="K1823" s="13">
        <v>1.5</v>
      </c>
      <c r="L1823" s="13">
        <v>1.2</v>
      </c>
      <c r="M1823" s="13">
        <v>1.5</v>
      </c>
      <c r="N1823" s="13">
        <v>1.1000000000000001</v>
      </c>
      <c r="O1823" s="13">
        <v>2</v>
      </c>
      <c r="P1823" s="13">
        <v>1.2</v>
      </c>
      <c r="Q1823">
        <v>1.05</v>
      </c>
      <c r="R1823">
        <f t="shared" si="177"/>
        <v>0.47095746419981693</v>
      </c>
    </row>
    <row r="1824" spans="1:19" customFormat="1" hidden="1" x14ac:dyDescent="0.2">
      <c r="A1824" t="s">
        <v>1107</v>
      </c>
      <c r="B1824" s="61">
        <v>0.26319702602230483</v>
      </c>
      <c r="C1824" t="s">
        <v>90</v>
      </c>
      <c r="D1824" t="s">
        <v>56</v>
      </c>
      <c r="E1824" s="17"/>
      <c r="F1824" t="s">
        <v>86</v>
      </c>
      <c r="G1824" s="11" t="s">
        <v>1071</v>
      </c>
      <c r="I1824" s="17">
        <v>2</v>
      </c>
      <c r="J1824">
        <f t="shared" si="176"/>
        <v>-1.3348523789021651</v>
      </c>
      <c r="K1824" s="13">
        <v>1.5</v>
      </c>
      <c r="L1824" s="13">
        <v>1.2</v>
      </c>
      <c r="M1824" s="13">
        <v>1.5</v>
      </c>
      <c r="N1824" s="13">
        <v>1.1000000000000001</v>
      </c>
      <c r="O1824" s="13">
        <v>2</v>
      </c>
      <c r="P1824" s="13">
        <v>1.2</v>
      </c>
      <c r="Q1824">
        <v>1.05</v>
      </c>
      <c r="R1824">
        <f t="shared" si="177"/>
        <v>0.47095746419981693</v>
      </c>
    </row>
    <row r="1825" spans="1:19" customFormat="1" hidden="1" x14ac:dyDescent="0.2">
      <c r="A1825" t="s">
        <v>1084</v>
      </c>
      <c r="B1825" s="61">
        <v>0.30055762081784387</v>
      </c>
      <c r="C1825" t="s">
        <v>90</v>
      </c>
      <c r="D1825" t="s">
        <v>56</v>
      </c>
      <c r="E1825" s="17"/>
      <c r="F1825" t="s">
        <v>86</v>
      </c>
      <c r="G1825" t="s">
        <v>1085</v>
      </c>
      <c r="I1825" s="17">
        <v>2</v>
      </c>
      <c r="J1825">
        <f t="shared" si="176"/>
        <v>-1.2021157935787232</v>
      </c>
      <c r="K1825" s="13">
        <v>1.5</v>
      </c>
      <c r="L1825" s="13">
        <v>1.2</v>
      </c>
      <c r="M1825" s="13">
        <v>1.5</v>
      </c>
      <c r="N1825" s="13">
        <v>1.1000000000000001</v>
      </c>
      <c r="O1825" s="13">
        <v>2</v>
      </c>
      <c r="P1825" s="13">
        <v>1.2</v>
      </c>
      <c r="Q1825">
        <v>1.05</v>
      </c>
      <c r="R1825">
        <f t="shared" si="177"/>
        <v>0.47095746419981693</v>
      </c>
    </row>
    <row r="1826" spans="1:19" customFormat="1" hidden="1" x14ac:dyDescent="0.2">
      <c r="K1826" s="13"/>
      <c r="L1826" s="13"/>
      <c r="M1826" s="13"/>
      <c r="N1826" s="13"/>
      <c r="O1826" s="13"/>
      <c r="P1826" s="13"/>
    </row>
    <row r="1827" spans="1:19" customFormat="1" hidden="1" x14ac:dyDescent="0.2">
      <c r="A1827" s="2" t="s">
        <v>50</v>
      </c>
      <c r="B1827" s="2" t="s">
        <v>1109</v>
      </c>
      <c r="K1827" s="13"/>
      <c r="L1827" s="13"/>
      <c r="M1827" s="13"/>
      <c r="N1827" s="13"/>
      <c r="O1827" s="13"/>
      <c r="P1827" s="13"/>
    </row>
    <row r="1828" spans="1:19" customFormat="1" hidden="1" x14ac:dyDescent="0.2">
      <c r="A1828" t="s">
        <v>51</v>
      </c>
      <c r="B1828" t="s">
        <v>1069</v>
      </c>
      <c r="K1828" s="13"/>
      <c r="L1828" s="13"/>
      <c r="M1828" s="13"/>
      <c r="N1828" s="13"/>
      <c r="O1828" s="13"/>
      <c r="P1828" s="13"/>
    </row>
    <row r="1829" spans="1:19" customFormat="1" hidden="1" x14ac:dyDescent="0.2">
      <c r="A1829" t="s">
        <v>63</v>
      </c>
      <c r="B1829" t="s">
        <v>1070</v>
      </c>
      <c r="K1829" s="13"/>
      <c r="L1829" s="13"/>
      <c r="M1829" s="13"/>
      <c r="N1829" s="13"/>
      <c r="O1829" s="13"/>
      <c r="P1829" s="13"/>
    </row>
    <row r="1830" spans="1:19" customFormat="1" hidden="1" x14ac:dyDescent="0.2">
      <c r="A1830" t="s">
        <v>52</v>
      </c>
      <c r="B1830" t="s">
        <v>90</v>
      </c>
      <c r="K1830" s="13"/>
      <c r="L1830" s="13"/>
      <c r="M1830" s="13"/>
      <c r="N1830" s="13"/>
      <c r="O1830" s="13"/>
      <c r="P1830" s="13"/>
    </row>
    <row r="1831" spans="1:19" customFormat="1" hidden="1" x14ac:dyDescent="0.2">
      <c r="A1831" t="s">
        <v>53</v>
      </c>
      <c r="B1831">
        <v>1</v>
      </c>
      <c r="K1831" s="13"/>
      <c r="L1831" s="13"/>
      <c r="M1831" s="13"/>
      <c r="N1831" s="13"/>
      <c r="O1831" s="13"/>
      <c r="P1831" s="13"/>
    </row>
    <row r="1832" spans="1:19" customFormat="1" hidden="1" x14ac:dyDescent="0.2">
      <c r="A1832" t="s">
        <v>54</v>
      </c>
      <c r="B1832" s="11" t="s">
        <v>1086</v>
      </c>
      <c r="K1832" s="13"/>
      <c r="L1832" s="13"/>
      <c r="M1832" s="13"/>
      <c r="N1832" s="13"/>
      <c r="O1832" s="13"/>
      <c r="P1832" s="13"/>
    </row>
    <row r="1833" spans="1:19" customFormat="1" hidden="1" x14ac:dyDescent="0.2">
      <c r="A1833" t="s">
        <v>55</v>
      </c>
      <c r="B1833" t="s">
        <v>56</v>
      </c>
      <c r="K1833" s="13"/>
      <c r="L1833" s="13"/>
      <c r="M1833" s="13"/>
      <c r="N1833" s="13"/>
      <c r="O1833" s="13"/>
      <c r="P1833" s="13"/>
    </row>
    <row r="1834" spans="1:19" customFormat="1" hidden="1" x14ac:dyDescent="0.2">
      <c r="A1834" s="2" t="s">
        <v>57</v>
      </c>
      <c r="K1834" s="13"/>
      <c r="L1834" s="13"/>
      <c r="M1834" s="13"/>
      <c r="N1834" s="13"/>
      <c r="O1834" s="13"/>
      <c r="P1834" s="13"/>
    </row>
    <row r="1835" spans="1:19" customFormat="1" hidden="1" x14ac:dyDescent="0.2">
      <c r="A1835" s="2" t="s">
        <v>58</v>
      </c>
      <c r="B1835" s="2" t="s">
        <v>59</v>
      </c>
      <c r="C1835" s="2" t="s">
        <v>52</v>
      </c>
      <c r="D1835" s="2" t="s">
        <v>55</v>
      </c>
      <c r="E1835" s="2" t="s">
        <v>60</v>
      </c>
      <c r="F1835" s="2" t="s">
        <v>61</v>
      </c>
      <c r="G1835" s="2" t="s">
        <v>54</v>
      </c>
      <c r="H1835" s="18" t="s">
        <v>51</v>
      </c>
      <c r="I1835" s="18" t="s">
        <v>221</v>
      </c>
      <c r="J1835" s="2" t="s">
        <v>379</v>
      </c>
      <c r="K1835" s="62" t="s">
        <v>1059</v>
      </c>
      <c r="L1835" s="62" t="s">
        <v>1060</v>
      </c>
      <c r="M1835" s="62" t="s">
        <v>1061</v>
      </c>
      <c r="N1835" s="62" t="s">
        <v>1062</v>
      </c>
      <c r="O1835" s="62" t="s">
        <v>1063</v>
      </c>
      <c r="P1835" s="62" t="s">
        <v>1064</v>
      </c>
      <c r="Q1835" s="2" t="s">
        <v>1065</v>
      </c>
      <c r="R1835" s="2" t="s">
        <v>380</v>
      </c>
      <c r="S1835" s="18" t="s">
        <v>1128</v>
      </c>
    </row>
    <row r="1836" spans="1:19" customFormat="1" hidden="1" x14ac:dyDescent="0.2">
      <c r="A1836" t="s">
        <v>1109</v>
      </c>
      <c r="B1836">
        <v>1</v>
      </c>
      <c r="C1836" t="s">
        <v>90</v>
      </c>
      <c r="D1836" t="s">
        <v>56</v>
      </c>
      <c r="E1836" s="17"/>
      <c r="F1836" t="s">
        <v>62</v>
      </c>
      <c r="G1836" s="11" t="s">
        <v>1086</v>
      </c>
      <c r="K1836" s="13"/>
      <c r="L1836" s="13"/>
      <c r="M1836" s="13"/>
      <c r="N1836" s="13"/>
      <c r="O1836" s="13"/>
      <c r="P1836" s="13"/>
    </row>
    <row r="1837" spans="1:19" customFormat="1" hidden="1" x14ac:dyDescent="0.2">
      <c r="A1837" t="s">
        <v>91</v>
      </c>
      <c r="B1837" s="12">
        <v>2.1686746987951804E-2</v>
      </c>
      <c r="C1837" t="s">
        <v>90</v>
      </c>
      <c r="D1837" t="s">
        <v>92</v>
      </c>
      <c r="E1837" s="17"/>
      <c r="F1837" t="s">
        <v>86</v>
      </c>
      <c r="G1837" t="s">
        <v>93</v>
      </c>
      <c r="I1837" s="17">
        <v>2</v>
      </c>
      <c r="J1837">
        <f t="shared" ref="J1837:J1839" si="178">LN(B1837)</f>
        <v>-3.8310539428944792</v>
      </c>
      <c r="K1837" s="13">
        <v>1.5</v>
      </c>
      <c r="L1837" s="13">
        <v>1.2</v>
      </c>
      <c r="M1837" s="13">
        <v>1.5</v>
      </c>
      <c r="N1837" s="13">
        <v>1.1000000000000001</v>
      </c>
      <c r="O1837" s="13">
        <v>2</v>
      </c>
      <c r="P1837" s="13">
        <v>1.2</v>
      </c>
      <c r="Q1837">
        <v>1.05</v>
      </c>
      <c r="R1837">
        <f t="shared" ref="R1837:R1839" si="179">LN(SQRT(EXP(
SQRT(
+POWER(LN(K1837),2)
+POWER(LN(L1837),2)
+POWER(LN(M1837),2)
+POWER(LN(N1837),2)
+POWER(LN(O1837),2)
+POWER(LN(P1837),2)
+POWER(LN(Q1837),2)
)
)))</f>
        <v>0.47095746419981693</v>
      </c>
    </row>
    <row r="1838" spans="1:19" customFormat="1" hidden="1" x14ac:dyDescent="0.2">
      <c r="A1838" t="s">
        <v>583</v>
      </c>
      <c r="B1838" s="5">
        <f>0.124279396065274/1000</f>
        <v>1.2427939606527398E-4</v>
      </c>
      <c r="C1838" t="s">
        <v>85</v>
      </c>
      <c r="D1838" t="s">
        <v>56</v>
      </c>
      <c r="E1838" s="17"/>
      <c r="F1838" t="s">
        <v>86</v>
      </c>
      <c r="G1838" t="s">
        <v>246</v>
      </c>
      <c r="I1838" s="17">
        <v>2</v>
      </c>
      <c r="J1838">
        <f t="shared" si="178"/>
        <v>-8.9929783329195807</v>
      </c>
      <c r="K1838" s="13">
        <v>1.5</v>
      </c>
      <c r="L1838" s="13">
        <v>1.2</v>
      </c>
      <c r="M1838" s="13">
        <v>1.5</v>
      </c>
      <c r="N1838" s="13">
        <v>1.1000000000000001</v>
      </c>
      <c r="O1838" s="13">
        <v>2</v>
      </c>
      <c r="P1838" s="13">
        <v>1.2</v>
      </c>
      <c r="Q1838">
        <v>1.05</v>
      </c>
      <c r="R1838">
        <f t="shared" si="179"/>
        <v>0.47095746419981693</v>
      </c>
    </row>
    <row r="1839" spans="1:19" customFormat="1" hidden="1" x14ac:dyDescent="0.2">
      <c r="A1839" s="11" t="s">
        <v>1108</v>
      </c>
      <c r="B1839" s="12">
        <v>1.6409943571755374</v>
      </c>
      <c r="C1839" t="s">
        <v>90</v>
      </c>
      <c r="D1839" t="s">
        <v>56</v>
      </c>
      <c r="E1839" s="17"/>
      <c r="F1839" t="s">
        <v>86</v>
      </c>
      <c r="G1839" s="11" t="s">
        <v>1108</v>
      </c>
      <c r="I1839" s="17">
        <v>2</v>
      </c>
      <c r="J1839">
        <f t="shared" si="178"/>
        <v>0.49530237345215589</v>
      </c>
      <c r="K1839" s="13">
        <v>1.5</v>
      </c>
      <c r="L1839" s="13">
        <v>1.2</v>
      </c>
      <c r="M1839" s="13">
        <v>1.5</v>
      </c>
      <c r="N1839" s="13">
        <v>1.1000000000000001</v>
      </c>
      <c r="O1839" s="13">
        <v>2</v>
      </c>
      <c r="P1839" s="13">
        <v>1.2</v>
      </c>
      <c r="Q1839">
        <v>1.05</v>
      </c>
      <c r="R1839">
        <f t="shared" si="179"/>
        <v>0.47095746419981693</v>
      </c>
    </row>
    <row r="1840" spans="1:19" customFormat="1" hidden="1" x14ac:dyDescent="0.2">
      <c r="K1840" s="13"/>
      <c r="L1840" s="13"/>
      <c r="M1840" s="13"/>
      <c r="N1840" s="13"/>
      <c r="O1840" s="13"/>
      <c r="P1840" s="13"/>
    </row>
    <row r="1841" spans="1:19" customFormat="1" hidden="1" x14ac:dyDescent="0.2">
      <c r="A1841" s="2" t="s">
        <v>50</v>
      </c>
      <c r="B1841" s="2" t="s">
        <v>1110</v>
      </c>
      <c r="K1841" s="13"/>
      <c r="L1841" s="13"/>
      <c r="M1841" s="13"/>
      <c r="N1841" s="13"/>
      <c r="O1841" s="13"/>
      <c r="P1841" s="13"/>
    </row>
    <row r="1842" spans="1:19" customFormat="1" hidden="1" x14ac:dyDescent="0.2">
      <c r="A1842" t="s">
        <v>51</v>
      </c>
      <c r="B1842" t="s">
        <v>1069</v>
      </c>
      <c r="K1842" s="13"/>
      <c r="L1842" s="13"/>
      <c r="M1842" s="13"/>
      <c r="N1842" s="13"/>
      <c r="O1842" s="13"/>
      <c r="P1842" s="13"/>
    </row>
    <row r="1843" spans="1:19" customFormat="1" hidden="1" x14ac:dyDescent="0.2">
      <c r="A1843" t="s">
        <v>63</v>
      </c>
      <c r="B1843" t="s">
        <v>1070</v>
      </c>
      <c r="K1843" s="13"/>
      <c r="L1843" s="13"/>
      <c r="M1843" s="13"/>
      <c r="N1843" s="13"/>
      <c r="O1843" s="13"/>
      <c r="P1843" s="13"/>
    </row>
    <row r="1844" spans="1:19" customFormat="1" hidden="1" x14ac:dyDescent="0.2">
      <c r="A1844" t="s">
        <v>52</v>
      </c>
      <c r="B1844" t="s">
        <v>90</v>
      </c>
      <c r="K1844" s="13"/>
      <c r="L1844" s="13"/>
      <c r="M1844" s="13"/>
      <c r="N1844" s="13"/>
      <c r="O1844" s="13"/>
      <c r="P1844" s="13"/>
    </row>
    <row r="1845" spans="1:19" customFormat="1" hidden="1" x14ac:dyDescent="0.2">
      <c r="A1845" t="s">
        <v>53</v>
      </c>
      <c r="B1845">
        <v>1</v>
      </c>
      <c r="K1845" s="13"/>
      <c r="L1845" s="13"/>
      <c r="M1845" s="13"/>
      <c r="N1845" s="13"/>
      <c r="O1845" s="13"/>
      <c r="P1845" s="13"/>
    </row>
    <row r="1846" spans="1:19" customFormat="1" hidden="1" x14ac:dyDescent="0.2">
      <c r="A1846" t="s">
        <v>54</v>
      </c>
      <c r="B1846" s="11" t="s">
        <v>1087</v>
      </c>
      <c r="K1846" s="13"/>
      <c r="L1846" s="13"/>
      <c r="M1846" s="13"/>
      <c r="N1846" s="13"/>
      <c r="O1846" s="13"/>
      <c r="P1846" s="13"/>
    </row>
    <row r="1847" spans="1:19" customFormat="1" hidden="1" x14ac:dyDescent="0.2">
      <c r="A1847" t="s">
        <v>55</v>
      </c>
      <c r="B1847" t="s">
        <v>56</v>
      </c>
      <c r="K1847" s="13"/>
      <c r="L1847" s="13"/>
      <c r="M1847" s="13"/>
      <c r="N1847" s="13"/>
      <c r="O1847" s="13"/>
      <c r="P1847" s="13"/>
    </row>
    <row r="1848" spans="1:19" customFormat="1" hidden="1" x14ac:dyDescent="0.2">
      <c r="A1848" s="2" t="s">
        <v>57</v>
      </c>
      <c r="K1848" s="13"/>
      <c r="L1848" s="13"/>
      <c r="M1848" s="13"/>
      <c r="N1848" s="13"/>
      <c r="O1848" s="13"/>
      <c r="P1848" s="13"/>
    </row>
    <row r="1849" spans="1:19" customFormat="1" hidden="1" x14ac:dyDescent="0.2">
      <c r="A1849" s="2" t="s">
        <v>58</v>
      </c>
      <c r="B1849" s="2" t="s">
        <v>59</v>
      </c>
      <c r="C1849" s="2" t="s">
        <v>52</v>
      </c>
      <c r="D1849" s="2" t="s">
        <v>55</v>
      </c>
      <c r="E1849" s="2" t="s">
        <v>60</v>
      </c>
      <c r="F1849" s="2" t="s">
        <v>61</v>
      </c>
      <c r="G1849" s="2" t="s">
        <v>54</v>
      </c>
      <c r="H1849" s="18" t="s">
        <v>51</v>
      </c>
      <c r="I1849" s="18" t="s">
        <v>221</v>
      </c>
      <c r="J1849" s="2" t="s">
        <v>379</v>
      </c>
      <c r="K1849" s="62" t="s">
        <v>1059</v>
      </c>
      <c r="L1849" s="62" t="s">
        <v>1060</v>
      </c>
      <c r="M1849" s="62" t="s">
        <v>1061</v>
      </c>
      <c r="N1849" s="62" t="s">
        <v>1062</v>
      </c>
      <c r="O1849" s="62" t="s">
        <v>1063</v>
      </c>
      <c r="P1849" s="62" t="s">
        <v>1064</v>
      </c>
      <c r="Q1849" s="2" t="s">
        <v>1065</v>
      </c>
      <c r="R1849" s="2" t="s">
        <v>380</v>
      </c>
      <c r="S1849" s="18" t="s">
        <v>1128</v>
      </c>
    </row>
    <row r="1850" spans="1:19" customFormat="1" hidden="1" x14ac:dyDescent="0.2">
      <c r="A1850" s="11" t="s">
        <v>1110</v>
      </c>
      <c r="B1850">
        <v>1</v>
      </c>
      <c r="C1850" t="s">
        <v>90</v>
      </c>
      <c r="D1850" t="s">
        <v>56</v>
      </c>
      <c r="E1850" s="17"/>
      <c r="F1850" t="s">
        <v>62</v>
      </c>
      <c r="G1850" s="11" t="s">
        <v>1087</v>
      </c>
      <c r="K1850" s="13"/>
      <c r="L1850" s="13"/>
      <c r="M1850" s="13"/>
      <c r="N1850" s="13"/>
      <c r="O1850" s="13"/>
      <c r="P1850" s="13"/>
    </row>
    <row r="1851" spans="1:19" customFormat="1" hidden="1" x14ac:dyDescent="0.2">
      <c r="A1851" s="11" t="s">
        <v>1109</v>
      </c>
      <c r="B1851">
        <v>1.4973738296414709</v>
      </c>
      <c r="C1851" t="s">
        <v>90</v>
      </c>
      <c r="D1851" t="s">
        <v>56</v>
      </c>
      <c r="E1851" s="17"/>
      <c r="F1851" t="s">
        <v>86</v>
      </c>
      <c r="G1851" s="11" t="s">
        <v>1086</v>
      </c>
      <c r="I1851" s="17">
        <v>2</v>
      </c>
      <c r="J1851">
        <f t="shared" ref="J1851:J1855" si="180">LN(B1851)</f>
        <v>0.40371279346222122</v>
      </c>
      <c r="K1851" s="13">
        <v>1.5</v>
      </c>
      <c r="L1851" s="13">
        <v>1.2</v>
      </c>
      <c r="M1851" s="13">
        <v>1.5</v>
      </c>
      <c r="N1851" s="13">
        <v>1.1000000000000001</v>
      </c>
      <c r="O1851" s="13">
        <v>2</v>
      </c>
      <c r="P1851" s="13">
        <v>1.2</v>
      </c>
      <c r="Q1851">
        <v>1.05</v>
      </c>
      <c r="R1851">
        <f t="shared" ref="R1851:R1855" si="181">LN(SQRT(EXP(
SQRT(
+POWER(LN(K1851),2)
+POWER(LN(L1851),2)
+POWER(LN(M1851),2)
+POWER(LN(N1851),2)
+POWER(LN(O1851),2)
+POWER(LN(P1851),2)
+POWER(LN(Q1851),2)
)
)))</f>
        <v>0.47095746419981693</v>
      </c>
    </row>
    <row r="1852" spans="1:19" customFormat="1" hidden="1" x14ac:dyDescent="0.2">
      <c r="A1852" t="s">
        <v>1078</v>
      </c>
      <c r="B1852" s="5">
        <v>7.2116921671614527E-3</v>
      </c>
      <c r="C1852" t="s">
        <v>90</v>
      </c>
      <c r="D1852" t="s">
        <v>120</v>
      </c>
      <c r="E1852" s="17"/>
      <c r="F1852" t="s">
        <v>86</v>
      </c>
      <c r="G1852" t="s">
        <v>1079</v>
      </c>
      <c r="I1852" s="17">
        <v>2</v>
      </c>
      <c r="J1852">
        <f t="shared" si="180"/>
        <v>-4.9320516579739024</v>
      </c>
      <c r="K1852" s="13">
        <v>1.5</v>
      </c>
      <c r="L1852" s="13">
        <v>1.2</v>
      </c>
      <c r="M1852" s="13">
        <v>1.5</v>
      </c>
      <c r="N1852" s="13">
        <v>1.1000000000000001</v>
      </c>
      <c r="O1852" s="13">
        <v>2</v>
      </c>
      <c r="P1852" s="13">
        <v>1.2</v>
      </c>
      <c r="Q1852">
        <v>1.05</v>
      </c>
      <c r="R1852">
        <f t="shared" si="181"/>
        <v>0.47095746419981693</v>
      </c>
    </row>
    <row r="1853" spans="1:19" customFormat="1" hidden="1" x14ac:dyDescent="0.2">
      <c r="A1853" t="s">
        <v>91</v>
      </c>
      <c r="B1853" s="12">
        <v>0.41950216944507884</v>
      </c>
      <c r="C1853" t="s">
        <v>90</v>
      </c>
      <c r="D1853" t="s">
        <v>92</v>
      </c>
      <c r="E1853" s="17"/>
      <c r="F1853" t="s">
        <v>86</v>
      </c>
      <c r="G1853" t="s">
        <v>93</v>
      </c>
      <c r="I1853" s="17">
        <v>2</v>
      </c>
      <c r="J1853">
        <f t="shared" si="180"/>
        <v>-0.86868658158627254</v>
      </c>
      <c r="K1853" s="13">
        <v>1.5</v>
      </c>
      <c r="L1853" s="13">
        <v>1.2</v>
      </c>
      <c r="M1853" s="13">
        <v>1.5</v>
      </c>
      <c r="N1853" s="13">
        <v>1.1000000000000001</v>
      </c>
      <c r="O1853" s="13">
        <v>2</v>
      </c>
      <c r="P1853" s="13">
        <v>1.2</v>
      </c>
      <c r="Q1853">
        <v>1.05</v>
      </c>
      <c r="R1853">
        <f t="shared" si="181"/>
        <v>0.47095746419981693</v>
      </c>
    </row>
    <row r="1854" spans="1:19" customFormat="1" hidden="1" x14ac:dyDescent="0.2">
      <c r="A1854" t="s">
        <v>1084</v>
      </c>
      <c r="B1854" s="61">
        <v>0.66453528202786039</v>
      </c>
      <c r="C1854" t="s">
        <v>90</v>
      </c>
      <c r="D1854" t="s">
        <v>56</v>
      </c>
      <c r="E1854" s="17"/>
      <c r="F1854" t="s">
        <v>86</v>
      </c>
      <c r="G1854" t="s">
        <v>1085</v>
      </c>
      <c r="I1854" s="17">
        <v>2</v>
      </c>
      <c r="J1854">
        <f t="shared" si="180"/>
        <v>-0.40866730663585993</v>
      </c>
      <c r="K1854" s="13">
        <v>1.5</v>
      </c>
      <c r="L1854" s="13">
        <v>1.2</v>
      </c>
      <c r="M1854" s="13">
        <v>1.5</v>
      </c>
      <c r="N1854" s="13">
        <v>1.1000000000000001</v>
      </c>
      <c r="O1854" s="13">
        <v>2</v>
      </c>
      <c r="P1854" s="13">
        <v>1.2</v>
      </c>
      <c r="Q1854">
        <v>1.05</v>
      </c>
      <c r="R1854">
        <f t="shared" si="181"/>
        <v>0.47095746419981693</v>
      </c>
    </row>
    <row r="1855" spans="1:19" customFormat="1" hidden="1" x14ac:dyDescent="0.2">
      <c r="A1855" t="s">
        <v>95</v>
      </c>
      <c r="B1855" s="5">
        <v>3.9963461977620464E-4</v>
      </c>
      <c r="C1855" t="s">
        <v>96</v>
      </c>
      <c r="D1855" t="s">
        <v>56</v>
      </c>
      <c r="E1855" s="17"/>
      <c r="F1855" t="s">
        <v>86</v>
      </c>
      <c r="G1855" t="s">
        <v>97</v>
      </c>
      <c r="I1855" s="17">
        <v>2</v>
      </c>
      <c r="J1855">
        <f t="shared" si="180"/>
        <v>-7.8249598788659753</v>
      </c>
      <c r="K1855" s="13">
        <v>1.5</v>
      </c>
      <c r="L1855" s="13">
        <v>1.2</v>
      </c>
      <c r="M1855" s="13">
        <v>1.5</v>
      </c>
      <c r="N1855" s="13">
        <v>1.1000000000000001</v>
      </c>
      <c r="O1855" s="13">
        <v>2</v>
      </c>
      <c r="P1855" s="13">
        <v>1.2</v>
      </c>
      <c r="Q1855">
        <v>1.05</v>
      </c>
      <c r="R1855">
        <f t="shared" si="181"/>
        <v>0.47095746419981693</v>
      </c>
    </row>
    <row r="1856" spans="1:19" customFormat="1" hidden="1" x14ac:dyDescent="0.2">
      <c r="K1856" s="13"/>
      <c r="L1856" s="13"/>
      <c r="M1856" s="13"/>
      <c r="N1856" s="13"/>
      <c r="O1856" s="13"/>
      <c r="P1856" s="13"/>
    </row>
    <row r="1857" spans="1:19" customFormat="1" hidden="1" x14ac:dyDescent="0.2">
      <c r="A1857" s="2" t="s">
        <v>50</v>
      </c>
      <c r="B1857" s="2" t="s">
        <v>1111</v>
      </c>
      <c r="K1857" s="13"/>
      <c r="L1857" s="13"/>
      <c r="M1857" s="13"/>
      <c r="N1857" s="13"/>
      <c r="O1857" s="13"/>
      <c r="P1857" s="13"/>
    </row>
    <row r="1858" spans="1:19" customFormat="1" hidden="1" x14ac:dyDescent="0.2">
      <c r="A1858" t="s">
        <v>51</v>
      </c>
      <c r="B1858" t="s">
        <v>1069</v>
      </c>
      <c r="K1858" s="13"/>
      <c r="L1858" s="13"/>
      <c r="M1858" s="13"/>
      <c r="N1858" s="13"/>
      <c r="O1858" s="13"/>
      <c r="P1858" s="13"/>
    </row>
    <row r="1859" spans="1:19" customFormat="1" hidden="1" x14ac:dyDescent="0.2">
      <c r="A1859" t="s">
        <v>63</v>
      </c>
      <c r="B1859" t="s">
        <v>1070</v>
      </c>
      <c r="K1859" s="13"/>
      <c r="L1859" s="13"/>
      <c r="M1859" s="13"/>
      <c r="N1859" s="13"/>
      <c r="O1859" s="13"/>
      <c r="P1859" s="13"/>
    </row>
    <row r="1860" spans="1:19" customFormat="1" hidden="1" x14ac:dyDescent="0.2">
      <c r="A1860" t="s">
        <v>52</v>
      </c>
      <c r="B1860" t="s">
        <v>90</v>
      </c>
      <c r="K1860" s="13"/>
      <c r="L1860" s="13"/>
      <c r="M1860" s="13"/>
      <c r="N1860" s="13"/>
      <c r="O1860" s="13"/>
      <c r="P1860" s="13"/>
    </row>
    <row r="1861" spans="1:19" customFormat="1" hidden="1" x14ac:dyDescent="0.2">
      <c r="A1861" t="s">
        <v>53</v>
      </c>
      <c r="B1861">
        <v>1</v>
      </c>
      <c r="K1861" s="13"/>
      <c r="L1861" s="13"/>
      <c r="M1861" s="13"/>
      <c r="N1861" s="13"/>
      <c r="O1861" s="13"/>
      <c r="P1861" s="13"/>
    </row>
    <row r="1862" spans="1:19" customFormat="1" hidden="1" x14ac:dyDescent="0.2">
      <c r="A1862" t="s">
        <v>54</v>
      </c>
      <c r="B1862" s="11" t="s">
        <v>1088</v>
      </c>
      <c r="K1862" s="13"/>
      <c r="L1862" s="13"/>
      <c r="M1862" s="13"/>
      <c r="N1862" s="13"/>
      <c r="O1862" s="13"/>
      <c r="P1862" s="13"/>
    </row>
    <row r="1863" spans="1:19" customFormat="1" hidden="1" x14ac:dyDescent="0.2">
      <c r="A1863" t="s">
        <v>55</v>
      </c>
      <c r="B1863" t="s">
        <v>56</v>
      </c>
      <c r="K1863" s="13"/>
      <c r="L1863" s="13"/>
      <c r="M1863" s="13"/>
      <c r="N1863" s="13"/>
      <c r="O1863" s="13"/>
      <c r="P1863" s="13"/>
    </row>
    <row r="1864" spans="1:19" customFormat="1" hidden="1" x14ac:dyDescent="0.2">
      <c r="A1864" s="2" t="s">
        <v>57</v>
      </c>
      <c r="K1864" s="13"/>
      <c r="L1864" s="13"/>
      <c r="M1864" s="13"/>
      <c r="N1864" s="13"/>
      <c r="O1864" s="13"/>
      <c r="P1864" s="13"/>
    </row>
    <row r="1865" spans="1:19" customFormat="1" hidden="1" x14ac:dyDescent="0.2">
      <c r="A1865" s="2" t="s">
        <v>58</v>
      </c>
      <c r="B1865" s="2" t="s">
        <v>59</v>
      </c>
      <c r="C1865" s="2" t="s">
        <v>52</v>
      </c>
      <c r="D1865" s="2" t="s">
        <v>55</v>
      </c>
      <c r="E1865" s="2" t="s">
        <v>60</v>
      </c>
      <c r="F1865" s="2" t="s">
        <v>61</v>
      </c>
      <c r="G1865" s="2" t="s">
        <v>54</v>
      </c>
      <c r="H1865" s="18" t="s">
        <v>51</v>
      </c>
      <c r="I1865" s="18" t="s">
        <v>221</v>
      </c>
      <c r="J1865" s="2" t="s">
        <v>379</v>
      </c>
      <c r="K1865" s="62" t="s">
        <v>1059</v>
      </c>
      <c r="L1865" s="62" t="s">
        <v>1060</v>
      </c>
      <c r="M1865" s="62" t="s">
        <v>1061</v>
      </c>
      <c r="N1865" s="62" t="s">
        <v>1062</v>
      </c>
      <c r="O1865" s="62" t="s">
        <v>1063</v>
      </c>
      <c r="P1865" s="62" t="s">
        <v>1064</v>
      </c>
      <c r="Q1865" s="2" t="s">
        <v>1065</v>
      </c>
      <c r="R1865" s="2" t="s">
        <v>380</v>
      </c>
      <c r="S1865" s="18" t="s">
        <v>1128</v>
      </c>
    </row>
    <row r="1866" spans="1:19" customFormat="1" hidden="1" x14ac:dyDescent="0.2">
      <c r="A1866" t="s">
        <v>1111</v>
      </c>
      <c r="B1866">
        <v>1</v>
      </c>
      <c r="C1866" t="s">
        <v>90</v>
      </c>
      <c r="D1866" t="s">
        <v>56</v>
      </c>
      <c r="E1866" s="17"/>
      <c r="F1866" t="s">
        <v>62</v>
      </c>
      <c r="G1866" t="s">
        <v>1088</v>
      </c>
      <c r="K1866" s="13"/>
      <c r="L1866" s="13"/>
      <c r="M1866" s="13"/>
      <c r="N1866" s="13"/>
      <c r="O1866" s="13"/>
      <c r="P1866" s="13"/>
    </row>
    <row r="1867" spans="1:19" customFormat="1" hidden="1" x14ac:dyDescent="0.2">
      <c r="A1867" s="17" t="s">
        <v>642</v>
      </c>
      <c r="B1867">
        <v>-0.70140280561122248</v>
      </c>
      <c r="C1867" t="s">
        <v>64</v>
      </c>
      <c r="D1867" t="s">
        <v>120</v>
      </c>
      <c r="E1867" s="17"/>
      <c r="F1867" t="s">
        <v>86</v>
      </c>
      <c r="G1867" t="s">
        <v>243</v>
      </c>
      <c r="I1867" s="17">
        <v>2</v>
      </c>
      <c r="J1867">
        <f>LN(B1867*-1)</f>
        <v>-0.35467294126805926</v>
      </c>
      <c r="K1867" s="13">
        <v>1.5</v>
      </c>
      <c r="L1867" s="13">
        <v>1.2</v>
      </c>
      <c r="M1867" s="13">
        <v>1.5</v>
      </c>
      <c r="N1867" s="13">
        <v>1.1000000000000001</v>
      </c>
      <c r="O1867" s="13">
        <v>2</v>
      </c>
      <c r="P1867" s="13">
        <v>1.2</v>
      </c>
      <c r="Q1867">
        <v>1.05</v>
      </c>
      <c r="R1867">
        <f>LN(SQRT(EXP(
SQRT(
+POWER(LN(K1867),2)
+POWER(LN(L1867),2)
+POWER(LN(M1867),2)
+POWER(LN(N1867),2)
+POWER(LN(O1867),2)
+POWER(LN(P1867),2)
+POWER(LN(Q1867),2)
)
)))</f>
        <v>0.47095746419981693</v>
      </c>
      <c r="S1867" s="17" t="b">
        <v>1</v>
      </c>
    </row>
    <row r="1868" spans="1:19" customFormat="1" hidden="1" x14ac:dyDescent="0.2">
      <c r="A1868" t="s">
        <v>1078</v>
      </c>
      <c r="B1868" s="5">
        <v>1.5626809173903365E-4</v>
      </c>
      <c r="C1868" t="s">
        <v>90</v>
      </c>
      <c r="D1868" t="s">
        <v>120</v>
      </c>
      <c r="E1868" s="17"/>
      <c r="F1868" t="s">
        <v>86</v>
      </c>
      <c r="G1868" t="s">
        <v>1079</v>
      </c>
      <c r="I1868" s="17">
        <v>2</v>
      </c>
      <c r="J1868">
        <f>LN(B1868)</f>
        <v>-8.7639374889207602</v>
      </c>
      <c r="K1868" s="13">
        <v>1.5</v>
      </c>
      <c r="L1868" s="13">
        <v>1.2</v>
      </c>
      <c r="M1868" s="13">
        <v>1.5</v>
      </c>
      <c r="N1868" s="13">
        <v>1.1000000000000001</v>
      </c>
      <c r="O1868" s="13">
        <v>2</v>
      </c>
      <c r="P1868" s="13">
        <v>1.2</v>
      </c>
      <c r="Q1868">
        <v>1.05</v>
      </c>
      <c r="R1868">
        <f t="shared" ref="R1868:R1872" si="182">LN(SQRT(EXP(
SQRT(
+POWER(LN(K1868),2)
+POWER(LN(L1868),2)
+POWER(LN(M1868),2)
+POWER(LN(N1868),2)
+POWER(LN(O1868),2)
+POWER(LN(P1868),2)
+POWER(LN(Q1868),2)
)
)))</f>
        <v>0.47095746419981693</v>
      </c>
    </row>
    <row r="1869" spans="1:19" customFormat="1" hidden="1" x14ac:dyDescent="0.2">
      <c r="A1869" t="s">
        <v>91</v>
      </c>
      <c r="B1869" s="12">
        <v>3.582720997550657E-2</v>
      </c>
      <c r="C1869" t="s">
        <v>90</v>
      </c>
      <c r="D1869" t="s">
        <v>92</v>
      </c>
      <c r="E1869" s="17"/>
      <c r="F1869" t="s">
        <v>86</v>
      </c>
      <c r="G1869" t="s">
        <v>93</v>
      </c>
      <c r="I1869" s="17">
        <v>2</v>
      </c>
      <c r="J1869">
        <f>LN(B1869)</f>
        <v>-3.3290476190894003</v>
      </c>
      <c r="K1869" s="13">
        <v>1.5</v>
      </c>
      <c r="L1869" s="13">
        <v>1.2</v>
      </c>
      <c r="M1869" s="13">
        <v>1.5</v>
      </c>
      <c r="N1869" s="13">
        <v>1.1000000000000001</v>
      </c>
      <c r="O1869" s="13">
        <v>2</v>
      </c>
      <c r="P1869" s="13">
        <v>1.2</v>
      </c>
      <c r="Q1869">
        <v>1.05</v>
      </c>
      <c r="R1869">
        <f t="shared" si="182"/>
        <v>0.47095746419981693</v>
      </c>
    </row>
    <row r="1870" spans="1:19" customFormat="1" hidden="1" x14ac:dyDescent="0.2">
      <c r="A1870" t="s">
        <v>1110</v>
      </c>
      <c r="B1870">
        <v>0.97506123357826757</v>
      </c>
      <c r="C1870" t="s">
        <v>90</v>
      </c>
      <c r="D1870" t="s">
        <v>56</v>
      </c>
      <c r="E1870" s="17"/>
      <c r="F1870" t="s">
        <v>86</v>
      </c>
      <c r="G1870" t="s">
        <v>1087</v>
      </c>
      <c r="I1870" s="17">
        <v>2</v>
      </c>
      <c r="J1870">
        <f>LN(B1870)</f>
        <v>-2.5255006286339768E-2</v>
      </c>
      <c r="K1870" s="13">
        <v>1.5</v>
      </c>
      <c r="L1870" s="13">
        <v>1.2</v>
      </c>
      <c r="M1870" s="13">
        <v>1.5</v>
      </c>
      <c r="N1870" s="13">
        <v>1.1000000000000001</v>
      </c>
      <c r="O1870" s="13">
        <v>2</v>
      </c>
      <c r="P1870" s="13">
        <v>1.2</v>
      </c>
      <c r="Q1870">
        <v>1.05</v>
      </c>
      <c r="R1870">
        <f t="shared" si="182"/>
        <v>0.47095746419981693</v>
      </c>
    </row>
    <row r="1871" spans="1:19" customFormat="1" hidden="1" x14ac:dyDescent="0.2">
      <c r="A1871" t="s">
        <v>1089</v>
      </c>
      <c r="B1871" s="5">
        <v>2.5005566688933424E-2</v>
      </c>
      <c r="C1871" t="s">
        <v>85</v>
      </c>
      <c r="D1871" t="s">
        <v>56</v>
      </c>
      <c r="E1871" s="17"/>
      <c r="F1871" t="s">
        <v>86</v>
      </c>
      <c r="G1871" t="s">
        <v>1090</v>
      </c>
      <c r="I1871" s="17">
        <v>2</v>
      </c>
      <c r="J1871">
        <f>LN(B1871)</f>
        <v>-3.6886568113433404</v>
      </c>
      <c r="K1871" s="13">
        <v>1.5</v>
      </c>
      <c r="L1871" s="13">
        <v>1.2</v>
      </c>
      <c r="M1871" s="13">
        <v>1.5</v>
      </c>
      <c r="N1871" s="13">
        <v>1.1000000000000001</v>
      </c>
      <c r="O1871" s="13">
        <v>2</v>
      </c>
      <c r="P1871" s="13">
        <v>1.2</v>
      </c>
      <c r="Q1871">
        <v>1.05</v>
      </c>
      <c r="R1871">
        <f t="shared" si="182"/>
        <v>0.47095746419981693</v>
      </c>
    </row>
    <row r="1872" spans="1:19" customFormat="1" hidden="1" x14ac:dyDescent="0.2">
      <c r="A1872" t="s">
        <v>95</v>
      </c>
      <c r="B1872" s="5">
        <v>0.14600311734580271</v>
      </c>
      <c r="C1872" t="s">
        <v>96</v>
      </c>
      <c r="D1872" t="s">
        <v>56</v>
      </c>
      <c r="E1872" s="17"/>
      <c r="F1872" t="s">
        <v>86</v>
      </c>
      <c r="G1872" t="s">
        <v>97</v>
      </c>
      <c r="I1872" s="17">
        <v>2</v>
      </c>
      <c r="J1872">
        <f>LN(B1872)</f>
        <v>-1.9241273058181643</v>
      </c>
      <c r="K1872" s="13">
        <v>1.5</v>
      </c>
      <c r="L1872" s="13">
        <v>1.2</v>
      </c>
      <c r="M1872" s="13">
        <v>1.5</v>
      </c>
      <c r="N1872" s="13">
        <v>1.1000000000000001</v>
      </c>
      <c r="O1872" s="13">
        <v>2</v>
      </c>
      <c r="P1872" s="13">
        <v>1.2</v>
      </c>
      <c r="Q1872">
        <v>1.05</v>
      </c>
      <c r="R1872">
        <f t="shared" si="182"/>
        <v>0.47095746419981693</v>
      </c>
    </row>
    <row r="1873" spans="1:19" customFormat="1" hidden="1" x14ac:dyDescent="0.2">
      <c r="K1873" s="13"/>
      <c r="L1873" s="13"/>
      <c r="M1873" s="13"/>
      <c r="N1873" s="13"/>
      <c r="O1873" s="13"/>
      <c r="P1873" s="13"/>
    </row>
    <row r="1874" spans="1:19" customFormat="1" hidden="1" x14ac:dyDescent="0.2">
      <c r="A1874" s="2" t="s">
        <v>50</v>
      </c>
      <c r="B1874" s="2" t="s">
        <v>1114</v>
      </c>
      <c r="K1874" s="13"/>
      <c r="L1874" s="13"/>
      <c r="M1874" s="13"/>
      <c r="N1874" s="13"/>
      <c r="O1874" s="13"/>
      <c r="P1874" s="13"/>
    </row>
    <row r="1875" spans="1:19" customFormat="1" hidden="1" x14ac:dyDescent="0.2">
      <c r="A1875" t="s">
        <v>51</v>
      </c>
      <c r="B1875" t="s">
        <v>1069</v>
      </c>
      <c r="K1875" s="13"/>
      <c r="L1875" s="13"/>
      <c r="M1875" s="13"/>
      <c r="N1875" s="13"/>
      <c r="O1875" s="13"/>
      <c r="P1875" s="13"/>
    </row>
    <row r="1876" spans="1:19" customFormat="1" hidden="1" x14ac:dyDescent="0.2">
      <c r="A1876" t="s">
        <v>63</v>
      </c>
      <c r="B1876" t="s">
        <v>1070</v>
      </c>
      <c r="K1876" s="13"/>
      <c r="L1876" s="13"/>
      <c r="M1876" s="13"/>
      <c r="N1876" s="13"/>
      <c r="O1876" s="13"/>
      <c r="P1876" s="13"/>
    </row>
    <row r="1877" spans="1:19" customFormat="1" hidden="1" x14ac:dyDescent="0.2">
      <c r="A1877" t="s">
        <v>52</v>
      </c>
      <c r="B1877" t="s">
        <v>90</v>
      </c>
      <c r="K1877" s="13"/>
      <c r="L1877" s="13"/>
      <c r="M1877" s="13"/>
      <c r="N1877" s="13"/>
      <c r="O1877" s="13"/>
      <c r="P1877" s="13"/>
    </row>
    <row r="1878" spans="1:19" customFormat="1" hidden="1" x14ac:dyDescent="0.2">
      <c r="A1878" t="s">
        <v>53</v>
      </c>
      <c r="B1878">
        <v>1</v>
      </c>
      <c r="K1878" s="13"/>
      <c r="L1878" s="13"/>
      <c r="M1878" s="13"/>
      <c r="N1878" s="13"/>
      <c r="O1878" s="13"/>
      <c r="P1878" s="13"/>
    </row>
    <row r="1879" spans="1:19" customFormat="1" hidden="1" x14ac:dyDescent="0.2">
      <c r="A1879" t="s">
        <v>54</v>
      </c>
      <c r="B1879" s="11" t="s">
        <v>1091</v>
      </c>
      <c r="K1879" s="13"/>
      <c r="L1879" s="13"/>
      <c r="M1879" s="13"/>
      <c r="N1879" s="13"/>
      <c r="O1879" s="13"/>
      <c r="P1879" s="13"/>
    </row>
    <row r="1880" spans="1:19" customFormat="1" hidden="1" x14ac:dyDescent="0.2">
      <c r="A1880" t="s">
        <v>55</v>
      </c>
      <c r="B1880" t="s">
        <v>56</v>
      </c>
      <c r="K1880" s="13"/>
      <c r="L1880" s="13"/>
      <c r="M1880" s="13"/>
      <c r="N1880" s="13"/>
      <c r="O1880" s="13"/>
      <c r="P1880" s="13"/>
    </row>
    <row r="1881" spans="1:19" customFormat="1" hidden="1" x14ac:dyDescent="0.2">
      <c r="A1881" s="2" t="s">
        <v>57</v>
      </c>
      <c r="K1881" s="13"/>
      <c r="L1881" s="13"/>
      <c r="M1881" s="13"/>
      <c r="N1881" s="13"/>
      <c r="O1881" s="13"/>
      <c r="P1881" s="13"/>
    </row>
    <row r="1882" spans="1:19" customFormat="1" hidden="1" x14ac:dyDescent="0.2">
      <c r="A1882" s="2" t="s">
        <v>58</v>
      </c>
      <c r="B1882" s="2" t="s">
        <v>59</v>
      </c>
      <c r="C1882" s="2" t="s">
        <v>52</v>
      </c>
      <c r="D1882" s="2" t="s">
        <v>55</v>
      </c>
      <c r="E1882" s="2" t="s">
        <v>60</v>
      </c>
      <c r="F1882" s="2" t="s">
        <v>61</v>
      </c>
      <c r="G1882" s="2" t="s">
        <v>54</v>
      </c>
      <c r="H1882" s="18" t="s">
        <v>51</v>
      </c>
      <c r="I1882" s="18" t="s">
        <v>221</v>
      </c>
      <c r="J1882" s="2" t="s">
        <v>379</v>
      </c>
      <c r="K1882" s="62" t="s">
        <v>1059</v>
      </c>
      <c r="L1882" s="62" t="s">
        <v>1060</v>
      </c>
      <c r="M1882" s="62" t="s">
        <v>1061</v>
      </c>
      <c r="N1882" s="62" t="s">
        <v>1062</v>
      </c>
      <c r="O1882" s="62" t="s">
        <v>1063</v>
      </c>
      <c r="P1882" s="62" t="s">
        <v>1064</v>
      </c>
      <c r="Q1882" s="2" t="s">
        <v>1065</v>
      </c>
      <c r="R1882" s="2" t="s">
        <v>380</v>
      </c>
      <c r="S1882" s="18" t="s">
        <v>1128</v>
      </c>
    </row>
    <row r="1883" spans="1:19" customFormat="1" hidden="1" x14ac:dyDescent="0.2">
      <c r="A1883" t="s">
        <v>1114</v>
      </c>
      <c r="B1883">
        <v>1</v>
      </c>
      <c r="C1883" t="s">
        <v>90</v>
      </c>
      <c r="D1883" t="s">
        <v>56</v>
      </c>
      <c r="E1883" s="17"/>
      <c r="F1883" t="s">
        <v>62</v>
      </c>
      <c r="G1883" t="s">
        <v>1091</v>
      </c>
      <c r="H1883" s="17"/>
      <c r="I1883" s="17"/>
      <c r="J1883" s="17"/>
      <c r="K1883" s="13"/>
      <c r="L1883" s="13"/>
      <c r="M1883" s="13"/>
      <c r="N1883" s="13"/>
      <c r="O1883" s="13"/>
      <c r="P1883" s="13"/>
    </row>
    <row r="1884" spans="1:19" customFormat="1" hidden="1" x14ac:dyDescent="0.2">
      <c r="A1884" t="s">
        <v>134</v>
      </c>
      <c r="B1884">
        <f>0.623418865196964/1000</f>
        <v>6.2341886519696403E-4</v>
      </c>
      <c r="D1884" t="s">
        <v>120</v>
      </c>
      <c r="E1884" s="17" t="s">
        <v>100</v>
      </c>
      <c r="F1884" t="s">
        <v>99</v>
      </c>
      <c r="H1884" s="17"/>
      <c r="I1884" s="17">
        <v>2</v>
      </c>
      <c r="J1884">
        <f t="shared" ref="J1884:J1888" si="183">LN(B1884)</f>
        <v>-7.3802919293036036</v>
      </c>
      <c r="K1884" s="13">
        <v>1.5</v>
      </c>
      <c r="L1884" s="13">
        <v>1.2</v>
      </c>
      <c r="M1884" s="13">
        <v>1.5</v>
      </c>
      <c r="N1884" s="13">
        <v>1.1000000000000001</v>
      </c>
      <c r="O1884" s="13">
        <v>2</v>
      </c>
      <c r="P1884" s="13">
        <v>1.2</v>
      </c>
      <c r="Q1884" s="13">
        <v>1.05</v>
      </c>
      <c r="R1884">
        <f t="shared" ref="R1884:R1888" si="184">LN(SQRT(EXP(
SQRT(
+POWER(LN(K1884),2)
+POWER(LN(L1884),2)
+POWER(LN(M1884),2)
+POWER(LN(N1884),2)
+POWER(LN(O1884),2)
+POWER(LN(P1884),2)
+POWER(LN(Q1884),2)
)
)))</f>
        <v>0.47095746419981693</v>
      </c>
    </row>
    <row r="1885" spans="1:19" customFormat="1" hidden="1" x14ac:dyDescent="0.2">
      <c r="A1885" t="s">
        <v>1078</v>
      </c>
      <c r="B1885" s="5">
        <v>5.2692446693169504E-4</v>
      </c>
      <c r="C1885" t="s">
        <v>90</v>
      </c>
      <c r="D1885" t="s">
        <v>120</v>
      </c>
      <c r="E1885" s="17"/>
      <c r="F1885" t="s">
        <v>86</v>
      </c>
      <c r="G1885" t="s">
        <v>1079</v>
      </c>
      <c r="H1885" s="17"/>
      <c r="I1885" s="17">
        <v>2</v>
      </c>
      <c r="J1885">
        <f t="shared" si="183"/>
        <v>-7.5484533462004597</v>
      </c>
      <c r="K1885" s="13">
        <v>1.5</v>
      </c>
      <c r="L1885" s="13">
        <v>1.2</v>
      </c>
      <c r="M1885" s="13">
        <v>1.5</v>
      </c>
      <c r="N1885" s="13">
        <v>1.1000000000000001</v>
      </c>
      <c r="O1885" s="13">
        <v>2</v>
      </c>
      <c r="P1885" s="13">
        <v>1.2</v>
      </c>
      <c r="Q1885">
        <v>1.05</v>
      </c>
      <c r="R1885">
        <f t="shared" si="184"/>
        <v>0.47095746419981693</v>
      </c>
    </row>
    <row r="1886" spans="1:19" customFormat="1" hidden="1" x14ac:dyDescent="0.2">
      <c r="A1886" t="s">
        <v>91</v>
      </c>
      <c r="B1886" s="12">
        <v>6.3642934586194438E-2</v>
      </c>
      <c r="C1886" t="s">
        <v>90</v>
      </c>
      <c r="D1886" t="s">
        <v>92</v>
      </c>
      <c r="E1886" s="17"/>
      <c r="F1886" t="s">
        <v>86</v>
      </c>
      <c r="G1886" t="s">
        <v>93</v>
      </c>
      <c r="H1886" s="17"/>
      <c r="I1886" s="17">
        <v>2</v>
      </c>
      <c r="J1886">
        <f t="shared" si="183"/>
        <v>-2.7544669642847652</v>
      </c>
      <c r="K1886" s="13">
        <v>1.5</v>
      </c>
      <c r="L1886" s="13">
        <v>1.2</v>
      </c>
      <c r="M1886" s="13">
        <v>1.5</v>
      </c>
      <c r="N1886" s="13">
        <v>1.1000000000000001</v>
      </c>
      <c r="O1886" s="13">
        <v>2</v>
      </c>
      <c r="P1886" s="13">
        <v>1.2</v>
      </c>
      <c r="Q1886">
        <v>1.05</v>
      </c>
      <c r="R1886">
        <f t="shared" si="184"/>
        <v>0.47095746419981693</v>
      </c>
    </row>
    <row r="1887" spans="1:19" customFormat="1" hidden="1" x14ac:dyDescent="0.2">
      <c r="A1887" t="s">
        <v>1111</v>
      </c>
      <c r="B1887">
        <v>1.6230574629562702</v>
      </c>
      <c r="C1887" t="s">
        <v>90</v>
      </c>
      <c r="D1887" t="s">
        <v>56</v>
      </c>
      <c r="E1887" s="17"/>
      <c r="F1887" t="s">
        <v>86</v>
      </c>
      <c r="G1887" t="s">
        <v>1088</v>
      </c>
      <c r="H1887" s="17"/>
      <c r="I1887" s="17">
        <v>2</v>
      </c>
      <c r="J1887">
        <f t="shared" si="183"/>
        <v>0.48431169330081203</v>
      </c>
      <c r="K1887" s="13">
        <v>1.5</v>
      </c>
      <c r="L1887" s="13">
        <v>1.2</v>
      </c>
      <c r="M1887" s="13">
        <v>1.5</v>
      </c>
      <c r="N1887" s="13">
        <v>1.1000000000000001</v>
      </c>
      <c r="O1887" s="13">
        <v>2</v>
      </c>
      <c r="P1887" s="13">
        <v>1.2</v>
      </c>
      <c r="Q1887">
        <v>1.05</v>
      </c>
      <c r="R1887">
        <f t="shared" si="184"/>
        <v>0.47095746419981693</v>
      </c>
    </row>
    <row r="1888" spans="1:19" customFormat="1" hidden="1" x14ac:dyDescent="0.2">
      <c r="A1888" t="s">
        <v>1084</v>
      </c>
      <c r="B1888" s="61">
        <v>0.74412721358872436</v>
      </c>
      <c r="C1888" t="s">
        <v>90</v>
      </c>
      <c r="D1888" t="s">
        <v>56</v>
      </c>
      <c r="E1888" s="17"/>
      <c r="F1888" t="s">
        <v>86</v>
      </c>
      <c r="G1888" t="s">
        <v>1085</v>
      </c>
      <c r="H1888" s="17"/>
      <c r="I1888" s="17">
        <v>2</v>
      </c>
      <c r="J1888">
        <f t="shared" si="183"/>
        <v>-0.29554327275913633</v>
      </c>
      <c r="K1888" s="13">
        <v>1.5</v>
      </c>
      <c r="L1888" s="13">
        <v>1.2</v>
      </c>
      <c r="M1888" s="13">
        <v>1.5</v>
      </c>
      <c r="N1888" s="13">
        <v>1.1000000000000001</v>
      </c>
      <c r="O1888" s="13">
        <v>2</v>
      </c>
      <c r="P1888" s="13">
        <v>1.2</v>
      </c>
      <c r="Q1888">
        <v>1.05</v>
      </c>
      <c r="R1888">
        <f t="shared" si="184"/>
        <v>0.47095746419981693</v>
      </c>
    </row>
    <row r="1889" spans="1:19" customFormat="1" hidden="1" x14ac:dyDescent="0.2">
      <c r="K1889" s="13"/>
      <c r="L1889" s="13"/>
      <c r="M1889" s="13"/>
      <c r="N1889" s="13"/>
      <c r="O1889" s="13"/>
      <c r="P1889" s="13"/>
    </row>
    <row r="1890" spans="1:19" customFormat="1" hidden="1" x14ac:dyDescent="0.2">
      <c r="A1890" s="2" t="s">
        <v>50</v>
      </c>
      <c r="B1890" s="2" t="s">
        <v>1117</v>
      </c>
      <c r="K1890" s="13"/>
      <c r="L1890" s="13"/>
      <c r="M1890" s="13"/>
      <c r="N1890" s="13"/>
      <c r="O1890" s="13"/>
      <c r="P1890" s="13"/>
    </row>
    <row r="1891" spans="1:19" customFormat="1" hidden="1" x14ac:dyDescent="0.2">
      <c r="A1891" t="s">
        <v>51</v>
      </c>
      <c r="B1891" t="s">
        <v>1069</v>
      </c>
      <c r="K1891" s="13"/>
      <c r="L1891" s="13"/>
      <c r="M1891" s="13"/>
      <c r="N1891" s="13"/>
      <c r="O1891" s="13"/>
      <c r="P1891" s="13"/>
    </row>
    <row r="1892" spans="1:19" customFormat="1" hidden="1" x14ac:dyDescent="0.2">
      <c r="A1892" t="s">
        <v>63</v>
      </c>
      <c r="B1892" t="s">
        <v>1070</v>
      </c>
      <c r="K1892" s="13"/>
      <c r="L1892" s="13"/>
      <c r="M1892" s="13"/>
      <c r="N1892" s="13"/>
      <c r="O1892" s="13"/>
      <c r="P1892" s="13"/>
    </row>
    <row r="1893" spans="1:19" customFormat="1" hidden="1" x14ac:dyDescent="0.2">
      <c r="A1893" t="s">
        <v>52</v>
      </c>
      <c r="B1893" t="s">
        <v>90</v>
      </c>
      <c r="K1893" s="13"/>
      <c r="L1893" s="13"/>
      <c r="M1893" s="13"/>
      <c r="N1893" s="13"/>
      <c r="O1893" s="13"/>
      <c r="P1893" s="13"/>
    </row>
    <row r="1894" spans="1:19" customFormat="1" hidden="1" x14ac:dyDescent="0.2">
      <c r="A1894" t="s">
        <v>53</v>
      </c>
      <c r="B1894">
        <v>1</v>
      </c>
      <c r="K1894" s="13"/>
      <c r="L1894" s="13"/>
      <c r="M1894" s="13"/>
      <c r="N1894" s="13"/>
      <c r="O1894" s="13"/>
      <c r="P1894" s="13"/>
    </row>
    <row r="1895" spans="1:19" customFormat="1" hidden="1" x14ac:dyDescent="0.2">
      <c r="A1895" t="s">
        <v>54</v>
      </c>
      <c r="B1895" s="11" t="s">
        <v>1092</v>
      </c>
      <c r="K1895" s="13"/>
      <c r="L1895" s="13"/>
      <c r="M1895" s="13"/>
      <c r="N1895" s="13"/>
      <c r="O1895" s="13"/>
      <c r="P1895" s="13"/>
    </row>
    <row r="1896" spans="1:19" customFormat="1" hidden="1" x14ac:dyDescent="0.2">
      <c r="A1896" t="s">
        <v>55</v>
      </c>
      <c r="B1896" t="s">
        <v>56</v>
      </c>
      <c r="K1896" s="13"/>
      <c r="L1896" s="13"/>
      <c r="M1896" s="13"/>
      <c r="N1896" s="13"/>
      <c r="O1896" s="13"/>
      <c r="P1896" s="13"/>
    </row>
    <row r="1897" spans="1:19" customFormat="1" hidden="1" x14ac:dyDescent="0.2">
      <c r="A1897" s="2" t="s">
        <v>57</v>
      </c>
      <c r="K1897" s="13"/>
      <c r="L1897" s="13"/>
      <c r="M1897" s="13"/>
      <c r="N1897" s="13"/>
      <c r="O1897" s="13"/>
      <c r="P1897" s="13"/>
    </row>
    <row r="1898" spans="1:19" customFormat="1" hidden="1" x14ac:dyDescent="0.2">
      <c r="A1898" s="2" t="s">
        <v>58</v>
      </c>
      <c r="B1898" s="2" t="s">
        <v>59</v>
      </c>
      <c r="C1898" s="2" t="s">
        <v>52</v>
      </c>
      <c r="D1898" s="2" t="s">
        <v>55</v>
      </c>
      <c r="E1898" s="2" t="s">
        <v>60</v>
      </c>
      <c r="F1898" s="2" t="s">
        <v>61</v>
      </c>
      <c r="G1898" s="2" t="s">
        <v>54</v>
      </c>
      <c r="H1898" s="18" t="s">
        <v>51</v>
      </c>
      <c r="I1898" s="18" t="s">
        <v>221</v>
      </c>
      <c r="J1898" s="2" t="s">
        <v>379</v>
      </c>
      <c r="K1898" s="62" t="s">
        <v>1059</v>
      </c>
      <c r="L1898" s="62" t="s">
        <v>1060</v>
      </c>
      <c r="M1898" s="62" t="s">
        <v>1061</v>
      </c>
      <c r="N1898" s="62" t="s">
        <v>1062</v>
      </c>
      <c r="O1898" s="62" t="s">
        <v>1063</v>
      </c>
      <c r="P1898" s="62" t="s">
        <v>1064</v>
      </c>
      <c r="Q1898" s="2" t="s">
        <v>1065</v>
      </c>
      <c r="R1898" s="2" t="s">
        <v>380</v>
      </c>
      <c r="S1898" s="18" t="s">
        <v>1128</v>
      </c>
    </row>
    <row r="1899" spans="1:19" customFormat="1" hidden="1" x14ac:dyDescent="0.2">
      <c r="A1899" t="s">
        <v>1117</v>
      </c>
      <c r="B1899">
        <v>1</v>
      </c>
      <c r="C1899" t="s">
        <v>90</v>
      </c>
      <c r="D1899" t="s">
        <v>56</v>
      </c>
      <c r="E1899" s="17"/>
      <c r="F1899" t="s">
        <v>62</v>
      </c>
      <c r="G1899" s="11" t="s">
        <v>1092</v>
      </c>
      <c r="H1899" s="17"/>
      <c r="I1899" s="17"/>
      <c r="K1899" s="13"/>
      <c r="L1899" s="13"/>
      <c r="M1899" s="13"/>
      <c r="N1899" s="13"/>
      <c r="O1899" s="13"/>
      <c r="P1899" s="13"/>
    </row>
    <row r="1900" spans="1:19" customFormat="1" hidden="1" x14ac:dyDescent="0.2">
      <c r="A1900" t="s">
        <v>1078</v>
      </c>
      <c r="B1900" s="5">
        <v>0.23154848046309698</v>
      </c>
      <c r="C1900" t="s">
        <v>90</v>
      </c>
      <c r="D1900" t="s">
        <v>120</v>
      </c>
      <c r="E1900" s="17"/>
      <c r="F1900" t="s">
        <v>86</v>
      </c>
      <c r="G1900" t="s">
        <v>1079</v>
      </c>
      <c r="H1900" s="17"/>
      <c r="I1900" s="17">
        <v>2</v>
      </c>
      <c r="J1900">
        <f t="shared" ref="J1900:J1904" si="185">LN(B1900)</f>
        <v>-1.462966008533843</v>
      </c>
      <c r="K1900" s="13">
        <v>1.5</v>
      </c>
      <c r="L1900" s="13">
        <v>1.2</v>
      </c>
      <c r="M1900" s="13">
        <v>1.5</v>
      </c>
      <c r="N1900" s="13">
        <v>1.1000000000000001</v>
      </c>
      <c r="O1900" s="13">
        <v>2</v>
      </c>
      <c r="P1900" s="13">
        <v>1.2</v>
      </c>
      <c r="Q1900">
        <v>1.05</v>
      </c>
      <c r="R1900">
        <f t="shared" ref="R1900:R1904" si="186">LN(SQRT(EXP(
SQRT(
+POWER(LN(K1900),2)
+POWER(LN(L1900),2)
+POWER(LN(M1900),2)
+POWER(LN(N1900),2)
+POWER(LN(O1900),2)
+POWER(LN(P1900),2)
+POWER(LN(Q1900),2)
)
)))</f>
        <v>0.47095746419981693</v>
      </c>
    </row>
    <row r="1901" spans="1:19" customFormat="1" hidden="1" x14ac:dyDescent="0.2">
      <c r="A1901" t="s">
        <v>91</v>
      </c>
      <c r="B1901" s="12">
        <v>0.12702604920405211</v>
      </c>
      <c r="C1901" t="s">
        <v>90</v>
      </c>
      <c r="D1901" t="s">
        <v>92</v>
      </c>
      <c r="E1901" s="17"/>
      <c r="F1901" t="s">
        <v>86</v>
      </c>
      <c r="G1901" t="s">
        <v>93</v>
      </c>
      <c r="H1901" s="17"/>
      <c r="I1901" s="17">
        <v>2</v>
      </c>
      <c r="J1901">
        <f t="shared" si="185"/>
        <v>-2.0633631017131737</v>
      </c>
      <c r="K1901" s="13">
        <v>1.5</v>
      </c>
      <c r="L1901" s="13">
        <v>1.2</v>
      </c>
      <c r="M1901" s="13">
        <v>1.5</v>
      </c>
      <c r="N1901" s="13">
        <v>1.1000000000000001</v>
      </c>
      <c r="O1901" s="13">
        <v>2</v>
      </c>
      <c r="P1901" s="13">
        <v>1.2</v>
      </c>
      <c r="Q1901">
        <v>1.05</v>
      </c>
      <c r="R1901">
        <f t="shared" si="186"/>
        <v>0.47095746419981693</v>
      </c>
    </row>
    <row r="1902" spans="1:19" customFormat="1" hidden="1" x14ac:dyDescent="0.2">
      <c r="A1902" t="s">
        <v>583</v>
      </c>
      <c r="B1902" s="5">
        <v>2.7941389290882783E-5</v>
      </c>
      <c r="C1902" t="s">
        <v>85</v>
      </c>
      <c r="D1902" t="s">
        <v>56</v>
      </c>
      <c r="E1902" s="17"/>
      <c r="F1902" t="s">
        <v>86</v>
      </c>
      <c r="G1902" t="s">
        <v>246</v>
      </c>
      <c r="H1902" s="17"/>
      <c r="I1902" s="17">
        <v>2</v>
      </c>
      <c r="J1902">
        <f t="shared" si="185"/>
        <v>-10.485401481288525</v>
      </c>
      <c r="K1902" s="13">
        <v>1.5</v>
      </c>
      <c r="L1902" s="13">
        <v>1.2</v>
      </c>
      <c r="M1902" s="13">
        <v>1.5</v>
      </c>
      <c r="N1902" s="13">
        <v>1.1000000000000001</v>
      </c>
      <c r="O1902" s="13">
        <v>2</v>
      </c>
      <c r="P1902" s="13">
        <v>1.2</v>
      </c>
      <c r="Q1902">
        <v>1.05</v>
      </c>
      <c r="R1902">
        <f t="shared" si="186"/>
        <v>0.47095746419981693</v>
      </c>
    </row>
    <row r="1903" spans="1:19" customFormat="1" hidden="1" x14ac:dyDescent="0.2">
      <c r="A1903" t="s">
        <v>1114</v>
      </c>
      <c r="B1903">
        <v>1.0010853835021709</v>
      </c>
      <c r="C1903" t="s">
        <v>90</v>
      </c>
      <c r="D1903" t="s">
        <v>56</v>
      </c>
      <c r="E1903" s="17"/>
      <c r="F1903" t="s">
        <v>86</v>
      </c>
      <c r="G1903" t="s">
        <v>1091</v>
      </c>
      <c r="H1903" s="17"/>
      <c r="I1903" s="17">
        <v>2</v>
      </c>
      <c r="J1903">
        <f t="shared" si="185"/>
        <v>1.0847948993655348E-3</v>
      </c>
      <c r="K1903" s="13">
        <v>1.5</v>
      </c>
      <c r="L1903" s="13">
        <v>1.2</v>
      </c>
      <c r="M1903" s="13">
        <v>1.5</v>
      </c>
      <c r="N1903" s="13">
        <v>1.1000000000000001</v>
      </c>
      <c r="O1903" s="13">
        <v>2</v>
      </c>
      <c r="P1903" s="13">
        <v>1.2</v>
      </c>
      <c r="Q1903">
        <v>1.05</v>
      </c>
      <c r="R1903">
        <f t="shared" si="186"/>
        <v>0.47095746419981693</v>
      </c>
    </row>
    <row r="1904" spans="1:19" customFormat="1" hidden="1" x14ac:dyDescent="0.2">
      <c r="A1904" t="s">
        <v>1084</v>
      </c>
      <c r="B1904" s="61">
        <v>0.33046309696092624</v>
      </c>
      <c r="C1904" t="s">
        <v>90</v>
      </c>
      <c r="D1904" t="s">
        <v>56</v>
      </c>
      <c r="E1904" s="17"/>
      <c r="F1904" t="s">
        <v>86</v>
      </c>
      <c r="G1904" t="s">
        <v>1085</v>
      </c>
      <c r="H1904" s="17"/>
      <c r="I1904" s="17">
        <v>2</v>
      </c>
      <c r="J1904">
        <f t="shared" si="185"/>
        <v>-1.1072602841366619</v>
      </c>
      <c r="K1904" s="13">
        <v>1.5</v>
      </c>
      <c r="L1904" s="13">
        <v>1.2</v>
      </c>
      <c r="M1904" s="13">
        <v>1.5</v>
      </c>
      <c r="N1904" s="13">
        <v>1.1000000000000001</v>
      </c>
      <c r="O1904" s="13">
        <v>2</v>
      </c>
      <c r="P1904" s="13">
        <v>1.2</v>
      </c>
      <c r="Q1904">
        <v>1.05</v>
      </c>
      <c r="R1904">
        <f t="shared" si="186"/>
        <v>0.47095746419981693</v>
      </c>
    </row>
    <row r="1905" spans="1:19" customFormat="1" hidden="1" x14ac:dyDescent="0.2">
      <c r="K1905" s="13"/>
      <c r="L1905" s="13"/>
      <c r="M1905" s="13"/>
      <c r="N1905" s="13"/>
      <c r="O1905" s="13"/>
      <c r="P1905" s="13"/>
    </row>
    <row r="1906" spans="1:19" customFormat="1" hidden="1" x14ac:dyDescent="0.2">
      <c r="A1906" s="2" t="s">
        <v>50</v>
      </c>
      <c r="B1906" s="2" t="s">
        <v>1112</v>
      </c>
      <c r="K1906" s="13"/>
      <c r="L1906" s="13"/>
      <c r="M1906" s="13"/>
      <c r="N1906" s="13"/>
      <c r="O1906" s="13"/>
      <c r="P1906" s="13"/>
    </row>
    <row r="1907" spans="1:19" customFormat="1" hidden="1" x14ac:dyDescent="0.2">
      <c r="A1907" t="s">
        <v>51</v>
      </c>
      <c r="B1907" t="s">
        <v>1069</v>
      </c>
      <c r="K1907" s="13"/>
      <c r="L1907" s="13"/>
      <c r="M1907" s="13"/>
      <c r="N1907" s="13"/>
      <c r="O1907" s="13"/>
      <c r="P1907" s="13"/>
    </row>
    <row r="1908" spans="1:19" customFormat="1" hidden="1" x14ac:dyDescent="0.2">
      <c r="A1908" t="s">
        <v>63</v>
      </c>
      <c r="B1908" t="s">
        <v>1070</v>
      </c>
      <c r="K1908" s="13"/>
      <c r="L1908" s="13"/>
      <c r="M1908" s="13"/>
      <c r="N1908" s="13"/>
      <c r="O1908" s="13"/>
      <c r="P1908" s="13"/>
    </row>
    <row r="1909" spans="1:19" customFormat="1" hidden="1" x14ac:dyDescent="0.2">
      <c r="A1909" t="s">
        <v>52</v>
      </c>
      <c r="B1909" t="s">
        <v>90</v>
      </c>
      <c r="K1909" s="13"/>
      <c r="L1909" s="13"/>
      <c r="M1909" s="13"/>
      <c r="N1909" s="13"/>
      <c r="O1909" s="13"/>
      <c r="P1909" s="13"/>
    </row>
    <row r="1910" spans="1:19" customFormat="1" hidden="1" x14ac:dyDescent="0.2">
      <c r="A1910" t="s">
        <v>53</v>
      </c>
      <c r="B1910">
        <v>1</v>
      </c>
      <c r="K1910" s="13"/>
      <c r="L1910" s="13"/>
      <c r="M1910" s="13"/>
      <c r="N1910" s="13"/>
      <c r="O1910" s="13"/>
      <c r="P1910" s="13"/>
    </row>
    <row r="1911" spans="1:19" customFormat="1" hidden="1" x14ac:dyDescent="0.2">
      <c r="A1911" t="s">
        <v>54</v>
      </c>
      <c r="B1911" s="11" t="s">
        <v>1093</v>
      </c>
      <c r="K1911" s="13"/>
      <c r="L1911" s="13"/>
      <c r="M1911" s="13"/>
      <c r="N1911" s="13"/>
      <c r="O1911" s="13"/>
      <c r="P1911" s="13"/>
    </row>
    <row r="1912" spans="1:19" customFormat="1" hidden="1" x14ac:dyDescent="0.2">
      <c r="A1912" t="s">
        <v>55</v>
      </c>
      <c r="B1912" t="s">
        <v>56</v>
      </c>
      <c r="K1912" s="13"/>
      <c r="L1912" s="13"/>
      <c r="M1912" s="13"/>
      <c r="N1912" s="13"/>
      <c r="O1912" s="13"/>
      <c r="P1912" s="13"/>
    </row>
    <row r="1913" spans="1:19" customFormat="1" hidden="1" x14ac:dyDescent="0.2">
      <c r="A1913" s="2" t="s">
        <v>57</v>
      </c>
      <c r="K1913" s="13"/>
      <c r="L1913" s="13"/>
      <c r="M1913" s="13"/>
      <c r="N1913" s="13"/>
      <c r="O1913" s="13"/>
      <c r="P1913" s="13"/>
    </row>
    <row r="1914" spans="1:19" customFormat="1" hidden="1" x14ac:dyDescent="0.2">
      <c r="A1914" s="2" t="s">
        <v>58</v>
      </c>
      <c r="B1914" s="2" t="s">
        <v>59</v>
      </c>
      <c r="C1914" s="2" t="s">
        <v>52</v>
      </c>
      <c r="D1914" s="2" t="s">
        <v>55</v>
      </c>
      <c r="E1914" s="2" t="s">
        <v>60</v>
      </c>
      <c r="F1914" s="2" t="s">
        <v>61</v>
      </c>
      <c r="G1914" s="2" t="s">
        <v>54</v>
      </c>
      <c r="H1914" s="18" t="s">
        <v>51</v>
      </c>
      <c r="I1914" s="18" t="s">
        <v>221</v>
      </c>
      <c r="J1914" s="2" t="s">
        <v>379</v>
      </c>
      <c r="K1914" s="62" t="s">
        <v>1059</v>
      </c>
      <c r="L1914" s="62" t="s">
        <v>1060</v>
      </c>
      <c r="M1914" s="62" t="s">
        <v>1061</v>
      </c>
      <c r="N1914" s="62" t="s">
        <v>1062</v>
      </c>
      <c r="O1914" s="62" t="s">
        <v>1063</v>
      </c>
      <c r="P1914" s="62" t="s">
        <v>1064</v>
      </c>
      <c r="Q1914" s="2" t="s">
        <v>1065</v>
      </c>
      <c r="R1914" s="2" t="s">
        <v>380</v>
      </c>
      <c r="S1914" s="18" t="s">
        <v>1128</v>
      </c>
    </row>
    <row r="1915" spans="1:19" customFormat="1" hidden="1" x14ac:dyDescent="0.2">
      <c r="A1915" t="s">
        <v>1112</v>
      </c>
      <c r="B1915">
        <v>1</v>
      </c>
      <c r="C1915" t="s">
        <v>90</v>
      </c>
      <c r="D1915" t="s">
        <v>56</v>
      </c>
      <c r="E1915" s="17"/>
      <c r="F1915" t="s">
        <v>62</v>
      </c>
      <c r="G1915" t="s">
        <v>1093</v>
      </c>
      <c r="H1915" s="17"/>
      <c r="I1915" s="17"/>
      <c r="K1915" s="13"/>
      <c r="L1915" s="13"/>
      <c r="M1915" s="13"/>
      <c r="N1915" s="13"/>
      <c r="O1915" s="13"/>
      <c r="P1915" s="13"/>
    </row>
    <row r="1916" spans="1:19" customFormat="1" hidden="1" x14ac:dyDescent="0.2">
      <c r="A1916" t="s">
        <v>91</v>
      </c>
      <c r="B1916" s="12">
        <v>2.5810859403092409E-2</v>
      </c>
      <c r="C1916" t="s">
        <v>90</v>
      </c>
      <c r="D1916" t="s">
        <v>92</v>
      </c>
      <c r="E1916" s="17"/>
      <c r="F1916" t="s">
        <v>86</v>
      </c>
      <c r="G1916" t="s">
        <v>93</v>
      </c>
      <c r="H1916" s="17"/>
      <c r="I1916" s="17">
        <v>2</v>
      </c>
      <c r="J1916">
        <f t="shared" ref="J1916:J1919" si="187">LN(B1916)</f>
        <v>-3.6569599685145038</v>
      </c>
      <c r="K1916" s="13">
        <v>1.5</v>
      </c>
      <c r="L1916" s="13">
        <v>1.2</v>
      </c>
      <c r="M1916" s="13">
        <v>1.5</v>
      </c>
      <c r="N1916" s="13">
        <v>1.1000000000000001</v>
      </c>
      <c r="O1916" s="13">
        <v>2</v>
      </c>
      <c r="P1916" s="13">
        <v>1.2</v>
      </c>
      <c r="Q1916">
        <v>1.05</v>
      </c>
      <c r="R1916">
        <f t="shared" ref="R1916:R1919" si="188">LN(SQRT(EXP(
SQRT(
+POWER(LN(K1916),2)
+POWER(LN(L1916),2)
+POWER(LN(M1916),2)
+POWER(LN(N1916),2)
+POWER(LN(O1916),2)
+POWER(LN(P1916),2)
+POWER(LN(Q1916),2)
)
)))</f>
        <v>0.47095746419981693</v>
      </c>
    </row>
    <row r="1917" spans="1:19" customFormat="1" hidden="1" x14ac:dyDescent="0.2">
      <c r="A1917" t="s">
        <v>583</v>
      </c>
      <c r="B1917" s="5">
        <v>2.2218626393383675E-5</v>
      </c>
      <c r="C1917" t="s">
        <v>85</v>
      </c>
      <c r="D1917" t="s">
        <v>56</v>
      </c>
      <c r="E1917" s="17"/>
      <c r="F1917" t="s">
        <v>86</v>
      </c>
      <c r="G1917" t="s">
        <v>246</v>
      </c>
      <c r="H1917" s="17"/>
      <c r="I1917" s="17">
        <v>2</v>
      </c>
      <c r="J1917">
        <f t="shared" si="187"/>
        <v>-10.714579594143213</v>
      </c>
      <c r="K1917" s="13">
        <v>1.5</v>
      </c>
      <c r="L1917" s="13">
        <v>1.2</v>
      </c>
      <c r="M1917" s="13">
        <v>1.5</v>
      </c>
      <c r="N1917" s="13">
        <v>1.1000000000000001</v>
      </c>
      <c r="O1917" s="13">
        <v>2</v>
      </c>
      <c r="P1917" s="13">
        <v>1.2</v>
      </c>
      <c r="Q1917">
        <v>1.05</v>
      </c>
      <c r="R1917">
        <f t="shared" si="188"/>
        <v>0.47095746419981693</v>
      </c>
    </row>
    <row r="1918" spans="1:19" customFormat="1" hidden="1" x14ac:dyDescent="0.2">
      <c r="A1918" t="s">
        <v>1117</v>
      </c>
      <c r="B1918">
        <v>0.99496583962603369</v>
      </c>
      <c r="C1918" t="s">
        <v>90</v>
      </c>
      <c r="D1918" t="s">
        <v>56</v>
      </c>
      <c r="E1918" s="17"/>
      <c r="F1918" t="s">
        <v>86</v>
      </c>
      <c r="G1918" s="11" t="s">
        <v>1092</v>
      </c>
      <c r="H1918" s="17"/>
      <c r="I1918" s="17">
        <v>2</v>
      </c>
      <c r="J1918">
        <f t="shared" si="187"/>
        <v>-5.0468744470390523E-3</v>
      </c>
      <c r="K1918" s="13">
        <v>1.5</v>
      </c>
      <c r="L1918" s="13">
        <v>1.2</v>
      </c>
      <c r="M1918" s="13">
        <v>1.5</v>
      </c>
      <c r="N1918" s="13">
        <v>1.1000000000000001</v>
      </c>
      <c r="O1918" s="13">
        <v>2</v>
      </c>
      <c r="P1918" s="13">
        <v>1.2</v>
      </c>
      <c r="Q1918">
        <v>1.05</v>
      </c>
      <c r="R1918">
        <f t="shared" si="188"/>
        <v>0.47095746419981693</v>
      </c>
    </row>
    <row r="1919" spans="1:19" customFormat="1" hidden="1" x14ac:dyDescent="0.2">
      <c r="A1919" t="s">
        <v>172</v>
      </c>
      <c r="B1919">
        <v>5.0017979144192735E-3</v>
      </c>
      <c r="C1919" t="s">
        <v>90</v>
      </c>
      <c r="D1919" t="s">
        <v>56</v>
      </c>
      <c r="E1919" s="17"/>
      <c r="F1919" t="s">
        <v>86</v>
      </c>
      <c r="G1919" t="s">
        <v>173</v>
      </c>
      <c r="H1919" s="17"/>
      <c r="I1919" s="17">
        <v>2</v>
      </c>
      <c r="J1919">
        <f t="shared" si="187"/>
        <v>-5.2979578482986129</v>
      </c>
      <c r="K1919" s="13">
        <v>1.5</v>
      </c>
      <c r="L1919" s="13">
        <v>1.2</v>
      </c>
      <c r="M1919" s="13">
        <v>1.5</v>
      </c>
      <c r="N1919" s="13">
        <v>1.1000000000000001</v>
      </c>
      <c r="O1919" s="13">
        <v>2</v>
      </c>
      <c r="P1919" s="13">
        <v>1.2</v>
      </c>
      <c r="Q1919">
        <v>1.05</v>
      </c>
      <c r="R1919">
        <f t="shared" si="188"/>
        <v>0.47095746419981693</v>
      </c>
    </row>
    <row r="1920" spans="1:19" customFormat="1" hidden="1" x14ac:dyDescent="0.2">
      <c r="K1920" s="13"/>
      <c r="L1920" s="13"/>
      <c r="M1920" s="13"/>
      <c r="N1920" s="13"/>
      <c r="O1920" s="13"/>
      <c r="P1920" s="13"/>
    </row>
    <row r="1921" spans="1:19" customFormat="1" hidden="1" x14ac:dyDescent="0.2">
      <c r="A1921" s="2" t="s">
        <v>50</v>
      </c>
      <c r="B1921" s="2" t="s">
        <v>1118</v>
      </c>
      <c r="K1921" s="13"/>
      <c r="L1921" s="13"/>
      <c r="M1921" s="13"/>
      <c r="N1921" s="13"/>
      <c r="O1921" s="13"/>
      <c r="P1921" s="13"/>
    </row>
    <row r="1922" spans="1:19" customFormat="1" hidden="1" x14ac:dyDescent="0.2">
      <c r="A1922" t="s">
        <v>51</v>
      </c>
      <c r="B1922" t="s">
        <v>1069</v>
      </c>
      <c r="K1922" s="13"/>
      <c r="L1922" s="13"/>
      <c r="M1922" s="13"/>
      <c r="N1922" s="13"/>
      <c r="O1922" s="13"/>
      <c r="P1922" s="13"/>
    </row>
    <row r="1923" spans="1:19" customFormat="1" hidden="1" x14ac:dyDescent="0.2">
      <c r="A1923" t="s">
        <v>63</v>
      </c>
      <c r="B1923" t="s">
        <v>1070</v>
      </c>
      <c r="K1923" s="13"/>
      <c r="L1923" s="13"/>
      <c r="M1923" s="13"/>
      <c r="N1923" s="13"/>
      <c r="O1923" s="13"/>
      <c r="P1923" s="13"/>
    </row>
    <row r="1924" spans="1:19" customFormat="1" hidden="1" x14ac:dyDescent="0.2">
      <c r="A1924" t="s">
        <v>52</v>
      </c>
      <c r="B1924" t="s">
        <v>90</v>
      </c>
      <c r="K1924" s="13"/>
      <c r="L1924" s="13"/>
      <c r="M1924" s="13"/>
      <c r="N1924" s="13"/>
      <c r="O1924" s="13"/>
      <c r="P1924" s="13"/>
    </row>
    <row r="1925" spans="1:19" customFormat="1" hidden="1" x14ac:dyDescent="0.2">
      <c r="A1925" t="s">
        <v>53</v>
      </c>
      <c r="B1925">
        <v>1</v>
      </c>
      <c r="K1925" s="13"/>
      <c r="L1925" s="13"/>
      <c r="M1925" s="13"/>
      <c r="N1925" s="13"/>
      <c r="O1925" s="13"/>
      <c r="P1925" s="13"/>
    </row>
    <row r="1926" spans="1:19" customFormat="1" hidden="1" x14ac:dyDescent="0.2">
      <c r="A1926" t="s">
        <v>54</v>
      </c>
      <c r="B1926" s="11" t="s">
        <v>1118</v>
      </c>
      <c r="K1926" s="13"/>
      <c r="L1926" s="13"/>
      <c r="M1926" s="13"/>
      <c r="N1926" s="13"/>
      <c r="O1926" s="13"/>
      <c r="P1926" s="13"/>
    </row>
    <row r="1927" spans="1:19" customFormat="1" hidden="1" x14ac:dyDescent="0.2">
      <c r="A1927" t="s">
        <v>55</v>
      </c>
      <c r="B1927" t="s">
        <v>56</v>
      </c>
      <c r="K1927" s="13"/>
      <c r="L1927" s="13"/>
      <c r="M1927" s="13"/>
      <c r="N1927" s="13"/>
      <c r="O1927" s="13"/>
      <c r="P1927" s="13"/>
    </row>
    <row r="1928" spans="1:19" customFormat="1" hidden="1" x14ac:dyDescent="0.2">
      <c r="A1928" s="2" t="s">
        <v>57</v>
      </c>
      <c r="K1928" s="13"/>
      <c r="L1928" s="13"/>
      <c r="M1928" s="13"/>
      <c r="N1928" s="13"/>
      <c r="O1928" s="13"/>
      <c r="P1928" s="13"/>
    </row>
    <row r="1929" spans="1:19" customFormat="1" hidden="1" x14ac:dyDescent="0.2">
      <c r="A1929" s="2" t="s">
        <v>58</v>
      </c>
      <c r="B1929" s="2" t="s">
        <v>59</v>
      </c>
      <c r="C1929" s="2" t="s">
        <v>52</v>
      </c>
      <c r="D1929" s="2" t="s">
        <v>55</v>
      </c>
      <c r="E1929" s="2" t="s">
        <v>60</v>
      </c>
      <c r="F1929" s="2" t="s">
        <v>61</v>
      </c>
      <c r="G1929" s="2" t="s">
        <v>54</v>
      </c>
      <c r="H1929" s="18" t="s">
        <v>51</v>
      </c>
      <c r="I1929" s="18" t="s">
        <v>221</v>
      </c>
      <c r="J1929" s="2" t="s">
        <v>379</v>
      </c>
      <c r="K1929" s="62" t="s">
        <v>1059</v>
      </c>
      <c r="L1929" s="62" t="s">
        <v>1060</v>
      </c>
      <c r="M1929" s="62" t="s">
        <v>1061</v>
      </c>
      <c r="N1929" s="62" t="s">
        <v>1062</v>
      </c>
      <c r="O1929" s="62" t="s">
        <v>1063</v>
      </c>
      <c r="P1929" s="62" t="s">
        <v>1064</v>
      </c>
      <c r="Q1929" s="2" t="s">
        <v>1065</v>
      </c>
      <c r="R1929" s="2" t="s">
        <v>380</v>
      </c>
      <c r="S1929" s="18" t="s">
        <v>1128</v>
      </c>
    </row>
    <row r="1930" spans="1:19" customFormat="1" hidden="1" x14ac:dyDescent="0.2">
      <c r="A1930" t="s">
        <v>1118</v>
      </c>
      <c r="B1930">
        <v>1</v>
      </c>
      <c r="C1930" t="s">
        <v>90</v>
      </c>
      <c r="D1930" t="s">
        <v>56</v>
      </c>
      <c r="E1930" s="17"/>
      <c r="F1930" t="s">
        <v>62</v>
      </c>
      <c r="G1930" t="s">
        <v>1118</v>
      </c>
      <c r="H1930" s="17"/>
      <c r="I1930" s="17"/>
      <c r="K1930" s="13"/>
      <c r="L1930" s="13"/>
      <c r="M1930" s="13"/>
      <c r="N1930" s="13"/>
      <c r="O1930" s="13"/>
      <c r="P1930" s="13"/>
    </row>
    <row r="1931" spans="1:19" customFormat="1" hidden="1" x14ac:dyDescent="0.2">
      <c r="A1931" t="s">
        <v>1078</v>
      </c>
      <c r="B1931" s="5">
        <v>0.15260697590794678</v>
      </c>
      <c r="C1931" t="s">
        <v>90</v>
      </c>
      <c r="D1931" t="s">
        <v>120</v>
      </c>
      <c r="E1931" s="17"/>
      <c r="F1931" t="s">
        <v>86</v>
      </c>
      <c r="G1931" t="s">
        <v>1079</v>
      </c>
      <c r="H1931" s="17"/>
      <c r="I1931" s="17">
        <v>2</v>
      </c>
      <c r="J1931">
        <f t="shared" ref="J1931:J1933" si="189">LN(B1931)</f>
        <v>-1.8798894474941368</v>
      </c>
      <c r="K1931" s="13">
        <v>1.5</v>
      </c>
      <c r="L1931" s="13">
        <v>1.2</v>
      </c>
      <c r="M1931" s="13">
        <v>1.5</v>
      </c>
      <c r="N1931" s="13">
        <v>1.1000000000000001</v>
      </c>
      <c r="O1931" s="13">
        <v>2</v>
      </c>
      <c r="P1931" s="13">
        <v>1.2</v>
      </c>
      <c r="Q1931">
        <v>1.05</v>
      </c>
      <c r="R1931">
        <f t="shared" ref="R1931:R1933" si="190">LN(SQRT(EXP(
SQRT(
+POWER(LN(K1931),2)
+POWER(LN(L1931),2)
+POWER(LN(M1931),2)
+POWER(LN(N1931),2)
+POWER(LN(O1931),2)
+POWER(LN(P1931),2)
+POWER(LN(Q1931),2)
)
)))</f>
        <v>0.47095746419981693</v>
      </c>
    </row>
    <row r="1932" spans="1:19" customFormat="1" hidden="1" x14ac:dyDescent="0.2">
      <c r="A1932" t="s">
        <v>91</v>
      </c>
      <c r="B1932" s="12">
        <v>0.11183027687882056</v>
      </c>
      <c r="C1932" t="s">
        <v>90</v>
      </c>
      <c r="D1932" t="s">
        <v>92</v>
      </c>
      <c r="E1932" s="17"/>
      <c r="F1932" t="s">
        <v>86</v>
      </c>
      <c r="G1932" t="s">
        <v>93</v>
      </c>
      <c r="H1932" s="17"/>
      <c r="I1932" s="17">
        <v>2</v>
      </c>
      <c r="J1932">
        <f t="shared" si="189"/>
        <v>-2.1907729420547306</v>
      </c>
      <c r="K1932" s="13">
        <v>1.5</v>
      </c>
      <c r="L1932" s="13">
        <v>1.2</v>
      </c>
      <c r="M1932" s="13">
        <v>1.5</v>
      </c>
      <c r="N1932" s="13">
        <v>1.1000000000000001</v>
      </c>
      <c r="O1932" s="13">
        <v>2</v>
      </c>
      <c r="P1932" s="13">
        <v>1.2</v>
      </c>
      <c r="Q1932">
        <v>1.05</v>
      </c>
      <c r="R1932">
        <f t="shared" si="190"/>
        <v>0.47095746419981693</v>
      </c>
    </row>
    <row r="1933" spans="1:19" customFormat="1" hidden="1" x14ac:dyDescent="0.2">
      <c r="A1933" t="s">
        <v>1112</v>
      </c>
      <c r="B1933">
        <v>1</v>
      </c>
      <c r="C1933" t="s">
        <v>90</v>
      </c>
      <c r="D1933" t="s">
        <v>56</v>
      </c>
      <c r="E1933" s="17"/>
      <c r="F1933" t="s">
        <v>86</v>
      </c>
      <c r="G1933" t="s">
        <v>1093</v>
      </c>
      <c r="H1933" s="17"/>
      <c r="I1933" s="17">
        <v>2</v>
      </c>
      <c r="J1933">
        <f t="shared" si="189"/>
        <v>0</v>
      </c>
      <c r="K1933" s="13">
        <v>1.5</v>
      </c>
      <c r="L1933" s="13">
        <v>1.2</v>
      </c>
      <c r="M1933" s="13">
        <v>1.5</v>
      </c>
      <c r="N1933" s="13">
        <v>1.1000000000000001</v>
      </c>
      <c r="O1933" s="13">
        <v>2</v>
      </c>
      <c r="P1933" s="13">
        <v>1.2</v>
      </c>
      <c r="Q1933">
        <v>1.05</v>
      </c>
      <c r="R1933">
        <f t="shared" si="190"/>
        <v>0.47095746419981693</v>
      </c>
    </row>
    <row r="1934" spans="1:19" customFormat="1" hidden="1" x14ac:dyDescent="0.2">
      <c r="K1934" s="13"/>
      <c r="L1934" s="13"/>
      <c r="M1934" s="13"/>
      <c r="N1934" s="13"/>
      <c r="O1934" s="13"/>
      <c r="P1934" s="13"/>
    </row>
    <row r="1935" spans="1:19" customFormat="1" hidden="1" x14ac:dyDescent="0.2">
      <c r="A1935" s="2" t="s">
        <v>50</v>
      </c>
      <c r="B1935" s="2" t="s">
        <v>1119</v>
      </c>
      <c r="K1935" s="13"/>
      <c r="L1935" s="13"/>
      <c r="M1935" s="13"/>
      <c r="N1935" s="13"/>
      <c r="O1935" s="13"/>
      <c r="P1935" s="13"/>
    </row>
    <row r="1936" spans="1:19" customFormat="1" hidden="1" x14ac:dyDescent="0.2">
      <c r="A1936" t="s">
        <v>51</v>
      </c>
      <c r="B1936" t="s">
        <v>1069</v>
      </c>
      <c r="K1936" s="13"/>
      <c r="L1936" s="13"/>
      <c r="M1936" s="13"/>
      <c r="N1936" s="13"/>
      <c r="O1936" s="13"/>
      <c r="P1936" s="13"/>
    </row>
    <row r="1937" spans="1:19" customFormat="1" hidden="1" x14ac:dyDescent="0.2">
      <c r="A1937" t="s">
        <v>63</v>
      </c>
      <c r="B1937" t="s">
        <v>1070</v>
      </c>
      <c r="K1937" s="13"/>
      <c r="L1937" s="13"/>
      <c r="M1937" s="13"/>
      <c r="N1937" s="13"/>
      <c r="O1937" s="13"/>
      <c r="P1937" s="13"/>
    </row>
    <row r="1938" spans="1:19" customFormat="1" hidden="1" x14ac:dyDescent="0.2">
      <c r="A1938" t="s">
        <v>52</v>
      </c>
      <c r="B1938" t="s">
        <v>90</v>
      </c>
      <c r="K1938" s="13"/>
      <c r="L1938" s="13"/>
      <c r="M1938" s="13"/>
      <c r="N1938" s="13"/>
      <c r="O1938" s="13"/>
      <c r="P1938" s="13"/>
    </row>
    <row r="1939" spans="1:19" customFormat="1" hidden="1" x14ac:dyDescent="0.2">
      <c r="A1939" t="s">
        <v>53</v>
      </c>
      <c r="B1939">
        <v>1</v>
      </c>
      <c r="K1939" s="13"/>
      <c r="L1939" s="13"/>
      <c r="M1939" s="13"/>
      <c r="N1939" s="13"/>
      <c r="O1939" s="13"/>
      <c r="P1939" s="13"/>
    </row>
    <row r="1940" spans="1:19" customFormat="1" hidden="1" x14ac:dyDescent="0.2">
      <c r="A1940" t="s">
        <v>54</v>
      </c>
      <c r="B1940" s="11" t="s">
        <v>1119</v>
      </c>
      <c r="K1940" s="13"/>
      <c r="L1940" s="13"/>
      <c r="M1940" s="13"/>
      <c r="N1940" s="13"/>
      <c r="O1940" s="13"/>
      <c r="P1940" s="13"/>
    </row>
    <row r="1941" spans="1:19" customFormat="1" hidden="1" x14ac:dyDescent="0.2">
      <c r="A1941" t="s">
        <v>55</v>
      </c>
      <c r="B1941" t="s">
        <v>56</v>
      </c>
      <c r="K1941" s="13"/>
      <c r="L1941" s="13"/>
      <c r="M1941" s="13"/>
      <c r="N1941" s="13"/>
      <c r="O1941" s="13"/>
      <c r="P1941" s="13"/>
    </row>
    <row r="1942" spans="1:19" customFormat="1" hidden="1" x14ac:dyDescent="0.2">
      <c r="A1942" s="2" t="s">
        <v>57</v>
      </c>
      <c r="K1942" s="13"/>
      <c r="L1942" s="13"/>
      <c r="M1942" s="13"/>
      <c r="N1942" s="13"/>
      <c r="O1942" s="13"/>
      <c r="P1942" s="13"/>
    </row>
    <row r="1943" spans="1:19" customFormat="1" hidden="1" x14ac:dyDescent="0.2">
      <c r="A1943" s="2" t="s">
        <v>58</v>
      </c>
      <c r="B1943" s="2" t="s">
        <v>59</v>
      </c>
      <c r="C1943" s="2" t="s">
        <v>52</v>
      </c>
      <c r="D1943" s="2" t="s">
        <v>55</v>
      </c>
      <c r="E1943" s="2" t="s">
        <v>60</v>
      </c>
      <c r="F1943" s="2" t="s">
        <v>61</v>
      </c>
      <c r="G1943" s="2" t="s">
        <v>54</v>
      </c>
      <c r="H1943" s="18" t="s">
        <v>51</v>
      </c>
      <c r="I1943" s="18" t="s">
        <v>221</v>
      </c>
      <c r="J1943" s="2" t="s">
        <v>379</v>
      </c>
      <c r="K1943" s="62" t="s">
        <v>1059</v>
      </c>
      <c r="L1943" s="62" t="s">
        <v>1060</v>
      </c>
      <c r="M1943" s="62" t="s">
        <v>1061</v>
      </c>
      <c r="N1943" s="62" t="s">
        <v>1062</v>
      </c>
      <c r="O1943" s="62" t="s">
        <v>1063</v>
      </c>
      <c r="P1943" s="62" t="s">
        <v>1064</v>
      </c>
      <c r="Q1943" s="2" t="s">
        <v>1065</v>
      </c>
      <c r="R1943" s="2" t="s">
        <v>380</v>
      </c>
      <c r="S1943" s="18" t="s">
        <v>1128</v>
      </c>
    </row>
    <row r="1944" spans="1:19" customFormat="1" hidden="1" x14ac:dyDescent="0.2">
      <c r="A1944" t="s">
        <v>1119</v>
      </c>
      <c r="B1944">
        <v>1</v>
      </c>
      <c r="C1944" t="s">
        <v>90</v>
      </c>
      <c r="D1944" t="s">
        <v>56</v>
      </c>
      <c r="E1944" s="17"/>
      <c r="F1944" t="s">
        <v>62</v>
      </c>
      <c r="G1944" t="s">
        <v>1119</v>
      </c>
      <c r="H1944" s="17"/>
      <c r="I1944" s="17"/>
      <c r="K1944" s="13"/>
      <c r="L1944" s="13"/>
      <c r="M1944" s="13"/>
      <c r="N1944" s="13"/>
      <c r="O1944" s="13"/>
      <c r="P1944" s="13"/>
    </row>
    <row r="1945" spans="1:19" customFormat="1" hidden="1" x14ac:dyDescent="0.2">
      <c r="A1945" t="s">
        <v>1078</v>
      </c>
      <c r="B1945" s="5">
        <v>3.5971223021582739E-2</v>
      </c>
      <c r="C1945" t="s">
        <v>90</v>
      </c>
      <c r="D1945" t="s">
        <v>120</v>
      </c>
      <c r="E1945" s="17"/>
      <c r="F1945" t="s">
        <v>86</v>
      </c>
      <c r="G1945" t="s">
        <v>1079</v>
      </c>
      <c r="H1945" s="17"/>
      <c r="I1945" s="17">
        <v>2</v>
      </c>
      <c r="J1945">
        <f t="shared" ref="J1945:J1948" si="191">LN(B1945)</f>
        <v>-3.3250360206965914</v>
      </c>
      <c r="K1945" s="13">
        <v>1.5</v>
      </c>
      <c r="L1945" s="13">
        <v>1.2</v>
      </c>
      <c r="M1945" s="13">
        <v>1.5</v>
      </c>
      <c r="N1945" s="13">
        <v>1.1000000000000001</v>
      </c>
      <c r="O1945" s="13">
        <v>2</v>
      </c>
      <c r="P1945" s="13">
        <v>1.2</v>
      </c>
      <c r="Q1945">
        <v>1.05</v>
      </c>
      <c r="R1945">
        <f t="shared" ref="R1945:R1948" si="192">LN(SQRT(EXP(
SQRT(
+POWER(LN(K1945),2)
+POWER(LN(L1945),2)
+POWER(LN(M1945),2)
+POWER(LN(N1945),2)
+POWER(LN(O1945),2)
+POWER(LN(P1945),2)
+POWER(LN(Q1945),2)
)
)))</f>
        <v>0.47095746419981693</v>
      </c>
    </row>
    <row r="1946" spans="1:19" customFormat="1" hidden="1" x14ac:dyDescent="0.2">
      <c r="A1946" t="s">
        <v>91</v>
      </c>
      <c r="B1946" s="12">
        <v>4.6762589928057562E-2</v>
      </c>
      <c r="C1946" t="s">
        <v>90</v>
      </c>
      <c r="D1946" t="s">
        <v>92</v>
      </c>
      <c r="E1946" s="17"/>
      <c r="F1946" t="s">
        <v>86</v>
      </c>
      <c r="G1946" t="s">
        <v>93</v>
      </c>
      <c r="H1946" s="17"/>
      <c r="I1946" s="17">
        <v>2</v>
      </c>
      <c r="J1946">
        <f t="shared" si="191"/>
        <v>-3.0626717562291002</v>
      </c>
      <c r="K1946" s="13">
        <v>1.5</v>
      </c>
      <c r="L1946" s="13">
        <v>1.2</v>
      </c>
      <c r="M1946" s="13">
        <v>1.5</v>
      </c>
      <c r="N1946" s="13">
        <v>1.1000000000000001</v>
      </c>
      <c r="O1946" s="13">
        <v>2</v>
      </c>
      <c r="P1946" s="13">
        <v>1.2</v>
      </c>
      <c r="Q1946">
        <v>1.05</v>
      </c>
      <c r="R1946">
        <f t="shared" si="192"/>
        <v>0.47095746419981693</v>
      </c>
    </row>
    <row r="1947" spans="1:19" customFormat="1" hidden="1" x14ac:dyDescent="0.2">
      <c r="A1947" t="s">
        <v>1118</v>
      </c>
      <c r="B1947">
        <v>1</v>
      </c>
      <c r="C1947" t="s">
        <v>90</v>
      </c>
      <c r="D1947" t="s">
        <v>56</v>
      </c>
      <c r="E1947" s="17"/>
      <c r="F1947" t="s">
        <v>86</v>
      </c>
      <c r="G1947" t="s">
        <v>1118</v>
      </c>
      <c r="H1947" s="17"/>
      <c r="I1947" s="17">
        <v>2</v>
      </c>
      <c r="J1947">
        <f t="shared" si="191"/>
        <v>0</v>
      </c>
      <c r="K1947" s="13">
        <v>1.5</v>
      </c>
      <c r="L1947" s="13">
        <v>1.2</v>
      </c>
      <c r="M1947" s="13">
        <v>1.5</v>
      </c>
      <c r="N1947" s="13">
        <v>1.1000000000000001</v>
      </c>
      <c r="O1947" s="13">
        <v>2</v>
      </c>
      <c r="P1947" s="13">
        <v>1.2</v>
      </c>
      <c r="Q1947">
        <v>1.05</v>
      </c>
      <c r="R1947">
        <f t="shared" si="192"/>
        <v>0.47095746419981693</v>
      </c>
    </row>
    <row r="1948" spans="1:19" customFormat="1" hidden="1" x14ac:dyDescent="0.2">
      <c r="A1948" t="s">
        <v>95</v>
      </c>
      <c r="B1948" s="5">
        <v>0.10241007194244606</v>
      </c>
      <c r="C1948" t="s">
        <v>96</v>
      </c>
      <c r="D1948" t="s">
        <v>56</v>
      </c>
      <c r="E1948" s="17"/>
      <c r="F1948" t="s">
        <v>86</v>
      </c>
      <c r="G1948" t="s">
        <v>97</v>
      </c>
      <c r="H1948" s="17"/>
      <c r="I1948" s="17">
        <v>2</v>
      </c>
      <c r="J1948">
        <f t="shared" si="191"/>
        <v>-2.2787702124006906</v>
      </c>
      <c r="K1948" s="13">
        <v>1.5</v>
      </c>
      <c r="L1948" s="13">
        <v>1.2</v>
      </c>
      <c r="M1948" s="13">
        <v>1.5</v>
      </c>
      <c r="N1948" s="13">
        <v>1.1000000000000001</v>
      </c>
      <c r="O1948" s="13">
        <v>2</v>
      </c>
      <c r="P1948" s="13">
        <v>1.2</v>
      </c>
      <c r="Q1948">
        <v>1.05</v>
      </c>
      <c r="R1948">
        <f t="shared" si="192"/>
        <v>0.47095746419981693</v>
      </c>
    </row>
    <row r="1949" spans="1:19" customFormat="1" hidden="1" x14ac:dyDescent="0.2">
      <c r="K1949" s="13"/>
      <c r="L1949" s="13"/>
      <c r="M1949" s="13"/>
      <c r="N1949" s="13"/>
      <c r="O1949" s="13"/>
      <c r="P1949" s="13"/>
    </row>
    <row r="1950" spans="1:19" customFormat="1" hidden="1" x14ac:dyDescent="0.2">
      <c r="A1950" s="2" t="s">
        <v>50</v>
      </c>
      <c r="B1950" s="2" t="s">
        <v>1120</v>
      </c>
      <c r="K1950" s="13"/>
      <c r="L1950" s="13"/>
      <c r="M1950" s="13"/>
      <c r="N1950" s="13"/>
      <c r="O1950" s="13"/>
      <c r="P1950" s="13"/>
    </row>
    <row r="1951" spans="1:19" customFormat="1" hidden="1" x14ac:dyDescent="0.2">
      <c r="A1951" t="s">
        <v>51</v>
      </c>
      <c r="B1951" t="s">
        <v>1069</v>
      </c>
      <c r="K1951" s="13"/>
      <c r="L1951" s="13"/>
      <c r="M1951" s="13"/>
      <c r="N1951" s="13"/>
      <c r="O1951" s="13"/>
      <c r="P1951" s="13"/>
    </row>
    <row r="1952" spans="1:19" customFormat="1" hidden="1" x14ac:dyDescent="0.2">
      <c r="A1952" t="s">
        <v>63</v>
      </c>
      <c r="B1952" t="s">
        <v>1070</v>
      </c>
      <c r="K1952" s="13"/>
      <c r="L1952" s="13"/>
      <c r="M1952" s="13"/>
      <c r="N1952" s="13"/>
      <c r="O1952" s="13"/>
      <c r="P1952" s="13"/>
    </row>
    <row r="1953" spans="1:19" customFormat="1" hidden="1" x14ac:dyDescent="0.2">
      <c r="A1953" t="s">
        <v>52</v>
      </c>
      <c r="B1953" t="s">
        <v>90</v>
      </c>
      <c r="K1953" s="13"/>
      <c r="L1953" s="13"/>
      <c r="M1953" s="13"/>
      <c r="N1953" s="13"/>
      <c r="O1953" s="13"/>
      <c r="P1953" s="13"/>
    </row>
    <row r="1954" spans="1:19" customFormat="1" hidden="1" x14ac:dyDescent="0.2">
      <c r="A1954" t="s">
        <v>53</v>
      </c>
      <c r="B1954">
        <v>1</v>
      </c>
      <c r="K1954" s="13"/>
      <c r="L1954" s="13"/>
      <c r="M1954" s="13"/>
      <c r="N1954" s="13"/>
      <c r="O1954" s="13"/>
      <c r="P1954" s="13"/>
    </row>
    <row r="1955" spans="1:19" customFormat="1" hidden="1" x14ac:dyDescent="0.2">
      <c r="A1955" t="s">
        <v>54</v>
      </c>
      <c r="B1955" s="11" t="s">
        <v>1120</v>
      </c>
      <c r="K1955" s="13"/>
      <c r="L1955" s="13"/>
      <c r="M1955" s="13"/>
      <c r="N1955" s="13"/>
      <c r="O1955" s="13"/>
      <c r="P1955" s="13"/>
    </row>
    <row r="1956" spans="1:19" customFormat="1" hidden="1" x14ac:dyDescent="0.2">
      <c r="A1956" t="s">
        <v>55</v>
      </c>
      <c r="B1956" t="s">
        <v>56</v>
      </c>
      <c r="K1956" s="13"/>
      <c r="L1956" s="13"/>
      <c r="M1956" s="13"/>
      <c r="N1956" s="13"/>
      <c r="O1956" s="13"/>
      <c r="P1956" s="13"/>
    </row>
    <row r="1957" spans="1:19" customFormat="1" hidden="1" x14ac:dyDescent="0.2">
      <c r="A1957" s="2" t="s">
        <v>57</v>
      </c>
      <c r="K1957" s="13"/>
      <c r="L1957" s="13"/>
      <c r="M1957" s="13"/>
      <c r="N1957" s="13"/>
      <c r="O1957" s="13"/>
      <c r="P1957" s="13"/>
    </row>
    <row r="1958" spans="1:19" customFormat="1" hidden="1" x14ac:dyDescent="0.2">
      <c r="A1958" s="2" t="s">
        <v>58</v>
      </c>
      <c r="B1958" s="2" t="s">
        <v>59</v>
      </c>
      <c r="C1958" s="2" t="s">
        <v>52</v>
      </c>
      <c r="D1958" s="2" t="s">
        <v>55</v>
      </c>
      <c r="E1958" s="2" t="s">
        <v>60</v>
      </c>
      <c r="F1958" s="2" t="s">
        <v>61</v>
      </c>
      <c r="G1958" s="2" t="s">
        <v>54</v>
      </c>
      <c r="H1958" s="18" t="s">
        <v>51</v>
      </c>
      <c r="I1958" s="18" t="s">
        <v>221</v>
      </c>
      <c r="J1958" s="2" t="s">
        <v>379</v>
      </c>
      <c r="K1958" s="62" t="s">
        <v>1059</v>
      </c>
      <c r="L1958" s="62" t="s">
        <v>1060</v>
      </c>
      <c r="M1958" s="62" t="s">
        <v>1061</v>
      </c>
      <c r="N1958" s="62" t="s">
        <v>1062</v>
      </c>
      <c r="O1958" s="62" t="s">
        <v>1063</v>
      </c>
      <c r="P1958" s="62" t="s">
        <v>1064</v>
      </c>
      <c r="Q1958" s="2" t="s">
        <v>1065</v>
      </c>
      <c r="R1958" s="2" t="s">
        <v>380</v>
      </c>
      <c r="S1958" s="18" t="s">
        <v>1128</v>
      </c>
    </row>
    <row r="1959" spans="1:19" customFormat="1" hidden="1" x14ac:dyDescent="0.2">
      <c r="A1959" t="s">
        <v>1120</v>
      </c>
      <c r="B1959">
        <v>1</v>
      </c>
      <c r="C1959" t="s">
        <v>90</v>
      </c>
      <c r="D1959" t="s">
        <v>56</v>
      </c>
      <c r="F1959" t="s">
        <v>62</v>
      </c>
      <c r="G1959" t="s">
        <v>1120</v>
      </c>
      <c r="H1959" s="17"/>
      <c r="I1959" s="17"/>
      <c r="J1959" s="17"/>
      <c r="K1959" s="13"/>
      <c r="L1959" s="13"/>
      <c r="M1959" s="13"/>
      <c r="N1959" s="13"/>
      <c r="O1959" s="13"/>
      <c r="P1959" s="13"/>
    </row>
    <row r="1960" spans="1:19" customFormat="1" hidden="1" x14ac:dyDescent="0.2">
      <c r="A1960" t="s">
        <v>91</v>
      </c>
      <c r="B1960" s="12">
        <v>2.2910670648927507E-2</v>
      </c>
      <c r="C1960" t="s">
        <v>90</v>
      </c>
      <c r="D1960" t="s">
        <v>92</v>
      </c>
      <c r="F1960" t="s">
        <v>86</v>
      </c>
      <c r="G1960" t="s">
        <v>93</v>
      </c>
      <c r="H1960" s="17"/>
      <c r="I1960" s="17">
        <v>2</v>
      </c>
      <c r="J1960">
        <f t="shared" ref="J1960:J1964" si="193">LN(B1960)</f>
        <v>-3.7761525097488726</v>
      </c>
      <c r="K1960" s="13">
        <v>1.5</v>
      </c>
      <c r="L1960" s="13">
        <v>1.2</v>
      </c>
      <c r="M1960" s="13">
        <v>1.5</v>
      </c>
      <c r="N1960" s="13">
        <v>1.1000000000000001</v>
      </c>
      <c r="O1960" s="13">
        <v>2</v>
      </c>
      <c r="P1960" s="13">
        <v>1.2</v>
      </c>
      <c r="Q1960">
        <v>1.05</v>
      </c>
      <c r="R1960">
        <f t="shared" ref="R1960:R1964" si="194">LN(SQRT(EXP(
SQRT(
+POWER(LN(K1960),2)
+POWER(LN(L1960),2)
+POWER(LN(M1960),2)
+POWER(LN(N1960),2)
+POWER(LN(O1960),2)
+POWER(LN(P1960),2)
+POWER(LN(Q1960),2)
)
)))</f>
        <v>0.47095746419981693</v>
      </c>
    </row>
    <row r="1961" spans="1:19" customFormat="1" hidden="1" x14ac:dyDescent="0.2">
      <c r="A1961" t="s">
        <v>1094</v>
      </c>
      <c r="B1961">
        <v>1.2598425196850395E-2</v>
      </c>
      <c r="D1961" t="s">
        <v>56</v>
      </c>
      <c r="E1961" t="s">
        <v>100</v>
      </c>
      <c r="F1961" t="s">
        <v>99</v>
      </c>
      <c r="H1961" s="17"/>
      <c r="I1961" s="17">
        <v>2</v>
      </c>
      <c r="J1961">
        <f t="shared" si="193"/>
        <v>-4.3741834572128555</v>
      </c>
      <c r="K1961" s="13">
        <v>1.5</v>
      </c>
      <c r="L1961" s="13">
        <v>1.2</v>
      </c>
      <c r="M1961" s="13">
        <v>1.5</v>
      </c>
      <c r="N1961" s="13">
        <v>1.1000000000000001</v>
      </c>
      <c r="O1961" s="13">
        <v>2</v>
      </c>
      <c r="P1961" s="13">
        <v>1.2</v>
      </c>
      <c r="Q1961" s="13">
        <v>1.5</v>
      </c>
      <c r="R1961">
        <f t="shared" si="194"/>
        <v>0.51215847306170115</v>
      </c>
    </row>
    <row r="1962" spans="1:19" customFormat="1" hidden="1" x14ac:dyDescent="0.2">
      <c r="A1962" t="s">
        <v>316</v>
      </c>
      <c r="B1962">
        <v>1.629106706489275E-3</v>
      </c>
      <c r="D1962" t="s">
        <v>56</v>
      </c>
      <c r="E1962" t="s">
        <v>100</v>
      </c>
      <c r="F1962" t="s">
        <v>99</v>
      </c>
      <c r="H1962" s="17"/>
      <c r="I1962" s="17">
        <v>2</v>
      </c>
      <c r="J1962">
        <f t="shared" si="193"/>
        <v>-6.4197234472170104</v>
      </c>
      <c r="K1962" s="13">
        <v>1.5</v>
      </c>
      <c r="L1962" s="13">
        <v>1.2</v>
      </c>
      <c r="M1962" s="13">
        <v>1.5</v>
      </c>
      <c r="N1962" s="13">
        <v>1.1000000000000001</v>
      </c>
      <c r="O1962" s="13">
        <v>2</v>
      </c>
      <c r="P1962" s="13">
        <v>1.2</v>
      </c>
      <c r="Q1962" s="13">
        <v>1.05</v>
      </c>
      <c r="R1962">
        <f t="shared" si="194"/>
        <v>0.47095746419981693</v>
      </c>
    </row>
    <row r="1963" spans="1:19" customFormat="1" hidden="1" x14ac:dyDescent="0.2">
      <c r="A1963" t="s">
        <v>374</v>
      </c>
      <c r="B1963">
        <v>7.4287265815910948E-3</v>
      </c>
      <c r="D1963" t="s">
        <v>56</v>
      </c>
      <c r="E1963" t="s">
        <v>100</v>
      </c>
      <c r="F1963" t="s">
        <v>99</v>
      </c>
      <c r="H1963" s="17"/>
      <c r="I1963" s="17">
        <v>2</v>
      </c>
      <c r="J1963">
        <f t="shared" si="193"/>
        <v>-4.9024008236907157</v>
      </c>
      <c r="K1963" s="13">
        <v>1.5</v>
      </c>
      <c r="L1963" s="13">
        <v>1.2</v>
      </c>
      <c r="M1963" s="13">
        <v>1.5</v>
      </c>
      <c r="N1963" s="13">
        <v>1.1000000000000001</v>
      </c>
      <c r="O1963" s="13">
        <v>2</v>
      </c>
      <c r="P1963" s="13">
        <v>1.2</v>
      </c>
      <c r="Q1963" s="13">
        <v>1.5</v>
      </c>
      <c r="R1963">
        <f t="shared" si="194"/>
        <v>0.51215847306170115</v>
      </c>
    </row>
    <row r="1964" spans="1:19" customFormat="1" hidden="1" x14ac:dyDescent="0.2">
      <c r="A1964" t="s">
        <v>134</v>
      </c>
      <c r="B1964">
        <f>0.207439587292968/1000</f>
        <v>2.0743958729296799E-4</v>
      </c>
      <c r="D1964" t="s">
        <v>120</v>
      </c>
      <c r="E1964" t="s">
        <v>100</v>
      </c>
      <c r="F1964" t="s">
        <v>99</v>
      </c>
      <c r="H1964" s="17"/>
      <c r="I1964" s="17">
        <v>2</v>
      </c>
      <c r="J1964">
        <f t="shared" si="193"/>
        <v>-8.4806704062606801</v>
      </c>
      <c r="K1964" s="13">
        <v>1.5</v>
      </c>
      <c r="L1964" s="13">
        <v>1.2</v>
      </c>
      <c r="M1964" s="13">
        <v>1.5</v>
      </c>
      <c r="N1964" s="13">
        <v>1.1000000000000001</v>
      </c>
      <c r="O1964" s="13">
        <v>2</v>
      </c>
      <c r="P1964" s="13">
        <v>1.2</v>
      </c>
      <c r="Q1964" s="13">
        <v>1.05</v>
      </c>
      <c r="R1964">
        <f t="shared" si="194"/>
        <v>0.47095746419981693</v>
      </c>
    </row>
    <row r="1965" spans="1:19" customFormat="1" hidden="1" x14ac:dyDescent="0.2">
      <c r="K1965" s="13"/>
      <c r="L1965" s="13"/>
      <c r="M1965" s="13"/>
      <c r="N1965" s="13"/>
      <c r="O1965" s="13"/>
      <c r="P1965" s="13"/>
    </row>
    <row r="1966" spans="1:19" customFormat="1" hidden="1" x14ac:dyDescent="0.2">
      <c r="A1966" s="2" t="s">
        <v>50</v>
      </c>
      <c r="B1966" s="2" t="s">
        <v>1121</v>
      </c>
      <c r="K1966" s="13"/>
      <c r="L1966" s="13"/>
      <c r="M1966" s="13"/>
      <c r="N1966" s="13"/>
      <c r="O1966" s="13"/>
      <c r="P1966" s="13"/>
    </row>
    <row r="1967" spans="1:19" customFormat="1" hidden="1" x14ac:dyDescent="0.2">
      <c r="A1967" t="s">
        <v>51</v>
      </c>
      <c r="B1967" t="s">
        <v>1069</v>
      </c>
      <c r="K1967" s="13"/>
      <c r="L1967" s="13"/>
      <c r="M1967" s="13"/>
      <c r="N1967" s="13"/>
      <c r="O1967" s="13"/>
      <c r="P1967" s="13"/>
    </row>
    <row r="1968" spans="1:19" customFormat="1" hidden="1" x14ac:dyDescent="0.2">
      <c r="A1968" t="s">
        <v>63</v>
      </c>
      <c r="B1968" t="s">
        <v>1070</v>
      </c>
      <c r="K1968" s="13"/>
      <c r="L1968" s="13"/>
      <c r="M1968" s="13"/>
      <c r="N1968" s="13"/>
      <c r="O1968" s="13"/>
      <c r="P1968" s="13"/>
    </row>
    <row r="1969" spans="1:19" customFormat="1" hidden="1" x14ac:dyDescent="0.2">
      <c r="A1969" t="s">
        <v>52</v>
      </c>
      <c r="B1969" t="s">
        <v>90</v>
      </c>
      <c r="K1969" s="13"/>
      <c r="L1969" s="13"/>
      <c r="M1969" s="13"/>
      <c r="N1969" s="13"/>
      <c r="O1969" s="13"/>
      <c r="P1969" s="13"/>
    </row>
    <row r="1970" spans="1:19" customFormat="1" hidden="1" x14ac:dyDescent="0.2">
      <c r="A1970" t="s">
        <v>53</v>
      </c>
      <c r="B1970">
        <v>1</v>
      </c>
      <c r="K1970" s="13"/>
      <c r="L1970" s="13"/>
      <c r="M1970" s="13"/>
      <c r="N1970" s="13"/>
      <c r="O1970" s="13"/>
      <c r="P1970" s="13"/>
    </row>
    <row r="1971" spans="1:19" customFormat="1" hidden="1" x14ac:dyDescent="0.2">
      <c r="A1971" t="s">
        <v>54</v>
      </c>
      <c r="B1971" s="11" t="s">
        <v>1121</v>
      </c>
      <c r="K1971" s="13"/>
      <c r="L1971" s="13"/>
      <c r="M1971" s="13"/>
      <c r="N1971" s="13"/>
      <c r="O1971" s="13"/>
      <c r="P1971" s="13"/>
    </row>
    <row r="1972" spans="1:19" customFormat="1" hidden="1" x14ac:dyDescent="0.2">
      <c r="A1972" t="s">
        <v>55</v>
      </c>
      <c r="B1972" t="s">
        <v>56</v>
      </c>
      <c r="K1972" s="13"/>
      <c r="L1972" s="13"/>
      <c r="M1972" s="13"/>
      <c r="N1972" s="13"/>
      <c r="O1972" s="13"/>
      <c r="P1972" s="13"/>
    </row>
    <row r="1973" spans="1:19" customFormat="1" hidden="1" x14ac:dyDescent="0.2">
      <c r="A1973" s="2" t="s">
        <v>57</v>
      </c>
      <c r="K1973" s="13"/>
      <c r="L1973" s="13"/>
      <c r="M1973" s="13"/>
      <c r="N1973" s="13"/>
      <c r="O1973" s="13"/>
      <c r="P1973" s="13"/>
    </row>
    <row r="1974" spans="1:19" customFormat="1" hidden="1" x14ac:dyDescent="0.2">
      <c r="A1974" s="2" t="s">
        <v>58</v>
      </c>
      <c r="B1974" s="2" t="s">
        <v>59</v>
      </c>
      <c r="C1974" s="2" t="s">
        <v>52</v>
      </c>
      <c r="D1974" s="2" t="s">
        <v>55</v>
      </c>
      <c r="E1974" s="2" t="s">
        <v>60</v>
      </c>
      <c r="F1974" s="2" t="s">
        <v>61</v>
      </c>
      <c r="G1974" s="2" t="s">
        <v>54</v>
      </c>
      <c r="H1974" s="18" t="s">
        <v>51</v>
      </c>
      <c r="I1974" s="18" t="s">
        <v>221</v>
      </c>
      <c r="J1974" s="2" t="s">
        <v>379</v>
      </c>
      <c r="K1974" s="62" t="s">
        <v>1059</v>
      </c>
      <c r="L1974" s="62" t="s">
        <v>1060</v>
      </c>
      <c r="M1974" s="62" t="s">
        <v>1061</v>
      </c>
      <c r="N1974" s="62" t="s">
        <v>1062</v>
      </c>
      <c r="O1974" s="62" t="s">
        <v>1063</v>
      </c>
      <c r="P1974" s="62" t="s">
        <v>1064</v>
      </c>
      <c r="Q1974" s="2" t="s">
        <v>1065</v>
      </c>
      <c r="R1974" s="2" t="s">
        <v>380</v>
      </c>
      <c r="S1974" s="18" t="s">
        <v>1128</v>
      </c>
    </row>
    <row r="1975" spans="1:19" customFormat="1" hidden="1" x14ac:dyDescent="0.2">
      <c r="A1975" t="s">
        <v>1121</v>
      </c>
      <c r="B1975">
        <v>1</v>
      </c>
      <c r="C1975" t="s">
        <v>90</v>
      </c>
      <c r="D1975" t="s">
        <v>56</v>
      </c>
      <c r="F1975" t="s">
        <v>62</v>
      </c>
      <c r="G1975" t="s">
        <v>1121</v>
      </c>
      <c r="H1975" s="17"/>
      <c r="I1975" s="17"/>
      <c r="J1975" s="17"/>
      <c r="K1975" s="13"/>
      <c r="L1975" s="13"/>
      <c r="M1975" s="13"/>
      <c r="N1975" s="13"/>
      <c r="O1975" s="13"/>
      <c r="P1975" s="13"/>
    </row>
    <row r="1976" spans="1:19" customFormat="1" hidden="1" x14ac:dyDescent="0.2">
      <c r="A1976" t="s">
        <v>91</v>
      </c>
      <c r="B1976" s="12">
        <v>2.6205936920222633E-2</v>
      </c>
      <c r="C1976" t="s">
        <v>90</v>
      </c>
      <c r="D1976" t="s">
        <v>92</v>
      </c>
      <c r="F1976" t="s">
        <v>86</v>
      </c>
      <c r="G1976" t="s">
        <v>93</v>
      </c>
      <c r="H1976" s="17"/>
      <c r="I1976" s="17">
        <v>2</v>
      </c>
      <c r="J1976">
        <f t="shared" ref="J1976:J1983" si="195">LN(B1976)</f>
        <v>-3.6417692938764925</v>
      </c>
      <c r="K1976" s="13">
        <v>1.5</v>
      </c>
      <c r="L1976" s="13">
        <v>1.2</v>
      </c>
      <c r="M1976" s="13">
        <v>1.5</v>
      </c>
      <c r="N1976" s="13">
        <v>1.1000000000000001</v>
      </c>
      <c r="O1976" s="13">
        <v>2</v>
      </c>
      <c r="P1976" s="13">
        <v>1.2</v>
      </c>
      <c r="Q1976">
        <v>1.05</v>
      </c>
      <c r="R1976">
        <f t="shared" ref="R1976:R1983" si="196">LN(SQRT(EXP(
SQRT(
+POWER(LN(K1976),2)
+POWER(LN(L1976),2)
+POWER(LN(M1976),2)
+POWER(LN(N1976),2)
+POWER(LN(O1976),2)
+POWER(LN(P1976),2)
+POWER(LN(Q1976),2)
)
)))</f>
        <v>0.47095746419981693</v>
      </c>
    </row>
    <row r="1977" spans="1:19" customFormat="1" hidden="1" x14ac:dyDescent="0.2">
      <c r="A1977" t="s">
        <v>1095</v>
      </c>
      <c r="B1977">
        <v>0.19081632653061226</v>
      </c>
      <c r="C1977" t="s">
        <v>85</v>
      </c>
      <c r="D1977" t="s">
        <v>56</v>
      </c>
      <c r="F1977" t="s">
        <v>86</v>
      </c>
      <c r="G1977" t="s">
        <v>1096</v>
      </c>
      <c r="H1977" s="17"/>
      <c r="I1977" s="17">
        <v>2</v>
      </c>
      <c r="J1977">
        <f t="shared" si="195"/>
        <v>-1.6564439548100309</v>
      </c>
      <c r="K1977" s="13">
        <v>1.5</v>
      </c>
      <c r="L1977" s="13">
        <v>1.2</v>
      </c>
      <c r="M1977" s="13">
        <v>1.5</v>
      </c>
      <c r="N1977" s="13">
        <v>1.1000000000000001</v>
      </c>
      <c r="O1977" s="13">
        <v>2</v>
      </c>
      <c r="P1977" s="13">
        <v>1.2</v>
      </c>
      <c r="Q1977">
        <v>1.05</v>
      </c>
      <c r="R1977">
        <f t="shared" si="196"/>
        <v>0.47095746419981693</v>
      </c>
    </row>
    <row r="1978" spans="1:19" customFormat="1" hidden="1" x14ac:dyDescent="0.2">
      <c r="A1978" t="s">
        <v>316</v>
      </c>
      <c r="B1978">
        <v>0.70204081632653059</v>
      </c>
      <c r="D1978" t="s">
        <v>56</v>
      </c>
      <c r="E1978" t="s">
        <v>100</v>
      </c>
      <c r="F1978" t="s">
        <v>99</v>
      </c>
      <c r="H1978" s="17"/>
      <c r="I1978" s="17">
        <v>2</v>
      </c>
      <c r="J1978">
        <f t="shared" si="195"/>
        <v>-0.35376373373127395</v>
      </c>
      <c r="K1978" s="13">
        <v>1.5</v>
      </c>
      <c r="L1978" s="13">
        <v>1.2</v>
      </c>
      <c r="M1978" s="13">
        <v>1.5</v>
      </c>
      <c r="N1978" s="13">
        <v>1.1000000000000001</v>
      </c>
      <c r="O1978" s="13">
        <v>2</v>
      </c>
      <c r="P1978" s="13">
        <v>1.2</v>
      </c>
      <c r="Q1978" s="13">
        <v>1.05</v>
      </c>
      <c r="R1978">
        <f t="shared" si="196"/>
        <v>0.47095746419981693</v>
      </c>
    </row>
    <row r="1979" spans="1:19" customFormat="1" hidden="1" x14ac:dyDescent="0.2">
      <c r="A1979" t="s">
        <v>374</v>
      </c>
      <c r="B1979">
        <v>3.4406307977736557</v>
      </c>
      <c r="D1979" t="s">
        <v>56</v>
      </c>
      <c r="E1979" t="s">
        <v>100</v>
      </c>
      <c r="F1979" t="s">
        <v>99</v>
      </c>
      <c r="H1979" s="17"/>
      <c r="I1979" s="17">
        <v>2</v>
      </c>
      <c r="J1979">
        <f t="shared" si="195"/>
        <v>1.2356548260206486</v>
      </c>
      <c r="K1979" s="13">
        <v>1.5</v>
      </c>
      <c r="L1979" s="13">
        <v>1.2</v>
      </c>
      <c r="M1979" s="13">
        <v>1.5</v>
      </c>
      <c r="N1979" s="13">
        <v>1.1000000000000001</v>
      </c>
      <c r="O1979" s="13">
        <v>2</v>
      </c>
      <c r="P1979" s="13">
        <v>1.2</v>
      </c>
      <c r="Q1979" s="13">
        <v>1.5</v>
      </c>
      <c r="R1979">
        <f t="shared" si="196"/>
        <v>0.51215847306170115</v>
      </c>
    </row>
    <row r="1980" spans="1:19" customFormat="1" hidden="1" x14ac:dyDescent="0.2">
      <c r="A1980" t="s">
        <v>135</v>
      </c>
      <c r="B1980">
        <v>9.9907235621521338E-3</v>
      </c>
      <c r="D1980" t="s">
        <v>56</v>
      </c>
      <c r="E1980" t="s">
        <v>100</v>
      </c>
      <c r="F1980" t="s">
        <v>99</v>
      </c>
      <c r="H1980" s="17"/>
      <c r="I1980" s="17">
        <v>2</v>
      </c>
      <c r="J1980">
        <f t="shared" si="195"/>
        <v>-4.6060982603006453</v>
      </c>
      <c r="K1980" s="13">
        <v>1.5</v>
      </c>
      <c r="L1980" s="13">
        <v>1.2</v>
      </c>
      <c r="M1980" s="13">
        <v>1.5</v>
      </c>
      <c r="N1980" s="13">
        <v>1.1000000000000001</v>
      </c>
      <c r="O1980" s="13">
        <v>2</v>
      </c>
      <c r="P1980" s="13">
        <v>1.2</v>
      </c>
      <c r="Q1980" s="13">
        <v>1.5</v>
      </c>
      <c r="R1980">
        <f t="shared" si="196"/>
        <v>0.51215847306170115</v>
      </c>
    </row>
    <row r="1981" spans="1:19" customFormat="1" hidden="1" x14ac:dyDescent="0.2">
      <c r="A1981" t="s">
        <v>134</v>
      </c>
      <c r="B1981">
        <f>0.474025974025974/1000</f>
        <v>4.7402597402597401E-4</v>
      </c>
      <c r="D1981" t="s">
        <v>120</v>
      </c>
      <c r="E1981" t="s">
        <v>100</v>
      </c>
      <c r="F1981" t="s">
        <v>99</v>
      </c>
      <c r="H1981" s="17"/>
      <c r="I1981" s="17">
        <v>2</v>
      </c>
      <c r="J1981">
        <f t="shared" si="195"/>
        <v>-7.6542484402473754</v>
      </c>
      <c r="K1981" s="13">
        <v>1.5</v>
      </c>
      <c r="L1981" s="13">
        <v>1.2</v>
      </c>
      <c r="M1981" s="13">
        <v>1.5</v>
      </c>
      <c r="N1981" s="13">
        <v>1.1000000000000001</v>
      </c>
      <c r="O1981" s="13">
        <v>2</v>
      </c>
      <c r="P1981" s="13">
        <v>1.2</v>
      </c>
      <c r="Q1981" s="13">
        <v>1.05</v>
      </c>
      <c r="R1981">
        <f t="shared" si="196"/>
        <v>0.47095746419981693</v>
      </c>
    </row>
    <row r="1982" spans="1:19" customFormat="1" hidden="1" x14ac:dyDescent="0.2">
      <c r="A1982" t="s">
        <v>1097</v>
      </c>
      <c r="B1982">
        <v>0.98979591836734704</v>
      </c>
      <c r="C1982" t="s">
        <v>85</v>
      </c>
      <c r="D1982" t="s">
        <v>56</v>
      </c>
      <c r="F1982" t="s">
        <v>86</v>
      </c>
      <c r="G1982" t="s">
        <v>1098</v>
      </c>
      <c r="H1982" s="17"/>
      <c r="I1982" s="17">
        <v>2</v>
      </c>
      <c r="J1982">
        <f t="shared" si="195"/>
        <v>-1.0256500167188997E-2</v>
      </c>
      <c r="K1982" s="13">
        <v>1.5</v>
      </c>
      <c r="L1982" s="13">
        <v>1.2</v>
      </c>
      <c r="M1982" s="13">
        <v>1.5</v>
      </c>
      <c r="N1982" s="13">
        <v>1.1000000000000001</v>
      </c>
      <c r="O1982" s="13">
        <v>2</v>
      </c>
      <c r="P1982" s="13">
        <v>1.2</v>
      </c>
      <c r="Q1982">
        <v>1.05</v>
      </c>
      <c r="R1982">
        <f t="shared" si="196"/>
        <v>0.47095746419981693</v>
      </c>
    </row>
    <row r="1983" spans="1:19" customFormat="1" hidden="1" x14ac:dyDescent="0.2">
      <c r="A1983" t="s">
        <v>1078</v>
      </c>
      <c r="B1983" s="5">
        <v>9.27643784786642E-2</v>
      </c>
      <c r="C1983" t="s">
        <v>90</v>
      </c>
      <c r="D1983" t="s">
        <v>120</v>
      </c>
      <c r="F1983" t="s">
        <v>86</v>
      </c>
      <c r="G1983" t="s">
        <v>1079</v>
      </c>
      <c r="H1983" s="17"/>
      <c r="I1983" s="17">
        <v>2</v>
      </c>
      <c r="J1983">
        <f t="shared" si="195"/>
        <v>-2.3776925654808512</v>
      </c>
      <c r="K1983" s="13">
        <v>1.5</v>
      </c>
      <c r="L1983" s="13">
        <v>1.2</v>
      </c>
      <c r="M1983" s="13">
        <v>1.5</v>
      </c>
      <c r="N1983" s="13">
        <v>1.1000000000000001</v>
      </c>
      <c r="O1983" s="13">
        <v>2</v>
      </c>
      <c r="P1983" s="13">
        <v>1.2</v>
      </c>
      <c r="Q1983">
        <v>1.05</v>
      </c>
      <c r="R1983">
        <f t="shared" si="196"/>
        <v>0.47095746419981693</v>
      </c>
    </row>
    <row r="1984" spans="1:19" customFormat="1" hidden="1" x14ac:dyDescent="0.2">
      <c r="K1984" s="13"/>
      <c r="L1984" s="13"/>
      <c r="M1984" s="13"/>
      <c r="N1984" s="13"/>
      <c r="O1984" s="13"/>
      <c r="P1984" s="13"/>
    </row>
    <row r="1985" spans="1:19" customFormat="1" hidden="1" x14ac:dyDescent="0.2">
      <c r="A1985" s="2" t="s">
        <v>50</v>
      </c>
      <c r="B1985" s="2" t="s">
        <v>1122</v>
      </c>
      <c r="K1985" s="13"/>
      <c r="L1985" s="13"/>
      <c r="M1985" s="13"/>
      <c r="N1985" s="13"/>
      <c r="O1985" s="13"/>
      <c r="P1985" s="13"/>
    </row>
    <row r="1986" spans="1:19" customFormat="1" hidden="1" x14ac:dyDescent="0.2">
      <c r="A1986" t="s">
        <v>51</v>
      </c>
      <c r="B1986" t="s">
        <v>1069</v>
      </c>
      <c r="K1986" s="13"/>
      <c r="L1986" s="13"/>
      <c r="M1986" s="13"/>
      <c r="N1986" s="13"/>
      <c r="O1986" s="13"/>
      <c r="P1986" s="13"/>
    </row>
    <row r="1987" spans="1:19" customFormat="1" hidden="1" x14ac:dyDescent="0.2">
      <c r="A1987" t="s">
        <v>63</v>
      </c>
      <c r="B1987" t="s">
        <v>1070</v>
      </c>
      <c r="K1987" s="13"/>
      <c r="L1987" s="13"/>
      <c r="M1987" s="13"/>
      <c r="N1987" s="13"/>
      <c r="O1987" s="13"/>
      <c r="P1987" s="13"/>
    </row>
    <row r="1988" spans="1:19" customFormat="1" hidden="1" x14ac:dyDescent="0.2">
      <c r="A1988" t="s">
        <v>52</v>
      </c>
      <c r="B1988" t="s">
        <v>90</v>
      </c>
      <c r="K1988" s="13"/>
      <c r="L1988" s="13"/>
      <c r="M1988" s="13"/>
      <c r="N1988" s="13"/>
      <c r="O1988" s="13"/>
      <c r="P1988" s="13"/>
    </row>
    <row r="1989" spans="1:19" customFormat="1" hidden="1" x14ac:dyDescent="0.2">
      <c r="A1989" t="s">
        <v>53</v>
      </c>
      <c r="B1989">
        <v>1</v>
      </c>
      <c r="K1989" s="13"/>
      <c r="L1989" s="13"/>
      <c r="M1989" s="13"/>
      <c r="N1989" s="13"/>
      <c r="O1989" s="13"/>
      <c r="P1989" s="13"/>
    </row>
    <row r="1990" spans="1:19" customFormat="1" hidden="1" x14ac:dyDescent="0.2">
      <c r="A1990" t="s">
        <v>54</v>
      </c>
      <c r="B1990" s="11" t="s">
        <v>1099</v>
      </c>
      <c r="K1990" s="13"/>
      <c r="L1990" s="13"/>
      <c r="M1990" s="13"/>
      <c r="N1990" s="13"/>
      <c r="O1990" s="13"/>
      <c r="P1990" s="13"/>
    </row>
    <row r="1991" spans="1:19" customFormat="1" hidden="1" x14ac:dyDescent="0.2">
      <c r="A1991" t="s">
        <v>55</v>
      </c>
      <c r="B1991" t="s">
        <v>56</v>
      </c>
      <c r="K1991" s="13"/>
      <c r="L1991" s="13"/>
      <c r="M1991" s="13"/>
      <c r="N1991" s="13"/>
      <c r="O1991" s="13"/>
      <c r="P1991" s="13"/>
    </row>
    <row r="1992" spans="1:19" customFormat="1" hidden="1" x14ac:dyDescent="0.2">
      <c r="A1992" s="2" t="s">
        <v>57</v>
      </c>
      <c r="K1992" s="13"/>
      <c r="L1992" s="13"/>
      <c r="M1992" s="13"/>
      <c r="N1992" s="13"/>
      <c r="O1992" s="13"/>
      <c r="P1992" s="13"/>
    </row>
    <row r="1993" spans="1:19" customFormat="1" hidden="1" x14ac:dyDescent="0.2">
      <c r="A1993" s="2" t="s">
        <v>58</v>
      </c>
      <c r="B1993" s="2" t="s">
        <v>59</v>
      </c>
      <c r="C1993" s="2" t="s">
        <v>52</v>
      </c>
      <c r="D1993" s="2" t="s">
        <v>55</v>
      </c>
      <c r="E1993" s="2" t="s">
        <v>60</v>
      </c>
      <c r="F1993" s="2" t="s">
        <v>61</v>
      </c>
      <c r="G1993" s="2" t="s">
        <v>54</v>
      </c>
      <c r="H1993" s="18" t="s">
        <v>51</v>
      </c>
      <c r="I1993" s="18" t="s">
        <v>221</v>
      </c>
      <c r="J1993" s="2" t="s">
        <v>379</v>
      </c>
      <c r="K1993" s="62" t="s">
        <v>1059</v>
      </c>
      <c r="L1993" s="62" t="s">
        <v>1060</v>
      </c>
      <c r="M1993" s="62" t="s">
        <v>1061</v>
      </c>
      <c r="N1993" s="62" t="s">
        <v>1062</v>
      </c>
      <c r="O1993" s="62" t="s">
        <v>1063</v>
      </c>
      <c r="P1993" s="62" t="s">
        <v>1064</v>
      </c>
      <c r="Q1993" s="2" t="s">
        <v>1065</v>
      </c>
      <c r="R1993" s="2" t="s">
        <v>380</v>
      </c>
      <c r="S1993" s="18" t="s">
        <v>1128</v>
      </c>
    </row>
    <row r="1994" spans="1:19" customFormat="1" hidden="1" x14ac:dyDescent="0.2">
      <c r="A1994" t="s">
        <v>1122</v>
      </c>
      <c r="B1994">
        <v>1</v>
      </c>
      <c r="C1994" t="s">
        <v>90</v>
      </c>
      <c r="D1994" t="s">
        <v>56</v>
      </c>
      <c r="E1994" s="17"/>
      <c r="F1994" t="s">
        <v>62</v>
      </c>
      <c r="G1994" t="s">
        <v>1099</v>
      </c>
      <c r="H1994" s="17"/>
      <c r="I1994" s="17"/>
      <c r="K1994" s="13"/>
      <c r="L1994" s="13"/>
      <c r="M1994" s="13"/>
      <c r="N1994" s="13"/>
      <c r="O1994" s="13"/>
      <c r="P1994" s="13"/>
    </row>
    <row r="1995" spans="1:19" customFormat="1" hidden="1" x14ac:dyDescent="0.2">
      <c r="A1995" t="s">
        <v>1078</v>
      </c>
      <c r="B1995" s="5">
        <v>7.6268477826608061E-2</v>
      </c>
      <c r="C1995" t="s">
        <v>90</v>
      </c>
      <c r="D1995" t="s">
        <v>120</v>
      </c>
      <c r="E1995" s="17"/>
      <c r="F1995" t="s">
        <v>86</v>
      </c>
      <c r="G1995" t="s">
        <v>1079</v>
      </c>
      <c r="H1995" s="17"/>
      <c r="I1995" s="17">
        <v>2</v>
      </c>
      <c r="J1995">
        <f t="shared" ref="J1995:J1999" si="197">LN(B1995)</f>
        <v>-2.5734955607000725</v>
      </c>
      <c r="K1995" s="13">
        <v>1.5</v>
      </c>
      <c r="L1995" s="13">
        <v>1.2</v>
      </c>
      <c r="M1995" s="13">
        <v>1.5</v>
      </c>
      <c r="N1995" s="13">
        <v>1.1000000000000001</v>
      </c>
      <c r="O1995" s="13">
        <v>2</v>
      </c>
      <c r="P1995" s="13">
        <v>1.2</v>
      </c>
      <c r="Q1995">
        <v>1.05</v>
      </c>
      <c r="R1995">
        <f t="shared" ref="R1995:R1999" si="198">LN(SQRT(EXP(
SQRT(
+POWER(LN(K1995),2)
+POWER(LN(L1995),2)
+POWER(LN(M1995),2)
+POWER(LN(N1995),2)
+POWER(LN(O1995),2)
+POWER(LN(P1995),2)
+POWER(LN(Q1995),2)
)
)))</f>
        <v>0.47095746419981693</v>
      </c>
    </row>
    <row r="1996" spans="1:19" customFormat="1" hidden="1" x14ac:dyDescent="0.2">
      <c r="A1996" t="s">
        <v>91</v>
      </c>
      <c r="B1996" s="12">
        <v>7.5189772273272073</v>
      </c>
      <c r="C1996" t="s">
        <v>90</v>
      </c>
      <c r="D1996" t="s">
        <v>92</v>
      </c>
      <c r="E1996" s="17"/>
      <c r="F1996" t="s">
        <v>86</v>
      </c>
      <c r="G1996" t="s">
        <v>93</v>
      </c>
      <c r="H1996" s="17"/>
      <c r="I1996" s="17">
        <v>2</v>
      </c>
      <c r="J1996">
        <f t="shared" si="197"/>
        <v>2.0174301217075965</v>
      </c>
      <c r="K1996" s="13">
        <v>1.5</v>
      </c>
      <c r="L1996" s="13">
        <v>1.2</v>
      </c>
      <c r="M1996" s="13">
        <v>1.5</v>
      </c>
      <c r="N1996" s="13">
        <v>1.1000000000000001</v>
      </c>
      <c r="O1996" s="13">
        <v>2</v>
      </c>
      <c r="P1996" s="13">
        <v>1.2</v>
      </c>
      <c r="Q1996">
        <v>1.05</v>
      </c>
      <c r="R1996">
        <f t="shared" si="198"/>
        <v>0.47095746419981693</v>
      </c>
    </row>
    <row r="1997" spans="1:19" customFormat="1" hidden="1" x14ac:dyDescent="0.2">
      <c r="A1997" t="s">
        <v>1095</v>
      </c>
      <c r="B1997">
        <v>8.7894526568118261E-2</v>
      </c>
      <c r="C1997" t="s">
        <v>85</v>
      </c>
      <c r="D1997" t="s">
        <v>56</v>
      </c>
      <c r="E1997" s="17"/>
      <c r="F1997" t="s">
        <v>86</v>
      </c>
      <c r="G1997" t="s">
        <v>1096</v>
      </c>
      <c r="H1997" s="17"/>
      <c r="I1997" s="17">
        <v>2</v>
      </c>
      <c r="J1997">
        <f t="shared" si="197"/>
        <v>-2.4316177450794125</v>
      </c>
      <c r="K1997" s="13">
        <v>1.5</v>
      </c>
      <c r="L1997" s="13">
        <v>1.2</v>
      </c>
      <c r="M1997" s="13">
        <v>1.5</v>
      </c>
      <c r="N1997" s="13">
        <v>1.1000000000000001</v>
      </c>
      <c r="O1997" s="13">
        <v>2</v>
      </c>
      <c r="P1997" s="13">
        <v>1.2</v>
      </c>
      <c r="Q1997">
        <v>1.05</v>
      </c>
      <c r="R1997">
        <f t="shared" si="198"/>
        <v>0.47095746419981693</v>
      </c>
    </row>
    <row r="1998" spans="1:19" customFormat="1" hidden="1" x14ac:dyDescent="0.2">
      <c r="A1998" t="s">
        <v>1119</v>
      </c>
      <c r="B1998">
        <v>1.1106671993607669</v>
      </c>
      <c r="C1998" t="s">
        <v>90</v>
      </c>
      <c r="D1998" t="s">
        <v>56</v>
      </c>
      <c r="E1998" s="17"/>
      <c r="F1998" t="s">
        <v>86</v>
      </c>
      <c r="G1998" t="s">
        <v>1119</v>
      </c>
      <c r="H1998" s="17"/>
      <c r="I1998" s="17">
        <v>2</v>
      </c>
      <c r="J1998">
        <f t="shared" si="197"/>
        <v>0.10496091525290834</v>
      </c>
      <c r="K1998" s="13">
        <v>1.5</v>
      </c>
      <c r="L1998" s="13">
        <v>1.2</v>
      </c>
      <c r="M1998" s="13">
        <v>1.5</v>
      </c>
      <c r="N1998" s="13">
        <v>1.1000000000000001</v>
      </c>
      <c r="O1998" s="13">
        <v>2</v>
      </c>
      <c r="P1998" s="13">
        <v>1.2</v>
      </c>
      <c r="Q1998">
        <v>1.05</v>
      </c>
      <c r="R1998">
        <f t="shared" si="198"/>
        <v>0.47095746419981693</v>
      </c>
    </row>
    <row r="1999" spans="1:19" customFormat="1" hidden="1" x14ac:dyDescent="0.2">
      <c r="A1999" t="s">
        <v>1120</v>
      </c>
      <c r="B1999">
        <v>14.710347582900519</v>
      </c>
      <c r="C1999" t="s">
        <v>90</v>
      </c>
      <c r="D1999" t="s">
        <v>56</v>
      </c>
      <c r="E1999" s="17"/>
      <c r="F1999" t="s">
        <v>86</v>
      </c>
      <c r="G1999" t="s">
        <v>1120</v>
      </c>
      <c r="H1999" s="17"/>
      <c r="I1999" s="17">
        <v>2</v>
      </c>
      <c r="J1999">
        <f t="shared" si="197"/>
        <v>2.6885511633552945</v>
      </c>
      <c r="K1999" s="13">
        <v>1.5</v>
      </c>
      <c r="L1999" s="13">
        <v>1.2</v>
      </c>
      <c r="M1999" s="13">
        <v>1.5</v>
      </c>
      <c r="N1999" s="13">
        <v>1.1000000000000001</v>
      </c>
      <c r="O1999" s="13">
        <v>2</v>
      </c>
      <c r="P1999" s="13">
        <v>1.2</v>
      </c>
      <c r="Q1999">
        <v>1.05</v>
      </c>
      <c r="R1999">
        <f t="shared" si="198"/>
        <v>0.47095746419981693</v>
      </c>
    </row>
    <row r="2000" spans="1:19" customFormat="1" hidden="1" x14ac:dyDescent="0.2">
      <c r="K2000" s="13"/>
      <c r="L2000" s="13"/>
      <c r="M2000" s="13"/>
      <c r="N2000" s="13"/>
      <c r="O2000" s="13"/>
      <c r="P2000" s="13"/>
    </row>
    <row r="2001" spans="1:19" customFormat="1" hidden="1" x14ac:dyDescent="0.2">
      <c r="A2001" s="2" t="s">
        <v>50</v>
      </c>
      <c r="B2001" s="2" t="s">
        <v>1123</v>
      </c>
      <c r="K2001" s="13"/>
      <c r="L2001" s="13"/>
      <c r="M2001" s="13"/>
      <c r="N2001" s="13"/>
      <c r="O2001" s="13"/>
      <c r="P2001" s="13"/>
    </row>
    <row r="2002" spans="1:19" customFormat="1" hidden="1" x14ac:dyDescent="0.2">
      <c r="A2002" t="s">
        <v>51</v>
      </c>
      <c r="B2002" t="s">
        <v>1069</v>
      </c>
      <c r="K2002" s="13"/>
      <c r="L2002" s="13"/>
      <c r="M2002" s="13"/>
      <c r="N2002" s="13"/>
      <c r="O2002" s="13"/>
      <c r="P2002" s="13"/>
    </row>
    <row r="2003" spans="1:19" customFormat="1" hidden="1" x14ac:dyDescent="0.2">
      <c r="A2003" t="s">
        <v>63</v>
      </c>
      <c r="B2003" t="s">
        <v>1070</v>
      </c>
      <c r="K2003" s="13"/>
      <c r="L2003" s="13"/>
      <c r="M2003" s="13"/>
      <c r="N2003" s="13"/>
      <c r="O2003" s="13"/>
      <c r="P2003" s="13"/>
    </row>
    <row r="2004" spans="1:19" customFormat="1" hidden="1" x14ac:dyDescent="0.2">
      <c r="A2004" t="s">
        <v>52</v>
      </c>
      <c r="B2004" t="s">
        <v>90</v>
      </c>
      <c r="K2004" s="13"/>
      <c r="L2004" s="13"/>
      <c r="M2004" s="13"/>
      <c r="N2004" s="13"/>
      <c r="O2004" s="13"/>
      <c r="P2004" s="13"/>
    </row>
    <row r="2005" spans="1:19" customFormat="1" hidden="1" x14ac:dyDescent="0.2">
      <c r="A2005" t="s">
        <v>53</v>
      </c>
      <c r="B2005">
        <v>1</v>
      </c>
      <c r="K2005" s="13"/>
      <c r="L2005" s="13"/>
      <c r="M2005" s="13"/>
      <c r="N2005" s="13"/>
      <c r="O2005" s="13"/>
      <c r="P2005" s="13"/>
    </row>
    <row r="2006" spans="1:19" customFormat="1" hidden="1" x14ac:dyDescent="0.2">
      <c r="A2006" t="s">
        <v>54</v>
      </c>
      <c r="B2006" s="11" t="s">
        <v>1100</v>
      </c>
      <c r="K2006" s="13"/>
      <c r="L2006" s="13"/>
      <c r="M2006" s="13"/>
      <c r="N2006" s="13"/>
      <c r="O2006" s="13"/>
      <c r="P2006" s="13"/>
    </row>
    <row r="2007" spans="1:19" customFormat="1" hidden="1" x14ac:dyDescent="0.2">
      <c r="A2007" t="s">
        <v>55</v>
      </c>
      <c r="B2007" t="s">
        <v>56</v>
      </c>
      <c r="K2007" s="13"/>
      <c r="L2007" s="13"/>
      <c r="M2007" s="13"/>
      <c r="N2007" s="13"/>
      <c r="O2007" s="13"/>
      <c r="P2007" s="13"/>
    </row>
    <row r="2008" spans="1:19" customFormat="1" hidden="1" x14ac:dyDescent="0.2">
      <c r="A2008" s="2" t="s">
        <v>57</v>
      </c>
      <c r="K2008" s="13"/>
      <c r="L2008" s="13"/>
      <c r="M2008" s="13"/>
      <c r="N2008" s="13"/>
      <c r="O2008" s="13"/>
      <c r="P2008" s="13"/>
    </row>
    <row r="2009" spans="1:19" customFormat="1" hidden="1" x14ac:dyDescent="0.2">
      <c r="A2009" s="2" t="s">
        <v>58</v>
      </c>
      <c r="B2009" s="2" t="s">
        <v>59</v>
      </c>
      <c r="C2009" s="2" t="s">
        <v>52</v>
      </c>
      <c r="D2009" s="2" t="s">
        <v>55</v>
      </c>
      <c r="E2009" s="2" t="s">
        <v>60</v>
      </c>
      <c r="F2009" s="2" t="s">
        <v>61</v>
      </c>
      <c r="G2009" s="2" t="s">
        <v>54</v>
      </c>
      <c r="H2009" s="18" t="s">
        <v>51</v>
      </c>
      <c r="I2009" s="18" t="s">
        <v>221</v>
      </c>
      <c r="J2009" s="2" t="s">
        <v>379</v>
      </c>
      <c r="K2009" s="62" t="s">
        <v>1059</v>
      </c>
      <c r="L2009" s="62" t="s">
        <v>1060</v>
      </c>
      <c r="M2009" s="62" t="s">
        <v>1061</v>
      </c>
      <c r="N2009" s="62" t="s">
        <v>1062</v>
      </c>
      <c r="O2009" s="62" t="s">
        <v>1063</v>
      </c>
      <c r="P2009" s="62" t="s">
        <v>1064</v>
      </c>
      <c r="Q2009" s="2" t="s">
        <v>1065</v>
      </c>
      <c r="R2009" s="2" t="s">
        <v>380</v>
      </c>
      <c r="S2009" s="18" t="s">
        <v>1128</v>
      </c>
    </row>
    <row r="2010" spans="1:19" customFormat="1" hidden="1" x14ac:dyDescent="0.2">
      <c r="A2010" t="s">
        <v>1123</v>
      </c>
      <c r="B2010">
        <v>1</v>
      </c>
      <c r="C2010" t="s">
        <v>90</v>
      </c>
      <c r="D2010" t="s">
        <v>56</v>
      </c>
      <c r="E2010" s="17"/>
      <c r="F2010" t="s">
        <v>62</v>
      </c>
      <c r="G2010" t="s">
        <v>1100</v>
      </c>
      <c r="H2010" s="17"/>
      <c r="I2010" s="17"/>
      <c r="K2010" s="13"/>
      <c r="L2010" s="13"/>
      <c r="M2010" s="13"/>
      <c r="N2010" s="13"/>
      <c r="O2010" s="13"/>
      <c r="P2010" s="13"/>
    </row>
    <row r="2011" spans="1:19" customFormat="1" hidden="1" x14ac:dyDescent="0.2">
      <c r="A2011" t="s">
        <v>91</v>
      </c>
      <c r="B2011" s="12">
        <v>3.3274760383386583</v>
      </c>
      <c r="C2011" t="s">
        <v>90</v>
      </c>
      <c r="D2011" t="s">
        <v>92</v>
      </c>
      <c r="E2011" s="17"/>
      <c r="F2011" t="s">
        <v>86</v>
      </c>
      <c r="G2011" t="s">
        <v>93</v>
      </c>
      <c r="H2011" s="17"/>
      <c r="I2011" s="17">
        <v>2</v>
      </c>
      <c r="J2011">
        <f t="shared" ref="J2011:J2016" si="199">LN(B2011)</f>
        <v>1.2022140701608734</v>
      </c>
      <c r="K2011" s="13">
        <v>1.5</v>
      </c>
      <c r="L2011" s="13">
        <v>1.2</v>
      </c>
      <c r="M2011" s="13">
        <v>1.5</v>
      </c>
      <c r="N2011" s="13">
        <v>1.1000000000000001</v>
      </c>
      <c r="O2011" s="13">
        <v>2</v>
      </c>
      <c r="P2011" s="13">
        <v>1.2</v>
      </c>
      <c r="Q2011">
        <v>1.05</v>
      </c>
      <c r="R2011">
        <f t="shared" ref="R2011:R2016" si="200">LN(SQRT(EXP(
SQRT(
+POWER(LN(K2011),2)
+POWER(LN(L2011),2)
+POWER(LN(M2011),2)
+POWER(LN(N2011),2)
+POWER(LN(O2011),2)
+POWER(LN(P2011),2)
+POWER(LN(Q2011),2)
)
)))</f>
        <v>0.47095746419981693</v>
      </c>
    </row>
    <row r="2012" spans="1:19" customFormat="1" hidden="1" x14ac:dyDescent="0.2">
      <c r="A2012" t="s">
        <v>583</v>
      </c>
      <c r="B2012" s="5">
        <v>6.2484025559105428E-4</v>
      </c>
      <c r="C2012" t="s">
        <v>85</v>
      </c>
      <c r="D2012" t="s">
        <v>56</v>
      </c>
      <c r="E2012" s="17"/>
      <c r="F2012" t="s">
        <v>86</v>
      </c>
      <c r="G2012" t="s">
        <v>246</v>
      </c>
      <c r="H2012" s="17"/>
      <c r="I2012" s="17">
        <v>2</v>
      </c>
      <c r="J2012">
        <f t="shared" si="199"/>
        <v>-7.3780145319511456</v>
      </c>
      <c r="K2012" s="13">
        <v>1.5</v>
      </c>
      <c r="L2012" s="13">
        <v>1.2</v>
      </c>
      <c r="M2012" s="13">
        <v>1.5</v>
      </c>
      <c r="N2012" s="13">
        <v>1.1000000000000001</v>
      </c>
      <c r="O2012" s="13">
        <v>2</v>
      </c>
      <c r="P2012" s="13">
        <v>1.2</v>
      </c>
      <c r="Q2012">
        <v>1.05</v>
      </c>
      <c r="R2012">
        <f t="shared" si="200"/>
        <v>0.47095746419981693</v>
      </c>
    </row>
    <row r="2013" spans="1:19" customFormat="1" hidden="1" x14ac:dyDescent="0.2">
      <c r="A2013" t="s">
        <v>1122</v>
      </c>
      <c r="B2013">
        <v>1.9992012779552717</v>
      </c>
      <c r="C2013" t="s">
        <v>90</v>
      </c>
      <c r="D2013" t="s">
        <v>56</v>
      </c>
      <c r="E2013" s="17"/>
      <c r="F2013" t="s">
        <v>86</v>
      </c>
      <c r="G2013" t="s">
        <v>1099</v>
      </c>
      <c r="H2013" s="17"/>
      <c r="I2013" s="17">
        <v>2</v>
      </c>
      <c r="J2013">
        <f t="shared" si="199"/>
        <v>0.69274773977173043</v>
      </c>
      <c r="K2013" s="13">
        <v>1.5</v>
      </c>
      <c r="L2013" s="13">
        <v>1.2</v>
      </c>
      <c r="M2013" s="13">
        <v>1.5</v>
      </c>
      <c r="N2013" s="13">
        <v>1.1000000000000001</v>
      </c>
      <c r="O2013" s="13">
        <v>2</v>
      </c>
      <c r="P2013" s="13">
        <v>1.2</v>
      </c>
      <c r="Q2013">
        <v>1.05</v>
      </c>
      <c r="R2013">
        <f t="shared" si="200"/>
        <v>0.47095746419981693</v>
      </c>
    </row>
    <row r="2014" spans="1:19" customFormat="1" hidden="1" x14ac:dyDescent="0.2">
      <c r="A2014" t="s">
        <v>1082</v>
      </c>
      <c r="B2014" s="61">
        <v>5.2819488817891376</v>
      </c>
      <c r="C2014" t="s">
        <v>90</v>
      </c>
      <c r="D2014" t="s">
        <v>56</v>
      </c>
      <c r="E2014" s="17"/>
      <c r="F2014" t="s">
        <v>86</v>
      </c>
      <c r="G2014" t="s">
        <v>1083</v>
      </c>
      <c r="H2014" s="17"/>
      <c r="I2014" s="17">
        <v>2</v>
      </c>
      <c r="J2014">
        <f t="shared" si="199"/>
        <v>1.6642951360146185</v>
      </c>
      <c r="K2014" s="13">
        <v>1.5</v>
      </c>
      <c r="L2014" s="13">
        <v>1.2</v>
      </c>
      <c r="M2014" s="13">
        <v>1.5</v>
      </c>
      <c r="N2014" s="13">
        <v>1.1000000000000001</v>
      </c>
      <c r="O2014" s="13">
        <v>2</v>
      </c>
      <c r="P2014" s="13">
        <v>1.2</v>
      </c>
      <c r="Q2014">
        <v>1.05</v>
      </c>
      <c r="R2014">
        <f t="shared" si="200"/>
        <v>0.47095746419981693</v>
      </c>
    </row>
    <row r="2015" spans="1:19" customFormat="1" hidden="1" x14ac:dyDescent="0.2">
      <c r="A2015" t="s">
        <v>1084</v>
      </c>
      <c r="B2015" s="61">
        <v>1.4832268370607029</v>
      </c>
      <c r="C2015" t="s">
        <v>90</v>
      </c>
      <c r="D2015" t="s">
        <v>56</v>
      </c>
      <c r="E2015" s="17"/>
      <c r="F2015" t="s">
        <v>86</v>
      </c>
      <c r="G2015" t="s">
        <v>1085</v>
      </c>
      <c r="H2015" s="17"/>
      <c r="I2015" s="17">
        <v>2</v>
      </c>
      <c r="J2015">
        <f t="shared" si="199"/>
        <v>0.39422000969266197</v>
      </c>
      <c r="K2015" s="13">
        <v>1.5</v>
      </c>
      <c r="L2015" s="13">
        <v>1.2</v>
      </c>
      <c r="M2015" s="13">
        <v>1.5</v>
      </c>
      <c r="N2015" s="13">
        <v>1.1000000000000001</v>
      </c>
      <c r="O2015" s="13">
        <v>2</v>
      </c>
      <c r="P2015" s="13">
        <v>1.2</v>
      </c>
      <c r="Q2015">
        <v>1.05</v>
      </c>
      <c r="R2015">
        <f t="shared" si="200"/>
        <v>0.47095746419981693</v>
      </c>
    </row>
    <row r="2016" spans="1:19" customFormat="1" hidden="1" x14ac:dyDescent="0.2">
      <c r="A2016" t="s">
        <v>1121</v>
      </c>
      <c r="B2016">
        <v>6.2819488817891376</v>
      </c>
      <c r="C2016" t="s">
        <v>90</v>
      </c>
      <c r="D2016" t="s">
        <v>56</v>
      </c>
      <c r="E2016" s="17"/>
      <c r="F2016" t="s">
        <v>86</v>
      </c>
      <c r="G2016" t="s">
        <v>1121</v>
      </c>
      <c r="H2016" s="17"/>
      <c r="I2016" s="17">
        <v>2</v>
      </c>
      <c r="J2016">
        <f t="shared" si="199"/>
        <v>1.8376802638323344</v>
      </c>
      <c r="K2016" s="13">
        <v>1.5</v>
      </c>
      <c r="L2016" s="13">
        <v>1.2</v>
      </c>
      <c r="M2016" s="13">
        <v>1.5</v>
      </c>
      <c r="N2016" s="13">
        <v>1.1000000000000001</v>
      </c>
      <c r="O2016" s="13">
        <v>2</v>
      </c>
      <c r="P2016" s="13">
        <v>1.2</v>
      </c>
      <c r="Q2016">
        <v>1.05</v>
      </c>
      <c r="R2016">
        <f t="shared" si="200"/>
        <v>0.47095746419981693</v>
      </c>
    </row>
    <row r="2017" spans="1:19" customFormat="1" hidden="1" x14ac:dyDescent="0.2">
      <c r="K2017" s="13"/>
      <c r="L2017" s="13"/>
      <c r="M2017" s="13"/>
      <c r="N2017" s="13"/>
      <c r="O2017" s="13"/>
      <c r="P2017" s="13"/>
    </row>
    <row r="2018" spans="1:19" customFormat="1" hidden="1" x14ac:dyDescent="0.2">
      <c r="A2018" s="2" t="s">
        <v>50</v>
      </c>
      <c r="B2018" s="2" t="s">
        <v>1124</v>
      </c>
      <c r="K2018" s="13"/>
      <c r="L2018" s="13"/>
      <c r="M2018" s="13"/>
      <c r="N2018" s="13"/>
      <c r="O2018" s="13"/>
      <c r="P2018" s="13"/>
    </row>
    <row r="2019" spans="1:19" customFormat="1" hidden="1" x14ac:dyDescent="0.2">
      <c r="A2019" t="s">
        <v>51</v>
      </c>
      <c r="B2019" t="s">
        <v>1069</v>
      </c>
      <c r="K2019" s="13"/>
      <c r="L2019" s="13"/>
      <c r="M2019" s="13"/>
      <c r="N2019" s="13"/>
      <c r="O2019" s="13"/>
      <c r="P2019" s="13"/>
    </row>
    <row r="2020" spans="1:19" customFormat="1" hidden="1" x14ac:dyDescent="0.2">
      <c r="A2020" t="s">
        <v>63</v>
      </c>
      <c r="B2020" t="s">
        <v>1070</v>
      </c>
      <c r="K2020" s="13"/>
      <c r="L2020" s="13"/>
      <c r="M2020" s="13"/>
      <c r="N2020" s="13"/>
      <c r="O2020" s="13"/>
      <c r="P2020" s="13"/>
    </row>
    <row r="2021" spans="1:19" customFormat="1" hidden="1" x14ac:dyDescent="0.2">
      <c r="A2021" t="s">
        <v>52</v>
      </c>
      <c r="B2021" t="s">
        <v>90</v>
      </c>
      <c r="K2021" s="13"/>
      <c r="L2021" s="13"/>
      <c r="M2021" s="13"/>
      <c r="N2021" s="13"/>
      <c r="O2021" s="13"/>
      <c r="P2021" s="13"/>
    </row>
    <row r="2022" spans="1:19" customFormat="1" hidden="1" x14ac:dyDescent="0.2">
      <c r="A2022" t="s">
        <v>53</v>
      </c>
      <c r="B2022">
        <v>1</v>
      </c>
      <c r="K2022" s="13"/>
      <c r="L2022" s="13"/>
      <c r="M2022" s="13"/>
      <c r="N2022" s="13"/>
      <c r="O2022" s="13"/>
      <c r="P2022" s="13"/>
    </row>
    <row r="2023" spans="1:19" customFormat="1" hidden="1" x14ac:dyDescent="0.2">
      <c r="A2023" t="s">
        <v>54</v>
      </c>
      <c r="B2023" s="11" t="s">
        <v>1101</v>
      </c>
      <c r="K2023" s="13"/>
      <c r="L2023" s="13"/>
      <c r="M2023" s="13"/>
      <c r="N2023" s="13"/>
      <c r="O2023" s="13"/>
      <c r="P2023" s="13"/>
    </row>
    <row r="2024" spans="1:19" customFormat="1" hidden="1" x14ac:dyDescent="0.2">
      <c r="A2024" t="s">
        <v>55</v>
      </c>
      <c r="B2024" t="s">
        <v>56</v>
      </c>
      <c r="K2024" s="13"/>
      <c r="L2024" s="13"/>
      <c r="M2024" s="13"/>
      <c r="N2024" s="13"/>
      <c r="O2024" s="13"/>
      <c r="P2024" s="13"/>
    </row>
    <row r="2025" spans="1:19" customFormat="1" hidden="1" x14ac:dyDescent="0.2">
      <c r="A2025" s="2" t="s">
        <v>57</v>
      </c>
      <c r="K2025" s="13"/>
      <c r="L2025" s="13"/>
      <c r="M2025" s="13"/>
      <c r="N2025" s="13"/>
      <c r="O2025" s="13"/>
      <c r="P2025" s="13"/>
    </row>
    <row r="2026" spans="1:19" customFormat="1" hidden="1" x14ac:dyDescent="0.2">
      <c r="A2026" s="2" t="s">
        <v>58</v>
      </c>
      <c r="B2026" s="2" t="s">
        <v>59</v>
      </c>
      <c r="C2026" s="2" t="s">
        <v>52</v>
      </c>
      <c r="D2026" s="2" t="s">
        <v>55</v>
      </c>
      <c r="E2026" s="2" t="s">
        <v>60</v>
      </c>
      <c r="F2026" s="2" t="s">
        <v>61</v>
      </c>
      <c r="G2026" s="2" t="s">
        <v>54</v>
      </c>
      <c r="H2026" s="18" t="s">
        <v>51</v>
      </c>
      <c r="I2026" s="18" t="s">
        <v>221</v>
      </c>
      <c r="J2026" s="2" t="s">
        <v>379</v>
      </c>
      <c r="K2026" s="62" t="s">
        <v>1059</v>
      </c>
      <c r="L2026" s="62" t="s">
        <v>1060</v>
      </c>
      <c r="M2026" s="62" t="s">
        <v>1061</v>
      </c>
      <c r="N2026" s="62" t="s">
        <v>1062</v>
      </c>
      <c r="O2026" s="62" t="s">
        <v>1063</v>
      </c>
      <c r="P2026" s="62" t="s">
        <v>1064</v>
      </c>
      <c r="Q2026" s="2" t="s">
        <v>1065</v>
      </c>
      <c r="R2026" s="2" t="s">
        <v>380</v>
      </c>
      <c r="S2026" s="18" t="s">
        <v>1128</v>
      </c>
    </row>
    <row r="2027" spans="1:19" customFormat="1" hidden="1" x14ac:dyDescent="0.2">
      <c r="A2027" t="s">
        <v>1124</v>
      </c>
      <c r="B2027">
        <v>1</v>
      </c>
      <c r="C2027" t="s">
        <v>90</v>
      </c>
      <c r="D2027" t="s">
        <v>56</v>
      </c>
      <c r="E2027" s="17"/>
      <c r="F2027" t="s">
        <v>62</v>
      </c>
      <c r="G2027" t="s">
        <v>1101</v>
      </c>
      <c r="H2027" s="17"/>
      <c r="I2027" s="17"/>
      <c r="K2027" s="13"/>
      <c r="L2027" s="13"/>
      <c r="M2027" s="13"/>
      <c r="N2027" s="13"/>
      <c r="O2027" s="13"/>
      <c r="P2027" s="13"/>
    </row>
    <row r="2028" spans="1:19" customFormat="1" hidden="1" x14ac:dyDescent="0.2">
      <c r="A2028" t="s">
        <v>91</v>
      </c>
      <c r="B2028" s="12">
        <v>8.0589999999999993</v>
      </c>
      <c r="C2028" t="s">
        <v>90</v>
      </c>
      <c r="D2028" t="s">
        <v>92</v>
      </c>
      <c r="E2028" s="17"/>
      <c r="F2028" t="s">
        <v>86</v>
      </c>
      <c r="G2028" t="s">
        <v>93</v>
      </c>
      <c r="H2028" s="17"/>
      <c r="I2028" s="17">
        <v>2</v>
      </c>
      <c r="J2028">
        <f t="shared" ref="J2028:J2032" si="201">LN(B2028)</f>
        <v>2.0867894793423742</v>
      </c>
      <c r="K2028" s="13">
        <v>1.5</v>
      </c>
      <c r="L2028" s="13">
        <v>1.2</v>
      </c>
      <c r="M2028" s="13">
        <v>1.5</v>
      </c>
      <c r="N2028" s="13">
        <v>1.1000000000000001</v>
      </c>
      <c r="O2028" s="13">
        <v>2</v>
      </c>
      <c r="P2028" s="13">
        <v>1.2</v>
      </c>
      <c r="Q2028">
        <v>1.05</v>
      </c>
      <c r="R2028">
        <f t="shared" ref="R2028:R2032" si="202">LN(SQRT(EXP(
SQRT(
+POWER(LN(K2028),2)
+POWER(LN(L2028),2)
+POWER(LN(M2028),2)
+POWER(LN(N2028),2)
+POWER(LN(O2028),2)
+POWER(LN(P2028),2)
+POWER(LN(Q2028),2)
)
)))</f>
        <v>0.47095746419981693</v>
      </c>
    </row>
    <row r="2029" spans="1:19" customFormat="1" hidden="1" x14ac:dyDescent="0.2">
      <c r="A2029" t="s">
        <v>583</v>
      </c>
      <c r="B2029" s="5">
        <v>7.5030000000000001E-3</v>
      </c>
      <c r="C2029" t="s">
        <v>85</v>
      </c>
      <c r="D2029" t="s">
        <v>56</v>
      </c>
      <c r="E2029" s="17"/>
      <c r="F2029" t="s">
        <v>86</v>
      </c>
      <c r="G2029" t="s">
        <v>246</v>
      </c>
      <c r="H2029" s="17"/>
      <c r="I2029" s="17">
        <v>2</v>
      </c>
      <c r="J2029">
        <f t="shared" si="201"/>
        <v>-4.8924523384185452</v>
      </c>
      <c r="K2029" s="13">
        <v>1.5</v>
      </c>
      <c r="L2029" s="13">
        <v>1.2</v>
      </c>
      <c r="M2029" s="13">
        <v>1.5</v>
      </c>
      <c r="N2029" s="13">
        <v>1.1000000000000001</v>
      </c>
      <c r="O2029" s="13">
        <v>2</v>
      </c>
      <c r="P2029" s="13">
        <v>1.2</v>
      </c>
      <c r="Q2029">
        <v>1.05</v>
      </c>
      <c r="R2029">
        <f t="shared" si="202"/>
        <v>0.47095746419981693</v>
      </c>
    </row>
    <row r="2030" spans="1:19" customFormat="1" hidden="1" x14ac:dyDescent="0.2">
      <c r="A2030" t="s">
        <v>1123</v>
      </c>
      <c r="B2030">
        <v>1.252</v>
      </c>
      <c r="C2030" t="s">
        <v>90</v>
      </c>
      <c r="D2030" t="s">
        <v>56</v>
      </c>
      <c r="E2030" s="17"/>
      <c r="F2030" t="s">
        <v>86</v>
      </c>
      <c r="G2030" t="s">
        <v>1100</v>
      </c>
      <c r="H2030" s="17"/>
      <c r="I2030" s="17">
        <v>2</v>
      </c>
      <c r="J2030">
        <f t="shared" si="201"/>
        <v>0.22474227267790678</v>
      </c>
      <c r="K2030" s="13">
        <v>1.5</v>
      </c>
      <c r="L2030" s="13">
        <v>1.2</v>
      </c>
      <c r="M2030" s="13">
        <v>1.5</v>
      </c>
      <c r="N2030" s="13">
        <v>1.1000000000000001</v>
      </c>
      <c r="O2030" s="13">
        <v>2</v>
      </c>
      <c r="P2030" s="13">
        <v>1.2</v>
      </c>
      <c r="Q2030">
        <v>1.05</v>
      </c>
      <c r="R2030">
        <f t="shared" si="202"/>
        <v>0.47095746419981693</v>
      </c>
    </row>
    <row r="2031" spans="1:19" customFormat="1" hidden="1" x14ac:dyDescent="0.2">
      <c r="A2031" t="s">
        <v>1082</v>
      </c>
      <c r="B2031" s="61">
        <v>2.3479999999999999</v>
      </c>
      <c r="C2031" t="s">
        <v>90</v>
      </c>
      <c r="D2031" t="s">
        <v>56</v>
      </c>
      <c r="E2031" s="17"/>
      <c r="F2031" t="s">
        <v>86</v>
      </c>
      <c r="G2031" t="s">
        <v>1083</v>
      </c>
      <c r="H2031" s="17"/>
      <c r="I2031" s="17">
        <v>2</v>
      </c>
      <c r="J2031">
        <f t="shared" si="201"/>
        <v>0.85356390196584997</v>
      </c>
      <c r="K2031" s="13">
        <v>1.5</v>
      </c>
      <c r="L2031" s="13">
        <v>1.2</v>
      </c>
      <c r="M2031" s="13">
        <v>1.5</v>
      </c>
      <c r="N2031" s="13">
        <v>1.1000000000000001</v>
      </c>
      <c r="O2031" s="13">
        <v>2</v>
      </c>
      <c r="P2031" s="13">
        <v>1.2</v>
      </c>
      <c r="Q2031">
        <v>1.05</v>
      </c>
      <c r="R2031">
        <f t="shared" si="202"/>
        <v>0.47095746419981693</v>
      </c>
    </row>
    <row r="2032" spans="1:19" customFormat="1" hidden="1" x14ac:dyDescent="0.2">
      <c r="A2032" t="s">
        <v>1121</v>
      </c>
      <c r="B2032">
        <v>2.9119999999999999</v>
      </c>
      <c r="C2032" t="s">
        <v>90</v>
      </c>
      <c r="D2032" t="s">
        <v>56</v>
      </c>
      <c r="E2032" s="17"/>
      <c r="F2032" t="s">
        <v>86</v>
      </c>
      <c r="G2032" t="s">
        <v>1121</v>
      </c>
      <c r="H2032" s="17"/>
      <c r="I2032" s="17">
        <v>2</v>
      </c>
      <c r="J2032">
        <f t="shared" si="201"/>
        <v>1.0688401303344395</v>
      </c>
      <c r="K2032" s="13">
        <v>1.5</v>
      </c>
      <c r="L2032" s="13">
        <v>1.2</v>
      </c>
      <c r="M2032" s="13">
        <v>1.5</v>
      </c>
      <c r="N2032" s="13">
        <v>1.1000000000000001</v>
      </c>
      <c r="O2032" s="13">
        <v>2</v>
      </c>
      <c r="P2032" s="13">
        <v>1.2</v>
      </c>
      <c r="Q2032">
        <v>1.05</v>
      </c>
      <c r="R2032">
        <f t="shared" si="202"/>
        <v>0.47095746419981693</v>
      </c>
    </row>
    <row r="2033" spans="1:19" customFormat="1" hidden="1" x14ac:dyDescent="0.2">
      <c r="K2033" s="13"/>
      <c r="L2033" s="13"/>
      <c r="M2033" s="13"/>
      <c r="N2033" s="13"/>
      <c r="O2033" s="13"/>
      <c r="P2033" s="13"/>
    </row>
    <row r="2034" spans="1:19" customFormat="1" hidden="1" x14ac:dyDescent="0.2">
      <c r="A2034" s="2" t="s">
        <v>50</v>
      </c>
      <c r="B2034" s="2" t="s">
        <v>1125</v>
      </c>
      <c r="K2034" s="13"/>
      <c r="L2034" s="13"/>
      <c r="M2034" s="13"/>
      <c r="N2034" s="13"/>
      <c r="O2034" s="13"/>
      <c r="P2034" s="13"/>
    </row>
    <row r="2035" spans="1:19" customFormat="1" hidden="1" x14ac:dyDescent="0.2">
      <c r="A2035" t="s">
        <v>51</v>
      </c>
      <c r="B2035" t="s">
        <v>1069</v>
      </c>
      <c r="K2035" s="13"/>
      <c r="L2035" s="13"/>
      <c r="M2035" s="13"/>
      <c r="N2035" s="13"/>
      <c r="O2035" s="13"/>
      <c r="P2035" s="13"/>
    </row>
    <row r="2036" spans="1:19" customFormat="1" hidden="1" x14ac:dyDescent="0.2">
      <c r="A2036" t="s">
        <v>63</v>
      </c>
      <c r="B2036" t="s">
        <v>1070</v>
      </c>
      <c r="K2036" s="13"/>
      <c r="L2036" s="13"/>
      <c r="M2036" s="13"/>
      <c r="N2036" s="13"/>
      <c r="O2036" s="13"/>
      <c r="P2036" s="13"/>
    </row>
    <row r="2037" spans="1:19" customFormat="1" hidden="1" x14ac:dyDescent="0.2">
      <c r="A2037" t="s">
        <v>52</v>
      </c>
      <c r="B2037" t="s">
        <v>90</v>
      </c>
      <c r="K2037" s="13"/>
      <c r="L2037" s="13"/>
      <c r="M2037" s="13"/>
      <c r="N2037" s="13"/>
      <c r="O2037" s="13"/>
      <c r="P2037" s="13"/>
    </row>
    <row r="2038" spans="1:19" customFormat="1" hidden="1" x14ac:dyDescent="0.2">
      <c r="A2038" t="s">
        <v>53</v>
      </c>
      <c r="B2038">
        <v>1</v>
      </c>
      <c r="K2038" s="13"/>
      <c r="L2038" s="13"/>
      <c r="M2038" s="13"/>
      <c r="N2038" s="13"/>
      <c r="O2038" s="13"/>
      <c r="P2038" s="13"/>
    </row>
    <row r="2039" spans="1:19" customFormat="1" hidden="1" x14ac:dyDescent="0.2">
      <c r="A2039" t="s">
        <v>54</v>
      </c>
      <c r="B2039" s="11" t="s">
        <v>1125</v>
      </c>
      <c r="K2039" s="13"/>
      <c r="L2039" s="13"/>
      <c r="M2039" s="13"/>
      <c r="N2039" s="13"/>
      <c r="O2039" s="13"/>
      <c r="P2039" s="13"/>
    </row>
    <row r="2040" spans="1:19" customFormat="1" hidden="1" x14ac:dyDescent="0.2">
      <c r="A2040" t="s">
        <v>55</v>
      </c>
      <c r="B2040" t="s">
        <v>56</v>
      </c>
      <c r="K2040" s="13"/>
      <c r="L2040" s="13"/>
      <c r="M2040" s="13"/>
      <c r="N2040" s="13"/>
      <c r="O2040" s="13"/>
      <c r="P2040" s="13"/>
    </row>
    <row r="2041" spans="1:19" customFormat="1" hidden="1" x14ac:dyDescent="0.2">
      <c r="A2041" s="2" t="s">
        <v>57</v>
      </c>
      <c r="K2041" s="13"/>
      <c r="L2041" s="13"/>
      <c r="M2041" s="13"/>
      <c r="N2041" s="13"/>
      <c r="O2041" s="13"/>
      <c r="P2041" s="13"/>
    </row>
    <row r="2042" spans="1:19" customFormat="1" hidden="1" x14ac:dyDescent="0.2">
      <c r="A2042" s="2" t="s">
        <v>58</v>
      </c>
      <c r="B2042" s="2" t="s">
        <v>59</v>
      </c>
      <c r="C2042" s="2" t="s">
        <v>52</v>
      </c>
      <c r="D2042" s="2" t="s">
        <v>55</v>
      </c>
      <c r="E2042" s="2" t="s">
        <v>60</v>
      </c>
      <c r="F2042" s="2" t="s">
        <v>61</v>
      </c>
      <c r="G2042" s="2" t="s">
        <v>54</v>
      </c>
      <c r="H2042" s="18" t="s">
        <v>51</v>
      </c>
      <c r="I2042" s="18" t="s">
        <v>221</v>
      </c>
      <c r="J2042" s="2" t="s">
        <v>379</v>
      </c>
      <c r="K2042" s="62" t="s">
        <v>1059</v>
      </c>
      <c r="L2042" s="62" t="s">
        <v>1060</v>
      </c>
      <c r="M2042" s="62" t="s">
        <v>1061</v>
      </c>
      <c r="N2042" s="62" t="s">
        <v>1062</v>
      </c>
      <c r="O2042" s="62" t="s">
        <v>1063</v>
      </c>
      <c r="P2042" s="62" t="s">
        <v>1064</v>
      </c>
      <c r="Q2042" s="2" t="s">
        <v>1065</v>
      </c>
      <c r="R2042" s="2" t="s">
        <v>380</v>
      </c>
      <c r="S2042" s="18" t="s">
        <v>1128</v>
      </c>
    </row>
    <row r="2043" spans="1:19" customFormat="1" hidden="1" x14ac:dyDescent="0.2">
      <c r="A2043" t="s">
        <v>1125</v>
      </c>
      <c r="B2043">
        <v>1</v>
      </c>
      <c r="C2043" t="s">
        <v>90</v>
      </c>
      <c r="D2043" t="s">
        <v>56</v>
      </c>
      <c r="E2043" s="17"/>
      <c r="F2043" t="s">
        <v>62</v>
      </c>
      <c r="G2043" t="s">
        <v>1125</v>
      </c>
      <c r="H2043" s="17"/>
      <c r="I2043" s="17"/>
      <c r="K2043" s="13"/>
      <c r="L2043" s="13"/>
      <c r="M2043" s="13"/>
      <c r="N2043" s="13"/>
      <c r="O2043" s="13"/>
      <c r="P2043" s="13"/>
    </row>
    <row r="2044" spans="1:19" customFormat="1" hidden="1" x14ac:dyDescent="0.2">
      <c r="A2044" t="s">
        <v>1102</v>
      </c>
      <c r="B2044" s="5">
        <v>2.0019900497512438E-2</v>
      </c>
      <c r="C2044" t="s">
        <v>90</v>
      </c>
      <c r="D2044" t="s">
        <v>56</v>
      </c>
      <c r="E2044" s="17"/>
      <c r="F2044" t="s">
        <v>86</v>
      </c>
      <c r="G2044" t="s">
        <v>1103</v>
      </c>
      <c r="H2044" s="17"/>
      <c r="I2044" s="17">
        <v>2</v>
      </c>
      <c r="J2044">
        <f t="shared" ref="J2044:J2050" si="203">LN(B2044)</f>
        <v>-3.9110284752616375</v>
      </c>
      <c r="K2044" s="13">
        <v>1.5</v>
      </c>
      <c r="L2044" s="13">
        <v>1.2</v>
      </c>
      <c r="M2044" s="13">
        <v>1.5</v>
      </c>
      <c r="N2044" s="13">
        <v>1.1000000000000001</v>
      </c>
      <c r="O2044" s="13">
        <v>2</v>
      </c>
      <c r="P2044" s="13">
        <v>1.2</v>
      </c>
      <c r="Q2044">
        <v>1.05</v>
      </c>
      <c r="R2044">
        <f t="shared" ref="R2044:R2050" si="204">LN(SQRT(EXP(
SQRT(
+POWER(LN(K2044),2)
+POWER(LN(L2044),2)
+POWER(LN(M2044),2)
+POWER(LN(N2044),2)
+POWER(LN(O2044),2)
+POWER(LN(P2044),2)
+POWER(LN(Q2044),2)
)
)))</f>
        <v>0.47095746419981693</v>
      </c>
    </row>
    <row r="2045" spans="1:19" customFormat="1" hidden="1" x14ac:dyDescent="0.2">
      <c r="A2045" t="s">
        <v>1078</v>
      </c>
      <c r="B2045" s="5">
        <v>2.9154228855721395E-3</v>
      </c>
      <c r="C2045" t="s">
        <v>90</v>
      </c>
      <c r="D2045" t="s">
        <v>120</v>
      </c>
      <c r="E2045" s="17"/>
      <c r="F2045" t="s">
        <v>86</v>
      </c>
      <c r="G2045" t="s">
        <v>1079</v>
      </c>
      <c r="H2045" s="17"/>
      <c r="I2045" s="17">
        <v>2</v>
      </c>
      <c r="J2045">
        <f t="shared" si="203"/>
        <v>-5.8377403974642004</v>
      </c>
      <c r="K2045" s="13">
        <v>1.5</v>
      </c>
      <c r="L2045" s="13">
        <v>1.2</v>
      </c>
      <c r="M2045" s="13">
        <v>1.5</v>
      </c>
      <c r="N2045" s="13">
        <v>1.1000000000000001</v>
      </c>
      <c r="O2045" s="13">
        <v>2</v>
      </c>
      <c r="P2045" s="13">
        <v>1.2</v>
      </c>
      <c r="Q2045">
        <v>1.05</v>
      </c>
      <c r="R2045">
        <f t="shared" si="204"/>
        <v>0.47095746419981693</v>
      </c>
    </row>
    <row r="2046" spans="1:19" customFormat="1" hidden="1" x14ac:dyDescent="0.2">
      <c r="A2046" t="s">
        <v>91</v>
      </c>
      <c r="B2046" s="12">
        <v>0.21064676616915426</v>
      </c>
      <c r="C2046" t="s">
        <v>90</v>
      </c>
      <c r="D2046" t="s">
        <v>92</v>
      </c>
      <c r="E2046" s="17"/>
      <c r="F2046" t="s">
        <v>86</v>
      </c>
      <c r="G2046" t="s">
        <v>93</v>
      </c>
      <c r="H2046" s="17"/>
      <c r="I2046" s="17">
        <v>2</v>
      </c>
      <c r="J2046">
        <f t="shared" si="203"/>
        <v>-1.5575726423523566</v>
      </c>
      <c r="K2046" s="13">
        <v>1.5</v>
      </c>
      <c r="L2046" s="13">
        <v>1.2</v>
      </c>
      <c r="M2046" s="13">
        <v>1.5</v>
      </c>
      <c r="N2046" s="13">
        <v>1.1000000000000001</v>
      </c>
      <c r="O2046" s="13">
        <v>2</v>
      </c>
      <c r="P2046" s="13">
        <v>1.2</v>
      </c>
      <c r="Q2046">
        <v>1.05</v>
      </c>
      <c r="R2046">
        <f t="shared" si="204"/>
        <v>0.47095746419981693</v>
      </c>
    </row>
    <row r="2047" spans="1:19" customFormat="1" hidden="1" x14ac:dyDescent="0.2">
      <c r="A2047" t="s">
        <v>583</v>
      </c>
      <c r="B2047" s="5">
        <v>1.78407960199005E-4</v>
      </c>
      <c r="C2047" t="s">
        <v>85</v>
      </c>
      <c r="D2047" t="s">
        <v>56</v>
      </c>
      <c r="E2047" s="17"/>
      <c r="F2047" t="s">
        <v>86</v>
      </c>
      <c r="G2047" t="s">
        <v>246</v>
      </c>
      <c r="H2047" s="17"/>
      <c r="I2047" s="17">
        <v>2</v>
      </c>
      <c r="J2047">
        <f t="shared" si="203"/>
        <v>-8.6314377188642251</v>
      </c>
      <c r="K2047" s="13">
        <v>1.5</v>
      </c>
      <c r="L2047" s="13">
        <v>1.2</v>
      </c>
      <c r="M2047" s="13">
        <v>1.5</v>
      </c>
      <c r="N2047" s="13">
        <v>1.1000000000000001</v>
      </c>
      <c r="O2047" s="13">
        <v>2</v>
      </c>
      <c r="P2047" s="13">
        <v>1.2</v>
      </c>
      <c r="Q2047">
        <v>1.05</v>
      </c>
      <c r="R2047">
        <f t="shared" si="204"/>
        <v>0.47095746419981693</v>
      </c>
    </row>
    <row r="2048" spans="1:19" customFormat="1" hidden="1" x14ac:dyDescent="0.2">
      <c r="A2048" t="s">
        <v>1124</v>
      </c>
      <c r="B2048">
        <v>0.97960199004975135</v>
      </c>
      <c r="C2048" t="s">
        <v>90</v>
      </c>
      <c r="D2048" t="s">
        <v>56</v>
      </c>
      <c r="E2048" s="17"/>
      <c r="F2048" t="s">
        <v>86</v>
      </c>
      <c r="G2048" t="s">
        <v>1101</v>
      </c>
      <c r="H2048" s="17"/>
      <c r="I2048" s="17">
        <v>2</v>
      </c>
      <c r="J2048">
        <f t="shared" si="203"/>
        <v>-2.0608922413995787E-2</v>
      </c>
      <c r="K2048" s="13">
        <v>1.5</v>
      </c>
      <c r="L2048" s="13">
        <v>1.2</v>
      </c>
      <c r="M2048" s="13">
        <v>1.5</v>
      </c>
      <c r="N2048" s="13">
        <v>1.1000000000000001</v>
      </c>
      <c r="O2048" s="13">
        <v>2</v>
      </c>
      <c r="P2048" s="13">
        <v>1.2</v>
      </c>
      <c r="Q2048">
        <v>1.05</v>
      </c>
      <c r="R2048">
        <f t="shared" si="204"/>
        <v>0.47095746419981693</v>
      </c>
    </row>
    <row r="2049" spans="1:19" customFormat="1" hidden="1" x14ac:dyDescent="0.2">
      <c r="A2049" t="s">
        <v>95</v>
      </c>
      <c r="B2049" s="5">
        <v>8.8159203980099515E-5</v>
      </c>
      <c r="C2049" t="s">
        <v>96</v>
      </c>
      <c r="D2049" t="s">
        <v>56</v>
      </c>
      <c r="E2049" s="17"/>
      <c r="F2049" t="s">
        <v>86</v>
      </c>
      <c r="G2049" t="s">
        <v>97</v>
      </c>
      <c r="H2049" s="17"/>
      <c r="I2049" s="17">
        <v>2</v>
      </c>
      <c r="J2049">
        <f t="shared" si="203"/>
        <v>-9.3363662418642779</v>
      </c>
      <c r="K2049" s="13">
        <v>1.5</v>
      </c>
      <c r="L2049" s="13">
        <v>1.2</v>
      </c>
      <c r="M2049" s="13">
        <v>1.5</v>
      </c>
      <c r="N2049" s="13">
        <v>1.1000000000000001</v>
      </c>
      <c r="O2049" s="13">
        <v>2</v>
      </c>
      <c r="P2049" s="13">
        <v>1.2</v>
      </c>
      <c r="Q2049">
        <v>1.05</v>
      </c>
      <c r="R2049">
        <f t="shared" si="204"/>
        <v>0.47095746419981693</v>
      </c>
    </row>
    <row r="2050" spans="1:19" customFormat="1" hidden="1" x14ac:dyDescent="0.2">
      <c r="A2050" t="s">
        <v>288</v>
      </c>
      <c r="B2050">
        <f>0.1763/1.005</f>
        <v>0.17542288557213934</v>
      </c>
      <c r="C2050" t="s">
        <v>96</v>
      </c>
      <c r="D2050" t="s">
        <v>56</v>
      </c>
      <c r="E2050" s="17"/>
      <c r="F2050" t="s">
        <v>86</v>
      </c>
      <c r="G2050" t="s">
        <v>287</v>
      </c>
      <c r="H2050" s="17"/>
      <c r="I2050" s="17">
        <v>2</v>
      </c>
      <c r="J2050">
        <f t="shared" si="203"/>
        <v>-1.7405557310893514</v>
      </c>
      <c r="K2050" s="13">
        <v>1.5</v>
      </c>
      <c r="L2050" s="13">
        <v>1.2</v>
      </c>
      <c r="M2050" s="13">
        <v>1.5</v>
      </c>
      <c r="N2050" s="13">
        <v>1.1000000000000001</v>
      </c>
      <c r="O2050" s="13">
        <v>2</v>
      </c>
      <c r="P2050" s="13">
        <v>1.2</v>
      </c>
      <c r="Q2050">
        <v>1.05</v>
      </c>
      <c r="R2050">
        <f t="shared" si="204"/>
        <v>0.47095746419981693</v>
      </c>
    </row>
    <row r="2051" spans="1:19" customFormat="1" hidden="1" x14ac:dyDescent="0.2">
      <c r="K2051" s="13"/>
      <c r="L2051" s="13"/>
      <c r="M2051" s="13"/>
      <c r="N2051" s="13"/>
      <c r="O2051" s="13"/>
      <c r="P2051" s="13"/>
    </row>
    <row r="2052" spans="1:19" customFormat="1" hidden="1" x14ac:dyDescent="0.2">
      <c r="A2052" s="2" t="s">
        <v>50</v>
      </c>
      <c r="B2052" s="2" t="s">
        <v>1126</v>
      </c>
      <c r="K2052" s="13"/>
      <c r="L2052" s="13"/>
      <c r="M2052" s="13"/>
      <c r="N2052" s="13"/>
      <c r="O2052" s="13"/>
      <c r="P2052" s="13"/>
    </row>
    <row r="2053" spans="1:19" customFormat="1" hidden="1" x14ac:dyDescent="0.2">
      <c r="A2053" t="s">
        <v>51</v>
      </c>
      <c r="B2053" t="s">
        <v>1069</v>
      </c>
      <c r="K2053" s="13"/>
      <c r="L2053" s="13"/>
      <c r="M2053" s="13"/>
      <c r="N2053" s="13"/>
      <c r="O2053" s="13"/>
      <c r="P2053" s="13"/>
    </row>
    <row r="2054" spans="1:19" customFormat="1" hidden="1" x14ac:dyDescent="0.2">
      <c r="A2054" t="s">
        <v>63</v>
      </c>
      <c r="B2054" t="s">
        <v>1070</v>
      </c>
      <c r="K2054" s="13"/>
      <c r="L2054" s="13"/>
      <c r="M2054" s="13"/>
      <c r="N2054" s="13"/>
      <c r="O2054" s="13"/>
      <c r="P2054" s="13"/>
    </row>
    <row r="2055" spans="1:19" customFormat="1" hidden="1" x14ac:dyDescent="0.2">
      <c r="A2055" t="s">
        <v>52</v>
      </c>
      <c r="B2055" t="s">
        <v>90</v>
      </c>
      <c r="K2055" s="13"/>
      <c r="L2055" s="13"/>
      <c r="M2055" s="13"/>
      <c r="N2055" s="13"/>
      <c r="O2055" s="13"/>
      <c r="P2055" s="13"/>
    </row>
    <row r="2056" spans="1:19" customFormat="1" hidden="1" x14ac:dyDescent="0.2">
      <c r="A2056" t="s">
        <v>53</v>
      </c>
      <c r="B2056">
        <v>1</v>
      </c>
      <c r="K2056" s="13"/>
      <c r="L2056" s="13"/>
      <c r="M2056" s="13"/>
      <c r="N2056" s="13"/>
      <c r="O2056" s="13"/>
      <c r="P2056" s="13"/>
    </row>
    <row r="2057" spans="1:19" customFormat="1" hidden="1" x14ac:dyDescent="0.2">
      <c r="A2057" t="s">
        <v>54</v>
      </c>
      <c r="B2057" s="11" t="s">
        <v>1104</v>
      </c>
      <c r="K2057" s="13"/>
      <c r="L2057" s="13"/>
      <c r="M2057" s="13"/>
      <c r="N2057" s="13"/>
      <c r="O2057" s="13"/>
      <c r="P2057" s="13"/>
    </row>
    <row r="2058" spans="1:19" customFormat="1" hidden="1" x14ac:dyDescent="0.2">
      <c r="A2058" t="s">
        <v>55</v>
      </c>
      <c r="B2058" t="s">
        <v>56</v>
      </c>
      <c r="K2058" s="13"/>
      <c r="L2058" s="13"/>
      <c r="M2058" s="13"/>
      <c r="N2058" s="13"/>
      <c r="O2058" s="13"/>
      <c r="P2058" s="13"/>
    </row>
    <row r="2059" spans="1:19" customFormat="1" hidden="1" x14ac:dyDescent="0.2">
      <c r="A2059" s="2" t="s">
        <v>57</v>
      </c>
      <c r="K2059" s="13"/>
      <c r="L2059" s="13"/>
      <c r="M2059" s="13"/>
      <c r="N2059" s="13"/>
      <c r="O2059" s="13"/>
      <c r="P2059" s="13"/>
    </row>
    <row r="2060" spans="1:19" customFormat="1" hidden="1" x14ac:dyDescent="0.2">
      <c r="A2060" s="2" t="s">
        <v>58</v>
      </c>
      <c r="B2060" s="2" t="s">
        <v>59</v>
      </c>
      <c r="C2060" s="2" t="s">
        <v>52</v>
      </c>
      <c r="D2060" s="2" t="s">
        <v>55</v>
      </c>
      <c r="E2060" s="2" t="s">
        <v>60</v>
      </c>
      <c r="F2060" s="2" t="s">
        <v>61</v>
      </c>
      <c r="G2060" s="2" t="s">
        <v>54</v>
      </c>
      <c r="H2060" s="18" t="s">
        <v>51</v>
      </c>
      <c r="I2060" s="18" t="s">
        <v>221</v>
      </c>
      <c r="J2060" s="2" t="s">
        <v>379</v>
      </c>
      <c r="K2060" s="62" t="s">
        <v>1059</v>
      </c>
      <c r="L2060" s="62" t="s">
        <v>1060</v>
      </c>
      <c r="M2060" s="62" t="s">
        <v>1061</v>
      </c>
      <c r="N2060" s="62" t="s">
        <v>1062</v>
      </c>
      <c r="O2060" s="62" t="s">
        <v>1063</v>
      </c>
      <c r="P2060" s="62" t="s">
        <v>1064</v>
      </c>
      <c r="Q2060" s="2" t="s">
        <v>1065</v>
      </c>
      <c r="R2060" s="2" t="s">
        <v>380</v>
      </c>
      <c r="S2060" s="18" t="s">
        <v>1128</v>
      </c>
    </row>
    <row r="2061" spans="1:19" customFormat="1" hidden="1" x14ac:dyDescent="0.2">
      <c r="A2061" t="s">
        <v>1126</v>
      </c>
      <c r="B2061">
        <v>1</v>
      </c>
      <c r="C2061" t="s">
        <v>90</v>
      </c>
      <c r="D2061" t="s">
        <v>56</v>
      </c>
      <c r="E2061" s="17"/>
      <c r="F2061" t="s">
        <v>62</v>
      </c>
      <c r="G2061" t="s">
        <v>1104</v>
      </c>
      <c r="H2061" s="17"/>
      <c r="I2061" s="17"/>
      <c r="K2061" s="13"/>
      <c r="L2061" s="13"/>
      <c r="M2061" s="13"/>
      <c r="N2061" s="13"/>
      <c r="O2061" s="13"/>
      <c r="P2061" s="13"/>
    </row>
    <row r="2062" spans="1:19" customFormat="1" hidden="1" x14ac:dyDescent="0.2">
      <c r="A2062" t="s">
        <v>1125</v>
      </c>
      <c r="B2062">
        <v>0.92032967032967017</v>
      </c>
      <c r="C2062" t="s">
        <v>90</v>
      </c>
      <c r="D2062" t="s">
        <v>56</v>
      </c>
      <c r="E2062" s="17"/>
      <c r="F2062" t="s">
        <v>86</v>
      </c>
      <c r="G2062" t="s">
        <v>1125</v>
      </c>
      <c r="H2062" s="17"/>
      <c r="I2062" s="17">
        <v>2</v>
      </c>
      <c r="J2062">
        <f t="shared" ref="J2062:J2065" si="205">LN(B2062)</f>
        <v>-8.3023335811674398E-2</v>
      </c>
      <c r="K2062" s="13">
        <v>1.5</v>
      </c>
      <c r="L2062" s="13">
        <v>1.2</v>
      </c>
      <c r="M2062" s="13">
        <v>1.5</v>
      </c>
      <c r="N2062" s="13">
        <v>1.1000000000000001</v>
      </c>
      <c r="O2062" s="13">
        <v>2</v>
      </c>
      <c r="P2062" s="13">
        <v>1.2</v>
      </c>
      <c r="Q2062">
        <v>1.05</v>
      </c>
      <c r="R2062">
        <f t="shared" ref="R2062:R2065" si="206">LN(SQRT(EXP(
SQRT(
+POWER(LN(K2062),2)
+POWER(LN(L2062),2)
+POWER(LN(M2062),2)
+POWER(LN(N2062),2)
+POWER(LN(O2062),2)
+POWER(LN(P2062),2)
+POWER(LN(Q2062),2)
)
)))</f>
        <v>0.47095746419981693</v>
      </c>
    </row>
    <row r="2063" spans="1:19" customFormat="1" hidden="1" x14ac:dyDescent="0.2">
      <c r="A2063" t="s">
        <v>1078</v>
      </c>
      <c r="B2063" s="5">
        <v>4.888278388278388E-3</v>
      </c>
      <c r="C2063" t="s">
        <v>90</v>
      </c>
      <c r="D2063" t="s">
        <v>120</v>
      </c>
      <c r="E2063" s="17"/>
      <c r="F2063" t="s">
        <v>86</v>
      </c>
      <c r="G2063" t="s">
        <v>1079</v>
      </c>
      <c r="H2063" s="17"/>
      <c r="I2063" s="17">
        <v>2</v>
      </c>
      <c r="J2063">
        <f t="shared" si="205"/>
        <v>-5.3209151053225181</v>
      </c>
      <c r="K2063" s="13">
        <v>1.5</v>
      </c>
      <c r="L2063" s="13">
        <v>1.2</v>
      </c>
      <c r="M2063" s="13">
        <v>1.5</v>
      </c>
      <c r="N2063" s="13">
        <v>1.1000000000000001</v>
      </c>
      <c r="O2063" s="13">
        <v>2</v>
      </c>
      <c r="P2063" s="13">
        <v>1.2</v>
      </c>
      <c r="Q2063">
        <v>1.05</v>
      </c>
      <c r="R2063">
        <f t="shared" si="206"/>
        <v>0.47095746419981693</v>
      </c>
    </row>
    <row r="2064" spans="1:19" customFormat="1" hidden="1" x14ac:dyDescent="0.2">
      <c r="A2064" t="s">
        <v>91</v>
      </c>
      <c r="B2064" s="12">
        <v>4.3681318681318679E-2</v>
      </c>
      <c r="C2064" t="s">
        <v>90</v>
      </c>
      <c r="D2064" t="s">
        <v>92</v>
      </c>
      <c r="E2064" s="17"/>
      <c r="F2064" t="s">
        <v>86</v>
      </c>
      <c r="G2064" t="s">
        <v>93</v>
      </c>
      <c r="H2064" s="17"/>
      <c r="I2064" s="17">
        <v>2</v>
      </c>
      <c r="J2064">
        <f t="shared" si="205"/>
        <v>-3.1308347584105549</v>
      </c>
      <c r="K2064" s="13">
        <v>1.5</v>
      </c>
      <c r="L2064" s="13">
        <v>1.2</v>
      </c>
      <c r="M2064" s="13">
        <v>1.5</v>
      </c>
      <c r="N2064" s="13">
        <v>1.1000000000000001</v>
      </c>
      <c r="O2064" s="13">
        <v>2</v>
      </c>
      <c r="P2064" s="13">
        <v>1.2</v>
      </c>
      <c r="Q2064">
        <v>1.05</v>
      </c>
      <c r="R2064">
        <f t="shared" si="206"/>
        <v>0.47095746419981693</v>
      </c>
    </row>
    <row r="2065" spans="1:19" customFormat="1" hidden="1" x14ac:dyDescent="0.2">
      <c r="A2065" t="s">
        <v>288</v>
      </c>
      <c r="B2065">
        <v>0.4495421245421245</v>
      </c>
      <c r="C2065" t="s">
        <v>96</v>
      </c>
      <c r="D2065" t="s">
        <v>56</v>
      </c>
      <c r="E2065" s="17"/>
      <c r="F2065" t="s">
        <v>86</v>
      </c>
      <c r="G2065" t="s">
        <v>287</v>
      </c>
      <c r="H2065" s="17"/>
      <c r="I2065" s="17">
        <v>2</v>
      </c>
      <c r="J2065">
        <f t="shared" si="205"/>
        <v>-0.79952571524084359</v>
      </c>
      <c r="K2065" s="13">
        <v>1.5</v>
      </c>
      <c r="L2065" s="13">
        <v>1.2</v>
      </c>
      <c r="M2065" s="13">
        <v>1.5</v>
      </c>
      <c r="N2065" s="13">
        <v>1.1000000000000001</v>
      </c>
      <c r="O2065" s="13">
        <v>2</v>
      </c>
      <c r="P2065" s="13">
        <v>1.2</v>
      </c>
      <c r="Q2065">
        <v>1.05</v>
      </c>
      <c r="R2065">
        <f t="shared" si="206"/>
        <v>0.47095746419981693</v>
      </c>
    </row>
    <row r="2066" spans="1:19" customFormat="1" hidden="1" x14ac:dyDescent="0.2">
      <c r="K2066" s="13"/>
      <c r="L2066" s="13"/>
      <c r="M2066" s="13"/>
      <c r="N2066" s="13"/>
      <c r="O2066" s="13"/>
      <c r="P2066" s="13"/>
    </row>
    <row r="2067" spans="1:19" customFormat="1" hidden="1" x14ac:dyDescent="0.2">
      <c r="A2067" s="2" t="s">
        <v>50</v>
      </c>
      <c r="B2067" s="2" t="s">
        <v>1115</v>
      </c>
      <c r="K2067" s="13"/>
      <c r="L2067" s="13"/>
      <c r="M2067" s="13"/>
      <c r="N2067" s="13"/>
      <c r="O2067" s="13"/>
      <c r="P2067" s="13"/>
    </row>
    <row r="2068" spans="1:19" customFormat="1" hidden="1" x14ac:dyDescent="0.2">
      <c r="A2068" t="s">
        <v>51</v>
      </c>
      <c r="B2068" t="s">
        <v>1069</v>
      </c>
      <c r="K2068" s="13"/>
      <c r="L2068" s="13"/>
      <c r="M2068" s="13"/>
      <c r="N2068" s="13"/>
      <c r="O2068" s="13"/>
      <c r="P2068" s="13"/>
    </row>
    <row r="2069" spans="1:19" customFormat="1" hidden="1" x14ac:dyDescent="0.2">
      <c r="A2069" t="s">
        <v>63</v>
      </c>
      <c r="B2069" t="s">
        <v>1070</v>
      </c>
      <c r="K2069" s="13"/>
      <c r="L2069" s="13"/>
      <c r="M2069" s="13"/>
      <c r="N2069" s="13"/>
      <c r="O2069" s="13"/>
      <c r="P2069" s="13"/>
    </row>
    <row r="2070" spans="1:19" customFormat="1" hidden="1" x14ac:dyDescent="0.2">
      <c r="A2070" t="s">
        <v>52</v>
      </c>
      <c r="B2070" t="s">
        <v>90</v>
      </c>
      <c r="K2070" s="13"/>
      <c r="L2070" s="13"/>
      <c r="M2070" s="13"/>
      <c r="N2070" s="13"/>
      <c r="O2070" s="13"/>
      <c r="P2070" s="13"/>
    </row>
    <row r="2071" spans="1:19" customFormat="1" hidden="1" x14ac:dyDescent="0.2">
      <c r="A2071" t="s">
        <v>53</v>
      </c>
      <c r="B2071">
        <v>1</v>
      </c>
      <c r="K2071" s="13"/>
      <c r="L2071" s="13"/>
      <c r="M2071" s="13"/>
      <c r="N2071" s="13"/>
      <c r="O2071" s="13"/>
      <c r="P2071" s="13"/>
    </row>
    <row r="2072" spans="1:19" customFormat="1" hidden="1" x14ac:dyDescent="0.2">
      <c r="A2072" t="s">
        <v>54</v>
      </c>
      <c r="B2072" s="11" t="s">
        <v>1105</v>
      </c>
      <c r="K2072" s="13"/>
      <c r="L2072" s="13"/>
      <c r="M2072" s="13"/>
      <c r="N2072" s="13"/>
      <c r="O2072" s="13"/>
      <c r="P2072" s="13"/>
    </row>
    <row r="2073" spans="1:19" customFormat="1" hidden="1" x14ac:dyDescent="0.2">
      <c r="A2073" t="s">
        <v>55</v>
      </c>
      <c r="B2073" t="s">
        <v>56</v>
      </c>
      <c r="K2073" s="13"/>
      <c r="L2073" s="13"/>
      <c r="M2073" s="13"/>
      <c r="N2073" s="13"/>
      <c r="O2073" s="13"/>
      <c r="P2073" s="13"/>
    </row>
    <row r="2074" spans="1:19" customFormat="1" hidden="1" x14ac:dyDescent="0.2">
      <c r="A2074" s="2" t="s">
        <v>57</v>
      </c>
      <c r="K2074" s="13"/>
      <c r="L2074" s="13"/>
      <c r="M2074" s="13"/>
      <c r="N2074" s="13"/>
      <c r="O2074" s="13"/>
      <c r="P2074" s="13"/>
    </row>
    <row r="2075" spans="1:19" customFormat="1" hidden="1" x14ac:dyDescent="0.2">
      <c r="A2075" s="2" t="s">
        <v>58</v>
      </c>
      <c r="B2075" s="2" t="s">
        <v>59</v>
      </c>
      <c r="C2075" s="2" t="s">
        <v>52</v>
      </c>
      <c r="D2075" s="2" t="s">
        <v>55</v>
      </c>
      <c r="E2075" s="2" t="s">
        <v>60</v>
      </c>
      <c r="F2075" s="2" t="s">
        <v>61</v>
      </c>
      <c r="G2075" s="2" t="s">
        <v>54</v>
      </c>
      <c r="H2075" s="18" t="s">
        <v>51</v>
      </c>
      <c r="I2075" s="18" t="s">
        <v>221</v>
      </c>
      <c r="J2075" s="2" t="s">
        <v>379</v>
      </c>
      <c r="K2075" s="62" t="s">
        <v>1059</v>
      </c>
      <c r="L2075" s="62" t="s">
        <v>1060</v>
      </c>
      <c r="M2075" s="62" t="s">
        <v>1061</v>
      </c>
      <c r="N2075" s="62" t="s">
        <v>1062</v>
      </c>
      <c r="O2075" s="62" t="s">
        <v>1063</v>
      </c>
      <c r="P2075" s="62" t="s">
        <v>1064</v>
      </c>
      <c r="Q2075" s="2" t="s">
        <v>1065</v>
      </c>
      <c r="R2075" s="2" t="s">
        <v>380</v>
      </c>
      <c r="S2075" s="18" t="s">
        <v>1128</v>
      </c>
    </row>
    <row r="2076" spans="1:19" customFormat="1" hidden="1" x14ac:dyDescent="0.2">
      <c r="A2076" t="s">
        <v>1115</v>
      </c>
      <c r="B2076">
        <v>1</v>
      </c>
      <c r="C2076" t="s">
        <v>90</v>
      </c>
      <c r="D2076" t="s">
        <v>56</v>
      </c>
      <c r="E2076" s="17"/>
      <c r="F2076" t="s">
        <v>62</v>
      </c>
      <c r="G2076" t="s">
        <v>1105</v>
      </c>
      <c r="H2076" s="17"/>
      <c r="I2076" s="17"/>
      <c r="K2076" s="13"/>
      <c r="L2076" s="13"/>
      <c r="M2076" s="13"/>
      <c r="N2076" s="13"/>
      <c r="O2076" s="13"/>
      <c r="P2076" s="13"/>
    </row>
    <row r="2077" spans="1:19" customFormat="1" hidden="1" x14ac:dyDescent="0.2">
      <c r="A2077" t="s">
        <v>1126</v>
      </c>
      <c r="B2077">
        <v>1.0758620689655174</v>
      </c>
      <c r="C2077" t="s">
        <v>90</v>
      </c>
      <c r="D2077" t="s">
        <v>56</v>
      </c>
      <c r="E2077" s="17"/>
      <c r="F2077" t="s">
        <v>86</v>
      </c>
      <c r="G2077" t="s">
        <v>1104</v>
      </c>
      <c r="H2077" s="17"/>
      <c r="I2077" s="17">
        <v>2</v>
      </c>
      <c r="J2077">
        <f t="shared" ref="J2077:J2079" si="207">LN(B2077)</f>
        <v>7.312226482896278E-2</v>
      </c>
      <c r="K2077" s="13">
        <v>1.5</v>
      </c>
      <c r="L2077" s="13">
        <v>1.2</v>
      </c>
      <c r="M2077" s="13">
        <v>1.5</v>
      </c>
      <c r="N2077" s="13">
        <v>1.1000000000000001</v>
      </c>
      <c r="O2077" s="13">
        <v>2</v>
      </c>
      <c r="P2077" s="13">
        <v>1.2</v>
      </c>
      <c r="Q2077">
        <v>1.05</v>
      </c>
      <c r="R2077">
        <f t="shared" ref="R2077:R2079" si="208">LN(SQRT(EXP(
SQRT(
+POWER(LN(K2077),2)
+POWER(LN(L2077),2)
+POWER(LN(M2077),2)
+POWER(LN(N2077),2)
+POWER(LN(O2077),2)
+POWER(LN(P2077),2)
+POWER(LN(Q2077),2)
)
)))</f>
        <v>0.47095746419981693</v>
      </c>
    </row>
    <row r="2078" spans="1:19" customFormat="1" hidden="1" x14ac:dyDescent="0.2">
      <c r="A2078" t="s">
        <v>91</v>
      </c>
      <c r="B2078" s="12">
        <v>0.14778325123152711</v>
      </c>
      <c r="C2078" t="s">
        <v>90</v>
      </c>
      <c r="D2078" t="s">
        <v>92</v>
      </c>
      <c r="E2078" s="17"/>
      <c r="F2078" t="s">
        <v>86</v>
      </c>
      <c r="G2078" t="s">
        <v>93</v>
      </c>
      <c r="H2078" s="17"/>
      <c r="I2078" s="17">
        <v>2</v>
      </c>
      <c r="J2078">
        <f t="shared" si="207"/>
        <v>-1.9120085973796319</v>
      </c>
      <c r="K2078" s="13">
        <v>1.5</v>
      </c>
      <c r="L2078" s="13">
        <v>1.2</v>
      </c>
      <c r="M2078" s="13">
        <v>1.5</v>
      </c>
      <c r="N2078" s="13">
        <v>1.1000000000000001</v>
      </c>
      <c r="O2078" s="13">
        <v>2</v>
      </c>
      <c r="P2078" s="13">
        <v>1.2</v>
      </c>
      <c r="Q2078">
        <v>1.05</v>
      </c>
      <c r="R2078">
        <f t="shared" si="208"/>
        <v>0.47095746419981693</v>
      </c>
    </row>
    <row r="2079" spans="1:19" customFormat="1" hidden="1" x14ac:dyDescent="0.2">
      <c r="A2079" t="s">
        <v>1084</v>
      </c>
      <c r="B2079" s="61">
        <v>8.8669950738916259E-2</v>
      </c>
      <c r="C2079" t="s">
        <v>90</v>
      </c>
      <c r="D2079" t="s">
        <v>56</v>
      </c>
      <c r="E2079" s="17"/>
      <c r="F2079" t="s">
        <v>86</v>
      </c>
      <c r="G2079" t="s">
        <v>1085</v>
      </c>
      <c r="H2079" s="17"/>
      <c r="I2079" s="17">
        <v>2</v>
      </c>
      <c r="J2079">
        <f t="shared" si="207"/>
        <v>-2.4228342211456226</v>
      </c>
      <c r="K2079" s="13">
        <v>1.5</v>
      </c>
      <c r="L2079" s="13">
        <v>1.2</v>
      </c>
      <c r="M2079" s="13">
        <v>1.5</v>
      </c>
      <c r="N2079" s="13">
        <v>1.1000000000000001</v>
      </c>
      <c r="O2079" s="13">
        <v>2</v>
      </c>
      <c r="P2079" s="13">
        <v>1.2</v>
      </c>
      <c r="Q2079">
        <v>1.05</v>
      </c>
      <c r="R2079">
        <f t="shared" si="208"/>
        <v>0.47095746419981693</v>
      </c>
    </row>
    <row r="2080" spans="1:19" customFormat="1" hidden="1" x14ac:dyDescent="0.2">
      <c r="K2080" s="13"/>
      <c r="L2080" s="13"/>
      <c r="M2080" s="13"/>
      <c r="N2080" s="13"/>
      <c r="O2080" s="13"/>
      <c r="P2080" s="13"/>
    </row>
    <row r="2081" spans="1:19" customFormat="1" hidden="1" x14ac:dyDescent="0.2">
      <c r="A2081" s="2" t="s">
        <v>50</v>
      </c>
      <c r="B2081" s="2" t="s">
        <v>1113</v>
      </c>
      <c r="K2081" s="13"/>
      <c r="L2081" s="13"/>
      <c r="M2081" s="13"/>
      <c r="N2081" s="13"/>
      <c r="O2081" s="13"/>
      <c r="P2081" s="13"/>
    </row>
    <row r="2082" spans="1:19" customFormat="1" hidden="1" x14ac:dyDescent="0.2">
      <c r="A2082" t="s">
        <v>51</v>
      </c>
      <c r="B2082" t="s">
        <v>1069</v>
      </c>
      <c r="K2082" s="13"/>
      <c r="L2082" s="13"/>
      <c r="M2082" s="13"/>
      <c r="N2082" s="13"/>
      <c r="O2082" s="13"/>
      <c r="P2082" s="13"/>
    </row>
    <row r="2083" spans="1:19" customFormat="1" hidden="1" x14ac:dyDescent="0.2">
      <c r="A2083" t="s">
        <v>63</v>
      </c>
      <c r="B2083" t="s">
        <v>1070</v>
      </c>
      <c r="K2083" s="13"/>
      <c r="L2083" s="13"/>
      <c r="M2083" s="13"/>
      <c r="N2083" s="13"/>
      <c r="O2083" s="13"/>
      <c r="P2083" s="13"/>
    </row>
    <row r="2084" spans="1:19" customFormat="1" hidden="1" x14ac:dyDescent="0.2">
      <c r="A2084" t="s">
        <v>52</v>
      </c>
      <c r="B2084" t="s">
        <v>90</v>
      </c>
      <c r="K2084" s="13"/>
      <c r="L2084" s="13"/>
      <c r="M2084" s="13"/>
      <c r="N2084" s="13"/>
      <c r="O2084" s="13"/>
      <c r="P2084" s="13"/>
    </row>
    <row r="2085" spans="1:19" customFormat="1" hidden="1" x14ac:dyDescent="0.2">
      <c r="A2085" t="s">
        <v>53</v>
      </c>
      <c r="B2085">
        <v>1</v>
      </c>
      <c r="K2085" s="13"/>
      <c r="L2085" s="13"/>
      <c r="M2085" s="13"/>
      <c r="N2085" s="13"/>
      <c r="O2085" s="13"/>
      <c r="P2085" s="13"/>
    </row>
    <row r="2086" spans="1:19" customFormat="1" hidden="1" x14ac:dyDescent="0.2">
      <c r="A2086" t="s">
        <v>54</v>
      </c>
      <c r="B2086" s="11" t="s">
        <v>1093</v>
      </c>
      <c r="K2086" s="13"/>
      <c r="L2086" s="13"/>
      <c r="M2086" s="13"/>
      <c r="N2086" s="13"/>
      <c r="O2086" s="13"/>
      <c r="P2086" s="13"/>
    </row>
    <row r="2087" spans="1:19" customFormat="1" hidden="1" x14ac:dyDescent="0.2">
      <c r="A2087" t="s">
        <v>55</v>
      </c>
      <c r="B2087" t="s">
        <v>56</v>
      </c>
      <c r="K2087" s="13"/>
      <c r="L2087" s="13"/>
      <c r="M2087" s="13"/>
      <c r="N2087" s="13"/>
      <c r="O2087" s="13"/>
      <c r="P2087" s="13"/>
    </row>
    <row r="2088" spans="1:19" customFormat="1" hidden="1" x14ac:dyDescent="0.2">
      <c r="A2088" s="2" t="s">
        <v>57</v>
      </c>
      <c r="K2088" s="13"/>
      <c r="L2088" s="13"/>
      <c r="M2088" s="13"/>
      <c r="N2088" s="13"/>
      <c r="O2088" s="13"/>
      <c r="P2088" s="13"/>
    </row>
    <row r="2089" spans="1:19" customFormat="1" hidden="1" x14ac:dyDescent="0.2">
      <c r="A2089" s="2" t="s">
        <v>58</v>
      </c>
      <c r="B2089" s="2" t="s">
        <v>59</v>
      </c>
      <c r="C2089" s="2" t="s">
        <v>52</v>
      </c>
      <c r="D2089" s="2" t="s">
        <v>55</v>
      </c>
      <c r="E2089" s="2" t="s">
        <v>60</v>
      </c>
      <c r="F2089" s="2" t="s">
        <v>61</v>
      </c>
      <c r="G2089" s="2" t="s">
        <v>54</v>
      </c>
      <c r="H2089" s="18" t="s">
        <v>51</v>
      </c>
      <c r="I2089" s="18" t="s">
        <v>221</v>
      </c>
      <c r="J2089" s="2" t="s">
        <v>379</v>
      </c>
      <c r="K2089" s="62" t="s">
        <v>1059</v>
      </c>
      <c r="L2089" s="62" t="s">
        <v>1060</v>
      </c>
      <c r="M2089" s="62" t="s">
        <v>1061</v>
      </c>
      <c r="N2089" s="62" t="s">
        <v>1062</v>
      </c>
      <c r="O2089" s="62" t="s">
        <v>1063</v>
      </c>
      <c r="P2089" s="62" t="s">
        <v>1064</v>
      </c>
      <c r="Q2089" s="2" t="s">
        <v>1065</v>
      </c>
      <c r="R2089" s="2" t="s">
        <v>380</v>
      </c>
      <c r="S2089" s="18" t="s">
        <v>1128</v>
      </c>
    </row>
    <row r="2090" spans="1:19" customFormat="1" hidden="1" x14ac:dyDescent="0.2">
      <c r="A2090" t="s">
        <v>1113</v>
      </c>
      <c r="B2090">
        <v>1</v>
      </c>
      <c r="C2090" t="s">
        <v>90</v>
      </c>
      <c r="D2090" t="s">
        <v>56</v>
      </c>
      <c r="E2090" s="17"/>
      <c r="F2090" t="s">
        <v>62</v>
      </c>
      <c r="G2090" t="s">
        <v>1093</v>
      </c>
      <c r="H2090" s="17"/>
      <c r="I2090" s="17"/>
      <c r="K2090" s="13"/>
      <c r="L2090" s="13"/>
      <c r="M2090" s="13"/>
      <c r="N2090" s="13"/>
      <c r="O2090" s="13"/>
      <c r="P2090" s="13"/>
    </row>
    <row r="2091" spans="1:19" customFormat="1" hidden="1" x14ac:dyDescent="0.2">
      <c r="A2091" t="s">
        <v>1115</v>
      </c>
      <c r="B2091">
        <v>0.98927875243664709</v>
      </c>
      <c r="C2091" t="s">
        <v>90</v>
      </c>
      <c r="D2091" t="s">
        <v>56</v>
      </c>
      <c r="E2091" s="17"/>
      <c r="F2091" t="s">
        <v>86</v>
      </c>
      <c r="G2091" t="s">
        <v>1105</v>
      </c>
      <c r="H2091" s="17"/>
      <c r="I2091" s="17">
        <v>2</v>
      </c>
      <c r="J2091">
        <f t="shared" ref="J2091:J2095" si="209">LN(B2091)</f>
        <v>-1.0779134254827221E-2</v>
      </c>
      <c r="K2091" s="13">
        <v>1.5</v>
      </c>
      <c r="L2091" s="13">
        <v>1.2</v>
      </c>
      <c r="M2091" s="13">
        <v>1.5</v>
      </c>
      <c r="N2091" s="13">
        <v>1.1000000000000001</v>
      </c>
      <c r="O2091" s="13">
        <v>2</v>
      </c>
      <c r="P2091" s="13">
        <v>1.2</v>
      </c>
      <c r="Q2091">
        <v>1.05</v>
      </c>
      <c r="R2091">
        <f t="shared" ref="R2091:R2095" si="210">LN(SQRT(EXP(
SQRT(
+POWER(LN(K2091),2)
+POWER(LN(L2091),2)
+POWER(LN(M2091),2)
+POWER(LN(N2091),2)
+POWER(LN(O2091),2)
+POWER(LN(P2091),2)
+POWER(LN(Q2091),2)
)
)))</f>
        <v>0.47095746419981693</v>
      </c>
    </row>
    <row r="2092" spans="1:19" customFormat="1" hidden="1" x14ac:dyDescent="0.2">
      <c r="A2092" t="s">
        <v>1078</v>
      </c>
      <c r="B2092" s="5">
        <v>1.9493177387914229E-3</v>
      </c>
      <c r="C2092" t="s">
        <v>90</v>
      </c>
      <c r="D2092" t="s">
        <v>120</v>
      </c>
      <c r="E2092" s="17"/>
      <c r="F2092" t="s">
        <v>86</v>
      </c>
      <c r="G2092" t="s">
        <v>1079</v>
      </c>
      <c r="H2092" s="17"/>
      <c r="I2092" s="17">
        <v>2</v>
      </c>
      <c r="J2092">
        <f t="shared" si="209"/>
        <v>-6.2402758451707694</v>
      </c>
      <c r="K2092" s="13">
        <v>1.5</v>
      </c>
      <c r="L2092" s="13">
        <v>1.2</v>
      </c>
      <c r="M2092" s="13">
        <v>1.5</v>
      </c>
      <c r="N2092" s="13">
        <v>1.1000000000000001</v>
      </c>
      <c r="O2092" s="13">
        <v>2</v>
      </c>
      <c r="P2092" s="13">
        <v>1.2</v>
      </c>
      <c r="Q2092">
        <v>1.05</v>
      </c>
      <c r="R2092">
        <f t="shared" si="210"/>
        <v>0.47095746419981693</v>
      </c>
    </row>
    <row r="2093" spans="1:19" customFormat="1" hidden="1" x14ac:dyDescent="0.2">
      <c r="A2093" t="s">
        <v>91</v>
      </c>
      <c r="B2093" s="12">
        <v>2.1695906432748536E-2</v>
      </c>
      <c r="C2093" t="s">
        <v>90</v>
      </c>
      <c r="D2093" t="s">
        <v>92</v>
      </c>
      <c r="E2093" s="17"/>
      <c r="F2093" t="s">
        <v>86</v>
      </c>
      <c r="G2093" t="s">
        <v>93</v>
      </c>
      <c r="H2093" s="17"/>
      <c r="I2093" s="17">
        <v>2</v>
      </c>
      <c r="J2093">
        <f t="shared" si="209"/>
        <v>-3.8306316798833162</v>
      </c>
      <c r="K2093" s="13">
        <v>1.5</v>
      </c>
      <c r="L2093" s="13">
        <v>1.2</v>
      </c>
      <c r="M2093" s="13">
        <v>1.5</v>
      </c>
      <c r="N2093" s="13">
        <v>1.1000000000000001</v>
      </c>
      <c r="O2093" s="13">
        <v>2</v>
      </c>
      <c r="P2093" s="13">
        <v>1.2</v>
      </c>
      <c r="Q2093">
        <v>1.05</v>
      </c>
      <c r="R2093">
        <f t="shared" si="210"/>
        <v>0.47095746419981693</v>
      </c>
    </row>
    <row r="2094" spans="1:19" customFormat="1" hidden="1" x14ac:dyDescent="0.2">
      <c r="A2094" t="s">
        <v>226</v>
      </c>
      <c r="B2094" s="5">
        <v>9.8927875243664705E-3</v>
      </c>
      <c r="C2094" t="s">
        <v>90</v>
      </c>
      <c r="D2094" t="s">
        <v>56</v>
      </c>
      <c r="E2094" s="17"/>
      <c r="F2094" t="s">
        <v>86</v>
      </c>
      <c r="G2094" t="s">
        <v>227</v>
      </c>
      <c r="H2094" s="17"/>
      <c r="I2094" s="17">
        <v>2</v>
      </c>
      <c r="J2094">
        <f t="shared" si="209"/>
        <v>-4.6159493202429189</v>
      </c>
      <c r="K2094" s="13">
        <v>1.5</v>
      </c>
      <c r="L2094" s="13">
        <v>1.2</v>
      </c>
      <c r="M2094" s="13">
        <v>1.5</v>
      </c>
      <c r="N2094" s="13">
        <v>1.1000000000000001</v>
      </c>
      <c r="O2094" s="13">
        <v>2</v>
      </c>
      <c r="P2094" s="13">
        <v>1.2</v>
      </c>
      <c r="Q2094">
        <v>1.05</v>
      </c>
      <c r="R2094">
        <f t="shared" si="210"/>
        <v>0.47095746419981693</v>
      </c>
    </row>
    <row r="2095" spans="1:19" customFormat="1" hidden="1" x14ac:dyDescent="0.2">
      <c r="A2095" t="s">
        <v>95</v>
      </c>
      <c r="B2095" s="5">
        <v>2.4415204678362572E-4</v>
      </c>
      <c r="C2095" t="s">
        <v>96</v>
      </c>
      <c r="D2095" t="s">
        <v>56</v>
      </c>
      <c r="E2095" s="17"/>
      <c r="F2095" t="s">
        <v>86</v>
      </c>
      <c r="G2095" t="s">
        <v>97</v>
      </c>
      <c r="H2095" s="17"/>
      <c r="I2095" s="17">
        <v>2</v>
      </c>
      <c r="J2095">
        <f t="shared" si="209"/>
        <v>-8.3177193841879316</v>
      </c>
      <c r="K2095" s="13">
        <v>1.5</v>
      </c>
      <c r="L2095" s="13">
        <v>1.2</v>
      </c>
      <c r="M2095" s="13">
        <v>1.5</v>
      </c>
      <c r="N2095" s="13">
        <v>1.1000000000000001</v>
      </c>
      <c r="O2095" s="13">
        <v>2</v>
      </c>
      <c r="P2095" s="13">
        <v>1.2</v>
      </c>
      <c r="Q2095">
        <v>1.05</v>
      </c>
      <c r="R2095">
        <f t="shared" si="210"/>
        <v>0.47095746419981693</v>
      </c>
    </row>
    <row r="2096" spans="1:19" customFormat="1" hidden="1" x14ac:dyDescent="0.2">
      <c r="K2096" s="13"/>
      <c r="L2096" s="13"/>
      <c r="M2096" s="13"/>
      <c r="N2096" s="13"/>
      <c r="O2096" s="13"/>
      <c r="P2096" s="13"/>
    </row>
    <row r="2097" spans="1:19" customFormat="1" hidden="1" x14ac:dyDescent="0.2">
      <c r="A2097" s="2" t="s">
        <v>50</v>
      </c>
      <c r="B2097" s="2" t="s">
        <v>1116</v>
      </c>
      <c r="K2097" s="13"/>
      <c r="L2097" s="13"/>
      <c r="M2097" s="13"/>
      <c r="N2097" s="13"/>
      <c r="O2097" s="13"/>
      <c r="P2097" s="13"/>
    </row>
    <row r="2098" spans="1:19" customFormat="1" hidden="1" x14ac:dyDescent="0.2">
      <c r="A2098" t="s">
        <v>51</v>
      </c>
      <c r="B2098" t="s">
        <v>1069</v>
      </c>
      <c r="K2098" s="13"/>
      <c r="L2098" s="13"/>
      <c r="M2098" s="13"/>
      <c r="N2098" s="13"/>
      <c r="O2098" s="13"/>
      <c r="P2098" s="13"/>
    </row>
    <row r="2099" spans="1:19" customFormat="1" hidden="1" x14ac:dyDescent="0.2">
      <c r="A2099" t="s">
        <v>63</v>
      </c>
      <c r="B2099" t="s">
        <v>1070</v>
      </c>
      <c r="K2099" s="13"/>
      <c r="L2099" s="13"/>
      <c r="M2099" s="13"/>
      <c r="N2099" s="13"/>
      <c r="O2099" s="13"/>
      <c r="P2099" s="13"/>
    </row>
    <row r="2100" spans="1:19" customFormat="1" hidden="1" x14ac:dyDescent="0.2">
      <c r="A2100" t="s">
        <v>52</v>
      </c>
      <c r="B2100" t="s">
        <v>90</v>
      </c>
      <c r="K2100" s="13"/>
      <c r="L2100" s="13"/>
      <c r="M2100" s="13"/>
      <c r="N2100" s="13"/>
      <c r="O2100" s="13"/>
      <c r="P2100" s="13"/>
    </row>
    <row r="2101" spans="1:19" customFormat="1" hidden="1" x14ac:dyDescent="0.2">
      <c r="A2101" t="s">
        <v>53</v>
      </c>
      <c r="B2101">
        <v>1</v>
      </c>
      <c r="K2101" s="13"/>
      <c r="L2101" s="13"/>
      <c r="M2101" s="13"/>
      <c r="N2101" s="13"/>
      <c r="O2101" s="13"/>
      <c r="P2101" s="13"/>
    </row>
    <row r="2102" spans="1:19" customFormat="1" hidden="1" x14ac:dyDescent="0.2">
      <c r="A2102" t="s">
        <v>54</v>
      </c>
      <c r="B2102" s="11" t="s">
        <v>1106</v>
      </c>
      <c r="K2102" s="13"/>
      <c r="L2102" s="13"/>
      <c r="M2102" s="13"/>
      <c r="N2102" s="13"/>
      <c r="O2102" s="13"/>
      <c r="P2102" s="13"/>
    </row>
    <row r="2103" spans="1:19" customFormat="1" hidden="1" x14ac:dyDescent="0.2">
      <c r="A2103" t="s">
        <v>55</v>
      </c>
      <c r="B2103" t="s">
        <v>56</v>
      </c>
      <c r="K2103" s="13"/>
      <c r="L2103" s="13"/>
      <c r="M2103" s="13"/>
      <c r="N2103" s="13"/>
      <c r="O2103" s="13"/>
      <c r="P2103" s="13"/>
    </row>
    <row r="2104" spans="1:19" customFormat="1" hidden="1" x14ac:dyDescent="0.2">
      <c r="A2104" s="2" t="s">
        <v>57</v>
      </c>
      <c r="K2104" s="13"/>
      <c r="L2104" s="13"/>
      <c r="M2104" s="13"/>
      <c r="N2104" s="13"/>
      <c r="O2104" s="13"/>
      <c r="P2104" s="13"/>
    </row>
    <row r="2105" spans="1:19" customFormat="1" hidden="1" x14ac:dyDescent="0.2">
      <c r="A2105" s="2" t="s">
        <v>58</v>
      </c>
      <c r="B2105" s="2" t="s">
        <v>59</v>
      </c>
      <c r="C2105" s="2" t="s">
        <v>52</v>
      </c>
      <c r="D2105" s="2" t="s">
        <v>55</v>
      </c>
      <c r="E2105" s="2" t="s">
        <v>60</v>
      </c>
      <c r="F2105" s="2" t="s">
        <v>61</v>
      </c>
      <c r="G2105" s="2" t="s">
        <v>54</v>
      </c>
      <c r="H2105" s="18" t="s">
        <v>51</v>
      </c>
      <c r="I2105" s="18" t="s">
        <v>221</v>
      </c>
      <c r="J2105" s="2" t="s">
        <v>379</v>
      </c>
      <c r="K2105" s="62" t="s">
        <v>1059</v>
      </c>
      <c r="L2105" s="62" t="s">
        <v>1060</v>
      </c>
      <c r="M2105" s="62" t="s">
        <v>1061</v>
      </c>
      <c r="N2105" s="62" t="s">
        <v>1062</v>
      </c>
      <c r="O2105" s="62" t="s">
        <v>1063</v>
      </c>
      <c r="P2105" s="62" t="s">
        <v>1064</v>
      </c>
      <c r="Q2105" s="2" t="s">
        <v>1065</v>
      </c>
      <c r="R2105" s="2" t="s">
        <v>380</v>
      </c>
      <c r="S2105" s="18" t="s">
        <v>1128</v>
      </c>
    </row>
    <row r="2106" spans="1:19" customFormat="1" hidden="1" x14ac:dyDescent="0.2">
      <c r="A2106" t="s">
        <v>1116</v>
      </c>
      <c r="B2106">
        <v>1</v>
      </c>
      <c r="C2106" t="s">
        <v>90</v>
      </c>
      <c r="D2106" t="s">
        <v>56</v>
      </c>
      <c r="E2106" s="17"/>
      <c r="F2106" t="s">
        <v>62</v>
      </c>
      <c r="G2106" t="s">
        <v>1106</v>
      </c>
      <c r="H2106" s="17"/>
      <c r="I2106" s="17"/>
      <c r="K2106" s="13"/>
      <c r="L2106" s="13"/>
      <c r="M2106" s="13"/>
      <c r="N2106" s="13"/>
      <c r="O2106" s="13"/>
      <c r="P2106" s="13"/>
    </row>
    <row r="2107" spans="1:19" customFormat="1" hidden="1" x14ac:dyDescent="0.2">
      <c r="A2107" t="s">
        <v>1113</v>
      </c>
      <c r="B2107">
        <v>1.026</v>
      </c>
      <c r="C2107" t="s">
        <v>90</v>
      </c>
      <c r="D2107" t="s">
        <v>56</v>
      </c>
      <c r="E2107" s="17"/>
      <c r="F2107" t="s">
        <v>86</v>
      </c>
      <c r="G2107" t="s">
        <v>1093</v>
      </c>
      <c r="H2107" s="17"/>
      <c r="I2107" s="17">
        <v>2</v>
      </c>
      <c r="J2107">
        <f t="shared" ref="J2107:J2110" si="211">LN(B2107)</f>
        <v>2.5667746748577813E-2</v>
      </c>
      <c r="K2107" s="13">
        <v>1.5</v>
      </c>
      <c r="L2107" s="13">
        <v>1.2</v>
      </c>
      <c r="M2107" s="13">
        <v>1.5</v>
      </c>
      <c r="N2107" s="13">
        <v>1.1000000000000001</v>
      </c>
      <c r="O2107" s="13">
        <v>2</v>
      </c>
      <c r="P2107" s="13">
        <v>1.2</v>
      </c>
      <c r="Q2107">
        <v>1.05</v>
      </c>
      <c r="R2107">
        <f t="shared" ref="R2107:R2110" si="212">LN(SQRT(EXP(
SQRT(
+POWER(LN(K2107),2)
+POWER(LN(L2107),2)
+POWER(LN(M2107),2)
+POWER(LN(N2107),2)
+POWER(LN(O2107),2)
+POWER(LN(P2107),2)
+POWER(LN(Q2107),2)
)
)))</f>
        <v>0.47095746419981693</v>
      </c>
    </row>
    <row r="2108" spans="1:19" customFormat="1" hidden="1" x14ac:dyDescent="0.2">
      <c r="A2108" t="s">
        <v>1078</v>
      </c>
      <c r="B2108" s="5">
        <v>7.7999999999999999E-4</v>
      </c>
      <c r="C2108" t="s">
        <v>90</v>
      </c>
      <c r="D2108" t="s">
        <v>120</v>
      </c>
      <c r="E2108" s="17"/>
      <c r="F2108" t="s">
        <v>86</v>
      </c>
      <c r="G2108" t="s">
        <v>1079</v>
      </c>
      <c r="H2108" s="17"/>
      <c r="I2108" s="17">
        <v>2</v>
      </c>
      <c r="J2108">
        <f t="shared" si="211"/>
        <v>-7.1562166382806369</v>
      </c>
      <c r="K2108" s="13">
        <v>1.5</v>
      </c>
      <c r="L2108" s="13">
        <v>1.2</v>
      </c>
      <c r="M2108" s="13">
        <v>1.5</v>
      </c>
      <c r="N2108" s="13">
        <v>1.1000000000000001</v>
      </c>
      <c r="O2108" s="13">
        <v>2</v>
      </c>
      <c r="P2108" s="13">
        <v>1.2</v>
      </c>
      <c r="Q2108">
        <v>1.05</v>
      </c>
      <c r="R2108">
        <f t="shared" si="212"/>
        <v>0.47095746419981693</v>
      </c>
    </row>
    <row r="2109" spans="1:19" customFormat="1" hidden="1" x14ac:dyDescent="0.2">
      <c r="A2109" t="s">
        <v>91</v>
      </c>
      <c r="B2109" s="12">
        <v>0.45340000000000003</v>
      </c>
      <c r="C2109" t="s">
        <v>90</v>
      </c>
      <c r="D2109" t="s">
        <v>92</v>
      </c>
      <c r="E2109" s="17"/>
      <c r="F2109" t="s">
        <v>86</v>
      </c>
      <c r="G2109" t="s">
        <v>93</v>
      </c>
      <c r="H2109" s="17"/>
      <c r="I2109" s="17">
        <v>2</v>
      </c>
      <c r="J2109">
        <f t="shared" si="211"/>
        <v>-0.7909805409087084</v>
      </c>
      <c r="K2109" s="13">
        <v>1.5</v>
      </c>
      <c r="L2109" s="13">
        <v>1.2</v>
      </c>
      <c r="M2109" s="13">
        <v>1.5</v>
      </c>
      <c r="N2109" s="13">
        <v>1.1000000000000001</v>
      </c>
      <c r="O2109" s="13">
        <v>2</v>
      </c>
      <c r="P2109" s="13">
        <v>1.2</v>
      </c>
      <c r="Q2109">
        <v>1.05</v>
      </c>
      <c r="R2109">
        <f t="shared" si="212"/>
        <v>0.47095746419981693</v>
      </c>
    </row>
    <row r="2110" spans="1:19" customFormat="1" hidden="1" x14ac:dyDescent="0.2">
      <c r="A2110" t="s">
        <v>1084</v>
      </c>
      <c r="B2110" s="61">
        <v>3.0620000000000001E-2</v>
      </c>
      <c r="C2110" t="s">
        <v>90</v>
      </c>
      <c r="D2110" t="s">
        <v>56</v>
      </c>
      <c r="E2110" s="17"/>
      <c r="F2110" t="s">
        <v>86</v>
      </c>
      <c r="G2110" t="s">
        <v>1085</v>
      </c>
      <c r="H2110" s="17"/>
      <c r="I2110" s="17">
        <v>2</v>
      </c>
      <c r="J2110">
        <f t="shared" si="211"/>
        <v>-3.4861018887525992</v>
      </c>
      <c r="K2110" s="13">
        <v>1.5</v>
      </c>
      <c r="L2110" s="13">
        <v>1.2</v>
      </c>
      <c r="M2110" s="13">
        <v>1.5</v>
      </c>
      <c r="N2110" s="13">
        <v>1.1000000000000001</v>
      </c>
      <c r="O2110" s="13">
        <v>2</v>
      </c>
      <c r="P2110" s="13">
        <v>1.2</v>
      </c>
      <c r="Q2110">
        <v>1.05</v>
      </c>
      <c r="R2110">
        <f t="shared" si="212"/>
        <v>0.47095746419981693</v>
      </c>
    </row>
    <row r="2111" spans="1:19" customFormat="1" hidden="1" x14ac:dyDescent="0.2">
      <c r="K2111" s="13"/>
      <c r="L2111" s="13"/>
      <c r="M2111" s="13"/>
      <c r="N2111" s="13"/>
      <c r="O2111" s="13"/>
      <c r="P2111" s="13"/>
    </row>
    <row r="2112" spans="1:19" customFormat="1" hidden="1" x14ac:dyDescent="0.2">
      <c r="A2112" s="2" t="s">
        <v>50</v>
      </c>
      <c r="B2112" s="2" t="s">
        <v>1127</v>
      </c>
      <c r="K2112" s="13"/>
      <c r="L2112" s="13"/>
      <c r="M2112" s="13"/>
      <c r="N2112" s="13"/>
      <c r="O2112" s="13"/>
      <c r="P2112" s="13"/>
    </row>
    <row r="2113" spans="1:19" customFormat="1" hidden="1" x14ac:dyDescent="0.2">
      <c r="A2113" t="s">
        <v>51</v>
      </c>
      <c r="B2113" t="s">
        <v>1069</v>
      </c>
      <c r="K2113" s="13"/>
      <c r="L2113" s="13"/>
      <c r="M2113" s="13"/>
      <c r="N2113" s="13"/>
      <c r="O2113" s="13"/>
      <c r="P2113" s="13"/>
    </row>
    <row r="2114" spans="1:19" customFormat="1" hidden="1" x14ac:dyDescent="0.2">
      <c r="A2114" t="s">
        <v>63</v>
      </c>
      <c r="B2114" t="s">
        <v>1070</v>
      </c>
      <c r="K2114" s="13"/>
      <c r="L2114" s="13"/>
      <c r="M2114" s="13"/>
      <c r="N2114" s="13"/>
      <c r="O2114" s="13"/>
      <c r="P2114" s="13"/>
    </row>
    <row r="2115" spans="1:19" customFormat="1" hidden="1" x14ac:dyDescent="0.2">
      <c r="A2115" t="s">
        <v>52</v>
      </c>
      <c r="B2115" t="s">
        <v>90</v>
      </c>
      <c r="K2115" s="13"/>
      <c r="L2115" s="13"/>
      <c r="M2115" s="13"/>
      <c r="N2115" s="13"/>
      <c r="O2115" s="13"/>
      <c r="P2115" s="13"/>
    </row>
    <row r="2116" spans="1:19" customFormat="1" hidden="1" x14ac:dyDescent="0.2">
      <c r="A2116" t="s">
        <v>53</v>
      </c>
      <c r="B2116">
        <v>1</v>
      </c>
      <c r="K2116" s="13"/>
      <c r="L2116" s="13"/>
      <c r="M2116" s="13"/>
      <c r="N2116" s="13"/>
      <c r="O2116" s="13"/>
      <c r="P2116" s="13"/>
    </row>
    <row r="2117" spans="1:19" customFormat="1" hidden="1" x14ac:dyDescent="0.2">
      <c r="A2117" t="s">
        <v>54</v>
      </c>
      <c r="B2117" s="11" t="s">
        <v>225</v>
      </c>
      <c r="K2117" s="13"/>
      <c r="L2117" s="13"/>
      <c r="M2117" s="13"/>
      <c r="N2117" s="13"/>
      <c r="O2117" s="13"/>
      <c r="P2117" s="13"/>
    </row>
    <row r="2118" spans="1:19" customFormat="1" hidden="1" x14ac:dyDescent="0.2">
      <c r="A2118" t="s">
        <v>55</v>
      </c>
      <c r="B2118" t="s">
        <v>56</v>
      </c>
      <c r="K2118" s="13"/>
      <c r="L2118" s="13"/>
      <c r="M2118" s="13"/>
      <c r="N2118" s="13"/>
      <c r="O2118" s="13"/>
      <c r="P2118" s="13"/>
    </row>
    <row r="2119" spans="1:19" customFormat="1" hidden="1" x14ac:dyDescent="0.2">
      <c r="A2119" s="2" t="s">
        <v>57</v>
      </c>
      <c r="K2119" s="13"/>
      <c r="L2119" s="13"/>
      <c r="M2119" s="13"/>
      <c r="N2119" s="13"/>
      <c r="O2119" s="13"/>
      <c r="P2119" s="13"/>
    </row>
    <row r="2120" spans="1:19" customFormat="1" hidden="1" x14ac:dyDescent="0.2">
      <c r="A2120" s="2" t="s">
        <v>58</v>
      </c>
      <c r="B2120" s="2" t="s">
        <v>59</v>
      </c>
      <c r="C2120" s="2" t="s">
        <v>52</v>
      </c>
      <c r="D2120" s="2" t="s">
        <v>55</v>
      </c>
      <c r="E2120" s="2" t="s">
        <v>60</v>
      </c>
      <c r="F2120" s="2" t="s">
        <v>61</v>
      </c>
      <c r="G2120" s="2" t="s">
        <v>54</v>
      </c>
      <c r="H2120" s="18" t="s">
        <v>51</v>
      </c>
      <c r="I2120" s="18" t="s">
        <v>221</v>
      </c>
      <c r="J2120" s="2" t="s">
        <v>379</v>
      </c>
      <c r="K2120" s="62" t="s">
        <v>1059</v>
      </c>
      <c r="L2120" s="62" t="s">
        <v>1060</v>
      </c>
      <c r="M2120" s="62" t="s">
        <v>1061</v>
      </c>
      <c r="N2120" s="62" t="s">
        <v>1062</v>
      </c>
      <c r="O2120" s="62" t="s">
        <v>1063</v>
      </c>
      <c r="P2120" s="62" t="s">
        <v>1064</v>
      </c>
      <c r="Q2120" s="2" t="s">
        <v>1065</v>
      </c>
      <c r="R2120" s="2" t="s">
        <v>380</v>
      </c>
      <c r="S2120" s="18" t="s">
        <v>1128</v>
      </c>
    </row>
    <row r="2121" spans="1:19" customFormat="1" hidden="1" x14ac:dyDescent="0.2">
      <c r="A2121" t="s">
        <v>1127</v>
      </c>
      <c r="B2121">
        <v>1</v>
      </c>
      <c r="C2121" t="s">
        <v>90</v>
      </c>
      <c r="D2121" t="s">
        <v>56</v>
      </c>
      <c r="E2121" s="17"/>
      <c r="F2121" t="s">
        <v>62</v>
      </c>
      <c r="G2121" t="s">
        <v>225</v>
      </c>
      <c r="H2121" s="17"/>
      <c r="I2121" s="17"/>
      <c r="K2121" s="13"/>
      <c r="L2121" s="13"/>
      <c r="M2121" s="13"/>
      <c r="N2121" s="13"/>
      <c r="O2121" s="13"/>
      <c r="P2121" s="13"/>
    </row>
    <row r="2122" spans="1:19" customFormat="1" hidden="1" x14ac:dyDescent="0.2">
      <c r="A2122" t="s">
        <v>1116</v>
      </c>
      <c r="B2122">
        <v>1</v>
      </c>
      <c r="C2122" t="s">
        <v>90</v>
      </c>
      <c r="D2122" t="s">
        <v>56</v>
      </c>
      <c r="E2122" s="17"/>
      <c r="F2122" t="s">
        <v>86</v>
      </c>
      <c r="G2122" t="s">
        <v>1106</v>
      </c>
      <c r="H2122" s="17"/>
      <c r="I2122" s="17">
        <v>2</v>
      </c>
      <c r="J2122">
        <f t="shared" ref="J2122:J2124" si="213">LN(B2122)</f>
        <v>0</v>
      </c>
      <c r="K2122" s="13">
        <v>1.5</v>
      </c>
      <c r="L2122" s="13">
        <v>1.2</v>
      </c>
      <c r="M2122" s="13">
        <v>1.5</v>
      </c>
      <c r="N2122" s="13">
        <v>1.1000000000000001</v>
      </c>
      <c r="O2122" s="13">
        <v>2</v>
      </c>
      <c r="P2122" s="13">
        <v>1.2</v>
      </c>
      <c r="Q2122">
        <v>1.05</v>
      </c>
      <c r="R2122">
        <f t="shared" ref="R2122:R2124" si="214">LN(SQRT(EXP(
SQRT(
+POWER(LN(K2122),2)
+POWER(LN(L2122),2)
+POWER(LN(M2122),2)
+POWER(LN(N2122),2)
+POWER(LN(O2122),2)
+POWER(LN(P2122),2)
+POWER(LN(Q2122),2)
)
)))</f>
        <v>0.47095746419981693</v>
      </c>
    </row>
    <row r="2123" spans="1:19" customFormat="1" hidden="1" x14ac:dyDescent="0.2">
      <c r="A2123" t="s">
        <v>1078</v>
      </c>
      <c r="B2123" s="5">
        <v>5.8500000000000003E-2</v>
      </c>
      <c r="C2123" t="s">
        <v>90</v>
      </c>
      <c r="D2123" t="s">
        <v>120</v>
      </c>
      <c r="E2123" s="17"/>
      <c r="F2123" t="s">
        <v>86</v>
      </c>
      <c r="G2123" t="s">
        <v>1079</v>
      </c>
      <c r="H2123" s="17"/>
      <c r="I2123" s="17">
        <v>2</v>
      </c>
      <c r="J2123">
        <f t="shared" si="213"/>
        <v>-2.8387285247443264</v>
      </c>
      <c r="K2123" s="13">
        <v>1.5</v>
      </c>
      <c r="L2123" s="13">
        <v>1.2</v>
      </c>
      <c r="M2123" s="13">
        <v>1.5</v>
      </c>
      <c r="N2123" s="13">
        <v>1.1000000000000001</v>
      </c>
      <c r="O2123" s="13">
        <v>2</v>
      </c>
      <c r="P2123" s="13">
        <v>1.2</v>
      </c>
      <c r="Q2123">
        <v>1.05</v>
      </c>
      <c r="R2123">
        <f t="shared" si="214"/>
        <v>0.47095746419981693</v>
      </c>
    </row>
    <row r="2124" spans="1:19" customFormat="1" hidden="1" x14ac:dyDescent="0.2">
      <c r="A2124" t="s">
        <v>91</v>
      </c>
      <c r="B2124" s="12">
        <v>0.52</v>
      </c>
      <c r="C2124" t="s">
        <v>90</v>
      </c>
      <c r="D2124" t="s">
        <v>92</v>
      </c>
      <c r="E2124" s="17"/>
      <c r="F2124" t="s">
        <v>86</v>
      </c>
      <c r="G2124" t="s">
        <v>93</v>
      </c>
      <c r="H2124" s="17"/>
      <c r="I2124" s="17">
        <v>2</v>
      </c>
      <c r="J2124">
        <f t="shared" si="213"/>
        <v>-0.65392646740666394</v>
      </c>
      <c r="K2124" s="13">
        <v>1.5</v>
      </c>
      <c r="L2124" s="13">
        <v>1.2</v>
      </c>
      <c r="M2124" s="13">
        <v>1.5</v>
      </c>
      <c r="N2124" s="13">
        <v>1.1000000000000001</v>
      </c>
      <c r="O2124" s="13">
        <v>2</v>
      </c>
      <c r="P2124" s="13">
        <v>1.2</v>
      </c>
      <c r="Q2124">
        <v>1.05</v>
      </c>
      <c r="R2124">
        <f t="shared" si="214"/>
        <v>0.47095746419981693</v>
      </c>
    </row>
    <row r="2125" spans="1:19" customFormat="1" hidden="1" x14ac:dyDescent="0.2">
      <c r="K2125" s="13"/>
      <c r="L2125" s="13"/>
      <c r="M2125" s="13"/>
      <c r="N2125" s="13"/>
      <c r="O2125" s="13"/>
      <c r="P2125" s="13"/>
    </row>
  </sheetData>
  <autoFilter ref="A1:T2125" xr:uid="{ED0B5434-8218-EB42-848E-513354C35D51}">
    <filterColumn colId="0">
      <filters>
        <filter val="production of nickle-based catalyst for methanation"/>
      </filters>
    </filterColumn>
  </autoFilter>
  <hyperlinks>
    <hyperlink ref="B1208" r:id="rId1" xr:uid="{6E26527F-D381-E548-A0F3-9ECCC5AD302E}"/>
    <hyperlink ref="B1191" r:id="rId2" xr:uid="{2A3E2EC5-5858-AD43-AFB3-63D684C20E16}"/>
    <hyperlink ref="B1174" r:id="rId3" xr:uid="{25F52A3A-6CCF-0D48-9973-E95202FAC61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70D4-2E5C-B840-BD73-05A65A252E57}">
  <dimension ref="A1:AC99"/>
  <sheetViews>
    <sheetView workbookViewId="0">
      <selection activeCell="A39" sqref="A39"/>
    </sheetView>
  </sheetViews>
  <sheetFormatPr baseColWidth="10" defaultRowHeight="16" x14ac:dyDescent="0.2"/>
  <cols>
    <col min="1" max="1" width="57.83203125" customWidth="1"/>
    <col min="2" max="2" width="18.5" bestFit="1" customWidth="1"/>
    <col min="3" max="3" width="17.1640625" bestFit="1" customWidth="1"/>
    <col min="4" max="4" width="30.5" bestFit="1" customWidth="1"/>
    <col min="5" max="6" width="30.5" customWidth="1"/>
    <col min="9" max="9" width="17.6640625" bestFit="1" customWidth="1"/>
    <col min="10" max="10" width="23.83203125" bestFit="1" customWidth="1"/>
    <col min="11" max="11" width="20.5" bestFit="1" customWidth="1"/>
    <col min="12" max="12" width="29.33203125" bestFit="1" customWidth="1"/>
    <col min="13" max="13" width="38.83203125" bestFit="1" customWidth="1"/>
    <col min="14" max="14" width="11.6640625" bestFit="1" customWidth="1"/>
    <col min="15" max="15" width="14.1640625" bestFit="1" customWidth="1"/>
    <col min="21" max="21" width="19.1640625" bestFit="1" customWidth="1"/>
    <col min="22" max="22" width="16" bestFit="1" customWidth="1"/>
    <col min="23" max="23" width="17.6640625" bestFit="1" customWidth="1"/>
    <col min="24" max="24" width="19.33203125" bestFit="1" customWidth="1"/>
    <col min="25" max="25" width="16.33203125" bestFit="1" customWidth="1"/>
    <col min="26" max="26" width="18" bestFit="1" customWidth="1"/>
    <col min="27" max="27" width="17.83203125" bestFit="1" customWidth="1"/>
    <col min="28" max="28" width="17.6640625" customWidth="1"/>
    <col min="29" max="29" width="24" bestFit="1" customWidth="1"/>
  </cols>
  <sheetData>
    <row r="1" spans="1:29" x14ac:dyDescent="0.2">
      <c r="A1" t="s">
        <v>42</v>
      </c>
    </row>
    <row r="3" spans="1:29" x14ac:dyDescent="0.2">
      <c r="A3" t="s">
        <v>48</v>
      </c>
      <c r="B3" t="s">
        <v>5</v>
      </c>
      <c r="C3" t="s">
        <v>6</v>
      </c>
      <c r="D3" t="s">
        <v>632</v>
      </c>
      <c r="E3" t="s">
        <v>633</v>
      </c>
      <c r="F3" t="s">
        <v>133</v>
      </c>
      <c r="G3" t="s">
        <v>40</v>
      </c>
      <c r="H3" t="s">
        <v>1004</v>
      </c>
      <c r="I3" t="s">
        <v>41</v>
      </c>
      <c r="J3" t="s">
        <v>45</v>
      </c>
      <c r="K3" t="s">
        <v>46</v>
      </c>
      <c r="L3" t="s">
        <v>43</v>
      </c>
      <c r="M3" t="s">
        <v>44</v>
      </c>
      <c r="N3" t="s">
        <v>47</v>
      </c>
      <c r="O3" t="s">
        <v>547</v>
      </c>
      <c r="P3" t="s">
        <v>548</v>
      </c>
      <c r="Q3" t="s">
        <v>629</v>
      </c>
      <c r="R3" t="s">
        <v>631</v>
      </c>
      <c r="S3" t="s">
        <v>634</v>
      </c>
      <c r="T3" t="s">
        <v>630</v>
      </c>
      <c r="U3" t="s">
        <v>1043</v>
      </c>
      <c r="V3" t="s">
        <v>622</v>
      </c>
      <c r="W3" t="s">
        <v>623</v>
      </c>
      <c r="X3" t="s">
        <v>624</v>
      </c>
      <c r="Y3" t="s">
        <v>625</v>
      </c>
      <c r="Z3" t="s">
        <v>1041</v>
      </c>
      <c r="AA3" t="s">
        <v>1042</v>
      </c>
      <c r="AB3" t="s">
        <v>1050</v>
      </c>
      <c r="AC3" t="s">
        <v>1049</v>
      </c>
    </row>
    <row r="4" spans="1:29" x14ac:dyDescent="0.2">
      <c r="A4" t="str">
        <f>B4&amp;C4</f>
        <v>HydrogenBoiler</v>
      </c>
      <c r="B4" t="s">
        <v>7</v>
      </c>
      <c r="C4" t="s">
        <v>36</v>
      </c>
      <c r="D4" s="1">
        <v>0.94</v>
      </c>
      <c r="E4" s="1"/>
      <c r="F4" s="7" t="s">
        <v>1218</v>
      </c>
      <c r="G4">
        <v>120</v>
      </c>
      <c r="H4" s="13">
        <f>G4/3.6</f>
        <v>33.333333333333336</v>
      </c>
      <c r="I4" s="12">
        <f>96/1000/3.6</f>
        <v>2.6666666666666665E-2</v>
      </c>
      <c r="J4" s="9"/>
      <c r="K4" s="10">
        <v>1.4999999999999999E-2</v>
      </c>
      <c r="N4" s="1">
        <v>0.06</v>
      </c>
      <c r="O4">
        <v>20</v>
      </c>
      <c r="P4">
        <v>15</v>
      </c>
      <c r="R4" s="1">
        <f t="shared" ref="R4:R15" si="0">SUM(D4:E4)</f>
        <v>0.94</v>
      </c>
      <c r="S4" s="15">
        <f>IF((P4+Q4)/R4&gt;P4,(P4+Q4)/R4,P4)</f>
        <v>15.957446808510639</v>
      </c>
      <c r="T4">
        <v>2100</v>
      </c>
      <c r="U4" s="59">
        <f>P4*T4</f>
        <v>31500</v>
      </c>
      <c r="Z4">
        <v>6</v>
      </c>
      <c r="AA4" s="16">
        <f>((T4*S4)/R4)/H4</f>
        <v>1069.4884563150747</v>
      </c>
      <c r="AB4" s="16">
        <f>AA4/Z4/4</f>
        <v>44.562019013128115</v>
      </c>
      <c r="AC4" s="16">
        <f>AB4/10</f>
        <v>4.4562019013128111</v>
      </c>
    </row>
    <row r="5" spans="1:29" x14ac:dyDescent="0.2">
      <c r="A5" t="str">
        <f t="shared" ref="A5:A13" si="1">B5&amp;C5</f>
        <v>HydrogenCHP</v>
      </c>
      <c r="B5" t="s">
        <v>7</v>
      </c>
      <c r="C5" t="s">
        <v>8</v>
      </c>
      <c r="D5" s="1">
        <v>0.41699999999999998</v>
      </c>
      <c r="E5" s="1">
        <v>0.39400000000000002</v>
      </c>
      <c r="F5" s="1" t="s">
        <v>1219</v>
      </c>
      <c r="G5">
        <v>120</v>
      </c>
      <c r="H5" s="13">
        <f t="shared" ref="H5:H15" si="2">G5/3.6</f>
        <v>33.333333333333336</v>
      </c>
      <c r="I5" s="12">
        <f t="shared" ref="I5:I15" si="3">96/1000/3.6</f>
        <v>2.6666666666666665E-2</v>
      </c>
      <c r="J5" s="9"/>
      <c r="K5" s="10">
        <v>1.4999999999999999E-2</v>
      </c>
      <c r="N5" s="1">
        <v>0.06</v>
      </c>
      <c r="O5" s="16">
        <f>80000/T5</f>
        <v>19.512195121951219</v>
      </c>
      <c r="P5">
        <v>125</v>
      </c>
      <c r="Q5">
        <v>160</v>
      </c>
      <c r="R5" s="1">
        <f t="shared" si="0"/>
        <v>0.81099999999999994</v>
      </c>
      <c r="S5" s="15">
        <f t="shared" ref="S5:S15" si="4">(P5+Q5)/R5</f>
        <v>351.41800246609125</v>
      </c>
      <c r="T5">
        <v>4100</v>
      </c>
      <c r="U5" s="59">
        <f t="shared" ref="U5:U15" si="5">P5*T5</f>
        <v>512500</v>
      </c>
      <c r="V5">
        <f>75+273.15</f>
        <v>348.15</v>
      </c>
      <c r="W5">
        <f>60+273.15</f>
        <v>333.15</v>
      </c>
      <c r="X5">
        <f>20+273.15</f>
        <v>293.14999999999998</v>
      </c>
      <c r="Y5" s="12">
        <f>(((V5+W5)/2)-X5)/((V5+W5)/2)</f>
        <v>0.13943930720681053</v>
      </c>
      <c r="Z5">
        <v>6</v>
      </c>
      <c r="AA5" s="16">
        <f t="shared" ref="AA5:AA7" si="6">((T5*S5)/R5)/H5</f>
        <v>53297.674849974384</v>
      </c>
      <c r="AB5" s="16">
        <f>AA5/Z5/4</f>
        <v>2220.7364520822662</v>
      </c>
      <c r="AC5" s="16">
        <f>AB5/10</f>
        <v>222.07364520822662</v>
      </c>
    </row>
    <row r="6" spans="1:29" x14ac:dyDescent="0.2">
      <c r="A6" t="str">
        <f t="shared" si="1"/>
        <v>HydrogenFuel cell, PEM</v>
      </c>
      <c r="B6" t="s">
        <v>7</v>
      </c>
      <c r="C6" t="s">
        <v>10</v>
      </c>
      <c r="D6" s="1">
        <v>0.5</v>
      </c>
      <c r="E6" s="1">
        <v>0.45</v>
      </c>
      <c r="F6" s="14" t="s">
        <v>1028</v>
      </c>
      <c r="G6">
        <v>120</v>
      </c>
      <c r="H6" s="13">
        <f t="shared" si="2"/>
        <v>33.333333333333336</v>
      </c>
      <c r="I6" s="12">
        <f t="shared" si="3"/>
        <v>2.6666666666666665E-2</v>
      </c>
      <c r="J6" s="9"/>
      <c r="K6" s="10">
        <v>1.4999999999999999E-2</v>
      </c>
      <c r="N6" s="1">
        <v>0.06</v>
      </c>
      <c r="O6" s="16">
        <f>20000/T6</f>
        <v>4.8780487804878048</v>
      </c>
      <c r="P6">
        <f>(0.4/0.5)*Q6</f>
        <v>0.8</v>
      </c>
      <c r="Q6">
        <v>1</v>
      </c>
      <c r="R6" s="1">
        <f t="shared" si="0"/>
        <v>0.95</v>
      </c>
      <c r="S6" s="15">
        <f t="shared" si="4"/>
        <v>1.8947368421052633</v>
      </c>
      <c r="T6">
        <v>4100</v>
      </c>
      <c r="U6" s="59">
        <f t="shared" si="5"/>
        <v>3280</v>
      </c>
      <c r="V6">
        <f>80+273.15</f>
        <v>353.15</v>
      </c>
      <c r="W6">
        <f>60+273.15</f>
        <v>333.15</v>
      </c>
      <c r="X6">
        <f>20+273.15</f>
        <v>293.14999999999998</v>
      </c>
      <c r="Y6" s="12">
        <f>(((V6+W6)/2)-X6)/((V6+W6)/2)</f>
        <v>0.14570887367040652</v>
      </c>
      <c r="Z6">
        <v>6</v>
      </c>
      <c r="AA6" s="16">
        <f t="shared" si="6"/>
        <v>245.31855955678671</v>
      </c>
      <c r="AB6" s="16">
        <f>AA6/Z6/4</f>
        <v>10.221606648199446</v>
      </c>
      <c r="AC6" s="16">
        <f>AB6/10</f>
        <v>1.0221606648199446</v>
      </c>
    </row>
    <row r="7" spans="1:29" x14ac:dyDescent="0.2">
      <c r="A7" t="str">
        <f t="shared" si="1"/>
        <v>HydrogenFuel cell, SOFC</v>
      </c>
      <c r="B7" t="s">
        <v>7</v>
      </c>
      <c r="C7" t="s">
        <v>11</v>
      </c>
      <c r="D7" s="1">
        <f>1-E7</f>
        <v>0.53</v>
      </c>
      <c r="E7" s="1">
        <v>0.47</v>
      </c>
      <c r="F7" s="1" t="s">
        <v>122</v>
      </c>
      <c r="G7">
        <v>120</v>
      </c>
      <c r="H7" s="13">
        <f t="shared" si="2"/>
        <v>33.333333333333336</v>
      </c>
      <c r="I7" s="12">
        <f t="shared" si="3"/>
        <v>2.6666666666666665E-2</v>
      </c>
      <c r="J7" s="9"/>
      <c r="K7" s="10">
        <v>1.4999999999999999E-2</v>
      </c>
      <c r="N7" s="1">
        <v>0.06</v>
      </c>
      <c r="O7" s="16">
        <v>6</v>
      </c>
      <c r="P7">
        <v>100</v>
      </c>
      <c r="Q7">
        <v>125</v>
      </c>
      <c r="R7" s="1">
        <f t="shared" si="0"/>
        <v>1</v>
      </c>
      <c r="S7" s="15">
        <f t="shared" si="4"/>
        <v>225</v>
      </c>
      <c r="T7">
        <v>4100</v>
      </c>
      <c r="U7" s="59">
        <f t="shared" si="5"/>
        <v>410000</v>
      </c>
      <c r="V7">
        <f>75+273.15</f>
        <v>348.15</v>
      </c>
      <c r="W7">
        <f>60+273.15</f>
        <v>333.15</v>
      </c>
      <c r="X7">
        <f>20+273.15</f>
        <v>293.14999999999998</v>
      </c>
      <c r="Y7" s="12">
        <f>(((V7+W7)/2)-X7)/((V7+W7)/2)</f>
        <v>0.13943930720681053</v>
      </c>
      <c r="Z7">
        <v>6</v>
      </c>
      <c r="AA7" s="16">
        <f t="shared" si="6"/>
        <v>27674.999999999996</v>
      </c>
      <c r="AB7" s="16">
        <f>AA7/Z7/4</f>
        <v>1153.1249999999998</v>
      </c>
      <c r="AC7" s="16">
        <f>AB7/10</f>
        <v>115.31249999999997</v>
      </c>
    </row>
    <row r="8" spans="1:29" x14ac:dyDescent="0.2">
      <c r="A8" t="str">
        <f t="shared" si="1"/>
        <v>synthetic natural gas from biological methanationBoiler</v>
      </c>
      <c r="B8" t="s">
        <v>857</v>
      </c>
      <c r="C8" t="s">
        <v>36</v>
      </c>
      <c r="D8" s="1">
        <f>1/0.9</f>
        <v>1.1111111111111112</v>
      </c>
      <c r="E8" s="1"/>
      <c r="F8" s="1" t="s">
        <v>122</v>
      </c>
      <c r="G8">
        <v>47.5</v>
      </c>
      <c r="H8" s="13">
        <f t="shared" si="2"/>
        <v>13.194444444444445</v>
      </c>
      <c r="I8" s="12">
        <f t="shared" si="3"/>
        <v>2.6666666666666665E-2</v>
      </c>
      <c r="J8" s="68">
        <v>1.9000000000000001E-4</v>
      </c>
      <c r="K8" s="10">
        <v>0</v>
      </c>
      <c r="N8" s="1">
        <v>0.06</v>
      </c>
      <c r="O8">
        <v>20</v>
      </c>
      <c r="P8">
        <v>15</v>
      </c>
      <c r="R8" s="1">
        <f t="shared" si="0"/>
        <v>1.1111111111111112</v>
      </c>
      <c r="S8" s="15">
        <f t="shared" si="4"/>
        <v>13.5</v>
      </c>
      <c r="T8">
        <v>2100</v>
      </c>
      <c r="U8" s="59">
        <f t="shared" si="5"/>
        <v>31500</v>
      </c>
    </row>
    <row r="9" spans="1:29" x14ac:dyDescent="0.2">
      <c r="A9" t="str">
        <f t="shared" ref="A9" si="7">B9&amp;C9</f>
        <v>synthetic natural gas from catalytic methanationBoiler</v>
      </c>
      <c r="B9" t="s">
        <v>856</v>
      </c>
      <c r="C9" t="s">
        <v>36</v>
      </c>
      <c r="D9" s="1">
        <f>1/0.9</f>
        <v>1.1111111111111112</v>
      </c>
      <c r="E9" s="1"/>
      <c r="F9" s="1" t="s">
        <v>122</v>
      </c>
      <c r="G9">
        <v>47.5</v>
      </c>
      <c r="H9" s="13">
        <f t="shared" si="2"/>
        <v>13.194444444444445</v>
      </c>
      <c r="I9" s="12">
        <f t="shared" si="3"/>
        <v>2.6666666666666665E-2</v>
      </c>
      <c r="J9" s="68">
        <v>1.9000000000000001E-4</v>
      </c>
      <c r="K9" s="10">
        <v>0</v>
      </c>
      <c r="N9" s="1">
        <v>0.06</v>
      </c>
      <c r="O9">
        <v>20</v>
      </c>
      <c r="P9">
        <v>15</v>
      </c>
      <c r="R9" s="1">
        <f t="shared" ref="R9" si="8">SUM(D9:E9)</f>
        <v>1.1111111111111112</v>
      </c>
      <c r="S9" s="15">
        <f t="shared" ref="S9" si="9">(P9+Q9)/R9</f>
        <v>13.5</v>
      </c>
      <c r="T9">
        <v>2100</v>
      </c>
      <c r="U9" s="59">
        <f t="shared" si="5"/>
        <v>31500</v>
      </c>
    </row>
    <row r="10" spans="1:29" x14ac:dyDescent="0.2">
      <c r="A10" t="str">
        <f t="shared" si="1"/>
        <v>MethanolBoiler</v>
      </c>
      <c r="B10" t="s">
        <v>35</v>
      </c>
      <c r="C10" t="s">
        <v>36</v>
      </c>
      <c r="D10" s="1">
        <v>0.9</v>
      </c>
      <c r="E10" s="1"/>
      <c r="F10" s="14" t="s">
        <v>494</v>
      </c>
      <c r="G10">
        <v>19.899999999999999</v>
      </c>
      <c r="H10" s="13">
        <f t="shared" si="2"/>
        <v>5.5277777777777777</v>
      </c>
      <c r="I10" s="12">
        <f t="shared" si="3"/>
        <v>2.6666666666666665E-2</v>
      </c>
      <c r="N10" s="1">
        <v>0.06</v>
      </c>
      <c r="O10">
        <v>20</v>
      </c>
      <c r="P10">
        <v>10</v>
      </c>
      <c r="R10" s="1">
        <f t="shared" si="0"/>
        <v>0.9</v>
      </c>
      <c r="S10" s="15">
        <f t="shared" si="4"/>
        <v>11.111111111111111</v>
      </c>
      <c r="T10">
        <f>2100*(P8/P10)</f>
        <v>3150</v>
      </c>
      <c r="U10" s="59">
        <f t="shared" si="5"/>
        <v>31500</v>
      </c>
    </row>
    <row r="11" spans="1:29" x14ac:dyDescent="0.2">
      <c r="A11" t="str">
        <f t="shared" si="1"/>
        <v>MethanolCHP</v>
      </c>
      <c r="B11" t="s">
        <v>35</v>
      </c>
      <c r="C11" t="s">
        <v>8</v>
      </c>
      <c r="D11" s="1">
        <v>0.6</v>
      </c>
      <c r="E11" s="1">
        <v>0.3</v>
      </c>
      <c r="F11" s="1" t="s">
        <v>510</v>
      </c>
      <c r="G11">
        <v>19.899999999999999</v>
      </c>
      <c r="H11" s="13">
        <f t="shared" si="2"/>
        <v>5.5277777777777777</v>
      </c>
      <c r="I11" s="12">
        <f t="shared" si="3"/>
        <v>2.6666666666666665E-2</v>
      </c>
      <c r="N11" s="1">
        <v>0.06</v>
      </c>
      <c r="O11" s="16">
        <f>80000/T11</f>
        <v>19.512195121951219</v>
      </c>
      <c r="P11">
        <v>150</v>
      </c>
      <c r="Q11">
        <v>200</v>
      </c>
      <c r="R11" s="1">
        <f t="shared" si="0"/>
        <v>0.89999999999999991</v>
      </c>
      <c r="S11" s="15">
        <f t="shared" si="4"/>
        <v>388.88888888888891</v>
      </c>
      <c r="T11">
        <v>4100</v>
      </c>
      <c r="U11" s="59">
        <f t="shared" si="5"/>
        <v>615000</v>
      </c>
      <c r="V11">
        <f>75+273.15</f>
        <v>348.15</v>
      </c>
      <c r="W11">
        <f>60+273.15</f>
        <v>333.15</v>
      </c>
      <c r="X11">
        <f>21+273.15</f>
        <v>294.14999999999998</v>
      </c>
      <c r="Y11" s="12">
        <f>(((V11+W11)/2)-X11)/((V11+W11)/2)</f>
        <v>0.13650374284456188</v>
      </c>
    </row>
    <row r="12" spans="1:29" x14ac:dyDescent="0.2">
      <c r="A12" t="str">
        <f t="shared" si="1"/>
        <v>MethanolFuel cell, DMFC</v>
      </c>
      <c r="B12" t="s">
        <v>35</v>
      </c>
      <c r="C12" t="s">
        <v>37</v>
      </c>
      <c r="D12" s="1">
        <v>0.5</v>
      </c>
      <c r="E12" s="1">
        <v>0.3</v>
      </c>
      <c r="F12" s="14" t="s">
        <v>1013</v>
      </c>
      <c r="G12">
        <v>19.899999999999999</v>
      </c>
      <c r="H12" s="13">
        <f t="shared" si="2"/>
        <v>5.5277777777777777</v>
      </c>
      <c r="I12" s="12">
        <f t="shared" si="3"/>
        <v>2.6666666666666665E-2</v>
      </c>
      <c r="N12" s="1">
        <v>0.06</v>
      </c>
      <c r="O12" s="16">
        <f>12000/T12</f>
        <v>2.9268292682926829</v>
      </c>
      <c r="P12">
        <f>(0.4/0.5)*Q12</f>
        <v>0.8</v>
      </c>
      <c r="Q12">
        <v>1</v>
      </c>
      <c r="R12" s="1">
        <f t="shared" si="0"/>
        <v>0.8</v>
      </c>
      <c r="S12" s="15">
        <f t="shared" ref="S12" si="10">(P12+Q12)/R12</f>
        <v>2.25</v>
      </c>
      <c r="T12">
        <v>4100</v>
      </c>
      <c r="U12" s="59">
        <f t="shared" si="5"/>
        <v>3280</v>
      </c>
      <c r="V12">
        <f>80+273.15</f>
        <v>353.15</v>
      </c>
      <c r="W12">
        <f>60+273.15</f>
        <v>333.15</v>
      </c>
      <c r="X12">
        <f>20+273.15</f>
        <v>293.14999999999998</v>
      </c>
      <c r="Y12" s="12">
        <f>(((V12+W12)/2)-X12)/((V12+W12)/2)</f>
        <v>0.14570887367040652</v>
      </c>
    </row>
    <row r="13" spans="1:29" x14ac:dyDescent="0.2">
      <c r="A13" t="str">
        <f t="shared" si="1"/>
        <v>ElectricityGround source heat pump</v>
      </c>
      <c r="B13" t="s">
        <v>9</v>
      </c>
      <c r="C13" t="s">
        <v>546</v>
      </c>
      <c r="D13" s="1">
        <v>3.9</v>
      </c>
      <c r="E13" s="1"/>
      <c r="F13" s="14" t="s">
        <v>608</v>
      </c>
      <c r="G13">
        <v>3.6</v>
      </c>
      <c r="H13" s="13">
        <f t="shared" si="2"/>
        <v>1</v>
      </c>
      <c r="I13" s="12">
        <f t="shared" si="3"/>
        <v>2.6666666666666665E-2</v>
      </c>
      <c r="N13" s="1">
        <v>0.06</v>
      </c>
      <c r="O13">
        <v>20</v>
      </c>
      <c r="P13">
        <v>10</v>
      </c>
      <c r="R13" s="1">
        <f t="shared" si="0"/>
        <v>3.9</v>
      </c>
      <c r="S13" s="15">
        <f t="shared" si="4"/>
        <v>2.5641025641025643</v>
      </c>
      <c r="T13">
        <v>2100</v>
      </c>
      <c r="U13" s="59">
        <f t="shared" si="5"/>
        <v>21000</v>
      </c>
    </row>
    <row r="14" spans="1:29" x14ac:dyDescent="0.2">
      <c r="A14" t="str">
        <f t="shared" ref="A14:A15" si="11">B14&amp;C14</f>
        <v>ElectricityAir source heat pump</v>
      </c>
      <c r="B14" t="s">
        <v>9</v>
      </c>
      <c r="C14" t="s">
        <v>549</v>
      </c>
      <c r="D14" s="1">
        <v>2.8</v>
      </c>
      <c r="E14" s="1"/>
      <c r="F14" s="14" t="s">
        <v>608</v>
      </c>
      <c r="G14">
        <v>3.6</v>
      </c>
      <c r="H14" s="13">
        <f t="shared" si="2"/>
        <v>1</v>
      </c>
      <c r="I14" s="12">
        <f t="shared" si="3"/>
        <v>2.6666666666666665E-2</v>
      </c>
      <c r="N14" s="1">
        <v>0.06</v>
      </c>
      <c r="O14">
        <v>20</v>
      </c>
      <c r="P14">
        <v>10</v>
      </c>
      <c r="R14" s="1">
        <f t="shared" si="0"/>
        <v>2.8</v>
      </c>
      <c r="S14" s="15">
        <f t="shared" si="4"/>
        <v>3.5714285714285716</v>
      </c>
      <c r="T14">
        <v>2100</v>
      </c>
      <c r="U14" s="59">
        <f t="shared" si="5"/>
        <v>21000</v>
      </c>
    </row>
    <row r="15" spans="1:29" x14ac:dyDescent="0.2">
      <c r="A15" t="str">
        <f t="shared" si="11"/>
        <v>ElectricityWater source heat pump</v>
      </c>
      <c r="B15" t="s">
        <v>9</v>
      </c>
      <c r="C15" t="s">
        <v>550</v>
      </c>
      <c r="D15" s="1">
        <v>3.9</v>
      </c>
      <c r="E15" s="1"/>
      <c r="F15" s="14" t="s">
        <v>608</v>
      </c>
      <c r="G15">
        <v>3.6</v>
      </c>
      <c r="H15" s="13">
        <f t="shared" si="2"/>
        <v>1</v>
      </c>
      <c r="I15" s="12">
        <f t="shared" si="3"/>
        <v>2.6666666666666665E-2</v>
      </c>
      <c r="N15" s="1">
        <v>0.06</v>
      </c>
      <c r="O15">
        <v>20</v>
      </c>
      <c r="P15">
        <v>10</v>
      </c>
      <c r="R15" s="1">
        <f t="shared" si="0"/>
        <v>3.9</v>
      </c>
      <c r="S15" s="15">
        <f t="shared" si="4"/>
        <v>2.5641025641025643</v>
      </c>
      <c r="T15">
        <v>2100</v>
      </c>
      <c r="U15" s="59">
        <f t="shared" si="5"/>
        <v>21000</v>
      </c>
    </row>
    <row r="16" spans="1:29" x14ac:dyDescent="0.2">
      <c r="D16" s="1"/>
      <c r="E16" s="1"/>
      <c r="F16" s="1"/>
    </row>
    <row r="17" spans="1:14" x14ac:dyDescent="0.2">
      <c r="D17" s="1"/>
      <c r="E17" s="1"/>
      <c r="F17" s="1"/>
    </row>
    <row r="18" spans="1:14" x14ac:dyDescent="0.2">
      <c r="D18" s="1"/>
      <c r="E18" s="13"/>
    </row>
    <row r="19" spans="1:14" x14ac:dyDescent="0.2">
      <c r="A19" t="s">
        <v>1044</v>
      </c>
      <c r="B19">
        <v>101</v>
      </c>
      <c r="C19" t="s">
        <v>1216</v>
      </c>
      <c r="D19" s="1"/>
      <c r="E19" s="13"/>
      <c r="F19" s="1"/>
    </row>
    <row r="20" spans="1:14" x14ac:dyDescent="0.2">
      <c r="A20" t="s">
        <v>1045</v>
      </c>
      <c r="B20">
        <v>99</v>
      </c>
      <c r="C20" t="s">
        <v>1047</v>
      </c>
      <c r="D20" s="1"/>
      <c r="E20" s="13"/>
      <c r="F20" s="1"/>
      <c r="N20" s="1"/>
    </row>
    <row r="21" spans="1:14" x14ac:dyDescent="0.2">
      <c r="A21" t="s">
        <v>1046</v>
      </c>
      <c r="B21">
        <f>B19*B20</f>
        <v>9999</v>
      </c>
      <c r="C21" t="s">
        <v>1048</v>
      </c>
    </row>
    <row r="24" spans="1:14" x14ac:dyDescent="0.2">
      <c r="A24" s="42" t="s">
        <v>819</v>
      </c>
    </row>
    <row r="25" spans="1:14" x14ac:dyDescent="0.2">
      <c r="A25" t="s">
        <v>29</v>
      </c>
      <c r="B25" t="s">
        <v>81</v>
      </c>
      <c r="C25" t="s">
        <v>133</v>
      </c>
    </row>
    <row r="26" spans="1:14" x14ac:dyDescent="0.2">
      <c r="A26" t="s">
        <v>30</v>
      </c>
      <c r="B26" s="1">
        <v>1</v>
      </c>
    </row>
    <row r="27" spans="1:14" x14ac:dyDescent="0.2">
      <c r="A27" t="s">
        <v>31</v>
      </c>
      <c r="B27" s="1">
        <f>162/(102+162)</f>
        <v>0.61363636363636365</v>
      </c>
      <c r="C27" t="s">
        <v>802</v>
      </c>
    </row>
    <row r="28" spans="1:14" x14ac:dyDescent="0.2">
      <c r="A28" t="s">
        <v>32</v>
      </c>
      <c r="B28" s="1">
        <f>0.048/(0.048+0.769)</f>
        <v>5.8751529987760093E-2</v>
      </c>
      <c r="C28" t="s">
        <v>806</v>
      </c>
    </row>
    <row r="31" spans="1:14" x14ac:dyDescent="0.2">
      <c r="A31" s="42" t="s">
        <v>820</v>
      </c>
    </row>
    <row r="32" spans="1:14" x14ac:dyDescent="0.2">
      <c r="A32" t="s">
        <v>831</v>
      </c>
      <c r="D32" t="s">
        <v>133</v>
      </c>
    </row>
    <row r="33" spans="1:4" x14ac:dyDescent="0.2">
      <c r="A33" t="s">
        <v>16</v>
      </c>
      <c r="B33">
        <v>30</v>
      </c>
      <c r="C33" t="s">
        <v>821</v>
      </c>
      <c r="D33" t="s">
        <v>823</v>
      </c>
    </row>
    <row r="34" spans="1:4" x14ac:dyDescent="0.2">
      <c r="A34" t="s">
        <v>17</v>
      </c>
      <c r="B34">
        <v>200</v>
      </c>
      <c r="C34" t="s">
        <v>821</v>
      </c>
      <c r="D34" t="s">
        <v>823</v>
      </c>
    </row>
    <row r="35" spans="1:4" x14ac:dyDescent="0.2">
      <c r="A35" t="s">
        <v>18</v>
      </c>
      <c r="B35">
        <v>25</v>
      </c>
      <c r="C35" t="s">
        <v>821</v>
      </c>
      <c r="D35" t="s">
        <v>823</v>
      </c>
    </row>
    <row r="36" spans="1:4" x14ac:dyDescent="0.2">
      <c r="A36" t="s">
        <v>19</v>
      </c>
      <c r="B36">
        <v>25</v>
      </c>
      <c r="C36" t="s">
        <v>821</v>
      </c>
    </row>
    <row r="37" spans="1:4" x14ac:dyDescent="0.2">
      <c r="A37" t="s">
        <v>20</v>
      </c>
      <c r="B37">
        <v>25</v>
      </c>
      <c r="C37" t="s">
        <v>821</v>
      </c>
    </row>
    <row r="38" spans="1:4" x14ac:dyDescent="0.2">
      <c r="A38" t="s">
        <v>23</v>
      </c>
      <c r="B38">
        <v>100</v>
      </c>
      <c r="C38" t="s">
        <v>821</v>
      </c>
    </row>
    <row r="40" spans="1:4" x14ac:dyDescent="0.2">
      <c r="A40" t="s">
        <v>832</v>
      </c>
    </row>
    <row r="41" spans="1:4" x14ac:dyDescent="0.2">
      <c r="A41" t="s">
        <v>69</v>
      </c>
      <c r="B41">
        <v>500</v>
      </c>
      <c r="C41" t="s">
        <v>821</v>
      </c>
      <c r="D41" t="s">
        <v>822</v>
      </c>
    </row>
    <row r="42" spans="1:4" x14ac:dyDescent="0.2">
      <c r="A42" t="s">
        <v>68</v>
      </c>
      <c r="B42">
        <v>100</v>
      </c>
      <c r="C42" t="s">
        <v>821</v>
      </c>
      <c r="D42" t="s">
        <v>822</v>
      </c>
    </row>
    <row r="44" spans="1:4" x14ac:dyDescent="0.2">
      <c r="A44" t="s">
        <v>831</v>
      </c>
    </row>
    <row r="45" spans="1:4" x14ac:dyDescent="0.2">
      <c r="A45" t="s">
        <v>69</v>
      </c>
      <c r="B45">
        <v>500</v>
      </c>
      <c r="C45" t="s">
        <v>821</v>
      </c>
      <c r="D45" t="s">
        <v>822</v>
      </c>
    </row>
    <row r="46" spans="1:4" x14ac:dyDescent="0.2">
      <c r="A46" t="s">
        <v>68</v>
      </c>
      <c r="B46">
        <v>70</v>
      </c>
      <c r="C46" t="s">
        <v>821</v>
      </c>
      <c r="D46" t="s">
        <v>822</v>
      </c>
    </row>
    <row r="48" spans="1:4" x14ac:dyDescent="0.2">
      <c r="A48" t="s">
        <v>833</v>
      </c>
    </row>
    <row r="49" spans="1:5" x14ac:dyDescent="0.2">
      <c r="A49" t="s">
        <v>824</v>
      </c>
      <c r="B49">
        <v>900</v>
      </c>
      <c r="C49" t="s">
        <v>821</v>
      </c>
      <c r="D49" t="s">
        <v>822</v>
      </c>
    </row>
    <row r="52" spans="1:5" x14ac:dyDescent="0.2">
      <c r="A52" s="42" t="s">
        <v>825</v>
      </c>
      <c r="D52" s="42" t="s">
        <v>830</v>
      </c>
      <c r="E52" t="s">
        <v>133</v>
      </c>
    </row>
    <row r="53" spans="1:5" x14ac:dyDescent="0.2">
      <c r="A53" t="s">
        <v>828</v>
      </c>
      <c r="B53">
        <v>14.307</v>
      </c>
      <c r="C53" t="s">
        <v>826</v>
      </c>
      <c r="D53" s="1">
        <v>0.95</v>
      </c>
      <c r="E53" s="7" t="s">
        <v>834</v>
      </c>
    </row>
    <row r="54" spans="1:5" x14ac:dyDescent="0.2">
      <c r="A54" t="s">
        <v>829</v>
      </c>
      <c r="B54">
        <v>10.157</v>
      </c>
      <c r="C54" t="s">
        <v>826</v>
      </c>
    </row>
    <row r="55" spans="1:5" x14ac:dyDescent="0.2">
      <c r="A55" t="s">
        <v>827</v>
      </c>
      <c r="B55" s="13">
        <f>B53/B54</f>
        <v>1.4085852121689475</v>
      </c>
    </row>
    <row r="57" spans="1:5" x14ac:dyDescent="0.2">
      <c r="A57" t="s">
        <v>844</v>
      </c>
      <c r="B57">
        <v>500</v>
      </c>
    </row>
    <row r="58" spans="1:5" x14ac:dyDescent="0.2">
      <c r="A58" t="s">
        <v>845</v>
      </c>
      <c r="B58">
        <v>700</v>
      </c>
    </row>
    <row r="59" spans="1:5" x14ac:dyDescent="0.2">
      <c r="A59" t="s">
        <v>835</v>
      </c>
      <c r="B59" s="15">
        <f>ROUND(LOG10(B58/B57)/LOG10(3.1),0)</f>
        <v>0</v>
      </c>
    </row>
    <row r="60" spans="1:5" x14ac:dyDescent="0.2">
      <c r="A60" t="s">
        <v>836</v>
      </c>
      <c r="B60" t="e">
        <f>305.15*(1+(E60-1)/0.6)</f>
        <v>#DIV/0!</v>
      </c>
      <c r="C60">
        <f>B58/B57</f>
        <v>1.4</v>
      </c>
      <c r="D60" t="e">
        <f>(1.4-1)/(B59*1.4)</f>
        <v>#DIV/0!</v>
      </c>
      <c r="E60" t="e">
        <f>POWER(C60,D60)</f>
        <v>#DIV/0!</v>
      </c>
    </row>
    <row r="61" spans="1:5" x14ac:dyDescent="0.2">
      <c r="A61" t="s">
        <v>837</v>
      </c>
      <c r="B61">
        <f>(B58+B57)/2</f>
        <v>600</v>
      </c>
    </row>
    <row r="62" spans="1:5" x14ac:dyDescent="0.2">
      <c r="A62" t="s">
        <v>838</v>
      </c>
      <c r="B62">
        <f>(305.15+487.6)/2</f>
        <v>396.375</v>
      </c>
    </row>
    <row r="63" spans="1:5" x14ac:dyDescent="0.2">
      <c r="A63" t="s">
        <v>839</v>
      </c>
      <c r="B63">
        <v>1.1259999999999999</v>
      </c>
    </row>
    <row r="64" spans="1:5" x14ac:dyDescent="0.2">
      <c r="A64" t="s">
        <v>840</v>
      </c>
      <c r="B64">
        <f>(2000/0.002)/(24*60*60)</f>
        <v>11.574074074074074</v>
      </c>
    </row>
    <row r="65" spans="1:3" x14ac:dyDescent="0.2">
      <c r="A65" t="s">
        <v>841</v>
      </c>
      <c r="B65" s="16">
        <f>(3*(1.4/(1.4-1))*(1.12/0.6)*305.15*11.57*8.314*C65)/1000</f>
        <v>18.734832753783095</v>
      </c>
      <c r="C65">
        <f>POWER((B58/B57),((1.4-1)/(3*1.4)))-1</f>
        <v>3.2563943737778489E-2</v>
      </c>
    </row>
    <row r="66" spans="1:3" x14ac:dyDescent="0.2">
      <c r="A66" t="s">
        <v>842</v>
      </c>
      <c r="B66" s="16">
        <f>B65/D53</f>
        <v>19.720876582929574</v>
      </c>
    </row>
    <row r="67" spans="1:3" x14ac:dyDescent="0.2">
      <c r="A67" t="s">
        <v>843</v>
      </c>
      <c r="B67" s="13">
        <f>(B66*24)/2000</f>
        <v>0.23665051899515488</v>
      </c>
    </row>
    <row r="70" spans="1:3" x14ac:dyDescent="0.2">
      <c r="A70" s="42" t="s">
        <v>1213</v>
      </c>
    </row>
    <row r="71" spans="1:3" x14ac:dyDescent="0.2">
      <c r="A71" t="s">
        <v>16</v>
      </c>
      <c r="B71">
        <v>1.31</v>
      </c>
    </row>
    <row r="72" spans="1:3" x14ac:dyDescent="0.2">
      <c r="A72" t="s">
        <v>17</v>
      </c>
      <c r="B72">
        <v>0</v>
      </c>
    </row>
    <row r="73" spans="1:3" x14ac:dyDescent="0.2">
      <c r="A73" t="s">
        <v>18</v>
      </c>
      <c r="B73">
        <v>1.46</v>
      </c>
    </row>
    <row r="74" spans="1:3" x14ac:dyDescent="0.2">
      <c r="A74" t="s">
        <v>19</v>
      </c>
      <c r="B74">
        <v>1.46</v>
      </c>
    </row>
    <row r="75" spans="1:3" x14ac:dyDescent="0.2">
      <c r="A75" t="s">
        <v>21</v>
      </c>
      <c r="B75">
        <v>1.46</v>
      </c>
    </row>
    <row r="76" spans="1:3" x14ac:dyDescent="0.2">
      <c r="A76" t="s">
        <v>20</v>
      </c>
      <c r="B76">
        <v>1.46</v>
      </c>
    </row>
    <row r="77" spans="1:3" x14ac:dyDescent="0.2">
      <c r="A77" t="s">
        <v>22</v>
      </c>
      <c r="B77">
        <v>1.46</v>
      </c>
    </row>
    <row r="78" spans="1:3" x14ac:dyDescent="0.2">
      <c r="A78" t="s">
        <v>23</v>
      </c>
      <c r="B78">
        <v>0.38</v>
      </c>
    </row>
    <row r="81" spans="1:4" x14ac:dyDescent="0.2">
      <c r="A81" s="42" t="s">
        <v>1214</v>
      </c>
    </row>
    <row r="82" spans="1:4" x14ac:dyDescent="0.2">
      <c r="A82" t="s">
        <v>69</v>
      </c>
      <c r="B82" s="13">
        <v>1.78</v>
      </c>
      <c r="C82" s="13"/>
    </row>
    <row r="83" spans="1:4" x14ac:dyDescent="0.2">
      <c r="A83" t="s">
        <v>294</v>
      </c>
      <c r="B83" s="13">
        <v>1.78</v>
      </c>
      <c r="C83" s="13"/>
    </row>
    <row r="84" spans="1:4" x14ac:dyDescent="0.2">
      <c r="A84" t="s">
        <v>68</v>
      </c>
      <c r="B84" s="13">
        <v>0.5</v>
      </c>
      <c r="C84" s="13"/>
    </row>
    <row r="85" spans="1:4" x14ac:dyDescent="0.2">
      <c r="B85" s="13"/>
      <c r="C85" s="13"/>
    </row>
    <row r="86" spans="1:4" x14ac:dyDescent="0.2">
      <c r="A86" s="42" t="s">
        <v>1212</v>
      </c>
      <c r="B86" s="13"/>
    </row>
    <row r="87" spans="1:4" x14ac:dyDescent="0.2">
      <c r="A87" t="s">
        <v>69</v>
      </c>
      <c r="B87" s="13">
        <v>0.24</v>
      </c>
    </row>
    <row r="88" spans="1:4" x14ac:dyDescent="0.2">
      <c r="A88" t="s">
        <v>294</v>
      </c>
      <c r="B88" s="13">
        <v>0.24</v>
      </c>
    </row>
    <row r="89" spans="1:4" x14ac:dyDescent="0.2">
      <c r="A89" t="s">
        <v>68</v>
      </c>
      <c r="B89" s="13">
        <v>0</v>
      </c>
    </row>
    <row r="93" spans="1:4" x14ac:dyDescent="0.2">
      <c r="B93" t="s">
        <v>45</v>
      </c>
      <c r="C93" t="s">
        <v>1131</v>
      </c>
      <c r="D93" t="s">
        <v>1132</v>
      </c>
    </row>
    <row r="94" spans="1:4" x14ac:dyDescent="0.2">
      <c r="A94" t="s">
        <v>68</v>
      </c>
      <c r="B94" s="58">
        <v>0.01</v>
      </c>
      <c r="C94" s="10">
        <v>2.3E-2</v>
      </c>
    </row>
    <row r="95" spans="1:4" x14ac:dyDescent="0.2">
      <c r="A95" t="s">
        <v>69</v>
      </c>
      <c r="B95" s="58">
        <v>5.0000000000000001E-3</v>
      </c>
      <c r="C95" s="10">
        <v>2.3E-2</v>
      </c>
    </row>
    <row r="96" spans="1:4" x14ac:dyDescent="0.2">
      <c r="A96" t="s">
        <v>294</v>
      </c>
      <c r="B96" s="58">
        <v>5.0000000000000001E-3</v>
      </c>
      <c r="C96" s="10">
        <v>2.3E-2</v>
      </c>
    </row>
    <row r="97" spans="2:3" x14ac:dyDescent="0.2">
      <c r="B97" s="9"/>
      <c r="C97" s="10"/>
    </row>
    <row r="98" spans="2:3" x14ac:dyDescent="0.2">
      <c r="C98" s="10"/>
    </row>
    <row r="99" spans="2:3" x14ac:dyDescent="0.2">
      <c r="C99" s="10"/>
    </row>
  </sheetData>
  <hyperlinks>
    <hyperlink ref="F10" r:id="rId1" xr:uid="{0FDCB094-8B04-CD47-B7B7-E03329CAB2F0}"/>
    <hyperlink ref="F13" r:id="rId2" xr:uid="{BAEEFED2-51A4-684C-B23F-3326F9DBE0CE}"/>
    <hyperlink ref="F14" r:id="rId3" xr:uid="{7F17DA65-AB89-3646-8DA3-3160BC398B91}"/>
    <hyperlink ref="F15" r:id="rId4" xr:uid="{98552A2B-ED3B-8249-9DD1-496812B20FE8}"/>
    <hyperlink ref="F6" r:id="rId5" location="bib75" xr:uid="{3EDAF2FC-265B-8B42-A575-275A39B7990F}"/>
    <hyperlink ref="E53" r:id="rId6" xr:uid="{5CBF2F66-0E9E-1348-9EF3-FDBF770DCE2F}"/>
    <hyperlink ref="F12" r:id="rId7" xr:uid="{9F5C19BF-5D7A-2442-903A-5A9C23768C5E}"/>
    <hyperlink ref="F4" r:id="rId8" xr:uid="{D880E9C9-CD22-6B46-9FF2-EBA9470AEAF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C9B8B-C985-EC4F-8286-E1A44DD5B8D9}">
  <dimension ref="A1:E53"/>
  <sheetViews>
    <sheetView topLeftCell="A28" workbookViewId="0">
      <selection activeCell="B50" sqref="B50"/>
    </sheetView>
  </sheetViews>
  <sheetFormatPr baseColWidth="10" defaultRowHeight="16" x14ac:dyDescent="0.2"/>
  <cols>
    <col min="1" max="1" width="50.1640625" customWidth="1"/>
    <col min="2" max="2" width="95.83203125" customWidth="1"/>
    <col min="3" max="3" width="38" customWidth="1"/>
  </cols>
  <sheetData>
    <row r="1" spans="1:5" x14ac:dyDescent="0.2">
      <c r="A1" t="s">
        <v>42</v>
      </c>
    </row>
    <row r="3" spans="1:5" x14ac:dyDescent="0.2">
      <c r="B3" t="s">
        <v>58</v>
      </c>
      <c r="C3" t="s">
        <v>54</v>
      </c>
      <c r="D3" t="s">
        <v>52</v>
      </c>
      <c r="E3" t="s">
        <v>55</v>
      </c>
    </row>
    <row r="4" spans="1:5" x14ac:dyDescent="0.2">
      <c r="A4" t="s">
        <v>67</v>
      </c>
      <c r="B4" t="s">
        <v>130</v>
      </c>
      <c r="C4" t="s">
        <v>93</v>
      </c>
      <c r="D4" t="s">
        <v>64</v>
      </c>
      <c r="E4" t="s">
        <v>92</v>
      </c>
    </row>
    <row r="5" spans="1:5" x14ac:dyDescent="0.2">
      <c r="A5" t="s">
        <v>231</v>
      </c>
      <c r="B5" s="5" t="s">
        <v>807</v>
      </c>
      <c r="C5" t="s">
        <v>808</v>
      </c>
      <c r="D5" t="s">
        <v>64</v>
      </c>
      <c r="E5" t="s">
        <v>56</v>
      </c>
    </row>
    <row r="6" spans="1:5" x14ac:dyDescent="0.2">
      <c r="A6" t="s">
        <v>281</v>
      </c>
      <c r="B6" s="5" t="s">
        <v>813</v>
      </c>
      <c r="C6" t="s">
        <v>814</v>
      </c>
      <c r="D6" t="s">
        <v>64</v>
      </c>
      <c r="E6" t="s">
        <v>56</v>
      </c>
    </row>
    <row r="7" spans="1:5" x14ac:dyDescent="0.2">
      <c r="A7" t="s">
        <v>282</v>
      </c>
      <c r="B7" s="5" t="s">
        <v>774</v>
      </c>
      <c r="C7" t="s">
        <v>132</v>
      </c>
      <c r="D7" t="s">
        <v>64</v>
      </c>
      <c r="E7" t="s">
        <v>56</v>
      </c>
    </row>
    <row r="8" spans="1:5" x14ac:dyDescent="0.2">
      <c r="A8" t="s">
        <v>291</v>
      </c>
      <c r="B8" s="5" t="s">
        <v>809</v>
      </c>
      <c r="C8" t="s">
        <v>808</v>
      </c>
      <c r="D8" t="s">
        <v>64</v>
      </c>
      <c r="E8" t="s">
        <v>56</v>
      </c>
    </row>
    <row r="9" spans="1:5" x14ac:dyDescent="0.2">
      <c r="A9" t="s">
        <v>292</v>
      </c>
      <c r="B9" s="5" t="s">
        <v>815</v>
      </c>
      <c r="C9" t="s">
        <v>814</v>
      </c>
      <c r="D9" t="s">
        <v>64</v>
      </c>
      <c r="E9" t="s">
        <v>56</v>
      </c>
    </row>
    <row r="10" spans="1:5" x14ac:dyDescent="0.2">
      <c r="A10" t="s">
        <v>1140</v>
      </c>
      <c r="B10" s="5" t="s">
        <v>776</v>
      </c>
      <c r="C10" t="s">
        <v>132</v>
      </c>
      <c r="D10" t="s">
        <v>64</v>
      </c>
      <c r="E10" t="s">
        <v>56</v>
      </c>
    </row>
    <row r="11" spans="1:5" x14ac:dyDescent="0.2">
      <c r="A11" t="s">
        <v>1141</v>
      </c>
      <c r="B11" s="5" t="s">
        <v>810</v>
      </c>
      <c r="C11" t="s">
        <v>808</v>
      </c>
      <c r="D11" t="s">
        <v>639</v>
      </c>
      <c r="E11" t="s">
        <v>56</v>
      </c>
    </row>
    <row r="12" spans="1:5" x14ac:dyDescent="0.2">
      <c r="A12" t="s">
        <v>1142</v>
      </c>
      <c r="B12" s="5" t="s">
        <v>816</v>
      </c>
      <c r="C12" t="s">
        <v>814</v>
      </c>
      <c r="D12" t="s">
        <v>639</v>
      </c>
      <c r="E12" t="s">
        <v>56</v>
      </c>
    </row>
    <row r="13" spans="1:5" x14ac:dyDescent="0.2">
      <c r="A13" t="s">
        <v>1143</v>
      </c>
      <c r="B13" s="5" t="s">
        <v>778</v>
      </c>
      <c r="C13" t="s">
        <v>132</v>
      </c>
      <c r="D13" t="s">
        <v>639</v>
      </c>
      <c r="E13" t="s">
        <v>56</v>
      </c>
    </row>
    <row r="14" spans="1:5" x14ac:dyDescent="0.2">
      <c r="A14" t="s">
        <v>1144</v>
      </c>
      <c r="B14" s="5" t="s">
        <v>811</v>
      </c>
      <c r="C14" t="s">
        <v>808</v>
      </c>
      <c r="D14" t="s">
        <v>296</v>
      </c>
      <c r="E14" t="s">
        <v>56</v>
      </c>
    </row>
    <row r="15" spans="1:5" x14ac:dyDescent="0.2">
      <c r="A15" t="s">
        <v>1145</v>
      </c>
      <c r="B15" s="5" t="s">
        <v>817</v>
      </c>
      <c r="C15" t="s">
        <v>814</v>
      </c>
      <c r="D15" t="s">
        <v>296</v>
      </c>
      <c r="E15" t="s">
        <v>56</v>
      </c>
    </row>
    <row r="16" spans="1:5" x14ac:dyDescent="0.2">
      <c r="A16" t="s">
        <v>1146</v>
      </c>
      <c r="B16" s="5" t="s">
        <v>779</v>
      </c>
      <c r="C16" t="s">
        <v>132</v>
      </c>
      <c r="D16" t="s">
        <v>296</v>
      </c>
      <c r="E16" t="s">
        <v>56</v>
      </c>
    </row>
    <row r="17" spans="1:5" x14ac:dyDescent="0.2">
      <c r="A17" t="s">
        <v>1147</v>
      </c>
      <c r="B17" s="5" t="s">
        <v>812</v>
      </c>
      <c r="C17" t="s">
        <v>808</v>
      </c>
      <c r="D17" t="s">
        <v>301</v>
      </c>
      <c r="E17" t="s">
        <v>56</v>
      </c>
    </row>
    <row r="18" spans="1:5" x14ac:dyDescent="0.2">
      <c r="A18" t="s">
        <v>1148</v>
      </c>
      <c r="B18" s="5" t="s">
        <v>818</v>
      </c>
      <c r="C18" t="s">
        <v>814</v>
      </c>
      <c r="D18" t="s">
        <v>301</v>
      </c>
      <c r="E18" t="s">
        <v>56</v>
      </c>
    </row>
    <row r="19" spans="1:5" x14ac:dyDescent="0.2">
      <c r="A19" t="s">
        <v>1149</v>
      </c>
      <c r="B19" s="5" t="s">
        <v>780</v>
      </c>
      <c r="C19" t="s">
        <v>132</v>
      </c>
      <c r="D19" t="s">
        <v>301</v>
      </c>
      <c r="E19" t="s">
        <v>56</v>
      </c>
    </row>
    <row r="20" spans="1:5" x14ac:dyDescent="0.2">
      <c r="A20" t="s">
        <v>1150</v>
      </c>
      <c r="B20" s="5" t="s">
        <v>309</v>
      </c>
      <c r="C20" t="s">
        <v>132</v>
      </c>
      <c r="D20" t="s">
        <v>64</v>
      </c>
      <c r="E20" t="s">
        <v>56</v>
      </c>
    </row>
    <row r="21" spans="1:5" x14ac:dyDescent="0.2">
      <c r="A21" t="s">
        <v>1152</v>
      </c>
      <c r="B21" s="5" t="s">
        <v>355</v>
      </c>
      <c r="C21" t="s">
        <v>132</v>
      </c>
      <c r="D21" t="s">
        <v>64</v>
      </c>
      <c r="E21" t="s">
        <v>56</v>
      </c>
    </row>
    <row r="22" spans="1:5" x14ac:dyDescent="0.2">
      <c r="A22" t="s">
        <v>1151</v>
      </c>
      <c r="B22" s="5" t="s">
        <v>359</v>
      </c>
      <c r="C22" t="s">
        <v>132</v>
      </c>
      <c r="D22" t="s">
        <v>64</v>
      </c>
      <c r="E22" t="s">
        <v>56</v>
      </c>
    </row>
    <row r="23" spans="1:5" x14ac:dyDescent="0.2">
      <c r="A23" t="s">
        <v>1153</v>
      </c>
      <c r="B23" s="5" t="s">
        <v>360</v>
      </c>
      <c r="C23" t="s">
        <v>132</v>
      </c>
      <c r="D23" t="s">
        <v>64</v>
      </c>
      <c r="E23" t="s">
        <v>56</v>
      </c>
    </row>
    <row r="24" spans="1:5" x14ac:dyDescent="0.2">
      <c r="A24" t="s">
        <v>1155</v>
      </c>
      <c r="B24" s="5" t="s">
        <v>362</v>
      </c>
      <c r="C24" t="s">
        <v>132</v>
      </c>
      <c r="D24" t="s">
        <v>64</v>
      </c>
      <c r="E24" t="s">
        <v>56</v>
      </c>
    </row>
    <row r="25" spans="1:5" x14ac:dyDescent="0.2">
      <c r="A25" t="s">
        <v>1156</v>
      </c>
      <c r="B25" s="5" t="s">
        <v>363</v>
      </c>
      <c r="C25" t="s">
        <v>132</v>
      </c>
      <c r="D25" t="s">
        <v>64</v>
      </c>
      <c r="E25" t="s">
        <v>56</v>
      </c>
    </row>
    <row r="26" spans="1:5" x14ac:dyDescent="0.2">
      <c r="A26" t="s">
        <v>1154</v>
      </c>
      <c r="B26" s="5" t="s">
        <v>800</v>
      </c>
      <c r="C26" t="s">
        <v>801</v>
      </c>
      <c r="D26" t="s">
        <v>64</v>
      </c>
      <c r="E26" t="s">
        <v>56</v>
      </c>
    </row>
    <row r="27" spans="1:5" x14ac:dyDescent="0.2">
      <c r="A27" t="s">
        <v>858</v>
      </c>
      <c r="B27" s="11" t="s">
        <v>367</v>
      </c>
      <c r="C27" s="11" t="s">
        <v>368</v>
      </c>
      <c r="D27" t="s">
        <v>64</v>
      </c>
      <c r="E27" t="s">
        <v>56</v>
      </c>
    </row>
    <row r="28" spans="1:5" x14ac:dyDescent="0.2">
      <c r="A28" t="s">
        <v>860</v>
      </c>
      <c r="B28" s="11" t="s">
        <v>387</v>
      </c>
      <c r="C28" s="11" t="s">
        <v>368</v>
      </c>
      <c r="D28" t="s">
        <v>64</v>
      </c>
      <c r="E28" t="s">
        <v>56</v>
      </c>
    </row>
    <row r="29" spans="1:5" x14ac:dyDescent="0.2">
      <c r="A29" t="s">
        <v>859</v>
      </c>
      <c r="B29" s="11" t="s">
        <v>805</v>
      </c>
      <c r="C29" s="11" t="s">
        <v>368</v>
      </c>
      <c r="D29" t="s">
        <v>64</v>
      </c>
      <c r="E29" t="s">
        <v>56</v>
      </c>
    </row>
    <row r="30" spans="1:5" x14ac:dyDescent="0.2">
      <c r="A30" t="s">
        <v>861</v>
      </c>
      <c r="B30" s="11" t="s">
        <v>854</v>
      </c>
      <c r="C30" s="11" t="s">
        <v>851</v>
      </c>
      <c r="D30" t="s">
        <v>64</v>
      </c>
      <c r="E30" t="s">
        <v>56</v>
      </c>
    </row>
    <row r="31" spans="1:5" x14ac:dyDescent="0.2">
      <c r="A31" t="s">
        <v>863</v>
      </c>
      <c r="B31" s="11" t="s">
        <v>853</v>
      </c>
      <c r="C31" s="11" t="s">
        <v>851</v>
      </c>
      <c r="D31" t="s">
        <v>64</v>
      </c>
      <c r="E31" t="s">
        <v>56</v>
      </c>
    </row>
    <row r="32" spans="1:5" x14ac:dyDescent="0.2">
      <c r="A32" t="s">
        <v>862</v>
      </c>
      <c r="B32" s="11" t="s">
        <v>846</v>
      </c>
      <c r="C32" s="11" t="s">
        <v>851</v>
      </c>
      <c r="D32" t="s">
        <v>64</v>
      </c>
      <c r="E32" t="s">
        <v>56</v>
      </c>
    </row>
    <row r="33" spans="1:5" x14ac:dyDescent="0.2">
      <c r="A33" t="s">
        <v>490</v>
      </c>
      <c r="B33" t="s">
        <v>417</v>
      </c>
      <c r="C33" t="s">
        <v>418</v>
      </c>
      <c r="D33" t="s">
        <v>64</v>
      </c>
      <c r="E33" t="s">
        <v>56</v>
      </c>
    </row>
    <row r="34" spans="1:5" x14ac:dyDescent="0.2">
      <c r="A34" t="s">
        <v>491</v>
      </c>
      <c r="B34" t="s">
        <v>430</v>
      </c>
      <c r="C34" t="s">
        <v>418</v>
      </c>
      <c r="D34" t="s">
        <v>64</v>
      </c>
      <c r="E34" t="s">
        <v>56</v>
      </c>
    </row>
    <row r="35" spans="1:5" x14ac:dyDescent="0.2">
      <c r="A35" t="s">
        <v>492</v>
      </c>
      <c r="B35" t="s">
        <v>432</v>
      </c>
      <c r="C35" t="s">
        <v>418</v>
      </c>
      <c r="D35" t="s">
        <v>64</v>
      </c>
      <c r="E35" t="s">
        <v>56</v>
      </c>
    </row>
    <row r="36" spans="1:5" x14ac:dyDescent="0.2">
      <c r="A36" t="s">
        <v>543</v>
      </c>
      <c r="B36" t="s">
        <v>551</v>
      </c>
      <c r="C36" t="s">
        <v>553</v>
      </c>
      <c r="D36" t="s">
        <v>64</v>
      </c>
      <c r="E36" t="s">
        <v>55</v>
      </c>
    </row>
    <row r="37" spans="1:5" x14ac:dyDescent="0.2">
      <c r="A37" t="s">
        <v>544</v>
      </c>
      <c r="B37" t="s">
        <v>564</v>
      </c>
      <c r="C37" t="s">
        <v>553</v>
      </c>
      <c r="D37" t="s">
        <v>64</v>
      </c>
      <c r="E37" t="s">
        <v>55</v>
      </c>
    </row>
    <row r="38" spans="1:5" x14ac:dyDescent="0.2">
      <c r="A38" t="s">
        <v>604</v>
      </c>
      <c r="B38" t="s">
        <v>565</v>
      </c>
      <c r="C38" t="s">
        <v>553</v>
      </c>
      <c r="D38" t="s">
        <v>64</v>
      </c>
      <c r="E38" t="s">
        <v>55</v>
      </c>
    </row>
    <row r="39" spans="1:5" x14ac:dyDescent="0.2">
      <c r="A39" t="s">
        <v>605</v>
      </c>
      <c r="B39" t="s">
        <v>564</v>
      </c>
      <c r="C39" t="s">
        <v>553</v>
      </c>
      <c r="D39" t="s">
        <v>64</v>
      </c>
      <c r="E39" t="s">
        <v>55</v>
      </c>
    </row>
    <row r="40" spans="1:5" x14ac:dyDescent="0.2">
      <c r="A40" t="s">
        <v>606</v>
      </c>
      <c r="B40" t="s">
        <v>552</v>
      </c>
      <c r="C40" t="s">
        <v>553</v>
      </c>
      <c r="D40" t="s">
        <v>64</v>
      </c>
      <c r="E40" t="s">
        <v>55</v>
      </c>
    </row>
    <row r="41" spans="1:5" x14ac:dyDescent="0.2">
      <c r="A41" t="s">
        <v>607</v>
      </c>
      <c r="B41" t="s">
        <v>564</v>
      </c>
      <c r="C41" t="s">
        <v>553</v>
      </c>
      <c r="D41" t="s">
        <v>64</v>
      </c>
      <c r="E41" t="s">
        <v>55</v>
      </c>
    </row>
    <row r="42" spans="1:5" x14ac:dyDescent="0.2">
      <c r="A42" t="s">
        <v>74</v>
      </c>
      <c r="B42" t="s">
        <v>83</v>
      </c>
      <c r="C42" t="s">
        <v>84</v>
      </c>
      <c r="D42" t="s">
        <v>85</v>
      </c>
      <c r="E42" t="s">
        <v>55</v>
      </c>
    </row>
    <row r="43" spans="1:5" x14ac:dyDescent="0.2">
      <c r="A43" t="s">
        <v>145</v>
      </c>
      <c r="B43" t="s">
        <v>151</v>
      </c>
      <c r="C43" t="s">
        <v>148</v>
      </c>
      <c r="D43" t="s">
        <v>90</v>
      </c>
      <c r="E43" t="s">
        <v>55</v>
      </c>
    </row>
    <row r="44" spans="1:5" x14ac:dyDescent="0.2">
      <c r="A44" t="s">
        <v>146</v>
      </c>
      <c r="B44" t="s">
        <v>152</v>
      </c>
      <c r="C44" t="s">
        <v>149</v>
      </c>
      <c r="D44" t="s">
        <v>90</v>
      </c>
      <c r="E44" t="s">
        <v>55</v>
      </c>
    </row>
    <row r="45" spans="1:5" x14ac:dyDescent="0.2">
      <c r="A45" t="s">
        <v>147</v>
      </c>
      <c r="B45" t="s">
        <v>153</v>
      </c>
      <c r="C45" t="s">
        <v>150</v>
      </c>
      <c r="D45" t="s">
        <v>90</v>
      </c>
      <c r="E45" t="s">
        <v>55</v>
      </c>
    </row>
    <row r="46" spans="1:5" x14ac:dyDescent="0.2">
      <c r="A46" t="s">
        <v>218</v>
      </c>
      <c r="B46" s="11" t="s">
        <v>162</v>
      </c>
      <c r="C46" t="s">
        <v>163</v>
      </c>
      <c r="D46" t="s">
        <v>64</v>
      </c>
      <c r="E46" t="s">
        <v>164</v>
      </c>
    </row>
    <row r="47" spans="1:5" x14ac:dyDescent="0.2">
      <c r="A47" t="s">
        <v>219</v>
      </c>
      <c r="B47" s="11" t="s">
        <v>184</v>
      </c>
      <c r="C47" t="s">
        <v>185</v>
      </c>
      <c r="D47" t="s">
        <v>64</v>
      </c>
      <c r="E47" t="s">
        <v>164</v>
      </c>
    </row>
    <row r="48" spans="1:5" x14ac:dyDescent="0.2">
      <c r="A48" t="s">
        <v>229</v>
      </c>
      <c r="B48" t="s">
        <v>220</v>
      </c>
      <c r="C48" t="s">
        <v>220</v>
      </c>
      <c r="D48" t="s">
        <v>85</v>
      </c>
      <c r="E48" t="s">
        <v>56</v>
      </c>
    </row>
    <row r="49" spans="1:5" x14ac:dyDescent="0.2">
      <c r="A49" t="s">
        <v>398</v>
      </c>
      <c r="B49" t="s">
        <v>369</v>
      </c>
      <c r="C49" t="s">
        <v>370</v>
      </c>
      <c r="D49" t="s">
        <v>64</v>
      </c>
      <c r="E49" t="s">
        <v>164</v>
      </c>
    </row>
    <row r="50" spans="1:5" x14ac:dyDescent="0.2">
      <c r="A50" t="s">
        <v>273</v>
      </c>
      <c r="B50" s="11" t="s">
        <v>1029</v>
      </c>
      <c r="C50" t="s">
        <v>1030</v>
      </c>
      <c r="D50" t="s">
        <v>85</v>
      </c>
      <c r="E50" t="s">
        <v>55</v>
      </c>
    </row>
    <row r="51" spans="1:5" x14ac:dyDescent="0.2">
      <c r="A51" t="s">
        <v>274</v>
      </c>
      <c r="B51" t="s">
        <v>275</v>
      </c>
      <c r="C51" t="s">
        <v>276</v>
      </c>
      <c r="D51" t="s">
        <v>64</v>
      </c>
      <c r="E51" t="s">
        <v>55</v>
      </c>
    </row>
    <row r="52" spans="1:5" x14ac:dyDescent="0.2">
      <c r="A52" t="s">
        <v>278</v>
      </c>
      <c r="B52" t="s">
        <v>182</v>
      </c>
      <c r="C52" t="s">
        <v>183</v>
      </c>
      <c r="D52" t="s">
        <v>90</v>
      </c>
      <c r="E52" t="s">
        <v>123</v>
      </c>
    </row>
    <row r="53" spans="1:5" x14ac:dyDescent="0.2">
      <c r="A53" t="s">
        <v>295</v>
      </c>
      <c r="B53" t="s">
        <v>180</v>
      </c>
      <c r="C53" t="s">
        <v>181</v>
      </c>
      <c r="D53" t="s">
        <v>64</v>
      </c>
      <c r="E53" t="s">
        <v>123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7DD36-2209-DF42-999E-3318DFB744E9}">
  <dimension ref="A1:N22"/>
  <sheetViews>
    <sheetView workbookViewId="0">
      <selection activeCell="I12" sqref="I12"/>
    </sheetView>
  </sheetViews>
  <sheetFormatPr baseColWidth="10" defaultRowHeight="16" x14ac:dyDescent="0.2"/>
  <cols>
    <col min="2" max="2" width="21.83203125" customWidth="1"/>
    <col min="4" max="4" width="20.33203125" bestFit="1" customWidth="1"/>
    <col min="5" max="6" width="16" customWidth="1"/>
    <col min="7" max="7" width="12.1640625" bestFit="1" customWidth="1"/>
    <col min="8" max="8" width="16.5" customWidth="1"/>
    <col min="9" max="9" width="16.6640625" bestFit="1" customWidth="1"/>
    <col min="10" max="10" width="21" bestFit="1" customWidth="1"/>
  </cols>
  <sheetData>
    <row r="1" spans="1:14" x14ac:dyDescent="0.2">
      <c r="A1" t="s">
        <v>42</v>
      </c>
    </row>
    <row r="3" spans="1:14" x14ac:dyDescent="0.2">
      <c r="D3" t="s">
        <v>626</v>
      </c>
      <c r="E3" t="s">
        <v>627</v>
      </c>
      <c r="F3" t="s">
        <v>628</v>
      </c>
      <c r="G3" t="s">
        <v>140</v>
      </c>
      <c r="H3" t="s">
        <v>141</v>
      </c>
      <c r="I3" t="s">
        <v>142</v>
      </c>
      <c r="J3" t="s">
        <v>143</v>
      </c>
    </row>
    <row r="4" spans="1:14" x14ac:dyDescent="0.2">
      <c r="B4" t="s">
        <v>8</v>
      </c>
      <c r="C4" t="s">
        <v>139</v>
      </c>
      <c r="D4" s="12">
        <f>parameters!Y5</f>
        <v>0.13943930720681053</v>
      </c>
      <c r="E4" s="4">
        <f>parameters!D5</f>
        <v>0.41699999999999998</v>
      </c>
      <c r="F4" s="4">
        <f>parameters!E5</f>
        <v>0.39400000000000002</v>
      </c>
      <c r="I4" s="4">
        <f>(D4*E4)/((D4*E4)+(1*F4))</f>
        <v>0.12860042227295038</v>
      </c>
      <c r="J4" s="4">
        <f t="shared" ref="J4:J13" si="0">1-I4</f>
        <v>0.87139957772704957</v>
      </c>
      <c r="N4" s="1"/>
    </row>
    <row r="5" spans="1:14" x14ac:dyDescent="0.2">
      <c r="B5" t="s">
        <v>8</v>
      </c>
      <c r="C5" t="s">
        <v>144</v>
      </c>
      <c r="G5">
        <v>12.048</v>
      </c>
      <c r="H5">
        <f>2.3364*3.4</f>
        <v>7.9437599999999993</v>
      </c>
      <c r="I5" s="4">
        <f>G5/(G5+H5)</f>
        <v>0.60264829109593154</v>
      </c>
      <c r="J5" s="4">
        <f t="shared" si="0"/>
        <v>0.39735170890406846</v>
      </c>
      <c r="N5" s="1"/>
    </row>
    <row r="6" spans="1:14" x14ac:dyDescent="0.2">
      <c r="B6" t="s">
        <v>71</v>
      </c>
      <c r="C6" t="s">
        <v>139</v>
      </c>
      <c r="D6" s="12">
        <f>parameters!Y6</f>
        <v>0.14570887367040652</v>
      </c>
      <c r="E6" s="1">
        <f>parameters!D6</f>
        <v>0.5</v>
      </c>
      <c r="F6" s="1">
        <f>parameters!E6</f>
        <v>0.45</v>
      </c>
      <c r="G6">
        <v>0.5</v>
      </c>
      <c r="H6">
        <v>0.4</v>
      </c>
      <c r="I6" s="4">
        <f>(D6*E6)/((D6*E6)+(1*F6))</f>
        <v>0.13933980798974457</v>
      </c>
      <c r="J6" s="4">
        <f t="shared" si="0"/>
        <v>0.86066019201025545</v>
      </c>
    </row>
    <row r="7" spans="1:14" x14ac:dyDescent="0.2">
      <c r="B7" t="s">
        <v>71</v>
      </c>
      <c r="C7" t="s">
        <v>144</v>
      </c>
      <c r="G7">
        <v>0.5</v>
      </c>
      <c r="H7">
        <v>0.4</v>
      </c>
      <c r="I7" s="4">
        <f>G7/(G7+H7)</f>
        <v>0.55555555555555558</v>
      </c>
      <c r="J7" s="4">
        <f t="shared" si="0"/>
        <v>0.44444444444444442</v>
      </c>
    </row>
    <row r="8" spans="1:14" x14ac:dyDescent="0.2">
      <c r="B8" t="s">
        <v>72</v>
      </c>
      <c r="C8" t="s">
        <v>139</v>
      </c>
      <c r="D8" s="12">
        <f>parameters!Y7</f>
        <v>0.13943930720681053</v>
      </c>
      <c r="E8" s="1">
        <f>parameters!D7</f>
        <v>0.53</v>
      </c>
      <c r="F8" s="1">
        <f>parameters!E7</f>
        <v>0.47</v>
      </c>
      <c r="I8" s="4">
        <f>(D8*E8)/((D8*E8)+(1*F8))</f>
        <v>0.13587506510399097</v>
      </c>
      <c r="J8" s="4">
        <f t="shared" si="0"/>
        <v>0.86412493489600906</v>
      </c>
    </row>
    <row r="9" spans="1:14" x14ac:dyDescent="0.2">
      <c r="B9" t="s">
        <v>72</v>
      </c>
      <c r="C9" t="s">
        <v>144</v>
      </c>
      <c r="G9">
        <v>4500000</v>
      </c>
      <c r="H9">
        <v>7092000</v>
      </c>
      <c r="I9" s="4">
        <f>G9/(G9+H9)</f>
        <v>0.38819875776397517</v>
      </c>
      <c r="J9" s="4">
        <f t="shared" si="0"/>
        <v>0.61180124223602483</v>
      </c>
    </row>
    <row r="10" spans="1:14" x14ac:dyDescent="0.2">
      <c r="B10" t="s">
        <v>495</v>
      </c>
      <c r="C10" t="s">
        <v>139</v>
      </c>
      <c r="D10" s="12">
        <f>parameters!Y11</f>
        <v>0.13650374284456188</v>
      </c>
      <c r="E10" s="1">
        <v>0.6</v>
      </c>
      <c r="F10" s="1">
        <v>0.3</v>
      </c>
      <c r="I10" s="4">
        <f>(D10*E10)/((D10*E10)+(1*F10))</f>
        <v>0.21445866482186096</v>
      </c>
      <c r="J10" s="4">
        <f t="shared" si="0"/>
        <v>0.78554133517813907</v>
      </c>
    </row>
    <row r="11" spans="1:14" x14ac:dyDescent="0.2">
      <c r="B11" t="s">
        <v>495</v>
      </c>
      <c r="C11" t="s">
        <v>144</v>
      </c>
      <c r="G11">
        <v>1</v>
      </c>
      <c r="H11">
        <f>0.25*3.6</f>
        <v>0.9</v>
      </c>
      <c r="I11" s="4">
        <f>G11/(G11+H11)</f>
        <v>0.52631578947368418</v>
      </c>
      <c r="J11" s="4">
        <f t="shared" si="0"/>
        <v>0.47368421052631582</v>
      </c>
    </row>
    <row r="12" spans="1:14" x14ac:dyDescent="0.2">
      <c r="B12" t="s">
        <v>73</v>
      </c>
      <c r="C12" t="s">
        <v>139</v>
      </c>
      <c r="D12" s="12">
        <f>parameters!Y12</f>
        <v>0.14570887367040652</v>
      </c>
      <c r="E12" s="1">
        <f>parameters!D12</f>
        <v>0.5</v>
      </c>
      <c r="F12" s="1">
        <f>parameters!E12</f>
        <v>0.3</v>
      </c>
      <c r="G12">
        <v>0.5</v>
      </c>
      <c r="H12">
        <v>0.4</v>
      </c>
      <c r="I12" s="4">
        <f>(G12*0.16968)/((G12*0.16968)+(H12))</f>
        <v>0.1749855622473393</v>
      </c>
      <c r="J12" s="4">
        <f t="shared" si="0"/>
        <v>0.8250144377526607</v>
      </c>
    </row>
    <row r="13" spans="1:14" x14ac:dyDescent="0.2">
      <c r="B13" t="s">
        <v>73</v>
      </c>
      <c r="C13" t="s">
        <v>144</v>
      </c>
      <c r="G13">
        <v>0.5</v>
      </c>
      <c r="H13">
        <v>0.4</v>
      </c>
      <c r="I13" s="4">
        <f>G13/(G13+H13)</f>
        <v>0.55555555555555558</v>
      </c>
      <c r="J13" s="4">
        <f t="shared" si="0"/>
        <v>0.44444444444444442</v>
      </c>
    </row>
    <row r="21" spans="4:4" x14ac:dyDescent="0.2">
      <c r="D21" s="73"/>
    </row>
    <row r="22" spans="4:4" x14ac:dyDescent="0.2">
      <c r="D22" s="7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overview</vt:lpstr>
      <vt:lpstr>hydrogen - supply</vt:lpstr>
      <vt:lpstr>hydrogen - electrolysis</vt:lpstr>
      <vt:lpstr>hydrogen - SMR</vt:lpstr>
      <vt:lpstr>hydrogen - ATR</vt:lpstr>
      <vt:lpstr>hydrogen - nat gas pyrolysis</vt:lpstr>
      <vt:lpstr>synthetic nat gas - supply</vt:lpstr>
      <vt:lpstr>synthetic nat gas</vt:lpstr>
      <vt:lpstr>methanol - supply</vt:lpstr>
      <vt:lpstr>methanol</vt:lpstr>
      <vt:lpstr>heat pump</vt:lpstr>
      <vt:lpstr>extra datasets</vt:lpstr>
      <vt:lpstr>parameters</vt:lpstr>
      <vt:lpstr>dataset mapping</vt:lpstr>
      <vt:lpstr>allocation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2023-04-12T12:42:07Z</dcterms:created>
  <dcterms:modified xsi:type="dcterms:W3CDTF">2023-06-10T13:50:41Z</dcterms:modified>
</cp:coreProperties>
</file>